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codeName="ThisWorkbook" defaultThemeVersion="124226"/>
  <mc:AlternateContent xmlns:mc="http://schemas.openxmlformats.org/markup-compatibility/2006">
    <mc:Choice Requires="x15">
      <x15ac:absPath xmlns:x15ac="http://schemas.microsoft.com/office/spreadsheetml/2010/11/ac" url="C:\Users\TravisIsmir\Park Terrace Dropbox\Park Terrace Development\Hall Housing\The Groves\2026-0xxGrvsCompetitiveAppFldr\"/>
    </mc:Choice>
  </mc:AlternateContent>
  <xr:revisionPtr revIDLastSave="0" documentId="13_ncr:1_{5FEE00D6-016E-4616-A0DA-A688C76A15D4}" xr6:coauthVersionLast="47" xr6:coauthVersionMax="47" xr10:uidLastSave="{00000000-0000-0000-0000-000000000000}"/>
  <workbookProtection workbookAlgorithmName="SHA-512" workbookHashValue="DeBGV+Or/6fpdZTsUHjTOBv4E2pB7r6Ex2oeN5Vw9t1LqSQIElqt6hf9uEsGAC58VkbRECjb501SSVjPuwUCeg==" workbookSaltValue="2rqXNQJ6194LC48dFu/mEQ==" workbookSpinCount="100000" lockStructure="1"/>
  <bookViews>
    <workbookView xWindow="-108" yWindow="-108" windowWidth="23256" windowHeight="13896" tabRatio="935" firstSheet="8" activeTab="12" xr2:uid="{00000000-000D-0000-FFFF-FFFF00000000}"/>
  </bookViews>
  <sheets>
    <sheet name="Project Narrative" sheetId="118" state="hidden" r:id="rId1"/>
    <sheet name="Part I-Project Identification" sheetId="105" r:id="rId2"/>
    <sheet name="Part II-Development Team" sheetId="67" state="hidden" r:id="rId3"/>
    <sheet name="Part II-Sources of Funds" sheetId="106" r:id="rId4"/>
    <sheet name="Part III B-USDA 538 Loan" sheetId="26" state="hidden" r:id="rId5"/>
    <sheet name="Part III C-HUD Insured Loan" sheetId="25" state="hidden" r:id="rId6"/>
    <sheet name="Part III-A-Uses of Funds" sheetId="107" r:id="rId7"/>
    <sheet name="Part III-B-Other Items" sheetId="114" r:id="rId8"/>
    <sheet name="Part IV-Utility Allowances" sheetId="120" r:id="rId9"/>
    <sheet name="Part V-Revenues &amp; Expenses" sheetId="110" r:id="rId10"/>
    <sheet name="Part VI-Pro Forma" sheetId="111" r:id="rId11"/>
    <sheet name="Part VII-Threshold Criteria" sheetId="113" r:id="rId12"/>
    <sheet name="Part VIII Scoring Criteria" sheetId="112" r:id="rId13"/>
    <sheet name="Sheet1" sheetId="124" state="hidden" r:id="rId14"/>
    <sheet name="Quality Edu School List" sheetId="125" state="hidden" r:id="rId15"/>
    <sheet name="Part IX - Applicant Cert Ltr" sheetId="122" r:id="rId16"/>
    <sheet name="Part X - HOME NHTF Unit Calcs" sheetId="115" r:id="rId17"/>
    <sheet name="DCA Underwriting Assumptions" sheetId="117" state="hidden" r:id="rId18"/>
    <sheet name="Part VII-Threshold Criteria OLD" sheetId="73" state="hidden" r:id="rId19"/>
    <sheet name="Cost Limits Threshold, Assumpt " sheetId="98" state="hidden" r:id="rId20"/>
    <sheet name="Part VIII Scoring Criteria OLD" sheetId="72" state="hidden" r:id="rId21"/>
    <sheet name="Executive Summary" sheetId="83" state="hidden" r:id="rId22"/>
    <sheet name="Subsidy Layering Memo" sheetId="85" state="hidden" r:id="rId23"/>
    <sheet name="Sensitivity Analysis" sheetId="100" state="hidden" r:id="rId24"/>
    <sheet name="D&amp;E Sensitivity Analysis" sheetId="82" state="hidden" r:id="rId25"/>
    <sheet name="After-Tax Analysis" sheetId="86" state="hidden" r:id="rId26"/>
    <sheet name="Payments-Ex B" sheetId="87" state="hidden" r:id="rId27"/>
    <sheet name="Preview Term" sheetId="89" state="hidden" r:id="rId28"/>
    <sheet name="Closing term sheet" sheetId="90" state="hidden" r:id="rId29"/>
    <sheet name="ProrationMethodCostAllocatnDCA" sheetId="93" state="hidden" r:id="rId30"/>
    <sheet name="Closing ExhA" sheetId="91" state="hidden" r:id="rId31"/>
    <sheet name="Closing ExhA New" sheetId="95" state="hidden" r:id="rId32"/>
    <sheet name="DCA_SB_ONLY" sheetId="123" state="hidden" r:id="rId33"/>
  </sheets>
  <externalReferences>
    <externalReference r:id="rId34"/>
  </externalReferences>
  <definedNames>
    <definedName name="_Toc211432252" localSheetId="13">Sheet1!$A$23</definedName>
    <definedName name="_Toc211432253" localSheetId="13">Sheet1!$B$23</definedName>
    <definedName name="_Toc211432254" localSheetId="13">Sheet1!$C$23</definedName>
    <definedName name="_Toc211432255" localSheetId="13">Sheet1!$D$23</definedName>
    <definedName name="_Toc211432256" localSheetId="13">Sheet1!$E$23</definedName>
    <definedName name="_Toc211432257" localSheetId="13">Sheet1!$A$24</definedName>
    <definedName name="_Toc211432258" localSheetId="13">Sheet1!$A$24</definedName>
    <definedName name="_Toc211432259" localSheetId="13">Sheet1!$B$24</definedName>
    <definedName name="_Toc211432260" localSheetId="13">Sheet1!$C$24</definedName>
    <definedName name="_Toc211432261" localSheetId="13">Sheet1!$D$24</definedName>
    <definedName name="_Toc211432262" localSheetId="13">Sheet1!$E$24</definedName>
    <definedName name="_Toc211432263" localSheetId="13">Sheet1!$A$25</definedName>
    <definedName name="_xlnm.Print_Area" localSheetId="31">'Closing ExhA New'!$A$1:$M$69</definedName>
    <definedName name="_xlnm.Print_Area" localSheetId="28">'Closing term sheet'!$A$1:$J$210</definedName>
    <definedName name="_xlnm.Print_Area" localSheetId="24">'D&amp;E Sensitivity Analysis'!$A$2:$K$82</definedName>
    <definedName name="_xlnm.Print_Area" localSheetId="21">'Executive Summary'!$A$1:$J$30</definedName>
    <definedName name="_xlnm.Print_Area" localSheetId="2">'Part II-Development Team'!$A$2:$S$186</definedName>
    <definedName name="_xlnm.Print_Area" localSheetId="4">'Part III B-USDA 538 Loan'!$A$1:$F$111</definedName>
    <definedName name="_xlnm.Print_Area" localSheetId="5">'Part III C-HUD Insured Loan'!$A$1:$F$47</definedName>
    <definedName name="_xlnm.Print_Area" localSheetId="6">'Part III-A-Uses of Funds'!$A$1:$T$196</definedName>
    <definedName name="_xlnm.Print_Area" localSheetId="7">'Part III-B-Other Items'!$A$1:$H$81</definedName>
    <definedName name="_xlnm.Print_Area" localSheetId="3">'Part II-Sources of Funds'!$A$2:$Q$68</definedName>
    <definedName name="_xlnm.Print_Area" localSheetId="1">'Part I-Project Identification'!$A$2:$P$44</definedName>
    <definedName name="_xlnm.Print_Area" localSheetId="8">'Part IV-Utility Allowances'!$A$1:$M$52</definedName>
    <definedName name="_xlnm.Print_Area" localSheetId="15">'Part IX - Applicant Cert Ltr'!$A$1:$M$41</definedName>
    <definedName name="_xlnm.Print_Area" localSheetId="12">'Part VIII Scoring Criteria'!$A$1:$AB$378</definedName>
    <definedName name="_xlnm.Print_Area" localSheetId="20">'Part VIII Scoring Criteria OLD'!$A$1:$P$446</definedName>
    <definedName name="_xlnm.Print_Area" localSheetId="11">'Part VII-Threshold Criteria'!$A$1:$Q$326</definedName>
    <definedName name="_xlnm.Print_Area" localSheetId="18">'Part VII-Threshold Criteria OLD'!$A$1:$Q$449</definedName>
    <definedName name="_xlnm.Print_Area" localSheetId="10">'Part VI-Pro Forma'!$A$2:$K$140</definedName>
    <definedName name="_xlnm.Print_Area" localSheetId="9">'Part V-Revenues &amp; Expenses'!$A$2:$Q$283</definedName>
    <definedName name="_xlnm.Print_Area" localSheetId="16">'Part X - HOME NHTF Unit Calcs'!$A$1:$K$70</definedName>
    <definedName name="_xlnm.Print_Area" localSheetId="26">'Payments-Ex B'!$A$1:$K$44</definedName>
    <definedName name="_xlnm.Print_Area" localSheetId="27">'Preview Term'!$A$1:$H$80</definedName>
    <definedName name="_xlnm.Print_Area" localSheetId="0">'Project Narrative'!$A$1:$A$23</definedName>
    <definedName name="_xlnm.Print_Area" localSheetId="29">ProrationMethodCostAllocatnDCA!$A$1:$K$70</definedName>
    <definedName name="_xlnm.Print_Area" localSheetId="23">'Sensitivity Analysis'!$A$1:$L$77</definedName>
    <definedName name="_xlnm.Print_Area" localSheetId="22">'Subsidy Layering Memo'!$A$2:$J$122</definedName>
    <definedName name="_xlnm.Print_Titles" localSheetId="31">'Closing ExhA New'!$1:$3</definedName>
    <definedName name="_xlnm.Print_Titles" localSheetId="2">'Part II-Development Team'!$2:$2</definedName>
    <definedName name="_xlnm.Print_Titles" localSheetId="4">'Part III B-USDA 538 Loan'!$58:$62</definedName>
    <definedName name="_xlnm.Print_Titles" localSheetId="5">'Part III C-HUD Insured Loan'!$50:$54</definedName>
    <definedName name="_xlnm.Print_Titles" localSheetId="6">'Part III-A-Uses of Funds'!$2:$3</definedName>
    <definedName name="_xlnm.Print_Titles" localSheetId="7">'Part III-B-Other Items'!$5:$6</definedName>
    <definedName name="_xlnm.Print_Titles" localSheetId="3">'Part II-Sources of Funds'!$2:$3</definedName>
    <definedName name="_xlnm.Print_Titles" localSheetId="1">'Part I-Project Identification'!$2:$3</definedName>
    <definedName name="_xlnm.Print_Titles" localSheetId="12">'Part VIII Scoring Criteria'!$1:$6</definedName>
    <definedName name="_xlnm.Print_Titles" localSheetId="20">'Part VIII Scoring Criteria OLD'!$1:$6</definedName>
    <definedName name="_xlnm.Print_Titles" localSheetId="18">'Part VII-Threshold Criteria OLD'!$1:$4</definedName>
    <definedName name="_xlnm.Print_Titles" localSheetId="10">'Part VI-Pro Forma'!$2:$3</definedName>
    <definedName name="_xlnm.Print_Titles" localSheetId="9">'Part V-Revenues &amp; Expenses'!$2:$3</definedName>
    <definedName name="_xlnm.Print_Titles" localSheetId="16">'Part X - HOME NHTF Unit Calcs'!$1:$6</definedName>
    <definedName name="_xlnm.Print_Titles" localSheetId="29">ProrationMethodCostAllocatnDCA!$1:$6</definedName>
    <definedName name="rf"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2" i="106" l="1"/>
  <c r="S132" i="107"/>
  <c r="L25" i="106" l="1"/>
  <c r="I59" i="106"/>
  <c r="G27" i="107" l="1"/>
  <c r="G26" i="107"/>
  <c r="H32" i="110"/>
  <c r="H31" i="110"/>
  <c r="H30" i="110"/>
  <c r="H28" i="110"/>
  <c r="H27" i="110"/>
  <c r="H26" i="110"/>
  <c r="H24" i="110"/>
  <c r="H23" i="110"/>
  <c r="H22" i="110"/>
  <c r="H20" i="110"/>
  <c r="H19" i="110"/>
  <c r="H18" i="110"/>
  <c r="G144" i="107"/>
  <c r="G143" i="107"/>
  <c r="G135" i="107"/>
  <c r="G134" i="107"/>
  <c r="G133" i="107"/>
  <c r="G129" i="107"/>
  <c r="G122" i="107"/>
  <c r="G124" i="107"/>
  <c r="G125" i="107"/>
  <c r="G119" i="107"/>
  <c r="G118" i="107"/>
  <c r="G117" i="107"/>
  <c r="G116" i="107"/>
  <c r="G102" i="107"/>
  <c r="G101" i="107"/>
  <c r="G100" i="107"/>
  <c r="G99" i="107"/>
  <c r="G98" i="107"/>
  <c r="G97" i="107"/>
  <c r="G113" i="107"/>
  <c r="G112" i="107"/>
  <c r="G111" i="107"/>
  <c r="G110" i="107"/>
  <c r="G108" i="107"/>
  <c r="G107" i="107"/>
  <c r="G106" i="107"/>
  <c r="G105" i="107"/>
  <c r="G91" i="107"/>
  <c r="G90" i="107"/>
  <c r="G89" i="107"/>
  <c r="G85" i="107"/>
  <c r="G84" i="107"/>
  <c r="G83" i="107"/>
  <c r="G82" i="107"/>
  <c r="G81" i="107"/>
  <c r="G80" i="107"/>
  <c r="G79" i="107"/>
  <c r="G78" i="107"/>
  <c r="G77" i="107"/>
  <c r="G72" i="107"/>
  <c r="G71" i="107"/>
  <c r="G69" i="107"/>
  <c r="G68" i="107"/>
  <c r="G67" i="107"/>
  <c r="G65" i="107"/>
  <c r="G62" i="107"/>
  <c r="G61" i="107"/>
  <c r="S67" i="107"/>
  <c r="P66" i="107"/>
  <c r="G66" i="107" s="1"/>
  <c r="S64" i="107"/>
  <c r="P64" i="107"/>
  <c r="S63" i="107"/>
  <c r="P63" i="107"/>
  <c r="G31" i="107"/>
  <c r="G32" i="107"/>
  <c r="G33" i="107"/>
  <c r="G34" i="107"/>
  <c r="G35" i="107"/>
  <c r="G30" i="107"/>
  <c r="G22" i="107"/>
  <c r="G23" i="107"/>
  <c r="G21" i="107"/>
  <c r="G20" i="107"/>
  <c r="G10" i="107"/>
  <c r="G11" i="107"/>
  <c r="G12" i="107"/>
  <c r="G13" i="107"/>
  <c r="G14" i="107"/>
  <c r="G15" i="107"/>
  <c r="G16" i="107"/>
  <c r="G17" i="107"/>
  <c r="G9" i="107"/>
  <c r="L31" i="106"/>
  <c r="L30" i="106"/>
  <c r="G63" i="107" l="1"/>
  <c r="G64" i="107"/>
  <c r="X217" i="112"/>
  <c r="V218" i="112"/>
  <c r="V217" i="112"/>
  <c r="X218" i="112"/>
  <c r="X219" i="112" s="1"/>
  <c r="AA62" i="112"/>
  <c r="AA99" i="112"/>
  <c r="AA104" i="112"/>
  <c r="AA103" i="112"/>
  <c r="U86" i="112"/>
  <c r="S192" i="107"/>
  <c r="D6" i="107"/>
  <c r="AE129" i="107"/>
  <c r="AD130" i="107"/>
  <c r="AC129" i="107"/>
  <c r="X272" i="112"/>
  <c r="AA270" i="112"/>
  <c r="T45" i="112"/>
  <c r="T44" i="112"/>
  <c r="AI125" i="107"/>
  <c r="AI124" i="107"/>
  <c r="AI123" i="107"/>
  <c r="AI122" i="107"/>
  <c r="F121" i="107"/>
  <c r="B6" i="112"/>
  <c r="E5" i="113"/>
  <c r="B15" i="105"/>
  <c r="AA183" i="112"/>
  <c r="C16" i="112"/>
  <c r="Y256" i="112"/>
  <c r="U349" i="112"/>
  <c r="U339" i="112"/>
  <c r="V120" i="112"/>
  <c r="M21" i="124"/>
  <c r="V21" i="124"/>
  <c r="AB101" i="112"/>
  <c r="AB98" i="112" s="1"/>
  <c r="AA102" i="112"/>
  <c r="AA105" i="112"/>
  <c r="AA106" i="112"/>
  <c r="X106" i="112" s="1"/>
  <c r="AA108" i="112"/>
  <c r="X108" i="112" s="1"/>
  <c r="AA109" i="112"/>
  <c r="X109" i="112" s="1"/>
  <c r="AA110" i="112"/>
  <c r="X110" i="112" s="1"/>
  <c r="AA111" i="112"/>
  <c r="X111" i="112" s="1"/>
  <c r="AA112" i="112"/>
  <c r="X112" i="112" s="1"/>
  <c r="AC84" i="112"/>
  <c r="AC85" i="112"/>
  <c r="X61" i="112"/>
  <c r="C172" i="112"/>
  <c r="C173" i="112"/>
  <c r="C174" i="112"/>
  <c r="C175" i="112"/>
  <c r="C176" i="112"/>
  <c r="A172" i="112"/>
  <c r="A173" i="112"/>
  <c r="A174" i="112"/>
  <c r="A175" i="112"/>
  <c r="A176" i="112"/>
  <c r="C171" i="112"/>
  <c r="A171" i="112"/>
  <c r="W172" i="112"/>
  <c r="W173" i="112"/>
  <c r="W174" i="112"/>
  <c r="W175" i="112"/>
  <c r="W176" i="112"/>
  <c r="W171" i="112"/>
  <c r="V172" i="112"/>
  <c r="V173" i="112"/>
  <c r="V174" i="112"/>
  <c r="V175" i="112"/>
  <c r="V176" i="112"/>
  <c r="V171" i="112"/>
  <c r="U172" i="112"/>
  <c r="U173" i="112"/>
  <c r="U174" i="112"/>
  <c r="U175" i="112"/>
  <c r="U176" i="112"/>
  <c r="U171" i="112"/>
  <c r="T172" i="112"/>
  <c r="T173" i="112"/>
  <c r="T174" i="112"/>
  <c r="T175" i="112"/>
  <c r="T176" i="112"/>
  <c r="T171" i="112"/>
  <c r="AB28" i="112"/>
  <c r="AA28" i="112"/>
  <c r="AB24" i="112"/>
  <c r="AA24" i="112"/>
  <c r="K26" i="124"/>
  <c r="G26" i="124"/>
  <c r="H26" i="124"/>
  <c r="I26" i="124"/>
  <c r="J26" i="124"/>
  <c r="F26" i="124"/>
  <c r="D26" i="124"/>
  <c r="B26" i="124"/>
  <c r="C26" i="124"/>
  <c r="E26" i="124"/>
  <c r="AB325" i="112"/>
  <c r="AA325" i="112"/>
  <c r="AB270" i="112"/>
  <c r="AB273" i="112"/>
  <c r="AA273" i="112"/>
  <c r="V219" i="112" l="1"/>
  <c r="X105" i="112"/>
  <c r="X104" i="112"/>
  <c r="T53" i="112"/>
  <c r="T57" i="112" s="1"/>
  <c r="AA101" i="112"/>
  <c r="AA98" i="112" s="1"/>
  <c r="X191" i="112"/>
  <c r="P1121" i="123"/>
  <c r="O50" i="123"/>
  <c r="B1643" i="123"/>
  <c r="C1643" i="123"/>
  <c r="D1643" i="123"/>
  <c r="E1643" i="123"/>
  <c r="B1644" i="123"/>
  <c r="G1644" i="123" s="1"/>
  <c r="H1644" i="123" s="1"/>
  <c r="C1644" i="123"/>
  <c r="C1672" i="123" s="1"/>
  <c r="D1672" i="123" s="1"/>
  <c r="D1644" i="123"/>
  <c r="E1644" i="123"/>
  <c r="B1645" i="123"/>
  <c r="C1645" i="123"/>
  <c r="D1645" i="123"/>
  <c r="E1645" i="123"/>
  <c r="B1646" i="123"/>
  <c r="G1646" i="123" s="1"/>
  <c r="H1646" i="123" s="1"/>
  <c r="C1646" i="123"/>
  <c r="C1669" i="123" s="1"/>
  <c r="D1669" i="123" s="1"/>
  <c r="D1646" i="123"/>
  <c r="E1646" i="123"/>
  <c r="B1647" i="123"/>
  <c r="C1647" i="123"/>
  <c r="D1647" i="123"/>
  <c r="E1647" i="123"/>
  <c r="B1648" i="123"/>
  <c r="C1648" i="123"/>
  <c r="D1648" i="123"/>
  <c r="E1648" i="123"/>
  <c r="B1649" i="123"/>
  <c r="G1649" i="123" s="1"/>
  <c r="H1649" i="123" s="1"/>
  <c r="C1649" i="123"/>
  <c r="D1649" i="123"/>
  <c r="E1649" i="123"/>
  <c r="B1650" i="123"/>
  <c r="C1650" i="123"/>
  <c r="D1650" i="123"/>
  <c r="E1650" i="123"/>
  <c r="B1651" i="123"/>
  <c r="G1651" i="123" s="1"/>
  <c r="H1651" i="123" s="1"/>
  <c r="C1651" i="123"/>
  <c r="D1651" i="123"/>
  <c r="E1651" i="123"/>
  <c r="B1652" i="123"/>
  <c r="C1652" i="123"/>
  <c r="D1652" i="123"/>
  <c r="E1652" i="123"/>
  <c r="B1653" i="123"/>
  <c r="C1653" i="123"/>
  <c r="D1653" i="123"/>
  <c r="E1653" i="123"/>
  <c r="B1654" i="123"/>
  <c r="C1654" i="123"/>
  <c r="D1654" i="123"/>
  <c r="E1654" i="123"/>
  <c r="B1655" i="123"/>
  <c r="C1655" i="123"/>
  <c r="D1655" i="123"/>
  <c r="E1655" i="123"/>
  <c r="B1656" i="123"/>
  <c r="G1656" i="123" s="1"/>
  <c r="H1656" i="123" s="1"/>
  <c r="C1656" i="123"/>
  <c r="D1656" i="123"/>
  <c r="E1656" i="123"/>
  <c r="B1657" i="123"/>
  <c r="C1657" i="123"/>
  <c r="D1657" i="123"/>
  <c r="E1657" i="123"/>
  <c r="B1658" i="123"/>
  <c r="G1658" i="123" s="1"/>
  <c r="H1658" i="123" s="1"/>
  <c r="C1658" i="123"/>
  <c r="D1658" i="123"/>
  <c r="E1658" i="123"/>
  <c r="B1659" i="123"/>
  <c r="C1659" i="123"/>
  <c r="D1659" i="123"/>
  <c r="E1659" i="123"/>
  <c r="B1660" i="123"/>
  <c r="G1660" i="123" s="1"/>
  <c r="H1660" i="123" s="1"/>
  <c r="C1660" i="123"/>
  <c r="D1660" i="123"/>
  <c r="E1660" i="123"/>
  <c r="E1642" i="123"/>
  <c r="D1642" i="123"/>
  <c r="C1642" i="123"/>
  <c r="B1642" i="123"/>
  <c r="J1626" i="123"/>
  <c r="J1625" i="123"/>
  <c r="J1623" i="123"/>
  <c r="J1620" i="123"/>
  <c r="J1617" i="123"/>
  <c r="D1614" i="123"/>
  <c r="D1613" i="123"/>
  <c r="O1519" i="123"/>
  <c r="O1518" i="123"/>
  <c r="O1517" i="123"/>
  <c r="O1516" i="123"/>
  <c r="J1234" i="123"/>
  <c r="K1594" i="123"/>
  <c r="B1585" i="123"/>
  <c r="D1585" i="123"/>
  <c r="G1585" i="123"/>
  <c r="J1585" i="123"/>
  <c r="L1585" i="123"/>
  <c r="M1585" i="123"/>
  <c r="B1586" i="123"/>
  <c r="D1586" i="123"/>
  <c r="G1586" i="123"/>
  <c r="J1586" i="123"/>
  <c r="L1586" i="123"/>
  <c r="M1586" i="123"/>
  <c r="B1587" i="123"/>
  <c r="D1587" i="123"/>
  <c r="G1587" i="123"/>
  <c r="J1587" i="123"/>
  <c r="L1587" i="123"/>
  <c r="M1587" i="123"/>
  <c r="B1588" i="123"/>
  <c r="D1588" i="123"/>
  <c r="G1588" i="123"/>
  <c r="J1588" i="123"/>
  <c r="L1588" i="123"/>
  <c r="M1588" i="123"/>
  <c r="B1589" i="123"/>
  <c r="D1589" i="123"/>
  <c r="G1589" i="123"/>
  <c r="J1589" i="123"/>
  <c r="L1589" i="123"/>
  <c r="M1589" i="123"/>
  <c r="B1590" i="123"/>
  <c r="D1590" i="123"/>
  <c r="G1590" i="123"/>
  <c r="J1590" i="123"/>
  <c r="L1590" i="123"/>
  <c r="M1590" i="123"/>
  <c r="B1591" i="123"/>
  <c r="D1591" i="123"/>
  <c r="G1591" i="123"/>
  <c r="J1591" i="123"/>
  <c r="L1591" i="123"/>
  <c r="M1591" i="123"/>
  <c r="B1592" i="123"/>
  <c r="D1592" i="123"/>
  <c r="G1592" i="123"/>
  <c r="J1592" i="123"/>
  <c r="L1592" i="123"/>
  <c r="M1592" i="123"/>
  <c r="B1593" i="123"/>
  <c r="D1593" i="123"/>
  <c r="G1593" i="123"/>
  <c r="J1593" i="123"/>
  <c r="L1593" i="123"/>
  <c r="M1593" i="123"/>
  <c r="L1584" i="123"/>
  <c r="M1584" i="123"/>
  <c r="J1584" i="123"/>
  <c r="G1584" i="123"/>
  <c r="D1584" i="123"/>
  <c r="B1584" i="123"/>
  <c r="J1256" i="123"/>
  <c r="J1255" i="123"/>
  <c r="J1254" i="123"/>
  <c r="J1257" i="123"/>
  <c r="J1258" i="123"/>
  <c r="J1259" i="123"/>
  <c r="J1260" i="123"/>
  <c r="J1261" i="123"/>
  <c r="J1262" i="123"/>
  <c r="J1263" i="123"/>
  <c r="J1264" i="123"/>
  <c r="J1253" i="123"/>
  <c r="K1581" i="123"/>
  <c r="K1580" i="123"/>
  <c r="I1555" i="123"/>
  <c r="J1547" i="123"/>
  <c r="J1546" i="123"/>
  <c r="B1537" i="123"/>
  <c r="G1535" i="123"/>
  <c r="C1517" i="123"/>
  <c r="F1517" i="123"/>
  <c r="I1517" i="123"/>
  <c r="K1517" i="123"/>
  <c r="L1517" i="123"/>
  <c r="C1518" i="123"/>
  <c r="F1518" i="123"/>
  <c r="I1518" i="123"/>
  <c r="K1518" i="123"/>
  <c r="L1518" i="123"/>
  <c r="C1519" i="123"/>
  <c r="F1519" i="123"/>
  <c r="I1519" i="123"/>
  <c r="K1519" i="123"/>
  <c r="L1519" i="123"/>
  <c r="L1516" i="123"/>
  <c r="K1516" i="123"/>
  <c r="I1516" i="123"/>
  <c r="F1516" i="123"/>
  <c r="C1516" i="123"/>
  <c r="K1472" i="123"/>
  <c r="K1471" i="123"/>
  <c r="H1472" i="123"/>
  <c r="H1471" i="123"/>
  <c r="G1472" i="123"/>
  <c r="G1471" i="123"/>
  <c r="M1449" i="123"/>
  <c r="M1450" i="123"/>
  <c r="M1451" i="123"/>
  <c r="M1452" i="123"/>
  <c r="I1449" i="123"/>
  <c r="I1450" i="123"/>
  <c r="I1451" i="123"/>
  <c r="I1452" i="123"/>
  <c r="H1452" i="123"/>
  <c r="F1449" i="123"/>
  <c r="F1450" i="123"/>
  <c r="F1451" i="123"/>
  <c r="F1452" i="123"/>
  <c r="M1448" i="123"/>
  <c r="I1448" i="123"/>
  <c r="H1451" i="123"/>
  <c r="F1448" i="123"/>
  <c r="B1389" i="123"/>
  <c r="F1389" i="123"/>
  <c r="G1389" i="123"/>
  <c r="I1389" i="123"/>
  <c r="J1389" i="123"/>
  <c r="L1389" i="123"/>
  <c r="B1390" i="123"/>
  <c r="F1390" i="123"/>
  <c r="G1390" i="123"/>
  <c r="I1390" i="123"/>
  <c r="J1390" i="123"/>
  <c r="L1390" i="123"/>
  <c r="B1391" i="123"/>
  <c r="F1391" i="123"/>
  <c r="G1391" i="123"/>
  <c r="I1391" i="123"/>
  <c r="J1391" i="123"/>
  <c r="L1391" i="123"/>
  <c r="B1392" i="123"/>
  <c r="F1392" i="123"/>
  <c r="G1392" i="123"/>
  <c r="I1392" i="123"/>
  <c r="J1392" i="123"/>
  <c r="L1392" i="123"/>
  <c r="B1393" i="123"/>
  <c r="F1393" i="123"/>
  <c r="G1393" i="123"/>
  <c r="I1393" i="123"/>
  <c r="J1393" i="123"/>
  <c r="L1393" i="123"/>
  <c r="L1388" i="123"/>
  <c r="J1388" i="123"/>
  <c r="I1388" i="123"/>
  <c r="G1388" i="123"/>
  <c r="F1388" i="123"/>
  <c r="B1388" i="123"/>
  <c r="J1369" i="123"/>
  <c r="G1369" i="123"/>
  <c r="F1369" i="123"/>
  <c r="B1369" i="123"/>
  <c r="J1367" i="123"/>
  <c r="J1366" i="123"/>
  <c r="F1367" i="123"/>
  <c r="F1366" i="123"/>
  <c r="J1323" i="123"/>
  <c r="O1323" i="123" s="1"/>
  <c r="J1324" i="123"/>
  <c r="O1324" i="123" s="1"/>
  <c r="J1325" i="123"/>
  <c r="O1325" i="123" s="1"/>
  <c r="J1326" i="123"/>
  <c r="O1326" i="123" s="1"/>
  <c r="J1317" i="123"/>
  <c r="O1317" i="123" s="1"/>
  <c r="J1318" i="123"/>
  <c r="J1319" i="123"/>
  <c r="O1319" i="123" s="1"/>
  <c r="L1319" i="123" s="1"/>
  <c r="J1320" i="123"/>
  <c r="O1320" i="123" s="1"/>
  <c r="L1320" i="123" s="1"/>
  <c r="B1328" i="123"/>
  <c r="O1594" i="123"/>
  <c r="Q1594" i="123" s="1"/>
  <c r="O1582" i="123"/>
  <c r="Q1582" i="123" s="1"/>
  <c r="O1581" i="123"/>
  <c r="O1580" i="123"/>
  <c r="O1569" i="123"/>
  <c r="O1568" i="123"/>
  <c r="O1567" i="123"/>
  <c r="O1565" i="123"/>
  <c r="O1554" i="123"/>
  <c r="L1554" i="123" s="1"/>
  <c r="O1547" i="123"/>
  <c r="Q1547" i="123" s="1"/>
  <c r="O1546" i="123"/>
  <c r="R1546" i="123" s="1"/>
  <c r="O1538" i="123"/>
  <c r="Q1538" i="123" s="1"/>
  <c r="O1536" i="123"/>
  <c r="Q1536" i="123" s="1"/>
  <c r="O1528" i="123"/>
  <c r="L1528" i="123" s="1"/>
  <c r="O1527" i="123"/>
  <c r="L1527" i="123" s="1"/>
  <c r="O1512" i="123"/>
  <c r="L1512" i="123" s="1"/>
  <c r="O1504" i="123"/>
  <c r="L1504" i="123" s="1"/>
  <c r="O1490" i="123"/>
  <c r="O1489" i="123"/>
  <c r="Q1489" i="123" s="1"/>
  <c r="O1488" i="123"/>
  <c r="O1487" i="123"/>
  <c r="O1486" i="123"/>
  <c r="O1485" i="123"/>
  <c r="Q1485" i="123" s="1"/>
  <c r="O1483" i="123"/>
  <c r="O1482" i="123"/>
  <c r="Q1482" i="123" s="1"/>
  <c r="O1425" i="123"/>
  <c r="O1424" i="123"/>
  <c r="O1422" i="123"/>
  <c r="O1421" i="123"/>
  <c r="O1420" i="123"/>
  <c r="L1420" i="123" s="1"/>
  <c r="O1419" i="123"/>
  <c r="L1419" i="123" s="1"/>
  <c r="O1415" i="123"/>
  <c r="L1415" i="123" s="1"/>
  <c r="O1414" i="123"/>
  <c r="L1414" i="123" s="1"/>
  <c r="O1408" i="123"/>
  <c r="Q1408" i="123" s="1"/>
  <c r="O1407" i="123"/>
  <c r="L1407" i="123" s="1"/>
  <c r="O1384" i="123"/>
  <c r="Q1384" i="123" s="1"/>
  <c r="O1377" i="123"/>
  <c r="L1377" i="123" s="1"/>
  <c r="O1376" i="123"/>
  <c r="L1376" i="123" s="1"/>
  <c r="O1375" i="123"/>
  <c r="L1375" i="123" s="1"/>
  <c r="O1373" i="123"/>
  <c r="L1487" i="123" s="1"/>
  <c r="O1372" i="123"/>
  <c r="L1372" i="123" s="1"/>
  <c r="O1367" i="123"/>
  <c r="O1356" i="123"/>
  <c r="O1355" i="123"/>
  <c r="L1355" i="123" s="1"/>
  <c r="O1341" i="123"/>
  <c r="O1339" i="123"/>
  <c r="Q1339" i="123" s="1"/>
  <c r="O1338" i="123"/>
  <c r="L1338" i="123" s="1"/>
  <c r="J1322" i="123"/>
  <c r="O1322" i="123" s="1"/>
  <c r="J1316" i="123"/>
  <c r="O1316" i="123" s="1"/>
  <c r="O1304" i="123"/>
  <c r="O1302" i="123" s="1"/>
  <c r="Q1302" i="123" s="1"/>
  <c r="O1301" i="123"/>
  <c r="Q1301" i="123" s="1"/>
  <c r="O1300" i="123"/>
  <c r="O1299" i="123"/>
  <c r="O1298" i="123"/>
  <c r="Q1298" i="123" s="1"/>
  <c r="O1297" i="123"/>
  <c r="O1289" i="123"/>
  <c r="O1288" i="123"/>
  <c r="O1287" i="123"/>
  <c r="O1273" i="123"/>
  <c r="L1273" i="123" s="1"/>
  <c r="O1250" i="123"/>
  <c r="Q1250" i="123" s="1"/>
  <c r="O1484" i="123"/>
  <c r="O1469" i="123"/>
  <c r="O1461" i="123"/>
  <c r="O1460" i="123"/>
  <c r="O1417" i="123"/>
  <c r="O1413" i="123"/>
  <c r="O1412" i="123"/>
  <c r="O1411" i="123"/>
  <c r="N1405" i="123"/>
  <c r="N1404" i="123"/>
  <c r="N1403" i="123"/>
  <c r="O1347" i="123"/>
  <c r="O1276" i="123"/>
  <c r="O1275" i="123"/>
  <c r="O1251" i="123"/>
  <c r="A1606" i="123"/>
  <c r="A1596" i="123"/>
  <c r="A1558" i="123"/>
  <c r="A1549" i="123"/>
  <c r="A1540" i="123"/>
  <c r="A1521" i="123"/>
  <c r="A1507" i="123"/>
  <c r="A1493" i="123"/>
  <c r="A1475" i="123"/>
  <c r="A1463" i="123"/>
  <c r="A1454" i="123"/>
  <c r="A1427" i="123"/>
  <c r="A1395" i="123"/>
  <c r="A1379" i="123"/>
  <c r="A1358" i="123"/>
  <c r="A1349" i="123"/>
  <c r="A1330" i="123"/>
  <c r="A1306" i="123"/>
  <c r="A1278" i="123"/>
  <c r="A1244" i="123"/>
  <c r="O1242" i="123"/>
  <c r="O1241" i="123"/>
  <c r="O1239" i="123"/>
  <c r="O1236" i="123"/>
  <c r="J1235" i="123"/>
  <c r="J1233" i="123"/>
  <c r="J1225" i="123"/>
  <c r="O1226" i="123"/>
  <c r="O1224" i="123"/>
  <c r="O1223" i="123"/>
  <c r="O1220" i="123"/>
  <c r="O1217" i="123"/>
  <c r="O1218" i="123"/>
  <c r="O1216" i="123"/>
  <c r="H1209" i="123"/>
  <c r="L1205" i="123"/>
  <c r="H1205" i="123"/>
  <c r="D1131" i="123"/>
  <c r="I1120" i="123"/>
  <c r="I1119" i="123"/>
  <c r="C1084" i="123"/>
  <c r="C1083" i="123"/>
  <c r="F1081" i="123"/>
  <c r="F1080" i="123"/>
  <c r="M1067" i="123"/>
  <c r="P1064" i="123"/>
  <c r="P1065" i="123"/>
  <c r="P1063" i="123"/>
  <c r="B961" i="123"/>
  <c r="L1048" i="123"/>
  <c r="M1031" i="123"/>
  <c r="M1030" i="123"/>
  <c r="J1021" i="123"/>
  <c r="J1020" i="123"/>
  <c r="J1019" i="123"/>
  <c r="J1018" i="123"/>
  <c r="C1021" i="123"/>
  <c r="C1020" i="123"/>
  <c r="C1019" i="123"/>
  <c r="C1018" i="123"/>
  <c r="M1015" i="123"/>
  <c r="C1014" i="123"/>
  <c r="M1013" i="123"/>
  <c r="M1012" i="123"/>
  <c r="M1002" i="123"/>
  <c r="M1001" i="123"/>
  <c r="M993" i="123"/>
  <c r="M992" i="123"/>
  <c r="L970" i="123"/>
  <c r="L969" i="123"/>
  <c r="L953" i="123"/>
  <c r="L943" i="123"/>
  <c r="P934" i="123"/>
  <c r="P935" i="123"/>
  <c r="P933" i="123"/>
  <c r="L932" i="123"/>
  <c r="P1179" i="123"/>
  <c r="P1178" i="123"/>
  <c r="P1170" i="123"/>
  <c r="P1162" i="123"/>
  <c r="P1161" i="123"/>
  <c r="P1160" i="123"/>
  <c r="P1159" i="123"/>
  <c r="P1151" i="123"/>
  <c r="P1150" i="123"/>
  <c r="P1142" i="123"/>
  <c r="P1141" i="123"/>
  <c r="P1140" i="123"/>
  <c r="P1139" i="123"/>
  <c r="P1130" i="123"/>
  <c r="P1129" i="123"/>
  <c r="P1111" i="123"/>
  <c r="P1110" i="123"/>
  <c r="P1109" i="123"/>
  <c r="P1108" i="123"/>
  <c r="P1107" i="123"/>
  <c r="P1105" i="123"/>
  <c r="O1096" i="123"/>
  <c r="P1095" i="123"/>
  <c r="P1094" i="123"/>
  <c r="P1093" i="123"/>
  <c r="P1092" i="123"/>
  <c r="P1078" i="123"/>
  <c r="P1077" i="123"/>
  <c r="P1069" i="123"/>
  <c r="P1068" i="123"/>
  <c r="P1057" i="123"/>
  <c r="P1056" i="123"/>
  <c r="P1047" i="123"/>
  <c r="P1029" i="123"/>
  <c r="P1010" i="123"/>
  <c r="P959" i="123"/>
  <c r="P958" i="123"/>
  <c r="P957" i="123"/>
  <c r="P956" i="123"/>
  <c r="P955" i="123"/>
  <c r="P954" i="123"/>
  <c r="P945" i="123"/>
  <c r="P944" i="123"/>
  <c r="P924" i="123"/>
  <c r="P916" i="123"/>
  <c r="A1188" i="123"/>
  <c r="A1181" i="123"/>
  <c r="A1172" i="123"/>
  <c r="A1164" i="123"/>
  <c r="A1153" i="123"/>
  <c r="A1144" i="123"/>
  <c r="A1133" i="123"/>
  <c r="A1123" i="123"/>
  <c r="A1113" i="123"/>
  <c r="A1099" i="123"/>
  <c r="A1086" i="123"/>
  <c r="A1071" i="123"/>
  <c r="A1050" i="123"/>
  <c r="A1040" i="123"/>
  <c r="A1033" i="123"/>
  <c r="A1023" i="123"/>
  <c r="A1004" i="123"/>
  <c r="A995" i="123"/>
  <c r="A986" i="123"/>
  <c r="A979" i="123"/>
  <c r="A972" i="123"/>
  <c r="A963" i="123"/>
  <c r="A947" i="123"/>
  <c r="A937" i="123"/>
  <c r="A926" i="123"/>
  <c r="A918" i="123"/>
  <c r="A911" i="123"/>
  <c r="A878" i="123"/>
  <c r="F874" i="123"/>
  <c r="E874" i="123"/>
  <c r="D874" i="123"/>
  <c r="C874" i="123"/>
  <c r="B874" i="123"/>
  <c r="F873" i="123"/>
  <c r="E873" i="123"/>
  <c r="D873" i="123"/>
  <c r="C873" i="123"/>
  <c r="B873" i="123"/>
  <c r="K844" i="123"/>
  <c r="J844" i="123"/>
  <c r="I844" i="123"/>
  <c r="H844" i="123"/>
  <c r="G844" i="123"/>
  <c r="F844" i="123"/>
  <c r="E844" i="123"/>
  <c r="D844" i="123"/>
  <c r="C844" i="123"/>
  <c r="B844" i="123"/>
  <c r="K843" i="123"/>
  <c r="J843" i="123"/>
  <c r="I843" i="123"/>
  <c r="H843" i="123"/>
  <c r="G843" i="123"/>
  <c r="F843" i="123"/>
  <c r="E843" i="123"/>
  <c r="D843" i="123"/>
  <c r="C843" i="123"/>
  <c r="B843" i="123"/>
  <c r="K813" i="123"/>
  <c r="J813" i="123"/>
  <c r="I813" i="123"/>
  <c r="H813" i="123"/>
  <c r="G813" i="123"/>
  <c r="F813" i="123"/>
  <c r="E813" i="123"/>
  <c r="D813" i="123"/>
  <c r="C813" i="123"/>
  <c r="B813" i="123"/>
  <c r="K812" i="123"/>
  <c r="J812" i="123"/>
  <c r="I812" i="123"/>
  <c r="H812" i="123"/>
  <c r="G812" i="123"/>
  <c r="F812" i="123"/>
  <c r="E812" i="123"/>
  <c r="D812" i="123"/>
  <c r="C812" i="123"/>
  <c r="B812" i="123"/>
  <c r="F862" i="123"/>
  <c r="E862" i="123"/>
  <c r="D862" i="123"/>
  <c r="C862" i="123"/>
  <c r="B862" i="123"/>
  <c r="F861" i="123"/>
  <c r="E861" i="123"/>
  <c r="D861" i="123"/>
  <c r="C861" i="123"/>
  <c r="C868" i="123" s="1"/>
  <c r="B861" i="123"/>
  <c r="F860" i="123"/>
  <c r="E860" i="123"/>
  <c r="D860" i="123"/>
  <c r="C860" i="123"/>
  <c r="B860" i="123"/>
  <c r="K832" i="123"/>
  <c r="J832" i="123"/>
  <c r="I832" i="123"/>
  <c r="H832" i="123"/>
  <c r="G832" i="123"/>
  <c r="F832" i="123"/>
  <c r="E832" i="123"/>
  <c r="D832" i="123"/>
  <c r="C832" i="123"/>
  <c r="B832" i="123"/>
  <c r="K831" i="123"/>
  <c r="J831" i="123"/>
  <c r="I831" i="123"/>
  <c r="H831" i="123"/>
  <c r="H838" i="123" s="1"/>
  <c r="G831" i="123"/>
  <c r="G838" i="123" s="1"/>
  <c r="F831" i="123"/>
  <c r="E831" i="123"/>
  <c r="E838" i="123" s="1"/>
  <c r="D831" i="123"/>
  <c r="D838" i="123" s="1"/>
  <c r="C831" i="123"/>
  <c r="B831" i="123"/>
  <c r="B838" i="123" s="1"/>
  <c r="K830" i="123"/>
  <c r="K837" i="123" s="1"/>
  <c r="J830" i="123"/>
  <c r="J837" i="123" s="1"/>
  <c r="I830" i="123"/>
  <c r="H830" i="123"/>
  <c r="G830" i="123"/>
  <c r="F830" i="123"/>
  <c r="E830" i="123"/>
  <c r="D830" i="123"/>
  <c r="D837" i="123" s="1"/>
  <c r="C830" i="123"/>
  <c r="C837" i="123" s="1"/>
  <c r="B830" i="123"/>
  <c r="K802" i="123"/>
  <c r="J802" i="123"/>
  <c r="I802" i="123"/>
  <c r="H802" i="123"/>
  <c r="G802" i="123"/>
  <c r="K800" i="123"/>
  <c r="J800" i="123"/>
  <c r="I800" i="123"/>
  <c r="H800" i="123"/>
  <c r="G800" i="123"/>
  <c r="F800" i="123"/>
  <c r="E800" i="123"/>
  <c r="D800" i="123"/>
  <c r="C800" i="123"/>
  <c r="B800" i="123"/>
  <c r="K799" i="123"/>
  <c r="J799" i="123"/>
  <c r="I799" i="123"/>
  <c r="H799" i="123"/>
  <c r="G799" i="123"/>
  <c r="F799" i="123"/>
  <c r="E799" i="123"/>
  <c r="D799" i="123"/>
  <c r="C799" i="123"/>
  <c r="C807" i="123" s="1"/>
  <c r="B799" i="123"/>
  <c r="B807" i="123" s="1"/>
  <c r="K798" i="123"/>
  <c r="K806" i="123" s="1"/>
  <c r="J798" i="123"/>
  <c r="J806" i="123" s="1"/>
  <c r="I798" i="123"/>
  <c r="H798" i="123"/>
  <c r="G798" i="123"/>
  <c r="F798" i="123"/>
  <c r="E798" i="123"/>
  <c r="D798" i="123"/>
  <c r="C798" i="123"/>
  <c r="B798" i="123"/>
  <c r="B780" i="123"/>
  <c r="C780" i="123"/>
  <c r="D780" i="123"/>
  <c r="E780" i="123"/>
  <c r="F780" i="123"/>
  <c r="G780" i="123"/>
  <c r="H780" i="123"/>
  <c r="I780" i="123"/>
  <c r="J780" i="123"/>
  <c r="K780" i="123"/>
  <c r="B781" i="123"/>
  <c r="C781" i="123"/>
  <c r="D781" i="123"/>
  <c r="E781" i="123"/>
  <c r="F781" i="123"/>
  <c r="G781" i="123"/>
  <c r="H781" i="123"/>
  <c r="I781" i="123"/>
  <c r="J781" i="123"/>
  <c r="K781" i="123"/>
  <c r="B766" i="123"/>
  <c r="B774" i="123" s="1"/>
  <c r="C766" i="123"/>
  <c r="D766" i="123"/>
  <c r="D774" i="123" s="1"/>
  <c r="E766" i="123"/>
  <c r="E774" i="123" s="1"/>
  <c r="F766" i="123"/>
  <c r="G766" i="123"/>
  <c r="H766" i="123"/>
  <c r="I766" i="123"/>
  <c r="I774" i="123" s="1"/>
  <c r="J766" i="123"/>
  <c r="K766" i="123"/>
  <c r="B767" i="123"/>
  <c r="C767" i="123"/>
  <c r="D767" i="123"/>
  <c r="E767" i="123"/>
  <c r="F767" i="123"/>
  <c r="F775" i="123" s="1"/>
  <c r="G767" i="123"/>
  <c r="G775" i="123" s="1"/>
  <c r="H767" i="123"/>
  <c r="H775" i="123" s="1"/>
  <c r="I767" i="123"/>
  <c r="I775" i="123" s="1"/>
  <c r="J767" i="123"/>
  <c r="K767" i="123"/>
  <c r="B768" i="123"/>
  <c r="C768" i="123"/>
  <c r="D768" i="123"/>
  <c r="E768" i="123"/>
  <c r="F768" i="123"/>
  <c r="G768" i="123"/>
  <c r="H768" i="123"/>
  <c r="I768" i="123"/>
  <c r="J768" i="123"/>
  <c r="K768" i="123"/>
  <c r="K748" i="123"/>
  <c r="K747" i="123"/>
  <c r="G748" i="123"/>
  <c r="G747" i="123"/>
  <c r="G744" i="123"/>
  <c r="B747" i="123"/>
  <c r="L731" i="123"/>
  <c r="L732" i="123"/>
  <c r="L733" i="123"/>
  <c r="L730" i="123"/>
  <c r="L728" i="123"/>
  <c r="F728" i="123"/>
  <c r="I721" i="123"/>
  <c r="I715" i="123"/>
  <c r="I705" i="123"/>
  <c r="B721" i="123"/>
  <c r="B710" i="123"/>
  <c r="B701" i="123"/>
  <c r="L705" i="123"/>
  <c r="L697" i="123"/>
  <c r="L696" i="123"/>
  <c r="F721" i="123"/>
  <c r="H721" i="123" s="1"/>
  <c r="F720" i="123"/>
  <c r="L704" i="123"/>
  <c r="L703" i="123"/>
  <c r="L702" i="123"/>
  <c r="L721" i="123"/>
  <c r="L720" i="123"/>
  <c r="L719" i="123"/>
  <c r="F719" i="123"/>
  <c r="F718" i="123"/>
  <c r="H718" i="123" s="1"/>
  <c r="F717" i="123"/>
  <c r="F716" i="123"/>
  <c r="F715" i="123"/>
  <c r="F714" i="123"/>
  <c r="F710" i="123"/>
  <c r="F709" i="123"/>
  <c r="F708" i="123"/>
  <c r="F707" i="123"/>
  <c r="F706" i="123"/>
  <c r="F705" i="123"/>
  <c r="H705" i="123" s="1"/>
  <c r="L715" i="123"/>
  <c r="L714" i="123"/>
  <c r="L713" i="123"/>
  <c r="L712" i="123"/>
  <c r="N712" i="123" s="1"/>
  <c r="L711" i="123"/>
  <c r="N711" i="123" s="1"/>
  <c r="L710" i="123"/>
  <c r="F697" i="123"/>
  <c r="H697" i="123" s="1"/>
  <c r="F698" i="123"/>
  <c r="F699" i="123"/>
  <c r="F700" i="123"/>
  <c r="F701" i="123"/>
  <c r="H701" i="123" s="1"/>
  <c r="F696" i="123"/>
  <c r="C690" i="123"/>
  <c r="C686" i="123"/>
  <c r="C681" i="123"/>
  <c r="C677" i="123"/>
  <c r="C672" i="123"/>
  <c r="C668" i="123"/>
  <c r="C663" i="123"/>
  <c r="L690" i="123"/>
  <c r="K690" i="123"/>
  <c r="J690" i="123"/>
  <c r="I690" i="123"/>
  <c r="H690" i="123"/>
  <c r="L689" i="123"/>
  <c r="K689" i="123"/>
  <c r="K691" i="123" s="1"/>
  <c r="J689" i="123"/>
  <c r="I689" i="123"/>
  <c r="H689" i="123"/>
  <c r="H691" i="123" s="1"/>
  <c r="L686" i="123"/>
  <c r="K686" i="123"/>
  <c r="J686" i="123"/>
  <c r="I686" i="123"/>
  <c r="H686" i="123"/>
  <c r="L685" i="123"/>
  <c r="K685" i="123"/>
  <c r="J685" i="123"/>
  <c r="J687" i="123" s="1"/>
  <c r="I685" i="123"/>
  <c r="H685" i="123"/>
  <c r="Q681" i="123"/>
  <c r="P681" i="123"/>
  <c r="O681" i="123"/>
  <c r="N681" i="123"/>
  <c r="M681" i="123"/>
  <c r="L681" i="123"/>
  <c r="K681" i="123"/>
  <c r="J681" i="123"/>
  <c r="I681" i="123"/>
  <c r="H681" i="123"/>
  <c r="Q680" i="123"/>
  <c r="P680" i="123"/>
  <c r="P682" i="123" s="1"/>
  <c r="O680" i="123"/>
  <c r="N680" i="123"/>
  <c r="M680" i="123"/>
  <c r="L680" i="123"/>
  <c r="K680" i="123"/>
  <c r="K682" i="123" s="1"/>
  <c r="J680" i="123"/>
  <c r="I680" i="123"/>
  <c r="H680" i="123"/>
  <c r="Q677" i="123"/>
  <c r="P677" i="123"/>
  <c r="O677" i="123"/>
  <c r="N677" i="123"/>
  <c r="M677" i="123"/>
  <c r="L677" i="123"/>
  <c r="L678" i="123" s="1"/>
  <c r="K677" i="123"/>
  <c r="J677" i="123"/>
  <c r="I677" i="123"/>
  <c r="I678" i="123" s="1"/>
  <c r="H677" i="123"/>
  <c r="Q676" i="123"/>
  <c r="Q678" i="123" s="1"/>
  <c r="P676" i="123"/>
  <c r="O676" i="123"/>
  <c r="N676" i="123"/>
  <c r="M676" i="123"/>
  <c r="L676" i="123"/>
  <c r="K676" i="123"/>
  <c r="J676" i="123"/>
  <c r="I676" i="123"/>
  <c r="H676" i="123"/>
  <c r="Q672" i="123"/>
  <c r="P672" i="123"/>
  <c r="O672" i="123"/>
  <c r="N672" i="123"/>
  <c r="M672" i="123"/>
  <c r="L672" i="123"/>
  <c r="K672" i="123"/>
  <c r="J672" i="123"/>
  <c r="I672" i="123"/>
  <c r="H672" i="123"/>
  <c r="Q671" i="123"/>
  <c r="P671" i="123"/>
  <c r="O671" i="123"/>
  <c r="N671" i="123"/>
  <c r="N673" i="123" s="1"/>
  <c r="M671" i="123"/>
  <c r="L671" i="123"/>
  <c r="K671" i="123"/>
  <c r="J671" i="123"/>
  <c r="I671" i="123"/>
  <c r="I673" i="123" s="1"/>
  <c r="H671" i="123"/>
  <c r="H673" i="123" s="1"/>
  <c r="Q668" i="123"/>
  <c r="P668" i="123"/>
  <c r="O668" i="123"/>
  <c r="N668" i="123"/>
  <c r="M668" i="123"/>
  <c r="L668" i="123"/>
  <c r="L669" i="123" s="1"/>
  <c r="K668" i="123"/>
  <c r="J668" i="123"/>
  <c r="I668" i="123"/>
  <c r="H668" i="123"/>
  <c r="Q667" i="123"/>
  <c r="P667" i="123"/>
  <c r="O667" i="123"/>
  <c r="O669" i="123" s="1"/>
  <c r="N667" i="123"/>
  <c r="N669" i="123" s="1"/>
  <c r="M667" i="123"/>
  <c r="L667" i="123"/>
  <c r="K667" i="123"/>
  <c r="J667" i="123"/>
  <c r="I667" i="123"/>
  <c r="I669" i="123" s="1"/>
  <c r="H667" i="123"/>
  <c r="Q663" i="123"/>
  <c r="P663" i="123"/>
  <c r="O663" i="123"/>
  <c r="N663" i="123"/>
  <c r="M663" i="123"/>
  <c r="M664" i="123" s="1"/>
  <c r="L663" i="123"/>
  <c r="K663" i="123"/>
  <c r="K664" i="123" s="1"/>
  <c r="J663" i="123"/>
  <c r="I663" i="123"/>
  <c r="H663" i="123"/>
  <c r="Q662" i="123"/>
  <c r="P662" i="123"/>
  <c r="O662" i="123"/>
  <c r="N662" i="123"/>
  <c r="M662" i="123"/>
  <c r="L662" i="123"/>
  <c r="K662" i="123"/>
  <c r="J662" i="123"/>
  <c r="I662" i="123"/>
  <c r="H662" i="123"/>
  <c r="I658" i="123"/>
  <c r="J658" i="123"/>
  <c r="K658" i="123"/>
  <c r="L658" i="123"/>
  <c r="M658" i="123"/>
  <c r="N658" i="123"/>
  <c r="O658" i="123"/>
  <c r="P658" i="123"/>
  <c r="Q658" i="123"/>
  <c r="I659" i="123"/>
  <c r="J659" i="123"/>
  <c r="K659" i="123"/>
  <c r="L659" i="123"/>
  <c r="L660" i="123" s="1"/>
  <c r="M659" i="123"/>
  <c r="N659" i="123"/>
  <c r="N660" i="123" s="1"/>
  <c r="O659" i="123"/>
  <c r="P659" i="123"/>
  <c r="Q659" i="123"/>
  <c r="H659" i="123"/>
  <c r="C659" i="123"/>
  <c r="H658" i="123"/>
  <c r="K649" i="123"/>
  <c r="K648" i="123"/>
  <c r="K599" i="123"/>
  <c r="K598" i="123"/>
  <c r="L593" i="123"/>
  <c r="M593" i="123"/>
  <c r="N593" i="123"/>
  <c r="O593" i="123"/>
  <c r="L594" i="123"/>
  <c r="M594" i="123"/>
  <c r="N594" i="123"/>
  <c r="O594" i="123"/>
  <c r="K594" i="123"/>
  <c r="K593" i="123"/>
  <c r="O516" i="123"/>
  <c r="O515" i="123"/>
  <c r="N465" i="123"/>
  <c r="O465" i="123"/>
  <c r="P465" i="123"/>
  <c r="Q465" i="123"/>
  <c r="N466" i="123"/>
  <c r="O466" i="123"/>
  <c r="P466" i="123"/>
  <c r="Q466" i="123"/>
  <c r="N467" i="123"/>
  <c r="O467" i="123"/>
  <c r="P467" i="123"/>
  <c r="Q467" i="123"/>
  <c r="N468" i="123"/>
  <c r="HH468" i="123" s="1"/>
  <c r="O468" i="123"/>
  <c r="P468" i="123"/>
  <c r="Q468" i="123"/>
  <c r="N469" i="123"/>
  <c r="FM469" i="123" s="1"/>
  <c r="O469" i="123"/>
  <c r="LQ469" i="123" s="1"/>
  <c r="P469" i="123"/>
  <c r="HV469" i="123" s="1"/>
  <c r="Q469" i="123"/>
  <c r="N470" i="123"/>
  <c r="O470" i="123"/>
  <c r="P470" i="123"/>
  <c r="Q470" i="123"/>
  <c r="N471" i="123"/>
  <c r="O471" i="123"/>
  <c r="P471" i="123"/>
  <c r="Q471" i="123"/>
  <c r="N472" i="123"/>
  <c r="O472" i="123"/>
  <c r="P472" i="123"/>
  <c r="Q472" i="123"/>
  <c r="N473" i="123"/>
  <c r="O473" i="123"/>
  <c r="P473" i="123"/>
  <c r="Q473" i="123"/>
  <c r="N474" i="123"/>
  <c r="O474" i="123"/>
  <c r="OB474" i="123" s="1"/>
  <c r="P474" i="123"/>
  <c r="Q474" i="123"/>
  <c r="N475" i="123"/>
  <c r="O475" i="123"/>
  <c r="P475" i="123"/>
  <c r="Q475" i="123"/>
  <c r="N476" i="123"/>
  <c r="O476" i="123"/>
  <c r="P476" i="123"/>
  <c r="Q476" i="123"/>
  <c r="N477" i="123"/>
  <c r="O477" i="123"/>
  <c r="P477" i="123"/>
  <c r="Q477" i="123"/>
  <c r="N478" i="123"/>
  <c r="O478" i="123"/>
  <c r="NV478" i="123" s="1"/>
  <c r="P478" i="123"/>
  <c r="Q478" i="123"/>
  <c r="N479" i="123"/>
  <c r="O479" i="123"/>
  <c r="P479" i="123"/>
  <c r="Q479" i="123"/>
  <c r="N480" i="123"/>
  <c r="O480" i="123"/>
  <c r="P480" i="123"/>
  <c r="Q480" i="123"/>
  <c r="N481" i="123"/>
  <c r="O481" i="123"/>
  <c r="P481" i="123"/>
  <c r="Q481" i="123"/>
  <c r="N482" i="123"/>
  <c r="O482" i="123"/>
  <c r="NW482" i="123" s="1"/>
  <c r="P482" i="123"/>
  <c r="Q482" i="123"/>
  <c r="N483" i="123"/>
  <c r="O483" i="123"/>
  <c r="P483" i="123"/>
  <c r="Q483" i="123"/>
  <c r="N484" i="123"/>
  <c r="O484" i="123"/>
  <c r="P484" i="123"/>
  <c r="Q484" i="123"/>
  <c r="N485" i="123"/>
  <c r="O485" i="123"/>
  <c r="P485" i="123"/>
  <c r="Q485" i="123"/>
  <c r="N486" i="123"/>
  <c r="FM486" i="123" s="1"/>
  <c r="O486" i="123"/>
  <c r="P486" i="123"/>
  <c r="NV486" i="123" s="1"/>
  <c r="Q486" i="123"/>
  <c r="MK486" i="123" s="1"/>
  <c r="N487" i="123"/>
  <c r="O487" i="123"/>
  <c r="P487" i="123"/>
  <c r="Q487" i="123"/>
  <c r="N488" i="123"/>
  <c r="O488" i="123"/>
  <c r="P488" i="123"/>
  <c r="Q488" i="123"/>
  <c r="N489" i="123"/>
  <c r="EY489" i="123" s="1"/>
  <c r="O489" i="123"/>
  <c r="P489" i="123"/>
  <c r="Q489" i="123"/>
  <c r="N490" i="123"/>
  <c r="O490" i="123"/>
  <c r="P490" i="123"/>
  <c r="Q490" i="123"/>
  <c r="N491" i="123"/>
  <c r="O491" i="123"/>
  <c r="KL491" i="123" s="1"/>
  <c r="P491" i="123"/>
  <c r="Q491" i="123"/>
  <c r="N492" i="123"/>
  <c r="O492" i="123"/>
  <c r="JJ492" i="123" s="1"/>
  <c r="P492" i="123"/>
  <c r="HU492" i="123" s="1"/>
  <c r="Q492" i="123"/>
  <c r="N493" i="123"/>
  <c r="O493" i="123"/>
  <c r="P493" i="123"/>
  <c r="Q493" i="123"/>
  <c r="LO493" i="123" s="1"/>
  <c r="N494" i="123"/>
  <c r="O494" i="123"/>
  <c r="JM494" i="123" s="1"/>
  <c r="P494" i="123"/>
  <c r="Q494" i="123"/>
  <c r="N495" i="123"/>
  <c r="O495" i="123"/>
  <c r="P495" i="123"/>
  <c r="Q495" i="123"/>
  <c r="OB495" i="123" s="1"/>
  <c r="N496" i="123"/>
  <c r="O496" i="123"/>
  <c r="P496" i="123"/>
  <c r="Q496" i="123"/>
  <c r="N497" i="123"/>
  <c r="O497" i="123"/>
  <c r="P497" i="123"/>
  <c r="Q497" i="123"/>
  <c r="N498" i="123"/>
  <c r="O498" i="123"/>
  <c r="P498" i="123"/>
  <c r="Q498" i="123"/>
  <c r="N499" i="123"/>
  <c r="O499" i="123"/>
  <c r="P499" i="123"/>
  <c r="Q499" i="123"/>
  <c r="N500" i="123"/>
  <c r="FN500" i="123" s="1"/>
  <c r="O500" i="123"/>
  <c r="P500" i="123"/>
  <c r="Q500" i="123"/>
  <c r="LM500" i="123" s="1"/>
  <c r="N501" i="123"/>
  <c r="O501" i="123"/>
  <c r="P501" i="123"/>
  <c r="Q501" i="123"/>
  <c r="N502" i="123"/>
  <c r="O502" i="123"/>
  <c r="P502" i="123"/>
  <c r="Q502" i="123"/>
  <c r="N503" i="123"/>
  <c r="EB503" i="123" s="1"/>
  <c r="O503" i="123"/>
  <c r="P503" i="123"/>
  <c r="Q503" i="123"/>
  <c r="N504" i="123"/>
  <c r="O504" i="123"/>
  <c r="P504" i="123"/>
  <c r="Q504" i="123"/>
  <c r="N505" i="123"/>
  <c r="O505" i="123"/>
  <c r="P505" i="123"/>
  <c r="Q505" i="123"/>
  <c r="N506" i="123"/>
  <c r="O506" i="123"/>
  <c r="P506" i="123"/>
  <c r="Q506" i="123"/>
  <c r="N507" i="123"/>
  <c r="O507" i="123"/>
  <c r="P507" i="123"/>
  <c r="Q507" i="123"/>
  <c r="MH507" i="123" s="1"/>
  <c r="N508" i="123"/>
  <c r="O508" i="123"/>
  <c r="P508" i="123"/>
  <c r="Q508" i="123"/>
  <c r="N509" i="123"/>
  <c r="O509" i="123"/>
  <c r="P509" i="123"/>
  <c r="Q509" i="123"/>
  <c r="N510" i="123"/>
  <c r="O510" i="123"/>
  <c r="P510" i="123"/>
  <c r="Q510" i="123"/>
  <c r="Q464" i="123"/>
  <c r="P464" i="123"/>
  <c r="O464" i="123"/>
  <c r="N464" i="123"/>
  <c r="B465" i="123"/>
  <c r="C465" i="123"/>
  <c r="D465" i="123"/>
  <c r="E465" i="123"/>
  <c r="F465" i="123"/>
  <c r="G465" i="123"/>
  <c r="H465" i="123"/>
  <c r="I465" i="123"/>
  <c r="J465" i="123"/>
  <c r="K465" i="123"/>
  <c r="B466" i="123"/>
  <c r="C466" i="123"/>
  <c r="D466" i="123"/>
  <c r="E466" i="123"/>
  <c r="F466" i="123"/>
  <c r="G466" i="123"/>
  <c r="H466" i="123"/>
  <c r="I466" i="123"/>
  <c r="J466" i="123"/>
  <c r="K466" i="123"/>
  <c r="B467" i="123"/>
  <c r="C467" i="123"/>
  <c r="D467" i="123"/>
  <c r="E467" i="123"/>
  <c r="F467" i="123"/>
  <c r="G467" i="123"/>
  <c r="H467" i="123"/>
  <c r="I467" i="123"/>
  <c r="J467" i="123"/>
  <c r="K467" i="123"/>
  <c r="B468" i="123"/>
  <c r="C468" i="123"/>
  <c r="D468" i="123"/>
  <c r="E468" i="123"/>
  <c r="F468" i="123"/>
  <c r="G468" i="123"/>
  <c r="I468" i="123"/>
  <c r="J468" i="123"/>
  <c r="K468" i="123"/>
  <c r="B469" i="123"/>
  <c r="C469" i="123"/>
  <c r="D469" i="123"/>
  <c r="E469" i="123"/>
  <c r="F469" i="123"/>
  <c r="G469" i="123"/>
  <c r="I469" i="123"/>
  <c r="J469" i="123"/>
  <c r="K469" i="123"/>
  <c r="B470" i="123"/>
  <c r="C470" i="123"/>
  <c r="JY470" i="123" s="1"/>
  <c r="D470" i="123"/>
  <c r="E470" i="123"/>
  <c r="F470" i="123"/>
  <c r="G470" i="123"/>
  <c r="I470" i="123"/>
  <c r="J470" i="123"/>
  <c r="K470" i="123"/>
  <c r="B471" i="123"/>
  <c r="C471" i="123"/>
  <c r="D471" i="123"/>
  <c r="E471" i="123"/>
  <c r="F471" i="123"/>
  <c r="G471" i="123"/>
  <c r="H471" i="123"/>
  <c r="I471" i="123"/>
  <c r="K471" i="123"/>
  <c r="B472" i="123"/>
  <c r="C472" i="123"/>
  <c r="D472" i="123"/>
  <c r="E472" i="123"/>
  <c r="F472" i="123"/>
  <c r="GD472" i="123" s="1"/>
  <c r="G472" i="123"/>
  <c r="H472" i="123"/>
  <c r="I472" i="123"/>
  <c r="K472" i="123"/>
  <c r="B473" i="123"/>
  <c r="C473" i="123"/>
  <c r="D473" i="123"/>
  <c r="E473" i="123"/>
  <c r="F473" i="123"/>
  <c r="G473" i="123"/>
  <c r="H473" i="123"/>
  <c r="I473" i="123"/>
  <c r="K473" i="123"/>
  <c r="B474" i="123"/>
  <c r="C474" i="123"/>
  <c r="D474" i="123"/>
  <c r="E474" i="123"/>
  <c r="F474" i="123"/>
  <c r="G474" i="123"/>
  <c r="H474" i="123"/>
  <c r="I474" i="123"/>
  <c r="K474" i="123"/>
  <c r="B475" i="123"/>
  <c r="C475" i="123"/>
  <c r="D475" i="123"/>
  <c r="E475" i="123"/>
  <c r="F475" i="123"/>
  <c r="G475" i="123"/>
  <c r="H475" i="123"/>
  <c r="I475" i="123"/>
  <c r="K475" i="123"/>
  <c r="B476" i="123"/>
  <c r="EC476" i="123" s="1"/>
  <c r="C476" i="123"/>
  <c r="D476" i="123"/>
  <c r="E476" i="123"/>
  <c r="F476" i="123"/>
  <c r="G476" i="123"/>
  <c r="H476" i="123"/>
  <c r="I476" i="123"/>
  <c r="K476" i="123"/>
  <c r="B477" i="123"/>
  <c r="C477" i="123"/>
  <c r="D477" i="123"/>
  <c r="E477" i="123"/>
  <c r="F477" i="123"/>
  <c r="G477" i="123"/>
  <c r="H477" i="123"/>
  <c r="I477" i="123"/>
  <c r="K477" i="123"/>
  <c r="B478" i="123"/>
  <c r="C478" i="123"/>
  <c r="D478" i="123"/>
  <c r="E478" i="123"/>
  <c r="F478" i="123"/>
  <c r="G478" i="123"/>
  <c r="H478" i="123"/>
  <c r="I478" i="123"/>
  <c r="K478" i="123"/>
  <c r="B479" i="123"/>
  <c r="C479" i="123"/>
  <c r="D479" i="123"/>
  <c r="E479" i="123"/>
  <c r="F479" i="123"/>
  <c r="G479" i="123"/>
  <c r="H479" i="123"/>
  <c r="I479" i="123"/>
  <c r="K479" i="123"/>
  <c r="B480" i="123"/>
  <c r="C480" i="123"/>
  <c r="D480" i="123"/>
  <c r="E480" i="123"/>
  <c r="F480" i="123"/>
  <c r="G480" i="123"/>
  <c r="H480" i="123"/>
  <c r="I480" i="123"/>
  <c r="K480" i="123"/>
  <c r="B481" i="123"/>
  <c r="IO481" i="123" s="1"/>
  <c r="C481" i="123"/>
  <c r="D481" i="123"/>
  <c r="E481" i="123"/>
  <c r="NU481" i="123" s="1"/>
  <c r="F481" i="123"/>
  <c r="G481" i="123"/>
  <c r="H481" i="123"/>
  <c r="I481" i="123"/>
  <c r="K481" i="123"/>
  <c r="B482" i="123"/>
  <c r="C482" i="123"/>
  <c r="D482" i="123"/>
  <c r="E482" i="123"/>
  <c r="F482" i="123"/>
  <c r="G482" i="123"/>
  <c r="H482" i="123"/>
  <c r="I482" i="123"/>
  <c r="K482" i="123"/>
  <c r="B483" i="123"/>
  <c r="C483" i="123"/>
  <c r="D483" i="123"/>
  <c r="E483" i="123"/>
  <c r="F483" i="123"/>
  <c r="G483" i="123"/>
  <c r="H483" i="123"/>
  <c r="I483" i="123"/>
  <c r="K483" i="123"/>
  <c r="B484" i="123"/>
  <c r="MR484" i="123" s="1"/>
  <c r="C484" i="123"/>
  <c r="MB484" i="123" s="1"/>
  <c r="D484" i="123"/>
  <c r="E484" i="123"/>
  <c r="F484" i="123"/>
  <c r="G484" i="123"/>
  <c r="H484" i="123"/>
  <c r="I484" i="123"/>
  <c r="K484" i="123"/>
  <c r="B485" i="123"/>
  <c r="C485" i="123"/>
  <c r="NH485" i="123" s="1"/>
  <c r="D485" i="123"/>
  <c r="E485" i="123"/>
  <c r="F485" i="123"/>
  <c r="G485" i="123"/>
  <c r="H485" i="123"/>
  <c r="I485" i="123"/>
  <c r="K485" i="123"/>
  <c r="B486" i="123"/>
  <c r="C486" i="123"/>
  <c r="D486" i="123"/>
  <c r="E486" i="123"/>
  <c r="F486" i="123"/>
  <c r="G486" i="123"/>
  <c r="H486" i="123"/>
  <c r="I486" i="123"/>
  <c r="K486" i="123"/>
  <c r="HG486" i="123" s="1"/>
  <c r="B487" i="123"/>
  <c r="C487" i="123"/>
  <c r="D487" i="123"/>
  <c r="E487" i="123"/>
  <c r="F487" i="123"/>
  <c r="G487" i="123"/>
  <c r="H487" i="123"/>
  <c r="I487" i="123"/>
  <c r="K487" i="123"/>
  <c r="B488" i="123"/>
  <c r="C488" i="123"/>
  <c r="D488" i="123"/>
  <c r="E488" i="123"/>
  <c r="F488" i="123"/>
  <c r="G488" i="123"/>
  <c r="H488" i="123"/>
  <c r="I488" i="123"/>
  <c r="K488" i="123"/>
  <c r="B489" i="123"/>
  <c r="C489" i="123"/>
  <c r="D489" i="123"/>
  <c r="E489" i="123"/>
  <c r="F489" i="123"/>
  <c r="G489" i="123"/>
  <c r="H489" i="123"/>
  <c r="I489" i="123"/>
  <c r="K489" i="123"/>
  <c r="B490" i="123"/>
  <c r="C490" i="123"/>
  <c r="D490" i="123"/>
  <c r="E490" i="123"/>
  <c r="F490" i="123"/>
  <c r="G490" i="123"/>
  <c r="H490" i="123"/>
  <c r="I490" i="123"/>
  <c r="K490" i="123"/>
  <c r="B491" i="123"/>
  <c r="C491" i="123"/>
  <c r="D491" i="123"/>
  <c r="E491" i="123"/>
  <c r="F491" i="123"/>
  <c r="G491" i="123"/>
  <c r="H491" i="123"/>
  <c r="I491" i="123"/>
  <c r="K491" i="123"/>
  <c r="CI491" i="123" s="1"/>
  <c r="B492" i="123"/>
  <c r="AA492" i="123" s="1"/>
  <c r="C492" i="123"/>
  <c r="NA492" i="123" s="1"/>
  <c r="D492" i="123"/>
  <c r="E492" i="123"/>
  <c r="F492" i="123"/>
  <c r="G492" i="123"/>
  <c r="H492" i="123"/>
  <c r="I492" i="123"/>
  <c r="K492" i="123"/>
  <c r="B493" i="123"/>
  <c r="C493" i="123"/>
  <c r="MO493" i="123" s="1"/>
  <c r="D493" i="123"/>
  <c r="E493" i="123"/>
  <c r="F493" i="123"/>
  <c r="G493" i="123"/>
  <c r="H493" i="123"/>
  <c r="I493" i="123"/>
  <c r="K493" i="123"/>
  <c r="B494" i="123"/>
  <c r="C494" i="123"/>
  <c r="D494" i="123"/>
  <c r="E494" i="123"/>
  <c r="F494" i="123"/>
  <c r="G494" i="123"/>
  <c r="H494" i="123"/>
  <c r="I494" i="123"/>
  <c r="K494" i="123"/>
  <c r="B495" i="123"/>
  <c r="NB495" i="123" s="1"/>
  <c r="C495" i="123"/>
  <c r="D495" i="123"/>
  <c r="E495" i="123"/>
  <c r="F495" i="123"/>
  <c r="G495" i="123"/>
  <c r="H495" i="123"/>
  <c r="I495" i="123"/>
  <c r="K495" i="123"/>
  <c r="HJ495" i="123" s="1"/>
  <c r="B496" i="123"/>
  <c r="AX496" i="123" s="1"/>
  <c r="C496" i="123"/>
  <c r="D496" i="123"/>
  <c r="E496" i="123"/>
  <c r="F496" i="123"/>
  <c r="G496" i="123"/>
  <c r="H496" i="123"/>
  <c r="I496" i="123"/>
  <c r="K496" i="123"/>
  <c r="B497" i="123"/>
  <c r="C497" i="123"/>
  <c r="D497" i="123"/>
  <c r="E497" i="123"/>
  <c r="F497" i="123"/>
  <c r="G497" i="123"/>
  <c r="H497" i="123"/>
  <c r="I497" i="123"/>
  <c r="K497" i="123"/>
  <c r="B498" i="123"/>
  <c r="C498" i="123"/>
  <c r="D498" i="123"/>
  <c r="E498" i="123"/>
  <c r="F498" i="123"/>
  <c r="G498" i="123"/>
  <c r="H498" i="123"/>
  <c r="I498" i="123"/>
  <c r="K498" i="123"/>
  <c r="B499" i="123"/>
  <c r="C499" i="123"/>
  <c r="FX499" i="123" s="1"/>
  <c r="D499" i="123"/>
  <c r="E499" i="123"/>
  <c r="F499" i="123"/>
  <c r="G499" i="123"/>
  <c r="H499" i="123"/>
  <c r="I499" i="123"/>
  <c r="K499" i="123"/>
  <c r="B500" i="123"/>
  <c r="C500" i="123"/>
  <c r="LV500" i="123" s="1"/>
  <c r="D500" i="123"/>
  <c r="E500" i="123"/>
  <c r="F500" i="123"/>
  <c r="G500" i="123"/>
  <c r="H500" i="123"/>
  <c r="I500" i="123"/>
  <c r="K500" i="123"/>
  <c r="HG500" i="123" s="1"/>
  <c r="B501" i="123"/>
  <c r="C501" i="123"/>
  <c r="D501" i="123"/>
  <c r="E501" i="123"/>
  <c r="F501" i="123"/>
  <c r="G501" i="123"/>
  <c r="H501" i="123"/>
  <c r="I501" i="123"/>
  <c r="K501" i="123"/>
  <c r="B502" i="123"/>
  <c r="C502" i="123"/>
  <c r="D502" i="123"/>
  <c r="E502" i="123"/>
  <c r="F502" i="123"/>
  <c r="G502" i="123"/>
  <c r="H502" i="123"/>
  <c r="I502" i="123"/>
  <c r="K502" i="123"/>
  <c r="B503" i="123"/>
  <c r="C503" i="123"/>
  <c r="IS503" i="123" s="1"/>
  <c r="D503" i="123"/>
  <c r="E503" i="123"/>
  <c r="F503" i="123"/>
  <c r="G503" i="123"/>
  <c r="H503" i="123"/>
  <c r="I503" i="123"/>
  <c r="K503" i="123"/>
  <c r="B504" i="123"/>
  <c r="C504" i="123"/>
  <c r="D504" i="123"/>
  <c r="E504" i="123"/>
  <c r="F504" i="123"/>
  <c r="G504" i="123"/>
  <c r="H504" i="123"/>
  <c r="I504" i="123"/>
  <c r="K504" i="123"/>
  <c r="B505" i="123"/>
  <c r="C505" i="123"/>
  <c r="D505" i="123"/>
  <c r="E505" i="123"/>
  <c r="F505" i="123"/>
  <c r="G505" i="123"/>
  <c r="H505" i="123"/>
  <c r="I505" i="123"/>
  <c r="K505" i="123"/>
  <c r="B506" i="123"/>
  <c r="C506" i="123"/>
  <c r="GL506" i="123" s="1"/>
  <c r="D506" i="123"/>
  <c r="E506" i="123"/>
  <c r="F506" i="123"/>
  <c r="G506" i="123"/>
  <c r="H506" i="123"/>
  <c r="I506" i="123"/>
  <c r="K506" i="123"/>
  <c r="B507" i="123"/>
  <c r="C507" i="123"/>
  <c r="LP507" i="123" s="1"/>
  <c r="D507" i="123"/>
  <c r="E507" i="123"/>
  <c r="F507" i="123"/>
  <c r="G507" i="123"/>
  <c r="H507" i="123"/>
  <c r="I507" i="123"/>
  <c r="K507" i="123"/>
  <c r="B508" i="123"/>
  <c r="C508" i="123"/>
  <c r="D508" i="123"/>
  <c r="E508" i="123"/>
  <c r="F508" i="123"/>
  <c r="G508" i="123"/>
  <c r="H508" i="123"/>
  <c r="I508" i="123"/>
  <c r="K508" i="123"/>
  <c r="B509" i="123"/>
  <c r="C509" i="123"/>
  <c r="D509" i="123"/>
  <c r="E509" i="123"/>
  <c r="F509" i="123"/>
  <c r="G509" i="123"/>
  <c r="H509" i="123"/>
  <c r="I509" i="123"/>
  <c r="K509" i="123"/>
  <c r="B510" i="123"/>
  <c r="C510" i="123"/>
  <c r="D510" i="123"/>
  <c r="E510" i="123"/>
  <c r="F510" i="123"/>
  <c r="G510" i="123"/>
  <c r="H510" i="123"/>
  <c r="I510" i="123"/>
  <c r="K510" i="123"/>
  <c r="K464" i="123"/>
  <c r="J464" i="123"/>
  <c r="I464" i="123"/>
  <c r="H464" i="123"/>
  <c r="G464" i="123"/>
  <c r="F464" i="123"/>
  <c r="E464" i="123"/>
  <c r="D464" i="123"/>
  <c r="C464" i="123"/>
  <c r="B464" i="123"/>
  <c r="O461" i="123"/>
  <c r="P460" i="123"/>
  <c r="P459" i="123"/>
  <c r="G460" i="123"/>
  <c r="G459" i="123"/>
  <c r="OD511" i="123"/>
  <c r="KW507" i="123"/>
  <c r="KS507" i="123"/>
  <c r="KQ507" i="123"/>
  <c r="KM507" i="123"/>
  <c r="KL507" i="123"/>
  <c r="JI507" i="123"/>
  <c r="HL507" i="123"/>
  <c r="HK507" i="123"/>
  <c r="HG507" i="123"/>
  <c r="GX506" i="123"/>
  <c r="GN506" i="123"/>
  <c r="GV502" i="123"/>
  <c r="OB500" i="123"/>
  <c r="LP500" i="123"/>
  <c r="LL500" i="123"/>
  <c r="LH500" i="123"/>
  <c r="LG500" i="123"/>
  <c r="LE500" i="123"/>
  <c r="KA500" i="123"/>
  <c r="JM500" i="123"/>
  <c r="JL500" i="123"/>
  <c r="JI500" i="123"/>
  <c r="HO500" i="123"/>
  <c r="HK500" i="123"/>
  <c r="FY499" i="123"/>
  <c r="FO499" i="123"/>
  <c r="BJ499" i="123"/>
  <c r="AN499" i="123"/>
  <c r="AL499" i="123"/>
  <c r="KM498" i="123"/>
  <c r="HM496" i="123"/>
  <c r="HC496" i="123"/>
  <c r="FI496" i="123"/>
  <c r="BV496" i="123"/>
  <c r="HN495" i="123"/>
  <c r="NZ493" i="123"/>
  <c r="NO493" i="123"/>
  <c r="MM493" i="123"/>
  <c r="ML493" i="123"/>
  <c r="MH493" i="123"/>
  <c r="MG493" i="123"/>
  <c r="LK493" i="123"/>
  <c r="KW493" i="123"/>
  <c r="KR493" i="123"/>
  <c r="KQ493" i="123"/>
  <c r="KO493" i="123"/>
  <c r="KM493" i="123"/>
  <c r="JP493" i="123"/>
  <c r="JM493" i="123"/>
  <c r="FQ493" i="123"/>
  <c r="FO493" i="123"/>
  <c r="FN493" i="123"/>
  <c r="FM493" i="123"/>
  <c r="MV492" i="123"/>
  <c r="MT492" i="123"/>
  <c r="MR492" i="123"/>
  <c r="MP492" i="123"/>
  <c r="JI492" i="123"/>
  <c r="IT492" i="123"/>
  <c r="IR492" i="123"/>
  <c r="HR492" i="123"/>
  <c r="HO492" i="123"/>
  <c r="HN492" i="123"/>
  <c r="HM492" i="123"/>
  <c r="HL492" i="123"/>
  <c r="HE492" i="123"/>
  <c r="GZ492" i="123"/>
  <c r="GY492" i="123"/>
  <c r="GW492" i="123"/>
  <c r="GU492" i="123"/>
  <c r="GS492" i="123"/>
  <c r="GR492" i="123"/>
  <c r="GQ492" i="123"/>
  <c r="GP492" i="123"/>
  <c r="GO492" i="123"/>
  <c r="GJ492" i="123"/>
  <c r="GI492" i="123"/>
  <c r="GG492" i="123"/>
  <c r="GD492" i="123"/>
  <c r="GC492" i="123"/>
  <c r="GB492" i="123"/>
  <c r="GA492" i="123"/>
  <c r="FZ492" i="123"/>
  <c r="FY492" i="123"/>
  <c r="FT492" i="123"/>
  <c r="FS492" i="123"/>
  <c r="FP492" i="123"/>
  <c r="FN492" i="123"/>
  <c r="FM492" i="123"/>
  <c r="BK492" i="123"/>
  <c r="BJ492" i="123"/>
  <c r="BI492" i="123"/>
  <c r="BH492" i="123"/>
  <c r="BB492" i="123"/>
  <c r="BA492" i="123"/>
  <c r="AY492" i="123"/>
  <c r="AW492" i="123"/>
  <c r="AV492" i="123"/>
  <c r="AU492" i="123"/>
  <c r="AT492" i="123"/>
  <c r="AS492" i="123"/>
  <c r="AR492" i="123"/>
  <c r="AM492" i="123"/>
  <c r="AL492" i="123"/>
  <c r="AJ492" i="123"/>
  <c r="AH492" i="123"/>
  <c r="AG492" i="123"/>
  <c r="AF492" i="123"/>
  <c r="AE492" i="123"/>
  <c r="AD492" i="123"/>
  <c r="AC492" i="123"/>
  <c r="X492" i="123"/>
  <c r="ME491" i="123"/>
  <c r="LY491" i="123"/>
  <c r="LS491" i="123"/>
  <c r="LR491" i="123"/>
  <c r="LL491" i="123"/>
  <c r="LB491" i="123"/>
  <c r="LA491" i="123"/>
  <c r="KN491" i="123"/>
  <c r="JY491" i="123"/>
  <c r="JX491" i="123"/>
  <c r="JT491" i="123"/>
  <c r="JM491" i="123"/>
  <c r="JL491" i="123"/>
  <c r="JK491" i="123"/>
  <c r="JJ491" i="123"/>
  <c r="JI491" i="123"/>
  <c r="HR491" i="123"/>
  <c r="NL489" i="123"/>
  <c r="NE489" i="123"/>
  <c r="NA489" i="123"/>
  <c r="MZ489" i="123"/>
  <c r="II489" i="123"/>
  <c r="IC489" i="123"/>
  <c r="HU489" i="123"/>
  <c r="HS489" i="123"/>
  <c r="HN489" i="123"/>
  <c r="GN489" i="123"/>
  <c r="GM489" i="123"/>
  <c r="FX489" i="123"/>
  <c r="FT489" i="123"/>
  <c r="FK489" i="123"/>
  <c r="DY489" i="123"/>
  <c r="DX489" i="123"/>
  <c r="DW489" i="123"/>
  <c r="DT489" i="123"/>
  <c r="DM489" i="123"/>
  <c r="CZ489" i="123"/>
  <c r="CX489" i="123"/>
  <c r="CT489" i="123"/>
  <c r="BG489" i="123"/>
  <c r="BB489" i="123"/>
  <c r="BA489" i="123"/>
  <c r="AX489" i="123"/>
  <c r="AU489" i="123"/>
  <c r="OC488" i="123"/>
  <c r="NV488" i="123"/>
  <c r="NO488" i="123"/>
  <c r="NL488" i="123"/>
  <c r="NK488" i="123"/>
  <c r="NJ488" i="123"/>
  <c r="MR488" i="123"/>
  <c r="MO488" i="123"/>
  <c r="MK488" i="123"/>
  <c r="LU488" i="123"/>
  <c r="LH488" i="123"/>
  <c r="KS488" i="123"/>
  <c r="KP488" i="123"/>
  <c r="KA488" i="123"/>
  <c r="JW488" i="123"/>
  <c r="JU488" i="123"/>
  <c r="JT488" i="123"/>
  <c r="JR488" i="123"/>
  <c r="JQ488" i="123"/>
  <c r="JM488" i="123"/>
  <c r="IB488" i="123"/>
  <c r="IA488" i="123"/>
  <c r="HU488" i="123"/>
  <c r="HO488" i="123"/>
  <c r="HB488" i="123"/>
  <c r="GW488" i="123"/>
  <c r="GT488" i="123"/>
  <c r="GI488" i="123"/>
  <c r="GE488" i="123"/>
  <c r="GC488" i="123"/>
  <c r="FB488" i="123"/>
  <c r="EV488" i="123"/>
  <c r="EO488" i="123"/>
  <c r="ED488" i="123"/>
  <c r="EB488" i="123"/>
  <c r="DW488" i="123"/>
  <c r="DP488" i="123"/>
  <c r="DM488" i="123"/>
  <c r="DL488" i="123"/>
  <c r="DA488" i="123"/>
  <c r="BZ488" i="123"/>
  <c r="BR488" i="123"/>
  <c r="BQ488" i="123"/>
  <c r="BN488" i="123"/>
  <c r="AU488" i="123"/>
  <c r="AT488" i="123"/>
  <c r="AO488" i="123"/>
  <c r="AH488" i="123"/>
  <c r="AE488" i="123"/>
  <c r="MN486" i="123"/>
  <c r="ML486" i="123"/>
  <c r="MJ486" i="123"/>
  <c r="MF486" i="123"/>
  <c r="ME486" i="123"/>
  <c r="LX486" i="123"/>
  <c r="LL486" i="123"/>
  <c r="LJ486" i="123"/>
  <c r="KY486" i="123"/>
  <c r="KX486" i="123"/>
  <c r="KW486" i="123"/>
  <c r="KV486" i="123"/>
  <c r="KF486" i="123"/>
  <c r="KA486" i="123"/>
  <c r="JW486" i="123"/>
  <c r="JV486" i="123"/>
  <c r="JU486" i="123"/>
  <c r="JT486" i="123"/>
  <c r="JM486" i="123"/>
  <c r="JK486" i="123"/>
  <c r="JI486" i="123"/>
  <c r="HN486" i="123"/>
  <c r="HM486" i="123"/>
  <c r="HL486" i="123"/>
  <c r="HK486" i="123"/>
  <c r="HF486" i="123"/>
  <c r="FP486" i="123"/>
  <c r="FN486" i="123"/>
  <c r="DG486" i="123"/>
  <c r="NJ485" i="123"/>
  <c r="NG485" i="123"/>
  <c r="NE485" i="123"/>
  <c r="ND485" i="123"/>
  <c r="MY485" i="123"/>
  <c r="MQ485" i="123"/>
  <c r="MP485" i="123"/>
  <c r="LX485" i="123"/>
  <c r="JM485" i="123"/>
  <c r="JI485" i="123"/>
  <c r="IT485" i="123"/>
  <c r="IS485" i="123"/>
  <c r="IR485" i="123"/>
  <c r="IQ485" i="123"/>
  <c r="IM485" i="123"/>
  <c r="IK485" i="123"/>
  <c r="IE485" i="123"/>
  <c r="IC485" i="123"/>
  <c r="HR485" i="123"/>
  <c r="HM485" i="123"/>
  <c r="HL485" i="123"/>
  <c r="HK485" i="123"/>
  <c r="HE485" i="123"/>
  <c r="HC485" i="123"/>
  <c r="GW485" i="123"/>
  <c r="GV485" i="123"/>
  <c r="GU485" i="123"/>
  <c r="GQ485" i="123"/>
  <c r="GO485" i="123"/>
  <c r="GN485" i="123"/>
  <c r="GH485" i="123"/>
  <c r="GG485" i="123"/>
  <c r="GE485" i="123"/>
  <c r="GD485" i="123"/>
  <c r="GC485" i="123"/>
  <c r="GB485" i="123"/>
  <c r="FS485" i="123"/>
  <c r="FQ485" i="123"/>
  <c r="FP485" i="123"/>
  <c r="FO485" i="123"/>
  <c r="FN485" i="123"/>
  <c r="EW485" i="123"/>
  <c r="EO485" i="123"/>
  <c r="EC485" i="123"/>
  <c r="BK485" i="123"/>
  <c r="BF485" i="123"/>
  <c r="BD485" i="123"/>
  <c r="BC485" i="123"/>
  <c r="BB485" i="123"/>
  <c r="BA485" i="123"/>
  <c r="AU485" i="123"/>
  <c r="AS485" i="123"/>
  <c r="AR485" i="123"/>
  <c r="AQ485" i="123"/>
  <c r="AM485" i="123"/>
  <c r="AG485" i="123"/>
  <c r="AE485" i="123"/>
  <c r="AD485" i="123"/>
  <c r="AC485" i="123"/>
  <c r="AA485" i="123"/>
  <c r="Z485" i="123"/>
  <c r="Y485" i="123"/>
  <c r="X485" i="123"/>
  <c r="ME484" i="123"/>
  <c r="MC484" i="123"/>
  <c r="LZ484" i="123"/>
  <c r="LM484" i="123"/>
  <c r="LL484" i="123"/>
  <c r="LI484" i="123"/>
  <c r="KS484" i="123"/>
  <c r="KK484" i="123"/>
  <c r="KG484" i="123"/>
  <c r="JZ484" i="123"/>
  <c r="JY484" i="123"/>
  <c r="JW484" i="123"/>
  <c r="JI484" i="123"/>
  <c r="HH484" i="123"/>
  <c r="GR484" i="123"/>
  <c r="GC484" i="123"/>
  <c r="EB484" i="123"/>
  <c r="CV484" i="123"/>
  <c r="IW482" i="123"/>
  <c r="GT482" i="123"/>
  <c r="ES482" i="123"/>
  <c r="CX482" i="123"/>
  <c r="BC482" i="123"/>
  <c r="NV481" i="123"/>
  <c r="NG481" i="123"/>
  <c r="MS481" i="123"/>
  <c r="MQ481" i="123"/>
  <c r="MO481" i="123"/>
  <c r="MN481" i="123"/>
  <c r="MM481" i="123"/>
  <c r="MJ481" i="123"/>
  <c r="MI481" i="123"/>
  <c r="MC481" i="123"/>
  <c r="MB481" i="123"/>
  <c r="MA481" i="123"/>
  <c r="LZ481" i="123"/>
  <c r="LY481" i="123"/>
  <c r="LX481" i="123"/>
  <c r="LW481" i="123"/>
  <c r="LT481" i="123"/>
  <c r="LR481" i="123"/>
  <c r="LQ481" i="123"/>
  <c r="LL481" i="123"/>
  <c r="LK481" i="123"/>
  <c r="LJ481" i="123"/>
  <c r="LI481" i="123"/>
  <c r="LH481" i="123"/>
  <c r="LF481" i="123"/>
  <c r="LC481" i="123"/>
  <c r="LB481" i="123"/>
  <c r="LA481" i="123"/>
  <c r="KZ481" i="123"/>
  <c r="KU481" i="123"/>
  <c r="KT481" i="123"/>
  <c r="KS481" i="123"/>
  <c r="KP481" i="123"/>
  <c r="KO481" i="123"/>
  <c r="KM481" i="123"/>
  <c r="KL481" i="123"/>
  <c r="KK481" i="123"/>
  <c r="KJ481" i="123"/>
  <c r="KI481" i="123"/>
  <c r="KD481" i="123"/>
  <c r="KA481" i="123"/>
  <c r="JZ481" i="123"/>
  <c r="JY481" i="123"/>
  <c r="JW481" i="123"/>
  <c r="JV481" i="123"/>
  <c r="JU481" i="123"/>
  <c r="JT481" i="123"/>
  <c r="JS481" i="123"/>
  <c r="JR481" i="123"/>
  <c r="JK481" i="123"/>
  <c r="JJ481" i="123"/>
  <c r="JI481" i="123"/>
  <c r="JB481" i="123"/>
  <c r="IP481" i="123"/>
  <c r="IN481" i="123"/>
  <c r="IL481" i="123"/>
  <c r="IK481" i="123"/>
  <c r="IJ481" i="123"/>
  <c r="HN481" i="123"/>
  <c r="HM481" i="123"/>
  <c r="HL481" i="123"/>
  <c r="HJ481" i="123"/>
  <c r="HI481" i="123"/>
  <c r="HH481" i="123"/>
  <c r="HG481" i="123"/>
  <c r="HF481" i="123"/>
  <c r="GO481" i="123"/>
  <c r="GG481" i="123"/>
  <c r="GA481" i="123"/>
  <c r="FZ481" i="123"/>
  <c r="FY481" i="123"/>
  <c r="FX481" i="123"/>
  <c r="FQ481" i="123"/>
  <c r="FP481" i="123"/>
  <c r="FO481" i="123"/>
  <c r="FN481" i="123"/>
  <c r="FM481" i="123"/>
  <c r="FA481" i="123"/>
  <c r="EY481" i="123"/>
  <c r="EW481" i="123"/>
  <c r="EV481" i="123"/>
  <c r="EU481" i="123"/>
  <c r="ET481" i="123"/>
  <c r="EA481" i="123"/>
  <c r="DU481" i="123"/>
  <c r="DS481" i="123"/>
  <c r="DR481" i="123"/>
  <c r="DK481" i="123"/>
  <c r="DJ481" i="123"/>
  <c r="CW481" i="123"/>
  <c r="CL481" i="123"/>
  <c r="CJ481" i="123"/>
  <c r="CH481" i="123"/>
  <c r="CG481" i="123"/>
  <c r="CF481" i="123"/>
  <c r="BO481" i="123"/>
  <c r="BH481" i="123"/>
  <c r="BF481" i="123"/>
  <c r="BD481" i="123"/>
  <c r="BC481" i="123"/>
  <c r="BB481" i="123"/>
  <c r="AJ481" i="123"/>
  <c r="AH481" i="123"/>
  <c r="LK480" i="123"/>
  <c r="LI480" i="123"/>
  <c r="KS480" i="123"/>
  <c r="KP480" i="123"/>
  <c r="KN480" i="123"/>
  <c r="KJ480" i="123"/>
  <c r="KE480" i="123"/>
  <c r="HN480" i="123"/>
  <c r="NY479" i="123"/>
  <c r="NX479" i="123"/>
  <c r="NW479" i="123"/>
  <c r="NV479" i="123"/>
  <c r="NU479" i="123"/>
  <c r="NT479" i="123"/>
  <c r="NS479" i="123"/>
  <c r="NR479" i="123"/>
  <c r="ND479" i="123"/>
  <c r="MH479" i="123"/>
  <c r="MF479" i="123"/>
  <c r="MD479" i="123"/>
  <c r="MC479" i="123"/>
  <c r="LX479" i="123"/>
  <c r="LW479" i="123"/>
  <c r="LP479" i="123"/>
  <c r="LN479" i="123"/>
  <c r="LI479" i="123"/>
  <c r="LH479" i="123"/>
  <c r="LG479" i="123"/>
  <c r="LF479" i="123"/>
  <c r="KY479" i="123"/>
  <c r="KV479" i="123"/>
  <c r="KT479" i="123"/>
  <c r="KS479" i="123"/>
  <c r="KR479" i="123"/>
  <c r="KQ479" i="123"/>
  <c r="KJ479" i="123"/>
  <c r="KH479" i="123"/>
  <c r="KF479" i="123"/>
  <c r="KE479" i="123"/>
  <c r="KD479" i="123"/>
  <c r="KC479" i="123"/>
  <c r="JV479" i="123"/>
  <c r="JT479" i="123"/>
  <c r="JR479" i="123"/>
  <c r="JQ479" i="123"/>
  <c r="JP479" i="123"/>
  <c r="JO479" i="123"/>
  <c r="JM479" i="123"/>
  <c r="JK479" i="123"/>
  <c r="JI479" i="123"/>
  <c r="JE479" i="123"/>
  <c r="JB479" i="123"/>
  <c r="IX479" i="123"/>
  <c r="IW479" i="123"/>
  <c r="IP479" i="123"/>
  <c r="IB479" i="123"/>
  <c r="HO479" i="123"/>
  <c r="HN479" i="123"/>
  <c r="HL479" i="123"/>
  <c r="HJ479" i="123"/>
  <c r="HH479" i="123"/>
  <c r="HG479" i="123"/>
  <c r="HF479" i="123"/>
  <c r="HA479" i="123"/>
  <c r="GJ479" i="123"/>
  <c r="GH479" i="123"/>
  <c r="FZ479" i="123"/>
  <c r="FQ479" i="123"/>
  <c r="FP479" i="123"/>
  <c r="FN479" i="123"/>
  <c r="FI479" i="123"/>
  <c r="EI479" i="123"/>
  <c r="EB479" i="123"/>
  <c r="EA479" i="123"/>
  <c r="DX479" i="123"/>
  <c r="DQ479" i="123"/>
  <c r="DF479" i="123"/>
  <c r="CZ479" i="123"/>
  <c r="CF479" i="123"/>
  <c r="CE479" i="123"/>
  <c r="BJ479" i="123"/>
  <c r="BB479" i="123"/>
  <c r="AO479" i="123"/>
  <c r="NW478" i="123"/>
  <c r="NM478" i="123"/>
  <c r="MU478" i="123"/>
  <c r="JI478" i="123"/>
  <c r="IX478" i="123"/>
  <c r="IE478" i="123"/>
  <c r="HM478" i="123"/>
  <c r="GR478" i="123"/>
  <c r="GB478" i="123"/>
  <c r="FE478" i="123"/>
  <c r="BJ478" i="123"/>
  <c r="AT478" i="123"/>
  <c r="AD478" i="123"/>
  <c r="OC477" i="123"/>
  <c r="OB477" i="123"/>
  <c r="OA477" i="123"/>
  <c r="NZ477" i="123"/>
  <c r="NY477" i="123"/>
  <c r="NX477" i="123"/>
  <c r="NW477" i="123"/>
  <c r="NV477" i="123"/>
  <c r="NT477" i="123"/>
  <c r="NS477" i="123"/>
  <c r="NR477" i="123"/>
  <c r="NP477" i="123"/>
  <c r="NO477" i="123"/>
  <c r="NM477" i="123"/>
  <c r="MY477" i="123"/>
  <c r="MX477" i="123"/>
  <c r="MP477" i="123"/>
  <c r="MN477" i="123"/>
  <c r="MM477" i="123"/>
  <c r="ML477" i="123"/>
  <c r="MK477" i="123"/>
  <c r="MJ477" i="123"/>
  <c r="MI477" i="123"/>
  <c r="MH477" i="123"/>
  <c r="MG477" i="123"/>
  <c r="MF477" i="123"/>
  <c r="ME477" i="123"/>
  <c r="MD477" i="123"/>
  <c r="MC477" i="123"/>
  <c r="LZ477" i="123"/>
  <c r="LY477" i="123"/>
  <c r="LX477" i="123"/>
  <c r="LW477" i="123"/>
  <c r="LV477" i="123"/>
  <c r="LU477" i="123"/>
  <c r="LT477" i="123"/>
  <c r="LS477" i="123"/>
  <c r="LR477" i="123"/>
  <c r="LQ477" i="123"/>
  <c r="LP477" i="123"/>
  <c r="LO477" i="123"/>
  <c r="LN477" i="123"/>
  <c r="LK477" i="123"/>
  <c r="LJ477" i="123"/>
  <c r="LI477" i="123"/>
  <c r="LH477" i="123"/>
  <c r="LG477" i="123"/>
  <c r="LF477" i="123"/>
  <c r="LE477" i="123"/>
  <c r="LD477" i="123"/>
  <c r="LC477" i="123"/>
  <c r="LB477" i="123"/>
  <c r="LA477" i="123"/>
  <c r="KZ477" i="123"/>
  <c r="KX477" i="123"/>
  <c r="KV477" i="123"/>
  <c r="KU477" i="123"/>
  <c r="KT477" i="123"/>
  <c r="KS477" i="123"/>
  <c r="KR477" i="123"/>
  <c r="KQ477" i="123"/>
  <c r="KP477" i="123"/>
  <c r="KO477" i="123"/>
  <c r="KN477" i="123"/>
  <c r="KM477" i="123"/>
  <c r="KL477" i="123"/>
  <c r="KJ477" i="123"/>
  <c r="KI477" i="123"/>
  <c r="KG477" i="123"/>
  <c r="KF477" i="123"/>
  <c r="KE477" i="123"/>
  <c r="KD477" i="123"/>
  <c r="KC477" i="123"/>
  <c r="KB477" i="123"/>
  <c r="KA477" i="123"/>
  <c r="JZ477" i="123"/>
  <c r="JY477" i="123"/>
  <c r="JX477" i="123"/>
  <c r="JV477" i="123"/>
  <c r="JU477" i="123"/>
  <c r="JT477" i="123"/>
  <c r="JR477" i="123"/>
  <c r="JQ477" i="123"/>
  <c r="JP477" i="123"/>
  <c r="JO477" i="123"/>
  <c r="JN477" i="123"/>
  <c r="JM477" i="123"/>
  <c r="JL477" i="123"/>
  <c r="JK477" i="123"/>
  <c r="JJ477" i="123"/>
  <c r="JI477" i="123"/>
  <c r="JB477" i="123"/>
  <c r="IW477" i="123"/>
  <c r="IG477" i="123"/>
  <c r="IA477" i="123"/>
  <c r="HV477" i="123"/>
  <c r="HU477" i="123"/>
  <c r="HR477" i="123"/>
  <c r="HL477" i="123"/>
  <c r="HK477" i="123"/>
  <c r="GW477" i="123"/>
  <c r="GK477" i="123"/>
  <c r="GJ477" i="123"/>
  <c r="GE477" i="123"/>
  <c r="FW477" i="123"/>
  <c r="FP477" i="123"/>
  <c r="FM477" i="123"/>
  <c r="FK477" i="123"/>
  <c r="FI477" i="123"/>
  <c r="DW477" i="123"/>
  <c r="DJ477" i="123"/>
  <c r="CP477" i="123"/>
  <c r="CN477" i="123"/>
  <c r="CH477" i="123"/>
  <c r="BW477" i="123"/>
  <c r="BI477" i="123"/>
  <c r="AR477" i="123"/>
  <c r="AK477" i="123"/>
  <c r="AF477" i="123"/>
  <c r="AC477" i="123"/>
  <c r="AB477" i="123"/>
  <c r="AA477" i="123"/>
  <c r="MO476" i="123"/>
  <c r="ML476" i="123"/>
  <c r="MB476" i="123"/>
  <c r="KK476" i="123"/>
  <c r="KC476" i="123"/>
  <c r="JI476" i="123"/>
  <c r="HN476" i="123"/>
  <c r="FP476" i="123"/>
  <c r="NN475" i="123"/>
  <c r="NM475" i="123"/>
  <c r="NL475" i="123"/>
  <c r="NK475" i="123"/>
  <c r="NJ475" i="123"/>
  <c r="NI475" i="123"/>
  <c r="NH475" i="123"/>
  <c r="NG475" i="123"/>
  <c r="NF475" i="123"/>
  <c r="NE475" i="123"/>
  <c r="ND475" i="123"/>
  <c r="NC475" i="123"/>
  <c r="NA475" i="123"/>
  <c r="MZ475" i="123"/>
  <c r="MY475" i="123"/>
  <c r="MX475" i="123"/>
  <c r="MW475" i="123"/>
  <c r="MV475" i="123"/>
  <c r="MU475" i="123"/>
  <c r="MT475" i="123"/>
  <c r="MS475" i="123"/>
  <c r="MR475" i="123"/>
  <c r="MQ475" i="123"/>
  <c r="MP475" i="123"/>
  <c r="LH475" i="123"/>
  <c r="JG475" i="123"/>
  <c r="JF475" i="123"/>
  <c r="JE475" i="123"/>
  <c r="JD475" i="123"/>
  <c r="JC475" i="123"/>
  <c r="JB475" i="123"/>
  <c r="JA475" i="123"/>
  <c r="IZ475" i="123"/>
  <c r="IY475" i="123"/>
  <c r="IX475" i="123"/>
  <c r="IW475" i="123"/>
  <c r="IV475" i="123"/>
  <c r="IU475" i="123"/>
  <c r="IS475" i="123"/>
  <c r="IR475" i="123"/>
  <c r="IQ475" i="123"/>
  <c r="IP475" i="123"/>
  <c r="IO475" i="123"/>
  <c r="IN475" i="123"/>
  <c r="IM475" i="123"/>
  <c r="IL475" i="123"/>
  <c r="IK475" i="123"/>
  <c r="IJ475" i="123"/>
  <c r="II475" i="123"/>
  <c r="IH475" i="123"/>
  <c r="IG475" i="123"/>
  <c r="IE475" i="123"/>
  <c r="ID475" i="123"/>
  <c r="IC475" i="123"/>
  <c r="IB475" i="123"/>
  <c r="IA475" i="123"/>
  <c r="HZ475" i="123"/>
  <c r="HY475" i="123"/>
  <c r="HX475" i="123"/>
  <c r="HW475" i="123"/>
  <c r="HV475" i="123"/>
  <c r="HU475" i="123"/>
  <c r="HT475" i="123"/>
  <c r="HS475" i="123"/>
  <c r="HQ475" i="123"/>
  <c r="HP475" i="123"/>
  <c r="HO475" i="123"/>
  <c r="HN475" i="123"/>
  <c r="HM475" i="123"/>
  <c r="HL475" i="123"/>
  <c r="HK475" i="123"/>
  <c r="HJ475" i="123"/>
  <c r="HI475" i="123"/>
  <c r="HH475" i="123"/>
  <c r="HG475" i="123"/>
  <c r="HF475" i="123"/>
  <c r="HE475" i="123"/>
  <c r="HC475" i="123"/>
  <c r="HB475" i="123"/>
  <c r="HA475" i="123"/>
  <c r="GZ475" i="123"/>
  <c r="GY475" i="123"/>
  <c r="GX475" i="123"/>
  <c r="GW475" i="123"/>
  <c r="GV475" i="123"/>
  <c r="GU475" i="123"/>
  <c r="GT475" i="123"/>
  <c r="GS475" i="123"/>
  <c r="GR475" i="123"/>
  <c r="GQ475" i="123"/>
  <c r="GO475" i="123"/>
  <c r="GN475" i="123"/>
  <c r="GM475" i="123"/>
  <c r="GL475" i="123"/>
  <c r="GK475" i="123"/>
  <c r="GJ475" i="123"/>
  <c r="GI475" i="123"/>
  <c r="GH475" i="123"/>
  <c r="GG475" i="123"/>
  <c r="GF475" i="123"/>
  <c r="GE475" i="123"/>
  <c r="GD475" i="123"/>
  <c r="GC475" i="123"/>
  <c r="GA475" i="123"/>
  <c r="FZ475" i="123"/>
  <c r="FY475" i="123"/>
  <c r="FX475" i="123"/>
  <c r="FW475" i="123"/>
  <c r="FV475" i="123"/>
  <c r="FU475" i="123"/>
  <c r="FT475" i="123"/>
  <c r="FS475" i="123"/>
  <c r="FR475" i="123"/>
  <c r="FQ475" i="123"/>
  <c r="FP475" i="123"/>
  <c r="FO475" i="123"/>
  <c r="FM475" i="123"/>
  <c r="FL475" i="123"/>
  <c r="FK475" i="123"/>
  <c r="FJ475" i="123"/>
  <c r="FI475" i="123"/>
  <c r="FH475" i="123"/>
  <c r="FG475" i="123"/>
  <c r="FF475" i="123"/>
  <c r="FE475" i="123"/>
  <c r="FD475" i="123"/>
  <c r="FC475" i="123"/>
  <c r="FB475" i="123"/>
  <c r="FA475" i="123"/>
  <c r="EY475" i="123"/>
  <c r="EX475" i="123"/>
  <c r="EW475" i="123"/>
  <c r="EV475" i="123"/>
  <c r="EU475" i="123"/>
  <c r="ET475" i="123"/>
  <c r="ES475" i="123"/>
  <c r="ER475" i="123"/>
  <c r="EQ475" i="123"/>
  <c r="EP475" i="123"/>
  <c r="EO475" i="123"/>
  <c r="EN475" i="123"/>
  <c r="EM475" i="123"/>
  <c r="EK475" i="123"/>
  <c r="EJ475" i="123"/>
  <c r="EI475" i="123"/>
  <c r="EH475" i="123"/>
  <c r="EG475" i="123"/>
  <c r="EF475" i="123"/>
  <c r="EE475" i="123"/>
  <c r="ED475" i="123"/>
  <c r="EC475" i="123"/>
  <c r="EB475" i="123"/>
  <c r="EA475" i="123"/>
  <c r="DZ475" i="123"/>
  <c r="DY475" i="123"/>
  <c r="DW475" i="123"/>
  <c r="DV475" i="123"/>
  <c r="DU475" i="123"/>
  <c r="DT475" i="123"/>
  <c r="DS475" i="123"/>
  <c r="DR475" i="123"/>
  <c r="DQ475" i="123"/>
  <c r="DP475" i="123"/>
  <c r="DO475" i="123"/>
  <c r="DN475" i="123"/>
  <c r="DM475" i="123"/>
  <c r="DL475" i="123"/>
  <c r="DK475" i="123"/>
  <c r="DI475" i="123"/>
  <c r="DH475" i="123"/>
  <c r="DG475" i="123"/>
  <c r="DF475" i="123"/>
  <c r="DE475" i="123"/>
  <c r="DD475" i="123"/>
  <c r="DC475" i="123"/>
  <c r="DB475" i="123"/>
  <c r="DA475" i="123"/>
  <c r="CZ475" i="123"/>
  <c r="CY475" i="123"/>
  <c r="CX475" i="123"/>
  <c r="CW475" i="123"/>
  <c r="CU475" i="123"/>
  <c r="CT475" i="123"/>
  <c r="CS475" i="123"/>
  <c r="CR475" i="123"/>
  <c r="CQ475" i="123"/>
  <c r="CP475" i="123"/>
  <c r="CO475" i="123"/>
  <c r="CN475" i="123"/>
  <c r="CM475" i="123"/>
  <c r="CL475" i="123"/>
  <c r="CK475" i="123"/>
  <c r="CJ475" i="123"/>
  <c r="CI475" i="123"/>
  <c r="CG475" i="123"/>
  <c r="CF475" i="123"/>
  <c r="CE475" i="123"/>
  <c r="CD475" i="123"/>
  <c r="CC475" i="123"/>
  <c r="CB475" i="123"/>
  <c r="CA475" i="123"/>
  <c r="BZ475" i="123"/>
  <c r="BY475" i="123"/>
  <c r="BX475" i="123"/>
  <c r="BW475" i="123"/>
  <c r="BV475" i="123"/>
  <c r="BU475" i="123"/>
  <c r="BS475" i="123"/>
  <c r="BR475" i="123"/>
  <c r="BQ475" i="123"/>
  <c r="BP475" i="123"/>
  <c r="BO475" i="123"/>
  <c r="BN475" i="123"/>
  <c r="BM475" i="123"/>
  <c r="BL475" i="123"/>
  <c r="BK475" i="123"/>
  <c r="BJ475" i="123"/>
  <c r="BI475" i="123"/>
  <c r="BH475" i="123"/>
  <c r="BG475" i="123"/>
  <c r="BE475" i="123"/>
  <c r="BD475" i="123"/>
  <c r="BC475" i="123"/>
  <c r="BB475" i="123"/>
  <c r="BA475" i="123"/>
  <c r="AZ475" i="123"/>
  <c r="AY475" i="123"/>
  <c r="AX475" i="123"/>
  <c r="AW475" i="123"/>
  <c r="AV475" i="123"/>
  <c r="AU475" i="123"/>
  <c r="AT475" i="123"/>
  <c r="AS475" i="123"/>
  <c r="AQ475" i="123"/>
  <c r="AP475" i="123"/>
  <c r="AO475" i="123"/>
  <c r="AN475" i="123"/>
  <c r="AM475" i="123"/>
  <c r="AL475" i="123"/>
  <c r="AK475" i="123"/>
  <c r="AJ475" i="123"/>
  <c r="AI475" i="123"/>
  <c r="AH475" i="123"/>
  <c r="AG475" i="123"/>
  <c r="AF475" i="123"/>
  <c r="AE475" i="123"/>
  <c r="AC475" i="123"/>
  <c r="AB475" i="123"/>
  <c r="AA475" i="123"/>
  <c r="Z475" i="123"/>
  <c r="Y475" i="123"/>
  <c r="X475" i="123"/>
  <c r="OC474" i="123"/>
  <c r="ND474" i="123"/>
  <c r="MC474" i="123"/>
  <c r="LL474" i="123"/>
  <c r="KU474" i="123"/>
  <c r="KC474" i="123"/>
  <c r="JL474" i="123"/>
  <c r="IT474" i="123"/>
  <c r="IC474" i="123"/>
  <c r="HK474" i="123"/>
  <c r="GT474" i="123"/>
  <c r="GC474" i="123"/>
  <c r="FL474" i="123"/>
  <c r="EU474" i="123"/>
  <c r="EC474" i="123"/>
  <c r="DL474" i="123"/>
  <c r="CU474" i="123"/>
  <c r="CD474" i="123"/>
  <c r="BL474" i="123"/>
  <c r="AU474" i="123"/>
  <c r="AD474" i="123"/>
  <c r="OA473" i="123"/>
  <c r="NZ473" i="123"/>
  <c r="NY473" i="123"/>
  <c r="NX473" i="123"/>
  <c r="NO473" i="123"/>
  <c r="ML473" i="123"/>
  <c r="MK473" i="123"/>
  <c r="MH473" i="123"/>
  <c r="MG473" i="123"/>
  <c r="ME473" i="123"/>
  <c r="MD473" i="123"/>
  <c r="MA473" i="123"/>
  <c r="LL473" i="123"/>
  <c r="LH473" i="123"/>
  <c r="LF473" i="123"/>
  <c r="LC473" i="123"/>
  <c r="LB473" i="123"/>
  <c r="KY473" i="123"/>
  <c r="KR473" i="123"/>
  <c r="KQ473" i="123"/>
  <c r="KL473" i="123"/>
  <c r="KD473" i="123"/>
  <c r="JY473" i="123"/>
  <c r="JU473" i="123"/>
  <c r="JO473" i="123"/>
  <c r="JM473" i="123"/>
  <c r="JL473" i="123"/>
  <c r="JJ473" i="123"/>
  <c r="JI473" i="123"/>
  <c r="II473" i="123"/>
  <c r="FQ473" i="123"/>
  <c r="OC472" i="123"/>
  <c r="OB472" i="123"/>
  <c r="OA472" i="123"/>
  <c r="NZ472" i="123"/>
  <c r="NY472" i="123"/>
  <c r="NF472" i="123"/>
  <c r="MV472" i="123"/>
  <c r="MS472" i="123"/>
  <c r="MO472" i="123"/>
  <c r="MN472" i="123"/>
  <c r="MM472" i="123"/>
  <c r="ML472" i="123"/>
  <c r="MJ472" i="123"/>
  <c r="MI472" i="123"/>
  <c r="MH472" i="123"/>
  <c r="MG472" i="123"/>
  <c r="MF472" i="123"/>
  <c r="ME472" i="123"/>
  <c r="MD472" i="123"/>
  <c r="MC472" i="123"/>
  <c r="MB472" i="123"/>
  <c r="MA472" i="123"/>
  <c r="LZ472" i="123"/>
  <c r="LY472" i="123"/>
  <c r="LX472" i="123"/>
  <c r="LV472" i="123"/>
  <c r="LU472" i="123"/>
  <c r="LT472" i="123"/>
  <c r="LS472" i="123"/>
  <c r="LR472" i="123"/>
  <c r="LQ472" i="123"/>
  <c r="LP472" i="123"/>
  <c r="LO472" i="123"/>
  <c r="LN472" i="123"/>
  <c r="LM472" i="123"/>
  <c r="LL472" i="123"/>
  <c r="LK472" i="123"/>
  <c r="LJ472" i="123"/>
  <c r="LH472" i="123"/>
  <c r="LG472" i="123"/>
  <c r="LF472" i="123"/>
  <c r="LE472" i="123"/>
  <c r="LD472" i="123"/>
  <c r="LC472" i="123"/>
  <c r="LB472" i="123"/>
  <c r="LA472" i="123"/>
  <c r="KZ472" i="123"/>
  <c r="KY472" i="123"/>
  <c r="KX472" i="123"/>
  <c r="KW472" i="123"/>
  <c r="KV472" i="123"/>
  <c r="KT472" i="123"/>
  <c r="KS472" i="123"/>
  <c r="KR472" i="123"/>
  <c r="KQ472" i="123"/>
  <c r="KP472" i="123"/>
  <c r="KO472" i="123"/>
  <c r="KN472" i="123"/>
  <c r="KM472" i="123"/>
  <c r="KL472" i="123"/>
  <c r="KK472" i="123"/>
  <c r="KJ472" i="123"/>
  <c r="KI472" i="123"/>
  <c r="KH472" i="123"/>
  <c r="KF472" i="123"/>
  <c r="KE472" i="123"/>
  <c r="KD472" i="123"/>
  <c r="KC472" i="123"/>
  <c r="KB472" i="123"/>
  <c r="KA472" i="123"/>
  <c r="JZ472" i="123"/>
  <c r="JY472" i="123"/>
  <c r="JX472" i="123"/>
  <c r="JW472" i="123"/>
  <c r="JV472" i="123"/>
  <c r="JU472" i="123"/>
  <c r="JT472" i="123"/>
  <c r="JR472" i="123"/>
  <c r="JQ472" i="123"/>
  <c r="JP472" i="123"/>
  <c r="JO472" i="123"/>
  <c r="JN472" i="123"/>
  <c r="JM472" i="123"/>
  <c r="JL472" i="123"/>
  <c r="JK472" i="123"/>
  <c r="JJ472" i="123"/>
  <c r="JI472" i="123"/>
  <c r="HO472" i="123"/>
  <c r="HN472" i="123"/>
  <c r="HM472" i="123"/>
  <c r="HL472" i="123"/>
  <c r="HK472" i="123"/>
  <c r="HJ472" i="123"/>
  <c r="HI472" i="123"/>
  <c r="HH472" i="123"/>
  <c r="HG472" i="123"/>
  <c r="HF472" i="123"/>
  <c r="GW472" i="123"/>
  <c r="GV472" i="123"/>
  <c r="GT472" i="123"/>
  <c r="GR472" i="123"/>
  <c r="GL472" i="123"/>
  <c r="GH472" i="123"/>
  <c r="GG472" i="123"/>
  <c r="FY472" i="123"/>
  <c r="FR472" i="123"/>
  <c r="FQ472" i="123"/>
  <c r="FP472" i="123"/>
  <c r="FO472" i="123"/>
  <c r="FN472" i="123"/>
  <c r="FM472" i="123"/>
  <c r="FL472" i="123"/>
  <c r="FK472" i="123"/>
  <c r="FJ472" i="123"/>
  <c r="FG472" i="123"/>
  <c r="ET472" i="123"/>
  <c r="ER472" i="123"/>
  <c r="EP472" i="123"/>
  <c r="EN472" i="123"/>
  <c r="EJ472" i="123"/>
  <c r="EI472" i="123"/>
  <c r="EE472" i="123"/>
  <c r="EB472" i="123"/>
  <c r="DU472" i="123"/>
  <c r="DP472" i="123"/>
  <c r="DO472" i="123"/>
  <c r="DD472" i="123"/>
  <c r="DC472" i="123"/>
  <c r="DA472" i="123"/>
  <c r="CZ472" i="123"/>
  <c r="CX472" i="123"/>
  <c r="CT472" i="123"/>
  <c r="CR472" i="123"/>
  <c r="CD472" i="123"/>
  <c r="CB472" i="123"/>
  <c r="BZ472" i="123"/>
  <c r="BY472" i="123"/>
  <c r="BX472" i="123"/>
  <c r="BQ472" i="123"/>
  <c r="BM472" i="123"/>
  <c r="BL472" i="123"/>
  <c r="BH472" i="123"/>
  <c r="AZ472" i="123"/>
  <c r="AW472" i="123"/>
  <c r="AO472" i="123"/>
  <c r="AL472" i="123"/>
  <c r="AK472" i="123"/>
  <c r="AJ472" i="123"/>
  <c r="AI472" i="123"/>
  <c r="AH472" i="123"/>
  <c r="Z472" i="123"/>
  <c r="NX471" i="123"/>
  <c r="NW471" i="123"/>
  <c r="NV471" i="123"/>
  <c r="NU471" i="123"/>
  <c r="NT471" i="123"/>
  <c r="NN471" i="123"/>
  <c r="NM471" i="123"/>
  <c r="NL471" i="123"/>
  <c r="NK471" i="123"/>
  <c r="NJ471" i="123"/>
  <c r="NI471" i="123"/>
  <c r="NH471" i="123"/>
  <c r="NG471" i="123"/>
  <c r="NF471" i="123"/>
  <c r="NE471" i="123"/>
  <c r="ND471" i="123"/>
  <c r="NC471" i="123"/>
  <c r="NB471" i="123"/>
  <c r="NA471" i="123"/>
  <c r="MZ471" i="123"/>
  <c r="MY471" i="123"/>
  <c r="MX471" i="123"/>
  <c r="MW471" i="123"/>
  <c r="MV471" i="123"/>
  <c r="MU471" i="123"/>
  <c r="MT471" i="123"/>
  <c r="MS471" i="123"/>
  <c r="MR471" i="123"/>
  <c r="MQ471" i="123"/>
  <c r="MP471" i="123"/>
  <c r="LL471" i="123"/>
  <c r="KC471" i="123"/>
  <c r="JM471" i="123"/>
  <c r="JL471" i="123"/>
  <c r="JK471" i="123"/>
  <c r="JJ471" i="123"/>
  <c r="JI471" i="123"/>
  <c r="JH471" i="123"/>
  <c r="JG471" i="123"/>
  <c r="JF471" i="123"/>
  <c r="JE471" i="123"/>
  <c r="JD471" i="123"/>
  <c r="JC471" i="123"/>
  <c r="JB471" i="123"/>
  <c r="JA471" i="123"/>
  <c r="IZ471" i="123"/>
  <c r="IY471" i="123"/>
  <c r="IX471" i="123"/>
  <c r="IW471" i="123"/>
  <c r="IV471" i="123"/>
  <c r="IU471" i="123"/>
  <c r="IT471" i="123"/>
  <c r="IS471" i="123"/>
  <c r="IR471" i="123"/>
  <c r="IQ471" i="123"/>
  <c r="IP471" i="123"/>
  <c r="IO471" i="123"/>
  <c r="IN471" i="123"/>
  <c r="IM471" i="123"/>
  <c r="IL471" i="123"/>
  <c r="IK471" i="123"/>
  <c r="IJ471" i="123"/>
  <c r="II471" i="123"/>
  <c r="IH471" i="123"/>
  <c r="IG471" i="123"/>
  <c r="IF471" i="123"/>
  <c r="IE471" i="123"/>
  <c r="ID471" i="123"/>
  <c r="IC471" i="123"/>
  <c r="IB471" i="123"/>
  <c r="IA471" i="123"/>
  <c r="HZ471" i="123"/>
  <c r="HY471" i="123"/>
  <c r="HX471" i="123"/>
  <c r="HW471" i="123"/>
  <c r="HV471" i="123"/>
  <c r="HU471" i="123"/>
  <c r="HT471" i="123"/>
  <c r="HS471" i="123"/>
  <c r="HR471" i="123"/>
  <c r="HQ471" i="123"/>
  <c r="HP471" i="123"/>
  <c r="HO471" i="123"/>
  <c r="HN471" i="123"/>
  <c r="HM471" i="123"/>
  <c r="HL471" i="123"/>
  <c r="HK471" i="123"/>
  <c r="HE471" i="123"/>
  <c r="HD471" i="123"/>
  <c r="HC471" i="123"/>
  <c r="HB471" i="123"/>
  <c r="HA471" i="123"/>
  <c r="GZ471" i="123"/>
  <c r="GY471" i="123"/>
  <c r="GX471" i="123"/>
  <c r="GW471" i="123"/>
  <c r="GV471" i="123"/>
  <c r="GU471" i="123"/>
  <c r="GT471" i="123"/>
  <c r="GS471" i="123"/>
  <c r="GR471" i="123"/>
  <c r="GQ471" i="123"/>
  <c r="GP471" i="123"/>
  <c r="GO471" i="123"/>
  <c r="GN471" i="123"/>
  <c r="GM471" i="123"/>
  <c r="GL471" i="123"/>
  <c r="GK471" i="123"/>
  <c r="GJ471" i="123"/>
  <c r="GI471" i="123"/>
  <c r="GH471" i="123"/>
  <c r="GG471" i="123"/>
  <c r="GF471" i="123"/>
  <c r="GE471" i="123"/>
  <c r="GD471" i="123"/>
  <c r="GC471" i="123"/>
  <c r="GB471" i="123"/>
  <c r="GA471" i="123"/>
  <c r="FZ471" i="123"/>
  <c r="FY471" i="123"/>
  <c r="FX471" i="123"/>
  <c r="FW471" i="123"/>
  <c r="FV471" i="123"/>
  <c r="FU471" i="123"/>
  <c r="FT471" i="123"/>
  <c r="FS471" i="123"/>
  <c r="FR471" i="123"/>
  <c r="FQ471" i="123"/>
  <c r="FP471" i="123"/>
  <c r="FO471" i="123"/>
  <c r="FN471" i="123"/>
  <c r="FM471" i="123"/>
  <c r="FK471" i="123"/>
  <c r="FH471" i="123"/>
  <c r="EZ471" i="123"/>
  <c r="EV471" i="123"/>
  <c r="ER471" i="123"/>
  <c r="EP471" i="123"/>
  <c r="EF471" i="123"/>
  <c r="EE471" i="123"/>
  <c r="EB471" i="123"/>
  <c r="DX471" i="123"/>
  <c r="DW471" i="123"/>
  <c r="DV471" i="123"/>
  <c r="DS471" i="123"/>
  <c r="DE471" i="123"/>
  <c r="DD471" i="123"/>
  <c r="DB471" i="123"/>
  <c r="CZ471" i="123"/>
  <c r="CV471" i="123"/>
  <c r="CR471" i="123"/>
  <c r="CO471" i="123"/>
  <c r="CN471" i="123"/>
  <c r="CG471" i="123"/>
  <c r="CB471" i="123"/>
  <c r="BX471" i="123"/>
  <c r="BP471" i="123"/>
  <c r="BN471" i="123"/>
  <c r="BM471" i="123"/>
  <c r="BL471" i="123"/>
  <c r="BK471" i="123"/>
  <c r="BJ471" i="123"/>
  <c r="BI471" i="123"/>
  <c r="BH471" i="123"/>
  <c r="BG471" i="123"/>
  <c r="BF471" i="123"/>
  <c r="BE471" i="123"/>
  <c r="BD471" i="123"/>
  <c r="BC471" i="123"/>
  <c r="BB471" i="123"/>
  <c r="BA471" i="123"/>
  <c r="AZ471" i="123"/>
  <c r="AY471" i="123"/>
  <c r="AX471" i="123"/>
  <c r="AW471" i="123"/>
  <c r="AV471" i="123"/>
  <c r="AU471" i="123"/>
  <c r="AT471" i="123"/>
  <c r="AS471" i="123"/>
  <c r="AR471" i="123"/>
  <c r="AQ471" i="123"/>
  <c r="AP471" i="123"/>
  <c r="AO471" i="123"/>
  <c r="AN471" i="123"/>
  <c r="AM471" i="123"/>
  <c r="AL471" i="123"/>
  <c r="AK471" i="123"/>
  <c r="AJ471" i="123"/>
  <c r="AI471" i="123"/>
  <c r="AH471" i="123"/>
  <c r="AG471" i="123"/>
  <c r="AF471" i="123"/>
  <c r="AE471" i="123"/>
  <c r="AD471" i="123"/>
  <c r="AC471" i="123"/>
  <c r="AB471" i="123"/>
  <c r="AA471" i="123"/>
  <c r="Z471" i="123"/>
  <c r="Y471" i="123"/>
  <c r="X471" i="123"/>
  <c r="FX470" i="123"/>
  <c r="DZ470" i="123"/>
  <c r="BY470" i="123"/>
  <c r="AA470" i="123"/>
  <c r="LU469" i="123"/>
  <c r="LS469" i="123"/>
  <c r="JT469" i="123"/>
  <c r="JS469" i="123"/>
  <c r="JQ469" i="123"/>
  <c r="MS468" i="123"/>
  <c r="MR468" i="123"/>
  <c r="MQ468" i="123"/>
  <c r="MP468" i="123"/>
  <c r="LS468" i="123"/>
  <c r="KD468" i="123"/>
  <c r="JG468" i="123"/>
  <c r="IQ468" i="123"/>
  <c r="GR468" i="123"/>
  <c r="GQ468" i="123"/>
  <c r="GP468" i="123"/>
  <c r="GO468" i="123"/>
  <c r="GN468" i="123"/>
  <c r="GM468" i="123"/>
  <c r="GL468" i="123"/>
  <c r="GK468" i="123"/>
  <c r="FL468" i="123"/>
  <c r="FK468" i="123"/>
  <c r="FJ468" i="123"/>
  <c r="FI468" i="123"/>
  <c r="FH468" i="123"/>
  <c r="FG468" i="123"/>
  <c r="FF468" i="123"/>
  <c r="FE468" i="123"/>
  <c r="EF468" i="123"/>
  <c r="EE468" i="123"/>
  <c r="ED468" i="123"/>
  <c r="EC468" i="123"/>
  <c r="EB468" i="123"/>
  <c r="EA468" i="123"/>
  <c r="DZ468" i="123"/>
  <c r="DY468" i="123"/>
  <c r="CZ468" i="123"/>
  <c r="CY468" i="123"/>
  <c r="CX468" i="123"/>
  <c r="CW468" i="123"/>
  <c r="CV468" i="123"/>
  <c r="CU468" i="123"/>
  <c r="CT468" i="123"/>
  <c r="CS468" i="123"/>
  <c r="BT468" i="123"/>
  <c r="BS468" i="123"/>
  <c r="BR468" i="123"/>
  <c r="BQ468" i="123"/>
  <c r="BP468" i="123"/>
  <c r="BO468" i="123"/>
  <c r="BN468" i="123"/>
  <c r="BM468" i="123"/>
  <c r="AN468" i="123"/>
  <c r="AM468" i="123"/>
  <c r="AL468" i="123"/>
  <c r="AK468" i="123"/>
  <c r="AJ468" i="123"/>
  <c r="AI468" i="123"/>
  <c r="AH468" i="123"/>
  <c r="AG468" i="123"/>
  <c r="OC467" i="123"/>
  <c r="OB467" i="123"/>
  <c r="OA467" i="123"/>
  <c r="NZ467" i="123"/>
  <c r="NY467" i="123"/>
  <c r="NX467" i="123"/>
  <c r="NW467" i="123"/>
  <c r="NV467" i="123"/>
  <c r="NU467" i="123"/>
  <c r="NT467" i="123"/>
  <c r="NS467" i="123"/>
  <c r="NR467" i="123"/>
  <c r="NQ467" i="123"/>
  <c r="NP467" i="123"/>
  <c r="NO467" i="123"/>
  <c r="NN467" i="123"/>
  <c r="NM467" i="123"/>
  <c r="NL467" i="123"/>
  <c r="NK467" i="123"/>
  <c r="NJ467" i="123"/>
  <c r="NI467" i="123"/>
  <c r="NH467" i="123"/>
  <c r="NG467" i="123"/>
  <c r="NF467" i="123"/>
  <c r="NE467" i="123"/>
  <c r="ND467" i="123"/>
  <c r="NC467" i="123"/>
  <c r="NB467" i="123"/>
  <c r="NA467" i="123"/>
  <c r="MZ467" i="123"/>
  <c r="MY467" i="123"/>
  <c r="MX467" i="123"/>
  <c r="MW467" i="123"/>
  <c r="MV467" i="123"/>
  <c r="MU467" i="123"/>
  <c r="MT467" i="123"/>
  <c r="MS467" i="123"/>
  <c r="MR467" i="123"/>
  <c r="MQ467" i="123"/>
  <c r="MP467" i="123"/>
  <c r="MO467" i="123"/>
  <c r="MN467" i="123"/>
  <c r="MM467" i="123"/>
  <c r="ML467" i="123"/>
  <c r="MK467" i="123"/>
  <c r="MJ467" i="123"/>
  <c r="MI467" i="123"/>
  <c r="MH467" i="123"/>
  <c r="MG467" i="123"/>
  <c r="MF467" i="123"/>
  <c r="ME467" i="123"/>
  <c r="MD467" i="123"/>
  <c r="MC467" i="123"/>
  <c r="MB467" i="123"/>
  <c r="MA467" i="123"/>
  <c r="LZ467" i="123"/>
  <c r="LY467" i="123"/>
  <c r="LX467" i="123"/>
  <c r="LW467" i="123"/>
  <c r="LV467" i="123"/>
  <c r="LU467" i="123"/>
  <c r="LT467" i="123"/>
  <c r="LS467" i="123"/>
  <c r="LR467" i="123"/>
  <c r="LQ467" i="123"/>
  <c r="LP467" i="123"/>
  <c r="LO467" i="123"/>
  <c r="LN467" i="123"/>
  <c r="LM467" i="123"/>
  <c r="LL467" i="123"/>
  <c r="LK467" i="123"/>
  <c r="LJ467" i="123"/>
  <c r="LI467" i="123"/>
  <c r="LH467" i="123"/>
  <c r="LG467" i="123"/>
  <c r="LF467" i="123"/>
  <c r="LE467" i="123"/>
  <c r="LD467" i="123"/>
  <c r="LC467" i="123"/>
  <c r="LB467" i="123"/>
  <c r="LA467" i="123"/>
  <c r="KZ467" i="123"/>
  <c r="KY467" i="123"/>
  <c r="KX467" i="123"/>
  <c r="KW467" i="123"/>
  <c r="KV467" i="123"/>
  <c r="KU467" i="123"/>
  <c r="KT467" i="123"/>
  <c r="KS467" i="123"/>
  <c r="KR467" i="123"/>
  <c r="KQ467" i="123"/>
  <c r="KP467" i="123"/>
  <c r="KO467" i="123"/>
  <c r="KN467" i="123"/>
  <c r="KM467" i="123"/>
  <c r="KL467" i="123"/>
  <c r="KK467" i="123"/>
  <c r="KJ467" i="123"/>
  <c r="KI467" i="123"/>
  <c r="KH467" i="123"/>
  <c r="KG467" i="123"/>
  <c r="KF467" i="123"/>
  <c r="KE467" i="123"/>
  <c r="KD467" i="123"/>
  <c r="KC467" i="123"/>
  <c r="KB467" i="123"/>
  <c r="KA467" i="123"/>
  <c r="JZ467" i="123"/>
  <c r="JY467" i="123"/>
  <c r="JX467" i="123"/>
  <c r="JW467" i="123"/>
  <c r="JV467" i="123"/>
  <c r="JU467" i="123"/>
  <c r="JT467" i="123"/>
  <c r="JS467" i="123"/>
  <c r="JR467" i="123"/>
  <c r="JQ467" i="123"/>
  <c r="JP467" i="123"/>
  <c r="JO467" i="123"/>
  <c r="JN467" i="123"/>
  <c r="JM467" i="123"/>
  <c r="JL467" i="123"/>
  <c r="JK467" i="123"/>
  <c r="JJ467" i="123"/>
  <c r="JI467" i="123"/>
  <c r="JH467" i="123"/>
  <c r="JG467" i="123"/>
  <c r="JF467" i="123"/>
  <c r="JE467" i="123"/>
  <c r="JD467" i="123"/>
  <c r="JC467" i="123"/>
  <c r="JB467" i="123"/>
  <c r="JA467" i="123"/>
  <c r="IZ467" i="123"/>
  <c r="IY467" i="123"/>
  <c r="IX467" i="123"/>
  <c r="IW467" i="123"/>
  <c r="IV467" i="123"/>
  <c r="IU467" i="123"/>
  <c r="IT467" i="123"/>
  <c r="IS467" i="123"/>
  <c r="IR467" i="123"/>
  <c r="IQ467" i="123"/>
  <c r="IP467" i="123"/>
  <c r="IO467" i="123"/>
  <c r="IN467" i="123"/>
  <c r="IM467" i="123"/>
  <c r="IL467" i="123"/>
  <c r="IK467" i="123"/>
  <c r="IJ467" i="123"/>
  <c r="II467" i="123"/>
  <c r="IH467" i="123"/>
  <c r="IG467" i="123"/>
  <c r="IF467" i="123"/>
  <c r="IE467" i="123"/>
  <c r="ID467" i="123"/>
  <c r="IC467" i="123"/>
  <c r="IB467" i="123"/>
  <c r="IA467" i="123"/>
  <c r="HZ467" i="123"/>
  <c r="HY467" i="123"/>
  <c r="HX467" i="123"/>
  <c r="HW467" i="123"/>
  <c r="HV467" i="123"/>
  <c r="HU467" i="123"/>
  <c r="HT467" i="123"/>
  <c r="HS467" i="123"/>
  <c r="HR467" i="123"/>
  <c r="HQ467" i="123"/>
  <c r="HP467" i="123"/>
  <c r="HO467" i="123"/>
  <c r="HN467" i="123"/>
  <c r="HM467" i="123"/>
  <c r="HL467" i="123"/>
  <c r="HK467" i="123"/>
  <c r="HJ467" i="123"/>
  <c r="HI467" i="123"/>
  <c r="HH467" i="123"/>
  <c r="HG467" i="123"/>
  <c r="HF467" i="123"/>
  <c r="HE467" i="123"/>
  <c r="HD467" i="123"/>
  <c r="HC467" i="123"/>
  <c r="HB467" i="123"/>
  <c r="HA467" i="123"/>
  <c r="GZ467" i="123"/>
  <c r="GY467" i="123"/>
  <c r="GX467" i="123"/>
  <c r="GW467" i="123"/>
  <c r="GV467" i="123"/>
  <c r="GU467" i="123"/>
  <c r="GT467" i="123"/>
  <c r="GS467" i="123"/>
  <c r="GR467" i="123"/>
  <c r="GQ467" i="123"/>
  <c r="GP467" i="123"/>
  <c r="GO467" i="123"/>
  <c r="GN467" i="123"/>
  <c r="GM467" i="123"/>
  <c r="GL467" i="123"/>
  <c r="GK467" i="123"/>
  <c r="GJ467" i="123"/>
  <c r="GI467" i="123"/>
  <c r="GH467" i="123"/>
  <c r="GG467" i="123"/>
  <c r="GF467" i="123"/>
  <c r="GE467" i="123"/>
  <c r="GD467" i="123"/>
  <c r="GC467" i="123"/>
  <c r="GB467" i="123"/>
  <c r="GA467" i="123"/>
  <c r="FZ467" i="123"/>
  <c r="FY467" i="123"/>
  <c r="FX467" i="123"/>
  <c r="FW467" i="123"/>
  <c r="FV467" i="123"/>
  <c r="FU467" i="123"/>
  <c r="FT467" i="123"/>
  <c r="FS467" i="123"/>
  <c r="FR467" i="123"/>
  <c r="FQ467" i="123"/>
  <c r="FP467" i="123"/>
  <c r="FO467" i="123"/>
  <c r="FN467" i="123"/>
  <c r="FM467" i="123"/>
  <c r="FL467" i="123"/>
  <c r="FK467" i="123"/>
  <c r="FJ467" i="123"/>
  <c r="FI467" i="123"/>
  <c r="FH467" i="123"/>
  <c r="FG467" i="123"/>
  <c r="FF467" i="123"/>
  <c r="FE467" i="123"/>
  <c r="FD467" i="123"/>
  <c r="FC467" i="123"/>
  <c r="FB467" i="123"/>
  <c r="FA467" i="123"/>
  <c r="EZ467" i="123"/>
  <c r="EY467" i="123"/>
  <c r="EX467" i="123"/>
  <c r="EW467" i="123"/>
  <c r="EV467" i="123"/>
  <c r="EU467" i="123"/>
  <c r="ET467" i="123"/>
  <c r="ES467" i="123"/>
  <c r="ER467" i="123"/>
  <c r="EQ467" i="123"/>
  <c r="EP467" i="123"/>
  <c r="EO467" i="123"/>
  <c r="EN467" i="123"/>
  <c r="EM467" i="123"/>
  <c r="EL467" i="123"/>
  <c r="EK467" i="123"/>
  <c r="EJ467" i="123"/>
  <c r="EI467" i="123"/>
  <c r="EH467" i="123"/>
  <c r="EG467" i="123"/>
  <c r="EF467" i="123"/>
  <c r="EE467" i="123"/>
  <c r="ED467" i="123"/>
  <c r="EC467" i="123"/>
  <c r="EB467" i="123"/>
  <c r="EA467" i="123"/>
  <c r="DZ467" i="123"/>
  <c r="DY467" i="123"/>
  <c r="DX467" i="123"/>
  <c r="DW467" i="123"/>
  <c r="DV467" i="123"/>
  <c r="DU467" i="123"/>
  <c r="DT467" i="123"/>
  <c r="DS467" i="123"/>
  <c r="DR467" i="123"/>
  <c r="DQ467" i="123"/>
  <c r="DP467" i="123"/>
  <c r="DO467" i="123"/>
  <c r="DN467" i="123"/>
  <c r="DM467" i="123"/>
  <c r="DL467" i="123"/>
  <c r="DK467" i="123"/>
  <c r="DJ467" i="123"/>
  <c r="DI467" i="123"/>
  <c r="DH467" i="123"/>
  <c r="DG467" i="123"/>
  <c r="DF467" i="123"/>
  <c r="DE467" i="123"/>
  <c r="DD467" i="123"/>
  <c r="DC467" i="123"/>
  <c r="DB467" i="123"/>
  <c r="DA467" i="123"/>
  <c r="CZ467" i="123"/>
  <c r="CY467" i="123"/>
  <c r="CX467" i="123"/>
  <c r="CW467" i="123"/>
  <c r="CV467" i="123"/>
  <c r="CU467" i="123"/>
  <c r="CT467" i="123"/>
  <c r="CS467" i="123"/>
  <c r="CR467" i="123"/>
  <c r="CQ467" i="123"/>
  <c r="CP467" i="123"/>
  <c r="CO467" i="123"/>
  <c r="CN467" i="123"/>
  <c r="CM467" i="123"/>
  <c r="CL467" i="123"/>
  <c r="CK467" i="123"/>
  <c r="CJ467" i="123"/>
  <c r="CI467" i="123"/>
  <c r="CH467" i="123"/>
  <c r="CG467" i="123"/>
  <c r="CF467" i="123"/>
  <c r="CE467" i="123"/>
  <c r="CD467" i="123"/>
  <c r="CC467" i="123"/>
  <c r="CB467" i="123"/>
  <c r="CA467" i="123"/>
  <c r="BZ467" i="123"/>
  <c r="BY467" i="123"/>
  <c r="BX467" i="123"/>
  <c r="BW467" i="123"/>
  <c r="BV467" i="123"/>
  <c r="BU467" i="123"/>
  <c r="BT467" i="123"/>
  <c r="BS467" i="123"/>
  <c r="BR467" i="123"/>
  <c r="BQ467" i="123"/>
  <c r="BP467" i="123"/>
  <c r="BO467" i="123"/>
  <c r="BN467" i="123"/>
  <c r="BM467" i="123"/>
  <c r="BL467" i="123"/>
  <c r="BK467" i="123"/>
  <c r="BJ467" i="123"/>
  <c r="BI467" i="123"/>
  <c r="BH467" i="123"/>
  <c r="BG467" i="123"/>
  <c r="BF467" i="123"/>
  <c r="BE467" i="123"/>
  <c r="BD467" i="123"/>
  <c r="BC467" i="123"/>
  <c r="BB467" i="123"/>
  <c r="BA467" i="123"/>
  <c r="AZ467" i="123"/>
  <c r="AY467" i="123"/>
  <c r="AX467" i="123"/>
  <c r="AW467" i="123"/>
  <c r="AV467" i="123"/>
  <c r="AU467" i="123"/>
  <c r="AT467" i="123"/>
  <c r="AS467" i="123"/>
  <c r="AR467" i="123"/>
  <c r="AQ467" i="123"/>
  <c r="AP467" i="123"/>
  <c r="AO467" i="123"/>
  <c r="AN467" i="123"/>
  <c r="AM467" i="123"/>
  <c r="AL467" i="123"/>
  <c r="AK467" i="123"/>
  <c r="AJ467" i="123"/>
  <c r="AI467" i="123"/>
  <c r="AH467" i="123"/>
  <c r="AG467" i="123"/>
  <c r="AF467" i="123"/>
  <c r="AE467" i="123"/>
  <c r="AD467" i="123"/>
  <c r="AC467" i="123"/>
  <c r="AB467" i="123"/>
  <c r="AA467" i="123"/>
  <c r="Z467" i="123"/>
  <c r="Y467" i="123"/>
  <c r="X467" i="123"/>
  <c r="OC466" i="123"/>
  <c r="NZ466" i="123"/>
  <c r="NV466" i="123"/>
  <c r="NU466" i="123"/>
  <c r="NS466" i="123"/>
  <c r="NR466" i="123"/>
  <c r="MW466" i="123"/>
  <c r="MV466" i="123"/>
  <c r="MJ466" i="123"/>
  <c r="MG466" i="123"/>
  <c r="ME466" i="123"/>
  <c r="MD466" i="123"/>
  <c r="MC466" i="123"/>
  <c r="MB466" i="123"/>
  <c r="LZ466" i="123"/>
  <c r="LY466" i="123"/>
  <c r="LV466" i="123"/>
  <c r="LP466" i="123"/>
  <c r="LO466" i="123"/>
  <c r="LL466" i="123"/>
  <c r="LK466" i="123"/>
  <c r="LJ466" i="123"/>
  <c r="LH466" i="123"/>
  <c r="LG466" i="123"/>
  <c r="LF466" i="123"/>
  <c r="LD466" i="123"/>
  <c r="KW466" i="123"/>
  <c r="KV466" i="123"/>
  <c r="KS466" i="123"/>
  <c r="KR466" i="123"/>
  <c r="KQ466" i="123"/>
  <c r="KP466" i="123"/>
  <c r="KO466" i="123"/>
  <c r="KN466" i="123"/>
  <c r="KI466" i="123"/>
  <c r="KD466" i="123"/>
  <c r="KC466" i="123"/>
  <c r="KA466" i="123"/>
  <c r="JZ466" i="123"/>
  <c r="JY466" i="123"/>
  <c r="JX466" i="123"/>
  <c r="JT466" i="123"/>
  <c r="JR466" i="123"/>
  <c r="JP466" i="123"/>
  <c r="JL466" i="123"/>
  <c r="JK466" i="123"/>
  <c r="JG466" i="123"/>
  <c r="IZ466" i="123"/>
  <c r="HB466" i="123"/>
  <c r="GK466" i="123"/>
  <c r="GI466" i="123"/>
  <c r="EP466" i="123"/>
  <c r="EB466" i="123"/>
  <c r="DW466" i="123"/>
  <c r="BY466" i="123"/>
  <c r="BI466" i="123"/>
  <c r="BF466" i="123"/>
  <c r="L466" i="123"/>
  <c r="M466" i="123" s="1"/>
  <c r="OC465" i="123"/>
  <c r="OB465" i="123"/>
  <c r="OA465" i="123"/>
  <c r="NZ465" i="123"/>
  <c r="NY465" i="123"/>
  <c r="NX465" i="123"/>
  <c r="NW465" i="123"/>
  <c r="NV465" i="123"/>
  <c r="NU465" i="123"/>
  <c r="NT465" i="123"/>
  <c r="NS465" i="123"/>
  <c r="NR465" i="123"/>
  <c r="NQ465" i="123"/>
  <c r="NP465" i="123"/>
  <c r="NO465" i="123"/>
  <c r="NM465" i="123"/>
  <c r="NL465" i="123"/>
  <c r="NJ465" i="123"/>
  <c r="NI465" i="123"/>
  <c r="NH465" i="123"/>
  <c r="NE465" i="123"/>
  <c r="NA465" i="123"/>
  <c r="MZ465" i="123"/>
  <c r="MV465" i="123"/>
  <c r="MU465" i="123"/>
  <c r="MT465" i="123"/>
  <c r="MR465" i="123"/>
  <c r="MQ465" i="123"/>
  <c r="MP465" i="123"/>
  <c r="MO465" i="123"/>
  <c r="MN465" i="123"/>
  <c r="MM465" i="123"/>
  <c r="ML465" i="123"/>
  <c r="MK465" i="123"/>
  <c r="MJ465" i="123"/>
  <c r="MI465" i="123"/>
  <c r="MH465" i="123"/>
  <c r="MG465" i="123"/>
  <c r="MF465" i="123"/>
  <c r="ME465" i="123"/>
  <c r="MD465" i="123"/>
  <c r="MC465" i="123"/>
  <c r="MB465" i="123"/>
  <c r="MA465" i="123"/>
  <c r="LZ465" i="123"/>
  <c r="LY465" i="123"/>
  <c r="LX465" i="123"/>
  <c r="LW465" i="123"/>
  <c r="LV465" i="123"/>
  <c r="LU465" i="123"/>
  <c r="LT465" i="123"/>
  <c r="LS465" i="123"/>
  <c r="LR465" i="123"/>
  <c r="LQ465" i="123"/>
  <c r="LP465" i="123"/>
  <c r="LO465" i="123"/>
  <c r="LN465" i="123"/>
  <c r="LM465" i="123"/>
  <c r="LL465" i="123"/>
  <c r="LK465" i="123"/>
  <c r="LJ465" i="123"/>
  <c r="LI465" i="123"/>
  <c r="LH465" i="123"/>
  <c r="LG465" i="123"/>
  <c r="LF465" i="123"/>
  <c r="LE465" i="123"/>
  <c r="LD465" i="123"/>
  <c r="LC465" i="123"/>
  <c r="LB465" i="123"/>
  <c r="LA465" i="123"/>
  <c r="KZ465" i="123"/>
  <c r="KY465" i="123"/>
  <c r="KX465" i="123"/>
  <c r="KW465" i="123"/>
  <c r="KV465" i="123"/>
  <c r="KU465" i="123"/>
  <c r="KT465" i="123"/>
  <c r="KS465" i="123"/>
  <c r="KR465" i="123"/>
  <c r="KQ465" i="123"/>
  <c r="KP465" i="123"/>
  <c r="KO465" i="123"/>
  <c r="KN465" i="123"/>
  <c r="KM465" i="123"/>
  <c r="KL465" i="123"/>
  <c r="KK465" i="123"/>
  <c r="KJ465" i="123"/>
  <c r="KI465" i="123"/>
  <c r="KH465" i="123"/>
  <c r="KG465" i="123"/>
  <c r="KF465" i="123"/>
  <c r="KE465" i="123"/>
  <c r="KD465" i="123"/>
  <c r="KC465" i="123"/>
  <c r="KB465" i="123"/>
  <c r="KA465" i="123"/>
  <c r="JZ465" i="123"/>
  <c r="JY465" i="123"/>
  <c r="JX465" i="123"/>
  <c r="JW465" i="123"/>
  <c r="JV465" i="123"/>
  <c r="JU465" i="123"/>
  <c r="JT465" i="123"/>
  <c r="JS465" i="123"/>
  <c r="JR465" i="123"/>
  <c r="JQ465" i="123"/>
  <c r="JP465" i="123"/>
  <c r="JO465" i="123"/>
  <c r="JN465" i="123"/>
  <c r="JM465" i="123"/>
  <c r="JL465" i="123"/>
  <c r="JK465" i="123"/>
  <c r="JJ465" i="123"/>
  <c r="JI465" i="123"/>
  <c r="JG465" i="123"/>
  <c r="IZ465" i="123"/>
  <c r="IX465" i="123"/>
  <c r="IW465" i="123"/>
  <c r="IV465" i="123"/>
  <c r="IU465" i="123"/>
  <c r="IT465" i="123"/>
  <c r="IS465" i="123"/>
  <c r="IR465" i="123"/>
  <c r="IQ465" i="123"/>
  <c r="IN465" i="123"/>
  <c r="IG465" i="123"/>
  <c r="IF465" i="123"/>
  <c r="IE465" i="123"/>
  <c r="ID465" i="123"/>
  <c r="IC465" i="123"/>
  <c r="IB465" i="123"/>
  <c r="HZ465" i="123"/>
  <c r="HY465" i="123"/>
  <c r="HX465" i="123"/>
  <c r="HS465" i="123"/>
  <c r="HO465" i="123"/>
  <c r="HN465" i="123"/>
  <c r="HM465" i="123"/>
  <c r="HL465" i="123"/>
  <c r="HK465" i="123"/>
  <c r="HJ465" i="123"/>
  <c r="HI465" i="123"/>
  <c r="HH465" i="123"/>
  <c r="HG465" i="123"/>
  <c r="HF465" i="123"/>
  <c r="HE465" i="123"/>
  <c r="HA465" i="123"/>
  <c r="GZ465" i="123"/>
  <c r="GX465" i="123"/>
  <c r="GW465" i="123"/>
  <c r="GV465" i="123"/>
  <c r="GT465" i="123"/>
  <c r="GS465" i="123"/>
  <c r="GR465" i="123"/>
  <c r="GO465" i="123"/>
  <c r="GM465" i="123"/>
  <c r="GH465" i="123"/>
  <c r="GF465" i="123"/>
  <c r="GE465" i="123"/>
  <c r="GD465" i="123"/>
  <c r="GC465" i="123"/>
  <c r="GB465" i="123"/>
  <c r="FY465" i="123"/>
  <c r="FX465" i="123"/>
  <c r="FV465" i="123"/>
  <c r="FT465" i="123"/>
  <c r="FQ465" i="123"/>
  <c r="FP465" i="123"/>
  <c r="FO465" i="123"/>
  <c r="FN465" i="123"/>
  <c r="FM465" i="123"/>
  <c r="FL465" i="123"/>
  <c r="FH465" i="123"/>
  <c r="FG465" i="123"/>
  <c r="FF465" i="123"/>
  <c r="FD465" i="123"/>
  <c r="FC465" i="123"/>
  <c r="FA465" i="123"/>
  <c r="EW465" i="123"/>
  <c r="EV465" i="123"/>
  <c r="ER465" i="123"/>
  <c r="EP465" i="123"/>
  <c r="EO465" i="123"/>
  <c r="EN465" i="123"/>
  <c r="EM465" i="123"/>
  <c r="EL465" i="123"/>
  <c r="EK465" i="123"/>
  <c r="EI465" i="123"/>
  <c r="EA465" i="123"/>
  <c r="DZ465" i="123"/>
  <c r="DY465" i="123"/>
  <c r="DX465" i="123"/>
  <c r="DW465" i="123"/>
  <c r="DV465" i="123"/>
  <c r="DU465" i="123"/>
  <c r="DT465" i="123"/>
  <c r="DR465" i="123"/>
  <c r="DP465" i="123"/>
  <c r="DI465" i="123"/>
  <c r="DH465" i="123"/>
  <c r="DG465" i="123"/>
  <c r="DF465" i="123"/>
  <c r="DD465" i="123"/>
  <c r="DC465" i="123"/>
  <c r="DB465" i="123"/>
  <c r="CZ465" i="123"/>
  <c r="CY465" i="123"/>
  <c r="CU465" i="123"/>
  <c r="CP465" i="123"/>
  <c r="CO465" i="123"/>
  <c r="CN465" i="123"/>
  <c r="CL465" i="123"/>
  <c r="CK465" i="123"/>
  <c r="CJ465" i="123"/>
  <c r="CI465" i="123"/>
  <c r="CH465" i="123"/>
  <c r="CE465" i="123"/>
  <c r="CB465" i="123"/>
  <c r="BW465" i="123"/>
  <c r="BV465" i="123"/>
  <c r="BU465" i="123"/>
  <c r="BT465" i="123"/>
  <c r="BS465" i="123"/>
  <c r="BR465" i="123"/>
  <c r="BN465" i="123"/>
  <c r="BM465" i="123"/>
  <c r="BL465" i="123"/>
  <c r="BI465" i="123"/>
  <c r="BE465" i="123"/>
  <c r="BD465" i="123"/>
  <c r="BC465" i="123"/>
  <c r="BB465" i="123"/>
  <c r="AX465" i="123"/>
  <c r="AV465" i="123"/>
  <c r="AU465" i="123"/>
  <c r="AT465" i="123"/>
  <c r="AS465" i="123"/>
  <c r="AQ465" i="123"/>
  <c r="AL465" i="123"/>
  <c r="AK465" i="123"/>
  <c r="AG465" i="123"/>
  <c r="AF465" i="123"/>
  <c r="AE465" i="123"/>
  <c r="AD465" i="123"/>
  <c r="AC465" i="123"/>
  <c r="AB465" i="123"/>
  <c r="AA465" i="123"/>
  <c r="X465" i="123"/>
  <c r="L465" i="123"/>
  <c r="M465" i="123" s="1"/>
  <c r="NN464" i="123"/>
  <c r="NM464" i="123"/>
  <c r="NG464" i="123"/>
  <c r="MZ464" i="123"/>
  <c r="MY464" i="123"/>
  <c r="MX464" i="123"/>
  <c r="MW464" i="123"/>
  <c r="MU464" i="123"/>
  <c r="MT464" i="123"/>
  <c r="MS464" i="123"/>
  <c r="MQ464" i="123"/>
  <c r="MP464" i="123"/>
  <c r="LO464" i="123"/>
  <c r="LH464" i="123"/>
  <c r="KX464" i="123"/>
  <c r="JK464" i="123"/>
  <c r="JG464" i="123"/>
  <c r="JF464" i="123"/>
  <c r="JD464" i="123"/>
  <c r="IT464" i="123"/>
  <c r="IR464" i="123"/>
  <c r="IQ464" i="123"/>
  <c r="IP464" i="123"/>
  <c r="IL464" i="123"/>
  <c r="IK464" i="123"/>
  <c r="IG464" i="123"/>
  <c r="IF464" i="123"/>
  <c r="IE464" i="123"/>
  <c r="IB464" i="123"/>
  <c r="HR464" i="123"/>
  <c r="HQ464" i="123"/>
  <c r="HP464" i="123"/>
  <c r="HO464" i="123"/>
  <c r="HN464" i="123"/>
  <c r="HL464" i="123"/>
  <c r="HE464" i="123"/>
  <c r="HA464" i="123"/>
  <c r="GZ464" i="123"/>
  <c r="GY464" i="123"/>
  <c r="GX464" i="123"/>
  <c r="GU464" i="123"/>
  <c r="GT464" i="123"/>
  <c r="GR464" i="123"/>
  <c r="GQ464" i="123"/>
  <c r="GP464" i="123"/>
  <c r="GN464" i="123"/>
  <c r="GJ464" i="123"/>
  <c r="GH464" i="123"/>
  <c r="GG464" i="123"/>
  <c r="GD464" i="123"/>
  <c r="GC464" i="123"/>
  <c r="GB464" i="123"/>
  <c r="GA464" i="123"/>
  <c r="FZ464" i="123"/>
  <c r="FY464" i="123"/>
  <c r="FW464" i="123"/>
  <c r="FR464" i="123"/>
  <c r="FP464" i="123"/>
  <c r="FN464" i="123"/>
  <c r="FM464" i="123"/>
  <c r="FL464" i="123"/>
  <c r="DO464" i="123"/>
  <c r="DG464" i="123"/>
  <c r="CW464" i="123"/>
  <c r="BK464" i="123"/>
  <c r="BJ464" i="123"/>
  <c r="BH464" i="123"/>
  <c r="BG464" i="123"/>
  <c r="BF464" i="123"/>
  <c r="BC464" i="123"/>
  <c r="AX464" i="123"/>
  <c r="AW464" i="123"/>
  <c r="AV464" i="123"/>
  <c r="AT464" i="123"/>
  <c r="AS464" i="123"/>
  <c r="AR464" i="123"/>
  <c r="AQ464" i="123"/>
  <c r="AP464" i="123"/>
  <c r="AN464" i="123"/>
  <c r="AL464" i="123"/>
  <c r="AF464" i="123"/>
  <c r="AE464" i="123"/>
  <c r="AD464" i="123"/>
  <c r="AC464" i="123"/>
  <c r="AB464" i="123"/>
  <c r="AA464" i="123"/>
  <c r="Z464" i="123"/>
  <c r="X464" i="123"/>
  <c r="L459" i="123"/>
  <c r="T457" i="123"/>
  <c r="A455" i="123"/>
  <c r="T455" i="123" s="1"/>
  <c r="J57" i="110"/>
  <c r="J510" i="123" s="1"/>
  <c r="J25" i="110"/>
  <c r="J478" i="123" s="1"/>
  <c r="L478" i="123" s="1"/>
  <c r="M478" i="123" s="1"/>
  <c r="J29" i="110"/>
  <c r="J482" i="123" s="1"/>
  <c r="L482" i="123" s="1"/>
  <c r="M482" i="123" s="1"/>
  <c r="J33" i="110"/>
  <c r="J486" i="123" s="1"/>
  <c r="L486" i="123" s="1"/>
  <c r="M486" i="123" s="1"/>
  <c r="J34" i="110"/>
  <c r="J487" i="123" s="1"/>
  <c r="L487" i="123" s="1"/>
  <c r="J35" i="110"/>
  <c r="J488" i="123" s="1"/>
  <c r="J36" i="110"/>
  <c r="J489" i="123" s="1"/>
  <c r="L489" i="123" s="1"/>
  <c r="M489" i="123" s="1"/>
  <c r="J37" i="110"/>
  <c r="J490" i="123" s="1"/>
  <c r="L490" i="123" s="1"/>
  <c r="M490" i="123" s="1"/>
  <c r="J38" i="110"/>
  <c r="J491" i="123" s="1"/>
  <c r="J39" i="110"/>
  <c r="J492" i="123" s="1"/>
  <c r="J40" i="110"/>
  <c r="J493" i="123" s="1"/>
  <c r="J41" i="110"/>
  <c r="J494" i="123" s="1"/>
  <c r="L494" i="123" s="1"/>
  <c r="J42" i="110"/>
  <c r="J495" i="123" s="1"/>
  <c r="J43" i="110"/>
  <c r="J496" i="123" s="1"/>
  <c r="J44" i="110"/>
  <c r="J497" i="123" s="1"/>
  <c r="J45" i="110"/>
  <c r="J498" i="123" s="1"/>
  <c r="J46" i="110"/>
  <c r="J499" i="123" s="1"/>
  <c r="J47" i="110"/>
  <c r="J500" i="123" s="1"/>
  <c r="J48" i="110"/>
  <c r="J501" i="123" s="1"/>
  <c r="L501" i="123" s="1"/>
  <c r="J49" i="110"/>
  <c r="J502" i="123" s="1"/>
  <c r="J50" i="110"/>
  <c r="J503" i="123" s="1"/>
  <c r="J51" i="110"/>
  <c r="J504" i="123" s="1"/>
  <c r="L504" i="123" s="1"/>
  <c r="M504" i="123" s="1"/>
  <c r="J52" i="110"/>
  <c r="J505" i="123" s="1"/>
  <c r="J53" i="110"/>
  <c r="J506" i="123" s="1"/>
  <c r="J54" i="110"/>
  <c r="L54" i="110" s="1"/>
  <c r="M54" i="110" s="1"/>
  <c r="J55" i="110"/>
  <c r="L55" i="110" s="1"/>
  <c r="M55" i="110" s="1"/>
  <c r="J56" i="110"/>
  <c r="J509" i="123" s="1"/>
  <c r="J21" i="110"/>
  <c r="J474" i="123" s="1"/>
  <c r="F59" i="110"/>
  <c r="B59" i="110"/>
  <c r="V121" i="112" s="1"/>
  <c r="F58" i="110"/>
  <c r="OC55" i="110"/>
  <c r="OB55" i="110"/>
  <c r="OA55" i="110"/>
  <c r="NZ55" i="110"/>
  <c r="NY55" i="110"/>
  <c r="NX55" i="110"/>
  <c r="NW55" i="110"/>
  <c r="NV55" i="110"/>
  <c r="NU55" i="110"/>
  <c r="NT55" i="110"/>
  <c r="NS55" i="110"/>
  <c r="NR55" i="110"/>
  <c r="NQ55" i="110"/>
  <c r="NP55" i="110"/>
  <c r="NO55" i="110"/>
  <c r="NN55" i="110"/>
  <c r="NM55" i="110"/>
  <c r="NL55" i="110"/>
  <c r="NK55" i="110"/>
  <c r="NJ55" i="110"/>
  <c r="NI55" i="110"/>
  <c r="NH55" i="110"/>
  <c r="NG55" i="110"/>
  <c r="NF55" i="110"/>
  <c r="NE55" i="110"/>
  <c r="ND55" i="110"/>
  <c r="NC55" i="110"/>
  <c r="NB55" i="110"/>
  <c r="NA55" i="110"/>
  <c r="MZ55" i="110"/>
  <c r="MY55" i="110"/>
  <c r="MX55" i="110"/>
  <c r="MW55" i="110"/>
  <c r="MV55" i="110"/>
  <c r="MU55" i="110"/>
  <c r="MT55" i="110"/>
  <c r="MS55" i="110"/>
  <c r="MR55" i="110"/>
  <c r="MQ55" i="110"/>
  <c r="MP55" i="110"/>
  <c r="MO55" i="110"/>
  <c r="MN55" i="110"/>
  <c r="MM55" i="110"/>
  <c r="ML55" i="110"/>
  <c r="MK55" i="110"/>
  <c r="MJ55" i="110"/>
  <c r="MI55" i="110"/>
  <c r="MH55" i="110"/>
  <c r="MG55" i="110"/>
  <c r="MF55" i="110"/>
  <c r="ME55" i="110"/>
  <c r="MD55" i="110"/>
  <c r="MC55" i="110"/>
  <c r="MB55" i="110"/>
  <c r="MA55" i="110"/>
  <c r="LZ55" i="110"/>
  <c r="LY55" i="110"/>
  <c r="LX55" i="110"/>
  <c r="LW55" i="110"/>
  <c r="LV55" i="110"/>
  <c r="LU55" i="110"/>
  <c r="LT55" i="110"/>
  <c r="LS55" i="110"/>
  <c r="LR55" i="110"/>
  <c r="LQ55" i="110"/>
  <c r="LP55" i="110"/>
  <c r="LO55" i="110"/>
  <c r="LN55" i="110"/>
  <c r="LM55" i="110"/>
  <c r="LL55" i="110"/>
  <c r="LK55" i="110"/>
  <c r="LJ55" i="110"/>
  <c r="LI55" i="110"/>
  <c r="LH55" i="110"/>
  <c r="LG55" i="110"/>
  <c r="LF55" i="110"/>
  <c r="LE55" i="110"/>
  <c r="LD55" i="110"/>
  <c r="LC55" i="110"/>
  <c r="LB55" i="110"/>
  <c r="LA55" i="110"/>
  <c r="KZ55" i="110"/>
  <c r="KY55" i="110"/>
  <c r="KX55" i="110"/>
  <c r="KW55" i="110"/>
  <c r="KV55" i="110"/>
  <c r="KU55" i="110"/>
  <c r="KT55" i="110"/>
  <c r="KS55" i="110"/>
  <c r="KR55" i="110"/>
  <c r="KQ55" i="110"/>
  <c r="KP55" i="110"/>
  <c r="KO55" i="110"/>
  <c r="KN55" i="110"/>
  <c r="KM55" i="110"/>
  <c r="KL55" i="110"/>
  <c r="KK55" i="110"/>
  <c r="KJ55" i="110"/>
  <c r="KI55" i="110"/>
  <c r="KH55" i="110"/>
  <c r="KG55" i="110"/>
  <c r="KF55" i="110"/>
  <c r="KE55" i="110"/>
  <c r="KD55" i="110"/>
  <c r="KC55" i="110"/>
  <c r="KB55" i="110"/>
  <c r="KA55" i="110"/>
  <c r="JZ55" i="110"/>
  <c r="JY55" i="110"/>
  <c r="JX55" i="110"/>
  <c r="JW55" i="110"/>
  <c r="JV55" i="110"/>
  <c r="JU55" i="110"/>
  <c r="JT55" i="110"/>
  <c r="JS55" i="110"/>
  <c r="JR55" i="110"/>
  <c r="JQ55" i="110"/>
  <c r="JP55" i="110"/>
  <c r="JO55" i="110"/>
  <c r="JN55" i="110"/>
  <c r="JM55" i="110"/>
  <c r="JL55" i="110"/>
  <c r="JK55" i="110"/>
  <c r="JJ55" i="110"/>
  <c r="JI55" i="110"/>
  <c r="JH55" i="110"/>
  <c r="JG55" i="110"/>
  <c r="JF55" i="110"/>
  <c r="JE55" i="110"/>
  <c r="JD55" i="110"/>
  <c r="JC55" i="110"/>
  <c r="JB55" i="110"/>
  <c r="JA55" i="110"/>
  <c r="IZ55" i="110"/>
  <c r="IY55" i="110"/>
  <c r="IX55" i="110"/>
  <c r="IW55" i="110"/>
  <c r="IV55" i="110"/>
  <c r="IU55" i="110"/>
  <c r="IT55" i="110"/>
  <c r="IS55" i="110"/>
  <c r="IR55" i="110"/>
  <c r="IQ55" i="110"/>
  <c r="IP55" i="110"/>
  <c r="IO55" i="110"/>
  <c r="IN55" i="110"/>
  <c r="IM55" i="110"/>
  <c r="IL55" i="110"/>
  <c r="IK55" i="110"/>
  <c r="IJ55" i="110"/>
  <c r="II55" i="110"/>
  <c r="IH55" i="110"/>
  <c r="IG55" i="110"/>
  <c r="IF55" i="110"/>
  <c r="IE55" i="110"/>
  <c r="ID55" i="110"/>
  <c r="IC55" i="110"/>
  <c r="IB55" i="110"/>
  <c r="IA55" i="110"/>
  <c r="HZ55" i="110"/>
  <c r="HY55" i="110"/>
  <c r="HX55" i="110"/>
  <c r="HW55" i="110"/>
  <c r="HV55" i="110"/>
  <c r="HU55" i="110"/>
  <c r="HT55" i="110"/>
  <c r="HS55" i="110"/>
  <c r="HR55" i="110"/>
  <c r="HQ55" i="110"/>
  <c r="HP55" i="110"/>
  <c r="HO55" i="110"/>
  <c r="HN55" i="110"/>
  <c r="HM55" i="110"/>
  <c r="HL55" i="110"/>
  <c r="HK55" i="110"/>
  <c r="HJ55" i="110"/>
  <c r="HI55" i="110"/>
  <c r="HH55" i="110"/>
  <c r="HG55" i="110"/>
  <c r="HF55" i="110"/>
  <c r="HE55" i="110"/>
  <c r="HD55" i="110"/>
  <c r="HC55" i="110"/>
  <c r="HB55" i="110"/>
  <c r="HA55" i="110"/>
  <c r="GZ55" i="110"/>
  <c r="GY55" i="110"/>
  <c r="GX55" i="110"/>
  <c r="GW55" i="110"/>
  <c r="GV55" i="110"/>
  <c r="GU55" i="110"/>
  <c r="GT55" i="110"/>
  <c r="GS55" i="110"/>
  <c r="GR55" i="110"/>
  <c r="GQ55" i="110"/>
  <c r="GP55" i="110"/>
  <c r="GO55" i="110"/>
  <c r="GN55" i="110"/>
  <c r="GM55" i="110"/>
  <c r="GL55" i="110"/>
  <c r="GK55" i="110"/>
  <c r="GJ55" i="110"/>
  <c r="GI55" i="110"/>
  <c r="GH55" i="110"/>
  <c r="GG55" i="110"/>
  <c r="GF55" i="110"/>
  <c r="GE55" i="110"/>
  <c r="GD55" i="110"/>
  <c r="GC55" i="110"/>
  <c r="GB55" i="110"/>
  <c r="GA55" i="110"/>
  <c r="FZ55" i="110"/>
  <c r="FY55" i="110"/>
  <c r="FX55" i="110"/>
  <c r="FW55" i="110"/>
  <c r="FV55" i="110"/>
  <c r="FU55" i="110"/>
  <c r="FT55" i="110"/>
  <c r="FS55" i="110"/>
  <c r="FR55" i="110"/>
  <c r="FQ55" i="110"/>
  <c r="FP55" i="110"/>
  <c r="FO55" i="110"/>
  <c r="FN55" i="110"/>
  <c r="FM55" i="110"/>
  <c r="FL55" i="110"/>
  <c r="FK55" i="110"/>
  <c r="FJ55" i="110"/>
  <c r="FI55" i="110"/>
  <c r="FH55" i="110"/>
  <c r="FG55" i="110"/>
  <c r="FF55" i="110"/>
  <c r="FE55" i="110"/>
  <c r="FD55" i="110"/>
  <c r="FC55" i="110"/>
  <c r="FB55" i="110"/>
  <c r="FA55" i="110"/>
  <c r="EZ55" i="110"/>
  <c r="EY55" i="110"/>
  <c r="EX55" i="110"/>
  <c r="EW55" i="110"/>
  <c r="EV55" i="110"/>
  <c r="EU55" i="110"/>
  <c r="ET55" i="110"/>
  <c r="ES55" i="110"/>
  <c r="ER55" i="110"/>
  <c r="EQ55" i="110"/>
  <c r="EP55" i="110"/>
  <c r="EO55" i="110"/>
  <c r="EN55" i="110"/>
  <c r="EM55" i="110"/>
  <c r="EL55" i="110"/>
  <c r="EK55" i="110"/>
  <c r="EJ55" i="110"/>
  <c r="EI55" i="110"/>
  <c r="EH55" i="110"/>
  <c r="EG55" i="110"/>
  <c r="EF55" i="110"/>
  <c r="EE55" i="110"/>
  <c r="ED55" i="110"/>
  <c r="EC55" i="110"/>
  <c r="EB55" i="110"/>
  <c r="EA55" i="110"/>
  <c r="DZ55" i="110"/>
  <c r="DY55" i="110"/>
  <c r="DX55" i="110"/>
  <c r="DW55" i="110"/>
  <c r="DV55" i="110"/>
  <c r="DU55" i="110"/>
  <c r="DT55" i="110"/>
  <c r="DS55" i="110"/>
  <c r="DR55" i="110"/>
  <c r="DQ55" i="110"/>
  <c r="DP55" i="110"/>
  <c r="DO55" i="110"/>
  <c r="DN55" i="110"/>
  <c r="DM55" i="110"/>
  <c r="DL55" i="110"/>
  <c r="DK55" i="110"/>
  <c r="DJ55" i="110"/>
  <c r="DI55" i="110"/>
  <c r="DH55" i="110"/>
  <c r="DG55" i="110"/>
  <c r="DF55" i="110"/>
  <c r="DE55" i="110"/>
  <c r="DD55" i="110"/>
  <c r="DC55" i="110"/>
  <c r="DB55" i="110"/>
  <c r="DA55" i="110"/>
  <c r="CZ55" i="110"/>
  <c r="CY55" i="110"/>
  <c r="CX55" i="110"/>
  <c r="CW55" i="110"/>
  <c r="CV55" i="110"/>
  <c r="CU55" i="110"/>
  <c r="CT55" i="110"/>
  <c r="CS55" i="110"/>
  <c r="CR55" i="110"/>
  <c r="CQ55" i="110"/>
  <c r="CP55" i="110"/>
  <c r="CO55" i="110"/>
  <c r="CN55" i="110"/>
  <c r="CM55" i="110"/>
  <c r="CL55" i="110"/>
  <c r="CK55" i="110"/>
  <c r="CJ55" i="110"/>
  <c r="CI55" i="110"/>
  <c r="CH55" i="110"/>
  <c r="CG55" i="110"/>
  <c r="CF55" i="110"/>
  <c r="CE55" i="110"/>
  <c r="CD55" i="110"/>
  <c r="CC55" i="110"/>
  <c r="CB55" i="110"/>
  <c r="CA55" i="110"/>
  <c r="BZ55" i="110"/>
  <c r="BY55" i="110"/>
  <c r="BX55" i="110"/>
  <c r="BW55" i="110"/>
  <c r="BV55" i="110"/>
  <c r="BU55" i="110"/>
  <c r="BT55" i="110"/>
  <c r="BS55" i="110"/>
  <c r="BR55" i="110"/>
  <c r="BQ55" i="110"/>
  <c r="BP55" i="110"/>
  <c r="BO55" i="110"/>
  <c r="BN55" i="110"/>
  <c r="BM55" i="110"/>
  <c r="BL55" i="110"/>
  <c r="BK55" i="110"/>
  <c r="BJ55" i="110"/>
  <c r="BI55" i="110"/>
  <c r="BH55" i="110"/>
  <c r="BG55" i="110"/>
  <c r="BF55" i="110"/>
  <c r="BE55" i="110"/>
  <c r="BD55" i="110"/>
  <c r="BC55" i="110"/>
  <c r="BB55" i="110"/>
  <c r="BA55" i="110"/>
  <c r="AZ55" i="110"/>
  <c r="AY55" i="110"/>
  <c r="AX55" i="110"/>
  <c r="AW55" i="110"/>
  <c r="AV55" i="110"/>
  <c r="AU55" i="110"/>
  <c r="AT55" i="110"/>
  <c r="AS55" i="110"/>
  <c r="AR55" i="110"/>
  <c r="AQ55" i="110"/>
  <c r="AP55" i="110"/>
  <c r="AO55" i="110"/>
  <c r="AN55" i="110"/>
  <c r="AM55" i="110"/>
  <c r="AL55" i="110"/>
  <c r="AK55" i="110"/>
  <c r="AJ55" i="110"/>
  <c r="AI55" i="110"/>
  <c r="AH55" i="110"/>
  <c r="AG55" i="110"/>
  <c r="AF55" i="110"/>
  <c r="AE55" i="110"/>
  <c r="AD55" i="110"/>
  <c r="AC55" i="110"/>
  <c r="AB55" i="110"/>
  <c r="AA55" i="110"/>
  <c r="Z55" i="110"/>
  <c r="Y55" i="110"/>
  <c r="X55" i="110"/>
  <c r="A55" i="110"/>
  <c r="OC54" i="110"/>
  <c r="OB54" i="110"/>
  <c r="OA54" i="110"/>
  <c r="NZ54" i="110"/>
  <c r="NY54" i="110"/>
  <c r="NX54" i="110"/>
  <c r="NW54" i="110"/>
  <c r="NV54" i="110"/>
  <c r="NU54" i="110"/>
  <c r="NT54" i="110"/>
  <c r="NS54" i="110"/>
  <c r="NR54" i="110"/>
  <c r="NQ54" i="110"/>
  <c r="NP54" i="110"/>
  <c r="NO54" i="110"/>
  <c r="NN54" i="110"/>
  <c r="NM54" i="110"/>
  <c r="NL54" i="110"/>
  <c r="NK54" i="110"/>
  <c r="NJ54" i="110"/>
  <c r="NI54" i="110"/>
  <c r="NH54" i="110"/>
  <c r="NG54" i="110"/>
  <c r="NF54" i="110"/>
  <c r="NE54" i="110"/>
  <c r="ND54" i="110"/>
  <c r="NC54" i="110"/>
  <c r="NB54" i="110"/>
  <c r="NA54" i="110"/>
  <c r="MZ54" i="110"/>
  <c r="MY54" i="110"/>
  <c r="MX54" i="110"/>
  <c r="MW54" i="110"/>
  <c r="MV54" i="110"/>
  <c r="MU54" i="110"/>
  <c r="MT54" i="110"/>
  <c r="MS54" i="110"/>
  <c r="MR54" i="110"/>
  <c r="MQ54" i="110"/>
  <c r="MP54" i="110"/>
  <c r="MO54" i="110"/>
  <c r="MN54" i="110"/>
  <c r="MM54" i="110"/>
  <c r="ML54" i="110"/>
  <c r="MK54" i="110"/>
  <c r="MJ54" i="110"/>
  <c r="MI54" i="110"/>
  <c r="MH54" i="110"/>
  <c r="MG54" i="110"/>
  <c r="MF54" i="110"/>
  <c r="ME54" i="110"/>
  <c r="MD54" i="110"/>
  <c r="MC54" i="110"/>
  <c r="MB54" i="110"/>
  <c r="MA54" i="110"/>
  <c r="LZ54" i="110"/>
  <c r="LY54" i="110"/>
  <c r="LX54" i="110"/>
  <c r="LW54" i="110"/>
  <c r="LV54" i="110"/>
  <c r="LU54" i="110"/>
  <c r="LT54" i="110"/>
  <c r="LS54" i="110"/>
  <c r="LR54" i="110"/>
  <c r="LQ54" i="110"/>
  <c r="LP54" i="110"/>
  <c r="LO54" i="110"/>
  <c r="LN54" i="110"/>
  <c r="LM54" i="110"/>
  <c r="LL54" i="110"/>
  <c r="LK54" i="110"/>
  <c r="LJ54" i="110"/>
  <c r="LI54" i="110"/>
  <c r="LH54" i="110"/>
  <c r="LG54" i="110"/>
  <c r="LF54" i="110"/>
  <c r="LE54" i="110"/>
  <c r="LD54" i="110"/>
  <c r="LC54" i="110"/>
  <c r="LB54" i="110"/>
  <c r="LA54" i="110"/>
  <c r="KZ54" i="110"/>
  <c r="KY54" i="110"/>
  <c r="KX54" i="110"/>
  <c r="KW54" i="110"/>
  <c r="KV54" i="110"/>
  <c r="KU54" i="110"/>
  <c r="KT54" i="110"/>
  <c r="KS54" i="110"/>
  <c r="KR54" i="110"/>
  <c r="KQ54" i="110"/>
  <c r="KP54" i="110"/>
  <c r="KO54" i="110"/>
  <c r="KN54" i="110"/>
  <c r="KM54" i="110"/>
  <c r="KL54" i="110"/>
  <c r="KK54" i="110"/>
  <c r="KJ54" i="110"/>
  <c r="KI54" i="110"/>
  <c r="KH54" i="110"/>
  <c r="KG54" i="110"/>
  <c r="KF54" i="110"/>
  <c r="KE54" i="110"/>
  <c r="KD54" i="110"/>
  <c r="KC54" i="110"/>
  <c r="KB54" i="110"/>
  <c r="KA54" i="110"/>
  <c r="JZ54" i="110"/>
  <c r="JY54" i="110"/>
  <c r="JX54" i="110"/>
  <c r="JW54" i="110"/>
  <c r="JV54" i="110"/>
  <c r="JU54" i="110"/>
  <c r="JT54" i="110"/>
  <c r="JS54" i="110"/>
  <c r="JR54" i="110"/>
  <c r="JQ54" i="110"/>
  <c r="JP54" i="110"/>
  <c r="JO54" i="110"/>
  <c r="JN54" i="110"/>
  <c r="JM54" i="110"/>
  <c r="JL54" i="110"/>
  <c r="JK54" i="110"/>
  <c r="JJ54" i="110"/>
  <c r="JI54" i="110"/>
  <c r="JH54" i="110"/>
  <c r="JG54" i="110"/>
  <c r="JF54" i="110"/>
  <c r="JE54" i="110"/>
  <c r="JD54" i="110"/>
  <c r="JC54" i="110"/>
  <c r="JB54" i="110"/>
  <c r="JA54" i="110"/>
  <c r="IZ54" i="110"/>
  <c r="IY54" i="110"/>
  <c r="IX54" i="110"/>
  <c r="IW54" i="110"/>
  <c r="IV54" i="110"/>
  <c r="IU54" i="110"/>
  <c r="IT54" i="110"/>
  <c r="IS54" i="110"/>
  <c r="IR54" i="110"/>
  <c r="IQ54" i="110"/>
  <c r="IP54" i="110"/>
  <c r="IO54" i="110"/>
  <c r="IN54" i="110"/>
  <c r="IM54" i="110"/>
  <c r="IL54" i="110"/>
  <c r="IK54" i="110"/>
  <c r="IJ54" i="110"/>
  <c r="II54" i="110"/>
  <c r="IH54" i="110"/>
  <c r="IG54" i="110"/>
  <c r="IF54" i="110"/>
  <c r="IE54" i="110"/>
  <c r="ID54" i="110"/>
  <c r="IC54" i="110"/>
  <c r="IB54" i="110"/>
  <c r="IA54" i="110"/>
  <c r="HZ54" i="110"/>
  <c r="HY54" i="110"/>
  <c r="HX54" i="110"/>
  <c r="HW54" i="110"/>
  <c r="HV54" i="110"/>
  <c r="HU54" i="110"/>
  <c r="HT54" i="110"/>
  <c r="HS54" i="110"/>
  <c r="HR54" i="110"/>
  <c r="HQ54" i="110"/>
  <c r="HP54" i="110"/>
  <c r="HO54" i="110"/>
  <c r="HN54" i="110"/>
  <c r="HM54" i="110"/>
  <c r="HL54" i="110"/>
  <c r="HK54" i="110"/>
  <c r="HJ54" i="110"/>
  <c r="HI54" i="110"/>
  <c r="HH54" i="110"/>
  <c r="HG54" i="110"/>
  <c r="HF54" i="110"/>
  <c r="HE54" i="110"/>
  <c r="HD54" i="110"/>
  <c r="HC54" i="110"/>
  <c r="HB54" i="110"/>
  <c r="HA54" i="110"/>
  <c r="GZ54" i="110"/>
  <c r="GY54" i="110"/>
  <c r="GX54" i="110"/>
  <c r="GW54" i="110"/>
  <c r="GV54" i="110"/>
  <c r="GU54" i="110"/>
  <c r="GT54" i="110"/>
  <c r="GS54" i="110"/>
  <c r="GR54" i="110"/>
  <c r="GQ54" i="110"/>
  <c r="GP54" i="110"/>
  <c r="GO54" i="110"/>
  <c r="GN54" i="110"/>
  <c r="GM54" i="110"/>
  <c r="GL54" i="110"/>
  <c r="GK54" i="110"/>
  <c r="GJ54" i="110"/>
  <c r="GI54" i="110"/>
  <c r="GH54" i="110"/>
  <c r="GG54" i="110"/>
  <c r="GF54" i="110"/>
  <c r="GE54" i="110"/>
  <c r="GD54" i="110"/>
  <c r="GC54" i="110"/>
  <c r="GB54" i="110"/>
  <c r="GA54" i="110"/>
  <c r="FZ54" i="110"/>
  <c r="FY54" i="110"/>
  <c r="FX54" i="110"/>
  <c r="FW54" i="110"/>
  <c r="FV54" i="110"/>
  <c r="FU54" i="110"/>
  <c r="FT54" i="110"/>
  <c r="FS54" i="110"/>
  <c r="FR54" i="110"/>
  <c r="FQ54" i="110"/>
  <c r="FP54" i="110"/>
  <c r="FO54" i="110"/>
  <c r="FN54" i="110"/>
  <c r="FM54" i="110"/>
  <c r="FL54" i="110"/>
  <c r="FK54" i="110"/>
  <c r="FJ54" i="110"/>
  <c r="FI54" i="110"/>
  <c r="FH54" i="110"/>
  <c r="FG54" i="110"/>
  <c r="FF54" i="110"/>
  <c r="FE54" i="110"/>
  <c r="FD54" i="110"/>
  <c r="FC54" i="110"/>
  <c r="FB54" i="110"/>
  <c r="FA54" i="110"/>
  <c r="EZ54" i="110"/>
  <c r="EY54" i="110"/>
  <c r="EX54" i="110"/>
  <c r="EW54" i="110"/>
  <c r="EV54" i="110"/>
  <c r="EU54" i="110"/>
  <c r="ET54" i="110"/>
  <c r="ES54" i="110"/>
  <c r="ER54" i="110"/>
  <c r="EQ54" i="110"/>
  <c r="EP54" i="110"/>
  <c r="EO54" i="110"/>
  <c r="EN54" i="110"/>
  <c r="EM54" i="110"/>
  <c r="EL54" i="110"/>
  <c r="EK54" i="110"/>
  <c r="EJ54" i="110"/>
  <c r="EI54" i="110"/>
  <c r="EH54" i="110"/>
  <c r="EG54" i="110"/>
  <c r="EF54" i="110"/>
  <c r="EE54" i="110"/>
  <c r="ED54" i="110"/>
  <c r="EC54" i="110"/>
  <c r="EB54" i="110"/>
  <c r="EA54" i="110"/>
  <c r="DZ54" i="110"/>
  <c r="DY54" i="110"/>
  <c r="DX54" i="110"/>
  <c r="DW54" i="110"/>
  <c r="DV54" i="110"/>
  <c r="DU54" i="110"/>
  <c r="DT54" i="110"/>
  <c r="DS54" i="110"/>
  <c r="DR54" i="110"/>
  <c r="DQ54" i="110"/>
  <c r="DP54" i="110"/>
  <c r="DO54" i="110"/>
  <c r="DN54" i="110"/>
  <c r="DM54" i="110"/>
  <c r="DL54" i="110"/>
  <c r="DK54" i="110"/>
  <c r="DJ54" i="110"/>
  <c r="DI54" i="110"/>
  <c r="DH54" i="110"/>
  <c r="DG54" i="110"/>
  <c r="DF54" i="110"/>
  <c r="DE54" i="110"/>
  <c r="DD54" i="110"/>
  <c r="DC54" i="110"/>
  <c r="DB54" i="110"/>
  <c r="DA54" i="110"/>
  <c r="CZ54" i="110"/>
  <c r="CY54" i="110"/>
  <c r="CX54" i="110"/>
  <c r="CW54" i="110"/>
  <c r="CV54" i="110"/>
  <c r="CU54" i="110"/>
  <c r="CT54" i="110"/>
  <c r="CS54" i="110"/>
  <c r="CR54" i="110"/>
  <c r="CQ54" i="110"/>
  <c r="CP54" i="110"/>
  <c r="CO54" i="110"/>
  <c r="CN54" i="110"/>
  <c r="CM54" i="110"/>
  <c r="CL54" i="110"/>
  <c r="CK54" i="110"/>
  <c r="CJ54" i="110"/>
  <c r="CI54" i="110"/>
  <c r="CH54" i="110"/>
  <c r="CG54" i="110"/>
  <c r="CF54" i="110"/>
  <c r="CE54" i="110"/>
  <c r="CD54" i="110"/>
  <c r="CC54" i="110"/>
  <c r="CB54" i="110"/>
  <c r="CA54" i="110"/>
  <c r="BZ54" i="110"/>
  <c r="BY54" i="110"/>
  <c r="BX54" i="110"/>
  <c r="BW54" i="110"/>
  <c r="BV54" i="110"/>
  <c r="BU54" i="110"/>
  <c r="BT54" i="110"/>
  <c r="BS54" i="110"/>
  <c r="BR54" i="110"/>
  <c r="BQ54" i="110"/>
  <c r="BP54" i="110"/>
  <c r="BO54" i="110"/>
  <c r="BN54" i="110"/>
  <c r="BM54" i="110"/>
  <c r="BL54" i="110"/>
  <c r="BK54" i="110"/>
  <c r="BJ54" i="110"/>
  <c r="BI54" i="110"/>
  <c r="BH54" i="110"/>
  <c r="BG54" i="110"/>
  <c r="BF54" i="110"/>
  <c r="BE54" i="110"/>
  <c r="BD54" i="110"/>
  <c r="BC54" i="110"/>
  <c r="BB54" i="110"/>
  <c r="BA54" i="110"/>
  <c r="AZ54" i="110"/>
  <c r="AY54" i="110"/>
  <c r="AX54" i="110"/>
  <c r="AW54" i="110"/>
  <c r="AV54" i="110"/>
  <c r="AU54" i="110"/>
  <c r="AT54" i="110"/>
  <c r="AS54" i="110"/>
  <c r="AR54" i="110"/>
  <c r="AQ54" i="110"/>
  <c r="AP54" i="110"/>
  <c r="AO54" i="110"/>
  <c r="AN54" i="110"/>
  <c r="AM54" i="110"/>
  <c r="AL54" i="110"/>
  <c r="AK54" i="110"/>
  <c r="AJ54" i="110"/>
  <c r="AI54" i="110"/>
  <c r="AH54" i="110"/>
  <c r="AG54" i="110"/>
  <c r="AF54" i="110"/>
  <c r="AE54" i="110"/>
  <c r="AD54" i="110"/>
  <c r="AC54" i="110"/>
  <c r="AB54" i="110"/>
  <c r="AA54" i="110"/>
  <c r="Z54" i="110"/>
  <c r="Y54" i="110"/>
  <c r="X54" i="110"/>
  <c r="A54" i="110"/>
  <c r="OC56" i="110"/>
  <c r="OB56" i="110"/>
  <c r="OA56" i="110"/>
  <c r="NZ56" i="110"/>
  <c r="NY56" i="110"/>
  <c r="NX56" i="110"/>
  <c r="NW56" i="110"/>
  <c r="NV56" i="110"/>
  <c r="NU56" i="110"/>
  <c r="NT56" i="110"/>
  <c r="NS56" i="110"/>
  <c r="NR56" i="110"/>
  <c r="NQ56" i="110"/>
  <c r="NP56" i="110"/>
  <c r="NO56" i="110"/>
  <c r="NN56" i="110"/>
  <c r="NM56" i="110"/>
  <c r="NL56" i="110"/>
  <c r="NK56" i="110"/>
  <c r="NJ56" i="110"/>
  <c r="NI56" i="110"/>
  <c r="NH56" i="110"/>
  <c r="NG56" i="110"/>
  <c r="NF56" i="110"/>
  <c r="NE56" i="110"/>
  <c r="ND56" i="110"/>
  <c r="NC56" i="110"/>
  <c r="NB56" i="110"/>
  <c r="NA56" i="110"/>
  <c r="MZ56" i="110"/>
  <c r="MY56" i="110"/>
  <c r="MX56" i="110"/>
  <c r="MW56" i="110"/>
  <c r="MV56" i="110"/>
  <c r="MU56" i="110"/>
  <c r="MT56" i="110"/>
  <c r="MS56" i="110"/>
  <c r="MR56" i="110"/>
  <c r="MQ56" i="110"/>
  <c r="MP56" i="110"/>
  <c r="MO56" i="110"/>
  <c r="MN56" i="110"/>
  <c r="MM56" i="110"/>
  <c r="ML56" i="110"/>
  <c r="MK56" i="110"/>
  <c r="MJ56" i="110"/>
  <c r="MI56" i="110"/>
  <c r="MH56" i="110"/>
  <c r="MG56" i="110"/>
  <c r="MF56" i="110"/>
  <c r="ME56" i="110"/>
  <c r="MD56" i="110"/>
  <c r="MC56" i="110"/>
  <c r="MB56" i="110"/>
  <c r="MA56" i="110"/>
  <c r="LZ56" i="110"/>
  <c r="LY56" i="110"/>
  <c r="LX56" i="110"/>
  <c r="LW56" i="110"/>
  <c r="LV56" i="110"/>
  <c r="LU56" i="110"/>
  <c r="LT56" i="110"/>
  <c r="LS56" i="110"/>
  <c r="LR56" i="110"/>
  <c r="LQ56" i="110"/>
  <c r="LP56" i="110"/>
  <c r="LO56" i="110"/>
  <c r="LN56" i="110"/>
  <c r="LM56" i="110"/>
  <c r="LL56" i="110"/>
  <c r="LK56" i="110"/>
  <c r="LJ56" i="110"/>
  <c r="LI56" i="110"/>
  <c r="LH56" i="110"/>
  <c r="LG56" i="110"/>
  <c r="LF56" i="110"/>
  <c r="LE56" i="110"/>
  <c r="LD56" i="110"/>
  <c r="LC56" i="110"/>
  <c r="LB56" i="110"/>
  <c r="LA56" i="110"/>
  <c r="KZ56" i="110"/>
  <c r="KY56" i="110"/>
  <c r="KX56" i="110"/>
  <c r="KW56" i="110"/>
  <c r="KV56" i="110"/>
  <c r="KU56" i="110"/>
  <c r="KT56" i="110"/>
  <c r="KS56" i="110"/>
  <c r="KR56" i="110"/>
  <c r="KQ56" i="110"/>
  <c r="KP56" i="110"/>
  <c r="KO56" i="110"/>
  <c r="KN56" i="110"/>
  <c r="KM56" i="110"/>
  <c r="KL56" i="110"/>
  <c r="KK56" i="110"/>
  <c r="KJ56" i="110"/>
  <c r="KI56" i="110"/>
  <c r="KH56" i="110"/>
  <c r="KG56" i="110"/>
  <c r="KF56" i="110"/>
  <c r="KE56" i="110"/>
  <c r="KD56" i="110"/>
  <c r="KC56" i="110"/>
  <c r="KB56" i="110"/>
  <c r="KA56" i="110"/>
  <c r="JZ56" i="110"/>
  <c r="JY56" i="110"/>
  <c r="JX56" i="110"/>
  <c r="JW56" i="110"/>
  <c r="JV56" i="110"/>
  <c r="JU56" i="110"/>
  <c r="JT56" i="110"/>
  <c r="JS56" i="110"/>
  <c r="JR56" i="110"/>
  <c r="JQ56" i="110"/>
  <c r="JP56" i="110"/>
  <c r="JO56" i="110"/>
  <c r="JN56" i="110"/>
  <c r="JM56" i="110"/>
  <c r="JL56" i="110"/>
  <c r="JK56" i="110"/>
  <c r="JJ56" i="110"/>
  <c r="JI56" i="110"/>
  <c r="JH56" i="110"/>
  <c r="JG56" i="110"/>
  <c r="JF56" i="110"/>
  <c r="JE56" i="110"/>
  <c r="JD56" i="110"/>
  <c r="JC56" i="110"/>
  <c r="JB56" i="110"/>
  <c r="JA56" i="110"/>
  <c r="IZ56" i="110"/>
  <c r="IY56" i="110"/>
  <c r="IX56" i="110"/>
  <c r="IW56" i="110"/>
  <c r="IV56" i="110"/>
  <c r="IU56" i="110"/>
  <c r="IT56" i="110"/>
  <c r="IS56" i="110"/>
  <c r="IR56" i="110"/>
  <c r="IQ56" i="110"/>
  <c r="IP56" i="110"/>
  <c r="IO56" i="110"/>
  <c r="IN56" i="110"/>
  <c r="IM56" i="110"/>
  <c r="IL56" i="110"/>
  <c r="IK56" i="110"/>
  <c r="IJ56" i="110"/>
  <c r="II56" i="110"/>
  <c r="IH56" i="110"/>
  <c r="IG56" i="110"/>
  <c r="IF56" i="110"/>
  <c r="IE56" i="110"/>
  <c r="ID56" i="110"/>
  <c r="IC56" i="110"/>
  <c r="IB56" i="110"/>
  <c r="IA56" i="110"/>
  <c r="HZ56" i="110"/>
  <c r="HY56" i="110"/>
  <c r="HX56" i="110"/>
  <c r="HW56" i="110"/>
  <c r="HV56" i="110"/>
  <c r="HU56" i="110"/>
  <c r="HT56" i="110"/>
  <c r="HS56" i="110"/>
  <c r="HR56" i="110"/>
  <c r="HQ56" i="110"/>
  <c r="HP56" i="110"/>
  <c r="HO56" i="110"/>
  <c r="HN56" i="110"/>
  <c r="HM56" i="110"/>
  <c r="HL56" i="110"/>
  <c r="HK56" i="110"/>
  <c r="HJ56" i="110"/>
  <c r="HI56" i="110"/>
  <c r="HH56" i="110"/>
  <c r="HG56" i="110"/>
  <c r="HF56" i="110"/>
  <c r="HE56" i="110"/>
  <c r="HD56" i="110"/>
  <c r="HC56" i="110"/>
  <c r="HB56" i="110"/>
  <c r="HA56" i="110"/>
  <c r="GZ56" i="110"/>
  <c r="GY56" i="110"/>
  <c r="GX56" i="110"/>
  <c r="GW56" i="110"/>
  <c r="GV56" i="110"/>
  <c r="GU56" i="110"/>
  <c r="GT56" i="110"/>
  <c r="GS56" i="110"/>
  <c r="GR56" i="110"/>
  <c r="GQ56" i="110"/>
  <c r="GP56" i="110"/>
  <c r="GO56" i="110"/>
  <c r="GN56" i="110"/>
  <c r="GM56" i="110"/>
  <c r="GL56" i="110"/>
  <c r="GK56" i="110"/>
  <c r="GJ56" i="110"/>
  <c r="GI56" i="110"/>
  <c r="GH56" i="110"/>
  <c r="GG56" i="110"/>
  <c r="GF56" i="110"/>
  <c r="GE56" i="110"/>
  <c r="GD56" i="110"/>
  <c r="GC56" i="110"/>
  <c r="GB56" i="110"/>
  <c r="GA56" i="110"/>
  <c r="FZ56" i="110"/>
  <c r="FY56" i="110"/>
  <c r="FX56" i="110"/>
  <c r="FW56" i="110"/>
  <c r="FV56" i="110"/>
  <c r="FU56" i="110"/>
  <c r="FT56" i="110"/>
  <c r="FS56" i="110"/>
  <c r="FR56" i="110"/>
  <c r="FQ56" i="110"/>
  <c r="FP56" i="110"/>
  <c r="FO56" i="110"/>
  <c r="FN56" i="110"/>
  <c r="FM56" i="110"/>
  <c r="FL56" i="110"/>
  <c r="FK56" i="110"/>
  <c r="FJ56" i="110"/>
  <c r="FI56" i="110"/>
  <c r="FH56" i="110"/>
  <c r="FG56" i="110"/>
  <c r="FF56" i="110"/>
  <c r="FE56" i="110"/>
  <c r="FD56" i="110"/>
  <c r="FC56" i="110"/>
  <c r="FB56" i="110"/>
  <c r="FA56" i="110"/>
  <c r="EZ56" i="110"/>
  <c r="EY56" i="110"/>
  <c r="EX56" i="110"/>
  <c r="EW56" i="110"/>
  <c r="EV56" i="110"/>
  <c r="EU56" i="110"/>
  <c r="ET56" i="110"/>
  <c r="ES56" i="110"/>
  <c r="ER56" i="110"/>
  <c r="EQ56" i="110"/>
  <c r="EP56" i="110"/>
  <c r="EO56" i="110"/>
  <c r="EN56" i="110"/>
  <c r="EM56" i="110"/>
  <c r="EL56" i="110"/>
  <c r="EK56" i="110"/>
  <c r="EJ56" i="110"/>
  <c r="EI56" i="110"/>
  <c r="EH56" i="110"/>
  <c r="EG56" i="110"/>
  <c r="EF56" i="110"/>
  <c r="EE56" i="110"/>
  <c r="ED56" i="110"/>
  <c r="EC56" i="110"/>
  <c r="EB56" i="110"/>
  <c r="EA56" i="110"/>
  <c r="DZ56" i="110"/>
  <c r="DY56" i="110"/>
  <c r="DX56" i="110"/>
  <c r="DW56" i="110"/>
  <c r="DV56" i="110"/>
  <c r="DU56" i="110"/>
  <c r="DT56" i="110"/>
  <c r="DS56" i="110"/>
  <c r="DR56" i="110"/>
  <c r="DQ56" i="110"/>
  <c r="DP56" i="110"/>
  <c r="DO56" i="110"/>
  <c r="DN56" i="110"/>
  <c r="DM56" i="110"/>
  <c r="DL56" i="110"/>
  <c r="DK56" i="110"/>
  <c r="DJ56" i="110"/>
  <c r="DI56" i="110"/>
  <c r="DH56" i="110"/>
  <c r="DG56" i="110"/>
  <c r="DF56" i="110"/>
  <c r="DE56" i="110"/>
  <c r="DD56" i="110"/>
  <c r="DC56" i="110"/>
  <c r="DB56" i="110"/>
  <c r="DA56" i="110"/>
  <c r="CZ56" i="110"/>
  <c r="CY56" i="110"/>
  <c r="CX56" i="110"/>
  <c r="CW56" i="110"/>
  <c r="CV56" i="110"/>
  <c r="CU56" i="110"/>
  <c r="CT56" i="110"/>
  <c r="CS56" i="110"/>
  <c r="CR56" i="110"/>
  <c r="CQ56" i="110"/>
  <c r="CP56" i="110"/>
  <c r="CO56" i="110"/>
  <c r="CN56" i="110"/>
  <c r="CM56" i="110"/>
  <c r="CL56" i="110"/>
  <c r="CK56" i="110"/>
  <c r="CJ56" i="110"/>
  <c r="CI56" i="110"/>
  <c r="CH56" i="110"/>
  <c r="CG56" i="110"/>
  <c r="CF56" i="110"/>
  <c r="CE56" i="110"/>
  <c r="CD56" i="110"/>
  <c r="CC56" i="110"/>
  <c r="CB56" i="110"/>
  <c r="CA56" i="110"/>
  <c r="BZ56" i="110"/>
  <c r="BY56" i="110"/>
  <c r="BX56" i="110"/>
  <c r="BW56" i="110"/>
  <c r="BV56" i="110"/>
  <c r="BU56" i="110"/>
  <c r="BT56" i="110"/>
  <c r="BS56" i="110"/>
  <c r="BR56" i="110"/>
  <c r="BQ56" i="110"/>
  <c r="BP56" i="110"/>
  <c r="BO56" i="110"/>
  <c r="BN56" i="110"/>
  <c r="BM56" i="110"/>
  <c r="BL56" i="110"/>
  <c r="BK56" i="110"/>
  <c r="BJ56" i="110"/>
  <c r="BI56" i="110"/>
  <c r="BH56" i="110"/>
  <c r="BG56" i="110"/>
  <c r="BF56" i="110"/>
  <c r="BE56" i="110"/>
  <c r="BD56" i="110"/>
  <c r="BC56" i="110"/>
  <c r="BB56" i="110"/>
  <c r="BA56" i="110"/>
  <c r="AZ56" i="110"/>
  <c r="AY56" i="110"/>
  <c r="AX56" i="110"/>
  <c r="AW56" i="110"/>
  <c r="AV56" i="110"/>
  <c r="AU56" i="110"/>
  <c r="AT56" i="110"/>
  <c r="AS56" i="110"/>
  <c r="AR56" i="110"/>
  <c r="AQ56" i="110"/>
  <c r="AP56" i="110"/>
  <c r="AO56" i="110"/>
  <c r="AN56" i="110"/>
  <c r="AM56" i="110"/>
  <c r="AL56" i="110"/>
  <c r="AK56" i="110"/>
  <c r="AJ56" i="110"/>
  <c r="AI56" i="110"/>
  <c r="AH56" i="110"/>
  <c r="AG56" i="110"/>
  <c r="AF56" i="110"/>
  <c r="AE56" i="110"/>
  <c r="AD56" i="110"/>
  <c r="AC56" i="110"/>
  <c r="AB56" i="110"/>
  <c r="AA56" i="110"/>
  <c r="Z56" i="110"/>
  <c r="Y56" i="110"/>
  <c r="X56" i="110"/>
  <c r="A56" i="110"/>
  <c r="OC53" i="110"/>
  <c r="OB53" i="110"/>
  <c r="OA53" i="110"/>
  <c r="NZ53" i="110"/>
  <c r="NY53" i="110"/>
  <c r="NX53" i="110"/>
  <c r="NW53" i="110"/>
  <c r="NV53" i="110"/>
  <c r="NU53" i="110"/>
  <c r="NT53" i="110"/>
  <c r="NS53" i="110"/>
  <c r="NR53" i="110"/>
  <c r="NQ53" i="110"/>
  <c r="NP53" i="110"/>
  <c r="NO53" i="110"/>
  <c r="NN53" i="110"/>
  <c r="NM53" i="110"/>
  <c r="NL53" i="110"/>
  <c r="NK53" i="110"/>
  <c r="NJ53" i="110"/>
  <c r="NI53" i="110"/>
  <c r="NH53" i="110"/>
  <c r="NG53" i="110"/>
  <c r="NF53" i="110"/>
  <c r="NE53" i="110"/>
  <c r="ND53" i="110"/>
  <c r="NC53" i="110"/>
  <c r="NB53" i="110"/>
  <c r="NA53" i="110"/>
  <c r="MZ53" i="110"/>
  <c r="MY53" i="110"/>
  <c r="MX53" i="110"/>
  <c r="MW53" i="110"/>
  <c r="MV53" i="110"/>
  <c r="MU53" i="110"/>
  <c r="MT53" i="110"/>
  <c r="MS53" i="110"/>
  <c r="MR53" i="110"/>
  <c r="MQ53" i="110"/>
  <c r="MP53" i="110"/>
  <c r="MO53" i="110"/>
  <c r="MN53" i="110"/>
  <c r="MM53" i="110"/>
  <c r="ML53" i="110"/>
  <c r="MK53" i="110"/>
  <c r="MJ53" i="110"/>
  <c r="MI53" i="110"/>
  <c r="MH53" i="110"/>
  <c r="MG53" i="110"/>
  <c r="MF53" i="110"/>
  <c r="ME53" i="110"/>
  <c r="MD53" i="110"/>
  <c r="MC53" i="110"/>
  <c r="MB53" i="110"/>
  <c r="MA53" i="110"/>
  <c r="LZ53" i="110"/>
  <c r="LY53" i="110"/>
  <c r="LX53" i="110"/>
  <c r="LW53" i="110"/>
  <c r="LV53" i="110"/>
  <c r="LU53" i="110"/>
  <c r="LT53" i="110"/>
  <c r="LS53" i="110"/>
  <c r="LR53" i="110"/>
  <c r="LQ53" i="110"/>
  <c r="LP53" i="110"/>
  <c r="LO53" i="110"/>
  <c r="LN53" i="110"/>
  <c r="LM53" i="110"/>
  <c r="LL53" i="110"/>
  <c r="LK53" i="110"/>
  <c r="LJ53" i="110"/>
  <c r="LI53" i="110"/>
  <c r="LH53" i="110"/>
  <c r="LG53" i="110"/>
  <c r="LF53" i="110"/>
  <c r="LE53" i="110"/>
  <c r="LD53" i="110"/>
  <c r="LC53" i="110"/>
  <c r="LB53" i="110"/>
  <c r="LA53" i="110"/>
  <c r="KZ53" i="110"/>
  <c r="KY53" i="110"/>
  <c r="KX53" i="110"/>
  <c r="KW53" i="110"/>
  <c r="KV53" i="110"/>
  <c r="KU53" i="110"/>
  <c r="KT53" i="110"/>
  <c r="KS53" i="110"/>
  <c r="KR53" i="110"/>
  <c r="KQ53" i="110"/>
  <c r="KP53" i="110"/>
  <c r="KO53" i="110"/>
  <c r="KN53" i="110"/>
  <c r="KM53" i="110"/>
  <c r="KL53" i="110"/>
  <c r="KK53" i="110"/>
  <c r="KJ53" i="110"/>
  <c r="KI53" i="110"/>
  <c r="KH53" i="110"/>
  <c r="KG53" i="110"/>
  <c r="KF53" i="110"/>
  <c r="KE53" i="110"/>
  <c r="KD53" i="110"/>
  <c r="KC53" i="110"/>
  <c r="KB53" i="110"/>
  <c r="KA53" i="110"/>
  <c r="JZ53" i="110"/>
  <c r="JY53" i="110"/>
  <c r="JX53" i="110"/>
  <c r="JW53" i="110"/>
  <c r="JV53" i="110"/>
  <c r="JU53" i="110"/>
  <c r="JT53" i="110"/>
  <c r="JS53" i="110"/>
  <c r="JR53" i="110"/>
  <c r="JQ53" i="110"/>
  <c r="JP53" i="110"/>
  <c r="JO53" i="110"/>
  <c r="JN53" i="110"/>
  <c r="JM53" i="110"/>
  <c r="JL53" i="110"/>
  <c r="JK53" i="110"/>
  <c r="JJ53" i="110"/>
  <c r="JI53" i="110"/>
  <c r="JH53" i="110"/>
  <c r="JG53" i="110"/>
  <c r="JF53" i="110"/>
  <c r="JE53" i="110"/>
  <c r="JD53" i="110"/>
  <c r="JC53" i="110"/>
  <c r="JB53" i="110"/>
  <c r="JA53" i="110"/>
  <c r="IZ53" i="110"/>
  <c r="IY53" i="110"/>
  <c r="IX53" i="110"/>
  <c r="IW53" i="110"/>
  <c r="IV53" i="110"/>
  <c r="IU53" i="110"/>
  <c r="IT53" i="110"/>
  <c r="IS53" i="110"/>
  <c r="IR53" i="110"/>
  <c r="IQ53" i="110"/>
  <c r="IP53" i="110"/>
  <c r="IO53" i="110"/>
  <c r="IN53" i="110"/>
  <c r="IM53" i="110"/>
  <c r="IL53" i="110"/>
  <c r="IK53" i="110"/>
  <c r="IJ53" i="110"/>
  <c r="II53" i="110"/>
  <c r="IH53" i="110"/>
  <c r="IG53" i="110"/>
  <c r="IF53" i="110"/>
  <c r="IE53" i="110"/>
  <c r="ID53" i="110"/>
  <c r="IC53" i="110"/>
  <c r="IB53" i="110"/>
  <c r="IA53" i="110"/>
  <c r="HZ53" i="110"/>
  <c r="HY53" i="110"/>
  <c r="HX53" i="110"/>
  <c r="HW53" i="110"/>
  <c r="HV53" i="110"/>
  <c r="HU53" i="110"/>
  <c r="HT53" i="110"/>
  <c r="HS53" i="110"/>
  <c r="HR53" i="110"/>
  <c r="HQ53" i="110"/>
  <c r="HP53" i="110"/>
  <c r="HO53" i="110"/>
  <c r="HN53" i="110"/>
  <c r="HM53" i="110"/>
  <c r="HL53" i="110"/>
  <c r="HK53" i="110"/>
  <c r="HJ53" i="110"/>
  <c r="HI53" i="110"/>
  <c r="HH53" i="110"/>
  <c r="HG53" i="110"/>
  <c r="HF53" i="110"/>
  <c r="HE53" i="110"/>
  <c r="HD53" i="110"/>
  <c r="HC53" i="110"/>
  <c r="HB53" i="110"/>
  <c r="HA53" i="110"/>
  <c r="GZ53" i="110"/>
  <c r="GY53" i="110"/>
  <c r="GX53" i="110"/>
  <c r="GW53" i="110"/>
  <c r="GV53" i="110"/>
  <c r="GU53" i="110"/>
  <c r="GT53" i="110"/>
  <c r="GS53" i="110"/>
  <c r="GR53" i="110"/>
  <c r="GQ53" i="110"/>
  <c r="GP53" i="110"/>
  <c r="GO53" i="110"/>
  <c r="GN53" i="110"/>
  <c r="GM53" i="110"/>
  <c r="GL53" i="110"/>
  <c r="GK53" i="110"/>
  <c r="GJ53" i="110"/>
  <c r="GI53" i="110"/>
  <c r="GH53" i="110"/>
  <c r="GG53" i="110"/>
  <c r="GF53" i="110"/>
  <c r="GE53" i="110"/>
  <c r="GD53" i="110"/>
  <c r="GC53" i="110"/>
  <c r="GB53" i="110"/>
  <c r="GA53" i="110"/>
  <c r="FZ53" i="110"/>
  <c r="FY53" i="110"/>
  <c r="FX53" i="110"/>
  <c r="FW53" i="110"/>
  <c r="FV53" i="110"/>
  <c r="FU53" i="110"/>
  <c r="FT53" i="110"/>
  <c r="FS53" i="110"/>
  <c r="FR53" i="110"/>
  <c r="FQ53" i="110"/>
  <c r="FP53" i="110"/>
  <c r="FO53" i="110"/>
  <c r="FN53" i="110"/>
  <c r="FM53" i="110"/>
  <c r="FL53" i="110"/>
  <c r="FK53" i="110"/>
  <c r="FJ53" i="110"/>
  <c r="FI53" i="110"/>
  <c r="FH53" i="110"/>
  <c r="FG53" i="110"/>
  <c r="FF53" i="110"/>
  <c r="FE53" i="110"/>
  <c r="FD53" i="110"/>
  <c r="FC53" i="110"/>
  <c r="FB53" i="110"/>
  <c r="FA53" i="110"/>
  <c r="EZ53" i="110"/>
  <c r="EY53" i="110"/>
  <c r="EX53" i="110"/>
  <c r="EW53" i="110"/>
  <c r="EV53" i="110"/>
  <c r="EU53" i="110"/>
  <c r="ET53" i="110"/>
  <c r="ES53" i="110"/>
  <c r="ER53" i="110"/>
  <c r="EQ53" i="110"/>
  <c r="EP53" i="110"/>
  <c r="EO53" i="110"/>
  <c r="EN53" i="110"/>
  <c r="EM53" i="110"/>
  <c r="EL53" i="110"/>
  <c r="EK53" i="110"/>
  <c r="EJ53" i="110"/>
  <c r="EI53" i="110"/>
  <c r="EH53" i="110"/>
  <c r="EG53" i="110"/>
  <c r="EF53" i="110"/>
  <c r="EE53" i="110"/>
  <c r="ED53" i="110"/>
  <c r="EC53" i="110"/>
  <c r="EB53" i="110"/>
  <c r="EA53" i="110"/>
  <c r="DZ53" i="110"/>
  <c r="DY53" i="110"/>
  <c r="DX53" i="110"/>
  <c r="DW53" i="110"/>
  <c r="DV53" i="110"/>
  <c r="DU53" i="110"/>
  <c r="DT53" i="110"/>
  <c r="DS53" i="110"/>
  <c r="DR53" i="110"/>
  <c r="DQ53" i="110"/>
  <c r="DP53" i="110"/>
  <c r="DO53" i="110"/>
  <c r="DN53" i="110"/>
  <c r="DM53" i="110"/>
  <c r="DL53" i="110"/>
  <c r="DK53" i="110"/>
  <c r="DJ53" i="110"/>
  <c r="DI53" i="110"/>
  <c r="DH53" i="110"/>
  <c r="DG53" i="110"/>
  <c r="DF53" i="110"/>
  <c r="DE53" i="110"/>
  <c r="DD53" i="110"/>
  <c r="DC53" i="110"/>
  <c r="DB53" i="110"/>
  <c r="DA53" i="110"/>
  <c r="CZ53" i="110"/>
  <c r="CY53" i="110"/>
  <c r="CX53" i="110"/>
  <c r="CW53" i="110"/>
  <c r="CV53" i="110"/>
  <c r="CU53" i="110"/>
  <c r="CT53" i="110"/>
  <c r="CS53" i="110"/>
  <c r="CR53" i="110"/>
  <c r="CQ53" i="110"/>
  <c r="CP53" i="110"/>
  <c r="CO53" i="110"/>
  <c r="CN53" i="110"/>
  <c r="CM53" i="110"/>
  <c r="CL53" i="110"/>
  <c r="CK53" i="110"/>
  <c r="CJ53" i="110"/>
  <c r="CI53" i="110"/>
  <c r="CH53" i="110"/>
  <c r="CG53" i="110"/>
  <c r="CF53" i="110"/>
  <c r="CE53" i="110"/>
  <c r="CD53" i="110"/>
  <c r="CC53" i="110"/>
  <c r="CB53" i="110"/>
  <c r="CA53" i="110"/>
  <c r="BZ53" i="110"/>
  <c r="BY53" i="110"/>
  <c r="BX53" i="110"/>
  <c r="BW53" i="110"/>
  <c r="BV53" i="110"/>
  <c r="BU53" i="110"/>
  <c r="BT53" i="110"/>
  <c r="BS53" i="110"/>
  <c r="BR53" i="110"/>
  <c r="BQ53" i="110"/>
  <c r="BP53" i="110"/>
  <c r="BO53" i="110"/>
  <c r="BN53" i="110"/>
  <c r="BM53" i="110"/>
  <c r="BL53" i="110"/>
  <c r="BK53" i="110"/>
  <c r="BJ53" i="110"/>
  <c r="BI53" i="110"/>
  <c r="BH53" i="110"/>
  <c r="BG53" i="110"/>
  <c r="BF53" i="110"/>
  <c r="BE53" i="110"/>
  <c r="BD53" i="110"/>
  <c r="BC53" i="110"/>
  <c r="BB53" i="110"/>
  <c r="BA53" i="110"/>
  <c r="AZ53" i="110"/>
  <c r="AY53" i="110"/>
  <c r="AX53" i="110"/>
  <c r="AW53" i="110"/>
  <c r="AV53" i="110"/>
  <c r="AU53" i="110"/>
  <c r="AT53" i="110"/>
  <c r="AS53" i="110"/>
  <c r="AR53" i="110"/>
  <c r="AQ53" i="110"/>
  <c r="AP53" i="110"/>
  <c r="AO53" i="110"/>
  <c r="AN53" i="110"/>
  <c r="AM53" i="110"/>
  <c r="AL53" i="110"/>
  <c r="AK53" i="110"/>
  <c r="AJ53" i="110"/>
  <c r="AI53" i="110"/>
  <c r="AH53" i="110"/>
  <c r="AG53" i="110"/>
  <c r="AF53" i="110"/>
  <c r="AE53" i="110"/>
  <c r="AD53" i="110"/>
  <c r="AC53" i="110"/>
  <c r="AB53" i="110"/>
  <c r="AA53" i="110"/>
  <c r="Z53" i="110"/>
  <c r="Y53" i="110"/>
  <c r="X53" i="110"/>
  <c r="A53" i="110"/>
  <c r="B448" i="123"/>
  <c r="L427" i="123"/>
  <c r="I427" i="123"/>
  <c r="I426" i="123"/>
  <c r="C443" i="123"/>
  <c r="E438" i="123"/>
  <c r="D433" i="123"/>
  <c r="D432" i="123"/>
  <c r="D431" i="123"/>
  <c r="M443" i="123"/>
  <c r="L443" i="123"/>
  <c r="K443" i="123"/>
  <c r="J443" i="123"/>
  <c r="I443" i="123"/>
  <c r="M442" i="123"/>
  <c r="L442" i="123"/>
  <c r="K442" i="123"/>
  <c r="J442" i="123"/>
  <c r="I442" i="123"/>
  <c r="M441" i="123"/>
  <c r="L441" i="123"/>
  <c r="K441" i="123"/>
  <c r="J441" i="123"/>
  <c r="I441" i="123"/>
  <c r="M423" i="123"/>
  <c r="L423" i="123"/>
  <c r="K423" i="123"/>
  <c r="J423" i="123"/>
  <c r="I423" i="123"/>
  <c r="M422" i="123"/>
  <c r="L422" i="123"/>
  <c r="K422" i="123"/>
  <c r="J422" i="123"/>
  <c r="I422" i="123"/>
  <c r="M421" i="123"/>
  <c r="L421" i="123"/>
  <c r="K421" i="123"/>
  <c r="J421" i="123"/>
  <c r="I421" i="123"/>
  <c r="G443" i="123"/>
  <c r="F443" i="123"/>
  <c r="G442" i="123"/>
  <c r="F442" i="123"/>
  <c r="G441" i="123"/>
  <c r="F441" i="123"/>
  <c r="G439" i="123"/>
  <c r="F439" i="123"/>
  <c r="G438" i="123"/>
  <c r="F438" i="123"/>
  <c r="G437" i="123"/>
  <c r="F437" i="123"/>
  <c r="G436" i="123"/>
  <c r="F436" i="123"/>
  <c r="G435" i="123"/>
  <c r="F435" i="123"/>
  <c r="G434" i="123"/>
  <c r="F434" i="123"/>
  <c r="G433" i="123"/>
  <c r="F433" i="123"/>
  <c r="G432" i="123"/>
  <c r="F432" i="123"/>
  <c r="G431" i="123"/>
  <c r="F431" i="123"/>
  <c r="M439" i="123"/>
  <c r="L439" i="123"/>
  <c r="K439" i="123"/>
  <c r="J439" i="123"/>
  <c r="I439" i="123"/>
  <c r="M438" i="123"/>
  <c r="L438" i="123"/>
  <c r="K438" i="123"/>
  <c r="J438" i="123"/>
  <c r="I438" i="123"/>
  <c r="M437" i="123"/>
  <c r="L437" i="123"/>
  <c r="K437" i="123"/>
  <c r="J437" i="123"/>
  <c r="I437" i="123"/>
  <c r="M436" i="123"/>
  <c r="L436" i="123"/>
  <c r="K436" i="123"/>
  <c r="J436" i="123"/>
  <c r="I436" i="123"/>
  <c r="M435" i="123"/>
  <c r="L435" i="123"/>
  <c r="K435" i="123"/>
  <c r="J435" i="123"/>
  <c r="I435" i="123"/>
  <c r="M434" i="123"/>
  <c r="L434" i="123"/>
  <c r="K434" i="123"/>
  <c r="J434" i="123"/>
  <c r="I434" i="123"/>
  <c r="M433" i="123"/>
  <c r="L433" i="123"/>
  <c r="K433" i="123"/>
  <c r="J433" i="123"/>
  <c r="I433" i="123"/>
  <c r="M432" i="123"/>
  <c r="L432" i="123"/>
  <c r="K432" i="123"/>
  <c r="J432" i="123"/>
  <c r="I432" i="123"/>
  <c r="M431" i="123"/>
  <c r="L431" i="123"/>
  <c r="K431" i="123"/>
  <c r="J431" i="123"/>
  <c r="I431" i="123"/>
  <c r="I412" i="123"/>
  <c r="J412" i="123"/>
  <c r="K412" i="123"/>
  <c r="L412" i="123"/>
  <c r="M412" i="123"/>
  <c r="I413" i="123"/>
  <c r="J413" i="123"/>
  <c r="K413" i="123"/>
  <c r="L413" i="123"/>
  <c r="M413" i="123"/>
  <c r="I414" i="123"/>
  <c r="J414" i="123"/>
  <c r="K414" i="123"/>
  <c r="L414" i="123"/>
  <c r="M414" i="123"/>
  <c r="I415" i="123"/>
  <c r="J415" i="123"/>
  <c r="K415" i="123"/>
  <c r="L415" i="123"/>
  <c r="M415" i="123"/>
  <c r="I416" i="123"/>
  <c r="J416" i="123"/>
  <c r="K416" i="123"/>
  <c r="L416" i="123"/>
  <c r="M416" i="123"/>
  <c r="I417" i="123"/>
  <c r="J417" i="123"/>
  <c r="K417" i="123"/>
  <c r="L417" i="123"/>
  <c r="M417" i="123"/>
  <c r="I418" i="123"/>
  <c r="J418" i="123"/>
  <c r="K418" i="123"/>
  <c r="L418" i="123"/>
  <c r="M418" i="123"/>
  <c r="I419" i="123"/>
  <c r="J419" i="123"/>
  <c r="K419" i="123"/>
  <c r="L419" i="123"/>
  <c r="M419" i="123"/>
  <c r="J411" i="123"/>
  <c r="K411" i="123"/>
  <c r="L411" i="123"/>
  <c r="M411" i="123"/>
  <c r="I411" i="123"/>
  <c r="C423" i="123"/>
  <c r="E418" i="123"/>
  <c r="G423" i="123"/>
  <c r="F423" i="123"/>
  <c r="G422" i="123"/>
  <c r="F422" i="123"/>
  <c r="G421" i="123"/>
  <c r="F421" i="123"/>
  <c r="F412" i="123"/>
  <c r="G412" i="123"/>
  <c r="F413" i="123"/>
  <c r="G413" i="123"/>
  <c r="F414" i="123"/>
  <c r="G414" i="123"/>
  <c r="F415" i="123"/>
  <c r="G415" i="123"/>
  <c r="F416" i="123"/>
  <c r="G416" i="123"/>
  <c r="F417" i="123"/>
  <c r="G417" i="123"/>
  <c r="F418" i="123"/>
  <c r="G418" i="123"/>
  <c r="F419" i="123"/>
  <c r="G419" i="123"/>
  <c r="G411" i="123"/>
  <c r="F411" i="123"/>
  <c r="D412" i="123"/>
  <c r="D413" i="123"/>
  <c r="D411" i="123"/>
  <c r="L407" i="123"/>
  <c r="I407" i="123"/>
  <c r="I406" i="123"/>
  <c r="I402" i="123"/>
  <c r="F379" i="123"/>
  <c r="F373" i="123"/>
  <c r="F368" i="123"/>
  <c r="F362" i="123"/>
  <c r="H391" i="123"/>
  <c r="F391" i="123"/>
  <c r="H385" i="123"/>
  <c r="F385" i="123"/>
  <c r="H356" i="123"/>
  <c r="F356" i="123"/>
  <c r="H350" i="123"/>
  <c r="F350" i="123"/>
  <c r="H345" i="123"/>
  <c r="F345" i="123"/>
  <c r="H339" i="123"/>
  <c r="F339" i="123"/>
  <c r="H333" i="123"/>
  <c r="F333" i="123"/>
  <c r="H328" i="123"/>
  <c r="F328" i="123"/>
  <c r="H323" i="123"/>
  <c r="F323" i="123"/>
  <c r="A310" i="123"/>
  <c r="Q297" i="123"/>
  <c r="N297" i="123"/>
  <c r="P284" i="123"/>
  <c r="M284" i="123"/>
  <c r="J284" i="123"/>
  <c r="T294" i="123"/>
  <c r="R282" i="123"/>
  <c r="R279" i="123"/>
  <c r="P280" i="123"/>
  <c r="J280" i="123"/>
  <c r="H280" i="123"/>
  <c r="P273" i="123"/>
  <c r="P272" i="123"/>
  <c r="P271" i="123"/>
  <c r="P270" i="123"/>
  <c r="P269" i="123"/>
  <c r="P268" i="123"/>
  <c r="J269" i="123"/>
  <c r="J270" i="123"/>
  <c r="J271" i="123"/>
  <c r="J272" i="123"/>
  <c r="J273" i="123"/>
  <c r="J268" i="123"/>
  <c r="C273" i="123"/>
  <c r="C258" i="123"/>
  <c r="C249" i="123"/>
  <c r="C233" i="123"/>
  <c r="C227" i="123"/>
  <c r="C226" i="123"/>
  <c r="C216" i="123"/>
  <c r="U216" i="123" s="1"/>
  <c r="C199" i="123"/>
  <c r="C186" i="123"/>
  <c r="C185" i="123"/>
  <c r="C160" i="123"/>
  <c r="C130" i="123"/>
  <c r="C131" i="123"/>
  <c r="C129" i="123"/>
  <c r="S247" i="123"/>
  <c r="G247" i="123"/>
  <c r="S236" i="123"/>
  <c r="P236" i="123"/>
  <c r="M236" i="123"/>
  <c r="J236" i="123"/>
  <c r="G236" i="123"/>
  <c r="S224" i="123"/>
  <c r="S225" i="123"/>
  <c r="S226" i="123"/>
  <c r="S227" i="123"/>
  <c r="G224" i="123"/>
  <c r="G225" i="123"/>
  <c r="G226" i="123"/>
  <c r="G227" i="123"/>
  <c r="S243" i="123"/>
  <c r="G243" i="123"/>
  <c r="G222" i="123"/>
  <c r="G221" i="123"/>
  <c r="G220" i="123"/>
  <c r="G219" i="123"/>
  <c r="S222" i="123"/>
  <c r="S221" i="123"/>
  <c r="S220" i="123"/>
  <c r="S219" i="123"/>
  <c r="S233" i="123"/>
  <c r="S232" i="123"/>
  <c r="S231" i="123"/>
  <c r="S230" i="123"/>
  <c r="G233" i="123"/>
  <c r="G232" i="123"/>
  <c r="G231" i="123"/>
  <c r="G230" i="123"/>
  <c r="S214" i="123"/>
  <c r="S213" i="123"/>
  <c r="S212" i="123"/>
  <c r="S211" i="123"/>
  <c r="G214" i="123"/>
  <c r="G213" i="123"/>
  <c r="G212" i="123"/>
  <c r="G211" i="123"/>
  <c r="G194" i="123"/>
  <c r="J194" i="123"/>
  <c r="M194" i="123"/>
  <c r="P194" i="123"/>
  <c r="S194" i="123"/>
  <c r="G195" i="123"/>
  <c r="J195" i="123"/>
  <c r="M195" i="123"/>
  <c r="P195" i="123"/>
  <c r="S195" i="123"/>
  <c r="G196" i="123"/>
  <c r="J196" i="123"/>
  <c r="M196" i="123"/>
  <c r="P196" i="123"/>
  <c r="S196" i="123"/>
  <c r="G197" i="123"/>
  <c r="J197" i="123"/>
  <c r="M197" i="123"/>
  <c r="P197" i="123"/>
  <c r="S197" i="123"/>
  <c r="G198" i="123"/>
  <c r="J198" i="123"/>
  <c r="M198" i="123"/>
  <c r="P198" i="123"/>
  <c r="S198" i="123"/>
  <c r="G199" i="123"/>
  <c r="J199" i="123"/>
  <c r="M199" i="123"/>
  <c r="P199" i="123"/>
  <c r="S199" i="123"/>
  <c r="G180" i="123"/>
  <c r="J180" i="123"/>
  <c r="M180" i="123"/>
  <c r="P180" i="123"/>
  <c r="S180" i="123"/>
  <c r="G181" i="123"/>
  <c r="J181" i="123"/>
  <c r="M181" i="123"/>
  <c r="P181" i="123"/>
  <c r="S181" i="123"/>
  <c r="G182" i="123"/>
  <c r="J182" i="123"/>
  <c r="M182" i="123"/>
  <c r="P182" i="123"/>
  <c r="S182" i="123"/>
  <c r="G183" i="123"/>
  <c r="J183" i="123"/>
  <c r="M183" i="123"/>
  <c r="P183" i="123"/>
  <c r="S183" i="123"/>
  <c r="J184" i="123"/>
  <c r="M184" i="123"/>
  <c r="S184" i="123"/>
  <c r="G185" i="123"/>
  <c r="J185" i="123"/>
  <c r="M185" i="123"/>
  <c r="P185" i="123"/>
  <c r="S185" i="123"/>
  <c r="G186" i="123"/>
  <c r="J186" i="123"/>
  <c r="M186" i="123"/>
  <c r="P186" i="123"/>
  <c r="S186" i="123"/>
  <c r="M169" i="123"/>
  <c r="J169" i="123"/>
  <c r="S160" i="123"/>
  <c r="P160" i="123"/>
  <c r="M160" i="123"/>
  <c r="J160" i="123"/>
  <c r="G160" i="123"/>
  <c r="M137" i="123"/>
  <c r="M136" i="123"/>
  <c r="S141" i="123"/>
  <c r="J141" i="123"/>
  <c r="G141" i="123"/>
  <c r="S137" i="123"/>
  <c r="S136" i="123"/>
  <c r="S135" i="123"/>
  <c r="S134" i="123"/>
  <c r="G137" i="123"/>
  <c r="G136" i="123"/>
  <c r="G135" i="123"/>
  <c r="G134" i="123"/>
  <c r="S140" i="123"/>
  <c r="P140" i="123"/>
  <c r="P142" i="123" s="1"/>
  <c r="M140" i="123"/>
  <c r="M142" i="123" s="1"/>
  <c r="J140" i="123"/>
  <c r="G140" i="123"/>
  <c r="S149" i="123"/>
  <c r="P149" i="123"/>
  <c r="M149" i="123"/>
  <c r="J149" i="123"/>
  <c r="G149" i="123"/>
  <c r="S148" i="123"/>
  <c r="P148" i="123"/>
  <c r="M148" i="123"/>
  <c r="J148" i="123"/>
  <c r="G148" i="123"/>
  <c r="S147" i="123"/>
  <c r="P147" i="123"/>
  <c r="M147" i="123"/>
  <c r="J147" i="123"/>
  <c r="G147" i="123"/>
  <c r="S179" i="123"/>
  <c r="P179" i="123"/>
  <c r="M179" i="123"/>
  <c r="J179" i="123"/>
  <c r="G179" i="123"/>
  <c r="S178" i="123"/>
  <c r="P178" i="123"/>
  <c r="M178" i="123"/>
  <c r="J178" i="123"/>
  <c r="G178" i="123"/>
  <c r="S193" i="123"/>
  <c r="P193" i="123"/>
  <c r="M193" i="123"/>
  <c r="J193" i="123"/>
  <c r="G193" i="123"/>
  <c r="S192" i="123"/>
  <c r="P192" i="123"/>
  <c r="M192" i="123"/>
  <c r="J192" i="123"/>
  <c r="G192" i="123"/>
  <c r="S205" i="123"/>
  <c r="P205" i="123"/>
  <c r="M205" i="123"/>
  <c r="J205" i="123"/>
  <c r="G205" i="123"/>
  <c r="S204" i="123"/>
  <c r="P204" i="123"/>
  <c r="M204" i="123"/>
  <c r="J204" i="123"/>
  <c r="G204" i="123"/>
  <c r="S258" i="123"/>
  <c r="P258" i="123"/>
  <c r="M258" i="123"/>
  <c r="J258" i="123"/>
  <c r="G258" i="123"/>
  <c r="S257" i="123"/>
  <c r="P257" i="123"/>
  <c r="M257" i="123"/>
  <c r="J257" i="123"/>
  <c r="G257" i="123"/>
  <c r="S249" i="123"/>
  <c r="P249" i="123"/>
  <c r="M249" i="123"/>
  <c r="J249" i="123"/>
  <c r="G249" i="123"/>
  <c r="S248" i="123"/>
  <c r="P248" i="123"/>
  <c r="M248" i="123"/>
  <c r="J248" i="123"/>
  <c r="G248" i="123"/>
  <c r="S240" i="123"/>
  <c r="M240" i="123"/>
  <c r="J240" i="123"/>
  <c r="S239" i="123"/>
  <c r="P239" i="123"/>
  <c r="M239" i="123"/>
  <c r="J239" i="123"/>
  <c r="G239" i="123"/>
  <c r="S238" i="123"/>
  <c r="P238" i="123"/>
  <c r="M238" i="123"/>
  <c r="J238" i="123"/>
  <c r="G238" i="123"/>
  <c r="S203" i="123"/>
  <c r="P203" i="123"/>
  <c r="M203" i="123"/>
  <c r="J203" i="123"/>
  <c r="G203" i="123"/>
  <c r="S202" i="123"/>
  <c r="M202" i="123"/>
  <c r="J202" i="123"/>
  <c r="S191" i="123"/>
  <c r="P191" i="123"/>
  <c r="M191" i="123"/>
  <c r="J191" i="123"/>
  <c r="G191" i="123"/>
  <c r="S190" i="123"/>
  <c r="M190" i="123"/>
  <c r="J190" i="123"/>
  <c r="S189" i="123"/>
  <c r="M189" i="123"/>
  <c r="J189" i="123"/>
  <c r="S177" i="123"/>
  <c r="P177" i="123"/>
  <c r="M177" i="123"/>
  <c r="J177" i="123"/>
  <c r="G177" i="123"/>
  <c r="S176" i="123"/>
  <c r="P176" i="123"/>
  <c r="M176" i="123"/>
  <c r="J176" i="123"/>
  <c r="G176" i="123"/>
  <c r="S175" i="123"/>
  <c r="P175" i="123"/>
  <c r="M175" i="123"/>
  <c r="J175" i="123"/>
  <c r="G175" i="123"/>
  <c r="S154" i="123"/>
  <c r="M154" i="123"/>
  <c r="J154" i="123"/>
  <c r="S153" i="123"/>
  <c r="M153" i="123"/>
  <c r="J153" i="123"/>
  <c r="S152" i="123"/>
  <c r="M152" i="123"/>
  <c r="J152" i="123"/>
  <c r="S146" i="123"/>
  <c r="P146" i="123"/>
  <c r="M146" i="123"/>
  <c r="J146" i="123"/>
  <c r="G146" i="123"/>
  <c r="S145" i="123"/>
  <c r="P145" i="123"/>
  <c r="M145" i="123"/>
  <c r="J145" i="123"/>
  <c r="G145" i="123"/>
  <c r="S144" i="123"/>
  <c r="P144" i="123"/>
  <c r="M144" i="123"/>
  <c r="J144" i="123"/>
  <c r="G144" i="123"/>
  <c r="S131" i="123"/>
  <c r="S130" i="123"/>
  <c r="S129" i="123"/>
  <c r="S128" i="123"/>
  <c r="S127" i="123"/>
  <c r="S126" i="123"/>
  <c r="S125" i="123"/>
  <c r="S124" i="123"/>
  <c r="S123" i="123"/>
  <c r="P131" i="123"/>
  <c r="P130" i="123"/>
  <c r="P129" i="123"/>
  <c r="P128" i="123"/>
  <c r="P127" i="123"/>
  <c r="P126" i="123"/>
  <c r="P125" i="123"/>
  <c r="P124" i="123"/>
  <c r="P123" i="123"/>
  <c r="M131" i="123"/>
  <c r="M130" i="123"/>
  <c r="M129" i="123"/>
  <c r="M128" i="123"/>
  <c r="M127" i="123"/>
  <c r="M126" i="123"/>
  <c r="M125" i="123"/>
  <c r="M124" i="123"/>
  <c r="M123" i="123"/>
  <c r="J131" i="123"/>
  <c r="J130" i="123"/>
  <c r="J129" i="123"/>
  <c r="J128" i="123"/>
  <c r="J127" i="123"/>
  <c r="J126" i="123"/>
  <c r="J125" i="123"/>
  <c r="J124" i="123"/>
  <c r="J123" i="123"/>
  <c r="G124" i="123"/>
  <c r="G125" i="123"/>
  <c r="G126" i="123"/>
  <c r="G127" i="123"/>
  <c r="G128" i="123"/>
  <c r="G129" i="123"/>
  <c r="G130" i="123"/>
  <c r="G131" i="123"/>
  <c r="G123" i="123"/>
  <c r="H52" i="123"/>
  <c r="H53" i="123"/>
  <c r="A112" i="123"/>
  <c r="C104" i="123"/>
  <c r="C105" i="123"/>
  <c r="C103" i="123"/>
  <c r="E101" i="123"/>
  <c r="I101" i="123"/>
  <c r="E102" i="123"/>
  <c r="I102" i="123"/>
  <c r="E103" i="123"/>
  <c r="I103" i="123"/>
  <c r="E104" i="123"/>
  <c r="I104" i="123"/>
  <c r="E105" i="123"/>
  <c r="I105" i="123"/>
  <c r="I100" i="123"/>
  <c r="E100" i="123"/>
  <c r="I99" i="123"/>
  <c r="E99" i="123"/>
  <c r="I98" i="123"/>
  <c r="E98" i="123"/>
  <c r="I97" i="123"/>
  <c r="E97" i="123"/>
  <c r="I96" i="123"/>
  <c r="E96" i="123"/>
  <c r="I95" i="123"/>
  <c r="E95" i="123"/>
  <c r="C89" i="123"/>
  <c r="N91" i="123"/>
  <c r="M91" i="123"/>
  <c r="L91" i="123"/>
  <c r="K91" i="123"/>
  <c r="E90" i="123"/>
  <c r="I90" i="123"/>
  <c r="E91" i="123"/>
  <c r="I91" i="123"/>
  <c r="E87" i="123"/>
  <c r="I87" i="123"/>
  <c r="K87" i="123"/>
  <c r="L87" i="123"/>
  <c r="M87" i="123"/>
  <c r="N87" i="123"/>
  <c r="E88" i="123"/>
  <c r="I88" i="123"/>
  <c r="K88" i="123"/>
  <c r="L88" i="123"/>
  <c r="M88" i="123"/>
  <c r="N88" i="123"/>
  <c r="P88" i="123"/>
  <c r="E89" i="123"/>
  <c r="I89" i="123"/>
  <c r="K89" i="123"/>
  <c r="L89" i="123"/>
  <c r="M89" i="123"/>
  <c r="N89" i="123"/>
  <c r="P89" i="123"/>
  <c r="N86" i="123"/>
  <c r="M86" i="123"/>
  <c r="L86" i="123"/>
  <c r="K86" i="123"/>
  <c r="E86" i="123"/>
  <c r="D77" i="123"/>
  <c r="D78" i="123"/>
  <c r="D76" i="123"/>
  <c r="G71" i="123"/>
  <c r="L71" i="123"/>
  <c r="G72" i="123"/>
  <c r="L72" i="123"/>
  <c r="G73" i="123"/>
  <c r="L73" i="123"/>
  <c r="G74" i="123"/>
  <c r="L74" i="123"/>
  <c r="G75" i="123"/>
  <c r="L75" i="123"/>
  <c r="G76" i="123"/>
  <c r="L76" i="123"/>
  <c r="G77" i="123"/>
  <c r="L77" i="123"/>
  <c r="G78" i="123"/>
  <c r="L78" i="123"/>
  <c r="G69" i="123"/>
  <c r="L69" i="123"/>
  <c r="N69" i="123"/>
  <c r="P69" i="123"/>
  <c r="G70" i="123"/>
  <c r="L70" i="123"/>
  <c r="N70" i="123"/>
  <c r="P70" i="123"/>
  <c r="P68" i="123"/>
  <c r="N68" i="123"/>
  <c r="L68" i="123"/>
  <c r="G68" i="123"/>
  <c r="H59" i="123"/>
  <c r="F56" i="123"/>
  <c r="F57" i="123"/>
  <c r="F58" i="123"/>
  <c r="F55" i="123"/>
  <c r="H51" i="123"/>
  <c r="H50" i="123"/>
  <c r="D62" i="123"/>
  <c r="E57" i="123"/>
  <c r="E55" i="123"/>
  <c r="E53" i="123"/>
  <c r="E61" i="123"/>
  <c r="E60" i="123"/>
  <c r="E59" i="123"/>
  <c r="E51" i="123"/>
  <c r="E50" i="123"/>
  <c r="L62" i="123"/>
  <c r="L61" i="123"/>
  <c r="L60" i="123"/>
  <c r="L59" i="123"/>
  <c r="L58" i="123"/>
  <c r="L57" i="123"/>
  <c r="L56" i="123"/>
  <c r="L55" i="123"/>
  <c r="L54" i="123"/>
  <c r="L53" i="123"/>
  <c r="L52" i="123"/>
  <c r="L51" i="123"/>
  <c r="L50" i="123"/>
  <c r="B51" i="123"/>
  <c r="B52" i="123"/>
  <c r="B53" i="123"/>
  <c r="B54" i="123"/>
  <c r="B55" i="123"/>
  <c r="B56" i="123"/>
  <c r="B57" i="123"/>
  <c r="B58" i="123"/>
  <c r="B59" i="123"/>
  <c r="B60" i="123"/>
  <c r="B61" i="123"/>
  <c r="B50" i="123"/>
  <c r="A42" i="123"/>
  <c r="O37" i="123"/>
  <c r="O36" i="123"/>
  <c r="I37" i="123"/>
  <c r="I36" i="123"/>
  <c r="O27" i="123"/>
  <c r="P26" i="123"/>
  <c r="P25" i="123"/>
  <c r="F28" i="123"/>
  <c r="F27" i="123"/>
  <c r="F26" i="123"/>
  <c r="F25" i="123"/>
  <c r="N21" i="123"/>
  <c r="F21" i="123"/>
  <c r="N20" i="123"/>
  <c r="J20" i="123"/>
  <c r="J1658" i="123" s="1"/>
  <c r="F20" i="123"/>
  <c r="N19" i="123"/>
  <c r="J19" i="123"/>
  <c r="F19" i="123"/>
  <c r="N17" i="123"/>
  <c r="N16" i="123"/>
  <c r="J16" i="123"/>
  <c r="N15" i="123"/>
  <c r="J15" i="123"/>
  <c r="F17" i="123"/>
  <c r="F16" i="123"/>
  <c r="F15" i="123"/>
  <c r="P12" i="123"/>
  <c r="O11" i="123"/>
  <c r="F11" i="123"/>
  <c r="K1676" i="123"/>
  <c r="C1668" i="123"/>
  <c r="K1662" i="123"/>
  <c r="G1659" i="123"/>
  <c r="H1659" i="123" s="1"/>
  <c r="G1657" i="123"/>
  <c r="H1657" i="123" s="1"/>
  <c r="G1655" i="123"/>
  <c r="H1655" i="123" s="1"/>
  <c r="G1654" i="123"/>
  <c r="H1654" i="123" s="1"/>
  <c r="G1653" i="123"/>
  <c r="H1653" i="123" s="1"/>
  <c r="G1652" i="123"/>
  <c r="H1652" i="123" s="1"/>
  <c r="G1650" i="123"/>
  <c r="H1650" i="123" s="1"/>
  <c r="G1648" i="123"/>
  <c r="H1648" i="123" s="1"/>
  <c r="G1647" i="123"/>
  <c r="H1647" i="123" s="1"/>
  <c r="G1645" i="123"/>
  <c r="H1645" i="123" s="1"/>
  <c r="G1643" i="123"/>
  <c r="H1643" i="123" s="1"/>
  <c r="G1642" i="123"/>
  <c r="H1642" i="123" s="1"/>
  <c r="J1628" i="123"/>
  <c r="J1631" i="123" s="1"/>
  <c r="D1612" i="123"/>
  <c r="L1578" i="123"/>
  <c r="K1566" i="123"/>
  <c r="G1528" i="123"/>
  <c r="V1498" i="123"/>
  <c r="J1498" i="123"/>
  <c r="I1480" i="123"/>
  <c r="J1459" i="123"/>
  <c r="K1444" i="123"/>
  <c r="K1443" i="123"/>
  <c r="K1432" i="123"/>
  <c r="G1432" i="123"/>
  <c r="N1422" i="123"/>
  <c r="V1400" i="123"/>
  <c r="S1384" i="123"/>
  <c r="R1363" i="123"/>
  <c r="R1354" i="123"/>
  <c r="J1337" i="123"/>
  <c r="R1335" i="123"/>
  <c r="P1302" i="123"/>
  <c r="P1295" i="123"/>
  <c r="O1270" i="123"/>
  <c r="M1270" i="123"/>
  <c r="O1269" i="123"/>
  <c r="M1265" i="123"/>
  <c r="M1269" i="123" s="1"/>
  <c r="C1210" i="123"/>
  <c r="E1206" i="123"/>
  <c r="D1206" i="123"/>
  <c r="B1200" i="123"/>
  <c r="A1195" i="123"/>
  <c r="M1065" i="123"/>
  <c r="M1064" i="123"/>
  <c r="M1063" i="123"/>
  <c r="K969" i="123"/>
  <c r="J969" i="123"/>
  <c r="I969" i="123"/>
  <c r="H969" i="123"/>
  <c r="F969" i="123"/>
  <c r="E887" i="123"/>
  <c r="A885" i="123"/>
  <c r="H885" i="123" s="1"/>
  <c r="A883" i="123"/>
  <c r="F868" i="123"/>
  <c r="E868" i="123"/>
  <c r="D868" i="123"/>
  <c r="F867" i="123"/>
  <c r="E867" i="123"/>
  <c r="D867" i="123"/>
  <c r="C867" i="123"/>
  <c r="B867" i="123"/>
  <c r="K838" i="123"/>
  <c r="I838" i="123"/>
  <c r="F838" i="123"/>
  <c r="C838" i="123"/>
  <c r="I837" i="123"/>
  <c r="H837" i="123"/>
  <c r="F837" i="123"/>
  <c r="E837" i="123"/>
  <c r="B837" i="123"/>
  <c r="A807" i="123"/>
  <c r="A838" i="123" s="1"/>
  <c r="A868" i="123" s="1"/>
  <c r="K807" i="123"/>
  <c r="J807" i="123"/>
  <c r="I807" i="123"/>
  <c r="H807" i="123"/>
  <c r="G807" i="123"/>
  <c r="F807" i="123"/>
  <c r="E807" i="123"/>
  <c r="D807" i="123"/>
  <c r="A799" i="123"/>
  <c r="A831" i="123" s="1"/>
  <c r="A861" i="123" s="1"/>
  <c r="I806" i="123"/>
  <c r="H806" i="123"/>
  <c r="G806" i="123"/>
  <c r="F806" i="123"/>
  <c r="E806" i="123"/>
  <c r="D806" i="123"/>
  <c r="C806" i="123"/>
  <c r="B806" i="123"/>
  <c r="A798" i="123"/>
  <c r="A830" i="123" s="1"/>
  <c r="A860" i="123" s="1"/>
  <c r="A797" i="123"/>
  <c r="A829" i="123" s="1"/>
  <c r="A859" i="123" s="1"/>
  <c r="A796" i="123"/>
  <c r="A828" i="123" s="1"/>
  <c r="A858" i="123" s="1"/>
  <c r="A774" i="123"/>
  <c r="A806" i="123" s="1"/>
  <c r="A837" i="123" s="1"/>
  <c r="A867" i="123" s="1"/>
  <c r="A773" i="123"/>
  <c r="A805" i="123" s="1"/>
  <c r="A836" i="123" s="1"/>
  <c r="A866" i="123" s="1"/>
  <c r="A772" i="123"/>
  <c r="A804" i="123" s="1"/>
  <c r="A835" i="123" s="1"/>
  <c r="A865" i="123" s="1"/>
  <c r="K775" i="123"/>
  <c r="J775" i="123"/>
  <c r="E775" i="123"/>
  <c r="D775" i="123"/>
  <c r="C775" i="123"/>
  <c r="B775" i="123"/>
  <c r="K774" i="123"/>
  <c r="J774" i="123"/>
  <c r="H774" i="123"/>
  <c r="G774" i="123"/>
  <c r="F774" i="123"/>
  <c r="C774" i="123"/>
  <c r="C752" i="123"/>
  <c r="N750" i="123"/>
  <c r="C747" i="123"/>
  <c r="K746" i="123"/>
  <c r="B746" i="123"/>
  <c r="G745" i="123"/>
  <c r="B745" i="123"/>
  <c r="K744" i="123"/>
  <c r="B744" i="123"/>
  <c r="N742" i="123"/>
  <c r="C742" i="123"/>
  <c r="A740" i="123"/>
  <c r="N740" i="123" s="1"/>
  <c r="Q728" i="123"/>
  <c r="N720" i="123"/>
  <c r="H720" i="123"/>
  <c r="N719" i="123"/>
  <c r="H719" i="123"/>
  <c r="H717" i="123"/>
  <c r="H716" i="123"/>
  <c r="N715" i="123"/>
  <c r="H715" i="123"/>
  <c r="N714" i="123"/>
  <c r="H714" i="123"/>
  <c r="N713" i="123"/>
  <c r="N710" i="123"/>
  <c r="H710" i="123"/>
  <c r="H709" i="123"/>
  <c r="H708" i="123"/>
  <c r="H707" i="123"/>
  <c r="H706" i="123"/>
  <c r="N705" i="123"/>
  <c r="N704" i="123"/>
  <c r="N703" i="123"/>
  <c r="H700" i="123"/>
  <c r="H699" i="123"/>
  <c r="L698" i="123"/>
  <c r="N698" i="123" s="1"/>
  <c r="H698" i="123"/>
  <c r="N697" i="123"/>
  <c r="N696" i="123"/>
  <c r="H696" i="123"/>
  <c r="S693" i="123"/>
  <c r="L691" i="123"/>
  <c r="S688" i="123"/>
  <c r="L687" i="123"/>
  <c r="I687" i="123"/>
  <c r="H687" i="123"/>
  <c r="T684" i="123"/>
  <c r="M682" i="123"/>
  <c r="L682" i="123"/>
  <c r="J682" i="123"/>
  <c r="I682" i="123"/>
  <c r="S679" i="123"/>
  <c r="P678" i="123"/>
  <c r="O678" i="123"/>
  <c r="N678" i="123"/>
  <c r="J678" i="123"/>
  <c r="T675" i="123"/>
  <c r="Q673" i="123"/>
  <c r="P673" i="123"/>
  <c r="M673" i="123"/>
  <c r="L673" i="123"/>
  <c r="J673" i="123"/>
  <c r="S670" i="123"/>
  <c r="Q669" i="123"/>
  <c r="P669" i="123"/>
  <c r="J669" i="123"/>
  <c r="T666" i="123"/>
  <c r="Q664" i="123"/>
  <c r="P664" i="123"/>
  <c r="O664" i="123"/>
  <c r="S661" i="123"/>
  <c r="I660" i="123"/>
  <c r="H660" i="123"/>
  <c r="S657" i="123"/>
  <c r="S656" i="123"/>
  <c r="S654" i="123"/>
  <c r="S631" i="123"/>
  <c r="S621" i="123"/>
  <c r="S602" i="123"/>
  <c r="L602" i="123"/>
  <c r="P594" i="123"/>
  <c r="S583" i="123"/>
  <c r="S574" i="123"/>
  <c r="S565" i="123"/>
  <c r="S564" i="123"/>
  <c r="L564" i="123"/>
  <c r="S554" i="123"/>
  <c r="S531" i="123"/>
  <c r="S515" i="123"/>
  <c r="B402" i="123"/>
  <c r="A400" i="123"/>
  <c r="D394" i="123"/>
  <c r="B394" i="123"/>
  <c r="A391" i="123"/>
  <c r="D388" i="123"/>
  <c r="B388" i="123"/>
  <c r="A385" i="123"/>
  <c r="B382" i="123"/>
  <c r="A379" i="123"/>
  <c r="B376" i="123"/>
  <c r="A373" i="123"/>
  <c r="B371" i="123"/>
  <c r="A368" i="123"/>
  <c r="B365" i="123"/>
  <c r="A362" i="123"/>
  <c r="D359" i="123"/>
  <c r="B359" i="123"/>
  <c r="A356" i="123"/>
  <c r="D353" i="123"/>
  <c r="B353" i="123"/>
  <c r="A350" i="123"/>
  <c r="D348" i="123"/>
  <c r="B348" i="123"/>
  <c r="A345" i="123"/>
  <c r="D342" i="123"/>
  <c r="B342" i="123"/>
  <c r="A339" i="123"/>
  <c r="D336" i="123"/>
  <c r="B336" i="123"/>
  <c r="A333" i="123"/>
  <c r="D331" i="123"/>
  <c r="B331" i="123"/>
  <c r="A328" i="123"/>
  <c r="D326" i="123"/>
  <c r="B326" i="123"/>
  <c r="A323" i="123"/>
  <c r="S306" i="123"/>
  <c r="S304" i="123"/>
  <c r="S302" i="123"/>
  <c r="U302" i="123" s="1"/>
  <c r="Z298" i="123"/>
  <c r="Z297" i="123"/>
  <c r="N294" i="123"/>
  <c r="J294" i="123"/>
  <c r="W290" i="123"/>
  <c r="W276" i="123"/>
  <c r="V274" i="123"/>
  <c r="W266" i="123"/>
  <c r="W265" i="123"/>
  <c r="V259" i="123"/>
  <c r="W256" i="123"/>
  <c r="O256" i="123"/>
  <c r="V254" i="123"/>
  <c r="V250" i="123"/>
  <c r="F246" i="123"/>
  <c r="W242" i="123"/>
  <c r="O242" i="123"/>
  <c r="AC241" i="123"/>
  <c r="AA241" i="123"/>
  <c r="V241" i="123"/>
  <c r="AC240" i="123"/>
  <c r="AB240" i="123"/>
  <c r="AA240" i="123"/>
  <c r="AG239" i="123"/>
  <c r="AC239" i="123"/>
  <c r="AB239" i="123"/>
  <c r="AA239" i="123"/>
  <c r="AC238" i="123"/>
  <c r="AA238" i="123"/>
  <c r="AC237" i="123"/>
  <c r="AB237" i="123"/>
  <c r="AA237" i="123"/>
  <c r="AG236" i="123"/>
  <c r="AC236" i="123"/>
  <c r="AB236" i="123"/>
  <c r="AA236" i="123"/>
  <c r="W235" i="123"/>
  <c r="O235" i="123"/>
  <c r="F235" i="123"/>
  <c r="V234" i="123"/>
  <c r="W229" i="123"/>
  <c r="O229" i="123"/>
  <c r="V228" i="123"/>
  <c r="F225" i="123"/>
  <c r="AD222" i="123"/>
  <c r="AF222" i="123" s="1"/>
  <c r="B220" i="123"/>
  <c r="AD219" i="123"/>
  <c r="AD218" i="123"/>
  <c r="W218" i="123"/>
  <c r="O218" i="123"/>
  <c r="V217" i="123"/>
  <c r="W210" i="123"/>
  <c r="O210" i="123"/>
  <c r="V208" i="123"/>
  <c r="V206" i="123"/>
  <c r="W201" i="123"/>
  <c r="O201" i="123"/>
  <c r="V200" i="123"/>
  <c r="W188" i="123"/>
  <c r="O188" i="123"/>
  <c r="V187" i="123"/>
  <c r="W174" i="123"/>
  <c r="O174" i="123"/>
  <c r="W168" i="123"/>
  <c r="O168" i="123"/>
  <c r="W165" i="123"/>
  <c r="W159" i="123"/>
  <c r="O159" i="123"/>
  <c r="V155" i="123"/>
  <c r="F154" i="123"/>
  <c r="D154" i="123"/>
  <c r="F153" i="123"/>
  <c r="D153" i="123"/>
  <c r="F152" i="123"/>
  <c r="D152" i="123"/>
  <c r="W151" i="123"/>
  <c r="O151" i="123"/>
  <c r="V150" i="123"/>
  <c r="W143" i="123"/>
  <c r="O143" i="123"/>
  <c r="V142" i="123"/>
  <c r="F140" i="123"/>
  <c r="W139" i="123"/>
  <c r="O139" i="123"/>
  <c r="V138" i="123"/>
  <c r="F134" i="123"/>
  <c r="W133" i="123"/>
  <c r="O133" i="123"/>
  <c r="V132" i="123"/>
  <c r="W122" i="123"/>
  <c r="O122" i="123"/>
  <c r="V120" i="123"/>
  <c r="D120" i="123"/>
  <c r="A116" i="123"/>
  <c r="W116" i="123" s="1"/>
  <c r="L48" i="123"/>
  <c r="P47" i="106"/>
  <c r="P91" i="123" s="1"/>
  <c r="P45" i="106"/>
  <c r="P44" i="106"/>
  <c r="P43" i="106"/>
  <c r="P87" i="123" s="1"/>
  <c r="L35" i="106"/>
  <c r="L4" i="106"/>
  <c r="O6" i="123"/>
  <c r="A5" i="123"/>
  <c r="A3" i="113"/>
  <c r="O9" i="123"/>
  <c r="F132" i="107"/>
  <c r="G132" i="107" s="1"/>
  <c r="O719" i="123" s="1"/>
  <c r="N268" i="110"/>
  <c r="N252" i="110"/>
  <c r="N250" i="110"/>
  <c r="N249" i="110"/>
  <c r="N244" i="110"/>
  <c r="N243" i="110"/>
  <c r="H267" i="110"/>
  <c r="H266" i="110"/>
  <c r="N262" i="110"/>
  <c r="N260" i="110"/>
  <c r="N258" i="110"/>
  <c r="H257" i="110"/>
  <c r="H255" i="110"/>
  <c r="H246" i="110"/>
  <c r="H247" i="110"/>
  <c r="CE468" i="123" l="1"/>
  <c r="OA469" i="123"/>
  <c r="AZ468" i="123"/>
  <c r="CF468" i="123"/>
  <c r="DL468" i="123"/>
  <c r="ER468" i="123"/>
  <c r="FX468" i="123"/>
  <c r="HD468" i="123"/>
  <c r="HN469" i="123"/>
  <c r="KW469" i="123"/>
  <c r="LV469" i="123"/>
  <c r="LY469" i="123"/>
  <c r="KD469" i="123"/>
  <c r="KE469" i="123"/>
  <c r="KJ469" i="123"/>
  <c r="MG469" i="123"/>
  <c r="MH469" i="123"/>
  <c r="CC468" i="123"/>
  <c r="EO468" i="123"/>
  <c r="CA469" i="123"/>
  <c r="MM469" i="123"/>
  <c r="CD468" i="123"/>
  <c r="EP468" i="123"/>
  <c r="DX469" i="123"/>
  <c r="AY468" i="123"/>
  <c r="EQ468" i="123"/>
  <c r="DM468" i="123"/>
  <c r="BB468" i="123"/>
  <c r="CH468" i="123"/>
  <c r="DN468" i="123"/>
  <c r="ET468" i="123"/>
  <c r="FZ468" i="123"/>
  <c r="HF468" i="123"/>
  <c r="JL469" i="123"/>
  <c r="LC469" i="123"/>
  <c r="JW469" i="123"/>
  <c r="MD469" i="123"/>
  <c r="KQ469" i="123"/>
  <c r="AW468" i="123"/>
  <c r="DI468" i="123"/>
  <c r="FU468" i="123"/>
  <c r="HA468" i="123"/>
  <c r="KT469" i="123"/>
  <c r="IA468" i="123"/>
  <c r="DJ468" i="123"/>
  <c r="HB468" i="123"/>
  <c r="MZ469" i="123"/>
  <c r="DK468" i="123"/>
  <c r="HC468" i="123"/>
  <c r="KV469" i="123"/>
  <c r="BA468" i="123"/>
  <c r="FY468" i="123"/>
  <c r="BC468" i="123"/>
  <c r="CI468" i="123"/>
  <c r="DO468" i="123"/>
  <c r="EU468" i="123"/>
  <c r="GA468" i="123"/>
  <c r="HG468" i="123"/>
  <c r="JO469" i="123"/>
  <c r="LE469" i="123"/>
  <c r="AX468" i="123"/>
  <c r="FV468" i="123"/>
  <c r="KU469" i="123"/>
  <c r="FW468" i="123"/>
  <c r="CG468" i="123"/>
  <c r="ES468" i="123"/>
  <c r="HE468" i="123"/>
  <c r="KX469" i="123"/>
  <c r="X468" i="123"/>
  <c r="BD468" i="123"/>
  <c r="CJ468" i="123"/>
  <c r="DP468" i="123"/>
  <c r="EV468" i="123"/>
  <c r="GB468" i="123"/>
  <c r="JP469" i="123"/>
  <c r="LM469" i="123"/>
  <c r="HO470" i="123"/>
  <c r="JI470" i="123"/>
  <c r="Y468" i="123"/>
  <c r="BU468" i="123"/>
  <c r="DQ468" i="123"/>
  <c r="CL468" i="123"/>
  <c r="DR468" i="123"/>
  <c r="GT468" i="123"/>
  <c r="KO470" i="123"/>
  <c r="AQ468" i="123"/>
  <c r="AR468" i="123"/>
  <c r="BX468" i="123"/>
  <c r="DD468" i="123"/>
  <c r="EJ468" i="123"/>
  <c r="FP468" i="123"/>
  <c r="GV468" i="123"/>
  <c r="MW468" i="123"/>
  <c r="LU470" i="123"/>
  <c r="AC468" i="123"/>
  <c r="AS468" i="123"/>
  <c r="BI468" i="123"/>
  <c r="BY468" i="123"/>
  <c r="CO468" i="123"/>
  <c r="DE468" i="123"/>
  <c r="DU468" i="123"/>
  <c r="EK468" i="123"/>
  <c r="FA468" i="123"/>
  <c r="FQ468" i="123"/>
  <c r="GG468" i="123"/>
  <c r="GW468" i="123"/>
  <c r="HM468" i="123"/>
  <c r="MX468" i="123"/>
  <c r="MK470" i="123"/>
  <c r="AD468" i="123"/>
  <c r="AT468" i="123"/>
  <c r="BJ468" i="123"/>
  <c r="BZ468" i="123"/>
  <c r="CP468" i="123"/>
  <c r="DF468" i="123"/>
  <c r="DV468" i="123"/>
  <c r="EL468" i="123"/>
  <c r="FB468" i="123"/>
  <c r="FR468" i="123"/>
  <c r="GH468" i="123"/>
  <c r="GX468" i="123"/>
  <c r="HN468" i="123"/>
  <c r="MY468" i="123"/>
  <c r="NS470" i="123"/>
  <c r="NR470" i="123"/>
  <c r="EW468" i="123"/>
  <c r="BF468" i="123"/>
  <c r="BV468" i="123"/>
  <c r="EH468" i="123"/>
  <c r="GD468" i="123"/>
  <c r="MU468" i="123"/>
  <c r="BG468" i="123"/>
  <c r="CM468" i="123"/>
  <c r="EI468" i="123"/>
  <c r="EY468" i="123"/>
  <c r="GU468" i="123"/>
  <c r="LE470" i="123"/>
  <c r="AB468" i="123"/>
  <c r="BH468" i="123"/>
  <c r="CN468" i="123"/>
  <c r="DT468" i="123"/>
  <c r="EZ468" i="123"/>
  <c r="GF468" i="123"/>
  <c r="HL468" i="123"/>
  <c r="AE468" i="123"/>
  <c r="AU468" i="123"/>
  <c r="BK468" i="123"/>
  <c r="CA468" i="123"/>
  <c r="CQ468" i="123"/>
  <c r="DG468" i="123"/>
  <c r="DW468" i="123"/>
  <c r="EM468" i="123"/>
  <c r="FC468" i="123"/>
  <c r="FS468" i="123"/>
  <c r="GI468" i="123"/>
  <c r="GY468" i="123"/>
  <c r="NB468" i="123"/>
  <c r="HJ470" i="123"/>
  <c r="AO468" i="123"/>
  <c r="BE468" i="123"/>
  <c r="CK468" i="123"/>
  <c r="DA468" i="123"/>
  <c r="EG468" i="123"/>
  <c r="FM468" i="123"/>
  <c r="GC468" i="123"/>
  <c r="GS468" i="123"/>
  <c r="HI468" i="123"/>
  <c r="MT468" i="123"/>
  <c r="Z468" i="123"/>
  <c r="AP468" i="123"/>
  <c r="DB468" i="123"/>
  <c r="EX468" i="123"/>
  <c r="FN468" i="123"/>
  <c r="HJ468" i="123"/>
  <c r="AA468" i="123"/>
  <c r="BW468" i="123"/>
  <c r="DC468" i="123"/>
  <c r="DS468" i="123"/>
  <c r="FO468" i="123"/>
  <c r="GE468" i="123"/>
  <c r="HK468" i="123"/>
  <c r="MV468" i="123"/>
  <c r="HO468" i="123"/>
  <c r="AF468" i="123"/>
  <c r="AV468" i="123"/>
  <c r="BL468" i="123"/>
  <c r="CB468" i="123"/>
  <c r="CR468" i="123"/>
  <c r="DH468" i="123"/>
  <c r="DX468" i="123"/>
  <c r="EN468" i="123"/>
  <c r="FD468" i="123"/>
  <c r="FT468" i="123"/>
  <c r="GJ468" i="123"/>
  <c r="GZ468" i="123"/>
  <c r="O266" i="110"/>
  <c r="G246" i="123"/>
  <c r="S246" i="123"/>
  <c r="NY481" i="123"/>
  <c r="IN482" i="123"/>
  <c r="NK478" i="123"/>
  <c r="NB474" i="123"/>
  <c r="NZ481" i="123"/>
  <c r="OA481" i="123"/>
  <c r="CE476" i="123"/>
  <c r="OB481" i="123"/>
  <c r="OC481" i="123"/>
  <c r="NX480" i="123"/>
  <c r="NT472" i="123"/>
  <c r="MA476" i="123"/>
  <c r="MS480" i="123"/>
  <c r="LU479" i="123"/>
  <c r="NS481" i="123"/>
  <c r="NT481" i="123"/>
  <c r="FA477" i="123"/>
  <c r="BX470" i="123"/>
  <c r="DW470" i="123"/>
  <c r="FR470" i="123"/>
  <c r="HN470" i="123"/>
  <c r="AC474" i="123"/>
  <c r="AT474" i="123"/>
  <c r="BK474" i="123"/>
  <c r="CC474" i="123"/>
  <c r="CT474" i="123"/>
  <c r="DK474" i="123"/>
  <c r="EB474" i="123"/>
  <c r="ES474" i="123"/>
  <c r="FK474" i="123"/>
  <c r="GB474" i="123"/>
  <c r="GS474" i="123"/>
  <c r="HJ474" i="123"/>
  <c r="IB474" i="123"/>
  <c r="IS474" i="123"/>
  <c r="NC474" i="123"/>
  <c r="AC478" i="123"/>
  <c r="AS478" i="123"/>
  <c r="BI478" i="123"/>
  <c r="FB478" i="123"/>
  <c r="GA478" i="123"/>
  <c r="GQ478" i="123"/>
  <c r="HL478" i="123"/>
  <c r="ID478" i="123"/>
  <c r="IW478" i="123"/>
  <c r="MT478" i="123"/>
  <c r="NL478" i="123"/>
  <c r="AZ482" i="123"/>
  <c r="CU482" i="123"/>
  <c r="EM482" i="123"/>
  <c r="GS482" i="123"/>
  <c r="IV482" i="123"/>
  <c r="AC470" i="123"/>
  <c r="BZ470" i="123"/>
  <c r="EA470" i="123"/>
  <c r="GB470" i="123"/>
  <c r="HU470" i="123"/>
  <c r="AE474" i="123"/>
  <c r="AV474" i="123"/>
  <c r="BM474" i="123"/>
  <c r="CE474" i="123"/>
  <c r="CV474" i="123"/>
  <c r="DM474" i="123"/>
  <c r="ED474" i="123"/>
  <c r="EV474" i="123"/>
  <c r="FM474" i="123"/>
  <c r="GD474" i="123"/>
  <c r="GU474" i="123"/>
  <c r="HM474" i="123"/>
  <c r="ID474" i="123"/>
  <c r="IU474" i="123"/>
  <c r="NE474" i="123"/>
  <c r="AE478" i="123"/>
  <c r="AU478" i="123"/>
  <c r="BK478" i="123"/>
  <c r="FM478" i="123"/>
  <c r="GC478" i="123"/>
  <c r="GS478" i="123"/>
  <c r="HN478" i="123"/>
  <c r="IF478" i="123"/>
  <c r="IY478" i="123"/>
  <c r="MV478" i="123"/>
  <c r="NN478" i="123"/>
  <c r="BH482" i="123"/>
  <c r="CY482" i="123"/>
  <c r="EX482" i="123"/>
  <c r="GX482" i="123"/>
  <c r="IX482" i="123"/>
  <c r="AJ470" i="123"/>
  <c r="CD470" i="123"/>
  <c r="EB470" i="123"/>
  <c r="GC470" i="123"/>
  <c r="IC470" i="123"/>
  <c r="AF474" i="123"/>
  <c r="AW474" i="123"/>
  <c r="BO474" i="123"/>
  <c r="CF474" i="123"/>
  <c r="CW474" i="123"/>
  <c r="DN474" i="123"/>
  <c r="EE474" i="123"/>
  <c r="EW474" i="123"/>
  <c r="FN474" i="123"/>
  <c r="GE474" i="123"/>
  <c r="GV474" i="123"/>
  <c r="HN474" i="123"/>
  <c r="IE474" i="123"/>
  <c r="IV474" i="123"/>
  <c r="NF474" i="123"/>
  <c r="AF478" i="123"/>
  <c r="AV478" i="123"/>
  <c r="BR478" i="123"/>
  <c r="FN478" i="123"/>
  <c r="GD478" i="123"/>
  <c r="GT478" i="123"/>
  <c r="HO478" i="123"/>
  <c r="IH478" i="123"/>
  <c r="IZ478" i="123"/>
  <c r="MW478" i="123"/>
  <c r="BK482" i="123"/>
  <c r="CZ482" i="123"/>
  <c r="FA482" i="123"/>
  <c r="HB482" i="123"/>
  <c r="IY482" i="123"/>
  <c r="AQ470" i="123"/>
  <c r="CE470" i="123"/>
  <c r="EC470" i="123"/>
  <c r="GD470" i="123"/>
  <c r="IE470" i="123"/>
  <c r="AG474" i="123"/>
  <c r="AX474" i="123"/>
  <c r="BP474" i="123"/>
  <c r="CG474" i="123"/>
  <c r="CX474" i="123"/>
  <c r="DO474" i="123"/>
  <c r="EG474" i="123"/>
  <c r="EX474" i="123"/>
  <c r="FO474" i="123"/>
  <c r="GF474" i="123"/>
  <c r="GW474" i="123"/>
  <c r="HO474" i="123"/>
  <c r="IF474" i="123"/>
  <c r="IW474" i="123"/>
  <c r="MP474" i="123"/>
  <c r="NG474" i="123"/>
  <c r="AG478" i="123"/>
  <c r="AW478" i="123"/>
  <c r="CH478" i="123"/>
  <c r="FO478" i="123"/>
  <c r="GE478" i="123"/>
  <c r="GU478" i="123"/>
  <c r="HP478" i="123"/>
  <c r="II478" i="123"/>
  <c r="JA478" i="123"/>
  <c r="MX478" i="123"/>
  <c r="BL482" i="123"/>
  <c r="DA482" i="123"/>
  <c r="FB482" i="123"/>
  <c r="HC482" i="123"/>
  <c r="JF482" i="123"/>
  <c r="AR470" i="123"/>
  <c r="CO470" i="123"/>
  <c r="EE470" i="123"/>
  <c r="GE470" i="123"/>
  <c r="IF470" i="123"/>
  <c r="MR470" i="123"/>
  <c r="AH474" i="123"/>
  <c r="AY474" i="123"/>
  <c r="BQ474" i="123"/>
  <c r="CH474" i="123"/>
  <c r="CY474" i="123"/>
  <c r="DP474" i="123"/>
  <c r="EH474" i="123"/>
  <c r="EY474" i="123"/>
  <c r="FP474" i="123"/>
  <c r="GG474" i="123"/>
  <c r="GY474" i="123"/>
  <c r="HP474" i="123"/>
  <c r="IG474" i="123"/>
  <c r="IX474" i="123"/>
  <c r="MQ474" i="123"/>
  <c r="NH474" i="123"/>
  <c r="AH478" i="123"/>
  <c r="AX478" i="123"/>
  <c r="CM478" i="123"/>
  <c r="FP478" i="123"/>
  <c r="GF478" i="123"/>
  <c r="GV478" i="123"/>
  <c r="HQ478" i="123"/>
  <c r="IJ478" i="123"/>
  <c r="JC478" i="123"/>
  <c r="MY478" i="123"/>
  <c r="BM482" i="123"/>
  <c r="DL482" i="123"/>
  <c r="FE482" i="123"/>
  <c r="HE482" i="123"/>
  <c r="MW482" i="123"/>
  <c r="AS470" i="123"/>
  <c r="CS470" i="123"/>
  <c r="EI470" i="123"/>
  <c r="GF470" i="123"/>
  <c r="IG470" i="123"/>
  <c r="MS470" i="123"/>
  <c r="AI474" i="123"/>
  <c r="BA474" i="123"/>
  <c r="BR474" i="123"/>
  <c r="CI474" i="123"/>
  <c r="CZ474" i="123"/>
  <c r="DQ474" i="123"/>
  <c r="EI474" i="123"/>
  <c r="EZ474" i="123"/>
  <c r="FQ474" i="123"/>
  <c r="GH474" i="123"/>
  <c r="GZ474" i="123"/>
  <c r="HQ474" i="123"/>
  <c r="IH474" i="123"/>
  <c r="IY474" i="123"/>
  <c r="MR474" i="123"/>
  <c r="NI474" i="123"/>
  <c r="AI478" i="123"/>
  <c r="AY478" i="123"/>
  <c r="CN478" i="123"/>
  <c r="FQ478" i="123"/>
  <c r="GG478" i="123"/>
  <c r="GW478" i="123"/>
  <c r="HR478" i="123"/>
  <c r="IK478" i="123"/>
  <c r="JD478" i="123"/>
  <c r="MZ478" i="123"/>
  <c r="X482" i="123"/>
  <c r="BS482" i="123"/>
  <c r="DN482" i="123"/>
  <c r="FF482" i="123"/>
  <c r="HO482" i="123"/>
  <c r="MX482" i="123"/>
  <c r="EG478" i="123"/>
  <c r="AT470" i="123"/>
  <c r="CU470" i="123"/>
  <c r="ER470" i="123"/>
  <c r="GI470" i="123"/>
  <c r="IH470" i="123"/>
  <c r="MU470" i="123"/>
  <c r="AJ474" i="123"/>
  <c r="BB474" i="123"/>
  <c r="BS474" i="123"/>
  <c r="CJ474" i="123"/>
  <c r="DA474" i="123"/>
  <c r="DS474" i="123"/>
  <c r="EJ474" i="123"/>
  <c r="FA474" i="123"/>
  <c r="FR474" i="123"/>
  <c r="GI474" i="123"/>
  <c r="HA474" i="123"/>
  <c r="HR474" i="123"/>
  <c r="II474" i="123"/>
  <c r="IZ474" i="123"/>
  <c r="MS474" i="123"/>
  <c r="NK474" i="123"/>
  <c r="AJ478" i="123"/>
  <c r="AZ478" i="123"/>
  <c r="CP478" i="123"/>
  <c r="FR478" i="123"/>
  <c r="GH478" i="123"/>
  <c r="GX478" i="123"/>
  <c r="HT478" i="123"/>
  <c r="IL478" i="123"/>
  <c r="JE478" i="123"/>
  <c r="NA478" i="123"/>
  <c r="AG482" i="123"/>
  <c r="BV482" i="123"/>
  <c r="DP482" i="123"/>
  <c r="FJ482" i="123"/>
  <c r="HQ482" i="123"/>
  <c r="MY482" i="123"/>
  <c r="AU470" i="123"/>
  <c r="CV470" i="123"/>
  <c r="EV470" i="123"/>
  <c r="GL470" i="123"/>
  <c r="II470" i="123"/>
  <c r="MX470" i="123"/>
  <c r="AK474" i="123"/>
  <c r="BC474" i="123"/>
  <c r="BT474" i="123"/>
  <c r="CK474" i="123"/>
  <c r="DB474" i="123"/>
  <c r="DT474" i="123"/>
  <c r="EK474" i="123"/>
  <c r="FB474" i="123"/>
  <c r="FS474" i="123"/>
  <c r="GK474" i="123"/>
  <c r="HB474" i="123"/>
  <c r="HS474" i="123"/>
  <c r="IJ474" i="123"/>
  <c r="JA474" i="123"/>
  <c r="MT474" i="123"/>
  <c r="NL474" i="123"/>
  <c r="AK478" i="123"/>
  <c r="BA478" i="123"/>
  <c r="CR478" i="123"/>
  <c r="FS478" i="123"/>
  <c r="GI478" i="123"/>
  <c r="GY478" i="123"/>
  <c r="HU478" i="123"/>
  <c r="IN478" i="123"/>
  <c r="JF478" i="123"/>
  <c r="ND478" i="123"/>
  <c r="AI482" i="123"/>
  <c r="BY482" i="123"/>
  <c r="DQ482" i="123"/>
  <c r="FK482" i="123"/>
  <c r="HS482" i="123"/>
  <c r="MZ482" i="123"/>
  <c r="AW470" i="123"/>
  <c r="CW470" i="123"/>
  <c r="EW470" i="123"/>
  <c r="GU470" i="123"/>
  <c r="IL470" i="123"/>
  <c r="NF470" i="123"/>
  <c r="AM474" i="123"/>
  <c r="BD474" i="123"/>
  <c r="BU474" i="123"/>
  <c r="CL474" i="123"/>
  <c r="DC474" i="123"/>
  <c r="DU474" i="123"/>
  <c r="EL474" i="123"/>
  <c r="FC474" i="123"/>
  <c r="FT474" i="123"/>
  <c r="GL474" i="123"/>
  <c r="HC474" i="123"/>
  <c r="HT474" i="123"/>
  <c r="IK474" i="123"/>
  <c r="JC474" i="123"/>
  <c r="MU474" i="123"/>
  <c r="NM474" i="123"/>
  <c r="AL478" i="123"/>
  <c r="BB478" i="123"/>
  <c r="DB478" i="123"/>
  <c r="FT478" i="123"/>
  <c r="GJ478" i="123"/>
  <c r="GZ478" i="123"/>
  <c r="HV478" i="123"/>
  <c r="IO478" i="123"/>
  <c r="JG478" i="123"/>
  <c r="NE478" i="123"/>
  <c r="AJ482" i="123"/>
  <c r="CA482" i="123"/>
  <c r="DR482" i="123"/>
  <c r="FM482" i="123"/>
  <c r="HT482" i="123"/>
  <c r="NM482" i="123"/>
  <c r="BC470" i="123"/>
  <c r="CY470" i="123"/>
  <c r="EY470" i="123"/>
  <c r="GW470" i="123"/>
  <c r="IQ470" i="123"/>
  <c r="NL470" i="123"/>
  <c r="AN474" i="123"/>
  <c r="BE474" i="123"/>
  <c r="BV474" i="123"/>
  <c r="CM474" i="123"/>
  <c r="DE474" i="123"/>
  <c r="DV474" i="123"/>
  <c r="EM474" i="123"/>
  <c r="FD474" i="123"/>
  <c r="FU474" i="123"/>
  <c r="GM474" i="123"/>
  <c r="HD474" i="123"/>
  <c r="HU474" i="123"/>
  <c r="IL474" i="123"/>
  <c r="JD474" i="123"/>
  <c r="MW474" i="123"/>
  <c r="NN474" i="123"/>
  <c r="AM478" i="123"/>
  <c r="BC478" i="123"/>
  <c r="DH478" i="123"/>
  <c r="FU478" i="123"/>
  <c r="GK478" i="123"/>
  <c r="HA478" i="123"/>
  <c r="HW478" i="123"/>
  <c r="IP478" i="123"/>
  <c r="JH478" i="123"/>
  <c r="NF478" i="123"/>
  <c r="AK482" i="123"/>
  <c r="CB482" i="123"/>
  <c r="DT482" i="123"/>
  <c r="GA482" i="123"/>
  <c r="HU482" i="123"/>
  <c r="NN482" i="123"/>
  <c r="BG470" i="123"/>
  <c r="CZ470" i="123"/>
  <c r="FA470" i="123"/>
  <c r="GZ470" i="123"/>
  <c r="IX470" i="123"/>
  <c r="NM470" i="123"/>
  <c r="AO474" i="123"/>
  <c r="BF474" i="123"/>
  <c r="BW474" i="123"/>
  <c r="CN474" i="123"/>
  <c r="DF474" i="123"/>
  <c r="DW474" i="123"/>
  <c r="EN474" i="123"/>
  <c r="FE474" i="123"/>
  <c r="FW474" i="123"/>
  <c r="GN474" i="123"/>
  <c r="HE474" i="123"/>
  <c r="HV474" i="123"/>
  <c r="IM474" i="123"/>
  <c r="JE474" i="123"/>
  <c r="MX474" i="123"/>
  <c r="X478" i="123"/>
  <c r="AN478" i="123"/>
  <c r="BD478" i="123"/>
  <c r="EC478" i="123"/>
  <c r="FV478" i="123"/>
  <c r="GL478" i="123"/>
  <c r="HB478" i="123"/>
  <c r="HY478" i="123"/>
  <c r="IQ478" i="123"/>
  <c r="NG478" i="123"/>
  <c r="AM482" i="123"/>
  <c r="CD482" i="123"/>
  <c r="ED482" i="123"/>
  <c r="GC482" i="123"/>
  <c r="HW482" i="123"/>
  <c r="BK470" i="123"/>
  <c r="DI470" i="123"/>
  <c r="FB470" i="123"/>
  <c r="HC470" i="123"/>
  <c r="IZ470" i="123"/>
  <c r="Y474" i="123"/>
  <c r="AP474" i="123"/>
  <c r="BG474" i="123"/>
  <c r="BX474" i="123"/>
  <c r="CO474" i="123"/>
  <c r="DG474" i="123"/>
  <c r="DX474" i="123"/>
  <c r="EO474" i="123"/>
  <c r="FF474" i="123"/>
  <c r="FX474" i="123"/>
  <c r="GO474" i="123"/>
  <c r="HF474" i="123"/>
  <c r="HW474" i="123"/>
  <c r="IO474" i="123"/>
  <c r="JF474" i="123"/>
  <c r="MY474" i="123"/>
  <c r="Y478" i="123"/>
  <c r="AO478" i="123"/>
  <c r="BE478" i="123"/>
  <c r="EH478" i="123"/>
  <c r="FW478" i="123"/>
  <c r="GM478" i="123"/>
  <c r="HC478" i="123"/>
  <c r="HZ478" i="123"/>
  <c r="IR478" i="123"/>
  <c r="MP478" i="123"/>
  <c r="NH478" i="123"/>
  <c r="AO482" i="123"/>
  <c r="CG482" i="123"/>
  <c r="EE482" i="123"/>
  <c r="GD482" i="123"/>
  <c r="IK482" i="123"/>
  <c r="BP470" i="123"/>
  <c r="DJ470" i="123"/>
  <c r="FE470" i="123"/>
  <c r="HD470" i="123"/>
  <c r="JD470" i="123"/>
  <c r="Z474" i="123"/>
  <c r="AQ474" i="123"/>
  <c r="BH474" i="123"/>
  <c r="BY474" i="123"/>
  <c r="CQ474" i="123"/>
  <c r="DH474" i="123"/>
  <c r="DY474" i="123"/>
  <c r="EP474" i="123"/>
  <c r="FG474" i="123"/>
  <c r="FY474" i="123"/>
  <c r="GP474" i="123"/>
  <c r="HG474" i="123"/>
  <c r="HX474" i="123"/>
  <c r="IP474" i="123"/>
  <c r="JG474" i="123"/>
  <c r="MZ474" i="123"/>
  <c r="Z478" i="123"/>
  <c r="AP478" i="123"/>
  <c r="BF478" i="123"/>
  <c r="EL478" i="123"/>
  <c r="FX478" i="123"/>
  <c r="GN478" i="123"/>
  <c r="HD478" i="123"/>
  <c r="IA478" i="123"/>
  <c r="IS478" i="123"/>
  <c r="MQ478" i="123"/>
  <c r="NI478" i="123"/>
  <c r="AS482" i="123"/>
  <c r="CP482" i="123"/>
  <c r="EF482" i="123"/>
  <c r="GE482" i="123"/>
  <c r="IL482" i="123"/>
  <c r="BQ470" i="123"/>
  <c r="DN470" i="123"/>
  <c r="FK470" i="123"/>
  <c r="HG470" i="123"/>
  <c r="JE470" i="123"/>
  <c r="AA474" i="123"/>
  <c r="AR474" i="123"/>
  <c r="BI474" i="123"/>
  <c r="BZ474" i="123"/>
  <c r="CR474" i="123"/>
  <c r="DI474" i="123"/>
  <c r="DZ474" i="123"/>
  <c r="EQ474" i="123"/>
  <c r="FI474" i="123"/>
  <c r="FZ474" i="123"/>
  <c r="GQ474" i="123"/>
  <c r="HH474" i="123"/>
  <c r="HY474" i="123"/>
  <c r="IQ474" i="123"/>
  <c r="JH474" i="123"/>
  <c r="NA474" i="123"/>
  <c r="AA478" i="123"/>
  <c r="AQ478" i="123"/>
  <c r="BG478" i="123"/>
  <c r="EY478" i="123"/>
  <c r="FY478" i="123"/>
  <c r="GO478" i="123"/>
  <c r="HE478" i="123"/>
  <c r="IB478" i="123"/>
  <c r="IT478" i="123"/>
  <c r="MR478" i="123"/>
  <c r="NJ478" i="123"/>
  <c r="AT482" i="123"/>
  <c r="CR482" i="123"/>
  <c r="EG482" i="123"/>
  <c r="GI482" i="123"/>
  <c r="IM482" i="123"/>
  <c r="BU470" i="123"/>
  <c r="DQ470" i="123"/>
  <c r="FM470" i="123"/>
  <c r="AB474" i="123"/>
  <c r="AS474" i="123"/>
  <c r="BJ474" i="123"/>
  <c r="CA474" i="123"/>
  <c r="CS474" i="123"/>
  <c r="DJ474" i="123"/>
  <c r="EA474" i="123"/>
  <c r="ER474" i="123"/>
  <c r="FJ474" i="123"/>
  <c r="GA474" i="123"/>
  <c r="GR474" i="123"/>
  <c r="HI474" i="123"/>
  <c r="IA474" i="123"/>
  <c r="IR474" i="123"/>
  <c r="AB478" i="123"/>
  <c r="AR478" i="123"/>
  <c r="BH478" i="123"/>
  <c r="EZ478" i="123"/>
  <c r="FZ478" i="123"/>
  <c r="GP478" i="123"/>
  <c r="HK478" i="123"/>
  <c r="IC478" i="123"/>
  <c r="IV478" i="123"/>
  <c r="MS478" i="123"/>
  <c r="AY482" i="123"/>
  <c r="CS482" i="123"/>
  <c r="EJ482" i="123"/>
  <c r="GJ482" i="123"/>
  <c r="JJ470" i="123"/>
  <c r="JZ470" i="123"/>
  <c r="KP470" i="123"/>
  <c r="LF470" i="123"/>
  <c r="LV470" i="123"/>
  <c r="ML470" i="123"/>
  <c r="NT470" i="123"/>
  <c r="JM474" i="123"/>
  <c r="KE474" i="123"/>
  <c r="KV474" i="123"/>
  <c r="LM474" i="123"/>
  <c r="MD474" i="123"/>
  <c r="JJ478" i="123"/>
  <c r="NX478" i="123"/>
  <c r="JK470" i="123"/>
  <c r="KA470" i="123"/>
  <c r="KQ470" i="123"/>
  <c r="LG470" i="123"/>
  <c r="LW470" i="123"/>
  <c r="MM470" i="123"/>
  <c r="NU470" i="123"/>
  <c r="JN474" i="123"/>
  <c r="KF474" i="123"/>
  <c r="KW474" i="123"/>
  <c r="LN474" i="123"/>
  <c r="ME474" i="123"/>
  <c r="JK478" i="123"/>
  <c r="JL470" i="123"/>
  <c r="KB470" i="123"/>
  <c r="KR470" i="123"/>
  <c r="LH470" i="123"/>
  <c r="LX470" i="123"/>
  <c r="MN470" i="123"/>
  <c r="NV470" i="123"/>
  <c r="JO474" i="123"/>
  <c r="KG474" i="123"/>
  <c r="KX474" i="123"/>
  <c r="LO474" i="123"/>
  <c r="MF474" i="123"/>
  <c r="NO474" i="123"/>
  <c r="JL478" i="123"/>
  <c r="JT482" i="123"/>
  <c r="JM470" i="123"/>
  <c r="KC470" i="123"/>
  <c r="KS470" i="123"/>
  <c r="LI470" i="123"/>
  <c r="LY470" i="123"/>
  <c r="MO470" i="123"/>
  <c r="NW470" i="123"/>
  <c r="JQ474" i="123"/>
  <c r="KH474" i="123"/>
  <c r="KY474" i="123"/>
  <c r="LP474" i="123"/>
  <c r="MG474" i="123"/>
  <c r="NP474" i="123"/>
  <c r="JM478" i="123"/>
  <c r="JN470" i="123"/>
  <c r="KD470" i="123"/>
  <c r="KT470" i="123"/>
  <c r="LJ470" i="123"/>
  <c r="LZ470" i="123"/>
  <c r="NX470" i="123"/>
  <c r="JR474" i="123"/>
  <c r="KI474" i="123"/>
  <c r="KZ474" i="123"/>
  <c r="LQ474" i="123"/>
  <c r="MI474" i="123"/>
  <c r="NQ474" i="123"/>
  <c r="LN478" i="123"/>
  <c r="JO470" i="123"/>
  <c r="KE470" i="123"/>
  <c r="KU470" i="123"/>
  <c r="LK470" i="123"/>
  <c r="MA470" i="123"/>
  <c r="NY470" i="123"/>
  <c r="JS474" i="123"/>
  <c r="KJ474" i="123"/>
  <c r="LA474" i="123"/>
  <c r="LR474" i="123"/>
  <c r="MJ474" i="123"/>
  <c r="NR474" i="123"/>
  <c r="JP470" i="123"/>
  <c r="KF470" i="123"/>
  <c r="KV470" i="123"/>
  <c r="LL470" i="123"/>
  <c r="MB470" i="123"/>
  <c r="NZ470" i="123"/>
  <c r="JT474" i="123"/>
  <c r="KK474" i="123"/>
  <c r="LB474" i="123"/>
  <c r="LS474" i="123"/>
  <c r="MK474" i="123"/>
  <c r="NS474" i="123"/>
  <c r="NJ468" i="123"/>
  <c r="JQ470" i="123"/>
  <c r="KG470" i="123"/>
  <c r="KW470" i="123"/>
  <c r="LM470" i="123"/>
  <c r="MC470" i="123"/>
  <c r="OA470" i="123"/>
  <c r="JU474" i="123"/>
  <c r="KL474" i="123"/>
  <c r="LC474" i="123"/>
  <c r="LU474" i="123"/>
  <c r="ML474" i="123"/>
  <c r="NT474" i="123"/>
  <c r="JR470" i="123"/>
  <c r="KH470" i="123"/>
  <c r="KX470" i="123"/>
  <c r="LN470" i="123"/>
  <c r="MD470" i="123"/>
  <c r="OB470" i="123"/>
  <c r="JV474" i="123"/>
  <c r="KM474" i="123"/>
  <c r="LD474" i="123"/>
  <c r="LV474" i="123"/>
  <c r="MM474" i="123"/>
  <c r="NU474" i="123"/>
  <c r="JS470" i="123"/>
  <c r="KI470" i="123"/>
  <c r="KY470" i="123"/>
  <c r="LO470" i="123"/>
  <c r="ME470" i="123"/>
  <c r="OC470" i="123"/>
  <c r="JW474" i="123"/>
  <c r="KN474" i="123"/>
  <c r="LE474" i="123"/>
  <c r="LW474" i="123"/>
  <c r="MN474" i="123"/>
  <c r="NV474" i="123"/>
  <c r="GU482" i="123"/>
  <c r="JT470" i="123"/>
  <c r="KJ470" i="123"/>
  <c r="KZ470" i="123"/>
  <c r="LP470" i="123"/>
  <c r="MF470" i="123"/>
  <c r="JX474" i="123"/>
  <c r="KO474" i="123"/>
  <c r="LG474" i="123"/>
  <c r="LX474" i="123"/>
  <c r="MO474" i="123"/>
  <c r="NW474" i="123"/>
  <c r="LY474" i="123"/>
  <c r="NY474" i="123"/>
  <c r="JU470" i="123"/>
  <c r="LA470" i="123"/>
  <c r="NO470" i="123"/>
  <c r="JY474" i="123"/>
  <c r="JV470" i="123"/>
  <c r="KL470" i="123"/>
  <c r="LB470" i="123"/>
  <c r="LR470" i="123"/>
  <c r="MH470" i="123"/>
  <c r="NP470" i="123"/>
  <c r="JI474" i="123"/>
  <c r="JZ474" i="123"/>
  <c r="KQ474" i="123"/>
  <c r="LI474" i="123"/>
  <c r="LZ474" i="123"/>
  <c r="NZ474" i="123"/>
  <c r="NT478" i="123"/>
  <c r="LQ470" i="123"/>
  <c r="KP474" i="123"/>
  <c r="JW470" i="123"/>
  <c r="KM470" i="123"/>
  <c r="LC470" i="123"/>
  <c r="LS470" i="123"/>
  <c r="MI470" i="123"/>
  <c r="NQ470" i="123"/>
  <c r="JJ474" i="123"/>
  <c r="KA474" i="123"/>
  <c r="KS474" i="123"/>
  <c r="LJ474" i="123"/>
  <c r="MA474" i="123"/>
  <c r="OA474" i="123"/>
  <c r="NU478" i="123"/>
  <c r="KK470" i="123"/>
  <c r="MG470" i="123"/>
  <c r="LH474" i="123"/>
  <c r="JX470" i="123"/>
  <c r="KN470" i="123"/>
  <c r="LD470" i="123"/>
  <c r="LT470" i="123"/>
  <c r="MJ470" i="123"/>
  <c r="JK474" i="123"/>
  <c r="KB474" i="123"/>
  <c r="KT474" i="123"/>
  <c r="LK474" i="123"/>
  <c r="MB474" i="123"/>
  <c r="HT468" i="123"/>
  <c r="IJ468" i="123"/>
  <c r="IZ468" i="123"/>
  <c r="NK468" i="123"/>
  <c r="IP472" i="123"/>
  <c r="NU472" i="123"/>
  <c r="HU468" i="123"/>
  <c r="IK468" i="123"/>
  <c r="JA468" i="123"/>
  <c r="NL468" i="123"/>
  <c r="IQ472" i="123"/>
  <c r="NV472" i="123"/>
  <c r="HV468" i="123"/>
  <c r="IL468" i="123"/>
  <c r="JB468" i="123"/>
  <c r="NM468" i="123"/>
  <c r="JA472" i="123"/>
  <c r="NW472" i="123"/>
  <c r="HW468" i="123"/>
  <c r="IM468" i="123"/>
  <c r="JC468" i="123"/>
  <c r="NN468" i="123"/>
  <c r="JB472" i="123"/>
  <c r="NX472" i="123"/>
  <c r="NT480" i="123"/>
  <c r="HX468" i="123"/>
  <c r="IN468" i="123"/>
  <c r="JD468" i="123"/>
  <c r="HY468" i="123"/>
  <c r="IO468" i="123"/>
  <c r="JE468" i="123"/>
  <c r="MZ468" i="123"/>
  <c r="MZ472" i="123"/>
  <c r="HZ468" i="123"/>
  <c r="IP468" i="123"/>
  <c r="JF468" i="123"/>
  <c r="NA468" i="123"/>
  <c r="ND472" i="123"/>
  <c r="IB468" i="123"/>
  <c r="IR468" i="123"/>
  <c r="JH468" i="123"/>
  <c r="NC468" i="123"/>
  <c r="NG472" i="123"/>
  <c r="IC468" i="123"/>
  <c r="IS468" i="123"/>
  <c r="ND468" i="123"/>
  <c r="NI472" i="123"/>
  <c r="ID468" i="123"/>
  <c r="IT468" i="123"/>
  <c r="NE468" i="123"/>
  <c r="HP472" i="123"/>
  <c r="NL472" i="123"/>
  <c r="IE468" i="123"/>
  <c r="IU468" i="123"/>
  <c r="NF468" i="123"/>
  <c r="ID472" i="123"/>
  <c r="NO472" i="123"/>
  <c r="HP468" i="123"/>
  <c r="IF468" i="123"/>
  <c r="IV468" i="123"/>
  <c r="NG468" i="123"/>
  <c r="IJ472" i="123"/>
  <c r="NQ472" i="123"/>
  <c r="OC483" i="123"/>
  <c r="HQ468" i="123"/>
  <c r="IG468" i="123"/>
  <c r="IW468" i="123"/>
  <c r="NH468" i="123"/>
  <c r="IK472" i="123"/>
  <c r="NR472" i="123"/>
  <c r="HR468" i="123"/>
  <c r="IH468" i="123"/>
  <c r="IX468" i="123"/>
  <c r="NI468" i="123"/>
  <c r="IL472" i="123"/>
  <c r="NS472" i="123"/>
  <c r="HS468" i="123"/>
  <c r="II468" i="123"/>
  <c r="IY468" i="123"/>
  <c r="IM472" i="123"/>
  <c r="F238" i="123"/>
  <c r="NP472" i="123"/>
  <c r="M1460" i="123"/>
  <c r="L1538" i="123"/>
  <c r="R1547" i="123"/>
  <c r="L1325" i="123"/>
  <c r="L1324" i="123"/>
  <c r="L1326" i="123"/>
  <c r="L1322" i="123"/>
  <c r="L1323" i="123"/>
  <c r="O1318" i="123"/>
  <c r="L1318" i="123" s="1"/>
  <c r="JS472" i="123"/>
  <c r="KG472" i="123"/>
  <c r="KU472" i="123"/>
  <c r="LI472" i="123"/>
  <c r="LW472" i="123"/>
  <c r="MK472" i="123"/>
  <c r="JQ476" i="123"/>
  <c r="DD477" i="123"/>
  <c r="JS479" i="123"/>
  <c r="KG479" i="123"/>
  <c r="KU479" i="123"/>
  <c r="LJ479" i="123"/>
  <c r="ME479" i="123"/>
  <c r="AG481" i="123"/>
  <c r="BG481" i="123"/>
  <c r="CK481" i="123"/>
  <c r="DT481" i="123"/>
  <c r="EX481" i="123"/>
  <c r="GF481" i="123"/>
  <c r="BU482" i="123"/>
  <c r="CW482" i="123"/>
  <c r="DU482" i="123"/>
  <c r="FD482" i="123"/>
  <c r="GH482" i="123"/>
  <c r="HP482" i="123"/>
  <c r="IU482" i="123"/>
  <c r="NA482" i="123"/>
  <c r="HF484" i="123"/>
  <c r="KJ484" i="123"/>
  <c r="AB485" i="123"/>
  <c r="AV485" i="123"/>
  <c r="FM485" i="123"/>
  <c r="GF485" i="123"/>
  <c r="HD485" i="123"/>
  <c r="IN485" i="123"/>
  <c r="MR485" i="123"/>
  <c r="JY486" i="123"/>
  <c r="LA486" i="123"/>
  <c r="DR489" i="123"/>
  <c r="HI489" i="123"/>
  <c r="JK493" i="123"/>
  <c r="KV493" i="123"/>
  <c r="AB499" i="123"/>
  <c r="FP507" i="123"/>
  <c r="KV507" i="123"/>
  <c r="EF495" i="123"/>
  <c r="BV498" i="123"/>
  <c r="KD498" i="123"/>
  <c r="JM498" i="123"/>
  <c r="KJ498" i="123"/>
  <c r="JL498" i="123"/>
  <c r="JK498" i="123"/>
  <c r="NT484" i="123"/>
  <c r="LY484" i="123"/>
  <c r="KR484" i="123"/>
  <c r="JR484" i="123"/>
  <c r="DS484" i="123"/>
  <c r="NR484" i="123"/>
  <c r="LV484" i="123"/>
  <c r="KP484" i="123"/>
  <c r="JQ484" i="123"/>
  <c r="DJ484" i="123"/>
  <c r="NQ484" i="123"/>
  <c r="LO484" i="123"/>
  <c r="KO484" i="123"/>
  <c r="JO484" i="123"/>
  <c r="DI484" i="123"/>
  <c r="NP484" i="123"/>
  <c r="LN484" i="123"/>
  <c r="KN484" i="123"/>
  <c r="JM484" i="123"/>
  <c r="DE484" i="123"/>
  <c r="NL481" i="123"/>
  <c r="MP481" i="123"/>
  <c r="IU481" i="123"/>
  <c r="HZ481" i="123"/>
  <c r="HE481" i="123"/>
  <c r="GE481" i="123"/>
  <c r="FK481" i="123"/>
  <c r="EK481" i="123"/>
  <c r="DP481" i="123"/>
  <c r="CU481" i="123"/>
  <c r="BV481" i="123"/>
  <c r="BA481" i="123"/>
  <c r="AB481" i="123"/>
  <c r="NK481" i="123"/>
  <c r="IT481" i="123"/>
  <c r="HX481" i="123"/>
  <c r="HD481" i="123"/>
  <c r="GD481" i="123"/>
  <c r="FJ481" i="123"/>
  <c r="EJ481" i="123"/>
  <c r="DO481" i="123"/>
  <c r="CT481" i="123"/>
  <c r="BU481" i="123"/>
  <c r="AZ481" i="123"/>
  <c r="Z481" i="123"/>
  <c r="NJ481" i="123"/>
  <c r="IR481" i="123"/>
  <c r="HW481" i="123"/>
  <c r="GX481" i="123"/>
  <c r="GC481" i="123"/>
  <c r="FI481" i="123"/>
  <c r="EI481" i="123"/>
  <c r="DN481" i="123"/>
  <c r="CN481" i="123"/>
  <c r="BS481" i="123"/>
  <c r="AX481" i="123"/>
  <c r="Y481" i="123"/>
  <c r="NH481" i="123"/>
  <c r="IQ481" i="123"/>
  <c r="HV481" i="123"/>
  <c r="GV481" i="123"/>
  <c r="GB481" i="123"/>
  <c r="FH481" i="123"/>
  <c r="EH481" i="123"/>
  <c r="DL481" i="123"/>
  <c r="CM481" i="123"/>
  <c r="BR481" i="123"/>
  <c r="AW481" i="123"/>
  <c r="X481" i="123"/>
  <c r="MD500" i="123"/>
  <c r="LB500" i="123"/>
  <c r="JZ500" i="123"/>
  <c r="MA500" i="123"/>
  <c r="KY500" i="123"/>
  <c r="JW500" i="123"/>
  <c r="LZ500" i="123"/>
  <c r="KX500" i="123"/>
  <c r="JV500" i="123"/>
  <c r="LU500" i="123"/>
  <c r="KS500" i="123"/>
  <c r="JQ500" i="123"/>
  <c r="LS500" i="123"/>
  <c r="KQ500" i="123"/>
  <c r="JO500" i="123"/>
  <c r="MC486" i="123"/>
  <c r="LI486" i="123"/>
  <c r="KK486" i="123"/>
  <c r="JR486" i="123"/>
  <c r="MA486" i="123"/>
  <c r="LH486" i="123"/>
  <c r="KJ486" i="123"/>
  <c r="JN486" i="123"/>
  <c r="LZ486" i="123"/>
  <c r="LD486" i="123"/>
  <c r="KI486" i="123"/>
  <c r="OA486" i="123"/>
  <c r="LY486" i="123"/>
  <c r="LC486" i="123"/>
  <c r="KH486" i="123"/>
  <c r="KJ476" i="123"/>
  <c r="DT477" i="123"/>
  <c r="JU479" i="123"/>
  <c r="KI479" i="123"/>
  <c r="KX479" i="123"/>
  <c r="LO479" i="123"/>
  <c r="MG479" i="123"/>
  <c r="AI481" i="123"/>
  <c r="BN481" i="123"/>
  <c r="CV481" i="123"/>
  <c r="DZ481" i="123"/>
  <c r="EZ481" i="123"/>
  <c r="GN481" i="123"/>
  <c r="IZ481" i="123"/>
  <c r="MR481" i="123"/>
  <c r="HR484" i="123"/>
  <c r="KL484" i="123"/>
  <c r="MD484" i="123"/>
  <c r="KB486" i="123"/>
  <c r="LK486" i="123"/>
  <c r="MM486" i="123"/>
  <c r="JO493" i="123"/>
  <c r="LJ493" i="123"/>
  <c r="NR493" i="123"/>
  <c r="KC500" i="123"/>
  <c r="LQ500" i="123"/>
  <c r="JU487" i="123"/>
  <c r="LO487" i="123"/>
  <c r="LA487" i="123"/>
  <c r="KO487" i="123"/>
  <c r="KE500" i="123"/>
  <c r="ME500" i="123"/>
  <c r="LR507" i="123"/>
  <c r="KL476" i="123"/>
  <c r="DX477" i="123"/>
  <c r="JW479" i="123"/>
  <c r="KK479" i="123"/>
  <c r="KZ479" i="123"/>
  <c r="LQ479" i="123"/>
  <c r="MI479" i="123"/>
  <c r="AL481" i="123"/>
  <c r="BP481" i="123"/>
  <c r="CY481" i="123"/>
  <c r="EC481" i="123"/>
  <c r="FL481" i="123"/>
  <c r="GP481" i="123"/>
  <c r="HT481" i="123"/>
  <c r="JC481" i="123"/>
  <c r="MT481" i="123"/>
  <c r="MC483" i="123"/>
  <c r="JJ484" i="123"/>
  <c r="KU484" i="123"/>
  <c r="MG484" i="123"/>
  <c r="KG486" i="123"/>
  <c r="LM486" i="123"/>
  <c r="MO486" i="123"/>
  <c r="JT493" i="123"/>
  <c r="LM493" i="123"/>
  <c r="KF500" i="123"/>
  <c r="MG500" i="123"/>
  <c r="LU507" i="123"/>
  <c r="LY507" i="123"/>
  <c r="LH507" i="123"/>
  <c r="KP507" i="123"/>
  <c r="JY507" i="123"/>
  <c r="HO507" i="123"/>
  <c r="NZ507" i="123"/>
  <c r="LX507" i="123"/>
  <c r="LG507" i="123"/>
  <c r="KO507" i="123"/>
  <c r="JX507" i="123"/>
  <c r="HN507" i="123"/>
  <c r="NY507" i="123"/>
  <c r="LW507" i="123"/>
  <c r="LE507" i="123"/>
  <c r="KN507" i="123"/>
  <c r="JU507" i="123"/>
  <c r="HM507" i="123"/>
  <c r="MK507" i="123"/>
  <c r="LS507" i="123"/>
  <c r="LB507" i="123"/>
  <c r="KI507" i="123"/>
  <c r="JR507" i="123"/>
  <c r="HH507" i="123"/>
  <c r="MI507" i="123"/>
  <c r="LQ507" i="123"/>
  <c r="KZ507" i="123"/>
  <c r="KG507" i="123"/>
  <c r="JO507" i="123"/>
  <c r="FQ507" i="123"/>
  <c r="ME507" i="123"/>
  <c r="LN507" i="123"/>
  <c r="KU507" i="123"/>
  <c r="KC507" i="123"/>
  <c r="JL507" i="123"/>
  <c r="FN507" i="123"/>
  <c r="MD507" i="123"/>
  <c r="LK507" i="123"/>
  <c r="KT507" i="123"/>
  <c r="KB507" i="123"/>
  <c r="JK507" i="123"/>
  <c r="FM507" i="123"/>
  <c r="LO507" i="123"/>
  <c r="KE507" i="123"/>
  <c r="FO507" i="123"/>
  <c r="LJ507" i="123"/>
  <c r="KA507" i="123"/>
  <c r="LI507" i="123"/>
  <c r="JZ507" i="123"/>
  <c r="MM507" i="123"/>
  <c r="LD507" i="123"/>
  <c r="JT507" i="123"/>
  <c r="ML507" i="123"/>
  <c r="LC507" i="123"/>
  <c r="JS507" i="123"/>
  <c r="MJ507" i="123"/>
  <c r="LA507" i="123"/>
  <c r="JQ507" i="123"/>
  <c r="MK493" i="123"/>
  <c r="LW493" i="123"/>
  <c r="LI493" i="123"/>
  <c r="KU493" i="123"/>
  <c r="KG493" i="123"/>
  <c r="JS493" i="123"/>
  <c r="HL493" i="123"/>
  <c r="MJ493" i="123"/>
  <c r="LV493" i="123"/>
  <c r="LH493" i="123"/>
  <c r="KT493" i="123"/>
  <c r="KF493" i="123"/>
  <c r="JR493" i="123"/>
  <c r="HK493" i="123"/>
  <c r="MI493" i="123"/>
  <c r="LU493" i="123"/>
  <c r="LG493" i="123"/>
  <c r="KS493" i="123"/>
  <c r="KE493" i="123"/>
  <c r="JQ493" i="123"/>
  <c r="HJ493" i="123"/>
  <c r="OA493" i="123"/>
  <c r="MF493" i="123"/>
  <c r="LR493" i="123"/>
  <c r="LD493" i="123"/>
  <c r="KP493" i="123"/>
  <c r="KB493" i="123"/>
  <c r="JN493" i="123"/>
  <c r="FR493" i="123"/>
  <c r="NY493" i="123"/>
  <c r="MD493" i="123"/>
  <c r="LP493" i="123"/>
  <c r="LB493" i="123"/>
  <c r="KN493" i="123"/>
  <c r="JZ493" i="123"/>
  <c r="JL493" i="123"/>
  <c r="FP493" i="123"/>
  <c r="MN493" i="123"/>
  <c r="LZ493" i="123"/>
  <c r="LL493" i="123"/>
  <c r="KX493" i="123"/>
  <c r="KJ493" i="123"/>
  <c r="JV493" i="123"/>
  <c r="HO493" i="123"/>
  <c r="ME493" i="123"/>
  <c r="LF493" i="123"/>
  <c r="KI493" i="123"/>
  <c r="JJ493" i="123"/>
  <c r="MC493" i="123"/>
  <c r="LE493" i="123"/>
  <c r="KH493" i="123"/>
  <c r="JI493" i="123"/>
  <c r="MB493" i="123"/>
  <c r="LC493" i="123"/>
  <c r="KD493" i="123"/>
  <c r="HN493" i="123"/>
  <c r="MA493" i="123"/>
  <c r="LA493" i="123"/>
  <c r="KC493" i="123"/>
  <c r="HM493" i="123"/>
  <c r="OC493" i="123"/>
  <c r="LY493" i="123"/>
  <c r="KZ493" i="123"/>
  <c r="KA493" i="123"/>
  <c r="HI493" i="123"/>
  <c r="OB493" i="123"/>
  <c r="LX493" i="123"/>
  <c r="KY493" i="123"/>
  <c r="JY493" i="123"/>
  <c r="HF493" i="123"/>
  <c r="FE486" i="123"/>
  <c r="EN486" i="123"/>
  <c r="EG486" i="123"/>
  <c r="OC479" i="123"/>
  <c r="MW479" i="123"/>
  <c r="MB479" i="123"/>
  <c r="OB479" i="123"/>
  <c r="MO479" i="123"/>
  <c r="MA479" i="123"/>
  <c r="LM479" i="123"/>
  <c r="OA479" i="123"/>
  <c r="MN479" i="123"/>
  <c r="LZ479" i="123"/>
  <c r="LL479" i="123"/>
  <c r="NZ479" i="123"/>
  <c r="MM479" i="123"/>
  <c r="LY479" i="123"/>
  <c r="LK479" i="123"/>
  <c r="KW479" i="123"/>
  <c r="NA496" i="123"/>
  <c r="JF496" i="123"/>
  <c r="HZ496" i="123"/>
  <c r="IG496" i="123"/>
  <c r="JH489" i="123"/>
  <c r="IR489" i="123"/>
  <c r="IP489" i="123"/>
  <c r="NH482" i="123"/>
  <c r="JC482" i="123"/>
  <c r="II482" i="123"/>
  <c r="NG482" i="123"/>
  <c r="JB482" i="123"/>
  <c r="IH482" i="123"/>
  <c r="NE482" i="123"/>
  <c r="JA482" i="123"/>
  <c r="IG482" i="123"/>
  <c r="ND482" i="123"/>
  <c r="IZ482" i="123"/>
  <c r="IE482" i="123"/>
  <c r="KU476" i="123"/>
  <c r="DY477" i="123"/>
  <c r="HJ477" i="123"/>
  <c r="AW479" i="123"/>
  <c r="EO479" i="123"/>
  <c r="HI479" i="123"/>
  <c r="JJ479" i="123"/>
  <c r="JX479" i="123"/>
  <c r="KL479" i="123"/>
  <c r="LA479" i="123"/>
  <c r="LR479" i="123"/>
  <c r="MJ479" i="123"/>
  <c r="AM481" i="123"/>
  <c r="BQ481" i="123"/>
  <c r="CZ481" i="123"/>
  <c r="ED481" i="123"/>
  <c r="GQ481" i="123"/>
  <c r="HU481" i="123"/>
  <c r="JD481" i="123"/>
  <c r="NA481" i="123"/>
  <c r="BB482" i="123"/>
  <c r="CC482" i="123"/>
  <c r="DK482" i="123"/>
  <c r="EH482" i="123"/>
  <c r="FL482" i="123"/>
  <c r="HV482" i="123"/>
  <c r="JE482" i="123"/>
  <c r="MG483" i="123"/>
  <c r="JK484" i="123"/>
  <c r="LC484" i="123"/>
  <c r="MH484" i="123"/>
  <c r="AL485" i="123"/>
  <c r="BE485" i="123"/>
  <c r="FR485" i="123"/>
  <c r="GP485" i="123"/>
  <c r="HO485" i="123"/>
  <c r="JH485" i="123"/>
  <c r="HO486" i="123"/>
  <c r="KM486" i="123"/>
  <c r="LO486" i="123"/>
  <c r="BD489" i="123"/>
  <c r="IG489" i="123"/>
  <c r="JU493" i="123"/>
  <c r="LN493" i="123"/>
  <c r="KJ500" i="123"/>
  <c r="MI500" i="123"/>
  <c r="JJ507" i="123"/>
  <c r="LV507" i="123"/>
  <c r="KW476" i="123"/>
  <c r="BO477" i="123"/>
  <c r="EA477" i="123"/>
  <c r="JY479" i="123"/>
  <c r="KM479" i="123"/>
  <c r="LB479" i="123"/>
  <c r="LS479" i="123"/>
  <c r="MK479" i="123"/>
  <c r="AN481" i="123"/>
  <c r="BW481" i="123"/>
  <c r="DA481" i="123"/>
  <c r="EF481" i="123"/>
  <c r="GR481" i="123"/>
  <c r="IA481" i="123"/>
  <c r="JE481" i="123"/>
  <c r="NC481" i="123"/>
  <c r="MI483" i="123"/>
  <c r="JL484" i="123"/>
  <c r="LD484" i="123"/>
  <c r="MI484" i="123"/>
  <c r="KO486" i="123"/>
  <c r="LQ486" i="123"/>
  <c r="NZ486" i="123"/>
  <c r="JW493" i="123"/>
  <c r="KK500" i="123"/>
  <c r="MJ500" i="123"/>
  <c r="JM507" i="123"/>
  <c r="MB507" i="123"/>
  <c r="IX499" i="123"/>
  <c r="BH499" i="123"/>
  <c r="IF499" i="123"/>
  <c r="BA499" i="123"/>
  <c r="HE499" i="123"/>
  <c r="AY499" i="123"/>
  <c r="GP499" i="123"/>
  <c r="AK499" i="123"/>
  <c r="GL499" i="123"/>
  <c r="X499" i="123"/>
  <c r="FV499" i="123"/>
  <c r="MY499" i="123"/>
  <c r="FT499" i="123"/>
  <c r="JJ499" i="123"/>
  <c r="HB499" i="123"/>
  <c r="GV499" i="123"/>
  <c r="GO499" i="123"/>
  <c r="MY496" i="123"/>
  <c r="GO496" i="123"/>
  <c r="Z496" i="123"/>
  <c r="MX496" i="123"/>
  <c r="MW496" i="123"/>
  <c r="MV485" i="123"/>
  <c r="NI485" i="123"/>
  <c r="MW485" i="123"/>
  <c r="JG485" i="123"/>
  <c r="HY485" i="123"/>
  <c r="HB485" i="123"/>
  <c r="GM485" i="123"/>
  <c r="FX485" i="123"/>
  <c r="DK485" i="123"/>
  <c r="AZ485" i="123"/>
  <c r="AK485" i="123"/>
  <c r="MU485" i="123"/>
  <c r="IY485" i="123"/>
  <c r="HX485" i="123"/>
  <c r="HA485" i="123"/>
  <c r="GL485" i="123"/>
  <c r="FV485" i="123"/>
  <c r="DG485" i="123"/>
  <c r="AY485" i="123"/>
  <c r="AJ485" i="123"/>
  <c r="IW485" i="123"/>
  <c r="HV485" i="123"/>
  <c r="GZ485" i="123"/>
  <c r="GJ485" i="123"/>
  <c r="FU485" i="123"/>
  <c r="DD485" i="123"/>
  <c r="AX485" i="123"/>
  <c r="AI485" i="123"/>
  <c r="IV485" i="123"/>
  <c r="HU485" i="123"/>
  <c r="GX485" i="123"/>
  <c r="GI485" i="123"/>
  <c r="FT485" i="123"/>
  <c r="BW485" i="123"/>
  <c r="AW485" i="123"/>
  <c r="AH485" i="123"/>
  <c r="GN482" i="123"/>
  <c r="FT482" i="123"/>
  <c r="EW482" i="123"/>
  <c r="EC482" i="123"/>
  <c r="DG482" i="123"/>
  <c r="CL482" i="123"/>
  <c r="BR482" i="123"/>
  <c r="AX482" i="123"/>
  <c r="AE482" i="123"/>
  <c r="GM482" i="123"/>
  <c r="FS482" i="123"/>
  <c r="EV482" i="123"/>
  <c r="EB482" i="123"/>
  <c r="DE482" i="123"/>
  <c r="CK482" i="123"/>
  <c r="BQ482" i="123"/>
  <c r="AW482" i="123"/>
  <c r="AC482" i="123"/>
  <c r="GL482" i="123"/>
  <c r="EU482" i="123"/>
  <c r="DZ482" i="123"/>
  <c r="DD482" i="123"/>
  <c r="CJ482" i="123"/>
  <c r="BO482" i="123"/>
  <c r="AV482" i="123"/>
  <c r="AB482" i="123"/>
  <c r="GK482" i="123"/>
  <c r="ET482" i="123"/>
  <c r="DV482" i="123"/>
  <c r="DB482" i="123"/>
  <c r="CI482" i="123"/>
  <c r="BN482" i="123"/>
  <c r="AU482" i="123"/>
  <c r="AA482" i="123"/>
  <c r="NK492" i="123"/>
  <c r="JF492" i="123"/>
  <c r="MW489" i="123"/>
  <c r="HE489" i="123"/>
  <c r="EX489" i="123"/>
  <c r="CQ489" i="123"/>
  <c r="AT489" i="123"/>
  <c r="MT489" i="123"/>
  <c r="GU489" i="123"/>
  <c r="EW489" i="123"/>
  <c r="CP489" i="123"/>
  <c r="AG489" i="123"/>
  <c r="GT489" i="123"/>
  <c r="EQ489" i="123"/>
  <c r="CE489" i="123"/>
  <c r="AF489" i="123"/>
  <c r="GQ489" i="123"/>
  <c r="EL489" i="123"/>
  <c r="CC489" i="123"/>
  <c r="AA489" i="123"/>
  <c r="GP489" i="123"/>
  <c r="EB489" i="123"/>
  <c r="CB489" i="123"/>
  <c r="HN482" i="123"/>
  <c r="HL482" i="123"/>
  <c r="HJ482" i="123"/>
  <c r="FQ482" i="123"/>
  <c r="HF482" i="123"/>
  <c r="FO482" i="123"/>
  <c r="N664" i="123"/>
  <c r="H669" i="123"/>
  <c r="LS476" i="123"/>
  <c r="BP477" i="123"/>
  <c r="EG477" i="123"/>
  <c r="BH479" i="123"/>
  <c r="FM479" i="123"/>
  <c r="HK479" i="123"/>
  <c r="JL479" i="123"/>
  <c r="JZ479" i="123"/>
  <c r="KN479" i="123"/>
  <c r="LC479" i="123"/>
  <c r="LT479" i="123"/>
  <c r="ML479" i="123"/>
  <c r="AO481" i="123"/>
  <c r="BX481" i="123"/>
  <c r="DB481" i="123"/>
  <c r="EG481" i="123"/>
  <c r="GS481" i="123"/>
  <c r="IB481" i="123"/>
  <c r="JF481" i="123"/>
  <c r="ND481" i="123"/>
  <c r="AF482" i="123"/>
  <c r="BD482" i="123"/>
  <c r="CF482" i="123"/>
  <c r="DM482" i="123"/>
  <c r="EK482" i="123"/>
  <c r="FU482" i="123"/>
  <c r="GY482" i="123"/>
  <c r="IB482" i="123"/>
  <c r="JS484" i="123"/>
  <c r="LE484" i="123"/>
  <c r="AN485" i="123"/>
  <c r="BG485" i="123"/>
  <c r="FY485" i="123"/>
  <c r="GR485" i="123"/>
  <c r="HS485" i="123"/>
  <c r="JJ485" i="123"/>
  <c r="NK485" i="123"/>
  <c r="KP486" i="123"/>
  <c r="LR486" i="123"/>
  <c r="NS487" i="123"/>
  <c r="BS489" i="123"/>
  <c r="FL489" i="123"/>
  <c r="IJ489" i="123"/>
  <c r="JX493" i="123"/>
  <c r="LQ493" i="123"/>
  <c r="CL496" i="123"/>
  <c r="FO500" i="123"/>
  <c r="KN500" i="123"/>
  <c r="MN500" i="123"/>
  <c r="JN507" i="123"/>
  <c r="MC507" i="123"/>
  <c r="MR499" i="123"/>
  <c r="MT485" i="123"/>
  <c r="LX476" i="123"/>
  <c r="BQ477" i="123"/>
  <c r="EH477" i="123"/>
  <c r="KA479" i="123"/>
  <c r="KO479" i="123"/>
  <c r="LD479" i="123"/>
  <c r="AQ481" i="123"/>
  <c r="CD481" i="123"/>
  <c r="DD481" i="123"/>
  <c r="EP481" i="123"/>
  <c r="GT481" i="123"/>
  <c r="IC481" i="123"/>
  <c r="JG481" i="123"/>
  <c r="NE481" i="123"/>
  <c r="FV482" i="123"/>
  <c r="GZ482" i="123"/>
  <c r="ID482" i="123"/>
  <c r="MP482" i="123"/>
  <c r="AE484" i="123"/>
  <c r="JU484" i="123"/>
  <c r="LF484" i="123"/>
  <c r="NO484" i="123"/>
  <c r="AO485" i="123"/>
  <c r="BI485" i="123"/>
  <c r="FZ485" i="123"/>
  <c r="GS485" i="123"/>
  <c r="HT485" i="123"/>
  <c r="JK485" i="123"/>
  <c r="NM485" i="123"/>
  <c r="KT486" i="123"/>
  <c r="LV486" i="123"/>
  <c r="BT489" i="123"/>
  <c r="FN489" i="123"/>
  <c r="IN489" i="123"/>
  <c r="NB492" i="123"/>
  <c r="KK493" i="123"/>
  <c r="LS493" i="123"/>
  <c r="DP496" i="123"/>
  <c r="FQ500" i="123"/>
  <c r="KO500" i="123"/>
  <c r="MO500" i="123"/>
  <c r="KF507" i="123"/>
  <c r="MF507" i="123"/>
  <c r="BV477" i="123"/>
  <c r="BO479" i="123"/>
  <c r="FO479" i="123"/>
  <c r="HM479" i="123"/>
  <c r="JN479" i="123"/>
  <c r="KB479" i="123"/>
  <c r="KP479" i="123"/>
  <c r="LE479" i="123"/>
  <c r="LV479" i="123"/>
  <c r="NP479" i="123"/>
  <c r="AR481" i="123"/>
  <c r="CE481" i="123"/>
  <c r="DE481" i="123"/>
  <c r="ER481" i="123"/>
  <c r="GU481" i="123"/>
  <c r="IE481" i="123"/>
  <c r="NF481" i="123"/>
  <c r="AH482" i="123"/>
  <c r="BJ482" i="123"/>
  <c r="CN482" i="123"/>
  <c r="DO482" i="123"/>
  <c r="EO482" i="123"/>
  <c r="FW482" i="123"/>
  <c r="HA482" i="123"/>
  <c r="IJ482" i="123"/>
  <c r="MV482" i="123"/>
  <c r="BS484" i="123"/>
  <c r="JV484" i="123"/>
  <c r="LH484" i="123"/>
  <c r="NU484" i="123"/>
  <c r="AP485" i="123"/>
  <c r="BJ485" i="123"/>
  <c r="GA485" i="123"/>
  <c r="GT485" i="123"/>
  <c r="IA485" i="123"/>
  <c r="JL485" i="123"/>
  <c r="NN485" i="123"/>
  <c r="JS486" i="123"/>
  <c r="KU486" i="123"/>
  <c r="LW486" i="123"/>
  <c r="BZ489" i="123"/>
  <c r="FP489" i="123"/>
  <c r="MY489" i="123"/>
  <c r="NC492" i="123"/>
  <c r="KL493" i="123"/>
  <c r="LT493" i="123"/>
  <c r="FC496" i="123"/>
  <c r="LC500" i="123"/>
  <c r="OA500" i="123"/>
  <c r="KH507" i="123"/>
  <c r="MG507" i="123"/>
  <c r="NE488" i="123"/>
  <c r="LA488" i="123"/>
  <c r="JB488" i="123"/>
  <c r="HA488" i="123"/>
  <c r="FG488" i="123"/>
  <c r="DH488" i="123"/>
  <c r="BL488" i="123"/>
  <c r="MT488" i="123"/>
  <c r="KZ488" i="123"/>
  <c r="IY488" i="123"/>
  <c r="GY488" i="123"/>
  <c r="FF488" i="123"/>
  <c r="DG488" i="123"/>
  <c r="BH488" i="123"/>
  <c r="MS488" i="123"/>
  <c r="KY488" i="123"/>
  <c r="IV488" i="123"/>
  <c r="GX488" i="123"/>
  <c r="FD488" i="123"/>
  <c r="DE488" i="123"/>
  <c r="BB488" i="123"/>
  <c r="ML488" i="123"/>
  <c r="KL488" i="123"/>
  <c r="IM488" i="123"/>
  <c r="GR488" i="123"/>
  <c r="ET488" i="123"/>
  <c r="CM488" i="123"/>
  <c r="AS488" i="123"/>
  <c r="MF488" i="123"/>
  <c r="JZ488" i="123"/>
  <c r="ID488" i="123"/>
  <c r="GF488" i="123"/>
  <c r="EH488" i="123"/>
  <c r="CJ488" i="123"/>
  <c r="AN488" i="123"/>
  <c r="MS485" i="123"/>
  <c r="CD488" i="123"/>
  <c r="FH488" i="123"/>
  <c r="IC488" i="123"/>
  <c r="LN488" i="123"/>
  <c r="JK492" i="123"/>
  <c r="JR500" i="123"/>
  <c r="KT500" i="123"/>
  <c r="CI488" i="123"/>
  <c r="FI488" i="123"/>
  <c r="IE488" i="123"/>
  <c r="LQ488" i="123"/>
  <c r="JM492" i="123"/>
  <c r="CK488" i="123"/>
  <c r="FJ488" i="123"/>
  <c r="IP488" i="123"/>
  <c r="LR488" i="123"/>
  <c r="EV464" i="123"/>
  <c r="MM500" i="123"/>
  <c r="LY500" i="123"/>
  <c r="LK500" i="123"/>
  <c r="KW500" i="123"/>
  <c r="KI500" i="123"/>
  <c r="JU500" i="123"/>
  <c r="HN500" i="123"/>
  <c r="ML500" i="123"/>
  <c r="LX500" i="123"/>
  <c r="LJ500" i="123"/>
  <c r="KV500" i="123"/>
  <c r="KH500" i="123"/>
  <c r="JT500" i="123"/>
  <c r="HM500" i="123"/>
  <c r="MK500" i="123"/>
  <c r="LW500" i="123"/>
  <c r="LI500" i="123"/>
  <c r="KU500" i="123"/>
  <c r="KG500" i="123"/>
  <c r="JS500" i="123"/>
  <c r="HL500" i="123"/>
  <c r="MH500" i="123"/>
  <c r="LT500" i="123"/>
  <c r="LF500" i="123"/>
  <c r="KR500" i="123"/>
  <c r="KD500" i="123"/>
  <c r="JP500" i="123"/>
  <c r="HF500" i="123"/>
  <c r="OC500" i="123"/>
  <c r="MF500" i="123"/>
  <c r="LR500" i="123"/>
  <c r="LD500" i="123"/>
  <c r="KP500" i="123"/>
  <c r="KB500" i="123"/>
  <c r="JN500" i="123"/>
  <c r="FP500" i="123"/>
  <c r="NZ500" i="123"/>
  <c r="MC500" i="123"/>
  <c r="LO500" i="123"/>
  <c r="LA500" i="123"/>
  <c r="KM500" i="123"/>
  <c r="JY500" i="123"/>
  <c r="JK500" i="123"/>
  <c r="FM500" i="123"/>
  <c r="NY500" i="123"/>
  <c r="MB500" i="123"/>
  <c r="LN500" i="123"/>
  <c r="KZ500" i="123"/>
  <c r="KL500" i="123"/>
  <c r="JX500" i="123"/>
  <c r="JJ500" i="123"/>
  <c r="MS497" i="123"/>
  <c r="MI486" i="123"/>
  <c r="LU486" i="123"/>
  <c r="LG486" i="123"/>
  <c r="KS486" i="123"/>
  <c r="KE486" i="123"/>
  <c r="JQ486" i="123"/>
  <c r="HJ486" i="123"/>
  <c r="BQ486" i="123"/>
  <c r="OC486" i="123"/>
  <c r="MH486" i="123"/>
  <c r="LT486" i="123"/>
  <c r="LF486" i="123"/>
  <c r="KR486" i="123"/>
  <c r="KD486" i="123"/>
  <c r="JP486" i="123"/>
  <c r="HI486" i="123"/>
  <c r="AO486" i="123"/>
  <c r="OB486" i="123"/>
  <c r="MG486" i="123"/>
  <c r="LS486" i="123"/>
  <c r="LE486" i="123"/>
  <c r="KQ486" i="123"/>
  <c r="KC486" i="123"/>
  <c r="JO486" i="123"/>
  <c r="HH486" i="123"/>
  <c r="AF486" i="123"/>
  <c r="NY486" i="123"/>
  <c r="MD486" i="123"/>
  <c r="LP486" i="123"/>
  <c r="LB486" i="123"/>
  <c r="KN486" i="123"/>
  <c r="JZ486" i="123"/>
  <c r="JL486" i="123"/>
  <c r="FQ486" i="123"/>
  <c r="NR486" i="123"/>
  <c r="MB486" i="123"/>
  <c r="LN486" i="123"/>
  <c r="KZ486" i="123"/>
  <c r="KL486" i="123"/>
  <c r="JX486" i="123"/>
  <c r="JJ486" i="123"/>
  <c r="FO486" i="123"/>
  <c r="CO488" i="123"/>
  <c r="FY488" i="123"/>
  <c r="IU488" i="123"/>
  <c r="LT488" i="123"/>
  <c r="DK510" i="123"/>
  <c r="DL503" i="123"/>
  <c r="GJ500" i="123"/>
  <c r="EV496" i="123"/>
  <c r="EN496" i="123"/>
  <c r="DR496" i="123"/>
  <c r="BZ496" i="123"/>
  <c r="BS496" i="123"/>
  <c r="FK496" i="123"/>
  <c r="JG489" i="123"/>
  <c r="HR489" i="123"/>
  <c r="GG489" i="123"/>
  <c r="EV489" i="123"/>
  <c r="DL489" i="123"/>
  <c r="BY489" i="123"/>
  <c r="AR489" i="123"/>
  <c r="JD489" i="123"/>
  <c r="HQ489" i="123"/>
  <c r="GF489" i="123"/>
  <c r="EU489" i="123"/>
  <c r="DF489" i="123"/>
  <c r="BX489" i="123"/>
  <c r="AJ489" i="123"/>
  <c r="JB489" i="123"/>
  <c r="HO489" i="123"/>
  <c r="FY489" i="123"/>
  <c r="ET489" i="123"/>
  <c r="DE489" i="123"/>
  <c r="BW489" i="123"/>
  <c r="AI489" i="123"/>
  <c r="NJ489" i="123"/>
  <c r="IO489" i="123"/>
  <c r="HF489" i="123"/>
  <c r="FQ489" i="123"/>
  <c r="EK489" i="123"/>
  <c r="CU489" i="123"/>
  <c r="BH489" i="123"/>
  <c r="AC489" i="123"/>
  <c r="NC489" i="123"/>
  <c r="IL489" i="123"/>
  <c r="GV489" i="123"/>
  <c r="FO489" i="123"/>
  <c r="EA489" i="123"/>
  <c r="CS489" i="123"/>
  <c r="BE489" i="123"/>
  <c r="X489" i="123"/>
  <c r="NI486" i="123"/>
  <c r="A484" i="123"/>
  <c r="NG491" i="123"/>
  <c r="GT491" i="123"/>
  <c r="GC491" i="123"/>
  <c r="FN491" i="123"/>
  <c r="GM484" i="123"/>
  <c r="J664" i="123"/>
  <c r="L716" i="123"/>
  <c r="N716" i="123" s="1"/>
  <c r="MU503" i="123"/>
  <c r="CS485" i="123"/>
  <c r="KI480" i="123"/>
  <c r="I691" i="123"/>
  <c r="L722" i="123"/>
  <c r="N722" i="123" s="1"/>
  <c r="LA509" i="123"/>
  <c r="MV469" i="123"/>
  <c r="NY464" i="123"/>
  <c r="BF501" i="123"/>
  <c r="NN497" i="123"/>
  <c r="EB487" i="123"/>
  <c r="HT476" i="123"/>
  <c r="HU473" i="123"/>
  <c r="NT469" i="123"/>
  <c r="HW466" i="123"/>
  <c r="P593" i="123"/>
  <c r="JQ491" i="123"/>
  <c r="LX491" i="123"/>
  <c r="AI492" i="123"/>
  <c r="AX492" i="123"/>
  <c r="FO492" i="123"/>
  <c r="GE492" i="123"/>
  <c r="GV492" i="123"/>
  <c r="HT492" i="123"/>
  <c r="MQ492" i="123"/>
  <c r="LY476" i="123"/>
  <c r="JV491" i="123"/>
  <c r="LZ491" i="123"/>
  <c r="AK492" i="123"/>
  <c r="AZ492" i="123"/>
  <c r="FQ492" i="123"/>
  <c r="GH492" i="123"/>
  <c r="GX492" i="123"/>
  <c r="HZ492" i="123"/>
  <c r="MS492" i="123"/>
  <c r="IQ479" i="123"/>
  <c r="NO510" i="123"/>
  <c r="KS503" i="123"/>
  <c r="LP496" i="123"/>
  <c r="LY492" i="123"/>
  <c r="KV489" i="123"/>
  <c r="MK482" i="123"/>
  <c r="LE478" i="123"/>
  <c r="KF475" i="123"/>
  <c r="MK471" i="123"/>
  <c r="ME468" i="123"/>
  <c r="Q660" i="123"/>
  <c r="K669" i="123"/>
  <c r="M678" i="123"/>
  <c r="K687" i="123"/>
  <c r="KA491" i="123"/>
  <c r="Y492" i="123"/>
  <c r="AN492" i="123"/>
  <c r="BC492" i="123"/>
  <c r="FU492" i="123"/>
  <c r="GK492" i="123"/>
  <c r="HB492" i="123"/>
  <c r="IX492" i="123"/>
  <c r="MW492" i="123"/>
  <c r="Z495" i="123"/>
  <c r="AD506" i="123"/>
  <c r="KF491" i="123"/>
  <c r="Z492" i="123"/>
  <c r="AO492" i="123"/>
  <c r="BF492" i="123"/>
  <c r="FV492" i="123"/>
  <c r="GM492" i="123"/>
  <c r="HC492" i="123"/>
  <c r="IY492" i="123"/>
  <c r="MX492" i="123"/>
  <c r="CG495" i="123"/>
  <c r="AV506" i="123"/>
  <c r="LE508" i="123"/>
  <c r="AQ492" i="123"/>
  <c r="BG492" i="123"/>
  <c r="FX492" i="123"/>
  <c r="GN492" i="123"/>
  <c r="HD492" i="123"/>
  <c r="JB492" i="123"/>
  <c r="ME483" i="123"/>
  <c r="I664" i="123"/>
  <c r="J508" i="123"/>
  <c r="L508" i="123" s="1"/>
  <c r="M508" i="123" s="1"/>
  <c r="L53" i="110"/>
  <c r="M53" i="110" s="1"/>
  <c r="L495" i="123"/>
  <c r="M495" i="123" s="1"/>
  <c r="L56" i="110"/>
  <c r="M56" i="110" s="1"/>
  <c r="J507" i="123"/>
  <c r="L497" i="123"/>
  <c r="M497" i="123" s="1"/>
  <c r="L505" i="123"/>
  <c r="M505" i="123" s="1"/>
  <c r="L498" i="123"/>
  <c r="M498" i="123" s="1"/>
  <c r="L491" i="123"/>
  <c r="M491" i="123" s="1"/>
  <c r="C1667" i="123"/>
  <c r="D1667" i="123" s="1"/>
  <c r="C1670" i="123"/>
  <c r="D1670" i="123" s="1"/>
  <c r="C1671" i="123"/>
  <c r="D1671" i="123" s="1"/>
  <c r="Q1338" i="123"/>
  <c r="J1265" i="123"/>
  <c r="Q1402" i="123"/>
  <c r="O1295" i="123"/>
  <c r="L1250" i="123"/>
  <c r="J1444" i="123"/>
  <c r="L1339" i="123"/>
  <c r="J1443" i="123"/>
  <c r="Q1527" i="123"/>
  <c r="Q1546" i="123"/>
  <c r="J1512" i="123"/>
  <c r="IN469" i="123"/>
  <c r="DK464" i="123"/>
  <c r="BS466" i="123"/>
  <c r="EC466" i="123"/>
  <c r="GV466" i="123"/>
  <c r="JH466" i="123"/>
  <c r="NB466" i="123"/>
  <c r="CZ469" i="123"/>
  <c r="IW469" i="123"/>
  <c r="GZ473" i="123"/>
  <c r="AA476" i="123"/>
  <c r="NL508" i="123"/>
  <c r="JG487" i="123"/>
  <c r="CR469" i="123"/>
  <c r="GR473" i="123"/>
  <c r="NK473" i="123"/>
  <c r="IE480" i="123"/>
  <c r="LL464" i="123"/>
  <c r="DL464" i="123"/>
  <c r="LM464" i="123"/>
  <c r="BX466" i="123"/>
  <c r="EG466" i="123"/>
  <c r="GZ466" i="123"/>
  <c r="NJ466" i="123"/>
  <c r="DT469" i="123"/>
  <c r="BN476" i="123"/>
  <c r="Z490" i="123"/>
  <c r="MT469" i="123"/>
  <c r="MQ469" i="123"/>
  <c r="MP469" i="123"/>
  <c r="MS469" i="123"/>
  <c r="MR469" i="123"/>
  <c r="EM469" i="123"/>
  <c r="DM469" i="123"/>
  <c r="CP469" i="123"/>
  <c r="AQ469" i="123"/>
  <c r="GC469" i="123"/>
  <c r="DF469" i="123"/>
  <c r="BG469" i="123"/>
  <c r="GL469" i="123"/>
  <c r="BO469" i="123"/>
  <c r="DG469" i="123"/>
  <c r="HC469" i="123"/>
  <c r="GG469" i="123"/>
  <c r="FE469" i="123"/>
  <c r="EG469" i="123"/>
  <c r="CF469" i="123"/>
  <c r="BI469" i="123"/>
  <c r="AH469" i="123"/>
  <c r="HB469" i="123"/>
  <c r="FD469" i="123"/>
  <c r="EC469" i="123"/>
  <c r="CE469" i="123"/>
  <c r="AE469" i="123"/>
  <c r="GZ469" i="123"/>
  <c r="FY469" i="123"/>
  <c r="FA469" i="123"/>
  <c r="DY469" i="123"/>
  <c r="DD469" i="123"/>
  <c r="CB469" i="123"/>
  <c r="BC469" i="123"/>
  <c r="AC469" i="123"/>
  <c r="MY469" i="123"/>
  <c r="GX469" i="123"/>
  <c r="FV469" i="123"/>
  <c r="EW469" i="123"/>
  <c r="DW469" i="123"/>
  <c r="CV469" i="123"/>
  <c r="BY469" i="123"/>
  <c r="AY469" i="123"/>
  <c r="AA469" i="123"/>
  <c r="MX469" i="123"/>
  <c r="GT469" i="123"/>
  <c r="FU469" i="123"/>
  <c r="ET469" i="123"/>
  <c r="DV469" i="123"/>
  <c r="CU469" i="123"/>
  <c r="BX469" i="123"/>
  <c r="AV469" i="123"/>
  <c r="Z469" i="123"/>
  <c r="MW469" i="123"/>
  <c r="GP469" i="123"/>
  <c r="FS469" i="123"/>
  <c r="ES469" i="123"/>
  <c r="DU469" i="123"/>
  <c r="CS469" i="123"/>
  <c r="BW469" i="123"/>
  <c r="AU469" i="123"/>
  <c r="HQ490" i="123"/>
  <c r="MT473" i="123"/>
  <c r="MQ473" i="123"/>
  <c r="HM473" i="123"/>
  <c r="GY473" i="123"/>
  <c r="GK473" i="123"/>
  <c r="FW473" i="123"/>
  <c r="FI473" i="123"/>
  <c r="EU473" i="123"/>
  <c r="EG473" i="123"/>
  <c r="DS473" i="123"/>
  <c r="DE473" i="123"/>
  <c r="CQ473" i="123"/>
  <c r="CC473" i="123"/>
  <c r="BO473" i="123"/>
  <c r="BA473" i="123"/>
  <c r="AM473" i="123"/>
  <c r="Y473" i="123"/>
  <c r="HK473" i="123"/>
  <c r="GW473" i="123"/>
  <c r="GI473" i="123"/>
  <c r="FU473" i="123"/>
  <c r="FG473" i="123"/>
  <c r="ES473" i="123"/>
  <c r="EE473" i="123"/>
  <c r="DQ473" i="123"/>
  <c r="DC473" i="123"/>
  <c r="CO473" i="123"/>
  <c r="CA473" i="123"/>
  <c r="BM473" i="123"/>
  <c r="AY473" i="123"/>
  <c r="AK473" i="123"/>
  <c r="HJ473" i="123"/>
  <c r="GV473" i="123"/>
  <c r="GH473" i="123"/>
  <c r="FT473" i="123"/>
  <c r="FF473" i="123"/>
  <c r="ER473" i="123"/>
  <c r="ED473" i="123"/>
  <c r="DP473" i="123"/>
  <c r="DB473" i="123"/>
  <c r="CN473" i="123"/>
  <c r="BZ473" i="123"/>
  <c r="BL473" i="123"/>
  <c r="AX473" i="123"/>
  <c r="AJ473" i="123"/>
  <c r="HI473" i="123"/>
  <c r="GU473" i="123"/>
  <c r="GG473" i="123"/>
  <c r="FS473" i="123"/>
  <c r="FE473" i="123"/>
  <c r="EQ473" i="123"/>
  <c r="EC473" i="123"/>
  <c r="DO473" i="123"/>
  <c r="DA473" i="123"/>
  <c r="CM473" i="123"/>
  <c r="BY473" i="123"/>
  <c r="BK473" i="123"/>
  <c r="AW473" i="123"/>
  <c r="AI473" i="123"/>
  <c r="MX473" i="123"/>
  <c r="HE473" i="123"/>
  <c r="GQ473" i="123"/>
  <c r="GC473" i="123"/>
  <c r="FO473" i="123"/>
  <c r="FA473" i="123"/>
  <c r="EM473" i="123"/>
  <c r="DY473" i="123"/>
  <c r="DK473" i="123"/>
  <c r="CW473" i="123"/>
  <c r="CI473" i="123"/>
  <c r="BU473" i="123"/>
  <c r="BG473" i="123"/>
  <c r="AS473" i="123"/>
  <c r="AE473" i="123"/>
  <c r="MV473" i="123"/>
  <c r="HN473" i="123"/>
  <c r="GP473" i="123"/>
  <c r="FV473" i="123"/>
  <c r="EY473" i="123"/>
  <c r="EB473" i="123"/>
  <c r="DH473" i="123"/>
  <c r="CK473" i="123"/>
  <c r="BQ473" i="123"/>
  <c r="AT473" i="123"/>
  <c r="Z473" i="123"/>
  <c r="MU473" i="123"/>
  <c r="HL473" i="123"/>
  <c r="GO473" i="123"/>
  <c r="FR473" i="123"/>
  <c r="EX473" i="123"/>
  <c r="EA473" i="123"/>
  <c r="DG473" i="123"/>
  <c r="CJ473" i="123"/>
  <c r="BP473" i="123"/>
  <c r="AR473" i="123"/>
  <c r="X473" i="123"/>
  <c r="MR473" i="123"/>
  <c r="HG473" i="123"/>
  <c r="GM473" i="123"/>
  <c r="FP473" i="123"/>
  <c r="EV473" i="123"/>
  <c r="DX473" i="123"/>
  <c r="DD473" i="123"/>
  <c r="CG473" i="123"/>
  <c r="BJ473" i="123"/>
  <c r="AP473" i="123"/>
  <c r="MP473" i="123"/>
  <c r="HF473" i="123"/>
  <c r="GL473" i="123"/>
  <c r="FN473" i="123"/>
  <c r="ET473" i="123"/>
  <c r="DW473" i="123"/>
  <c r="CZ473" i="123"/>
  <c r="CF473" i="123"/>
  <c r="BI473" i="123"/>
  <c r="AO473" i="123"/>
  <c r="HB473" i="123"/>
  <c r="GE473" i="123"/>
  <c r="FK473" i="123"/>
  <c r="EN473" i="123"/>
  <c r="DT473" i="123"/>
  <c r="CV473" i="123"/>
  <c r="CB473" i="123"/>
  <c r="BE473" i="123"/>
  <c r="AH473" i="123"/>
  <c r="GN473" i="123"/>
  <c r="FD473" i="123"/>
  <c r="DV473" i="123"/>
  <c r="CR473" i="123"/>
  <c r="BF473" i="123"/>
  <c r="AB473" i="123"/>
  <c r="NG473" i="123"/>
  <c r="JD473" i="123"/>
  <c r="HR473" i="123"/>
  <c r="FC473" i="123"/>
  <c r="DU473" i="123"/>
  <c r="CP473" i="123"/>
  <c r="AA473" i="123"/>
  <c r="IQ473" i="123"/>
  <c r="FZ473" i="123"/>
  <c r="DJ473" i="123"/>
  <c r="GJ473" i="123"/>
  <c r="BD473" i="123"/>
  <c r="GF473" i="123"/>
  <c r="FB473" i="123"/>
  <c r="DR473" i="123"/>
  <c r="CL473" i="123"/>
  <c r="BC473" i="123"/>
  <c r="GD473" i="123"/>
  <c r="EZ473" i="123"/>
  <c r="DN473" i="123"/>
  <c r="CH473" i="123"/>
  <c r="BB473" i="123"/>
  <c r="HO473" i="123"/>
  <c r="GB473" i="123"/>
  <c r="EW473" i="123"/>
  <c r="DM473" i="123"/>
  <c r="CE473" i="123"/>
  <c r="AZ473" i="123"/>
  <c r="MY473" i="123"/>
  <c r="IR473" i="123"/>
  <c r="HH473" i="123"/>
  <c r="GA473" i="123"/>
  <c r="EP473" i="123"/>
  <c r="DL473" i="123"/>
  <c r="CD473" i="123"/>
  <c r="AV473" i="123"/>
  <c r="MW473" i="123"/>
  <c r="HD473" i="123"/>
  <c r="EO473" i="123"/>
  <c r="BX473" i="123"/>
  <c r="AU473" i="123"/>
  <c r="MS473" i="123"/>
  <c r="HC473" i="123"/>
  <c r="FY473" i="123"/>
  <c r="EL473" i="123"/>
  <c r="DI473" i="123"/>
  <c r="BW473" i="123"/>
  <c r="AQ473" i="123"/>
  <c r="IJ473" i="123"/>
  <c r="HA473" i="123"/>
  <c r="FX473" i="123"/>
  <c r="EK473" i="123"/>
  <c r="DF473" i="123"/>
  <c r="BV473" i="123"/>
  <c r="AN473" i="123"/>
  <c r="IE473" i="123"/>
  <c r="GX473" i="123"/>
  <c r="FM473" i="123"/>
  <c r="EI473" i="123"/>
  <c r="CX473" i="123"/>
  <c r="BS473" i="123"/>
  <c r="AG473" i="123"/>
  <c r="IB473" i="123"/>
  <c r="GT473" i="123"/>
  <c r="FL473" i="123"/>
  <c r="EH473" i="123"/>
  <c r="CU473" i="123"/>
  <c r="BR473" i="123"/>
  <c r="AF473" i="123"/>
  <c r="HZ473" i="123"/>
  <c r="GS473" i="123"/>
  <c r="FJ473" i="123"/>
  <c r="EF473" i="123"/>
  <c r="CT473" i="123"/>
  <c r="BN473" i="123"/>
  <c r="AD473" i="123"/>
  <c r="BL464" i="123"/>
  <c r="DX464" i="123"/>
  <c r="JM464" i="123"/>
  <c r="LY464" i="123"/>
  <c r="CA466" i="123"/>
  <c r="EV466" i="123"/>
  <c r="HD466" i="123"/>
  <c r="EP469" i="123"/>
  <c r="AC473" i="123"/>
  <c r="DS476" i="123"/>
  <c r="BO464" i="123"/>
  <c r="EC464" i="123"/>
  <c r="JO464" i="123"/>
  <c r="MC464" i="123"/>
  <c r="CL466" i="123"/>
  <c r="EX466" i="123"/>
  <c r="HN466" i="123"/>
  <c r="EZ469" i="123"/>
  <c r="AL473" i="123"/>
  <c r="JA483" i="123"/>
  <c r="JB483" i="123"/>
  <c r="IP483" i="123"/>
  <c r="IM483" i="123"/>
  <c r="HR483" i="123"/>
  <c r="CD464" i="123"/>
  <c r="EP464" i="123"/>
  <c r="KE464" i="123"/>
  <c r="AL466" i="123"/>
  <c r="CT466" i="123"/>
  <c r="FP466" i="123"/>
  <c r="FW469" i="123"/>
  <c r="CS473" i="123"/>
  <c r="BD480" i="123"/>
  <c r="IN483" i="123"/>
  <c r="MS490" i="123"/>
  <c r="MR490" i="123"/>
  <c r="MQ490" i="123"/>
  <c r="MP490" i="123"/>
  <c r="HD490" i="123"/>
  <c r="EX490" i="123"/>
  <c r="BI490" i="123"/>
  <c r="MR483" i="123"/>
  <c r="MQ483" i="123"/>
  <c r="MS483" i="123"/>
  <c r="AY483" i="123"/>
  <c r="FL483" i="123"/>
  <c r="BE483" i="123"/>
  <c r="EY483" i="123"/>
  <c r="MW483" i="123"/>
  <c r="EF483" i="123"/>
  <c r="AH483" i="123"/>
  <c r="DM483" i="123"/>
  <c r="DG483" i="123"/>
  <c r="GO483" i="123"/>
  <c r="DC483" i="123"/>
  <c r="MS476" i="123"/>
  <c r="MQ476" i="123"/>
  <c r="MP476" i="123"/>
  <c r="EL476" i="123"/>
  <c r="FH476" i="123"/>
  <c r="DG476" i="123"/>
  <c r="BH476" i="123"/>
  <c r="AM476" i="123"/>
  <c r="GU476" i="123"/>
  <c r="EW476" i="123"/>
  <c r="CR476" i="123"/>
  <c r="AP476" i="123"/>
  <c r="MX476" i="123"/>
  <c r="GS476" i="123"/>
  <c r="CP476" i="123"/>
  <c r="MR476" i="123"/>
  <c r="GN476" i="123"/>
  <c r="EE476" i="123"/>
  <c r="CL476" i="123"/>
  <c r="AD476" i="123"/>
  <c r="GC476" i="123"/>
  <c r="EA476" i="123"/>
  <c r="BV476" i="123"/>
  <c r="Z476" i="123"/>
  <c r="FV476" i="123"/>
  <c r="DZ476" i="123"/>
  <c r="BS476" i="123"/>
  <c r="L467" i="123"/>
  <c r="M467" i="123" s="1"/>
  <c r="A467" i="123"/>
  <c r="NO464" i="123"/>
  <c r="MH464" i="123"/>
  <c r="LT464" i="123"/>
  <c r="LF464" i="123"/>
  <c r="KR464" i="123"/>
  <c r="KD464" i="123"/>
  <c r="JP464" i="123"/>
  <c r="OC464" i="123"/>
  <c r="MD464" i="123"/>
  <c r="LP464" i="123"/>
  <c r="LB464" i="123"/>
  <c r="KN464" i="123"/>
  <c r="JZ464" i="123"/>
  <c r="JL464" i="123"/>
  <c r="OA464" i="123"/>
  <c r="ML464" i="123"/>
  <c r="LV464" i="123"/>
  <c r="LE464" i="123"/>
  <c r="KO464" i="123"/>
  <c r="JX464" i="123"/>
  <c r="MO464" i="123"/>
  <c r="LX464" i="123"/>
  <c r="LG464" i="123"/>
  <c r="KM464" i="123"/>
  <c r="JV464" i="123"/>
  <c r="MN464" i="123"/>
  <c r="LW464" i="123"/>
  <c r="LD464" i="123"/>
  <c r="KL464" i="123"/>
  <c r="JU464" i="123"/>
  <c r="MM464" i="123"/>
  <c r="LU464" i="123"/>
  <c r="LC464" i="123"/>
  <c r="KK464" i="123"/>
  <c r="JT464" i="123"/>
  <c r="MK464" i="123"/>
  <c r="LS464" i="123"/>
  <c r="LA464" i="123"/>
  <c r="KJ464" i="123"/>
  <c r="JS464" i="123"/>
  <c r="KH464" i="123"/>
  <c r="OB464" i="123"/>
  <c r="MJ464" i="123"/>
  <c r="LR464" i="123"/>
  <c r="KZ464" i="123"/>
  <c r="KI464" i="123"/>
  <c r="JR464" i="123"/>
  <c r="NZ464" i="123"/>
  <c r="MI464" i="123"/>
  <c r="LQ464" i="123"/>
  <c r="KY464" i="123"/>
  <c r="JQ464" i="123"/>
  <c r="NV464" i="123"/>
  <c r="MF464" i="123"/>
  <c r="LN464" i="123"/>
  <c r="KW464" i="123"/>
  <c r="KF464" i="123"/>
  <c r="JN464" i="123"/>
  <c r="NQ464" i="123"/>
  <c r="MB464" i="123"/>
  <c r="LK464" i="123"/>
  <c r="KT464" i="123"/>
  <c r="KB464" i="123"/>
  <c r="JJ464" i="123"/>
  <c r="NP464" i="123"/>
  <c r="MA464" i="123"/>
  <c r="LJ464" i="123"/>
  <c r="KS464" i="123"/>
  <c r="KA464" i="123"/>
  <c r="JI464" i="123"/>
  <c r="LZ464" i="123"/>
  <c r="LI464" i="123"/>
  <c r="KQ464" i="123"/>
  <c r="JY464" i="123"/>
  <c r="HK508" i="123"/>
  <c r="HO508" i="123"/>
  <c r="FN508" i="123"/>
  <c r="HM508" i="123"/>
  <c r="EO508" i="123"/>
  <c r="Z508" i="123"/>
  <c r="AG508" i="123"/>
  <c r="HO494" i="123"/>
  <c r="HM494" i="123"/>
  <c r="HL494" i="123"/>
  <c r="HK494" i="123"/>
  <c r="HI494" i="123"/>
  <c r="HH494" i="123"/>
  <c r="HG494" i="123"/>
  <c r="FQ494" i="123"/>
  <c r="FN494" i="123"/>
  <c r="FO494" i="123"/>
  <c r="FM494" i="123"/>
  <c r="HN494" i="123"/>
  <c r="HJ494" i="123"/>
  <c r="HF494" i="123"/>
  <c r="GB494" i="123"/>
  <c r="CN494" i="123"/>
  <c r="BX494" i="123"/>
  <c r="GN494" i="123"/>
  <c r="BS494" i="123"/>
  <c r="GE494" i="123"/>
  <c r="BR494" i="123"/>
  <c r="FP494" i="123"/>
  <c r="AX494" i="123"/>
  <c r="EM494" i="123"/>
  <c r="EB494" i="123"/>
  <c r="MR494" i="123"/>
  <c r="CX494" i="123"/>
  <c r="CT494" i="123"/>
  <c r="CJ494" i="123"/>
  <c r="GS494" i="123"/>
  <c r="FD494" i="123"/>
  <c r="EZ494" i="123"/>
  <c r="EN494" i="123"/>
  <c r="DA494" i="123"/>
  <c r="BV494" i="123"/>
  <c r="Z494" i="123"/>
  <c r="IM494" i="123"/>
  <c r="HK480" i="123"/>
  <c r="HI480" i="123"/>
  <c r="HH480" i="123"/>
  <c r="MU480" i="123"/>
  <c r="HF480" i="123"/>
  <c r="GO480" i="123"/>
  <c r="FX480" i="123"/>
  <c r="FF480" i="123"/>
  <c r="EN480" i="123"/>
  <c r="DW480" i="123"/>
  <c r="DF480" i="123"/>
  <c r="CN480" i="123"/>
  <c r="BV480" i="123"/>
  <c r="BE480" i="123"/>
  <c r="AN480" i="123"/>
  <c r="MT480" i="123"/>
  <c r="HC480" i="123"/>
  <c r="GH480" i="123"/>
  <c r="FN480" i="123"/>
  <c r="ET480" i="123"/>
  <c r="DY480" i="123"/>
  <c r="DE480" i="123"/>
  <c r="CJ480" i="123"/>
  <c r="BO480" i="123"/>
  <c r="AT480" i="123"/>
  <c r="AA480" i="123"/>
  <c r="MR480" i="123"/>
  <c r="MP480" i="123"/>
  <c r="GY480" i="123"/>
  <c r="GD480" i="123"/>
  <c r="FJ480" i="123"/>
  <c r="EO480" i="123"/>
  <c r="DU480" i="123"/>
  <c r="CY480" i="123"/>
  <c r="CE480" i="123"/>
  <c r="BJ480" i="123"/>
  <c r="AQ480" i="123"/>
  <c r="X480" i="123"/>
  <c r="GX480" i="123"/>
  <c r="GC480" i="123"/>
  <c r="FI480" i="123"/>
  <c r="EM480" i="123"/>
  <c r="DT480" i="123"/>
  <c r="CW480" i="123"/>
  <c r="CD480" i="123"/>
  <c r="BI480" i="123"/>
  <c r="AP480" i="123"/>
  <c r="HA480" i="123"/>
  <c r="FZ480" i="123"/>
  <c r="EZ480" i="123"/>
  <c r="EA480" i="123"/>
  <c r="DB480" i="123"/>
  <c r="BZ480" i="123"/>
  <c r="BA480" i="123"/>
  <c r="AB480" i="123"/>
  <c r="GV480" i="123"/>
  <c r="FW480" i="123"/>
  <c r="EX480" i="123"/>
  <c r="DX480" i="123"/>
  <c r="CU480" i="123"/>
  <c r="BW480" i="123"/>
  <c r="AV480" i="123"/>
  <c r="Y480" i="123"/>
  <c r="GT480" i="123"/>
  <c r="FV480" i="123"/>
  <c r="EW480" i="123"/>
  <c r="DV480" i="123"/>
  <c r="CT480" i="123"/>
  <c r="BU480" i="123"/>
  <c r="AU480" i="123"/>
  <c r="GS480" i="123"/>
  <c r="FT480" i="123"/>
  <c r="EU480" i="123"/>
  <c r="DR480" i="123"/>
  <c r="CS480" i="123"/>
  <c r="BT480" i="123"/>
  <c r="AS480" i="123"/>
  <c r="MX480" i="123"/>
  <c r="HM480" i="123"/>
  <c r="GM480" i="123"/>
  <c r="FM480" i="123"/>
  <c r="EK480" i="123"/>
  <c r="DK480" i="123"/>
  <c r="CL480" i="123"/>
  <c r="BL480" i="123"/>
  <c r="AJ480" i="123"/>
  <c r="HE480" i="123"/>
  <c r="FO480" i="123"/>
  <c r="EB480" i="123"/>
  <c r="CK480" i="123"/>
  <c r="AX480" i="123"/>
  <c r="HD480" i="123"/>
  <c r="FK480" i="123"/>
  <c r="DZ480" i="123"/>
  <c r="CG480" i="123"/>
  <c r="AR480" i="123"/>
  <c r="GQ480" i="123"/>
  <c r="FD480" i="123"/>
  <c r="DM480" i="123"/>
  <c r="CC480" i="123"/>
  <c r="AM480" i="123"/>
  <c r="GP480" i="123"/>
  <c r="FC480" i="123"/>
  <c r="DL480" i="123"/>
  <c r="CB480" i="123"/>
  <c r="AH480" i="123"/>
  <c r="GJ480" i="123"/>
  <c r="ER480" i="123"/>
  <c r="DH480" i="123"/>
  <c r="BP480" i="123"/>
  <c r="AD480" i="123"/>
  <c r="HL480" i="123"/>
  <c r="EY480" i="123"/>
  <c r="CQ480" i="123"/>
  <c r="AC480" i="123"/>
  <c r="ED480" i="123"/>
  <c r="HJ480" i="123"/>
  <c r="EP480" i="123"/>
  <c r="CP480" i="123"/>
  <c r="Z480" i="123"/>
  <c r="HG480" i="123"/>
  <c r="EL480" i="123"/>
  <c r="CF480" i="123"/>
  <c r="GZ480" i="123"/>
  <c r="EI480" i="123"/>
  <c r="BX480" i="123"/>
  <c r="GN480" i="123"/>
  <c r="EH480" i="123"/>
  <c r="BS480" i="123"/>
  <c r="JB480" i="123"/>
  <c r="GL480" i="123"/>
  <c r="EG480" i="123"/>
  <c r="BN480" i="123"/>
  <c r="IX480" i="123"/>
  <c r="GF480" i="123"/>
  <c r="BH480" i="123"/>
  <c r="GE480" i="123"/>
  <c r="DP480" i="123"/>
  <c r="BG480" i="123"/>
  <c r="IH480" i="123"/>
  <c r="GA480" i="123"/>
  <c r="DJ480" i="123"/>
  <c r="BF480" i="123"/>
  <c r="NB480" i="123"/>
  <c r="ID480" i="123"/>
  <c r="FQ480" i="123"/>
  <c r="DG480" i="123"/>
  <c r="BC480" i="123"/>
  <c r="NA480" i="123"/>
  <c r="HP480" i="123"/>
  <c r="FP480" i="123"/>
  <c r="DD480" i="123"/>
  <c r="AO480" i="123"/>
  <c r="MV480" i="123"/>
  <c r="HO480" i="123"/>
  <c r="FH480" i="123"/>
  <c r="CV480" i="123"/>
  <c r="AF480" i="123"/>
  <c r="HE466" i="123"/>
  <c r="GQ466" i="123"/>
  <c r="GC466" i="123"/>
  <c r="FO466" i="123"/>
  <c r="FA466" i="123"/>
  <c r="EM466" i="123"/>
  <c r="DY466" i="123"/>
  <c r="DK466" i="123"/>
  <c r="CW466" i="123"/>
  <c r="CI466" i="123"/>
  <c r="BU466" i="123"/>
  <c r="BG466" i="123"/>
  <c r="AS466" i="123"/>
  <c r="AE466" i="123"/>
  <c r="MY466" i="123"/>
  <c r="HO466" i="123"/>
  <c r="HA466" i="123"/>
  <c r="GM466" i="123"/>
  <c r="FY466" i="123"/>
  <c r="FK466" i="123"/>
  <c r="EW466" i="123"/>
  <c r="EI466" i="123"/>
  <c r="DU466" i="123"/>
  <c r="DG466" i="123"/>
  <c r="CS466" i="123"/>
  <c r="CE466" i="123"/>
  <c r="BQ466" i="123"/>
  <c r="BC466" i="123"/>
  <c r="AO466" i="123"/>
  <c r="AA466" i="123"/>
  <c r="HI466" i="123"/>
  <c r="GS466" i="123"/>
  <c r="GB466" i="123"/>
  <c r="FL466" i="123"/>
  <c r="EU466" i="123"/>
  <c r="EE466" i="123"/>
  <c r="DO466" i="123"/>
  <c r="CY466" i="123"/>
  <c r="CH466" i="123"/>
  <c r="BR466" i="123"/>
  <c r="BA466" i="123"/>
  <c r="AK466" i="123"/>
  <c r="MX466" i="123"/>
  <c r="HH466" i="123"/>
  <c r="GR466" i="123"/>
  <c r="GA466" i="123"/>
  <c r="FJ466" i="123"/>
  <c r="ET466" i="123"/>
  <c r="ED466" i="123"/>
  <c r="DN466" i="123"/>
  <c r="CX466" i="123"/>
  <c r="CG466" i="123"/>
  <c r="BP466" i="123"/>
  <c r="AZ466" i="123"/>
  <c r="AJ466" i="123"/>
  <c r="MQ466" i="123"/>
  <c r="HM466" i="123"/>
  <c r="GU466" i="123"/>
  <c r="FZ466" i="123"/>
  <c r="FG466" i="123"/>
  <c r="EO466" i="123"/>
  <c r="DV466" i="123"/>
  <c r="DC466" i="123"/>
  <c r="CK466" i="123"/>
  <c r="BO466" i="123"/>
  <c r="AW466" i="123"/>
  <c r="AD466" i="123"/>
  <c r="NH466" i="123"/>
  <c r="MP466" i="123"/>
  <c r="IE466" i="123"/>
  <c r="GT466" i="123"/>
  <c r="FX466" i="123"/>
  <c r="FF466" i="123"/>
  <c r="EN466" i="123"/>
  <c r="DB466" i="123"/>
  <c r="CJ466" i="123"/>
  <c r="BN466" i="123"/>
  <c r="AV466" i="123"/>
  <c r="AC466" i="123"/>
  <c r="ND466" i="123"/>
  <c r="IS466" i="123"/>
  <c r="HF466" i="123"/>
  <c r="GL466" i="123"/>
  <c r="FB466" i="123"/>
  <c r="DP466" i="123"/>
  <c r="CB466" i="123"/>
  <c r="X466" i="123"/>
  <c r="IX466" i="123"/>
  <c r="HL466" i="123"/>
  <c r="DT466" i="123"/>
  <c r="HK466" i="123"/>
  <c r="GP466" i="123"/>
  <c r="FW466" i="123"/>
  <c r="FE466" i="123"/>
  <c r="EL466" i="123"/>
  <c r="DS466" i="123"/>
  <c r="DA466" i="123"/>
  <c r="CF466" i="123"/>
  <c r="BM466" i="123"/>
  <c r="AU466" i="123"/>
  <c r="AB466" i="123"/>
  <c r="HJ466" i="123"/>
  <c r="GO466" i="123"/>
  <c r="FV466" i="123"/>
  <c r="FD466" i="123"/>
  <c r="EK466" i="123"/>
  <c r="DR466" i="123"/>
  <c r="CZ466" i="123"/>
  <c r="CD466" i="123"/>
  <c r="BL466" i="123"/>
  <c r="AT466" i="123"/>
  <c r="Z466" i="123"/>
  <c r="BJ466" i="123"/>
  <c r="HG466" i="123"/>
  <c r="GN466" i="123"/>
  <c r="FU466" i="123"/>
  <c r="FC466" i="123"/>
  <c r="EJ466" i="123"/>
  <c r="DQ466" i="123"/>
  <c r="CV466" i="123"/>
  <c r="CC466" i="123"/>
  <c r="BK466" i="123"/>
  <c r="AR466" i="123"/>
  <c r="Y466" i="123"/>
  <c r="HZ466" i="123"/>
  <c r="FT466" i="123"/>
  <c r="EH466" i="123"/>
  <c r="CU466" i="123"/>
  <c r="AQ466" i="123"/>
  <c r="NA466" i="123"/>
  <c r="IP466" i="123"/>
  <c r="HV466" i="123"/>
  <c r="HC466" i="123"/>
  <c r="GJ466" i="123"/>
  <c r="FR466" i="123"/>
  <c r="EY466" i="123"/>
  <c r="EF466" i="123"/>
  <c r="DL466" i="123"/>
  <c r="CR466" i="123"/>
  <c r="BZ466" i="123"/>
  <c r="BH466" i="123"/>
  <c r="AN466" i="123"/>
  <c r="NN466" i="123"/>
  <c r="MU466" i="123"/>
  <c r="JC466" i="123"/>
  <c r="IK466" i="123"/>
  <c r="HR466" i="123"/>
  <c r="GY466" i="123"/>
  <c r="GG466" i="123"/>
  <c r="FN466" i="123"/>
  <c r="ES466" i="123"/>
  <c r="EA466" i="123"/>
  <c r="DH466" i="123"/>
  <c r="CO466" i="123"/>
  <c r="BW466" i="123"/>
  <c r="BD466" i="123"/>
  <c r="AI466" i="123"/>
  <c r="NL466" i="123"/>
  <c r="MT466" i="123"/>
  <c r="JB466" i="123"/>
  <c r="IJ466" i="123"/>
  <c r="HQ466" i="123"/>
  <c r="GX466" i="123"/>
  <c r="GF466" i="123"/>
  <c r="FM466" i="123"/>
  <c r="ER466" i="123"/>
  <c r="DZ466" i="123"/>
  <c r="DF466" i="123"/>
  <c r="CN466" i="123"/>
  <c r="BV466" i="123"/>
  <c r="BB466" i="123"/>
  <c r="AH466" i="123"/>
  <c r="NK466" i="123"/>
  <c r="MS466" i="123"/>
  <c r="JA466" i="123"/>
  <c r="II466" i="123"/>
  <c r="HP466" i="123"/>
  <c r="GW466" i="123"/>
  <c r="GE466" i="123"/>
  <c r="FI466" i="123"/>
  <c r="EQ466" i="123"/>
  <c r="DX466" i="123"/>
  <c r="DE466" i="123"/>
  <c r="CM466" i="123"/>
  <c r="BT466" i="123"/>
  <c r="AY466" i="123"/>
  <c r="AG466" i="123"/>
  <c r="ED464" i="123"/>
  <c r="JW464" i="123"/>
  <c r="CP466" i="123"/>
  <c r="HT466" i="123"/>
  <c r="BH473" i="123"/>
  <c r="AE483" i="123"/>
  <c r="A464" i="123"/>
  <c r="CC464" i="123"/>
  <c r="EG464" i="123"/>
  <c r="KC464" i="123"/>
  <c r="MG464" i="123"/>
  <c r="NU464" i="123"/>
  <c r="AF466" i="123"/>
  <c r="CQ466" i="123"/>
  <c r="FH466" i="123"/>
  <c r="HU466" i="123"/>
  <c r="FR469" i="123"/>
  <c r="BT473" i="123"/>
  <c r="GK476" i="123"/>
  <c r="AE480" i="123"/>
  <c r="DU483" i="123"/>
  <c r="BJ490" i="123"/>
  <c r="CF464" i="123"/>
  <c r="EU464" i="123"/>
  <c r="KG464" i="123"/>
  <c r="AM466" i="123"/>
  <c r="DD466" i="123"/>
  <c r="FQ466" i="123"/>
  <c r="IH466" i="123"/>
  <c r="AB469" i="123"/>
  <c r="GO469" i="123"/>
  <c r="CY473" i="123"/>
  <c r="CR480" i="123"/>
  <c r="IS476" i="123"/>
  <c r="NM476" i="123"/>
  <c r="MZ476" i="123"/>
  <c r="JD476" i="123"/>
  <c r="IJ476" i="123"/>
  <c r="IE476" i="123"/>
  <c r="HW476" i="123"/>
  <c r="N721" i="123"/>
  <c r="CP464" i="123"/>
  <c r="KP464" i="123"/>
  <c r="AP466" i="123"/>
  <c r="DI466" i="123"/>
  <c r="FS466" i="123"/>
  <c r="IL466" i="123"/>
  <c r="AS469" i="123"/>
  <c r="GY469" i="123"/>
  <c r="DZ473" i="123"/>
  <c r="IG476" i="123"/>
  <c r="DI480" i="123"/>
  <c r="A481" i="123"/>
  <c r="DJ466" i="123"/>
  <c r="IM466" i="123"/>
  <c r="NS476" i="123"/>
  <c r="FB480" i="123"/>
  <c r="FG464" i="123"/>
  <c r="ES464" i="123"/>
  <c r="EE464" i="123"/>
  <c r="DQ464" i="123"/>
  <c r="DC464" i="123"/>
  <c r="CO464" i="123"/>
  <c r="CA464" i="123"/>
  <c r="BM464" i="123"/>
  <c r="HG464" i="123"/>
  <c r="FC464" i="123"/>
  <c r="EO464" i="123"/>
  <c r="EA464" i="123"/>
  <c r="DM464" i="123"/>
  <c r="CY464" i="123"/>
  <c r="CK464" i="123"/>
  <c r="BW464" i="123"/>
  <c r="EY464" i="123"/>
  <c r="EI464" i="123"/>
  <c r="DS464" i="123"/>
  <c r="DB464" i="123"/>
  <c r="CL464" i="123"/>
  <c r="BU464" i="123"/>
  <c r="HF464" i="123"/>
  <c r="FF464" i="123"/>
  <c r="EN464" i="123"/>
  <c r="DW464" i="123"/>
  <c r="DF464" i="123"/>
  <c r="CN464" i="123"/>
  <c r="BV464" i="123"/>
  <c r="FE464" i="123"/>
  <c r="EM464" i="123"/>
  <c r="DV464" i="123"/>
  <c r="DE464" i="123"/>
  <c r="CM464" i="123"/>
  <c r="BT464" i="123"/>
  <c r="CX464" i="123"/>
  <c r="FD464" i="123"/>
  <c r="EL464" i="123"/>
  <c r="DU464" i="123"/>
  <c r="DD464" i="123"/>
  <c r="CJ464" i="123"/>
  <c r="BS464" i="123"/>
  <c r="FB464" i="123"/>
  <c r="EK464" i="123"/>
  <c r="DT464" i="123"/>
  <c r="DA464" i="123"/>
  <c r="CI464" i="123"/>
  <c r="BR464" i="123"/>
  <c r="EZ464" i="123"/>
  <c r="EH464" i="123"/>
  <c r="BP464" i="123"/>
  <c r="FA464" i="123"/>
  <c r="EJ464" i="123"/>
  <c r="DR464" i="123"/>
  <c r="CZ464" i="123"/>
  <c r="CH464" i="123"/>
  <c r="BQ464" i="123"/>
  <c r="DP464" i="123"/>
  <c r="CG464" i="123"/>
  <c r="EW464" i="123"/>
  <c r="EF464" i="123"/>
  <c r="DN464" i="123"/>
  <c r="CV464" i="123"/>
  <c r="CE464" i="123"/>
  <c r="BN464" i="123"/>
  <c r="FK464" i="123"/>
  <c r="ET464" i="123"/>
  <c r="EB464" i="123"/>
  <c r="DJ464" i="123"/>
  <c r="CS464" i="123"/>
  <c r="CB464" i="123"/>
  <c r="HJ464" i="123"/>
  <c r="FJ464" i="123"/>
  <c r="ER464" i="123"/>
  <c r="DZ464" i="123"/>
  <c r="DI464" i="123"/>
  <c r="CR464" i="123"/>
  <c r="BZ464" i="123"/>
  <c r="HI464" i="123"/>
  <c r="FI464" i="123"/>
  <c r="EQ464" i="123"/>
  <c r="DY464" i="123"/>
  <c r="DH464" i="123"/>
  <c r="CQ464" i="123"/>
  <c r="BY464" i="123"/>
  <c r="F512" i="123"/>
  <c r="A477" i="123"/>
  <c r="L474" i="123"/>
  <c r="M474" i="123" s="1"/>
  <c r="A474" i="123"/>
  <c r="FQ501" i="123"/>
  <c r="FP501" i="123"/>
  <c r="HO501" i="123"/>
  <c r="HM501" i="123"/>
  <c r="HL501" i="123"/>
  <c r="HK501" i="123"/>
  <c r="HJ501" i="123"/>
  <c r="FO501" i="123"/>
  <c r="FN501" i="123"/>
  <c r="FM501" i="123"/>
  <c r="HN501" i="123"/>
  <c r="HH501" i="123"/>
  <c r="CO501" i="123"/>
  <c r="BE501" i="123"/>
  <c r="DQ501" i="123"/>
  <c r="FU501" i="123"/>
  <c r="CP501" i="123"/>
  <c r="CL501" i="123"/>
  <c r="CD501" i="123"/>
  <c r="HS501" i="123"/>
  <c r="GW501" i="123"/>
  <c r="CR501" i="123"/>
  <c r="X501" i="123"/>
  <c r="HG487" i="123"/>
  <c r="FQ487" i="123"/>
  <c r="HL487" i="123"/>
  <c r="HJ487" i="123"/>
  <c r="HI487" i="123"/>
  <c r="FP487" i="123"/>
  <c r="FM487" i="123"/>
  <c r="GU487" i="123"/>
  <c r="FS487" i="123"/>
  <c r="EL487" i="123"/>
  <c r="DN487" i="123"/>
  <c r="CI487" i="123"/>
  <c r="BE487" i="123"/>
  <c r="AH487" i="123"/>
  <c r="FO487" i="123"/>
  <c r="MV487" i="123"/>
  <c r="GX487" i="123"/>
  <c r="FH487" i="123"/>
  <c r="DT487" i="123"/>
  <c r="CD487" i="123"/>
  <c r="AO487" i="123"/>
  <c r="MT487" i="123"/>
  <c r="GQ487" i="123"/>
  <c r="FB487" i="123"/>
  <c r="DP487" i="123"/>
  <c r="BX487" i="123"/>
  <c r="AM487" i="123"/>
  <c r="MS487" i="123"/>
  <c r="GO487" i="123"/>
  <c r="FA487" i="123"/>
  <c r="DK487" i="123"/>
  <c r="BV487" i="123"/>
  <c r="AL487" i="123"/>
  <c r="GI487" i="123"/>
  <c r="EZ487" i="123"/>
  <c r="DE487" i="123"/>
  <c r="BU487" i="123"/>
  <c r="AJ487" i="123"/>
  <c r="HO487" i="123"/>
  <c r="GB487" i="123"/>
  <c r="EI487" i="123"/>
  <c r="CW487" i="123"/>
  <c r="BG487" i="123"/>
  <c r="FZ487" i="123"/>
  <c r="DR487" i="123"/>
  <c r="BB487" i="123"/>
  <c r="FN487" i="123"/>
  <c r="CZ487" i="123"/>
  <c r="AX487" i="123"/>
  <c r="FJ487" i="123"/>
  <c r="CX487" i="123"/>
  <c r="AR487" i="123"/>
  <c r="FI487" i="123"/>
  <c r="CV487" i="123"/>
  <c r="AN487" i="123"/>
  <c r="HK487" i="123"/>
  <c r="ET487" i="123"/>
  <c r="CN487" i="123"/>
  <c r="HH487" i="123"/>
  <c r="EJ487" i="123"/>
  <c r="CE487" i="123"/>
  <c r="EF487" i="123"/>
  <c r="EE487" i="123"/>
  <c r="HN487" i="123"/>
  <c r="DZ487" i="123"/>
  <c r="HM487" i="123"/>
  <c r="DC487" i="123"/>
  <c r="GH487" i="123"/>
  <c r="BY487" i="123"/>
  <c r="BP487" i="123"/>
  <c r="HF487" i="123"/>
  <c r="BC487" i="123"/>
  <c r="GR487" i="123"/>
  <c r="BA487" i="123"/>
  <c r="GD487" i="123"/>
  <c r="Y487" i="123"/>
  <c r="GC487" i="123"/>
  <c r="FX487" i="123"/>
  <c r="MU487" i="123"/>
  <c r="FG487" i="123"/>
  <c r="EY487" i="123"/>
  <c r="EG487" i="123"/>
  <c r="CU487" i="123"/>
  <c r="CT487" i="123"/>
  <c r="BT487" i="123"/>
  <c r="JD487" i="123"/>
  <c r="BQ487" i="123"/>
  <c r="NP469" i="123"/>
  <c r="NF469" i="123"/>
  <c r="IJ469" i="123"/>
  <c r="ID469" i="123"/>
  <c r="NJ469" i="123"/>
  <c r="JC469" i="123"/>
  <c r="IE469" i="123"/>
  <c r="JA469" i="123"/>
  <c r="NA469" i="123"/>
  <c r="IX469" i="123"/>
  <c r="HW469" i="123"/>
  <c r="IU469" i="123"/>
  <c r="HS469" i="123"/>
  <c r="NX469" i="123"/>
  <c r="IT469" i="123"/>
  <c r="HR469" i="123"/>
  <c r="NW469" i="123"/>
  <c r="IQ469" i="123"/>
  <c r="HQ469" i="123"/>
  <c r="BX464" i="123"/>
  <c r="ME464" i="123"/>
  <c r="NR464" i="123"/>
  <c r="EZ466" i="123"/>
  <c r="CT464" i="123"/>
  <c r="EX464" i="123"/>
  <c r="HH464" i="123"/>
  <c r="KU464" i="123"/>
  <c r="AX466" i="123"/>
  <c r="GD466" i="123"/>
  <c r="AZ469" i="123"/>
  <c r="EJ473" i="123"/>
  <c r="CU464" i="123"/>
  <c r="FH464" i="123"/>
  <c r="KV464" i="123"/>
  <c r="BE466" i="123"/>
  <c r="DM466" i="123"/>
  <c r="GH466" i="123"/>
  <c r="IR466" i="123"/>
  <c r="MR466" i="123"/>
  <c r="BS469" i="123"/>
  <c r="HP469" i="123"/>
  <c r="FH473" i="123"/>
  <c r="FY480" i="123"/>
  <c r="MU483" i="123"/>
  <c r="BQ476" i="123"/>
  <c r="DX476" i="123"/>
  <c r="FU476" i="123"/>
  <c r="HU476" i="123"/>
  <c r="JV476" i="123"/>
  <c r="CJ478" i="123"/>
  <c r="AY479" i="123"/>
  <c r="DP479" i="123"/>
  <c r="DD483" i="123"/>
  <c r="HC483" i="123"/>
  <c r="BY484" i="123"/>
  <c r="DY486" i="123"/>
  <c r="FK491" i="123"/>
  <c r="L1408" i="123"/>
  <c r="L464" i="123"/>
  <c r="M464" i="123" s="1"/>
  <c r="MV507" i="123"/>
  <c r="HB507" i="123"/>
  <c r="GN507" i="123"/>
  <c r="FZ507" i="123"/>
  <c r="FD507" i="123"/>
  <c r="BA507" i="123"/>
  <c r="AM507" i="123"/>
  <c r="Y507" i="123"/>
  <c r="MT507" i="123"/>
  <c r="GZ507" i="123"/>
  <c r="GL507" i="123"/>
  <c r="FX507" i="123"/>
  <c r="CX507" i="123"/>
  <c r="AY507" i="123"/>
  <c r="AK507" i="123"/>
  <c r="MS507" i="123"/>
  <c r="GY507" i="123"/>
  <c r="GK507" i="123"/>
  <c r="FW507" i="123"/>
  <c r="CG507" i="123"/>
  <c r="AX507" i="123"/>
  <c r="AJ507" i="123"/>
  <c r="GU507" i="123"/>
  <c r="GG507" i="123"/>
  <c r="FS507" i="123"/>
  <c r="BH507" i="123"/>
  <c r="AT507" i="123"/>
  <c r="AF507" i="123"/>
  <c r="GT507" i="123"/>
  <c r="GF507" i="123"/>
  <c r="FR507" i="123"/>
  <c r="BG507" i="123"/>
  <c r="AS507" i="123"/>
  <c r="AE507" i="123"/>
  <c r="GR507" i="123"/>
  <c r="GD507" i="123"/>
  <c r="BE507" i="123"/>
  <c r="AQ507" i="123"/>
  <c r="AC507" i="123"/>
  <c r="GW507" i="123"/>
  <c r="FY507" i="123"/>
  <c r="BD507" i="123"/>
  <c r="AG507" i="123"/>
  <c r="GS507" i="123"/>
  <c r="FU507" i="123"/>
  <c r="BB507" i="123"/>
  <c r="AB507" i="123"/>
  <c r="GQ507" i="123"/>
  <c r="FT507" i="123"/>
  <c r="AZ507" i="123"/>
  <c r="AA507" i="123"/>
  <c r="GP507" i="123"/>
  <c r="AW507" i="123"/>
  <c r="Z507" i="123"/>
  <c r="MX507" i="123"/>
  <c r="HE507" i="123"/>
  <c r="GA507" i="123"/>
  <c r="AU507" i="123"/>
  <c r="MW507" i="123"/>
  <c r="HD507" i="123"/>
  <c r="FV507" i="123"/>
  <c r="AR507" i="123"/>
  <c r="MU507" i="123"/>
  <c r="HC507" i="123"/>
  <c r="AP507" i="123"/>
  <c r="MQ507" i="123"/>
  <c r="GX507" i="123"/>
  <c r="AN507" i="123"/>
  <c r="GO507" i="123"/>
  <c r="AI507" i="123"/>
  <c r="GM507" i="123"/>
  <c r="CY507" i="123"/>
  <c r="AH507" i="123"/>
  <c r="GJ507" i="123"/>
  <c r="BF507" i="123"/>
  <c r="GI507" i="123"/>
  <c r="BC507" i="123"/>
  <c r="GH507" i="123"/>
  <c r="AV507" i="123"/>
  <c r="X507" i="123"/>
  <c r="BI507" i="123"/>
  <c r="AO507" i="123"/>
  <c r="HA507" i="123"/>
  <c r="AL507" i="123"/>
  <c r="GC507" i="123"/>
  <c r="GB507" i="123"/>
  <c r="MR507" i="123"/>
  <c r="MP507" i="123"/>
  <c r="BK507" i="123"/>
  <c r="GE507" i="123"/>
  <c r="BJ507" i="123"/>
  <c r="JE507" i="123"/>
  <c r="AD507" i="123"/>
  <c r="MY507" i="123"/>
  <c r="GV507" i="123"/>
  <c r="HD500" i="123"/>
  <c r="GP500" i="123"/>
  <c r="GB500" i="123"/>
  <c r="ED500" i="123"/>
  <c r="CO500" i="123"/>
  <c r="BI500" i="123"/>
  <c r="AU500" i="123"/>
  <c r="AG500" i="123"/>
  <c r="MY500" i="123"/>
  <c r="MX500" i="123"/>
  <c r="HA500" i="123"/>
  <c r="GM500" i="123"/>
  <c r="FY500" i="123"/>
  <c r="FH500" i="123"/>
  <c r="DX500" i="123"/>
  <c r="CF500" i="123"/>
  <c r="BF500" i="123"/>
  <c r="AR500" i="123"/>
  <c r="AD500" i="123"/>
  <c r="MT500" i="123"/>
  <c r="GW500" i="123"/>
  <c r="GI500" i="123"/>
  <c r="FU500" i="123"/>
  <c r="EZ500" i="123"/>
  <c r="DH500" i="123"/>
  <c r="CA500" i="123"/>
  <c r="BB500" i="123"/>
  <c r="AN500" i="123"/>
  <c r="Z500" i="123"/>
  <c r="MS500" i="123"/>
  <c r="GV500" i="123"/>
  <c r="GH500" i="123"/>
  <c r="FT500" i="123"/>
  <c r="ET500" i="123"/>
  <c r="DG500" i="123"/>
  <c r="BV500" i="123"/>
  <c r="BA500" i="123"/>
  <c r="AM500" i="123"/>
  <c r="Y500" i="123"/>
  <c r="MQ500" i="123"/>
  <c r="GT500" i="123"/>
  <c r="GF500" i="123"/>
  <c r="FR500" i="123"/>
  <c r="EL500" i="123"/>
  <c r="DE500" i="123"/>
  <c r="BM500" i="123"/>
  <c r="AY500" i="123"/>
  <c r="AK500" i="123"/>
  <c r="MR500" i="123"/>
  <c r="GY500" i="123"/>
  <c r="GC500" i="123"/>
  <c r="FF500" i="123"/>
  <c r="CT500" i="123"/>
  <c r="BC500" i="123"/>
  <c r="AF500" i="123"/>
  <c r="GU500" i="123"/>
  <c r="FZ500" i="123"/>
  <c r="ER500" i="123"/>
  <c r="CH500" i="123"/>
  <c r="AX500" i="123"/>
  <c r="AC500" i="123"/>
  <c r="GS500" i="123"/>
  <c r="FX500" i="123"/>
  <c r="EK500" i="123"/>
  <c r="CE500" i="123"/>
  <c r="AW500" i="123"/>
  <c r="AB500" i="123"/>
  <c r="GR500" i="123"/>
  <c r="FW500" i="123"/>
  <c r="EJ500" i="123"/>
  <c r="CC500" i="123"/>
  <c r="AV500" i="123"/>
  <c r="AA500" i="123"/>
  <c r="GG500" i="123"/>
  <c r="EE500" i="123"/>
  <c r="BJ500" i="123"/>
  <c r="AH500" i="123"/>
  <c r="GE500" i="123"/>
  <c r="EC500" i="123"/>
  <c r="BH500" i="123"/>
  <c r="AE500" i="123"/>
  <c r="GD500" i="123"/>
  <c r="DY500" i="123"/>
  <c r="BG500" i="123"/>
  <c r="X500" i="123"/>
  <c r="HC500" i="123"/>
  <c r="FV500" i="123"/>
  <c r="DM500" i="123"/>
  <c r="BD500" i="123"/>
  <c r="GX500" i="123"/>
  <c r="DD500" i="123"/>
  <c r="AS500" i="123"/>
  <c r="HB500" i="123"/>
  <c r="AZ500" i="123"/>
  <c r="GZ500" i="123"/>
  <c r="FJ500" i="123"/>
  <c r="AT500" i="123"/>
  <c r="GQ500" i="123"/>
  <c r="FG500" i="123"/>
  <c r="AQ500" i="123"/>
  <c r="GK500" i="123"/>
  <c r="DF500" i="123"/>
  <c r="AJ500" i="123"/>
  <c r="AL500" i="123"/>
  <c r="AI500" i="123"/>
  <c r="FA500" i="123"/>
  <c r="A500" i="123"/>
  <c r="MU500" i="123"/>
  <c r="GO500" i="123"/>
  <c r="CW500" i="123"/>
  <c r="MP500" i="123"/>
  <c r="GN500" i="123"/>
  <c r="CN500" i="123"/>
  <c r="DS500" i="123"/>
  <c r="DI500" i="123"/>
  <c r="CB500" i="123"/>
  <c r="BL500" i="123"/>
  <c r="BK500" i="123"/>
  <c r="HE500" i="123"/>
  <c r="BE500" i="123"/>
  <c r="FS500" i="123"/>
  <c r="BP500" i="123"/>
  <c r="AO500" i="123"/>
  <c r="MW500" i="123"/>
  <c r="GA500" i="123"/>
  <c r="IB500" i="123"/>
  <c r="AP500" i="123"/>
  <c r="GL500" i="123"/>
  <c r="IG500" i="123"/>
  <c r="MX493" i="123"/>
  <c r="HA493" i="123"/>
  <c r="GM493" i="123"/>
  <c r="FY493" i="123"/>
  <c r="FK493" i="123"/>
  <c r="EP493" i="123"/>
  <c r="DR493" i="123"/>
  <c r="CV493" i="123"/>
  <c r="BZ493" i="123"/>
  <c r="BF493" i="123"/>
  <c r="AR493" i="123"/>
  <c r="AD493" i="123"/>
  <c r="MV493" i="123"/>
  <c r="MU493" i="123"/>
  <c r="MT493" i="123"/>
  <c r="GW493" i="123"/>
  <c r="GI493" i="123"/>
  <c r="FU493" i="123"/>
  <c r="FE493" i="123"/>
  <c r="EH493" i="123"/>
  <c r="DL493" i="123"/>
  <c r="CQ493" i="123"/>
  <c r="BU493" i="123"/>
  <c r="BB493" i="123"/>
  <c r="AN493" i="123"/>
  <c r="Z493" i="123"/>
  <c r="GU493" i="123"/>
  <c r="GE493" i="123"/>
  <c r="ER493" i="123"/>
  <c r="DO493" i="123"/>
  <c r="CS493" i="123"/>
  <c r="BP493" i="123"/>
  <c r="AX493" i="123"/>
  <c r="AH493" i="123"/>
  <c r="GS493" i="123"/>
  <c r="MY493" i="123"/>
  <c r="GQ493" i="123"/>
  <c r="GA493" i="123"/>
  <c r="FJ493" i="123"/>
  <c r="EI493" i="123"/>
  <c r="DJ493" i="123"/>
  <c r="CH493" i="123"/>
  <c r="BJ493" i="123"/>
  <c r="AT493" i="123"/>
  <c r="AC493" i="123"/>
  <c r="MR493" i="123"/>
  <c r="GV493" i="123"/>
  <c r="GB493" i="123"/>
  <c r="FI493" i="123"/>
  <c r="EC493" i="123"/>
  <c r="CY493" i="123"/>
  <c r="BX493" i="123"/>
  <c r="AY493" i="123"/>
  <c r="AF493" i="123"/>
  <c r="MQ493" i="123"/>
  <c r="GT493" i="123"/>
  <c r="FZ493" i="123"/>
  <c r="FH493" i="123"/>
  <c r="EB493" i="123"/>
  <c r="CX493" i="123"/>
  <c r="BV493" i="123"/>
  <c r="AW493" i="123"/>
  <c r="AE493" i="123"/>
  <c r="MP493" i="123"/>
  <c r="GR493" i="123"/>
  <c r="FX493" i="123"/>
  <c r="FD493" i="123"/>
  <c r="EA493" i="123"/>
  <c r="CW493" i="123"/>
  <c r="BQ493" i="123"/>
  <c r="AV493" i="123"/>
  <c r="AB493" i="123"/>
  <c r="GL493" i="123"/>
  <c r="FS493" i="123"/>
  <c r="EV493" i="123"/>
  <c r="DU493" i="123"/>
  <c r="CM493" i="123"/>
  <c r="BI493" i="123"/>
  <c r="AP493" i="123"/>
  <c r="HB493" i="123"/>
  <c r="FW493" i="123"/>
  <c r="ET493" i="123"/>
  <c r="DE493" i="123"/>
  <c r="BK493" i="123"/>
  <c r="AK493" i="123"/>
  <c r="GZ493" i="123"/>
  <c r="FV493" i="123"/>
  <c r="EQ493" i="123"/>
  <c r="DD493" i="123"/>
  <c r="BH493" i="123"/>
  <c r="AJ493" i="123"/>
  <c r="GY493" i="123"/>
  <c r="FT493" i="123"/>
  <c r="EN493" i="123"/>
  <c r="CU493" i="123"/>
  <c r="BG493" i="123"/>
  <c r="AI493" i="123"/>
  <c r="GO493" i="123"/>
  <c r="ED493" i="123"/>
  <c r="CL493" i="123"/>
  <c r="BC493" i="123"/>
  <c r="Y493" i="123"/>
  <c r="GN493" i="123"/>
  <c r="DZ493" i="123"/>
  <c r="CG493" i="123"/>
  <c r="BA493" i="123"/>
  <c r="X493" i="123"/>
  <c r="HE493" i="123"/>
  <c r="DM493" i="123"/>
  <c r="BD493" i="123"/>
  <c r="HD493" i="123"/>
  <c r="DK493" i="123"/>
  <c r="AZ493" i="123"/>
  <c r="GP493" i="123"/>
  <c r="FL493" i="123"/>
  <c r="CT493" i="123"/>
  <c r="AQ493" i="123"/>
  <c r="GK493" i="123"/>
  <c r="FA493" i="123"/>
  <c r="CP493" i="123"/>
  <c r="AO493" i="123"/>
  <c r="CF493" i="123"/>
  <c r="MS493" i="123"/>
  <c r="CD493" i="123"/>
  <c r="CB493" i="123"/>
  <c r="HC493" i="123"/>
  <c r="EY493" i="123"/>
  <c r="BY493" i="123"/>
  <c r="IB493" i="123"/>
  <c r="GG493" i="123"/>
  <c r="EF493" i="123"/>
  <c r="AU493" i="123"/>
  <c r="MW493" i="123"/>
  <c r="GX493" i="123"/>
  <c r="EM493" i="123"/>
  <c r="AA493" i="123"/>
  <c r="IU493" i="123"/>
  <c r="GH493" i="123"/>
  <c r="DW493" i="123"/>
  <c r="IS493" i="123"/>
  <c r="GF493" i="123"/>
  <c r="DN493" i="123"/>
  <c r="IO493" i="123"/>
  <c r="GD493" i="123"/>
  <c r="DI493" i="123"/>
  <c r="BL493" i="123"/>
  <c r="AL493" i="123"/>
  <c r="HW493" i="123"/>
  <c r="DY493" i="123"/>
  <c r="DH493" i="123"/>
  <c r="BO493" i="123"/>
  <c r="BE493" i="123"/>
  <c r="GJ493" i="123"/>
  <c r="AM493" i="123"/>
  <c r="GC493" i="123"/>
  <c r="AG493" i="123"/>
  <c r="MX486" i="123"/>
  <c r="GW486" i="123"/>
  <c r="GI486" i="123"/>
  <c r="FU486" i="123"/>
  <c r="FF486" i="123"/>
  <c r="EQ486" i="123"/>
  <c r="EB486" i="123"/>
  <c r="DM486" i="123"/>
  <c r="CX486" i="123"/>
  <c r="CI486" i="123"/>
  <c r="BT486" i="123"/>
  <c r="BE486" i="123"/>
  <c r="AQ486" i="123"/>
  <c r="AC486" i="123"/>
  <c r="MU486" i="123"/>
  <c r="HE486" i="123"/>
  <c r="GP486" i="123"/>
  <c r="GA486" i="123"/>
  <c r="FL486" i="123"/>
  <c r="EU486" i="123"/>
  <c r="EE486" i="123"/>
  <c r="DO486" i="123"/>
  <c r="CY486" i="123"/>
  <c r="CH486" i="123"/>
  <c r="BR486" i="123"/>
  <c r="BB486" i="123"/>
  <c r="AM486" i="123"/>
  <c r="X486" i="123"/>
  <c r="MR486" i="123"/>
  <c r="GX486" i="123"/>
  <c r="GG486" i="123"/>
  <c r="EZ486" i="123"/>
  <c r="EI486" i="123"/>
  <c r="DQ486" i="123"/>
  <c r="CZ486" i="123"/>
  <c r="CG486" i="123"/>
  <c r="BO486" i="123"/>
  <c r="AY486" i="123"/>
  <c r="AI486" i="123"/>
  <c r="MQ486" i="123"/>
  <c r="MP486" i="123"/>
  <c r="GU486" i="123"/>
  <c r="GE486" i="123"/>
  <c r="EX486" i="123"/>
  <c r="EF486" i="123"/>
  <c r="DN486" i="123"/>
  <c r="CV486" i="123"/>
  <c r="CE486" i="123"/>
  <c r="BM486" i="123"/>
  <c r="AW486" i="123"/>
  <c r="AG486" i="123"/>
  <c r="GT486" i="123"/>
  <c r="GB486" i="123"/>
  <c r="FK486" i="123"/>
  <c r="EP486" i="123"/>
  <c r="DW486" i="123"/>
  <c r="DC486" i="123"/>
  <c r="CJ486" i="123"/>
  <c r="BL486" i="123"/>
  <c r="AT486" i="123"/>
  <c r="AA486" i="123"/>
  <c r="MY486" i="123"/>
  <c r="GS486" i="123"/>
  <c r="FZ486" i="123"/>
  <c r="FI486" i="123"/>
  <c r="EO486" i="123"/>
  <c r="DV486" i="123"/>
  <c r="DB486" i="123"/>
  <c r="CF486" i="123"/>
  <c r="BK486" i="123"/>
  <c r="AS486" i="123"/>
  <c r="Z486" i="123"/>
  <c r="MT486" i="123"/>
  <c r="MS486" i="123"/>
  <c r="GN486" i="123"/>
  <c r="FV486" i="123"/>
  <c r="FD486" i="123"/>
  <c r="EK486" i="123"/>
  <c r="DP486" i="123"/>
  <c r="CT486" i="123"/>
  <c r="BZ486" i="123"/>
  <c r="BG486" i="123"/>
  <c r="AN486" i="123"/>
  <c r="GV486" i="123"/>
  <c r="FW486" i="123"/>
  <c r="FA486" i="123"/>
  <c r="DZ486" i="123"/>
  <c r="DA486" i="123"/>
  <c r="BY486" i="123"/>
  <c r="BA486" i="123"/>
  <c r="AD486" i="123"/>
  <c r="JF486" i="123"/>
  <c r="IG486" i="123"/>
  <c r="GQ486" i="123"/>
  <c r="FS486" i="123"/>
  <c r="EW486" i="123"/>
  <c r="DX486" i="123"/>
  <c r="CU486" i="123"/>
  <c r="BW486" i="123"/>
  <c r="AX486" i="123"/>
  <c r="Y486" i="123"/>
  <c r="NN486" i="123"/>
  <c r="JE486" i="123"/>
  <c r="IF486" i="123"/>
  <c r="GO486" i="123"/>
  <c r="FR486" i="123"/>
  <c r="ET486" i="123"/>
  <c r="DU486" i="123"/>
  <c r="CS486" i="123"/>
  <c r="BV486" i="123"/>
  <c r="AV486" i="123"/>
  <c r="GM486" i="123"/>
  <c r="ES486" i="123"/>
  <c r="DS486" i="123"/>
  <c r="CQ486" i="123"/>
  <c r="BU486" i="123"/>
  <c r="AU486" i="123"/>
  <c r="A486" i="123"/>
  <c r="IT486" i="123"/>
  <c r="GZ486" i="123"/>
  <c r="EJ486" i="123"/>
  <c r="DD486" i="123"/>
  <c r="BN486" i="123"/>
  <c r="AH486" i="123"/>
  <c r="NE486" i="123"/>
  <c r="IO486" i="123"/>
  <c r="GR486" i="123"/>
  <c r="ED486" i="123"/>
  <c r="CP486" i="123"/>
  <c r="BI486" i="123"/>
  <c r="AE486" i="123"/>
  <c r="ND486" i="123"/>
  <c r="IM486" i="123"/>
  <c r="GL486" i="123"/>
  <c r="EC486" i="123"/>
  <c r="CO486" i="123"/>
  <c r="BH486" i="123"/>
  <c r="AB486" i="123"/>
  <c r="NC486" i="123"/>
  <c r="IL486" i="123"/>
  <c r="GK486" i="123"/>
  <c r="FH486" i="123"/>
  <c r="EA486" i="123"/>
  <c r="CN486" i="123"/>
  <c r="BF486" i="123"/>
  <c r="MV486" i="123"/>
  <c r="HW486" i="123"/>
  <c r="GD486" i="123"/>
  <c r="FB486" i="123"/>
  <c r="DK486" i="123"/>
  <c r="CC486" i="123"/>
  <c r="AR486" i="123"/>
  <c r="HU486" i="123"/>
  <c r="DR486" i="123"/>
  <c r="BS486" i="123"/>
  <c r="NB486" i="123"/>
  <c r="HR486" i="123"/>
  <c r="HC486" i="123"/>
  <c r="DJ486" i="123"/>
  <c r="BJ486" i="123"/>
  <c r="NA486" i="123"/>
  <c r="HQ486" i="123"/>
  <c r="HB486" i="123"/>
  <c r="DI486" i="123"/>
  <c r="BD486" i="123"/>
  <c r="MW486" i="123"/>
  <c r="HP486" i="123"/>
  <c r="HA486" i="123"/>
  <c r="FG486" i="123"/>
  <c r="DH486" i="123"/>
  <c r="BC486" i="123"/>
  <c r="IZ486" i="123"/>
  <c r="GF486" i="123"/>
  <c r="ER486" i="123"/>
  <c r="CM486" i="123"/>
  <c r="AL486" i="123"/>
  <c r="IK486" i="123"/>
  <c r="HD486" i="123"/>
  <c r="FC486" i="123"/>
  <c r="CA486" i="123"/>
  <c r="IH486" i="123"/>
  <c r="GY486" i="123"/>
  <c r="EY486" i="123"/>
  <c r="BX486" i="123"/>
  <c r="HT486" i="123"/>
  <c r="GH486" i="123"/>
  <c r="EM486" i="123"/>
  <c r="AZ486" i="123"/>
  <c r="GC486" i="123"/>
  <c r="EL486" i="123"/>
  <c r="AP486" i="123"/>
  <c r="FT486" i="123"/>
  <c r="DL486" i="123"/>
  <c r="AJ486" i="123"/>
  <c r="HE479" i="123"/>
  <c r="GQ479" i="123"/>
  <c r="GC479" i="123"/>
  <c r="FA479" i="123"/>
  <c r="EM479" i="123"/>
  <c r="DY479" i="123"/>
  <c r="DK479" i="123"/>
  <c r="CW479" i="123"/>
  <c r="CI479" i="123"/>
  <c r="BU479" i="123"/>
  <c r="BG479" i="123"/>
  <c r="AS479" i="123"/>
  <c r="AE479" i="123"/>
  <c r="HC479" i="123"/>
  <c r="GO479" i="123"/>
  <c r="GA479" i="123"/>
  <c r="EY479" i="123"/>
  <c r="EK479" i="123"/>
  <c r="DW479" i="123"/>
  <c r="DI479" i="123"/>
  <c r="CU479" i="123"/>
  <c r="CG479" i="123"/>
  <c r="BS479" i="123"/>
  <c r="BE479" i="123"/>
  <c r="AQ479" i="123"/>
  <c r="AC479" i="123"/>
  <c r="MX479" i="123"/>
  <c r="GP479" i="123"/>
  <c r="FY479" i="123"/>
  <c r="FK479" i="123"/>
  <c r="EU479" i="123"/>
  <c r="EE479" i="123"/>
  <c r="DO479" i="123"/>
  <c r="CY479" i="123"/>
  <c r="CH479" i="123"/>
  <c r="BQ479" i="123"/>
  <c r="BA479" i="123"/>
  <c r="AK479" i="123"/>
  <c r="NM479" i="123"/>
  <c r="MV479" i="123"/>
  <c r="IZ479" i="123"/>
  <c r="II479" i="123"/>
  <c r="HP479" i="123"/>
  <c r="GZ479" i="123"/>
  <c r="GI479" i="123"/>
  <c r="FR479" i="123"/>
  <c r="FC479" i="123"/>
  <c r="EJ479" i="123"/>
  <c r="DS479" i="123"/>
  <c r="DB479" i="123"/>
  <c r="CK479" i="123"/>
  <c r="BR479" i="123"/>
  <c r="AZ479" i="123"/>
  <c r="AI479" i="123"/>
  <c r="MR479" i="123"/>
  <c r="IV479" i="123"/>
  <c r="IC479" i="123"/>
  <c r="GV479" i="123"/>
  <c r="GE479" i="123"/>
  <c r="EW479" i="123"/>
  <c r="EF479" i="123"/>
  <c r="DN479" i="123"/>
  <c r="CV479" i="123"/>
  <c r="CD479" i="123"/>
  <c r="BM479" i="123"/>
  <c r="AV479" i="123"/>
  <c r="AD479" i="123"/>
  <c r="MY479" i="123"/>
  <c r="IY479" i="123"/>
  <c r="ID479" i="123"/>
  <c r="GS479" i="123"/>
  <c r="FW479" i="123"/>
  <c r="FG479" i="123"/>
  <c r="EN479" i="123"/>
  <c r="DR479" i="123"/>
  <c r="CX479" i="123"/>
  <c r="CB479" i="123"/>
  <c r="BI479" i="123"/>
  <c r="AN479" i="123"/>
  <c r="MT479" i="123"/>
  <c r="IT479" i="123"/>
  <c r="HZ479" i="123"/>
  <c r="GM479" i="123"/>
  <c r="FT479" i="123"/>
  <c r="FD479" i="123"/>
  <c r="EH479" i="123"/>
  <c r="DM479" i="123"/>
  <c r="CR479" i="123"/>
  <c r="BY479" i="123"/>
  <c r="BD479" i="123"/>
  <c r="AJ479" i="123"/>
  <c r="NL479" i="123"/>
  <c r="MS479" i="123"/>
  <c r="IR479" i="123"/>
  <c r="HY479" i="123"/>
  <c r="GL479" i="123"/>
  <c r="FS479" i="123"/>
  <c r="FB479" i="123"/>
  <c r="EG479" i="123"/>
  <c r="DL479" i="123"/>
  <c r="CQ479" i="123"/>
  <c r="BX479" i="123"/>
  <c r="BC479" i="123"/>
  <c r="AH479" i="123"/>
  <c r="MQ479" i="123"/>
  <c r="IN479" i="123"/>
  <c r="GW479" i="123"/>
  <c r="FV479" i="123"/>
  <c r="EX479" i="123"/>
  <c r="DZ479" i="123"/>
  <c r="DA479" i="123"/>
  <c r="BZ479" i="123"/>
  <c r="AX479" i="123"/>
  <c r="Y479" i="123"/>
  <c r="IK479" i="123"/>
  <c r="GT479" i="123"/>
  <c r="ET479" i="123"/>
  <c r="DV479" i="123"/>
  <c r="CT479" i="123"/>
  <c r="BV479" i="123"/>
  <c r="AU479" i="123"/>
  <c r="NK479" i="123"/>
  <c r="JH479" i="123"/>
  <c r="IJ479" i="123"/>
  <c r="GR479" i="123"/>
  <c r="ES479" i="123"/>
  <c r="DU479" i="123"/>
  <c r="CS479" i="123"/>
  <c r="BT479" i="123"/>
  <c r="AT479" i="123"/>
  <c r="A479" i="123"/>
  <c r="NJ479" i="123"/>
  <c r="JF479" i="123"/>
  <c r="IH479" i="123"/>
  <c r="GN479" i="123"/>
  <c r="ER479" i="123"/>
  <c r="DT479" i="123"/>
  <c r="CP479" i="123"/>
  <c r="BP479" i="123"/>
  <c r="AR479" i="123"/>
  <c r="NE479" i="123"/>
  <c r="JA479" i="123"/>
  <c r="HX479" i="123"/>
  <c r="GG479" i="123"/>
  <c r="FJ479" i="123"/>
  <c r="EL479" i="123"/>
  <c r="DH479" i="123"/>
  <c r="CL479" i="123"/>
  <c r="BK479" i="123"/>
  <c r="AL479" i="123"/>
  <c r="NB479" i="123"/>
  <c r="IL479" i="123"/>
  <c r="GD479" i="123"/>
  <c r="FE479" i="123"/>
  <c r="DJ479" i="123"/>
  <c r="CA479" i="123"/>
  <c r="AG479" i="123"/>
  <c r="MZ479" i="123"/>
  <c r="IF479" i="123"/>
  <c r="GB479" i="123"/>
  <c r="EZ479" i="123"/>
  <c r="DG479" i="123"/>
  <c r="BW479" i="123"/>
  <c r="AF479" i="123"/>
  <c r="MU479" i="123"/>
  <c r="IA479" i="123"/>
  <c r="FX479" i="123"/>
  <c r="EQ479" i="123"/>
  <c r="DE479" i="123"/>
  <c r="BN479" i="123"/>
  <c r="AA479" i="123"/>
  <c r="MP479" i="123"/>
  <c r="HV479" i="123"/>
  <c r="HD479" i="123"/>
  <c r="FU479" i="123"/>
  <c r="EP479" i="123"/>
  <c r="DD479" i="123"/>
  <c r="BL479" i="123"/>
  <c r="Z479" i="123"/>
  <c r="JD479" i="123"/>
  <c r="HR479" i="123"/>
  <c r="GY479" i="123"/>
  <c r="ED479" i="123"/>
  <c r="CO479" i="123"/>
  <c r="BF479" i="123"/>
  <c r="NE472" i="123"/>
  <c r="MQ472" i="123"/>
  <c r="IW472" i="123"/>
  <c r="II472" i="123"/>
  <c r="HU472" i="123"/>
  <c r="GS472" i="123"/>
  <c r="GE472" i="123"/>
  <c r="FC472" i="123"/>
  <c r="EO472" i="123"/>
  <c r="EA472" i="123"/>
  <c r="DM472" i="123"/>
  <c r="CY472" i="123"/>
  <c r="CK472" i="123"/>
  <c r="BW472" i="123"/>
  <c r="BI472" i="123"/>
  <c r="AU472" i="123"/>
  <c r="AG472" i="123"/>
  <c r="NC472" i="123"/>
  <c r="IU472" i="123"/>
  <c r="IG472" i="123"/>
  <c r="HS472" i="123"/>
  <c r="HE472" i="123"/>
  <c r="GQ472" i="123"/>
  <c r="GC472" i="123"/>
  <c r="FA472" i="123"/>
  <c r="EM472" i="123"/>
  <c r="DY472" i="123"/>
  <c r="DK472" i="123"/>
  <c r="CW472" i="123"/>
  <c r="CI472" i="123"/>
  <c r="BU472" i="123"/>
  <c r="BG472" i="123"/>
  <c r="AS472" i="123"/>
  <c r="AE472" i="123"/>
  <c r="NB472" i="123"/>
  <c r="JH472" i="123"/>
  <c r="IT472" i="123"/>
  <c r="IF472" i="123"/>
  <c r="HR472" i="123"/>
  <c r="HD472" i="123"/>
  <c r="GP472" i="123"/>
  <c r="GB472" i="123"/>
  <c r="EZ472" i="123"/>
  <c r="EL472" i="123"/>
  <c r="DX472" i="123"/>
  <c r="DJ472" i="123"/>
  <c r="CV472" i="123"/>
  <c r="CH472" i="123"/>
  <c r="BT472" i="123"/>
  <c r="BF472" i="123"/>
  <c r="AR472" i="123"/>
  <c r="AD472" i="123"/>
  <c r="NA472" i="123"/>
  <c r="JG472" i="123"/>
  <c r="IS472" i="123"/>
  <c r="IE472" i="123"/>
  <c r="HQ472" i="123"/>
  <c r="HC472" i="123"/>
  <c r="GO472" i="123"/>
  <c r="GA472" i="123"/>
  <c r="EY472" i="123"/>
  <c r="EK472" i="123"/>
  <c r="DW472" i="123"/>
  <c r="DI472" i="123"/>
  <c r="CU472" i="123"/>
  <c r="CG472" i="123"/>
  <c r="BS472" i="123"/>
  <c r="BE472" i="123"/>
  <c r="AQ472" i="123"/>
  <c r="AC472" i="123"/>
  <c r="NK472" i="123"/>
  <c r="MW472" i="123"/>
  <c r="JC472" i="123"/>
  <c r="IO472" i="123"/>
  <c r="IA472" i="123"/>
  <c r="GY472" i="123"/>
  <c r="GK472" i="123"/>
  <c r="FW472" i="123"/>
  <c r="FI472" i="123"/>
  <c r="EU472" i="123"/>
  <c r="EG472" i="123"/>
  <c r="DS472" i="123"/>
  <c r="DE472" i="123"/>
  <c r="CQ472" i="123"/>
  <c r="CC472" i="123"/>
  <c r="BO472" i="123"/>
  <c r="BA472" i="123"/>
  <c r="AM472" i="123"/>
  <c r="Y472" i="123"/>
  <c r="MY472" i="123"/>
  <c r="IZ472" i="123"/>
  <c r="IC472" i="123"/>
  <c r="GN472" i="123"/>
  <c r="FT472" i="123"/>
  <c r="FE472" i="123"/>
  <c r="EH472" i="123"/>
  <c r="DN472" i="123"/>
  <c r="CP472" i="123"/>
  <c r="BV472" i="123"/>
  <c r="AY472" i="123"/>
  <c r="AB472" i="123"/>
  <c r="MX472" i="123"/>
  <c r="IY472" i="123"/>
  <c r="IB472" i="123"/>
  <c r="GM472" i="123"/>
  <c r="FS472" i="123"/>
  <c r="FD472" i="123"/>
  <c r="EF472" i="123"/>
  <c r="DL472" i="123"/>
  <c r="CO472" i="123"/>
  <c r="BR472" i="123"/>
  <c r="AX472" i="123"/>
  <c r="AA472" i="123"/>
  <c r="MU472" i="123"/>
  <c r="IV472" i="123"/>
  <c r="HY472" i="123"/>
  <c r="GJ472" i="123"/>
  <c r="EX472" i="123"/>
  <c r="ED472" i="123"/>
  <c r="DG472" i="123"/>
  <c r="CM472" i="123"/>
  <c r="BP472" i="123"/>
  <c r="AV472" i="123"/>
  <c r="X472" i="123"/>
  <c r="NN472" i="123"/>
  <c r="MT472" i="123"/>
  <c r="IR472" i="123"/>
  <c r="HX472" i="123"/>
  <c r="GI472" i="123"/>
  <c r="EW472" i="123"/>
  <c r="EC472" i="123"/>
  <c r="DF472" i="123"/>
  <c r="CL472" i="123"/>
  <c r="BN472" i="123"/>
  <c r="AT472" i="123"/>
  <c r="NJ472" i="123"/>
  <c r="MP472" i="123"/>
  <c r="IN472" i="123"/>
  <c r="HT472" i="123"/>
  <c r="GZ472" i="123"/>
  <c r="GF472" i="123"/>
  <c r="ES472" i="123"/>
  <c r="DV472" i="123"/>
  <c r="DB472" i="123"/>
  <c r="CE472" i="123"/>
  <c r="BK472" i="123"/>
  <c r="AN472" i="123"/>
  <c r="NK465" i="123"/>
  <c r="MW465" i="123"/>
  <c r="JC465" i="123"/>
  <c r="IO465" i="123"/>
  <c r="IA465" i="123"/>
  <c r="GY465" i="123"/>
  <c r="GK465" i="123"/>
  <c r="FW465" i="123"/>
  <c r="FI465" i="123"/>
  <c r="EU465" i="123"/>
  <c r="EG465" i="123"/>
  <c r="DS465" i="123"/>
  <c r="DE465" i="123"/>
  <c r="CQ465" i="123"/>
  <c r="CC465" i="123"/>
  <c r="BO465" i="123"/>
  <c r="BA465" i="123"/>
  <c r="AM465" i="123"/>
  <c r="Y465" i="123"/>
  <c r="NG465" i="123"/>
  <c r="MS465" i="123"/>
  <c r="IY465" i="123"/>
  <c r="IK465" i="123"/>
  <c r="HW465" i="123"/>
  <c r="GU465" i="123"/>
  <c r="GG465" i="123"/>
  <c r="FS465" i="123"/>
  <c r="FE465" i="123"/>
  <c r="EQ465" i="123"/>
  <c r="EC465" i="123"/>
  <c r="DO465" i="123"/>
  <c r="DA465" i="123"/>
  <c r="CM465" i="123"/>
  <c r="BY465" i="123"/>
  <c r="BK465" i="123"/>
  <c r="AW465" i="123"/>
  <c r="AI465" i="123"/>
  <c r="MY465" i="123"/>
  <c r="JB465" i="123"/>
  <c r="IL465" i="123"/>
  <c r="HU465" i="123"/>
  <c r="GQ465" i="123"/>
  <c r="GA465" i="123"/>
  <c r="FK465" i="123"/>
  <c r="ET465" i="123"/>
  <c r="ED465" i="123"/>
  <c r="DM465" i="123"/>
  <c r="CW465" i="123"/>
  <c r="CG465" i="123"/>
  <c r="BQ465" i="123"/>
  <c r="AZ465" i="123"/>
  <c r="AJ465" i="123"/>
  <c r="NN465" i="123"/>
  <c r="MX465" i="123"/>
  <c r="JA465" i="123"/>
  <c r="IJ465" i="123"/>
  <c r="HT465" i="123"/>
  <c r="GP465" i="123"/>
  <c r="FZ465" i="123"/>
  <c r="FJ465" i="123"/>
  <c r="ES465" i="123"/>
  <c r="EB465" i="123"/>
  <c r="DL465" i="123"/>
  <c r="CV465" i="123"/>
  <c r="CF465" i="123"/>
  <c r="BP465" i="123"/>
  <c r="AY465" i="123"/>
  <c r="AH465" i="123"/>
  <c r="NB508" i="123"/>
  <c r="II508" i="123"/>
  <c r="NA508" i="123"/>
  <c r="IM508" i="123"/>
  <c r="IC508" i="123"/>
  <c r="HU508" i="123"/>
  <c r="HN505" i="123"/>
  <c r="EQ505" i="123"/>
  <c r="DH505" i="123"/>
  <c r="CR505" i="123"/>
  <c r="HO505" i="123"/>
  <c r="GQ505" i="123"/>
  <c r="JE501" i="123"/>
  <c r="ID501" i="123"/>
  <c r="JB501" i="123"/>
  <c r="HW501" i="123"/>
  <c r="IX501" i="123"/>
  <c r="HU501" i="123"/>
  <c r="IQ501" i="123"/>
  <c r="HP501" i="123"/>
  <c r="IO501" i="123"/>
  <c r="NA501" i="123"/>
  <c r="IJ501" i="123"/>
  <c r="IT501" i="123"/>
  <c r="II501" i="123"/>
  <c r="IG501" i="123"/>
  <c r="IE501" i="123"/>
  <c r="MZ501" i="123"/>
  <c r="JH501" i="123"/>
  <c r="IV501" i="123"/>
  <c r="IU501" i="123"/>
  <c r="NG501" i="123"/>
  <c r="HT501" i="123"/>
  <c r="HQ501" i="123"/>
  <c r="NN501" i="123"/>
  <c r="NC501" i="123"/>
  <c r="JC501" i="123"/>
  <c r="IN501" i="123"/>
  <c r="HZ501" i="123"/>
  <c r="MQ498" i="123"/>
  <c r="GW498" i="123"/>
  <c r="FS498" i="123"/>
  <c r="EK498" i="123"/>
  <c r="CZ498" i="123"/>
  <c r="BT498" i="123"/>
  <c r="AP498" i="123"/>
  <c r="GR498" i="123"/>
  <c r="FL498" i="123"/>
  <c r="EA498" i="123"/>
  <c r="CW498" i="123"/>
  <c r="BN498" i="123"/>
  <c r="AH498" i="123"/>
  <c r="GH498" i="123"/>
  <c r="FA498" i="123"/>
  <c r="DR498" i="123"/>
  <c r="CM498" i="123"/>
  <c r="BG498" i="123"/>
  <c r="X498" i="123"/>
  <c r="HK498" i="123"/>
  <c r="GD498" i="123"/>
  <c r="EY498" i="123"/>
  <c r="DQ498" i="123"/>
  <c r="CJ498" i="123"/>
  <c r="AZ498" i="123"/>
  <c r="HI498" i="123"/>
  <c r="GA498" i="123"/>
  <c r="ES498" i="123"/>
  <c r="DO498" i="123"/>
  <c r="CG498" i="123"/>
  <c r="AV498" i="123"/>
  <c r="HJ498" i="123"/>
  <c r="FM498" i="123"/>
  <c r="DL498" i="123"/>
  <c r="BM498" i="123"/>
  <c r="HD498" i="123"/>
  <c r="FC498" i="123"/>
  <c r="DG498" i="123"/>
  <c r="BJ498" i="123"/>
  <c r="HB498" i="123"/>
  <c r="FB498" i="123"/>
  <c r="CY498" i="123"/>
  <c r="AX498" i="123"/>
  <c r="GV498" i="123"/>
  <c r="EX498" i="123"/>
  <c r="CX498" i="123"/>
  <c r="AT498" i="123"/>
  <c r="GP498" i="123"/>
  <c r="DW498" i="123"/>
  <c r="AS498" i="123"/>
  <c r="GI498" i="123"/>
  <c r="DU498" i="123"/>
  <c r="AR498" i="123"/>
  <c r="GB498" i="123"/>
  <c r="DP498" i="123"/>
  <c r="AO498" i="123"/>
  <c r="MU498" i="123"/>
  <c r="FY498" i="123"/>
  <c r="CU498" i="123"/>
  <c r="AF498" i="123"/>
  <c r="FG498" i="123"/>
  <c r="CH498" i="123"/>
  <c r="HG498" i="123"/>
  <c r="CN498" i="123"/>
  <c r="GT498" i="123"/>
  <c r="CE498" i="123"/>
  <c r="GQ498" i="123"/>
  <c r="BY498" i="123"/>
  <c r="ER498" i="123"/>
  <c r="BL498" i="123"/>
  <c r="ED498" i="123"/>
  <c r="DZ498" i="123"/>
  <c r="DH498" i="123"/>
  <c r="BR498" i="123"/>
  <c r="BQ498" i="123"/>
  <c r="FP498" i="123"/>
  <c r="EP498" i="123"/>
  <c r="CT498" i="123"/>
  <c r="AI498" i="123"/>
  <c r="AB498" i="123"/>
  <c r="AA498" i="123"/>
  <c r="EL498" i="123"/>
  <c r="FZ498" i="123"/>
  <c r="FT498" i="123"/>
  <c r="NC494" i="123"/>
  <c r="NJ494" i="123"/>
  <c r="NI494" i="123"/>
  <c r="NH494" i="123"/>
  <c r="IW494" i="123"/>
  <c r="IG494" i="123"/>
  <c r="NF494" i="123"/>
  <c r="IS494" i="123"/>
  <c r="IC494" i="123"/>
  <c r="NE494" i="123"/>
  <c r="IR494" i="123"/>
  <c r="IB494" i="123"/>
  <c r="ND494" i="123"/>
  <c r="JG494" i="123"/>
  <c r="IQ494" i="123"/>
  <c r="IA494" i="123"/>
  <c r="NM494" i="123"/>
  <c r="JC494" i="123"/>
  <c r="II494" i="123"/>
  <c r="NL494" i="123"/>
  <c r="JB494" i="123"/>
  <c r="IH494" i="123"/>
  <c r="NG494" i="123"/>
  <c r="JA494" i="123"/>
  <c r="ID494" i="123"/>
  <c r="MZ494" i="123"/>
  <c r="IY494" i="123"/>
  <c r="HY494" i="123"/>
  <c r="IP494" i="123"/>
  <c r="HV494" i="123"/>
  <c r="NA494" i="123"/>
  <c r="IL494" i="123"/>
  <c r="IK494" i="123"/>
  <c r="IJ494" i="123"/>
  <c r="JE494" i="123"/>
  <c r="HU494" i="123"/>
  <c r="IX494" i="123"/>
  <c r="IV494" i="123"/>
  <c r="NN494" i="123"/>
  <c r="IO494" i="123"/>
  <c r="HZ494" i="123"/>
  <c r="HX494" i="123"/>
  <c r="JD494" i="123"/>
  <c r="IZ494" i="123"/>
  <c r="HW494" i="123"/>
  <c r="HT494" i="123"/>
  <c r="HS494" i="123"/>
  <c r="HQ494" i="123"/>
  <c r="JF494" i="123"/>
  <c r="IN494" i="123"/>
  <c r="NL491" i="123"/>
  <c r="HS491" i="123"/>
  <c r="HC491" i="123"/>
  <c r="GM491" i="123"/>
  <c r="FW491" i="123"/>
  <c r="FG491" i="123"/>
  <c r="EP491" i="123"/>
  <c r="DZ491" i="123"/>
  <c r="MV491" i="123"/>
  <c r="HO491" i="123"/>
  <c r="GY491" i="123"/>
  <c r="GI491" i="123"/>
  <c r="FR491" i="123"/>
  <c r="MU491" i="123"/>
  <c r="JH491" i="123"/>
  <c r="HL491" i="123"/>
  <c r="GR491" i="123"/>
  <c r="FZ491" i="123"/>
  <c r="FH491" i="123"/>
  <c r="EO491" i="123"/>
  <c r="DW491" i="123"/>
  <c r="DG491" i="123"/>
  <c r="CQ491" i="123"/>
  <c r="CA491" i="123"/>
  <c r="BJ491" i="123"/>
  <c r="AT491" i="123"/>
  <c r="AD491" i="123"/>
  <c r="MP491" i="123"/>
  <c r="IU491" i="123"/>
  <c r="HF491" i="123"/>
  <c r="GN491" i="123"/>
  <c r="FU491" i="123"/>
  <c r="FA491" i="123"/>
  <c r="EJ491" i="123"/>
  <c r="DS491" i="123"/>
  <c r="DC491" i="123"/>
  <c r="CL491" i="123"/>
  <c r="BV491" i="123"/>
  <c r="BF491" i="123"/>
  <c r="AP491" i="123"/>
  <c r="Z491" i="123"/>
  <c r="HN491" i="123"/>
  <c r="GQ491" i="123"/>
  <c r="FV491" i="123"/>
  <c r="EY491" i="123"/>
  <c r="EF491" i="123"/>
  <c r="DL491" i="123"/>
  <c r="CS491" i="123"/>
  <c r="BY491" i="123"/>
  <c r="BG491" i="123"/>
  <c r="AN491" i="123"/>
  <c r="HM491" i="123"/>
  <c r="GP491" i="123"/>
  <c r="FS491" i="123"/>
  <c r="EX491" i="123"/>
  <c r="EE491" i="123"/>
  <c r="DK491" i="123"/>
  <c r="CR491" i="123"/>
  <c r="BX491" i="123"/>
  <c r="BE491" i="123"/>
  <c r="AM491" i="123"/>
  <c r="NN491" i="123"/>
  <c r="HI491" i="123"/>
  <c r="GO491" i="123"/>
  <c r="FP491" i="123"/>
  <c r="EW491" i="123"/>
  <c r="EC491" i="123"/>
  <c r="DJ491" i="123"/>
  <c r="CP491" i="123"/>
  <c r="BW491" i="123"/>
  <c r="BD491" i="123"/>
  <c r="AK491" i="123"/>
  <c r="MS491" i="123"/>
  <c r="IX491" i="123"/>
  <c r="HD491" i="123"/>
  <c r="GG491" i="123"/>
  <c r="FL491" i="123"/>
  <c r="ES491" i="123"/>
  <c r="DV491" i="123"/>
  <c r="DD491" i="123"/>
  <c r="CJ491" i="123"/>
  <c r="BR491" i="123"/>
  <c r="AY491" i="123"/>
  <c r="AF491" i="123"/>
  <c r="HQ491" i="123"/>
  <c r="GJ491" i="123"/>
  <c r="FE491" i="123"/>
  <c r="EB491" i="123"/>
  <c r="CZ491" i="123"/>
  <c r="CC491" i="123"/>
  <c r="AZ491" i="123"/>
  <c r="AA491" i="123"/>
  <c r="HP491" i="123"/>
  <c r="GE491" i="123"/>
  <c r="FD491" i="123"/>
  <c r="EA491" i="123"/>
  <c r="CY491" i="123"/>
  <c r="CB491" i="123"/>
  <c r="AW491" i="123"/>
  <c r="Y491" i="123"/>
  <c r="HH491" i="123"/>
  <c r="GD491" i="123"/>
  <c r="FC491" i="123"/>
  <c r="DY491" i="123"/>
  <c r="CX491" i="123"/>
  <c r="BU491" i="123"/>
  <c r="AV491" i="123"/>
  <c r="X491" i="123"/>
  <c r="HB491" i="123"/>
  <c r="GA491" i="123"/>
  <c r="EU491" i="123"/>
  <c r="DR491" i="123"/>
  <c r="CU491" i="123"/>
  <c r="BQ491" i="123"/>
  <c r="AR491" i="123"/>
  <c r="HA491" i="123"/>
  <c r="FY491" i="123"/>
  <c r="ET491" i="123"/>
  <c r="DQ491" i="123"/>
  <c r="CO491" i="123"/>
  <c r="BO491" i="123"/>
  <c r="AQ491" i="123"/>
  <c r="GZ491" i="123"/>
  <c r="FJ491" i="123"/>
  <c r="DN491" i="123"/>
  <c r="CD491" i="123"/>
  <c r="AH491" i="123"/>
  <c r="GX491" i="123"/>
  <c r="FI491" i="123"/>
  <c r="DM491" i="123"/>
  <c r="BT491" i="123"/>
  <c r="AG491" i="123"/>
  <c r="GS491" i="123"/>
  <c r="EQ491" i="123"/>
  <c r="DE491" i="123"/>
  <c r="BM491" i="123"/>
  <c r="AB491" i="123"/>
  <c r="NI491" i="123"/>
  <c r="JB491" i="123"/>
  <c r="GL491" i="123"/>
  <c r="EN491" i="123"/>
  <c r="DA491" i="123"/>
  <c r="BK491" i="123"/>
  <c r="GK491" i="123"/>
  <c r="EG491" i="123"/>
  <c r="BS491" i="123"/>
  <c r="GB491" i="123"/>
  <c r="DT491" i="123"/>
  <c r="BI491" i="123"/>
  <c r="FX491" i="123"/>
  <c r="DO491" i="123"/>
  <c r="BH491" i="123"/>
  <c r="JA491" i="123"/>
  <c r="FO491" i="123"/>
  <c r="DH491" i="123"/>
  <c r="BC491" i="123"/>
  <c r="MQ491" i="123"/>
  <c r="HT491" i="123"/>
  <c r="EZ491" i="123"/>
  <c r="CM491" i="123"/>
  <c r="AO491" i="123"/>
  <c r="NH491" i="123"/>
  <c r="IJ491" i="123"/>
  <c r="EH491" i="123"/>
  <c r="AI491" i="123"/>
  <c r="MR491" i="123"/>
  <c r="HG491" i="123"/>
  <c r="DF491" i="123"/>
  <c r="AC491" i="123"/>
  <c r="HE491" i="123"/>
  <c r="CW491" i="123"/>
  <c r="GW491" i="123"/>
  <c r="CV491" i="123"/>
  <c r="FM491" i="123"/>
  <c r="CG491" i="123"/>
  <c r="EV491" i="123"/>
  <c r="EK491" i="123"/>
  <c r="EI491" i="123"/>
  <c r="DU491" i="123"/>
  <c r="IT491" i="123"/>
  <c r="CH491" i="123"/>
  <c r="IR491" i="123"/>
  <c r="CF491" i="123"/>
  <c r="EL491" i="123"/>
  <c r="CK491" i="123"/>
  <c r="BN491" i="123"/>
  <c r="BB491" i="123"/>
  <c r="AE491" i="123"/>
  <c r="NK487" i="123"/>
  <c r="IW487" i="123"/>
  <c r="II487" i="123"/>
  <c r="HU487" i="123"/>
  <c r="NF487" i="123"/>
  <c r="IY487" i="123"/>
  <c r="IJ487" i="123"/>
  <c r="HT487" i="123"/>
  <c r="ND487" i="123"/>
  <c r="IV487" i="123"/>
  <c r="IG487" i="123"/>
  <c r="NI487" i="123"/>
  <c r="JB487" i="123"/>
  <c r="IK487" i="123"/>
  <c r="HR487" i="123"/>
  <c r="NH487" i="123"/>
  <c r="JA487" i="123"/>
  <c r="IH487" i="123"/>
  <c r="HQ487" i="123"/>
  <c r="NG487" i="123"/>
  <c r="IZ487" i="123"/>
  <c r="IF487" i="123"/>
  <c r="HP487" i="123"/>
  <c r="NA487" i="123"/>
  <c r="IS487" i="123"/>
  <c r="IB487" i="123"/>
  <c r="NE487" i="123"/>
  <c r="JF487" i="123"/>
  <c r="IE487" i="123"/>
  <c r="NC487" i="123"/>
  <c r="JE487" i="123"/>
  <c r="ID487" i="123"/>
  <c r="IX487" i="123"/>
  <c r="HZ487" i="123"/>
  <c r="IU487" i="123"/>
  <c r="HY487" i="123"/>
  <c r="IM487" i="123"/>
  <c r="IC487" i="123"/>
  <c r="IA487" i="123"/>
  <c r="NN487" i="123"/>
  <c r="JH487" i="123"/>
  <c r="HX487" i="123"/>
  <c r="NB487" i="123"/>
  <c r="IQ487" i="123"/>
  <c r="IO487" i="123"/>
  <c r="IN487" i="123"/>
  <c r="IL487" i="123"/>
  <c r="IR487" i="123"/>
  <c r="HW487" i="123"/>
  <c r="HV487" i="123"/>
  <c r="HS487" i="123"/>
  <c r="NM487" i="123"/>
  <c r="NL487" i="123"/>
  <c r="JC487" i="123"/>
  <c r="IT487" i="123"/>
  <c r="NJ487" i="123"/>
  <c r="MZ487" i="123"/>
  <c r="MQ484" i="123"/>
  <c r="IN484" i="123"/>
  <c r="HO484" i="123"/>
  <c r="GZ484" i="123"/>
  <c r="GK484" i="123"/>
  <c r="FV484" i="123"/>
  <c r="FG484" i="123"/>
  <c r="ER484" i="123"/>
  <c r="EC484" i="123"/>
  <c r="DN484" i="123"/>
  <c r="CY484" i="123"/>
  <c r="CJ484" i="123"/>
  <c r="BU484" i="123"/>
  <c r="BF484" i="123"/>
  <c r="AQ484" i="123"/>
  <c r="AA484" i="123"/>
  <c r="MT484" i="123"/>
  <c r="IW484" i="123"/>
  <c r="HQ484" i="123"/>
  <c r="GY484" i="123"/>
  <c r="GI484" i="123"/>
  <c r="FS484" i="123"/>
  <c r="FC484" i="123"/>
  <c r="EM484" i="123"/>
  <c r="DW484" i="123"/>
  <c r="DF484" i="123"/>
  <c r="CP484" i="123"/>
  <c r="BZ484" i="123"/>
  <c r="BJ484" i="123"/>
  <c r="AT484" i="123"/>
  <c r="AD484" i="123"/>
  <c r="MV484" i="123"/>
  <c r="IX484" i="123"/>
  <c r="HN484" i="123"/>
  <c r="GW484" i="123"/>
  <c r="GF484" i="123"/>
  <c r="FO484" i="123"/>
  <c r="EW484" i="123"/>
  <c r="EF484" i="123"/>
  <c r="DO484" i="123"/>
  <c r="CW484" i="123"/>
  <c r="CE484" i="123"/>
  <c r="BN484" i="123"/>
  <c r="AW484" i="123"/>
  <c r="AF484" i="123"/>
  <c r="MS484" i="123"/>
  <c r="IM484" i="123"/>
  <c r="HL484" i="123"/>
  <c r="GU484" i="123"/>
  <c r="GD484" i="123"/>
  <c r="FM484" i="123"/>
  <c r="EU484" i="123"/>
  <c r="ED484" i="123"/>
  <c r="DL484" i="123"/>
  <c r="CU484" i="123"/>
  <c r="CC484" i="123"/>
  <c r="BL484" i="123"/>
  <c r="AU484" i="123"/>
  <c r="AC484" i="123"/>
  <c r="JH484" i="123"/>
  <c r="IA484" i="123"/>
  <c r="HC484" i="123"/>
  <c r="GG484" i="123"/>
  <c r="FK484" i="123"/>
  <c r="EQ484" i="123"/>
  <c r="DX484" i="123"/>
  <c r="DC484" i="123"/>
  <c r="CI484" i="123"/>
  <c r="BO484" i="123"/>
  <c r="AS484" i="123"/>
  <c r="X484" i="123"/>
  <c r="NM484" i="123"/>
  <c r="JG484" i="123"/>
  <c r="HZ484" i="123"/>
  <c r="HA484" i="123"/>
  <c r="GE484" i="123"/>
  <c r="FJ484" i="123"/>
  <c r="EP484" i="123"/>
  <c r="DU484" i="123"/>
  <c r="DB484" i="123"/>
  <c r="CH484" i="123"/>
  <c r="BM484" i="123"/>
  <c r="AR484" i="123"/>
  <c r="MP484" i="123"/>
  <c r="IB484" i="123"/>
  <c r="GV484" i="123"/>
  <c r="FY484" i="123"/>
  <c r="FB484" i="123"/>
  <c r="EE484" i="123"/>
  <c r="DG484" i="123"/>
  <c r="CK484" i="123"/>
  <c r="BI484" i="123"/>
  <c r="AL484" i="123"/>
  <c r="HT484" i="123"/>
  <c r="GS484" i="123"/>
  <c r="FW484" i="123"/>
  <c r="EZ484" i="123"/>
  <c r="EA484" i="123"/>
  <c r="DD484" i="123"/>
  <c r="CD484" i="123"/>
  <c r="BG484" i="123"/>
  <c r="AJ484" i="123"/>
  <c r="JD484" i="123"/>
  <c r="HM484" i="123"/>
  <c r="GQ484" i="123"/>
  <c r="FT484" i="123"/>
  <c r="EV484" i="123"/>
  <c r="DY484" i="123"/>
  <c r="CZ484" i="123"/>
  <c r="CA484" i="123"/>
  <c r="BC484" i="123"/>
  <c r="AH484" i="123"/>
  <c r="JB484" i="123"/>
  <c r="HG484" i="123"/>
  <c r="GB484" i="123"/>
  <c r="EY484" i="123"/>
  <c r="DR484" i="123"/>
  <c r="CO484" i="123"/>
  <c r="BK484" i="123"/>
  <c r="AG484" i="123"/>
  <c r="NK484" i="123"/>
  <c r="IU484" i="123"/>
  <c r="HE484" i="123"/>
  <c r="FX484" i="123"/>
  <c r="ES484" i="123"/>
  <c r="DP484" i="123"/>
  <c r="CM484" i="123"/>
  <c r="BE484" i="123"/>
  <c r="Z484" i="123"/>
  <c r="NI484" i="123"/>
  <c r="IL484" i="123"/>
  <c r="HD484" i="123"/>
  <c r="FU484" i="123"/>
  <c r="EO484" i="123"/>
  <c r="DM484" i="123"/>
  <c r="CL484" i="123"/>
  <c r="BB484" i="123"/>
  <c r="Y484" i="123"/>
  <c r="NA484" i="123"/>
  <c r="IK484" i="123"/>
  <c r="GX484" i="123"/>
  <c r="FR484" i="123"/>
  <c r="EN484" i="123"/>
  <c r="DK484" i="123"/>
  <c r="CG484" i="123"/>
  <c r="BA484" i="123"/>
  <c r="MU484" i="123"/>
  <c r="HU484" i="123"/>
  <c r="GO484" i="123"/>
  <c r="FI484" i="123"/>
  <c r="EH484" i="123"/>
  <c r="DA484" i="123"/>
  <c r="BW484" i="123"/>
  <c r="AV484" i="123"/>
  <c r="JE484" i="123"/>
  <c r="GP484" i="123"/>
  <c r="FA484" i="123"/>
  <c r="CX484" i="123"/>
  <c r="BH484" i="123"/>
  <c r="JA484" i="123"/>
  <c r="GL484" i="123"/>
  <c r="EL484" i="123"/>
  <c r="CS484" i="123"/>
  <c r="AY484" i="123"/>
  <c r="IJ484" i="123"/>
  <c r="GJ484" i="123"/>
  <c r="EK484" i="123"/>
  <c r="CR484" i="123"/>
  <c r="AX484" i="123"/>
  <c r="IH484" i="123"/>
  <c r="GH484" i="123"/>
  <c r="EI484" i="123"/>
  <c r="CQ484" i="123"/>
  <c r="AO484" i="123"/>
  <c r="MY484" i="123"/>
  <c r="HJ484" i="123"/>
  <c r="FP484" i="123"/>
  <c r="DT484" i="123"/>
  <c r="BX484" i="123"/>
  <c r="AI484" i="123"/>
  <c r="JC484" i="123"/>
  <c r="FH484" i="123"/>
  <c r="CN484" i="123"/>
  <c r="IC484" i="123"/>
  <c r="FF484" i="123"/>
  <c r="CB484" i="123"/>
  <c r="HK484" i="123"/>
  <c r="FD484" i="123"/>
  <c r="BV484" i="123"/>
  <c r="HI484" i="123"/>
  <c r="ET484" i="123"/>
  <c r="BT484" i="123"/>
  <c r="GT484" i="123"/>
  <c r="DZ484" i="123"/>
  <c r="BP484" i="123"/>
  <c r="NM480" i="123"/>
  <c r="JA480" i="123"/>
  <c r="IM480" i="123"/>
  <c r="HY480" i="123"/>
  <c r="NK480" i="123"/>
  <c r="IY480" i="123"/>
  <c r="IK480" i="123"/>
  <c r="HW480" i="123"/>
  <c r="ND480" i="123"/>
  <c r="JF480" i="123"/>
  <c r="IP480" i="123"/>
  <c r="HZ480" i="123"/>
  <c r="NN480" i="123"/>
  <c r="JH480" i="123"/>
  <c r="IQ480" i="123"/>
  <c r="HX480" i="123"/>
  <c r="NH480" i="123"/>
  <c r="JC480" i="123"/>
  <c r="IJ480" i="123"/>
  <c r="HS480" i="123"/>
  <c r="IS480" i="123"/>
  <c r="HV480" i="123"/>
  <c r="NL480" i="123"/>
  <c r="NJ480" i="123"/>
  <c r="IN480" i="123"/>
  <c r="HR480" i="123"/>
  <c r="NI480" i="123"/>
  <c r="JG480" i="123"/>
  <c r="IL480" i="123"/>
  <c r="HQ480" i="123"/>
  <c r="IZ480" i="123"/>
  <c r="IC480" i="123"/>
  <c r="NF480" i="123"/>
  <c r="IW480" i="123"/>
  <c r="IA480" i="123"/>
  <c r="NE480" i="123"/>
  <c r="IV480" i="123"/>
  <c r="HU480" i="123"/>
  <c r="NC480" i="123"/>
  <c r="IU480" i="123"/>
  <c r="HT480" i="123"/>
  <c r="II480" i="123"/>
  <c r="IR480" i="123"/>
  <c r="IO480" i="123"/>
  <c r="IG480" i="123"/>
  <c r="NG480" i="123"/>
  <c r="IF480" i="123"/>
  <c r="MZ480" i="123"/>
  <c r="IB480" i="123"/>
  <c r="NI477" i="123"/>
  <c r="MS477" i="123"/>
  <c r="JA477" i="123"/>
  <c r="IL477" i="123"/>
  <c r="HW477" i="123"/>
  <c r="HI477" i="123"/>
  <c r="GU477" i="123"/>
  <c r="GG477" i="123"/>
  <c r="FS477" i="123"/>
  <c r="FE477" i="123"/>
  <c r="EQ477" i="123"/>
  <c r="EC477" i="123"/>
  <c r="DO477" i="123"/>
  <c r="DA477" i="123"/>
  <c r="CM477" i="123"/>
  <c r="BY477" i="123"/>
  <c r="BK477" i="123"/>
  <c r="AW477" i="123"/>
  <c r="AI477" i="123"/>
  <c r="NA477" i="123"/>
  <c r="IS477" i="123"/>
  <c r="IB477" i="123"/>
  <c r="HM477" i="123"/>
  <c r="GX477" i="123"/>
  <c r="GI477" i="123"/>
  <c r="FT477" i="123"/>
  <c r="FD477" i="123"/>
  <c r="EO477" i="123"/>
  <c r="DZ477" i="123"/>
  <c r="DK477" i="123"/>
  <c r="CV477" i="123"/>
  <c r="CG477" i="123"/>
  <c r="BR477" i="123"/>
  <c r="BC477" i="123"/>
  <c r="AN477" i="123"/>
  <c r="Y477" i="123"/>
  <c r="NN477" i="123"/>
  <c r="MW477" i="123"/>
  <c r="JD477" i="123"/>
  <c r="IN477" i="123"/>
  <c r="HX477" i="123"/>
  <c r="HH477" i="123"/>
  <c r="GS477" i="123"/>
  <c r="GD477" i="123"/>
  <c r="FO477" i="123"/>
  <c r="EZ477" i="123"/>
  <c r="EK477" i="123"/>
  <c r="DV477" i="123"/>
  <c r="DG477" i="123"/>
  <c r="CR477" i="123"/>
  <c r="CC477" i="123"/>
  <c r="BN477" i="123"/>
  <c r="AY477" i="123"/>
  <c r="AJ477" i="123"/>
  <c r="MZ477" i="123"/>
  <c r="JG477" i="123"/>
  <c r="IM477" i="123"/>
  <c r="HT477" i="123"/>
  <c r="HC477" i="123"/>
  <c r="GL477" i="123"/>
  <c r="FU477" i="123"/>
  <c r="FB477" i="123"/>
  <c r="EJ477" i="123"/>
  <c r="DS477" i="123"/>
  <c r="DB477" i="123"/>
  <c r="CJ477" i="123"/>
  <c r="BS477" i="123"/>
  <c r="BA477" i="123"/>
  <c r="AH477" i="123"/>
  <c r="MU477" i="123"/>
  <c r="IZ477" i="123"/>
  <c r="IH477" i="123"/>
  <c r="HP477" i="123"/>
  <c r="GY477" i="123"/>
  <c r="GF477" i="123"/>
  <c r="FN477" i="123"/>
  <c r="EW477" i="123"/>
  <c r="EF477" i="123"/>
  <c r="DN477" i="123"/>
  <c r="CW477" i="123"/>
  <c r="CE477" i="123"/>
  <c r="BM477" i="123"/>
  <c r="AU477" i="123"/>
  <c r="AD477" i="123"/>
  <c r="NJ477" i="123"/>
  <c r="IP477" i="123"/>
  <c r="HS477" i="123"/>
  <c r="GZ477" i="123"/>
  <c r="GC477" i="123"/>
  <c r="FJ477" i="123"/>
  <c r="EP477" i="123"/>
  <c r="DU477" i="123"/>
  <c r="CZ477" i="123"/>
  <c r="CF477" i="123"/>
  <c r="BJ477" i="123"/>
  <c r="AQ477" i="123"/>
  <c r="NG477" i="123"/>
  <c r="IK477" i="123"/>
  <c r="HQ477" i="123"/>
  <c r="GV477" i="123"/>
  <c r="GA477" i="123"/>
  <c r="FH477" i="123"/>
  <c r="EM477" i="123"/>
  <c r="DR477" i="123"/>
  <c r="CX477" i="123"/>
  <c r="CB477" i="123"/>
  <c r="BH477" i="123"/>
  <c r="AO477" i="123"/>
  <c r="NE477" i="123"/>
  <c r="JH477" i="123"/>
  <c r="IJ477" i="123"/>
  <c r="HO477" i="123"/>
  <c r="GT477" i="123"/>
  <c r="FZ477" i="123"/>
  <c r="FG477" i="123"/>
  <c r="EL477" i="123"/>
  <c r="DQ477" i="123"/>
  <c r="CU477" i="123"/>
  <c r="CA477" i="123"/>
  <c r="BG477" i="123"/>
  <c r="AM477" i="123"/>
  <c r="ND477" i="123"/>
  <c r="JF477" i="123"/>
  <c r="II477" i="123"/>
  <c r="HN477" i="123"/>
  <c r="GR477" i="123"/>
  <c r="FY477" i="123"/>
  <c r="FF477" i="123"/>
  <c r="EI477" i="123"/>
  <c r="DP477" i="123"/>
  <c r="CT477" i="123"/>
  <c r="BZ477" i="123"/>
  <c r="BF477" i="123"/>
  <c r="AL477" i="123"/>
  <c r="MV477" i="123"/>
  <c r="IX477" i="123"/>
  <c r="ID477" i="123"/>
  <c r="HG477" i="123"/>
  <c r="GN477" i="123"/>
  <c r="FR477" i="123"/>
  <c r="EX477" i="123"/>
  <c r="ED477" i="123"/>
  <c r="DI477" i="123"/>
  <c r="CO477" i="123"/>
  <c r="BU477" i="123"/>
  <c r="AZ477" i="123"/>
  <c r="AE477" i="123"/>
  <c r="MR477" i="123"/>
  <c r="IR477" i="123"/>
  <c r="HF477" i="123"/>
  <c r="GB477" i="123"/>
  <c r="EU477" i="123"/>
  <c r="DM477" i="123"/>
  <c r="CK477" i="123"/>
  <c r="BD477" i="123"/>
  <c r="Z477" i="123"/>
  <c r="MQ477" i="123"/>
  <c r="IO477" i="123"/>
  <c r="HE477" i="123"/>
  <c r="FX477" i="123"/>
  <c r="ET477" i="123"/>
  <c r="DL477" i="123"/>
  <c r="CI477" i="123"/>
  <c r="BB477" i="123"/>
  <c r="X477" i="123"/>
  <c r="IF477" i="123"/>
  <c r="HB477" i="123"/>
  <c r="FV477" i="123"/>
  <c r="ER477" i="123"/>
  <c r="DH477" i="123"/>
  <c r="CD477" i="123"/>
  <c r="AV477" i="123"/>
  <c r="IE477" i="123"/>
  <c r="HA477" i="123"/>
  <c r="FQ477" i="123"/>
  <c r="EN477" i="123"/>
  <c r="DF477" i="123"/>
  <c r="BX477" i="123"/>
  <c r="AT477" i="123"/>
  <c r="NL477" i="123"/>
  <c r="JC477" i="123"/>
  <c r="HY477" i="123"/>
  <c r="GP477" i="123"/>
  <c r="FL477" i="123"/>
  <c r="EE477" i="123"/>
  <c r="DC477" i="123"/>
  <c r="BT477" i="123"/>
  <c r="AP477" i="123"/>
  <c r="NH473" i="123"/>
  <c r="IZ473" i="123"/>
  <c r="IL473" i="123"/>
  <c r="NF473" i="123"/>
  <c r="JE473" i="123"/>
  <c r="IP473" i="123"/>
  <c r="IA473" i="123"/>
  <c r="ND473" i="123"/>
  <c r="JC473" i="123"/>
  <c r="IN473" i="123"/>
  <c r="HY473" i="123"/>
  <c r="NC473" i="123"/>
  <c r="JB473" i="123"/>
  <c r="IM473" i="123"/>
  <c r="HX473" i="123"/>
  <c r="NB473" i="123"/>
  <c r="JA473" i="123"/>
  <c r="IK473" i="123"/>
  <c r="HW473" i="123"/>
  <c r="NM473" i="123"/>
  <c r="IV473" i="123"/>
  <c r="IG473" i="123"/>
  <c r="HS473" i="123"/>
  <c r="JG473" i="123"/>
  <c r="IH473" i="123"/>
  <c r="JF473" i="123"/>
  <c r="IF473" i="123"/>
  <c r="NN473" i="123"/>
  <c r="IY473" i="123"/>
  <c r="ID473" i="123"/>
  <c r="NL473" i="123"/>
  <c r="IX473" i="123"/>
  <c r="IC473" i="123"/>
  <c r="NI473" i="123"/>
  <c r="IT473" i="123"/>
  <c r="HV473" i="123"/>
  <c r="NN470" i="123"/>
  <c r="MZ470" i="123"/>
  <c r="JF470" i="123"/>
  <c r="IR470" i="123"/>
  <c r="ID470" i="123"/>
  <c r="HP470" i="123"/>
  <c r="HB470" i="123"/>
  <c r="GN470" i="123"/>
  <c r="FZ470" i="123"/>
  <c r="FL470" i="123"/>
  <c r="EX470" i="123"/>
  <c r="EJ470" i="123"/>
  <c r="DV470" i="123"/>
  <c r="DH470" i="123"/>
  <c r="CT470" i="123"/>
  <c r="CF470" i="123"/>
  <c r="BR470" i="123"/>
  <c r="BD470" i="123"/>
  <c r="AP470" i="123"/>
  <c r="AB470" i="123"/>
  <c r="NK470" i="123"/>
  <c r="MW470" i="123"/>
  <c r="JC470" i="123"/>
  <c r="IO470" i="123"/>
  <c r="IA470" i="123"/>
  <c r="HM470" i="123"/>
  <c r="GY470" i="123"/>
  <c r="GK470" i="123"/>
  <c r="FW470" i="123"/>
  <c r="FI470" i="123"/>
  <c r="EU470" i="123"/>
  <c r="EG470" i="123"/>
  <c r="DS470" i="123"/>
  <c r="DE470" i="123"/>
  <c r="CQ470" i="123"/>
  <c r="CC470" i="123"/>
  <c r="BO470" i="123"/>
  <c r="BA470" i="123"/>
  <c r="AM470" i="123"/>
  <c r="Y470" i="123"/>
  <c r="NJ470" i="123"/>
  <c r="MV470" i="123"/>
  <c r="JB470" i="123"/>
  <c r="IN470" i="123"/>
  <c r="HZ470" i="123"/>
  <c r="HL470" i="123"/>
  <c r="GX470" i="123"/>
  <c r="GJ470" i="123"/>
  <c r="FV470" i="123"/>
  <c r="FH470" i="123"/>
  <c r="ET470" i="123"/>
  <c r="EF470" i="123"/>
  <c r="DR470" i="123"/>
  <c r="DD470" i="123"/>
  <c r="CP470" i="123"/>
  <c r="CB470" i="123"/>
  <c r="BN470" i="123"/>
  <c r="AZ470" i="123"/>
  <c r="AL470" i="123"/>
  <c r="X470" i="123"/>
  <c r="NH470" i="123"/>
  <c r="MQ470" i="123"/>
  <c r="IT470" i="123"/>
  <c r="IB470" i="123"/>
  <c r="HI470" i="123"/>
  <c r="GR470" i="123"/>
  <c r="GA470" i="123"/>
  <c r="FG470" i="123"/>
  <c r="EP470" i="123"/>
  <c r="DY470" i="123"/>
  <c r="DG470" i="123"/>
  <c r="CN470" i="123"/>
  <c r="BW470" i="123"/>
  <c r="BF470" i="123"/>
  <c r="AN470" i="123"/>
  <c r="NG470" i="123"/>
  <c r="MP470" i="123"/>
  <c r="IS470" i="123"/>
  <c r="HY470" i="123"/>
  <c r="HH470" i="123"/>
  <c r="GQ470" i="123"/>
  <c r="FY470" i="123"/>
  <c r="FF470" i="123"/>
  <c r="EO470" i="123"/>
  <c r="DX470" i="123"/>
  <c r="DF470" i="123"/>
  <c r="CM470" i="123"/>
  <c r="BV470" i="123"/>
  <c r="BE470" i="123"/>
  <c r="AK470" i="123"/>
  <c r="NE470" i="123"/>
  <c r="JH470" i="123"/>
  <c r="IP470" i="123"/>
  <c r="HW470" i="123"/>
  <c r="HF470" i="123"/>
  <c r="GO470" i="123"/>
  <c r="FU470" i="123"/>
  <c r="FD470" i="123"/>
  <c r="EM470" i="123"/>
  <c r="DU470" i="123"/>
  <c r="DB470" i="123"/>
  <c r="CK470" i="123"/>
  <c r="BT470" i="123"/>
  <c r="BB470" i="123"/>
  <c r="AI470" i="123"/>
  <c r="ND470" i="123"/>
  <c r="JG470" i="123"/>
  <c r="IM470" i="123"/>
  <c r="HV470" i="123"/>
  <c r="HE470" i="123"/>
  <c r="GM470" i="123"/>
  <c r="FT470" i="123"/>
  <c r="FC470" i="123"/>
  <c r="EL470" i="123"/>
  <c r="DT470" i="123"/>
  <c r="DA470" i="123"/>
  <c r="CJ470" i="123"/>
  <c r="BS470" i="123"/>
  <c r="AY470" i="123"/>
  <c r="AH470" i="123"/>
  <c r="NA470" i="123"/>
  <c r="JA470" i="123"/>
  <c r="IJ470" i="123"/>
  <c r="HS470" i="123"/>
  <c r="HA470" i="123"/>
  <c r="GH470" i="123"/>
  <c r="FQ470" i="123"/>
  <c r="EZ470" i="123"/>
  <c r="EH470" i="123"/>
  <c r="DO470" i="123"/>
  <c r="CX470" i="123"/>
  <c r="CG470" i="123"/>
  <c r="BM470" i="123"/>
  <c r="AV470" i="123"/>
  <c r="AE470" i="123"/>
  <c r="NC466" i="123"/>
  <c r="IU466" i="123"/>
  <c r="IG466" i="123"/>
  <c r="HS466" i="123"/>
  <c r="NM466" i="123"/>
  <c r="JE466" i="123"/>
  <c r="IQ466" i="123"/>
  <c r="IC466" i="123"/>
  <c r="MZ466" i="123"/>
  <c r="JF466" i="123"/>
  <c r="IO466" i="123"/>
  <c r="HY466" i="123"/>
  <c r="JD466" i="123"/>
  <c r="IN466" i="123"/>
  <c r="HX466" i="123"/>
  <c r="L509" i="123"/>
  <c r="M509" i="123" s="1"/>
  <c r="CG504" i="123"/>
  <c r="Y504" i="123"/>
  <c r="DD504" i="123"/>
  <c r="BW499" i="123"/>
  <c r="CL499" i="123"/>
  <c r="MY497" i="123"/>
  <c r="JT497" i="123"/>
  <c r="HB497" i="123"/>
  <c r="DY497" i="123"/>
  <c r="BH497" i="123"/>
  <c r="MF497" i="123"/>
  <c r="JG497" i="123"/>
  <c r="GG497" i="123"/>
  <c r="DD497" i="123"/>
  <c r="AM497" i="123"/>
  <c r="LF497" i="123"/>
  <c r="IG497" i="123"/>
  <c r="FJ497" i="123"/>
  <c r="CQ497" i="123"/>
  <c r="KZ497" i="123"/>
  <c r="IC497" i="123"/>
  <c r="FF497" i="123"/>
  <c r="CM497" i="123"/>
  <c r="NR497" i="123"/>
  <c r="KL497" i="123"/>
  <c r="HP497" i="123"/>
  <c r="EV497" i="123"/>
  <c r="CA497" i="123"/>
  <c r="ND497" i="123"/>
  <c r="IP497" i="123"/>
  <c r="EF497" i="123"/>
  <c r="AF497" i="123"/>
  <c r="HR497" i="123"/>
  <c r="DO497" i="123"/>
  <c r="MH497" i="123"/>
  <c r="HN497" i="123"/>
  <c r="DA497" i="123"/>
  <c r="MB497" i="123"/>
  <c r="HJ497" i="123"/>
  <c r="CT497" i="123"/>
  <c r="KB497" i="123"/>
  <c r="EJ497" i="123"/>
  <c r="JV497" i="123"/>
  <c r="DS497" i="123"/>
  <c r="JP497" i="123"/>
  <c r="CR497" i="123"/>
  <c r="JA497" i="123"/>
  <c r="BZ497" i="123"/>
  <c r="NX497" i="123"/>
  <c r="GQ497" i="123"/>
  <c r="AT497" i="123"/>
  <c r="KT497" i="123"/>
  <c r="AP497" i="123"/>
  <c r="KK497" i="123"/>
  <c r="AK497" i="123"/>
  <c r="JI497" i="123"/>
  <c r="AI497" i="123"/>
  <c r="GB497" i="123"/>
  <c r="IO497" i="123"/>
  <c r="HC497" i="123"/>
  <c r="GK497" i="123"/>
  <c r="EY497" i="123"/>
  <c r="EU497" i="123"/>
  <c r="NC497" i="123"/>
  <c r="LW497" i="123"/>
  <c r="FK497" i="123"/>
  <c r="CC497" i="123"/>
  <c r="BR497" i="123"/>
  <c r="BK497" i="123"/>
  <c r="LS497" i="123"/>
  <c r="FN497" i="123"/>
  <c r="NZ494" i="123"/>
  <c r="NQ494" i="123"/>
  <c r="NT494" i="123"/>
  <c r="NS494" i="123"/>
  <c r="OA494" i="123"/>
  <c r="ET492" i="123"/>
  <c r="DF492" i="123"/>
  <c r="BV492" i="123"/>
  <c r="EO492" i="123"/>
  <c r="CV492" i="123"/>
  <c r="FC492" i="123"/>
  <c r="DB492" i="123"/>
  <c r="BO492" i="123"/>
  <c r="EP492" i="123"/>
  <c r="CS492" i="123"/>
  <c r="EK492" i="123"/>
  <c r="CN492" i="123"/>
  <c r="EC492" i="123"/>
  <c r="CF492" i="123"/>
  <c r="EA492" i="123"/>
  <c r="CB492" i="123"/>
  <c r="DS492" i="123"/>
  <c r="BR492" i="123"/>
  <c r="DZ492" i="123"/>
  <c r="DX492" i="123"/>
  <c r="DV492" i="123"/>
  <c r="DA492" i="123"/>
  <c r="CX492" i="123"/>
  <c r="EV492" i="123"/>
  <c r="ES492" i="123"/>
  <c r="DN492" i="123"/>
  <c r="CT492" i="123"/>
  <c r="HI492" i="123"/>
  <c r="FJ492" i="123"/>
  <c r="HG492" i="123"/>
  <c r="FI492" i="123"/>
  <c r="EQ492" i="123"/>
  <c r="BX492" i="123"/>
  <c r="FK492" i="123"/>
  <c r="CR492" i="123"/>
  <c r="CO492" i="123"/>
  <c r="BW492" i="123"/>
  <c r="BS492" i="123"/>
  <c r="DO492" i="123"/>
  <c r="NM490" i="123"/>
  <c r="MM490" i="123"/>
  <c r="LM490" i="123"/>
  <c r="KG490" i="123"/>
  <c r="JF490" i="123"/>
  <c r="IF490" i="123"/>
  <c r="HC490" i="123"/>
  <c r="GC490" i="123"/>
  <c r="FA490" i="123"/>
  <c r="EB490" i="123"/>
  <c r="DH490" i="123"/>
  <c r="CK490" i="123"/>
  <c r="BP490" i="123"/>
  <c r="AR490" i="123"/>
  <c r="NH490" i="123"/>
  <c r="MF490" i="123"/>
  <c r="LA490" i="123"/>
  <c r="JZ490" i="123"/>
  <c r="IX490" i="123"/>
  <c r="HU490" i="123"/>
  <c r="GW490" i="123"/>
  <c r="FR490" i="123"/>
  <c r="EV490" i="123"/>
  <c r="DX490" i="123"/>
  <c r="DC490" i="123"/>
  <c r="CE490" i="123"/>
  <c r="BH490" i="123"/>
  <c r="AN490" i="123"/>
  <c r="OB490" i="123"/>
  <c r="LO490" i="123"/>
  <c r="KE490" i="123"/>
  <c r="JB490" i="123"/>
  <c r="HR490" i="123"/>
  <c r="GM490" i="123"/>
  <c r="FK490" i="123"/>
  <c r="EI490" i="123"/>
  <c r="DG490" i="123"/>
  <c r="CG490" i="123"/>
  <c r="BF490" i="123"/>
  <c r="AE490" i="123"/>
  <c r="NY490" i="123"/>
  <c r="LN490" i="123"/>
  <c r="KD490" i="123"/>
  <c r="NX490" i="123"/>
  <c r="LK490" i="123"/>
  <c r="KA490" i="123"/>
  <c r="IR490" i="123"/>
  <c r="HP490" i="123"/>
  <c r="GJ490" i="123"/>
  <c r="FH490" i="123"/>
  <c r="EA490" i="123"/>
  <c r="DD490" i="123"/>
  <c r="CB490" i="123"/>
  <c r="BD490" i="123"/>
  <c r="AB490" i="123"/>
  <c r="NL490" i="123"/>
  <c r="MH490" i="123"/>
  <c r="KW490" i="123"/>
  <c r="JS490" i="123"/>
  <c r="IM490" i="123"/>
  <c r="HE490" i="123"/>
  <c r="GA490" i="123"/>
  <c r="KT490" i="123"/>
  <c r="JE490" i="123"/>
  <c r="HO490" i="123"/>
  <c r="FZ490" i="123"/>
  <c r="EP490" i="123"/>
  <c r="DL490" i="123"/>
  <c r="CI490" i="123"/>
  <c r="BB490" i="123"/>
  <c r="X490" i="123"/>
  <c r="ML490" i="123"/>
  <c r="KS490" i="123"/>
  <c r="JD490" i="123"/>
  <c r="HN490" i="123"/>
  <c r="FY490" i="123"/>
  <c r="EO490" i="123"/>
  <c r="DJ490" i="123"/>
  <c r="CD490" i="123"/>
  <c r="AZ490" i="123"/>
  <c r="MI490" i="123"/>
  <c r="KP490" i="123"/>
  <c r="IS490" i="123"/>
  <c r="HL490" i="123"/>
  <c r="FQ490" i="123"/>
  <c r="EM490" i="123"/>
  <c r="DI490" i="123"/>
  <c r="CA490" i="123"/>
  <c r="AV490" i="123"/>
  <c r="NV490" i="123"/>
  <c r="LW490" i="123"/>
  <c r="KH490" i="123"/>
  <c r="IN490" i="123"/>
  <c r="GZ490" i="123"/>
  <c r="FM490" i="123"/>
  <c r="EE490" i="123"/>
  <c r="CX490" i="123"/>
  <c r="BU490" i="123"/>
  <c r="AQ490" i="123"/>
  <c r="NU490" i="123"/>
  <c r="LT490" i="123"/>
  <c r="JW490" i="123"/>
  <c r="IJ490" i="123"/>
  <c r="GX490" i="123"/>
  <c r="FL490" i="123"/>
  <c r="DZ490" i="123"/>
  <c r="CV490" i="123"/>
  <c r="BT490" i="123"/>
  <c r="AP490" i="123"/>
  <c r="ME490" i="123"/>
  <c r="JK490" i="123"/>
  <c r="HB490" i="123"/>
  <c r="EW490" i="123"/>
  <c r="CU490" i="123"/>
  <c r="BG490" i="123"/>
  <c r="MD490" i="123"/>
  <c r="JI490" i="123"/>
  <c r="GT490" i="123"/>
  <c r="ET490" i="123"/>
  <c r="CT490" i="123"/>
  <c r="BE490" i="123"/>
  <c r="LP490" i="123"/>
  <c r="IQ490" i="123"/>
  <c r="GL490" i="123"/>
  <c r="EK490" i="123"/>
  <c r="CO490" i="123"/>
  <c r="AO490" i="123"/>
  <c r="LI490" i="123"/>
  <c r="IP490" i="123"/>
  <c r="GI490" i="123"/>
  <c r="DY490" i="123"/>
  <c r="CL490" i="123"/>
  <c r="AL490" i="123"/>
  <c r="NI490" i="123"/>
  <c r="JT490" i="123"/>
  <c r="GF490" i="123"/>
  <c r="DQ490" i="123"/>
  <c r="AT490" i="123"/>
  <c r="NF490" i="123"/>
  <c r="JH490" i="123"/>
  <c r="FO490" i="123"/>
  <c r="DF490" i="123"/>
  <c r="AK490" i="123"/>
  <c r="NE490" i="123"/>
  <c r="JG490" i="123"/>
  <c r="FN490" i="123"/>
  <c r="CZ490" i="123"/>
  <c r="AH490" i="123"/>
  <c r="NA490" i="123"/>
  <c r="II490" i="123"/>
  <c r="FJ490" i="123"/>
  <c r="CS490" i="123"/>
  <c r="AC490" i="123"/>
  <c r="LB490" i="123"/>
  <c r="HV490" i="123"/>
  <c r="ES490" i="123"/>
  <c r="BW490" i="123"/>
  <c r="JL490" i="123"/>
  <c r="DW490" i="123"/>
  <c r="AA490" i="123"/>
  <c r="IE490" i="123"/>
  <c r="DU490" i="123"/>
  <c r="NW490" i="123"/>
  <c r="HZ490" i="123"/>
  <c r="DT490" i="123"/>
  <c r="NJ490" i="123"/>
  <c r="HS490" i="123"/>
  <c r="DM490" i="123"/>
  <c r="LQ490" i="123"/>
  <c r="GQ490" i="123"/>
  <c r="BS490" i="123"/>
  <c r="NG490" i="123"/>
  <c r="EY490" i="123"/>
  <c r="LS490" i="123"/>
  <c r="EL490" i="123"/>
  <c r="KZ490" i="123"/>
  <c r="DV490" i="123"/>
  <c r="KV490" i="123"/>
  <c r="CP490" i="123"/>
  <c r="JU490" i="123"/>
  <c r="BR490" i="123"/>
  <c r="IG490" i="123"/>
  <c r="BM490" i="123"/>
  <c r="GE490" i="123"/>
  <c r="FG490" i="123"/>
  <c r="CJ490" i="123"/>
  <c r="BX490" i="123"/>
  <c r="AS490" i="123"/>
  <c r="L488" i="123"/>
  <c r="M488" i="123" s="1"/>
  <c r="OA487" i="123"/>
  <c r="NY487" i="123"/>
  <c r="NW487" i="123"/>
  <c r="OC487" i="123"/>
  <c r="OB487" i="123"/>
  <c r="NZ487" i="123"/>
  <c r="NP487" i="123"/>
  <c r="NO487" i="123"/>
  <c r="A487" i="123"/>
  <c r="FB485" i="123"/>
  <c r="EL485" i="123"/>
  <c r="DV485" i="123"/>
  <c r="DF485" i="123"/>
  <c r="CP485" i="123"/>
  <c r="BZ485" i="123"/>
  <c r="HF485" i="123"/>
  <c r="EV485" i="123"/>
  <c r="ED485" i="123"/>
  <c r="DL485" i="123"/>
  <c r="CU485" i="123"/>
  <c r="CD485" i="123"/>
  <c r="BM485" i="123"/>
  <c r="FF485" i="123"/>
  <c r="EM485" i="123"/>
  <c r="DT485" i="123"/>
  <c r="DB485" i="123"/>
  <c r="CH485" i="123"/>
  <c r="BP485" i="123"/>
  <c r="FC485" i="123"/>
  <c r="EJ485" i="123"/>
  <c r="DR485" i="123"/>
  <c r="CX485" i="123"/>
  <c r="CF485" i="123"/>
  <c r="BN485" i="123"/>
  <c r="HI485" i="123"/>
  <c r="ES485" i="123"/>
  <c r="DX485" i="123"/>
  <c r="DC485" i="123"/>
  <c r="CE485" i="123"/>
  <c r="HG485" i="123"/>
  <c r="ER485" i="123"/>
  <c r="DW485" i="123"/>
  <c r="CY485" i="123"/>
  <c r="CC485" i="123"/>
  <c r="FL485" i="123"/>
  <c r="EN485" i="123"/>
  <c r="DM485" i="123"/>
  <c r="CO485" i="123"/>
  <c r="BQ485" i="123"/>
  <c r="FJ485" i="123"/>
  <c r="EI485" i="123"/>
  <c r="DJ485" i="123"/>
  <c r="CM485" i="123"/>
  <c r="BL485" i="123"/>
  <c r="FH485" i="123"/>
  <c r="EH485" i="123"/>
  <c r="DI485" i="123"/>
  <c r="CJ485" i="123"/>
  <c r="FG485" i="123"/>
  <c r="EG485" i="123"/>
  <c r="DH485" i="123"/>
  <c r="CI485" i="123"/>
  <c r="FK485" i="123"/>
  <c r="DZ485" i="123"/>
  <c r="CR485" i="123"/>
  <c r="FA485" i="123"/>
  <c r="DU485" i="123"/>
  <c r="CN485" i="123"/>
  <c r="EZ485" i="123"/>
  <c r="DS485" i="123"/>
  <c r="CG485" i="123"/>
  <c r="EY485" i="123"/>
  <c r="DQ485" i="123"/>
  <c r="CB485" i="123"/>
  <c r="EQ485" i="123"/>
  <c r="DE485" i="123"/>
  <c r="BU485" i="123"/>
  <c r="EF485" i="123"/>
  <c r="BY485" i="123"/>
  <c r="EA485" i="123"/>
  <c r="BT485" i="123"/>
  <c r="DY485" i="123"/>
  <c r="BS485" i="123"/>
  <c r="DO485" i="123"/>
  <c r="BR485" i="123"/>
  <c r="FE485" i="123"/>
  <c r="CW485" i="123"/>
  <c r="CV485" i="123"/>
  <c r="CT485" i="123"/>
  <c r="CQ485" i="123"/>
  <c r="HJ485" i="123"/>
  <c r="CA485" i="123"/>
  <c r="EU485" i="123"/>
  <c r="NT483" i="123"/>
  <c r="ND483" i="123"/>
  <c r="MN483" i="123"/>
  <c r="LX483" i="123"/>
  <c r="LH483" i="123"/>
  <c r="KR483" i="123"/>
  <c r="KA483" i="123"/>
  <c r="JK483" i="123"/>
  <c r="IU483" i="123"/>
  <c r="IE483" i="123"/>
  <c r="NU483" i="123"/>
  <c r="NC483" i="123"/>
  <c r="ML483" i="123"/>
  <c r="LU483" i="123"/>
  <c r="LC483" i="123"/>
  <c r="KL483" i="123"/>
  <c r="JU483" i="123"/>
  <c r="JC483" i="123"/>
  <c r="IK483" i="123"/>
  <c r="HT483" i="123"/>
  <c r="HD483" i="123"/>
  <c r="GN483" i="123"/>
  <c r="FX483" i="123"/>
  <c r="FH483" i="123"/>
  <c r="EQ483" i="123"/>
  <c r="EA483" i="123"/>
  <c r="DK483" i="123"/>
  <c r="CU483" i="123"/>
  <c r="CD483" i="123"/>
  <c r="BN483" i="123"/>
  <c r="AW483" i="123"/>
  <c r="AG483" i="123"/>
  <c r="NW483" i="123"/>
  <c r="NB483" i="123"/>
  <c r="MJ483" i="123"/>
  <c r="LQ483" i="123"/>
  <c r="KY483" i="123"/>
  <c r="KF483" i="123"/>
  <c r="JM483" i="123"/>
  <c r="IT483" i="123"/>
  <c r="IB483" i="123"/>
  <c r="HI483" i="123"/>
  <c r="GR483" i="123"/>
  <c r="GA483" i="123"/>
  <c r="FJ483" i="123"/>
  <c r="ES483" i="123"/>
  <c r="DZ483" i="123"/>
  <c r="DH483" i="123"/>
  <c r="CQ483" i="123"/>
  <c r="BY483" i="123"/>
  <c r="BH483" i="123"/>
  <c r="AQ483" i="123"/>
  <c r="Z483" i="123"/>
  <c r="NR483" i="123"/>
  <c r="MZ483" i="123"/>
  <c r="MH483" i="123"/>
  <c r="LO483" i="123"/>
  <c r="KV483" i="123"/>
  <c r="KD483" i="123"/>
  <c r="JJ483" i="123"/>
  <c r="IR483" i="123"/>
  <c r="HY483" i="123"/>
  <c r="HG483" i="123"/>
  <c r="GP483" i="123"/>
  <c r="FY483" i="123"/>
  <c r="FG483" i="123"/>
  <c r="EO483" i="123"/>
  <c r="DW483" i="123"/>
  <c r="DF483" i="123"/>
  <c r="CO483" i="123"/>
  <c r="BW483" i="123"/>
  <c r="BF483" i="123"/>
  <c r="AO483" i="123"/>
  <c r="X483" i="123"/>
  <c r="NM483" i="123"/>
  <c r="LV483" i="123"/>
  <c r="KZ483" i="123"/>
  <c r="KC483" i="123"/>
  <c r="JG483" i="123"/>
  <c r="IJ483" i="123"/>
  <c r="HP483" i="123"/>
  <c r="GW483" i="123"/>
  <c r="GB483" i="123"/>
  <c r="FE483" i="123"/>
  <c r="EK483" i="123"/>
  <c r="DR483" i="123"/>
  <c r="CX483" i="123"/>
  <c r="CC483" i="123"/>
  <c r="BI483" i="123"/>
  <c r="AN483" i="123"/>
  <c r="NL483" i="123"/>
  <c r="LT483" i="123"/>
  <c r="KX483" i="123"/>
  <c r="JZ483" i="123"/>
  <c r="JF483" i="123"/>
  <c r="II483" i="123"/>
  <c r="HO483" i="123"/>
  <c r="GT483" i="123"/>
  <c r="NY483" i="123"/>
  <c r="MX483" i="123"/>
  <c r="LZ483" i="123"/>
  <c r="LA483" i="123"/>
  <c r="JX483" i="123"/>
  <c r="IY483" i="123"/>
  <c r="IA483" i="123"/>
  <c r="HB483" i="123"/>
  <c r="GE483" i="123"/>
  <c r="FK483" i="123"/>
  <c r="EL483" i="123"/>
  <c r="DQ483" i="123"/>
  <c r="CV483" i="123"/>
  <c r="BX483" i="123"/>
  <c r="BC483" i="123"/>
  <c r="AF483" i="123"/>
  <c r="NS483" i="123"/>
  <c r="MV483" i="123"/>
  <c r="LW483" i="123"/>
  <c r="KT483" i="123"/>
  <c r="JV483" i="123"/>
  <c r="IW483" i="123"/>
  <c r="HV483" i="123"/>
  <c r="GZ483" i="123"/>
  <c r="GC483" i="123"/>
  <c r="FD483" i="123"/>
  <c r="EI483" i="123"/>
  <c r="DN483" i="123"/>
  <c r="CR483" i="123"/>
  <c r="BU483" i="123"/>
  <c r="AZ483" i="123"/>
  <c r="AD483" i="123"/>
  <c r="NP483" i="123"/>
  <c r="LP483" i="123"/>
  <c r="KQ483" i="123"/>
  <c r="JR483" i="123"/>
  <c r="IS483" i="123"/>
  <c r="HS483" i="123"/>
  <c r="GX483" i="123"/>
  <c r="FW483" i="123"/>
  <c r="FA483" i="123"/>
  <c r="EG483" i="123"/>
  <c r="DL483" i="123"/>
  <c r="CM483" i="123"/>
  <c r="BS483" i="123"/>
  <c r="AV483" i="123"/>
  <c r="AB483" i="123"/>
  <c r="NJ483" i="123"/>
  <c r="MD483" i="123"/>
  <c r="KU483" i="123"/>
  <c r="JP483" i="123"/>
  <c r="IH483" i="123"/>
  <c r="HE483" i="123"/>
  <c r="FZ483" i="123"/>
  <c r="EX483" i="123"/>
  <c r="DV483" i="123"/>
  <c r="CW483" i="123"/>
  <c r="BR483" i="123"/>
  <c r="AR483" i="123"/>
  <c r="NG483" i="123"/>
  <c r="MB483" i="123"/>
  <c r="KO483" i="123"/>
  <c r="JL483" i="123"/>
  <c r="IF483" i="123"/>
  <c r="HA483" i="123"/>
  <c r="FU483" i="123"/>
  <c r="EV483" i="123"/>
  <c r="DT483" i="123"/>
  <c r="CP483" i="123"/>
  <c r="BO483" i="123"/>
  <c r="AM483" i="123"/>
  <c r="NF483" i="123"/>
  <c r="LY483" i="123"/>
  <c r="KN483" i="123"/>
  <c r="JI483" i="123"/>
  <c r="ID483" i="123"/>
  <c r="GY483" i="123"/>
  <c r="FS483" i="123"/>
  <c r="EU483" i="123"/>
  <c r="DS483" i="123"/>
  <c r="CL483" i="123"/>
  <c r="BM483" i="123"/>
  <c r="AK483" i="123"/>
  <c r="NA483" i="123"/>
  <c r="LS483" i="123"/>
  <c r="KM483" i="123"/>
  <c r="JH483" i="123"/>
  <c r="IC483" i="123"/>
  <c r="GS483" i="123"/>
  <c r="FR483" i="123"/>
  <c r="ET483" i="123"/>
  <c r="DO483" i="123"/>
  <c r="CK483" i="123"/>
  <c r="BK483" i="123"/>
  <c r="AI483" i="123"/>
  <c r="NZ483" i="123"/>
  <c r="MO483" i="123"/>
  <c r="LJ483" i="123"/>
  <c r="KG483" i="123"/>
  <c r="IX483" i="123"/>
  <c r="HQ483" i="123"/>
  <c r="GL483" i="123"/>
  <c r="FM483" i="123"/>
  <c r="EH483" i="123"/>
  <c r="DE483" i="123"/>
  <c r="CG483" i="123"/>
  <c r="BD483" i="123"/>
  <c r="AA483" i="123"/>
  <c r="NQ483" i="123"/>
  <c r="LN483" i="123"/>
  <c r="JW483" i="123"/>
  <c r="HU483" i="123"/>
  <c r="GG483" i="123"/>
  <c r="EJ483" i="123"/>
  <c r="CY483" i="123"/>
  <c r="BB483" i="123"/>
  <c r="NN483" i="123"/>
  <c r="LK483" i="123"/>
  <c r="JQ483" i="123"/>
  <c r="HN483" i="123"/>
  <c r="FV483" i="123"/>
  <c r="EE483" i="123"/>
  <c r="CJ483" i="123"/>
  <c r="AU483" i="123"/>
  <c r="NK483" i="123"/>
  <c r="LI483" i="123"/>
  <c r="JO483" i="123"/>
  <c r="HM483" i="123"/>
  <c r="FP483" i="123"/>
  <c r="EC483" i="123"/>
  <c r="CI483" i="123"/>
  <c r="AT483" i="123"/>
  <c r="NI483" i="123"/>
  <c r="LG483" i="123"/>
  <c r="JE483" i="123"/>
  <c r="HL483" i="123"/>
  <c r="FO483" i="123"/>
  <c r="EB483" i="123"/>
  <c r="CH483" i="123"/>
  <c r="AS483" i="123"/>
  <c r="MM483" i="123"/>
  <c r="KS483" i="123"/>
  <c r="IQ483" i="123"/>
  <c r="GQ483" i="123"/>
  <c r="FC483" i="123"/>
  <c r="DJ483" i="123"/>
  <c r="BV483" i="123"/>
  <c r="AC483" i="123"/>
  <c r="OB483" i="123"/>
  <c r="LE483" i="123"/>
  <c r="IG483" i="123"/>
  <c r="FI483" i="123"/>
  <c r="CZ483" i="123"/>
  <c r="Y483" i="123"/>
  <c r="OA483" i="123"/>
  <c r="LB483" i="123"/>
  <c r="HW483" i="123"/>
  <c r="EZ483" i="123"/>
  <c r="CS483" i="123"/>
  <c r="NO483" i="123"/>
  <c r="KJ483" i="123"/>
  <c r="HH483" i="123"/>
  <c r="EW483" i="123"/>
  <c r="CB483" i="123"/>
  <c r="MY483" i="123"/>
  <c r="KI483" i="123"/>
  <c r="HF483" i="123"/>
  <c r="EP483" i="123"/>
  <c r="CA483" i="123"/>
  <c r="MK483" i="123"/>
  <c r="JT483" i="123"/>
  <c r="GM483" i="123"/>
  <c r="DY483" i="123"/>
  <c r="BJ483" i="123"/>
  <c r="NR480" i="123"/>
  <c r="OC480" i="123"/>
  <c r="OA480" i="123"/>
  <c r="NV480" i="123"/>
  <c r="A480" i="123"/>
  <c r="OB480" i="123"/>
  <c r="NQ480" i="123"/>
  <c r="NO480" i="123"/>
  <c r="NY480" i="123"/>
  <c r="NW480" i="123"/>
  <c r="NU480" i="123"/>
  <c r="NS480" i="123"/>
  <c r="FI478" i="123"/>
  <c r="ET478" i="123"/>
  <c r="EE478" i="123"/>
  <c r="DP478" i="123"/>
  <c r="DA478" i="123"/>
  <c r="CK478" i="123"/>
  <c r="BV478" i="123"/>
  <c r="FK478" i="123"/>
  <c r="EU478" i="123"/>
  <c r="ED478" i="123"/>
  <c r="DM478" i="123"/>
  <c r="CW478" i="123"/>
  <c r="CG478" i="123"/>
  <c r="BQ478" i="123"/>
  <c r="FF478" i="123"/>
  <c r="EO478" i="123"/>
  <c r="DY478" i="123"/>
  <c r="DI478" i="123"/>
  <c r="CS478" i="123"/>
  <c r="CC478" i="123"/>
  <c r="BM478" i="123"/>
  <c r="ES478" i="123"/>
  <c r="DZ478" i="123"/>
  <c r="DG478" i="123"/>
  <c r="CO478" i="123"/>
  <c r="BU478" i="123"/>
  <c r="FH478" i="123"/>
  <c r="FG478" i="123"/>
  <c r="EM478" i="123"/>
  <c r="DU478" i="123"/>
  <c r="DC478" i="123"/>
  <c r="CI478" i="123"/>
  <c r="BP478" i="123"/>
  <c r="HG478" i="123"/>
  <c r="EW478" i="123"/>
  <c r="DX478" i="123"/>
  <c r="DD478" i="123"/>
  <c r="CF478" i="123"/>
  <c r="ER478" i="123"/>
  <c r="DV478" i="123"/>
  <c r="CY478" i="123"/>
  <c r="CD478" i="123"/>
  <c r="EQ478" i="123"/>
  <c r="DT478" i="123"/>
  <c r="CX478" i="123"/>
  <c r="CB478" i="123"/>
  <c r="EN478" i="123"/>
  <c r="DS478" i="123"/>
  <c r="CV478" i="123"/>
  <c r="CA478" i="123"/>
  <c r="FC478" i="123"/>
  <c r="EI478" i="123"/>
  <c r="DL478" i="123"/>
  <c r="CQ478" i="123"/>
  <c r="BT478" i="123"/>
  <c r="EX478" i="123"/>
  <c r="DK478" i="123"/>
  <c r="CE478" i="123"/>
  <c r="HJ478" i="123"/>
  <c r="EV478" i="123"/>
  <c r="DJ478" i="123"/>
  <c r="BZ478" i="123"/>
  <c r="HF478" i="123"/>
  <c r="EK478" i="123"/>
  <c r="DF478" i="123"/>
  <c r="BW478" i="123"/>
  <c r="EJ478" i="123"/>
  <c r="DE478" i="123"/>
  <c r="BS478" i="123"/>
  <c r="FL478" i="123"/>
  <c r="EF478" i="123"/>
  <c r="CT478" i="123"/>
  <c r="BN478" i="123"/>
  <c r="OC476" i="123"/>
  <c r="NN476" i="123"/>
  <c r="MY476" i="123"/>
  <c r="MJ476" i="123"/>
  <c r="LU476" i="123"/>
  <c r="LF476" i="123"/>
  <c r="KQ476" i="123"/>
  <c r="KA476" i="123"/>
  <c r="JL476" i="123"/>
  <c r="IW476" i="123"/>
  <c r="IH476" i="123"/>
  <c r="HS476" i="123"/>
  <c r="HD476" i="123"/>
  <c r="GO476" i="123"/>
  <c r="FZ476" i="123"/>
  <c r="FK476" i="123"/>
  <c r="EV476" i="123"/>
  <c r="EG476" i="123"/>
  <c r="DR476" i="123"/>
  <c r="DC476" i="123"/>
  <c r="CM476" i="123"/>
  <c r="BX476" i="123"/>
  <c r="BI476" i="123"/>
  <c r="AT476" i="123"/>
  <c r="AE476" i="123"/>
  <c r="NQ476" i="123"/>
  <c r="NA476" i="123"/>
  <c r="MK476" i="123"/>
  <c r="LT476" i="123"/>
  <c r="LC476" i="123"/>
  <c r="KM476" i="123"/>
  <c r="JW476" i="123"/>
  <c r="JG476" i="123"/>
  <c r="IQ476" i="123"/>
  <c r="IA476" i="123"/>
  <c r="HK476" i="123"/>
  <c r="GT476" i="123"/>
  <c r="GD476" i="123"/>
  <c r="FN476" i="123"/>
  <c r="EX476" i="123"/>
  <c r="EH476" i="123"/>
  <c r="DQ476" i="123"/>
  <c r="CZ476" i="123"/>
  <c r="CJ476" i="123"/>
  <c r="BT476" i="123"/>
  <c r="BD476" i="123"/>
  <c r="AN476" i="123"/>
  <c r="X476" i="123"/>
  <c r="OB476" i="123"/>
  <c r="NL476" i="123"/>
  <c r="MV476" i="123"/>
  <c r="ME476" i="123"/>
  <c r="LO476" i="123"/>
  <c r="KY476" i="123"/>
  <c r="KI476" i="123"/>
  <c r="JS476" i="123"/>
  <c r="JC476" i="123"/>
  <c r="IM476" i="123"/>
  <c r="HV476" i="123"/>
  <c r="HF476" i="123"/>
  <c r="GP476" i="123"/>
  <c r="FY476" i="123"/>
  <c r="FI476" i="123"/>
  <c r="ES476" i="123"/>
  <c r="EB476" i="123"/>
  <c r="DL476" i="123"/>
  <c r="CV476" i="123"/>
  <c r="CF476" i="123"/>
  <c r="BP476" i="123"/>
  <c r="AZ476" i="123"/>
  <c r="AI476" i="123"/>
  <c r="NY476" i="123"/>
  <c r="NF476" i="123"/>
  <c r="MN476" i="123"/>
  <c r="LV476" i="123"/>
  <c r="LA476" i="123"/>
  <c r="KH476" i="123"/>
  <c r="JP476" i="123"/>
  <c r="IV476" i="123"/>
  <c r="ID476" i="123"/>
  <c r="HL476" i="123"/>
  <c r="GR476" i="123"/>
  <c r="FX476" i="123"/>
  <c r="FE476" i="123"/>
  <c r="EM476" i="123"/>
  <c r="DU476" i="123"/>
  <c r="DA476" i="123"/>
  <c r="CH476" i="123"/>
  <c r="BO476" i="123"/>
  <c r="AV476" i="123"/>
  <c r="AC476" i="123"/>
  <c r="NT476" i="123"/>
  <c r="NB476" i="123"/>
  <c r="MH476" i="123"/>
  <c r="LN476" i="123"/>
  <c r="KV476" i="123"/>
  <c r="KD476" i="123"/>
  <c r="JJ476" i="123"/>
  <c r="IR476" i="123"/>
  <c r="HY476" i="123"/>
  <c r="HE476" i="123"/>
  <c r="GL476" i="123"/>
  <c r="FS476" i="123"/>
  <c r="FA476" i="123"/>
  <c r="EI476" i="123"/>
  <c r="DN476" i="123"/>
  <c r="CU476" i="123"/>
  <c r="CC476" i="123"/>
  <c r="BJ476" i="123"/>
  <c r="AQ476" i="123"/>
  <c r="Y476" i="123"/>
  <c r="NI476" i="123"/>
  <c r="MM476" i="123"/>
  <c r="LP476" i="123"/>
  <c r="KT476" i="123"/>
  <c r="JX476" i="123"/>
  <c r="JB476" i="123"/>
  <c r="IF476" i="123"/>
  <c r="HI476" i="123"/>
  <c r="GM476" i="123"/>
  <c r="FQ476" i="123"/>
  <c r="EU476" i="123"/>
  <c r="DY476" i="123"/>
  <c r="DE476" i="123"/>
  <c r="CG476" i="123"/>
  <c r="BK476" i="123"/>
  <c r="AO476" i="123"/>
  <c r="OA476" i="123"/>
  <c r="NE476" i="123"/>
  <c r="MI476" i="123"/>
  <c r="LL476" i="123"/>
  <c r="KR476" i="123"/>
  <c r="JU476" i="123"/>
  <c r="IY476" i="123"/>
  <c r="IC476" i="123"/>
  <c r="HG476" i="123"/>
  <c r="GJ476" i="123"/>
  <c r="FO476" i="123"/>
  <c r="EQ476" i="123"/>
  <c r="DW476" i="123"/>
  <c r="CY476" i="123"/>
  <c r="CD476" i="123"/>
  <c r="BG476" i="123"/>
  <c r="AL476" i="123"/>
  <c r="NZ476" i="123"/>
  <c r="ND476" i="123"/>
  <c r="MG476" i="123"/>
  <c r="LK476" i="123"/>
  <c r="KO476" i="123"/>
  <c r="JT476" i="123"/>
  <c r="IX476" i="123"/>
  <c r="IB476" i="123"/>
  <c r="HC476" i="123"/>
  <c r="GI476" i="123"/>
  <c r="FM476" i="123"/>
  <c r="EP476" i="123"/>
  <c r="DV476" i="123"/>
  <c r="CX476" i="123"/>
  <c r="CB476" i="123"/>
  <c r="BF476" i="123"/>
  <c r="AK476" i="123"/>
  <c r="NX476" i="123"/>
  <c r="NC476" i="123"/>
  <c r="MD476" i="123"/>
  <c r="LJ476" i="123"/>
  <c r="KN476" i="123"/>
  <c r="JR476" i="123"/>
  <c r="IU476" i="123"/>
  <c r="HZ476" i="123"/>
  <c r="HB476" i="123"/>
  <c r="GG476" i="123"/>
  <c r="FL476" i="123"/>
  <c r="EO476" i="123"/>
  <c r="DT476" i="123"/>
  <c r="CW476" i="123"/>
  <c r="CA476" i="123"/>
  <c r="BE476" i="123"/>
  <c r="AH476" i="123"/>
  <c r="NR476" i="123"/>
  <c r="MU476" i="123"/>
  <c r="LZ476" i="123"/>
  <c r="LE476" i="123"/>
  <c r="KG476" i="123"/>
  <c r="JK476" i="123"/>
  <c r="IO476" i="123"/>
  <c r="HR476" i="123"/>
  <c r="GX476" i="123"/>
  <c r="GB476" i="123"/>
  <c r="FD476" i="123"/>
  <c r="EJ476" i="123"/>
  <c r="DK476" i="123"/>
  <c r="CQ476" i="123"/>
  <c r="BU476" i="123"/>
  <c r="AY476" i="123"/>
  <c r="AB476" i="123"/>
  <c r="MW476" i="123"/>
  <c r="LQ476" i="123"/>
  <c r="KF476" i="123"/>
  <c r="JA476" i="123"/>
  <c r="HP476" i="123"/>
  <c r="GF476" i="123"/>
  <c r="EZ476" i="123"/>
  <c r="DO476" i="123"/>
  <c r="CK476" i="123"/>
  <c r="BA476" i="123"/>
  <c r="LM476" i="123"/>
  <c r="KE476" i="123"/>
  <c r="IT476" i="123"/>
  <c r="HO476" i="123"/>
  <c r="GE476" i="123"/>
  <c r="EY476" i="123"/>
  <c r="DM476" i="123"/>
  <c r="CI476" i="123"/>
  <c r="AW476" i="123"/>
  <c r="NW476" i="123"/>
  <c r="LH476" i="123"/>
  <c r="JZ476" i="123"/>
  <c r="IP476" i="123"/>
  <c r="HM476" i="123"/>
  <c r="GA476" i="123"/>
  <c r="ET476" i="123"/>
  <c r="DI476" i="123"/>
  <c r="BY476" i="123"/>
  <c r="AS476" i="123"/>
  <c r="NU476" i="123"/>
  <c r="LG476" i="123"/>
  <c r="JY476" i="123"/>
  <c r="IN476" i="123"/>
  <c r="HH476" i="123"/>
  <c r="FW476" i="123"/>
  <c r="EN476" i="123"/>
  <c r="DH476" i="123"/>
  <c r="BW476" i="123"/>
  <c r="AR476" i="123"/>
  <c r="NO476" i="123"/>
  <c r="MC476" i="123"/>
  <c r="KX476" i="123"/>
  <c r="JO476" i="123"/>
  <c r="II476" i="123"/>
  <c r="GY476" i="123"/>
  <c r="FR476" i="123"/>
  <c r="EF476" i="123"/>
  <c r="DD476" i="123"/>
  <c r="BR476" i="123"/>
  <c r="AG476" i="123"/>
  <c r="NR473" i="123"/>
  <c r="NW473" i="123"/>
  <c r="NV473" i="123"/>
  <c r="NT473" i="123"/>
  <c r="NS473" i="123"/>
  <c r="A473" i="123"/>
  <c r="NQ473" i="123"/>
  <c r="OC473" i="123"/>
  <c r="NU473" i="123"/>
  <c r="NP473" i="123"/>
  <c r="FF471" i="123"/>
  <c r="EQ471" i="123"/>
  <c r="EC471" i="123"/>
  <c r="DO471" i="123"/>
  <c r="DA471" i="123"/>
  <c r="CM471" i="123"/>
  <c r="BY471" i="123"/>
  <c r="HI471" i="123"/>
  <c r="FC471" i="123"/>
  <c r="EO471" i="123"/>
  <c r="EA471" i="123"/>
  <c r="DM471" i="123"/>
  <c r="CY471" i="123"/>
  <c r="CK471" i="123"/>
  <c r="BW471" i="123"/>
  <c r="HG471" i="123"/>
  <c r="FB471" i="123"/>
  <c r="EN471" i="123"/>
  <c r="DZ471" i="123"/>
  <c r="DL471" i="123"/>
  <c r="CX471" i="123"/>
  <c r="CJ471" i="123"/>
  <c r="BV471" i="123"/>
  <c r="HF471" i="123"/>
  <c r="FA471" i="123"/>
  <c r="EM471" i="123"/>
  <c r="DY471" i="123"/>
  <c r="DK471" i="123"/>
  <c r="CW471" i="123"/>
  <c r="CI471" i="123"/>
  <c r="BU471" i="123"/>
  <c r="FL471" i="123"/>
  <c r="EW471" i="123"/>
  <c r="EI471" i="123"/>
  <c r="DU471" i="123"/>
  <c r="DG471" i="123"/>
  <c r="CS471" i="123"/>
  <c r="CE471" i="123"/>
  <c r="BQ471" i="123"/>
  <c r="FJ471" i="123"/>
  <c r="EL471" i="123"/>
  <c r="DR471" i="123"/>
  <c r="CU471" i="123"/>
  <c r="CA471" i="123"/>
  <c r="FI471" i="123"/>
  <c r="EK471" i="123"/>
  <c r="DQ471" i="123"/>
  <c r="CT471" i="123"/>
  <c r="BZ471" i="123"/>
  <c r="FG471" i="123"/>
  <c r="EH471" i="123"/>
  <c r="DN471" i="123"/>
  <c r="CQ471" i="123"/>
  <c r="BT471" i="123"/>
  <c r="FE471" i="123"/>
  <c r="EG471" i="123"/>
  <c r="DJ471" i="123"/>
  <c r="CP471" i="123"/>
  <c r="BS471" i="123"/>
  <c r="EX471" i="123"/>
  <c r="ED471" i="123"/>
  <c r="DF471" i="123"/>
  <c r="CL471" i="123"/>
  <c r="BO471" i="123"/>
  <c r="NV469" i="123"/>
  <c r="NH469" i="123"/>
  <c r="MF469" i="123"/>
  <c r="LR469" i="123"/>
  <c r="LD469" i="123"/>
  <c r="KP469" i="123"/>
  <c r="KB469" i="123"/>
  <c r="JN469" i="123"/>
  <c r="IZ469" i="123"/>
  <c r="IL469" i="123"/>
  <c r="HX469" i="123"/>
  <c r="HJ469" i="123"/>
  <c r="GV469" i="123"/>
  <c r="GH469" i="123"/>
  <c r="FT469" i="123"/>
  <c r="FF469" i="123"/>
  <c r="ER469" i="123"/>
  <c r="ED469" i="123"/>
  <c r="DP469" i="123"/>
  <c r="DB469" i="123"/>
  <c r="CN469" i="123"/>
  <c r="BZ469" i="123"/>
  <c r="BL469" i="123"/>
  <c r="AX469" i="123"/>
  <c r="AJ469" i="123"/>
  <c r="NS469" i="123"/>
  <c r="NE469" i="123"/>
  <c r="MC469" i="123"/>
  <c r="LO469" i="123"/>
  <c r="LA469" i="123"/>
  <c r="KM469" i="123"/>
  <c r="JY469" i="123"/>
  <c r="NR469" i="123"/>
  <c r="ND469" i="123"/>
  <c r="MB469" i="123"/>
  <c r="LN469" i="123"/>
  <c r="KZ469" i="123"/>
  <c r="KL469" i="123"/>
  <c r="JX469" i="123"/>
  <c r="JJ469" i="123"/>
  <c r="IV469" i="123"/>
  <c r="IH469" i="123"/>
  <c r="HT469" i="123"/>
  <c r="HF469" i="123"/>
  <c r="GR469" i="123"/>
  <c r="GD469" i="123"/>
  <c r="FP469" i="123"/>
  <c r="FB469" i="123"/>
  <c r="EN469" i="123"/>
  <c r="DZ469" i="123"/>
  <c r="DL469" i="123"/>
  <c r="CX469" i="123"/>
  <c r="CJ469" i="123"/>
  <c r="BV469" i="123"/>
  <c r="BH469" i="123"/>
  <c r="AT469" i="123"/>
  <c r="AF469" i="123"/>
  <c r="OC469" i="123"/>
  <c r="NL469" i="123"/>
  <c r="MU469" i="123"/>
  <c r="MA469" i="123"/>
  <c r="LJ469" i="123"/>
  <c r="KS469" i="123"/>
  <c r="KA469" i="123"/>
  <c r="JI469" i="123"/>
  <c r="IS469" i="123"/>
  <c r="IC469" i="123"/>
  <c r="HM469" i="123"/>
  <c r="GW469" i="123"/>
  <c r="GF469" i="123"/>
  <c r="FO469" i="123"/>
  <c r="EY469" i="123"/>
  <c r="EI469" i="123"/>
  <c r="DS469" i="123"/>
  <c r="DC469" i="123"/>
  <c r="CL469" i="123"/>
  <c r="BU469" i="123"/>
  <c r="BE469" i="123"/>
  <c r="AO469" i="123"/>
  <c r="Y469" i="123"/>
  <c r="OB469" i="123"/>
  <c r="NK469" i="123"/>
  <c r="LZ469" i="123"/>
  <c r="LI469" i="123"/>
  <c r="KR469" i="123"/>
  <c r="JZ469" i="123"/>
  <c r="JH469" i="123"/>
  <c r="IR469" i="123"/>
  <c r="IB469" i="123"/>
  <c r="HL469" i="123"/>
  <c r="GU469" i="123"/>
  <c r="GE469" i="123"/>
  <c r="FN469" i="123"/>
  <c r="EX469" i="123"/>
  <c r="EH469" i="123"/>
  <c r="DR469" i="123"/>
  <c r="DA469" i="123"/>
  <c r="CK469" i="123"/>
  <c r="BT469" i="123"/>
  <c r="BD469" i="123"/>
  <c r="AN469" i="123"/>
  <c r="X469" i="123"/>
  <c r="NZ469" i="123"/>
  <c r="NI469" i="123"/>
  <c r="MO469" i="123"/>
  <c r="LX469" i="123"/>
  <c r="LG469" i="123"/>
  <c r="KO469" i="123"/>
  <c r="JV469" i="123"/>
  <c r="JF469" i="123"/>
  <c r="IP469" i="123"/>
  <c r="HZ469" i="123"/>
  <c r="HI469" i="123"/>
  <c r="GS469" i="123"/>
  <c r="GB469" i="123"/>
  <c r="FL469" i="123"/>
  <c r="EV469" i="123"/>
  <c r="EF469" i="123"/>
  <c r="DO469" i="123"/>
  <c r="CY469" i="123"/>
  <c r="CH469" i="123"/>
  <c r="BR469" i="123"/>
  <c r="BB469" i="123"/>
  <c r="AL469" i="123"/>
  <c r="NY469" i="123"/>
  <c r="NG469" i="123"/>
  <c r="MN469" i="123"/>
  <c r="LW469" i="123"/>
  <c r="LF469" i="123"/>
  <c r="KN469" i="123"/>
  <c r="JU469" i="123"/>
  <c r="JE469" i="123"/>
  <c r="IO469" i="123"/>
  <c r="HY469" i="123"/>
  <c r="HH469" i="123"/>
  <c r="GQ469" i="123"/>
  <c r="GA469" i="123"/>
  <c r="FK469" i="123"/>
  <c r="EU469" i="123"/>
  <c r="EE469" i="123"/>
  <c r="DN469" i="123"/>
  <c r="CW469" i="123"/>
  <c r="CG469" i="123"/>
  <c r="BQ469" i="123"/>
  <c r="BA469" i="123"/>
  <c r="AK469" i="123"/>
  <c r="NU469" i="123"/>
  <c r="NB469" i="123"/>
  <c r="MK469" i="123"/>
  <c r="LT469" i="123"/>
  <c r="LB469" i="123"/>
  <c r="KI469" i="123"/>
  <c r="JR469" i="123"/>
  <c r="JB469" i="123"/>
  <c r="IK469" i="123"/>
  <c r="HU469" i="123"/>
  <c r="HD469" i="123"/>
  <c r="GN469" i="123"/>
  <c r="FX469" i="123"/>
  <c r="FH469" i="123"/>
  <c r="EQ469" i="123"/>
  <c r="EA469" i="123"/>
  <c r="DJ469" i="123"/>
  <c r="CT469" i="123"/>
  <c r="CD469" i="123"/>
  <c r="BN469" i="123"/>
  <c r="AW469" i="123"/>
  <c r="AG469" i="123"/>
  <c r="NQ466" i="123"/>
  <c r="OA466" i="123"/>
  <c r="NP466" i="123"/>
  <c r="NO466" i="123"/>
  <c r="MV464" i="123"/>
  <c r="IY464" i="123"/>
  <c r="ID464" i="123"/>
  <c r="HK464" i="123"/>
  <c r="GW464" i="123"/>
  <c r="GI464" i="123"/>
  <c r="FU464" i="123"/>
  <c r="AY464" i="123"/>
  <c r="AK464" i="123"/>
  <c r="NH464" i="123"/>
  <c r="MR464" i="123"/>
  <c r="IS464" i="123"/>
  <c r="HW464" i="123"/>
  <c r="GS464" i="123"/>
  <c r="GE464" i="123"/>
  <c r="FQ464" i="123"/>
  <c r="BI464" i="123"/>
  <c r="AU464" i="123"/>
  <c r="AG464" i="123"/>
  <c r="NB464" i="123"/>
  <c r="JH464" i="123"/>
  <c r="IH464" i="123"/>
  <c r="HM464" i="123"/>
  <c r="GV464" i="123"/>
  <c r="GF464" i="123"/>
  <c r="FO464" i="123"/>
  <c r="BE464" i="123"/>
  <c r="AO464" i="123"/>
  <c r="Y464" i="123"/>
  <c r="KG508" i="123"/>
  <c r="MK508" i="123"/>
  <c r="ML508" i="123"/>
  <c r="MC508" i="123"/>
  <c r="LJ508" i="123"/>
  <c r="LG508" i="123"/>
  <c r="JS508" i="123"/>
  <c r="JO508" i="123"/>
  <c r="KX508" i="123"/>
  <c r="JP508" i="123"/>
  <c r="LT501" i="123"/>
  <c r="KK501" i="123"/>
  <c r="LN501" i="123"/>
  <c r="KJ501" i="123"/>
  <c r="JT501" i="123"/>
  <c r="ML501" i="123"/>
  <c r="LA501" i="123"/>
  <c r="JM501" i="123"/>
  <c r="KS501" i="123"/>
  <c r="KN501" i="123"/>
  <c r="KL501" i="123"/>
  <c r="KG501" i="123"/>
  <c r="JY501" i="123"/>
  <c r="JS501" i="123"/>
  <c r="JK501" i="123"/>
  <c r="MH501" i="123"/>
  <c r="MB501" i="123"/>
  <c r="LY501" i="123"/>
  <c r="KO501" i="123"/>
  <c r="KD501" i="123"/>
  <c r="JI501" i="123"/>
  <c r="MD501" i="123"/>
  <c r="LM501" i="123"/>
  <c r="LJ501" i="123"/>
  <c r="LF501" i="123"/>
  <c r="LK501" i="123"/>
  <c r="MM501" i="123"/>
  <c r="MI494" i="123"/>
  <c r="LP494" i="123"/>
  <c r="MO494" i="123"/>
  <c r="LT494" i="123"/>
  <c r="KZ494" i="123"/>
  <c r="KG494" i="123"/>
  <c r="JN494" i="123"/>
  <c r="MK494" i="123"/>
  <c r="LQ494" i="123"/>
  <c r="KW494" i="123"/>
  <c r="KD494" i="123"/>
  <c r="JL494" i="123"/>
  <c r="MJ494" i="123"/>
  <c r="LO494" i="123"/>
  <c r="KV494" i="123"/>
  <c r="KC494" i="123"/>
  <c r="JI494" i="123"/>
  <c r="MH494" i="123"/>
  <c r="LN494" i="123"/>
  <c r="KT494" i="123"/>
  <c r="KB494" i="123"/>
  <c r="ME494" i="123"/>
  <c r="LE494" i="123"/>
  <c r="KF494" i="123"/>
  <c r="MD494" i="123"/>
  <c r="LD494" i="123"/>
  <c r="JZ494" i="123"/>
  <c r="MC494" i="123"/>
  <c r="LB494" i="123"/>
  <c r="JX494" i="123"/>
  <c r="LY494" i="123"/>
  <c r="KY494" i="123"/>
  <c r="JU494" i="123"/>
  <c r="LU494" i="123"/>
  <c r="KP494" i="123"/>
  <c r="JR494" i="123"/>
  <c r="LJ494" i="123"/>
  <c r="JT494" i="123"/>
  <c r="LI494" i="123"/>
  <c r="JS494" i="123"/>
  <c r="LH494" i="123"/>
  <c r="JQ494" i="123"/>
  <c r="KR494" i="123"/>
  <c r="LA494" i="123"/>
  <c r="KS494" i="123"/>
  <c r="KO494" i="123"/>
  <c r="KK494" i="123"/>
  <c r="ML494" i="123"/>
  <c r="KI494" i="123"/>
  <c r="MF494" i="123"/>
  <c r="MA494" i="123"/>
  <c r="LS494" i="123"/>
  <c r="LM494" i="123"/>
  <c r="LX494" i="123"/>
  <c r="LV494" i="123"/>
  <c r="LF494" i="123"/>
  <c r="JW494" i="123"/>
  <c r="KH494" i="123"/>
  <c r="KM494" i="123"/>
  <c r="KL494" i="123"/>
  <c r="JP494" i="123"/>
  <c r="MI487" i="123"/>
  <c r="LT487" i="123"/>
  <c r="LE487" i="123"/>
  <c r="KP487" i="123"/>
  <c r="KA487" i="123"/>
  <c r="JL487" i="123"/>
  <c r="MA487" i="123"/>
  <c r="LK487" i="123"/>
  <c r="KU487" i="123"/>
  <c r="KE487" i="123"/>
  <c r="JO487" i="123"/>
  <c r="MO487" i="123"/>
  <c r="LY487" i="123"/>
  <c r="LI487" i="123"/>
  <c r="KS487" i="123"/>
  <c r="KC487" i="123"/>
  <c r="JM487" i="123"/>
  <c r="LX487" i="123"/>
  <c r="LF487" i="123"/>
  <c r="KM487" i="123"/>
  <c r="JT487" i="123"/>
  <c r="LW487" i="123"/>
  <c r="LD487" i="123"/>
  <c r="KK487" i="123"/>
  <c r="JS487" i="123"/>
  <c r="MN487" i="123"/>
  <c r="LV487" i="123"/>
  <c r="LC487" i="123"/>
  <c r="KJ487" i="123"/>
  <c r="JR487" i="123"/>
  <c r="MJ487" i="123"/>
  <c r="LQ487" i="123"/>
  <c r="KX487" i="123"/>
  <c r="KF487" i="123"/>
  <c r="JK487" i="123"/>
  <c r="MG487" i="123"/>
  <c r="LH487" i="123"/>
  <c r="KG487" i="123"/>
  <c r="MF487" i="123"/>
  <c r="LG487" i="123"/>
  <c r="KD487" i="123"/>
  <c r="MC487" i="123"/>
  <c r="KY487" i="123"/>
  <c r="JY487" i="123"/>
  <c r="LZ487" i="123"/>
  <c r="KW487" i="123"/>
  <c r="JW487" i="123"/>
  <c r="MM487" i="123"/>
  <c r="LB487" i="123"/>
  <c r="JQ487" i="123"/>
  <c r="MK487" i="123"/>
  <c r="KV487" i="123"/>
  <c r="JN487" i="123"/>
  <c r="MH487" i="123"/>
  <c r="KT487" i="123"/>
  <c r="JI487" i="123"/>
  <c r="ME487" i="123"/>
  <c r="KR487" i="123"/>
  <c r="LR487" i="123"/>
  <c r="KI487" i="123"/>
  <c r="KQ487" i="123"/>
  <c r="KN487" i="123"/>
  <c r="KH487" i="123"/>
  <c r="ML487" i="123"/>
  <c r="KB487" i="123"/>
  <c r="LP487" i="123"/>
  <c r="JP487" i="123"/>
  <c r="LS487" i="123"/>
  <c r="LM487" i="123"/>
  <c r="LL487" i="123"/>
  <c r="LJ487" i="123"/>
  <c r="JZ487" i="123"/>
  <c r="JV487" i="123"/>
  <c r="LU487" i="123"/>
  <c r="MJ480" i="123"/>
  <c r="LU480" i="123"/>
  <c r="LF480" i="123"/>
  <c r="KQ480" i="123"/>
  <c r="KC480" i="123"/>
  <c r="JO480" i="123"/>
  <c r="MH480" i="123"/>
  <c r="LS480" i="123"/>
  <c r="LD480" i="123"/>
  <c r="KO480" i="123"/>
  <c r="KA480" i="123"/>
  <c r="JM480" i="123"/>
  <c r="MM480" i="123"/>
  <c r="LV480" i="123"/>
  <c r="LC480" i="123"/>
  <c r="KL480" i="123"/>
  <c r="JV480" i="123"/>
  <c r="MC480" i="123"/>
  <c r="LJ480" i="123"/>
  <c r="KR480" i="123"/>
  <c r="JY480" i="123"/>
  <c r="LX480" i="123"/>
  <c r="LE480" i="123"/>
  <c r="KK480" i="123"/>
  <c r="JT480" i="123"/>
  <c r="LY480" i="123"/>
  <c r="LA480" i="123"/>
  <c r="KG480" i="123"/>
  <c r="JL480" i="123"/>
  <c r="LT480" i="123"/>
  <c r="KY480" i="123"/>
  <c r="LR480" i="123"/>
  <c r="KW480" i="123"/>
  <c r="KD480" i="123"/>
  <c r="JI480" i="123"/>
  <c r="MO480" i="123"/>
  <c r="LQ480" i="123"/>
  <c r="KV480" i="123"/>
  <c r="KB480" i="123"/>
  <c r="MG480" i="123"/>
  <c r="LG480" i="123"/>
  <c r="JZ480" i="123"/>
  <c r="ME480" i="123"/>
  <c r="KZ480" i="123"/>
  <c r="JW480" i="123"/>
  <c r="MD480" i="123"/>
  <c r="KU480" i="123"/>
  <c r="JU480" i="123"/>
  <c r="MB480" i="123"/>
  <c r="KT480" i="123"/>
  <c r="JS480" i="123"/>
  <c r="LO480" i="123"/>
  <c r="KM480" i="123"/>
  <c r="JN480" i="123"/>
  <c r="MA480" i="123"/>
  <c r="KH480" i="123"/>
  <c r="LW480" i="123"/>
  <c r="KF480" i="123"/>
  <c r="LN480" i="123"/>
  <c r="JX480" i="123"/>
  <c r="LM480" i="123"/>
  <c r="JR480" i="123"/>
  <c r="LH480" i="123"/>
  <c r="JK480" i="123"/>
  <c r="MF473" i="123"/>
  <c r="LR473" i="123"/>
  <c r="LD473" i="123"/>
  <c r="KP473" i="123"/>
  <c r="KB473" i="123"/>
  <c r="JN473" i="123"/>
  <c r="MB473" i="123"/>
  <c r="LM473" i="123"/>
  <c r="KX473" i="123"/>
  <c r="KI473" i="123"/>
  <c r="JT473" i="123"/>
  <c r="MO473" i="123"/>
  <c r="LZ473" i="123"/>
  <c r="LK473" i="123"/>
  <c r="KV473" i="123"/>
  <c r="KG473" i="123"/>
  <c r="JR473" i="123"/>
  <c r="MN473" i="123"/>
  <c r="LY473" i="123"/>
  <c r="LJ473" i="123"/>
  <c r="KU473" i="123"/>
  <c r="KF473" i="123"/>
  <c r="JQ473" i="123"/>
  <c r="MM473" i="123"/>
  <c r="LX473" i="123"/>
  <c r="LI473" i="123"/>
  <c r="KT473" i="123"/>
  <c r="KE473" i="123"/>
  <c r="JP473" i="123"/>
  <c r="MI473" i="123"/>
  <c r="LT473" i="123"/>
  <c r="LE473" i="123"/>
  <c r="KO473" i="123"/>
  <c r="JZ473" i="123"/>
  <c r="JK473" i="123"/>
  <c r="LW473" i="123"/>
  <c r="LA473" i="123"/>
  <c r="KC473" i="123"/>
  <c r="LV473" i="123"/>
  <c r="KZ473" i="123"/>
  <c r="KA473" i="123"/>
  <c r="LS473" i="123"/>
  <c r="KW473" i="123"/>
  <c r="JX473" i="123"/>
  <c r="LQ473" i="123"/>
  <c r="KS473" i="123"/>
  <c r="JW473" i="123"/>
  <c r="MJ473" i="123"/>
  <c r="LN473" i="123"/>
  <c r="KN473" i="123"/>
  <c r="JS473" i="123"/>
  <c r="MO466" i="123"/>
  <c r="MA466" i="123"/>
  <c r="LM466" i="123"/>
  <c r="KY466" i="123"/>
  <c r="KK466" i="123"/>
  <c r="JW466" i="123"/>
  <c r="JI466" i="123"/>
  <c r="MK466" i="123"/>
  <c r="LW466" i="123"/>
  <c r="LI466" i="123"/>
  <c r="KU466" i="123"/>
  <c r="KG466" i="123"/>
  <c r="JS466" i="123"/>
  <c r="MI466" i="123"/>
  <c r="LS466" i="123"/>
  <c r="LC466" i="123"/>
  <c r="KM466" i="123"/>
  <c r="JV466" i="123"/>
  <c r="MH466" i="123"/>
  <c r="LR466" i="123"/>
  <c r="LB466" i="123"/>
  <c r="KL466" i="123"/>
  <c r="JU466" i="123"/>
  <c r="MW501" i="123"/>
  <c r="G142" i="123"/>
  <c r="U227" i="123"/>
  <c r="A466" i="123"/>
  <c r="JJ466" i="123"/>
  <c r="KB466" i="123"/>
  <c r="KT466" i="123"/>
  <c r="LN466" i="123"/>
  <c r="MF466" i="123"/>
  <c r="NT466" i="123"/>
  <c r="AD469" i="123"/>
  <c r="BF469" i="123"/>
  <c r="CC469" i="123"/>
  <c r="DE469" i="123"/>
  <c r="EB469" i="123"/>
  <c r="FC469" i="123"/>
  <c r="FZ469" i="123"/>
  <c r="HA469" i="123"/>
  <c r="IA469" i="123"/>
  <c r="IY469" i="123"/>
  <c r="KC469" i="123"/>
  <c r="KY469" i="123"/>
  <c r="ME469" i="123"/>
  <c r="NC469" i="123"/>
  <c r="Z470" i="123"/>
  <c r="AX470" i="123"/>
  <c r="CA470" i="123"/>
  <c r="DC470" i="123"/>
  <c r="ED470" i="123"/>
  <c r="FJ470" i="123"/>
  <c r="GG470" i="123"/>
  <c r="HK470" i="123"/>
  <c r="IK470" i="123"/>
  <c r="MT470" i="123"/>
  <c r="BR471" i="123"/>
  <c r="DC471" i="123"/>
  <c r="EJ471" i="123"/>
  <c r="HJ471" i="123"/>
  <c r="AP472" i="123"/>
  <c r="CA472" i="123"/>
  <c r="DH472" i="123"/>
  <c r="EQ472" i="123"/>
  <c r="GU472" i="123"/>
  <c r="IX472" i="123"/>
  <c r="NH472" i="123"/>
  <c r="IO473" i="123"/>
  <c r="JV473" i="123"/>
  <c r="LG473" i="123"/>
  <c r="OB473" i="123"/>
  <c r="AF476" i="123"/>
  <c r="CO476" i="123"/>
  <c r="EK476" i="123"/>
  <c r="GQ476" i="123"/>
  <c r="IK476" i="123"/>
  <c r="KS476" i="123"/>
  <c r="AG477" i="123"/>
  <c r="CL477" i="123"/>
  <c r="EB477" i="123"/>
  <c r="GH477" i="123"/>
  <c r="HZ477" i="123"/>
  <c r="MT477" i="123"/>
  <c r="CU478" i="123"/>
  <c r="FA478" i="123"/>
  <c r="CC479" i="123"/>
  <c r="EC479" i="123"/>
  <c r="GF479" i="123"/>
  <c r="IT480" i="123"/>
  <c r="LB480" i="123"/>
  <c r="NZ480" i="123"/>
  <c r="AP483" i="123"/>
  <c r="EN483" i="123"/>
  <c r="IV483" i="123"/>
  <c r="NX483" i="123"/>
  <c r="DQ484" i="123"/>
  <c r="EK485" i="123"/>
  <c r="AK486" i="123"/>
  <c r="MD487" i="123"/>
  <c r="GS490" i="123"/>
  <c r="EJ498" i="123"/>
  <c r="AH464" i="123"/>
  <c r="AZ464" i="123"/>
  <c r="FS464" i="123"/>
  <c r="GK464" i="123"/>
  <c r="HB464" i="123"/>
  <c r="HS464" i="123"/>
  <c r="IU464" i="123"/>
  <c r="NA464" i="123"/>
  <c r="AN465" i="123"/>
  <c r="BF465" i="123"/>
  <c r="BX465" i="123"/>
  <c r="CR465" i="123"/>
  <c r="DJ465" i="123"/>
  <c r="EE465" i="123"/>
  <c r="EX465" i="123"/>
  <c r="GI465" i="123"/>
  <c r="HB465" i="123"/>
  <c r="HP465" i="123"/>
  <c r="IH465" i="123"/>
  <c r="JD465" i="123"/>
  <c r="NB465" i="123"/>
  <c r="IA466" i="123"/>
  <c r="IT466" i="123"/>
  <c r="JM466" i="123"/>
  <c r="KE466" i="123"/>
  <c r="KX466" i="123"/>
  <c r="LQ466" i="123"/>
  <c r="ML466" i="123"/>
  <c r="NE466" i="123"/>
  <c r="NW466" i="123"/>
  <c r="AI469" i="123"/>
  <c r="BJ469" i="123"/>
  <c r="CI469" i="123"/>
  <c r="DH469" i="123"/>
  <c r="EJ469" i="123"/>
  <c r="FG469" i="123"/>
  <c r="GI469" i="123"/>
  <c r="HE469" i="123"/>
  <c r="IF469" i="123"/>
  <c r="JD469" i="123"/>
  <c r="KF469" i="123"/>
  <c r="LH469" i="123"/>
  <c r="MI469" i="123"/>
  <c r="NM469" i="123"/>
  <c r="AD470" i="123"/>
  <c r="BH470" i="123"/>
  <c r="CH470" i="123"/>
  <c r="DK470" i="123"/>
  <c r="EK470" i="123"/>
  <c r="FN470" i="123"/>
  <c r="GP470" i="123"/>
  <c r="HQ470" i="123"/>
  <c r="IU470" i="123"/>
  <c r="MY470" i="123"/>
  <c r="CC471" i="123"/>
  <c r="DH471" i="123"/>
  <c r="ES471" i="123"/>
  <c r="BB472" i="123"/>
  <c r="CF472" i="123"/>
  <c r="DQ472" i="123"/>
  <c r="EV472" i="123"/>
  <c r="FU472" i="123"/>
  <c r="GX472" i="123"/>
  <c r="HV472" i="123"/>
  <c r="JD472" i="123"/>
  <c r="NM472" i="123"/>
  <c r="IS473" i="123"/>
  <c r="KH473" i="123"/>
  <c r="LO473" i="123"/>
  <c r="MZ473" i="123"/>
  <c r="AU476" i="123"/>
  <c r="CS476" i="123"/>
  <c r="FB476" i="123"/>
  <c r="GW476" i="123"/>
  <c r="JE476" i="123"/>
  <c r="KZ476" i="123"/>
  <c r="NG476" i="123"/>
  <c r="AS477" i="123"/>
  <c r="CQ477" i="123"/>
  <c r="ES477" i="123"/>
  <c r="GM477" i="123"/>
  <c r="IT477" i="123"/>
  <c r="NB477" i="123"/>
  <c r="DO478" i="123"/>
  <c r="FJ478" i="123"/>
  <c r="X479" i="123"/>
  <c r="CJ479" i="123"/>
  <c r="EV479" i="123"/>
  <c r="GK479" i="123"/>
  <c r="NF479" i="123"/>
  <c r="JD480" i="123"/>
  <c r="LP480" i="123"/>
  <c r="BG483" i="123"/>
  <c r="FN483" i="123"/>
  <c r="JY483" i="123"/>
  <c r="AK484" i="123"/>
  <c r="EG484" i="123"/>
  <c r="MW484" i="123"/>
  <c r="EX485" i="123"/>
  <c r="CB486" i="123"/>
  <c r="HX486" i="123"/>
  <c r="KM490" i="123"/>
  <c r="AS493" i="123"/>
  <c r="AI464" i="123"/>
  <c r="BA464" i="123"/>
  <c r="FT464" i="123"/>
  <c r="GL464" i="123"/>
  <c r="HC464" i="123"/>
  <c r="HT464" i="123"/>
  <c r="IV464" i="123"/>
  <c r="NC464" i="123"/>
  <c r="A465" i="123"/>
  <c r="AO465" i="123"/>
  <c r="BG465" i="123"/>
  <c r="BZ465" i="123"/>
  <c r="CS465" i="123"/>
  <c r="DK465" i="123"/>
  <c r="EF465" i="123"/>
  <c r="EY465" i="123"/>
  <c r="GJ465" i="123"/>
  <c r="HC465" i="123"/>
  <c r="HQ465" i="123"/>
  <c r="II465" i="123"/>
  <c r="JE465" i="123"/>
  <c r="NC465" i="123"/>
  <c r="IB466" i="123"/>
  <c r="IV466" i="123"/>
  <c r="JN466" i="123"/>
  <c r="KF466" i="123"/>
  <c r="KZ466" i="123"/>
  <c r="LT466" i="123"/>
  <c r="MM466" i="123"/>
  <c r="NF466" i="123"/>
  <c r="NX466" i="123"/>
  <c r="AM469" i="123"/>
  <c r="BK469" i="123"/>
  <c r="CM469" i="123"/>
  <c r="DI469" i="123"/>
  <c r="EK469" i="123"/>
  <c r="FI469" i="123"/>
  <c r="GJ469" i="123"/>
  <c r="HG469" i="123"/>
  <c r="IG469" i="123"/>
  <c r="JG469" i="123"/>
  <c r="KG469" i="123"/>
  <c r="LK469" i="123"/>
  <c r="MJ469" i="123"/>
  <c r="NN469" i="123"/>
  <c r="AF470" i="123"/>
  <c r="BI470" i="123"/>
  <c r="CI470" i="123"/>
  <c r="DL470" i="123"/>
  <c r="EN470" i="123"/>
  <c r="FO470" i="123"/>
  <c r="GS470" i="123"/>
  <c r="HR470" i="123"/>
  <c r="IV470" i="123"/>
  <c r="NB470" i="123"/>
  <c r="CD471" i="123"/>
  <c r="DI471" i="123"/>
  <c r="ET471" i="123"/>
  <c r="A472" i="123"/>
  <c r="BC472" i="123"/>
  <c r="CJ472" i="123"/>
  <c r="DR472" i="123"/>
  <c r="FB472" i="123"/>
  <c r="FV472" i="123"/>
  <c r="HA472" i="123"/>
  <c r="HW472" i="123"/>
  <c r="JE472" i="123"/>
  <c r="HP473" i="123"/>
  <c r="IU473" i="123"/>
  <c r="KJ473" i="123"/>
  <c r="LP473" i="123"/>
  <c r="NA473" i="123"/>
  <c r="BB476" i="123"/>
  <c r="CT476" i="123"/>
  <c r="FC476" i="123"/>
  <c r="GZ476" i="123"/>
  <c r="JF476" i="123"/>
  <c r="LB476" i="123"/>
  <c r="NJ476" i="123"/>
  <c r="AX477" i="123"/>
  <c r="CS477" i="123"/>
  <c r="EV477" i="123"/>
  <c r="GO477" i="123"/>
  <c r="IU477" i="123"/>
  <c r="NH477" i="123"/>
  <c r="BL478" i="123"/>
  <c r="DQ478" i="123"/>
  <c r="AB479" i="123"/>
  <c r="CM479" i="123"/>
  <c r="FF479" i="123"/>
  <c r="GU479" i="123"/>
  <c r="HT479" i="123"/>
  <c r="NG479" i="123"/>
  <c r="JE480" i="123"/>
  <c r="MF480" i="123"/>
  <c r="BQ483" i="123"/>
  <c r="GD483" i="123"/>
  <c r="KE483" i="123"/>
  <c r="AM484" i="123"/>
  <c r="FE484" i="123"/>
  <c r="MX484" i="123"/>
  <c r="CK486" i="123"/>
  <c r="FX486" i="123"/>
  <c r="IR486" i="123"/>
  <c r="KO490" i="123"/>
  <c r="CE493" i="123"/>
  <c r="MV500" i="123"/>
  <c r="AJ464" i="123"/>
  <c r="BB464" i="123"/>
  <c r="FV464" i="123"/>
  <c r="GM464" i="123"/>
  <c r="HD464" i="123"/>
  <c r="HX464" i="123"/>
  <c r="IZ464" i="123"/>
  <c r="ND464" i="123"/>
  <c r="AP465" i="123"/>
  <c r="BH465" i="123"/>
  <c r="CA465" i="123"/>
  <c r="CT465" i="123"/>
  <c r="DN465" i="123"/>
  <c r="EH465" i="123"/>
  <c r="EZ465" i="123"/>
  <c r="FR465" i="123"/>
  <c r="GL465" i="123"/>
  <c r="HD465" i="123"/>
  <c r="HR465" i="123"/>
  <c r="IM465" i="123"/>
  <c r="JF465" i="123"/>
  <c r="ND465" i="123"/>
  <c r="ID466" i="123"/>
  <c r="IW466" i="123"/>
  <c r="JO466" i="123"/>
  <c r="KH466" i="123"/>
  <c r="LA466" i="123"/>
  <c r="LU466" i="123"/>
  <c r="MN466" i="123"/>
  <c r="NG466" i="123"/>
  <c r="NY466" i="123"/>
  <c r="AP469" i="123"/>
  <c r="BM469" i="123"/>
  <c r="CO469" i="123"/>
  <c r="DK469" i="123"/>
  <c r="EL469" i="123"/>
  <c r="FJ469" i="123"/>
  <c r="GK469" i="123"/>
  <c r="HK469" i="123"/>
  <c r="II469" i="123"/>
  <c r="JK469" i="123"/>
  <c r="KH469" i="123"/>
  <c r="LL469" i="123"/>
  <c r="ML469" i="123"/>
  <c r="NO469" i="123"/>
  <c r="AG470" i="123"/>
  <c r="BJ470" i="123"/>
  <c r="CL470" i="123"/>
  <c r="DM470" i="123"/>
  <c r="EQ470" i="123"/>
  <c r="FP470" i="123"/>
  <c r="GT470" i="123"/>
  <c r="HT470" i="123"/>
  <c r="IW470" i="123"/>
  <c r="NC470" i="123"/>
  <c r="CF471" i="123"/>
  <c r="DP471" i="123"/>
  <c r="EU471" i="123"/>
  <c r="BD472" i="123"/>
  <c r="CN472" i="123"/>
  <c r="DT472" i="123"/>
  <c r="FF472" i="123"/>
  <c r="FX472" i="123"/>
  <c r="HB472" i="123"/>
  <c r="HZ472" i="123"/>
  <c r="JF472" i="123"/>
  <c r="HQ473" i="123"/>
  <c r="IW473" i="123"/>
  <c r="KK473" i="123"/>
  <c r="LU473" i="123"/>
  <c r="NE473" i="123"/>
  <c r="BC476" i="123"/>
  <c r="DF476" i="123"/>
  <c r="FG476" i="123"/>
  <c r="HA476" i="123"/>
  <c r="JH476" i="123"/>
  <c r="LI476" i="123"/>
  <c r="NK476" i="123"/>
  <c r="BE477" i="123"/>
  <c r="CY477" i="123"/>
  <c r="EY477" i="123"/>
  <c r="GQ477" i="123"/>
  <c r="IV477" i="123"/>
  <c r="NK477" i="123"/>
  <c r="BO478" i="123"/>
  <c r="DR478" i="123"/>
  <c r="AM479" i="123"/>
  <c r="CN479" i="123"/>
  <c r="FH479" i="123"/>
  <c r="GX479" i="123"/>
  <c r="HU479" i="123"/>
  <c r="NH479" i="123"/>
  <c r="JJ480" i="123"/>
  <c r="MI480" i="123"/>
  <c r="BT483" i="123"/>
  <c r="GI483" i="123"/>
  <c r="KK483" i="123"/>
  <c r="AN484" i="123"/>
  <c r="FN484" i="123"/>
  <c r="NL484" i="123"/>
  <c r="CL486" i="123"/>
  <c r="FY486" i="123"/>
  <c r="IV486" i="123"/>
  <c r="MX490" i="123"/>
  <c r="EU493" i="123"/>
  <c r="DW478" i="123"/>
  <c r="JP480" i="123"/>
  <c r="MK480" i="123"/>
  <c r="CF483" i="123"/>
  <c r="GJ483" i="123"/>
  <c r="LF483" i="123"/>
  <c r="AZ484" i="123"/>
  <c r="FQ484" i="123"/>
  <c r="CW486" i="123"/>
  <c r="GJ486" i="123"/>
  <c r="JA486" i="123"/>
  <c r="AS491" i="123"/>
  <c r="EX493" i="123"/>
  <c r="J250" i="123"/>
  <c r="U258" i="123"/>
  <c r="AM464" i="123"/>
  <c r="BD464" i="123"/>
  <c r="FX464" i="123"/>
  <c r="GO464" i="123"/>
  <c r="IC464" i="123"/>
  <c r="JE464" i="123"/>
  <c r="NL464" i="123"/>
  <c r="Z465" i="123"/>
  <c r="AR465" i="123"/>
  <c r="BJ465" i="123"/>
  <c r="CD465" i="123"/>
  <c r="CX465" i="123"/>
  <c r="DQ465" i="123"/>
  <c r="EJ465" i="123"/>
  <c r="FB465" i="123"/>
  <c r="FU465" i="123"/>
  <c r="GN465" i="123"/>
  <c r="HV465" i="123"/>
  <c r="IP465" i="123"/>
  <c r="JH465" i="123"/>
  <c r="NF465" i="123"/>
  <c r="IF466" i="123"/>
  <c r="IY466" i="123"/>
  <c r="JQ466" i="123"/>
  <c r="KJ466" i="123"/>
  <c r="LE466" i="123"/>
  <c r="LX466" i="123"/>
  <c r="NI466" i="123"/>
  <c r="OB466" i="123"/>
  <c r="AR469" i="123"/>
  <c r="BP469" i="123"/>
  <c r="CQ469" i="123"/>
  <c r="DQ469" i="123"/>
  <c r="EO469" i="123"/>
  <c r="FQ469" i="123"/>
  <c r="GM469" i="123"/>
  <c r="HO469" i="123"/>
  <c r="IM469" i="123"/>
  <c r="JM469" i="123"/>
  <c r="KK469" i="123"/>
  <c r="LP469" i="123"/>
  <c r="NQ469" i="123"/>
  <c r="AO470" i="123"/>
  <c r="BL470" i="123"/>
  <c r="CR470" i="123"/>
  <c r="DP470" i="123"/>
  <c r="ES470" i="123"/>
  <c r="FS470" i="123"/>
  <c r="GV470" i="123"/>
  <c r="HX470" i="123"/>
  <c r="IY470" i="123"/>
  <c r="NI470" i="123"/>
  <c r="CH471" i="123"/>
  <c r="DT471" i="123"/>
  <c r="EY471" i="123"/>
  <c r="AF472" i="123"/>
  <c r="BJ472" i="123"/>
  <c r="CS472" i="123"/>
  <c r="DZ472" i="123"/>
  <c r="FH472" i="123"/>
  <c r="FZ472" i="123"/>
  <c r="IH472" i="123"/>
  <c r="MR472" i="123"/>
  <c r="HT473" i="123"/>
  <c r="JH473" i="123"/>
  <c r="KM473" i="123"/>
  <c r="MC473" i="123"/>
  <c r="NJ473" i="123"/>
  <c r="BM476" i="123"/>
  <c r="DJ476" i="123"/>
  <c r="FJ476" i="123"/>
  <c r="HQ476" i="123"/>
  <c r="JM476" i="123"/>
  <c r="LW476" i="123"/>
  <c r="NP476" i="123"/>
  <c r="BL477" i="123"/>
  <c r="DE477" i="123"/>
  <c r="FC477" i="123"/>
  <c r="HD477" i="123"/>
  <c r="IY477" i="123"/>
  <c r="BY478" i="123"/>
  <c r="EA478" i="123"/>
  <c r="HI478" i="123"/>
  <c r="AP479" i="123"/>
  <c r="DC479" i="123"/>
  <c r="FL479" i="123"/>
  <c r="HB479" i="123"/>
  <c r="IO479" i="123"/>
  <c r="JQ480" i="123"/>
  <c r="ML480" i="123"/>
  <c r="DA483" i="123"/>
  <c r="GK483" i="123"/>
  <c r="LM483" i="123"/>
  <c r="BQ484" i="123"/>
  <c r="GA484" i="123"/>
  <c r="BO485" i="123"/>
  <c r="DE486" i="123"/>
  <c r="JG486" i="123"/>
  <c r="IP487" i="123"/>
  <c r="AU491" i="123"/>
  <c r="AU508" i="123"/>
  <c r="GJ508" i="123"/>
  <c r="AT508" i="123"/>
  <c r="GR508" i="123"/>
  <c r="FU508" i="123"/>
  <c r="BF508" i="123"/>
  <c r="AF508" i="123"/>
  <c r="FT508" i="123"/>
  <c r="DY508" i="123"/>
  <c r="BS508" i="123"/>
  <c r="AB508" i="123"/>
  <c r="MW508" i="123"/>
  <c r="HD508" i="123"/>
  <c r="FI508" i="123"/>
  <c r="DI508" i="123"/>
  <c r="BG508" i="123"/>
  <c r="HC508" i="123"/>
  <c r="DF508" i="123"/>
  <c r="BE508" i="123"/>
  <c r="MX508" i="123"/>
  <c r="GO508" i="123"/>
  <c r="EA508" i="123"/>
  <c r="BB508" i="123"/>
  <c r="GL508" i="123"/>
  <c r="DZ508" i="123"/>
  <c r="AX508" i="123"/>
  <c r="GH508" i="123"/>
  <c r="DM508" i="123"/>
  <c r="AS508" i="123"/>
  <c r="FZ508" i="123"/>
  <c r="CV508" i="123"/>
  <c r="AN508" i="123"/>
  <c r="FS508" i="123"/>
  <c r="CT508" i="123"/>
  <c r="AD508" i="123"/>
  <c r="FB508" i="123"/>
  <c r="CJ508" i="123"/>
  <c r="AC508" i="123"/>
  <c r="EI508" i="123"/>
  <c r="EE508" i="123"/>
  <c r="DC508" i="123"/>
  <c r="GQ508" i="123"/>
  <c r="CA508" i="123"/>
  <c r="BR508" i="123"/>
  <c r="BC508" i="123"/>
  <c r="GV508" i="123"/>
  <c r="AP508" i="123"/>
  <c r="FV508" i="123"/>
  <c r="EY508" i="123"/>
  <c r="GP508" i="123"/>
  <c r="GB508" i="123"/>
  <c r="EJ508" i="123"/>
  <c r="CU508" i="123"/>
  <c r="L506" i="123"/>
  <c r="M506" i="123" s="1"/>
  <c r="GU501" i="123"/>
  <c r="GG501" i="123"/>
  <c r="FS501" i="123"/>
  <c r="BK501" i="123"/>
  <c r="AW501" i="123"/>
  <c r="AI501" i="123"/>
  <c r="MU501" i="123"/>
  <c r="GS501" i="123"/>
  <c r="GE501" i="123"/>
  <c r="BI501" i="123"/>
  <c r="AU501" i="123"/>
  <c r="AG501" i="123"/>
  <c r="MT501" i="123"/>
  <c r="GR501" i="123"/>
  <c r="GD501" i="123"/>
  <c r="BH501" i="123"/>
  <c r="AT501" i="123"/>
  <c r="AF501" i="123"/>
  <c r="MP501" i="123"/>
  <c r="HB501" i="123"/>
  <c r="GN501" i="123"/>
  <c r="FZ501" i="123"/>
  <c r="BD501" i="123"/>
  <c r="AP501" i="123"/>
  <c r="AB501" i="123"/>
  <c r="HA501" i="123"/>
  <c r="GM501" i="123"/>
  <c r="FY501" i="123"/>
  <c r="BC501" i="123"/>
  <c r="AO501" i="123"/>
  <c r="AA501" i="123"/>
  <c r="GY501" i="123"/>
  <c r="GK501" i="123"/>
  <c r="FW501" i="123"/>
  <c r="BA501" i="123"/>
  <c r="AM501" i="123"/>
  <c r="Y501" i="123"/>
  <c r="MX501" i="123"/>
  <c r="HE501" i="123"/>
  <c r="GH501" i="123"/>
  <c r="FH501" i="123"/>
  <c r="EK501" i="123"/>
  <c r="DK501" i="123"/>
  <c r="CN501" i="123"/>
  <c r="BN501" i="123"/>
  <c r="AQ501" i="123"/>
  <c r="MS501" i="123"/>
  <c r="HC501" i="123"/>
  <c r="GC501" i="123"/>
  <c r="FF501" i="123"/>
  <c r="EF501" i="123"/>
  <c r="DI501" i="123"/>
  <c r="CI501" i="123"/>
  <c r="BL501" i="123"/>
  <c r="AL501" i="123"/>
  <c r="MR501" i="123"/>
  <c r="GZ501" i="123"/>
  <c r="GB501" i="123"/>
  <c r="FD501" i="123"/>
  <c r="EE501" i="123"/>
  <c r="DF501" i="123"/>
  <c r="CH501" i="123"/>
  <c r="BJ501" i="123"/>
  <c r="AK501" i="123"/>
  <c r="MQ501" i="123"/>
  <c r="GX501" i="123"/>
  <c r="GA501" i="123"/>
  <c r="FA501" i="123"/>
  <c r="ED501" i="123"/>
  <c r="DD501" i="123"/>
  <c r="CG501" i="123"/>
  <c r="BG501" i="123"/>
  <c r="AJ501" i="123"/>
  <c r="GF501" i="123"/>
  <c r="ET501" i="123"/>
  <c r="DP501" i="123"/>
  <c r="CB501" i="123"/>
  <c r="AX501" i="123"/>
  <c r="MY501" i="123"/>
  <c r="FX501" i="123"/>
  <c r="ES501" i="123"/>
  <c r="DN501" i="123"/>
  <c r="CA501" i="123"/>
  <c r="AV501" i="123"/>
  <c r="MV501" i="123"/>
  <c r="FV501" i="123"/>
  <c r="ER501" i="123"/>
  <c r="DJ501" i="123"/>
  <c r="BZ501" i="123"/>
  <c r="AS501" i="123"/>
  <c r="HD501" i="123"/>
  <c r="FT501" i="123"/>
  <c r="EM501" i="123"/>
  <c r="DB501" i="123"/>
  <c r="BU501" i="123"/>
  <c r="AN501" i="123"/>
  <c r="GV501" i="123"/>
  <c r="EH501" i="123"/>
  <c r="CW501" i="123"/>
  <c r="BS501" i="123"/>
  <c r="GT501" i="123"/>
  <c r="EB501" i="123"/>
  <c r="CV501" i="123"/>
  <c r="BP501" i="123"/>
  <c r="AD501" i="123"/>
  <c r="GO501" i="123"/>
  <c r="DY501" i="123"/>
  <c r="BX501" i="123"/>
  <c r="GL501" i="123"/>
  <c r="DX501" i="123"/>
  <c r="BT501" i="123"/>
  <c r="GJ501" i="123"/>
  <c r="DW501" i="123"/>
  <c r="BM501" i="123"/>
  <c r="DC501" i="123"/>
  <c r="AZ501" i="123"/>
  <c r="EP501" i="123"/>
  <c r="BB501" i="123"/>
  <c r="EL501" i="123"/>
  <c r="AY501" i="123"/>
  <c r="DT501" i="123"/>
  <c r="AR501" i="123"/>
  <c r="GP501" i="123"/>
  <c r="CZ501" i="123"/>
  <c r="AC501" i="123"/>
  <c r="GI501" i="123"/>
  <c r="CU501" i="123"/>
  <c r="Z501" i="123"/>
  <c r="FJ501" i="123"/>
  <c r="AH501" i="123"/>
  <c r="FG501" i="123"/>
  <c r="AE501" i="123"/>
  <c r="EV501" i="123"/>
  <c r="DR501" i="123"/>
  <c r="L499" i="123"/>
  <c r="M499" i="123" s="1"/>
  <c r="MY494" i="123"/>
  <c r="MU494" i="123"/>
  <c r="MT494" i="123"/>
  <c r="HA494" i="123"/>
  <c r="GM494" i="123"/>
  <c r="FY494" i="123"/>
  <c r="FK494" i="123"/>
  <c r="EW494" i="123"/>
  <c r="EI494" i="123"/>
  <c r="DU494" i="123"/>
  <c r="DG494" i="123"/>
  <c r="CS494" i="123"/>
  <c r="CE494" i="123"/>
  <c r="BQ494" i="123"/>
  <c r="BC494" i="123"/>
  <c r="AO494" i="123"/>
  <c r="AA494" i="123"/>
  <c r="GY494" i="123"/>
  <c r="GK494" i="123"/>
  <c r="FW494" i="123"/>
  <c r="FI494" i="123"/>
  <c r="EU494" i="123"/>
  <c r="EG494" i="123"/>
  <c r="DS494" i="123"/>
  <c r="DE494" i="123"/>
  <c r="CQ494" i="123"/>
  <c r="CC494" i="123"/>
  <c r="BO494" i="123"/>
  <c r="BA494" i="123"/>
  <c r="AM494" i="123"/>
  <c r="Y494" i="123"/>
  <c r="GX494" i="123"/>
  <c r="GJ494" i="123"/>
  <c r="FV494" i="123"/>
  <c r="FH494" i="123"/>
  <c r="ET494" i="123"/>
  <c r="EF494" i="123"/>
  <c r="DR494" i="123"/>
  <c r="DD494" i="123"/>
  <c r="CP494" i="123"/>
  <c r="CB494" i="123"/>
  <c r="BN494" i="123"/>
  <c r="AZ494" i="123"/>
  <c r="AL494" i="123"/>
  <c r="X494" i="123"/>
  <c r="GW494" i="123"/>
  <c r="GI494" i="123"/>
  <c r="FU494" i="123"/>
  <c r="FG494" i="123"/>
  <c r="ES494" i="123"/>
  <c r="EE494" i="123"/>
  <c r="DQ494" i="123"/>
  <c r="DC494" i="123"/>
  <c r="CO494" i="123"/>
  <c r="CA494" i="123"/>
  <c r="BM494" i="123"/>
  <c r="AY494" i="123"/>
  <c r="AK494" i="123"/>
  <c r="GQ494" i="123"/>
  <c r="FX494" i="123"/>
  <c r="FC494" i="123"/>
  <c r="EK494" i="123"/>
  <c r="DO494" i="123"/>
  <c r="CW494" i="123"/>
  <c r="CD494" i="123"/>
  <c r="BI494" i="123"/>
  <c r="AQ494" i="123"/>
  <c r="GP494" i="123"/>
  <c r="FT494" i="123"/>
  <c r="FB494" i="123"/>
  <c r="EJ494" i="123"/>
  <c r="DN494" i="123"/>
  <c r="CV494" i="123"/>
  <c r="BZ494" i="123"/>
  <c r="BH494" i="123"/>
  <c r="AP494" i="123"/>
  <c r="GO494" i="123"/>
  <c r="FS494" i="123"/>
  <c r="FA494" i="123"/>
  <c r="EH494" i="123"/>
  <c r="DM494" i="123"/>
  <c r="CU494" i="123"/>
  <c r="BY494" i="123"/>
  <c r="BG494" i="123"/>
  <c r="AN494" i="123"/>
  <c r="HE494" i="123"/>
  <c r="GL494" i="123"/>
  <c r="EY494" i="123"/>
  <c r="EC494" i="123"/>
  <c r="DK494" i="123"/>
  <c r="CR494" i="123"/>
  <c r="BW494" i="123"/>
  <c r="BE494" i="123"/>
  <c r="AI494" i="123"/>
  <c r="MV494" i="123"/>
  <c r="HB494" i="123"/>
  <c r="GF494" i="123"/>
  <c r="ER494" i="123"/>
  <c r="HC494" i="123"/>
  <c r="GA494" i="123"/>
  <c r="EQ494" i="123"/>
  <c r="DT494" i="123"/>
  <c r="CM494" i="123"/>
  <c r="BP494" i="123"/>
  <c r="AJ494" i="123"/>
  <c r="MX494" i="123"/>
  <c r="GZ494" i="123"/>
  <c r="FZ494" i="123"/>
  <c r="EP494" i="123"/>
  <c r="DP494" i="123"/>
  <c r="CL494" i="123"/>
  <c r="BL494" i="123"/>
  <c r="AH494" i="123"/>
  <c r="MW494" i="123"/>
  <c r="GV494" i="123"/>
  <c r="FR494" i="123"/>
  <c r="EO494" i="123"/>
  <c r="DL494" i="123"/>
  <c r="CK494" i="123"/>
  <c r="BK494" i="123"/>
  <c r="AG494" i="123"/>
  <c r="MP494" i="123"/>
  <c r="GR494" i="123"/>
  <c r="FL494" i="123"/>
  <c r="ED494" i="123"/>
  <c r="DF494" i="123"/>
  <c r="CG494" i="123"/>
  <c r="BB494" i="123"/>
  <c r="AC494" i="123"/>
  <c r="HD494" i="123"/>
  <c r="FJ494" i="123"/>
  <c r="DX494" i="123"/>
  <c r="CI494" i="123"/>
  <c r="AV494" i="123"/>
  <c r="GU494" i="123"/>
  <c r="FF494" i="123"/>
  <c r="DW494" i="123"/>
  <c r="CH494" i="123"/>
  <c r="AU494" i="123"/>
  <c r="GT494" i="123"/>
  <c r="FE494" i="123"/>
  <c r="DV494" i="123"/>
  <c r="CF494" i="123"/>
  <c r="AT494" i="123"/>
  <c r="MQ494" i="123"/>
  <c r="GH494" i="123"/>
  <c r="EX494" i="123"/>
  <c r="DH494" i="123"/>
  <c r="BU494" i="123"/>
  <c r="AF494" i="123"/>
  <c r="GG494" i="123"/>
  <c r="EV494" i="123"/>
  <c r="DB494" i="123"/>
  <c r="BT494" i="123"/>
  <c r="AE494" i="123"/>
  <c r="GD494" i="123"/>
  <c r="DY494" i="123"/>
  <c r="BJ494" i="123"/>
  <c r="GC494" i="123"/>
  <c r="DJ494" i="123"/>
  <c r="BF494" i="123"/>
  <c r="CZ494" i="123"/>
  <c r="AW494" i="123"/>
  <c r="CY494" i="123"/>
  <c r="AS494" i="123"/>
  <c r="L492" i="123"/>
  <c r="M492" i="123" s="1"/>
  <c r="MW487" i="123"/>
  <c r="GS487" i="123"/>
  <c r="GE487" i="123"/>
  <c r="FC487" i="123"/>
  <c r="EO487" i="123"/>
  <c r="EA487" i="123"/>
  <c r="DM487" i="123"/>
  <c r="CY487" i="123"/>
  <c r="CK487" i="123"/>
  <c r="BW487" i="123"/>
  <c r="BI487" i="123"/>
  <c r="AU487" i="123"/>
  <c r="AG487" i="123"/>
  <c r="MQ487" i="123"/>
  <c r="HE487" i="123"/>
  <c r="GP487" i="123"/>
  <c r="GA487" i="123"/>
  <c r="FL487" i="123"/>
  <c r="EW487" i="123"/>
  <c r="EH487" i="123"/>
  <c r="DS487" i="123"/>
  <c r="DD487" i="123"/>
  <c r="CO487" i="123"/>
  <c r="BZ487" i="123"/>
  <c r="BK487" i="123"/>
  <c r="AV487" i="123"/>
  <c r="AF487" i="123"/>
  <c r="MR487" i="123"/>
  <c r="HB487" i="123"/>
  <c r="GL487" i="123"/>
  <c r="FV487" i="123"/>
  <c r="FF487" i="123"/>
  <c r="EP487" i="123"/>
  <c r="DY487" i="123"/>
  <c r="DI487" i="123"/>
  <c r="CS487" i="123"/>
  <c r="CC487" i="123"/>
  <c r="BM487" i="123"/>
  <c r="AW487" i="123"/>
  <c r="AE487" i="123"/>
  <c r="MP487" i="123"/>
  <c r="HA487" i="123"/>
  <c r="GK487" i="123"/>
  <c r="FU487" i="123"/>
  <c r="FE487" i="123"/>
  <c r="EN487" i="123"/>
  <c r="DX487" i="123"/>
  <c r="DH487" i="123"/>
  <c r="CR487" i="123"/>
  <c r="CB487" i="123"/>
  <c r="BL487" i="123"/>
  <c r="AT487" i="123"/>
  <c r="AD487" i="123"/>
  <c r="GZ487" i="123"/>
  <c r="GJ487" i="123"/>
  <c r="FT487" i="123"/>
  <c r="FD487" i="123"/>
  <c r="EM487" i="123"/>
  <c r="DW487" i="123"/>
  <c r="DG487" i="123"/>
  <c r="CQ487" i="123"/>
  <c r="CA487" i="123"/>
  <c r="BJ487" i="123"/>
  <c r="AS487" i="123"/>
  <c r="AC487" i="123"/>
  <c r="GV487" i="123"/>
  <c r="GN487" i="123"/>
  <c r="FR487" i="123"/>
  <c r="EX487" i="123"/>
  <c r="ED487" i="123"/>
  <c r="DJ487" i="123"/>
  <c r="CM487" i="123"/>
  <c r="BS487" i="123"/>
  <c r="AZ487" i="123"/>
  <c r="AB487" i="123"/>
  <c r="GM487" i="123"/>
  <c r="EV487" i="123"/>
  <c r="EC487" i="123"/>
  <c r="DF487" i="123"/>
  <c r="CL487" i="123"/>
  <c r="BR487" i="123"/>
  <c r="AY487" i="123"/>
  <c r="AA487" i="123"/>
  <c r="MY487" i="123"/>
  <c r="HD487" i="123"/>
  <c r="GG487" i="123"/>
  <c r="ES487" i="123"/>
  <c r="DV487" i="123"/>
  <c r="DB487" i="123"/>
  <c r="CH487" i="123"/>
  <c r="BO487" i="123"/>
  <c r="AQ487" i="123"/>
  <c r="X487" i="123"/>
  <c r="MX487" i="123"/>
  <c r="HC487" i="123"/>
  <c r="GF487" i="123"/>
  <c r="FK487" i="123"/>
  <c r="ER487" i="123"/>
  <c r="DU487" i="123"/>
  <c r="DA487" i="123"/>
  <c r="CG487" i="123"/>
  <c r="BN487" i="123"/>
  <c r="AP487" i="123"/>
  <c r="MY480" i="123"/>
  <c r="GW480" i="123"/>
  <c r="GI480" i="123"/>
  <c r="FU480" i="123"/>
  <c r="FG480" i="123"/>
  <c r="ES480" i="123"/>
  <c r="EE480" i="123"/>
  <c r="DQ480" i="123"/>
  <c r="DC480" i="123"/>
  <c r="CO480" i="123"/>
  <c r="CA480" i="123"/>
  <c r="BM480" i="123"/>
  <c r="AY480" i="123"/>
  <c r="AK480" i="123"/>
  <c r="MW480" i="123"/>
  <c r="GU480" i="123"/>
  <c r="GG480" i="123"/>
  <c r="FS480" i="123"/>
  <c r="FE480" i="123"/>
  <c r="EQ480" i="123"/>
  <c r="EC480" i="123"/>
  <c r="DO480" i="123"/>
  <c r="DA480" i="123"/>
  <c r="CM480" i="123"/>
  <c r="BY480" i="123"/>
  <c r="BK480" i="123"/>
  <c r="AW480" i="123"/>
  <c r="AI480" i="123"/>
  <c r="GR480" i="123"/>
  <c r="GB480" i="123"/>
  <c r="FL480" i="123"/>
  <c r="EV480" i="123"/>
  <c r="EF480" i="123"/>
  <c r="DN480" i="123"/>
  <c r="CX480" i="123"/>
  <c r="CH480" i="123"/>
  <c r="BR480" i="123"/>
  <c r="BB480" i="123"/>
  <c r="AL480" i="123"/>
  <c r="IH507" i="123"/>
  <c r="IB507" i="123"/>
  <c r="HT507" i="123"/>
  <c r="NL507" i="123"/>
  <c r="NK507" i="123"/>
  <c r="JF507" i="123"/>
  <c r="NA507" i="123"/>
  <c r="JA507" i="123"/>
  <c r="IK507" i="123"/>
  <c r="NP507" i="123"/>
  <c r="IN507" i="123"/>
  <c r="IE507" i="123"/>
  <c r="NN507" i="123"/>
  <c r="NH507" i="123"/>
  <c r="IL507" i="123"/>
  <c r="NC500" i="123"/>
  <c r="JC500" i="123"/>
  <c r="IC500" i="123"/>
  <c r="IY500" i="123"/>
  <c r="HX500" i="123"/>
  <c r="NS500" i="123"/>
  <c r="IQ500" i="123"/>
  <c r="NR500" i="123"/>
  <c r="IO500" i="123"/>
  <c r="NL500" i="123"/>
  <c r="II500" i="123"/>
  <c r="IA500" i="123"/>
  <c r="HS500" i="123"/>
  <c r="NX500" i="123"/>
  <c r="JD500" i="123"/>
  <c r="NV500" i="123"/>
  <c r="JA500" i="123"/>
  <c r="IZ500" i="123"/>
  <c r="IX500" i="123"/>
  <c r="IW500" i="123"/>
  <c r="NQ500" i="123"/>
  <c r="IJ500" i="123"/>
  <c r="NF500" i="123"/>
  <c r="ID500" i="123"/>
  <c r="IV500" i="123"/>
  <c r="IH500" i="123"/>
  <c r="NU500" i="123"/>
  <c r="NK500" i="123"/>
  <c r="NG500" i="123"/>
  <c r="MZ500" i="123"/>
  <c r="HU500" i="123"/>
  <c r="NQ493" i="123"/>
  <c r="JC493" i="123"/>
  <c r="IJ493" i="123"/>
  <c r="HQ493" i="123"/>
  <c r="NN493" i="123"/>
  <c r="NM493" i="123"/>
  <c r="NL493" i="123"/>
  <c r="IX493" i="123"/>
  <c r="IE493" i="123"/>
  <c r="NF493" i="123"/>
  <c r="JD493" i="123"/>
  <c r="IH493" i="123"/>
  <c r="NB493" i="123"/>
  <c r="IZ493" i="123"/>
  <c r="IC493" i="123"/>
  <c r="IW493" i="123"/>
  <c r="IA493" i="123"/>
  <c r="IN493" i="123"/>
  <c r="NX493" i="123"/>
  <c r="IL493" i="123"/>
  <c r="NV493" i="123"/>
  <c r="IK493" i="123"/>
  <c r="NK493" i="123"/>
  <c r="JE493" i="123"/>
  <c r="HX493" i="123"/>
  <c r="JG493" i="123"/>
  <c r="HT493" i="123"/>
  <c r="JB493" i="123"/>
  <c r="HS493" i="123"/>
  <c r="NS493" i="123"/>
  <c r="IY493" i="123"/>
  <c r="HP493" i="123"/>
  <c r="NJ493" i="123"/>
  <c r="IR493" i="123"/>
  <c r="NH493" i="123"/>
  <c r="IQ493" i="123"/>
  <c r="II493" i="123"/>
  <c r="IF493" i="123"/>
  <c r="NG493" i="123"/>
  <c r="HV493" i="123"/>
  <c r="NC493" i="123"/>
  <c r="HU493" i="123"/>
  <c r="NM486" i="123"/>
  <c r="JC486" i="123"/>
  <c r="IN486" i="123"/>
  <c r="HY486" i="123"/>
  <c r="NJ486" i="123"/>
  <c r="IY486" i="123"/>
  <c r="II486" i="123"/>
  <c r="HS486" i="123"/>
  <c r="NH486" i="123"/>
  <c r="IU486" i="123"/>
  <c r="ID486" i="123"/>
  <c r="NX486" i="123"/>
  <c r="NG486" i="123"/>
  <c r="NW486" i="123"/>
  <c r="NF486" i="123"/>
  <c r="IS486" i="123"/>
  <c r="IA486" i="123"/>
  <c r="NT486" i="123"/>
  <c r="MZ486" i="123"/>
  <c r="IX486" i="123"/>
  <c r="IE486" i="123"/>
  <c r="NS486" i="123"/>
  <c r="IW486" i="123"/>
  <c r="IC486" i="123"/>
  <c r="NP486" i="123"/>
  <c r="NO486" i="123"/>
  <c r="IQ486" i="123"/>
  <c r="HV486" i="123"/>
  <c r="NQ479" i="123"/>
  <c r="NC479" i="123"/>
  <c r="IU479" i="123"/>
  <c r="IG479" i="123"/>
  <c r="HS479" i="123"/>
  <c r="NO479" i="123"/>
  <c r="NA479" i="123"/>
  <c r="JG479" i="123"/>
  <c r="IS479" i="123"/>
  <c r="IE479" i="123"/>
  <c r="HQ479" i="123"/>
  <c r="NN479" i="123"/>
  <c r="JC479" i="123"/>
  <c r="IM479" i="123"/>
  <c r="HW479" i="123"/>
  <c r="K673" i="123"/>
  <c r="F711" i="123"/>
  <c r="H711" i="123" s="1"/>
  <c r="NI479" i="123"/>
  <c r="AG480" i="123"/>
  <c r="AZ480" i="123"/>
  <c r="BQ480" i="123"/>
  <c r="CI480" i="123"/>
  <c r="CZ480" i="123"/>
  <c r="DS480" i="123"/>
  <c r="EJ480" i="123"/>
  <c r="FA480" i="123"/>
  <c r="FR480" i="123"/>
  <c r="GK480" i="123"/>
  <c r="HB480" i="123"/>
  <c r="MQ480" i="123"/>
  <c r="HZ486" i="123"/>
  <c r="JB486" i="123"/>
  <c r="NK486" i="123"/>
  <c r="Z487" i="123"/>
  <c r="BD487" i="123"/>
  <c r="CF487" i="123"/>
  <c r="DL487" i="123"/>
  <c r="EK487" i="123"/>
  <c r="GT487" i="123"/>
  <c r="JH493" i="123"/>
  <c r="AB494" i="123"/>
  <c r="DI494" i="123"/>
  <c r="EY501" i="123"/>
  <c r="BY508" i="123"/>
  <c r="AD494" i="123"/>
  <c r="DZ494" i="123"/>
  <c r="EZ501" i="123"/>
  <c r="CB508" i="123"/>
  <c r="FC508" i="123"/>
  <c r="NQ486" i="123"/>
  <c r="AI487" i="123"/>
  <c r="BF487" i="123"/>
  <c r="CJ487" i="123"/>
  <c r="DO487" i="123"/>
  <c r="EQ487" i="123"/>
  <c r="FW487" i="123"/>
  <c r="GW487" i="123"/>
  <c r="AR494" i="123"/>
  <c r="EA494" i="123"/>
  <c r="FR501" i="123"/>
  <c r="CE508" i="123"/>
  <c r="IJ486" i="123"/>
  <c r="JH486" i="123"/>
  <c r="NU486" i="123"/>
  <c r="AK487" i="123"/>
  <c r="BH487" i="123"/>
  <c r="CP487" i="123"/>
  <c r="DQ487" i="123"/>
  <c r="EU487" i="123"/>
  <c r="FY487" i="123"/>
  <c r="GY487" i="123"/>
  <c r="NA493" i="123"/>
  <c r="BD494" i="123"/>
  <c r="EL494" i="123"/>
  <c r="MS494" i="123"/>
  <c r="GQ501" i="123"/>
  <c r="EU508" i="123"/>
  <c r="M487" i="123"/>
  <c r="A507" i="123"/>
  <c r="NW502" i="123"/>
  <c r="KD502" i="123"/>
  <c r="GW502" i="123"/>
  <c r="JQ495" i="123"/>
  <c r="DW495" i="123"/>
  <c r="ND495" i="123"/>
  <c r="HO495" i="123"/>
  <c r="CH495" i="123"/>
  <c r="MO495" i="123"/>
  <c r="HF495" i="123"/>
  <c r="AU495" i="123"/>
  <c r="MA495" i="123"/>
  <c r="GR495" i="123"/>
  <c r="AN495" i="123"/>
  <c r="KS495" i="123"/>
  <c r="FO495" i="123"/>
  <c r="KY495" i="123"/>
  <c r="DP495" i="123"/>
  <c r="KK495" i="123"/>
  <c r="BU495" i="123"/>
  <c r="JS495" i="123"/>
  <c r="BF495" i="123"/>
  <c r="JF495" i="123"/>
  <c r="AH495" i="123"/>
  <c r="HG495" i="123"/>
  <c r="FP495" i="123"/>
  <c r="EI495" i="123"/>
  <c r="DX495" i="123"/>
  <c r="NC495" i="123"/>
  <c r="AG495" i="123"/>
  <c r="MX495" i="123"/>
  <c r="KR495" i="123"/>
  <c r="IV495" i="123"/>
  <c r="DU495" i="123"/>
  <c r="NQ492" i="123"/>
  <c r="NT492" i="123"/>
  <c r="NG488" i="123"/>
  <c r="LS488" i="123"/>
  <c r="KK488" i="123"/>
  <c r="IW488" i="123"/>
  <c r="HI488" i="123"/>
  <c r="FZ488" i="123"/>
  <c r="EK488" i="123"/>
  <c r="DD488" i="123"/>
  <c r="BO488" i="123"/>
  <c r="AF488" i="123"/>
  <c r="NQ488" i="123"/>
  <c r="MI488" i="123"/>
  <c r="KR488" i="123"/>
  <c r="IZ488" i="123"/>
  <c r="HP488" i="123"/>
  <c r="GA488" i="123"/>
  <c r="EI488" i="123"/>
  <c r="CZ488" i="123"/>
  <c r="BK488" i="123"/>
  <c r="NM488" i="123"/>
  <c r="LV488" i="123"/>
  <c r="KN488" i="123"/>
  <c r="IX488" i="123"/>
  <c r="HG488" i="123"/>
  <c r="FW488" i="123"/>
  <c r="EE488" i="123"/>
  <c r="CN488" i="123"/>
  <c r="BD488" i="123"/>
  <c r="AJ488" i="123"/>
  <c r="CG488" i="123"/>
  <c r="DZ488" i="123"/>
  <c r="FU488" i="123"/>
  <c r="HT488" i="123"/>
  <c r="JN488" i="123"/>
  <c r="LG488" i="123"/>
  <c r="MU488" i="123"/>
  <c r="LB502" i="123"/>
  <c r="NY485" i="123"/>
  <c r="F702" i="123"/>
  <c r="L500" i="123"/>
  <c r="M500" i="123" s="1"/>
  <c r="NB475" i="123"/>
  <c r="O673" i="123"/>
  <c r="Q682" i="123"/>
  <c r="FH508" i="123"/>
  <c r="ED508" i="123"/>
  <c r="CY508" i="123"/>
  <c r="BW508" i="123"/>
  <c r="FG508" i="123"/>
  <c r="EC508" i="123"/>
  <c r="CW508" i="123"/>
  <c r="BV508" i="123"/>
  <c r="ES508" i="123"/>
  <c r="DL508" i="123"/>
  <c r="CI508" i="123"/>
  <c r="JC506" i="123"/>
  <c r="IW506" i="123"/>
  <c r="GF506" i="123"/>
  <c r="FR506" i="123"/>
  <c r="AF506" i="123"/>
  <c r="HI501" i="123"/>
  <c r="FE501" i="123"/>
  <c r="EQ501" i="123"/>
  <c r="EC501" i="123"/>
  <c r="DO501" i="123"/>
  <c r="DA501" i="123"/>
  <c r="CM501" i="123"/>
  <c r="BY501" i="123"/>
  <c r="HG501" i="123"/>
  <c r="FC501" i="123"/>
  <c r="EO501" i="123"/>
  <c r="EA501" i="123"/>
  <c r="DM501" i="123"/>
  <c r="CY501" i="123"/>
  <c r="CK501" i="123"/>
  <c r="BW501" i="123"/>
  <c r="HF501" i="123"/>
  <c r="FB501" i="123"/>
  <c r="EN501" i="123"/>
  <c r="DZ501" i="123"/>
  <c r="DL501" i="123"/>
  <c r="CX501" i="123"/>
  <c r="CJ501" i="123"/>
  <c r="BV501" i="123"/>
  <c r="FL501" i="123"/>
  <c r="EX501" i="123"/>
  <c r="EJ501" i="123"/>
  <c r="DV501" i="123"/>
  <c r="DH501" i="123"/>
  <c r="CT501" i="123"/>
  <c r="CF501" i="123"/>
  <c r="BR501" i="123"/>
  <c r="FK501" i="123"/>
  <c r="EW501" i="123"/>
  <c r="EI501" i="123"/>
  <c r="DU501" i="123"/>
  <c r="DG501" i="123"/>
  <c r="CS501" i="123"/>
  <c r="CE501" i="123"/>
  <c r="BQ501" i="123"/>
  <c r="FI501" i="123"/>
  <c r="EU501" i="123"/>
  <c r="EG501" i="123"/>
  <c r="DS501" i="123"/>
  <c r="DE501" i="123"/>
  <c r="CQ501" i="123"/>
  <c r="CC501" i="123"/>
  <c r="BO501" i="123"/>
  <c r="JL499" i="123"/>
  <c r="FZ499" i="123"/>
  <c r="BG499" i="123"/>
  <c r="IH499" i="123"/>
  <c r="FW499" i="123"/>
  <c r="AW499" i="123"/>
  <c r="GZ499" i="123"/>
  <c r="FM499" i="123"/>
  <c r="AF499" i="123"/>
  <c r="GY499" i="123"/>
  <c r="DW499" i="123"/>
  <c r="AD499" i="123"/>
  <c r="GT499" i="123"/>
  <c r="BZ499" i="123"/>
  <c r="Z499" i="123"/>
  <c r="P660" i="123"/>
  <c r="BQ508" i="123"/>
  <c r="DK508" i="123"/>
  <c r="HF508" i="123"/>
  <c r="MQ496" i="123"/>
  <c r="EZ496" i="123"/>
  <c r="AT496" i="123"/>
  <c r="ID496" i="123"/>
  <c r="DW496" i="123"/>
  <c r="HB496" i="123"/>
  <c r="CK496" i="123"/>
  <c r="NB496" i="123"/>
  <c r="GX496" i="123"/>
  <c r="CF496" i="123"/>
  <c r="MZ496" i="123"/>
  <c r="GM496" i="123"/>
  <c r="BX496" i="123"/>
  <c r="FA502" i="123"/>
  <c r="IT498" i="123"/>
  <c r="HZ498" i="123"/>
  <c r="MW495" i="123"/>
  <c r="IS491" i="123"/>
  <c r="NI488" i="123"/>
  <c r="NJ474" i="123"/>
  <c r="NK464" i="123"/>
  <c r="M660" i="123"/>
  <c r="L664" i="123"/>
  <c r="H678" i="123"/>
  <c r="J691" i="123"/>
  <c r="L706" i="123"/>
  <c r="N706" i="123" s="1"/>
  <c r="LG501" i="123"/>
  <c r="MO501" i="123"/>
  <c r="ND501" i="123"/>
  <c r="JV507" i="123"/>
  <c r="KJ507" i="123"/>
  <c r="KX507" i="123"/>
  <c r="LL507" i="123"/>
  <c r="LZ507" i="123"/>
  <c r="MN507" i="123"/>
  <c r="AI508" i="123"/>
  <c r="BH508" i="123"/>
  <c r="CN508" i="123"/>
  <c r="DR508" i="123"/>
  <c r="EV508" i="123"/>
  <c r="FX508" i="123"/>
  <c r="GW508" i="123"/>
  <c r="IU508" i="123"/>
  <c r="MU508" i="123"/>
  <c r="FC500" i="123"/>
  <c r="FF493" i="123"/>
  <c r="FJ486" i="123"/>
  <c r="K660" i="123"/>
  <c r="N682" i="123"/>
  <c r="JV501" i="123"/>
  <c r="LI501" i="123"/>
  <c r="NE501" i="123"/>
  <c r="JW507" i="123"/>
  <c r="KK507" i="123"/>
  <c r="KY507" i="123"/>
  <c r="LM507" i="123"/>
  <c r="MA507" i="123"/>
  <c r="MO507" i="123"/>
  <c r="AL508" i="123"/>
  <c r="BI508" i="123"/>
  <c r="CP508" i="123"/>
  <c r="DS508" i="123"/>
  <c r="EW508" i="123"/>
  <c r="FY508" i="123"/>
  <c r="GX508" i="123"/>
  <c r="JE508" i="123"/>
  <c r="MV508" i="123"/>
  <c r="L510" i="123"/>
  <c r="M510" i="123" s="1"/>
  <c r="L503" i="123"/>
  <c r="M503" i="123" s="1"/>
  <c r="L496" i="123"/>
  <c r="M496" i="123" s="1"/>
  <c r="J660" i="123"/>
  <c r="K678" i="123"/>
  <c r="O682" i="123"/>
  <c r="AT506" i="123"/>
  <c r="MP499" i="123"/>
  <c r="MX485" i="123"/>
  <c r="O660" i="123"/>
  <c r="M669" i="123"/>
  <c r="GK508" i="123"/>
  <c r="HL508" i="123"/>
  <c r="KM508" i="123"/>
  <c r="NI508" i="123"/>
  <c r="LZ505" i="123"/>
  <c r="JN495" i="123"/>
  <c r="LH491" i="123"/>
  <c r="MJ488" i="123"/>
  <c r="NX474" i="123"/>
  <c r="KM501" i="123"/>
  <c r="LZ501" i="123"/>
  <c r="JP507" i="123"/>
  <c r="KD507" i="123"/>
  <c r="KR507" i="123"/>
  <c r="LF507" i="123"/>
  <c r="LT507" i="123"/>
  <c r="AA508" i="123"/>
  <c r="BA508" i="123"/>
  <c r="BZ508" i="123"/>
  <c r="DE508" i="123"/>
  <c r="EH508" i="123"/>
  <c r="FM508" i="123"/>
  <c r="GM508" i="123"/>
  <c r="HN508" i="123"/>
  <c r="H664" i="123"/>
  <c r="H682" i="123"/>
  <c r="Q1528" i="123"/>
  <c r="J1568" i="123"/>
  <c r="L1536" i="123"/>
  <c r="Q1297" i="123"/>
  <c r="K1480" i="123"/>
  <c r="F722" i="123"/>
  <c r="H722" i="123" s="1"/>
  <c r="N702" i="123"/>
  <c r="KP468" i="123"/>
  <c r="KI471" i="123"/>
  <c r="LX471" i="123"/>
  <c r="OC471" i="123"/>
  <c r="LV475" i="123"/>
  <c r="MC478" i="123"/>
  <c r="KL482" i="123"/>
  <c r="NY499" i="123"/>
  <c r="LX499" i="123"/>
  <c r="KZ499" i="123"/>
  <c r="KC499" i="123"/>
  <c r="LU499" i="123"/>
  <c r="KY499" i="123"/>
  <c r="JZ499" i="123"/>
  <c r="ML499" i="123"/>
  <c r="LG499" i="123"/>
  <c r="KE499" i="123"/>
  <c r="MI499" i="123"/>
  <c r="LB499" i="123"/>
  <c r="JU499" i="123"/>
  <c r="MH499" i="123"/>
  <c r="LA499" i="123"/>
  <c r="JT499" i="123"/>
  <c r="MD499" i="123"/>
  <c r="KX499" i="123"/>
  <c r="JS499" i="123"/>
  <c r="LO499" i="123"/>
  <c r="KJ499" i="123"/>
  <c r="MN499" i="123"/>
  <c r="KM499" i="123"/>
  <c r="LT499" i="123"/>
  <c r="JX499" i="123"/>
  <c r="OA499" i="123"/>
  <c r="LS499" i="123"/>
  <c r="JQ499" i="123"/>
  <c r="LP499" i="123"/>
  <c r="JO499" i="123"/>
  <c r="LM499" i="123"/>
  <c r="LL499" i="123"/>
  <c r="LC499" i="123"/>
  <c r="KW499" i="123"/>
  <c r="KS499" i="123"/>
  <c r="KR499" i="123"/>
  <c r="KL499" i="123"/>
  <c r="KK499" i="123"/>
  <c r="KH499" i="123"/>
  <c r="NQ499" i="123"/>
  <c r="JP499" i="123"/>
  <c r="KG499" i="123"/>
  <c r="MO499" i="123"/>
  <c r="MK499" i="123"/>
  <c r="A499" i="123"/>
  <c r="LZ499" i="123"/>
  <c r="LY499" i="123"/>
  <c r="NP468" i="123"/>
  <c r="MN468" i="123"/>
  <c r="LZ468" i="123"/>
  <c r="LL468" i="123"/>
  <c r="KX468" i="123"/>
  <c r="KJ468" i="123"/>
  <c r="JV468" i="123"/>
  <c r="MJ468" i="123"/>
  <c r="JR468" i="123"/>
  <c r="NY468" i="123"/>
  <c r="KS468" i="123"/>
  <c r="OC468" i="123"/>
  <c r="NO468" i="123"/>
  <c r="MM468" i="123"/>
  <c r="LY468" i="123"/>
  <c r="LK468" i="123"/>
  <c r="KW468" i="123"/>
  <c r="KI468" i="123"/>
  <c r="JU468" i="123"/>
  <c r="KT468" i="123"/>
  <c r="LG468" i="123"/>
  <c r="OB468" i="123"/>
  <c r="ML468" i="123"/>
  <c r="LX468" i="123"/>
  <c r="LJ468" i="123"/>
  <c r="KV468" i="123"/>
  <c r="KH468" i="123"/>
  <c r="JT468" i="123"/>
  <c r="KF468" i="123"/>
  <c r="OA468" i="123"/>
  <c r="MK468" i="123"/>
  <c r="LW468" i="123"/>
  <c r="LI468" i="123"/>
  <c r="KU468" i="123"/>
  <c r="KG468" i="123"/>
  <c r="JS468" i="123"/>
  <c r="NZ468" i="123"/>
  <c r="LH468" i="123"/>
  <c r="MI468" i="123"/>
  <c r="JQ468" i="123"/>
  <c r="LV468" i="123"/>
  <c r="LU468" i="123"/>
  <c r="KE468" i="123"/>
  <c r="NT468" i="123"/>
  <c r="MD468" i="123"/>
  <c r="LP468" i="123"/>
  <c r="LB468" i="123"/>
  <c r="KN468" i="123"/>
  <c r="JZ468" i="123"/>
  <c r="JL468" i="123"/>
  <c r="MC468" i="123"/>
  <c r="LA468" i="123"/>
  <c r="KM468" i="123"/>
  <c r="JK468" i="123"/>
  <c r="NS468" i="123"/>
  <c r="LO468" i="123"/>
  <c r="NR468" i="123"/>
  <c r="MB468" i="123"/>
  <c r="LN468" i="123"/>
  <c r="KZ468" i="123"/>
  <c r="KL468" i="123"/>
  <c r="JX468" i="123"/>
  <c r="JJ468" i="123"/>
  <c r="KK468" i="123"/>
  <c r="LI475" i="123"/>
  <c r="LU478" i="123"/>
  <c r="KQ468" i="123"/>
  <c r="KJ471" i="123"/>
  <c r="LY471" i="123"/>
  <c r="LW475" i="123"/>
  <c r="MI478" i="123"/>
  <c r="KM482" i="123"/>
  <c r="LQ499" i="123"/>
  <c r="JI468" i="123"/>
  <c r="MF468" i="123"/>
  <c r="JL475" i="123"/>
  <c r="NT475" i="123"/>
  <c r="JM468" i="123"/>
  <c r="KR468" i="123"/>
  <c r="MG468" i="123"/>
  <c r="NQ468" i="123"/>
  <c r="KQ471" i="123"/>
  <c r="LZ471" i="123"/>
  <c r="JR475" i="123"/>
  <c r="MD475" i="123"/>
  <c r="NZ475" i="123"/>
  <c r="JT478" i="123"/>
  <c r="MJ478" i="123"/>
  <c r="KU482" i="123"/>
  <c r="JK489" i="123"/>
  <c r="JR492" i="123"/>
  <c r="JS475" i="123"/>
  <c r="MJ475" i="123"/>
  <c r="OA475" i="123"/>
  <c r="KA478" i="123"/>
  <c r="OB478" i="123"/>
  <c r="LC482" i="123"/>
  <c r="JZ489" i="123"/>
  <c r="KL492" i="123"/>
  <c r="KB478" i="123"/>
  <c r="KK489" i="123"/>
  <c r="NQ489" i="123"/>
  <c r="LI492" i="123"/>
  <c r="LM510" i="123"/>
  <c r="JN510" i="123"/>
  <c r="LC510" i="123"/>
  <c r="KV510" i="123"/>
  <c r="KS510" i="123"/>
  <c r="KI510" i="123"/>
  <c r="MA510" i="123"/>
  <c r="JT510" i="123"/>
  <c r="LX510" i="123"/>
  <c r="JS510" i="123"/>
  <c r="MH510" i="123"/>
  <c r="LV510" i="123"/>
  <c r="LU510" i="123"/>
  <c r="NZ510" i="123"/>
  <c r="KW510" i="123"/>
  <c r="LW510" i="123"/>
  <c r="KR510" i="123"/>
  <c r="KQ510" i="123"/>
  <c r="KG510" i="123"/>
  <c r="NY510" i="123"/>
  <c r="KB510" i="123"/>
  <c r="LQ510" i="123"/>
  <c r="JR510" i="123"/>
  <c r="NU510" i="123"/>
  <c r="MG510" i="123"/>
  <c r="NQ510" i="123"/>
  <c r="KP510" i="123"/>
  <c r="LS510" i="123"/>
  <c r="NW496" i="123"/>
  <c r="MG496" i="123"/>
  <c r="LS496" i="123"/>
  <c r="LE496" i="123"/>
  <c r="KQ496" i="123"/>
  <c r="KC496" i="123"/>
  <c r="JO496" i="123"/>
  <c r="NZ496" i="123"/>
  <c r="MF496" i="123"/>
  <c r="LQ496" i="123"/>
  <c r="LB496" i="123"/>
  <c r="KM496" i="123"/>
  <c r="JX496" i="123"/>
  <c r="JI496" i="123"/>
  <c r="OA496" i="123"/>
  <c r="MC496" i="123"/>
  <c r="LM496" i="123"/>
  <c r="KW496" i="123"/>
  <c r="KG496" i="123"/>
  <c r="JQ496" i="123"/>
  <c r="NU496" i="123"/>
  <c r="MO496" i="123"/>
  <c r="LY496" i="123"/>
  <c r="LI496" i="123"/>
  <c r="KS496" i="123"/>
  <c r="KB496" i="123"/>
  <c r="JL496" i="123"/>
  <c r="LZ496" i="123"/>
  <c r="LG496" i="123"/>
  <c r="KN496" i="123"/>
  <c r="JU496" i="123"/>
  <c r="NY496" i="123"/>
  <c r="MM496" i="123"/>
  <c r="LU496" i="123"/>
  <c r="LA496" i="123"/>
  <c r="KI496" i="123"/>
  <c r="JP496" i="123"/>
  <c r="NX496" i="123"/>
  <c r="ML496" i="123"/>
  <c r="LT496" i="123"/>
  <c r="KZ496" i="123"/>
  <c r="KH496" i="123"/>
  <c r="JN496" i="123"/>
  <c r="MN496" i="123"/>
  <c r="LO496" i="123"/>
  <c r="KR496" i="123"/>
  <c r="JT496" i="123"/>
  <c r="MJ496" i="123"/>
  <c r="LL496" i="123"/>
  <c r="KO496" i="123"/>
  <c r="JR496" i="123"/>
  <c r="MI496" i="123"/>
  <c r="LK496" i="123"/>
  <c r="KL496" i="123"/>
  <c r="JM496" i="123"/>
  <c r="MH496" i="123"/>
  <c r="LJ496" i="123"/>
  <c r="KK496" i="123"/>
  <c r="JK496" i="123"/>
  <c r="NQ496" i="123"/>
  <c r="LV496" i="123"/>
  <c r="KV496" i="123"/>
  <c r="JY496" i="123"/>
  <c r="NO496" i="123"/>
  <c r="MA496" i="123"/>
  <c r="KP496" i="123"/>
  <c r="OB496" i="123"/>
  <c r="KY496" i="123"/>
  <c r="NV496" i="123"/>
  <c r="MK496" i="123"/>
  <c r="KX496" i="123"/>
  <c r="NS496" i="123"/>
  <c r="MD496" i="123"/>
  <c r="KT496" i="123"/>
  <c r="NR496" i="123"/>
  <c r="MB496" i="123"/>
  <c r="KJ496" i="123"/>
  <c r="NP496" i="123"/>
  <c r="LX496" i="123"/>
  <c r="KF496" i="123"/>
  <c r="LW496" i="123"/>
  <c r="KE496" i="123"/>
  <c r="LN496" i="123"/>
  <c r="LH496" i="123"/>
  <c r="OC496" i="123"/>
  <c r="LF496" i="123"/>
  <c r="NT496" i="123"/>
  <c r="LD496" i="123"/>
  <c r="LC496" i="123"/>
  <c r="KD496" i="123"/>
  <c r="KU496" i="123"/>
  <c r="JZ496" i="123"/>
  <c r="JW496" i="123"/>
  <c r="JV496" i="123"/>
  <c r="ME496" i="123"/>
  <c r="JS496" i="123"/>
  <c r="LR496" i="123"/>
  <c r="JJ496" i="123"/>
  <c r="MF471" i="123"/>
  <c r="LR471" i="123"/>
  <c r="LD471" i="123"/>
  <c r="KP471" i="123"/>
  <c r="KB471" i="123"/>
  <c r="JN471" i="123"/>
  <c r="ME471" i="123"/>
  <c r="LQ471" i="123"/>
  <c r="LC471" i="123"/>
  <c r="KO471" i="123"/>
  <c r="KA471" i="123"/>
  <c r="NR471" i="123"/>
  <c r="LN471" i="123"/>
  <c r="KL471" i="123"/>
  <c r="NQ471" i="123"/>
  <c r="JW471" i="123"/>
  <c r="MD471" i="123"/>
  <c r="LP471" i="123"/>
  <c r="LB471" i="123"/>
  <c r="KN471" i="123"/>
  <c r="JZ471" i="123"/>
  <c r="MA471" i="123"/>
  <c r="NS471" i="123"/>
  <c r="MC471" i="123"/>
  <c r="LO471" i="123"/>
  <c r="LA471" i="123"/>
  <c r="KM471" i="123"/>
  <c r="JY471" i="123"/>
  <c r="MB471" i="123"/>
  <c r="KZ471" i="123"/>
  <c r="KY471" i="123"/>
  <c r="JX471" i="123"/>
  <c r="MO471" i="123"/>
  <c r="LM471" i="123"/>
  <c r="KK471" i="123"/>
  <c r="NZ471" i="123"/>
  <c r="MJ471" i="123"/>
  <c r="LV471" i="123"/>
  <c r="LH471" i="123"/>
  <c r="KT471" i="123"/>
  <c r="KF471" i="123"/>
  <c r="JR471" i="123"/>
  <c r="NY471" i="123"/>
  <c r="MI471" i="123"/>
  <c r="LU471" i="123"/>
  <c r="LG471" i="123"/>
  <c r="KS471" i="123"/>
  <c r="KE471" i="123"/>
  <c r="JQ471" i="123"/>
  <c r="MH471" i="123"/>
  <c r="LT471" i="123"/>
  <c r="LF471" i="123"/>
  <c r="KR471" i="123"/>
  <c r="KD471" i="123"/>
  <c r="JP471" i="123"/>
  <c r="A471" i="123"/>
  <c r="LT468" i="123"/>
  <c r="OA471" i="123"/>
  <c r="JU482" i="123"/>
  <c r="KA496" i="123"/>
  <c r="KD482" i="123"/>
  <c r="KY468" i="123"/>
  <c r="NU468" i="123"/>
  <c r="MG471" i="123"/>
  <c r="KV471" i="123"/>
  <c r="JZ475" i="123"/>
  <c r="OC478" i="123"/>
  <c r="LD482" i="123"/>
  <c r="JP468" i="123"/>
  <c r="LD468" i="123"/>
  <c r="NW468" i="123"/>
  <c r="KW471" i="123"/>
  <c r="ML471" i="123"/>
  <c r="NO471" i="123"/>
  <c r="KI478" i="123"/>
  <c r="LN482" i="123"/>
  <c r="NU503" i="123"/>
  <c r="MM503" i="123"/>
  <c r="LU503" i="123"/>
  <c r="LD503" i="123"/>
  <c r="KM503" i="123"/>
  <c r="JV503" i="123"/>
  <c r="NT503" i="123"/>
  <c r="ML503" i="123"/>
  <c r="LT503" i="123"/>
  <c r="LC503" i="123"/>
  <c r="KL503" i="123"/>
  <c r="JT503" i="123"/>
  <c r="NR503" i="123"/>
  <c r="MI503" i="123"/>
  <c r="LR503" i="123"/>
  <c r="LA503" i="123"/>
  <c r="KI503" i="123"/>
  <c r="JQ503" i="123"/>
  <c r="NQ503" i="123"/>
  <c r="MH503" i="123"/>
  <c r="LQ503" i="123"/>
  <c r="KZ503" i="123"/>
  <c r="KH503" i="123"/>
  <c r="JO503" i="123"/>
  <c r="NW503" i="123"/>
  <c r="LY503" i="123"/>
  <c r="KX503" i="123"/>
  <c r="KA503" i="123"/>
  <c r="LP503" i="123"/>
  <c r="KR503" i="123"/>
  <c r="JW503" i="123"/>
  <c r="NX503" i="123"/>
  <c r="LO503" i="123"/>
  <c r="KO503" i="123"/>
  <c r="JK503" i="123"/>
  <c r="NO503" i="123"/>
  <c r="MN503" i="123"/>
  <c r="LJ503" i="123"/>
  <c r="KE503" i="123"/>
  <c r="MJ503" i="123"/>
  <c r="LH503" i="123"/>
  <c r="KD503" i="123"/>
  <c r="NS503" i="123"/>
  <c r="MF503" i="123"/>
  <c r="KV503" i="123"/>
  <c r="JM503" i="123"/>
  <c r="MA503" i="123"/>
  <c r="KQ503" i="123"/>
  <c r="JI503" i="123"/>
  <c r="LZ503" i="123"/>
  <c r="KP503" i="123"/>
  <c r="LV503" i="123"/>
  <c r="KK503" i="123"/>
  <c r="OC503" i="123"/>
  <c r="MB503" i="123"/>
  <c r="JZ503" i="123"/>
  <c r="NY503" i="123"/>
  <c r="LS503" i="123"/>
  <c r="JX503" i="123"/>
  <c r="LK503" i="123"/>
  <c r="JN503" i="123"/>
  <c r="LG503" i="123"/>
  <c r="JL503" i="123"/>
  <c r="LF503" i="123"/>
  <c r="JJ503" i="123"/>
  <c r="KT503" i="123"/>
  <c r="NP503" i="123"/>
  <c r="KN503" i="123"/>
  <c r="KC503" i="123"/>
  <c r="KB503" i="123"/>
  <c r="MO503" i="123"/>
  <c r="LX503" i="123"/>
  <c r="LL503" i="123"/>
  <c r="OB503" i="123"/>
  <c r="MG503" i="123"/>
  <c r="ME503" i="123"/>
  <c r="LE503" i="123"/>
  <c r="LB503" i="123"/>
  <c r="JR503" i="123"/>
  <c r="JY503" i="123"/>
  <c r="NW489" i="123"/>
  <c r="MG489" i="123"/>
  <c r="LS489" i="123"/>
  <c r="LE489" i="123"/>
  <c r="KQ489" i="123"/>
  <c r="KC489" i="123"/>
  <c r="JO489" i="123"/>
  <c r="NZ489" i="123"/>
  <c r="MF489" i="123"/>
  <c r="LQ489" i="123"/>
  <c r="LB489" i="123"/>
  <c r="KM489" i="123"/>
  <c r="JX489" i="123"/>
  <c r="JI489" i="123"/>
  <c r="NV489" i="123"/>
  <c r="MC489" i="123"/>
  <c r="LN489" i="123"/>
  <c r="KY489" i="123"/>
  <c r="KJ489" i="123"/>
  <c r="JU489" i="123"/>
  <c r="NU489" i="123"/>
  <c r="MM489" i="123"/>
  <c r="LV489" i="123"/>
  <c r="LD489" i="123"/>
  <c r="KL489" i="123"/>
  <c r="JT489" i="123"/>
  <c r="OB489" i="123"/>
  <c r="MO489" i="123"/>
  <c r="LW489" i="123"/>
  <c r="LC489" i="123"/>
  <c r="KI489" i="123"/>
  <c r="JQ489" i="123"/>
  <c r="OA489" i="123"/>
  <c r="MN489" i="123"/>
  <c r="LU489" i="123"/>
  <c r="LA489" i="123"/>
  <c r="KH489" i="123"/>
  <c r="JP489" i="123"/>
  <c r="NT489" i="123"/>
  <c r="MJ489" i="123"/>
  <c r="LP489" i="123"/>
  <c r="KW489" i="123"/>
  <c r="KE489" i="123"/>
  <c r="JL489" i="123"/>
  <c r="NP489" i="123"/>
  <c r="LT489" i="123"/>
  <c r="KU489" i="123"/>
  <c r="JY489" i="123"/>
  <c r="NO489" i="123"/>
  <c r="LR489" i="123"/>
  <c r="KT489" i="123"/>
  <c r="JW489" i="123"/>
  <c r="MH489" i="123"/>
  <c r="KN489" i="123"/>
  <c r="JM489" i="123"/>
  <c r="LO489" i="123"/>
  <c r="KS489" i="123"/>
  <c r="JV489" i="123"/>
  <c r="ML489" i="123"/>
  <c r="LM489" i="123"/>
  <c r="KR489" i="123"/>
  <c r="JS489" i="123"/>
  <c r="MK489" i="123"/>
  <c r="LL489" i="123"/>
  <c r="KP489" i="123"/>
  <c r="JR489" i="123"/>
  <c r="LJ489" i="123"/>
  <c r="MI489" i="123"/>
  <c r="LK489" i="123"/>
  <c r="KO489" i="123"/>
  <c r="JN489" i="123"/>
  <c r="OC489" i="123"/>
  <c r="MD489" i="123"/>
  <c r="LH489" i="123"/>
  <c r="KG489" i="123"/>
  <c r="JJ489" i="123"/>
  <c r="NY489" i="123"/>
  <c r="MB489" i="123"/>
  <c r="LG489" i="123"/>
  <c r="KF489" i="123"/>
  <c r="NX489" i="123"/>
  <c r="MA489" i="123"/>
  <c r="LF489" i="123"/>
  <c r="KD489" i="123"/>
  <c r="NS489" i="123"/>
  <c r="LZ489" i="123"/>
  <c r="KZ489" i="123"/>
  <c r="KB489" i="123"/>
  <c r="NR489" i="123"/>
  <c r="LY489" i="123"/>
  <c r="KX489" i="123"/>
  <c r="KA489" i="123"/>
  <c r="A489" i="123"/>
  <c r="MB485" i="123"/>
  <c r="LM485" i="123"/>
  <c r="KX485" i="123"/>
  <c r="KI485" i="123"/>
  <c r="JT485" i="123"/>
  <c r="MN485" i="123"/>
  <c r="LY485" i="123"/>
  <c r="LJ485" i="123"/>
  <c r="KU485" i="123"/>
  <c r="KE485" i="123"/>
  <c r="JP485" i="123"/>
  <c r="MH485" i="123"/>
  <c r="LQ485" i="123"/>
  <c r="MK485" i="123"/>
  <c r="LR485" i="123"/>
  <c r="KZ485" i="123"/>
  <c r="KH485" i="123"/>
  <c r="JO485" i="123"/>
  <c r="MF485" i="123"/>
  <c r="LN485" i="123"/>
  <c r="KV485" i="123"/>
  <c r="KC485" i="123"/>
  <c r="MI485" i="123"/>
  <c r="LL485" i="123"/>
  <c r="KQ485" i="123"/>
  <c r="JX485" i="123"/>
  <c r="MG485" i="123"/>
  <c r="LK485" i="123"/>
  <c r="KP485" i="123"/>
  <c r="JW485" i="123"/>
  <c r="LZ485" i="123"/>
  <c r="JN485" i="123"/>
  <c r="ME485" i="123"/>
  <c r="LI485" i="123"/>
  <c r="KO485" i="123"/>
  <c r="JV485" i="123"/>
  <c r="MD485" i="123"/>
  <c r="LG485" i="123"/>
  <c r="KN485" i="123"/>
  <c r="JU485" i="123"/>
  <c r="MC485" i="123"/>
  <c r="LF485" i="123"/>
  <c r="KM485" i="123"/>
  <c r="JS485" i="123"/>
  <c r="LD485" i="123"/>
  <c r="NQ485" i="123"/>
  <c r="KK485" i="123"/>
  <c r="MA485" i="123"/>
  <c r="LE485" i="123"/>
  <c r="KL485" i="123"/>
  <c r="JQ485" i="123"/>
  <c r="LW485" i="123"/>
  <c r="LB485" i="123"/>
  <c r="KG485" i="123"/>
  <c r="LU485" i="123"/>
  <c r="LA485" i="123"/>
  <c r="KD485" i="123"/>
  <c r="OC485" i="123"/>
  <c r="LT485" i="123"/>
  <c r="KY485" i="123"/>
  <c r="KB485" i="123"/>
  <c r="OB485" i="123"/>
  <c r="MO485" i="123"/>
  <c r="LS485" i="123"/>
  <c r="KW485" i="123"/>
  <c r="KA485" i="123"/>
  <c r="OA485" i="123"/>
  <c r="MM485" i="123"/>
  <c r="LP485" i="123"/>
  <c r="KS485" i="123"/>
  <c r="JZ485" i="123"/>
  <c r="NS475" i="123"/>
  <c r="MC475" i="123"/>
  <c r="LO475" i="123"/>
  <c r="LA475" i="123"/>
  <c r="KM475" i="123"/>
  <c r="JY475" i="123"/>
  <c r="JK475" i="123"/>
  <c r="KW475" i="123"/>
  <c r="NR475" i="123"/>
  <c r="MB475" i="123"/>
  <c r="LN475" i="123"/>
  <c r="KZ475" i="123"/>
  <c r="KL475" i="123"/>
  <c r="JX475" i="123"/>
  <c r="JJ475" i="123"/>
  <c r="NQ475" i="123"/>
  <c r="MO475" i="123"/>
  <c r="MA475" i="123"/>
  <c r="LM475" i="123"/>
  <c r="KY475" i="123"/>
  <c r="KK475" i="123"/>
  <c r="JW475" i="123"/>
  <c r="JI475" i="123"/>
  <c r="LK475" i="123"/>
  <c r="NP475" i="123"/>
  <c r="MN475" i="123"/>
  <c r="LZ475" i="123"/>
  <c r="LL475" i="123"/>
  <c r="KX475" i="123"/>
  <c r="KJ475" i="123"/>
  <c r="JV475" i="123"/>
  <c r="NO475" i="123"/>
  <c r="MM475" i="123"/>
  <c r="LY475" i="123"/>
  <c r="KI475" i="123"/>
  <c r="JU475" i="123"/>
  <c r="OB475" i="123"/>
  <c r="LX475" i="123"/>
  <c r="KV475" i="123"/>
  <c r="JT475" i="123"/>
  <c r="OC475" i="123"/>
  <c r="ML475" i="123"/>
  <c r="LJ475" i="123"/>
  <c r="KH475" i="123"/>
  <c r="NY475" i="123"/>
  <c r="MI475" i="123"/>
  <c r="LU475" i="123"/>
  <c r="LG475" i="123"/>
  <c r="KS475" i="123"/>
  <c r="KE475" i="123"/>
  <c r="JQ475" i="123"/>
  <c r="NX475" i="123"/>
  <c r="MH475" i="123"/>
  <c r="LT475" i="123"/>
  <c r="LF475" i="123"/>
  <c r="KR475" i="123"/>
  <c r="KD475" i="123"/>
  <c r="JP475" i="123"/>
  <c r="NW475" i="123"/>
  <c r="MG475" i="123"/>
  <c r="LS475" i="123"/>
  <c r="LE475" i="123"/>
  <c r="KQ475" i="123"/>
  <c r="KC475" i="123"/>
  <c r="JO475" i="123"/>
  <c r="NV475" i="123"/>
  <c r="MF475" i="123"/>
  <c r="LR475" i="123"/>
  <c r="LD475" i="123"/>
  <c r="KP475" i="123"/>
  <c r="KB475" i="123"/>
  <c r="JN475" i="123"/>
  <c r="A475" i="123"/>
  <c r="NU475" i="123"/>
  <c r="ME475" i="123"/>
  <c r="LQ475" i="123"/>
  <c r="LC475" i="123"/>
  <c r="KO475" i="123"/>
  <c r="KA475" i="123"/>
  <c r="JM475" i="123"/>
  <c r="LS471" i="123"/>
  <c r="LT478" i="123"/>
  <c r="ML485" i="123"/>
  <c r="MA468" i="123"/>
  <c r="KH471" i="123"/>
  <c r="OB471" i="123"/>
  <c r="LP475" i="123"/>
  <c r="JN468" i="123"/>
  <c r="MH468" i="123"/>
  <c r="KU471" i="123"/>
  <c r="JO468" i="123"/>
  <c r="LC468" i="123"/>
  <c r="MO468" i="123"/>
  <c r="NV468" i="123"/>
  <c r="MK475" i="123"/>
  <c r="JW468" i="123"/>
  <c r="LE468" i="123"/>
  <c r="NX468" i="123"/>
  <c r="JO471" i="123"/>
  <c r="KX471" i="123"/>
  <c r="MM471" i="123"/>
  <c r="NP471" i="123"/>
  <c r="KG475" i="123"/>
  <c r="KP478" i="123"/>
  <c r="LT482" i="123"/>
  <c r="JY485" i="123"/>
  <c r="LI489" i="123"/>
  <c r="JY468" i="123"/>
  <c r="LF468" i="123"/>
  <c r="JS471" i="123"/>
  <c r="LE471" i="123"/>
  <c r="MN471" i="123"/>
  <c r="KN475" i="123"/>
  <c r="KQ478" i="123"/>
  <c r="LU482" i="123"/>
  <c r="KJ485" i="123"/>
  <c r="LX489" i="123"/>
  <c r="LM468" i="123"/>
  <c r="LI471" i="123"/>
  <c r="KX478" i="123"/>
  <c r="ME482" i="123"/>
  <c r="KR485" i="123"/>
  <c r="ME489" i="123"/>
  <c r="KA468" i="123"/>
  <c r="JT471" i="123"/>
  <c r="KT475" i="123"/>
  <c r="JU471" i="123"/>
  <c r="KU475" i="123"/>
  <c r="A485" i="123"/>
  <c r="LC485" i="123"/>
  <c r="LA506" i="123"/>
  <c r="KU506" i="123"/>
  <c r="MM506" i="123"/>
  <c r="ML506" i="123"/>
  <c r="LU506" i="123"/>
  <c r="KE506" i="123"/>
  <c r="JY506" i="123"/>
  <c r="MG506" i="123"/>
  <c r="KT506" i="123"/>
  <c r="KF506" i="123"/>
  <c r="OC492" i="123"/>
  <c r="ME492" i="123"/>
  <c r="LO492" i="123"/>
  <c r="KY492" i="123"/>
  <c r="KI492" i="123"/>
  <c r="JS492" i="123"/>
  <c r="LZ492" i="123"/>
  <c r="LJ492" i="123"/>
  <c r="KT492" i="123"/>
  <c r="KD492" i="123"/>
  <c r="MI492" i="123"/>
  <c r="LP492" i="123"/>
  <c r="KW492" i="123"/>
  <c r="KE492" i="123"/>
  <c r="MF492" i="123"/>
  <c r="LM492" i="123"/>
  <c r="KU492" i="123"/>
  <c r="JZ492" i="123"/>
  <c r="MD492" i="123"/>
  <c r="LL492" i="123"/>
  <c r="KS492" i="123"/>
  <c r="JY492" i="123"/>
  <c r="MB492" i="123"/>
  <c r="LD492" i="123"/>
  <c r="KH492" i="123"/>
  <c r="NY492" i="123"/>
  <c r="MC492" i="123"/>
  <c r="LC492" i="123"/>
  <c r="KF492" i="123"/>
  <c r="MA492" i="123"/>
  <c r="LB492" i="123"/>
  <c r="KB492" i="123"/>
  <c r="LX492" i="123"/>
  <c r="KZ492" i="123"/>
  <c r="JW492" i="123"/>
  <c r="LW492" i="123"/>
  <c r="KX492" i="123"/>
  <c r="JV492" i="123"/>
  <c r="LT492" i="123"/>
  <c r="KR492" i="123"/>
  <c r="JT492" i="123"/>
  <c r="LH492" i="123"/>
  <c r="JQ492" i="123"/>
  <c r="MO492" i="123"/>
  <c r="LG492" i="123"/>
  <c r="JP492" i="123"/>
  <c r="MH492" i="123"/>
  <c r="MN492" i="123"/>
  <c r="LA492" i="123"/>
  <c r="JN492" i="123"/>
  <c r="MM492" i="123"/>
  <c r="KV492" i="123"/>
  <c r="ML492" i="123"/>
  <c r="KO492" i="123"/>
  <c r="KM492" i="123"/>
  <c r="MK492" i="123"/>
  <c r="KN492" i="123"/>
  <c r="LV492" i="123"/>
  <c r="KK492" i="123"/>
  <c r="OB492" i="123"/>
  <c r="LR492" i="123"/>
  <c r="KJ492" i="123"/>
  <c r="OA492" i="123"/>
  <c r="LQ492" i="123"/>
  <c r="KG492" i="123"/>
  <c r="NZ492" i="123"/>
  <c r="LN492" i="123"/>
  <c r="JX492" i="123"/>
  <c r="LK492" i="123"/>
  <c r="JU492" i="123"/>
  <c r="NP482" i="123"/>
  <c r="MN482" i="123"/>
  <c r="LZ482" i="123"/>
  <c r="LL482" i="123"/>
  <c r="KX482" i="123"/>
  <c r="KJ482" i="123"/>
  <c r="JV482" i="123"/>
  <c r="NU482" i="123"/>
  <c r="MB482" i="123"/>
  <c r="LM482" i="123"/>
  <c r="KW482" i="123"/>
  <c r="KH482" i="123"/>
  <c r="JS482" i="123"/>
  <c r="NS482" i="123"/>
  <c r="ML482" i="123"/>
  <c r="LV482" i="123"/>
  <c r="LF482" i="123"/>
  <c r="KP482" i="123"/>
  <c r="JZ482" i="123"/>
  <c r="JJ482" i="123"/>
  <c r="OC482" i="123"/>
  <c r="MD482" i="123"/>
  <c r="LK482" i="123"/>
  <c r="KT482" i="123"/>
  <c r="KC482" i="123"/>
  <c r="JL482" i="123"/>
  <c r="OB482" i="123"/>
  <c r="MC482" i="123"/>
  <c r="LJ482" i="123"/>
  <c r="KS482" i="123"/>
  <c r="KB482" i="123"/>
  <c r="JK482" i="123"/>
  <c r="OA482" i="123"/>
  <c r="MA482" i="123"/>
  <c r="LI482" i="123"/>
  <c r="KR482" i="123"/>
  <c r="KA482" i="123"/>
  <c r="JI482" i="123"/>
  <c r="NZ482" i="123"/>
  <c r="LY482" i="123"/>
  <c r="LH482" i="123"/>
  <c r="KQ482" i="123"/>
  <c r="JY482" i="123"/>
  <c r="NY482" i="123"/>
  <c r="LX482" i="123"/>
  <c r="LG482" i="123"/>
  <c r="JX482" i="123"/>
  <c r="A482" i="123"/>
  <c r="KO482" i="123"/>
  <c r="NX482" i="123"/>
  <c r="MO482" i="123"/>
  <c r="LW482" i="123"/>
  <c r="LE482" i="123"/>
  <c r="KN482" i="123"/>
  <c r="JW482" i="123"/>
  <c r="NT482" i="123"/>
  <c r="MJ482" i="123"/>
  <c r="LS482" i="123"/>
  <c r="LB482" i="123"/>
  <c r="KK482" i="123"/>
  <c r="JR482" i="123"/>
  <c r="NR482" i="123"/>
  <c r="MI482" i="123"/>
  <c r="LR482" i="123"/>
  <c r="LA482" i="123"/>
  <c r="KI482" i="123"/>
  <c r="JQ482" i="123"/>
  <c r="NQ482" i="123"/>
  <c r="MH482" i="123"/>
  <c r="LQ482" i="123"/>
  <c r="KZ482" i="123"/>
  <c r="KG482" i="123"/>
  <c r="JP482" i="123"/>
  <c r="NO482" i="123"/>
  <c r="MG482" i="123"/>
  <c r="LP482" i="123"/>
  <c r="KY482" i="123"/>
  <c r="KF482" i="123"/>
  <c r="JO482" i="123"/>
  <c r="MF482" i="123"/>
  <c r="LO482" i="123"/>
  <c r="KV482" i="123"/>
  <c r="KE482" i="123"/>
  <c r="JN482" i="123"/>
  <c r="MO478" i="123"/>
  <c r="MA478" i="123"/>
  <c r="LM478" i="123"/>
  <c r="KY478" i="123"/>
  <c r="KK478" i="123"/>
  <c r="JW478" i="123"/>
  <c r="MB478" i="123"/>
  <c r="LL478" i="123"/>
  <c r="KW478" i="123"/>
  <c r="KH478" i="123"/>
  <c r="JS478" i="123"/>
  <c r="LZ478" i="123"/>
  <c r="LK478" i="123"/>
  <c r="KV478" i="123"/>
  <c r="KG478" i="123"/>
  <c r="JR478" i="123"/>
  <c r="NS478" i="123"/>
  <c r="MN478" i="123"/>
  <c r="LY478" i="123"/>
  <c r="LJ478" i="123"/>
  <c r="KU478" i="123"/>
  <c r="KF478" i="123"/>
  <c r="JQ478" i="123"/>
  <c r="MM478" i="123"/>
  <c r="LX478" i="123"/>
  <c r="LI478" i="123"/>
  <c r="KT478" i="123"/>
  <c r="KE478" i="123"/>
  <c r="JP478" i="123"/>
  <c r="NP478" i="123"/>
  <c r="ML478" i="123"/>
  <c r="LW478" i="123"/>
  <c r="KS478" i="123"/>
  <c r="KD478" i="123"/>
  <c r="LH478" i="123"/>
  <c r="JO478" i="123"/>
  <c r="NO478" i="123"/>
  <c r="MK478" i="123"/>
  <c r="LV478" i="123"/>
  <c r="LG478" i="123"/>
  <c r="KR478" i="123"/>
  <c r="KC478" i="123"/>
  <c r="JN478" i="123"/>
  <c r="OA478" i="123"/>
  <c r="MH478" i="123"/>
  <c r="LS478" i="123"/>
  <c r="LD478" i="123"/>
  <c r="KO478" i="123"/>
  <c r="JZ478" i="123"/>
  <c r="A478" i="123"/>
  <c r="NZ478" i="123"/>
  <c r="MG478" i="123"/>
  <c r="LR478" i="123"/>
  <c r="LC478" i="123"/>
  <c r="KN478" i="123"/>
  <c r="JY478" i="123"/>
  <c r="NY478" i="123"/>
  <c r="MF478" i="123"/>
  <c r="LQ478" i="123"/>
  <c r="LB478" i="123"/>
  <c r="KM478" i="123"/>
  <c r="JX478" i="123"/>
  <c r="ME478" i="123"/>
  <c r="LP478" i="123"/>
  <c r="LA478" i="123"/>
  <c r="KL478" i="123"/>
  <c r="JV478" i="123"/>
  <c r="MD478" i="123"/>
  <c r="LO478" i="123"/>
  <c r="KZ478" i="123"/>
  <c r="KJ478" i="123"/>
  <c r="JU478" i="123"/>
  <c r="KG471" i="123"/>
  <c r="KO468" i="123"/>
  <c r="LW471" i="123"/>
  <c r="KB468" i="123"/>
  <c r="LQ468" i="123"/>
  <c r="LJ471" i="123"/>
  <c r="KC468" i="123"/>
  <c r="LR468" i="123"/>
  <c r="JV471" i="123"/>
  <c r="LK471" i="123"/>
  <c r="LB475" i="123"/>
  <c r="LF478" i="123"/>
  <c r="JM482" i="123"/>
  <c r="MM482" i="123"/>
  <c r="NV482" i="123"/>
  <c r="LO485" i="123"/>
  <c r="IC498" i="123"/>
  <c r="CK502" i="123"/>
  <c r="NA510" i="123"/>
  <c r="HX510" i="123"/>
  <c r="FX510" i="123"/>
  <c r="EG510" i="123"/>
  <c r="CN510" i="123"/>
  <c r="AQ510" i="123"/>
  <c r="MZ510" i="123"/>
  <c r="JH510" i="123"/>
  <c r="HO510" i="123"/>
  <c r="FT510" i="123"/>
  <c r="EF510" i="123"/>
  <c r="CE510" i="123"/>
  <c r="AP510" i="123"/>
  <c r="MT510" i="123"/>
  <c r="JE510" i="123"/>
  <c r="HE510" i="123"/>
  <c r="FN510" i="123"/>
  <c r="DU510" i="123"/>
  <c r="BZ510" i="123"/>
  <c r="AJ510" i="123"/>
  <c r="MS510" i="123"/>
  <c r="JD510" i="123"/>
  <c r="HC510" i="123"/>
  <c r="FL510" i="123"/>
  <c r="DT510" i="123"/>
  <c r="BT510" i="123"/>
  <c r="AI510" i="123"/>
  <c r="MY510" i="123"/>
  <c r="ID510" i="123"/>
  <c r="FG510" i="123"/>
  <c r="CV510" i="123"/>
  <c r="AL510" i="123"/>
  <c r="HB510" i="123"/>
  <c r="ES510" i="123"/>
  <c r="CR510" i="123"/>
  <c r="HA510" i="123"/>
  <c r="EM510" i="123"/>
  <c r="CA510" i="123"/>
  <c r="JF510" i="123"/>
  <c r="GJ510" i="123"/>
  <c r="DD510" i="123"/>
  <c r="Y510" i="123"/>
  <c r="IL510" i="123"/>
  <c r="FS510" i="123"/>
  <c r="CT510" i="123"/>
  <c r="IK510" i="123"/>
  <c r="FK510" i="123"/>
  <c r="BS510" i="123"/>
  <c r="IE510" i="123"/>
  <c r="EK510" i="123"/>
  <c r="BO510" i="123"/>
  <c r="HN510" i="123"/>
  <c r="DH510" i="123"/>
  <c r="GO510" i="123"/>
  <c r="BR510" i="123"/>
  <c r="GM510" i="123"/>
  <c r="BQ510" i="123"/>
  <c r="GA510" i="123"/>
  <c r="BG510" i="123"/>
  <c r="FE510" i="123"/>
  <c r="AX510" i="123"/>
  <c r="EE510" i="123"/>
  <c r="DI510" i="123"/>
  <c r="JA510" i="123"/>
  <c r="DC510" i="123"/>
  <c r="IZ510" i="123"/>
  <c r="CU510" i="123"/>
  <c r="IG510" i="123"/>
  <c r="BL510" i="123"/>
  <c r="IF510" i="123"/>
  <c r="AS510" i="123"/>
  <c r="NC510" i="123"/>
  <c r="FA510" i="123"/>
  <c r="HY510" i="123"/>
  <c r="GW510" i="123"/>
  <c r="GI510" i="123"/>
  <c r="EI510" i="123"/>
  <c r="EH510" i="123"/>
  <c r="AR510" i="123"/>
  <c r="NJ510" i="123"/>
  <c r="GX510" i="123"/>
  <c r="NE506" i="123"/>
  <c r="IY506" i="123"/>
  <c r="IC506" i="123"/>
  <c r="ND506" i="123"/>
  <c r="IX506" i="123"/>
  <c r="IB506" i="123"/>
  <c r="NA506" i="123"/>
  <c r="IT506" i="123"/>
  <c r="HX506" i="123"/>
  <c r="MZ506" i="123"/>
  <c r="IS506" i="123"/>
  <c r="HW506" i="123"/>
  <c r="NF506" i="123"/>
  <c r="IK506" i="123"/>
  <c r="IH506" i="123"/>
  <c r="JG506" i="123"/>
  <c r="ID506" i="123"/>
  <c r="NB506" i="123"/>
  <c r="IN506" i="123"/>
  <c r="II506" i="123"/>
  <c r="HZ506" i="123"/>
  <c r="IO506" i="123"/>
  <c r="HV506" i="123"/>
  <c r="HU506" i="123"/>
  <c r="NM506" i="123"/>
  <c r="HP506" i="123"/>
  <c r="NK506" i="123"/>
  <c r="JA506" i="123"/>
  <c r="IR506" i="123"/>
  <c r="IM506" i="123"/>
  <c r="IJ506" i="123"/>
  <c r="HR506" i="123"/>
  <c r="NN506" i="123"/>
  <c r="NI506" i="123"/>
  <c r="JB506" i="123"/>
  <c r="NH506" i="123"/>
  <c r="JF506" i="123"/>
  <c r="ND503" i="123"/>
  <c r="JC503" i="123"/>
  <c r="IL503" i="123"/>
  <c r="HU503" i="123"/>
  <c r="HC503" i="123"/>
  <c r="GK503" i="123"/>
  <c r="FT503" i="123"/>
  <c r="FC503" i="123"/>
  <c r="EM503" i="123"/>
  <c r="DW503" i="123"/>
  <c r="DG503" i="123"/>
  <c r="CQ503" i="123"/>
  <c r="CA503" i="123"/>
  <c r="BJ503" i="123"/>
  <c r="AT503" i="123"/>
  <c r="AD503" i="123"/>
  <c r="NC503" i="123"/>
  <c r="JB503" i="123"/>
  <c r="IK503" i="123"/>
  <c r="HS503" i="123"/>
  <c r="HB503" i="123"/>
  <c r="GJ503" i="123"/>
  <c r="FR503" i="123"/>
  <c r="FB503" i="123"/>
  <c r="EL503" i="123"/>
  <c r="DV503" i="123"/>
  <c r="DF503" i="123"/>
  <c r="CP503" i="123"/>
  <c r="BZ503" i="123"/>
  <c r="BI503" i="123"/>
  <c r="AS503" i="123"/>
  <c r="AC503" i="123"/>
  <c r="NA503" i="123"/>
  <c r="IY503" i="123"/>
  <c r="IH503" i="123"/>
  <c r="HQ503" i="123"/>
  <c r="GY503" i="123"/>
  <c r="GG503" i="123"/>
  <c r="FP503" i="123"/>
  <c r="EZ503" i="123"/>
  <c r="EJ503" i="123"/>
  <c r="DT503" i="123"/>
  <c r="DD503" i="123"/>
  <c r="CN503" i="123"/>
  <c r="BW503" i="123"/>
  <c r="BG503" i="123"/>
  <c r="AP503" i="123"/>
  <c r="Z503" i="123"/>
  <c r="MZ503" i="123"/>
  <c r="IX503" i="123"/>
  <c r="IG503" i="123"/>
  <c r="HP503" i="123"/>
  <c r="GX503" i="123"/>
  <c r="GF503" i="123"/>
  <c r="FO503" i="123"/>
  <c r="EY503" i="123"/>
  <c r="EI503" i="123"/>
  <c r="DS503" i="123"/>
  <c r="DC503" i="123"/>
  <c r="CL503" i="123"/>
  <c r="BV503" i="123"/>
  <c r="BE503" i="123"/>
  <c r="AO503" i="123"/>
  <c r="Y503" i="123"/>
  <c r="MV503" i="123"/>
  <c r="JD503" i="123"/>
  <c r="ID503" i="123"/>
  <c r="HG503" i="123"/>
  <c r="GE503" i="123"/>
  <c r="FJ503" i="123"/>
  <c r="EN503" i="123"/>
  <c r="DP503" i="123"/>
  <c r="CT503" i="123"/>
  <c r="BT503" i="123"/>
  <c r="AZ503" i="123"/>
  <c r="AE503" i="123"/>
  <c r="NN503" i="123"/>
  <c r="MP503" i="123"/>
  <c r="IU503" i="123"/>
  <c r="HX503" i="123"/>
  <c r="GV503" i="123"/>
  <c r="GA503" i="123"/>
  <c r="FD503" i="123"/>
  <c r="EF503" i="123"/>
  <c r="DJ503" i="123"/>
  <c r="CK503" i="123"/>
  <c r="BP503" i="123"/>
  <c r="AU503" i="123"/>
  <c r="MS503" i="123"/>
  <c r="II503" i="123"/>
  <c r="HH503" i="123"/>
  <c r="GC503" i="123"/>
  <c r="FA503" i="123"/>
  <c r="EA503" i="123"/>
  <c r="CZ503" i="123"/>
  <c r="CC503" i="123"/>
  <c r="BA503" i="123"/>
  <c r="X503" i="123"/>
  <c r="JH503" i="123"/>
  <c r="IB503" i="123"/>
  <c r="GZ503" i="123"/>
  <c r="FX503" i="123"/>
  <c r="NL503" i="123"/>
  <c r="JG503" i="123"/>
  <c r="HZ503" i="123"/>
  <c r="GU503" i="123"/>
  <c r="FV503" i="123"/>
  <c r="EU503" i="123"/>
  <c r="DU503" i="123"/>
  <c r="CU503" i="123"/>
  <c r="BR503" i="123"/>
  <c r="AR503" i="123"/>
  <c r="IE503" i="123"/>
  <c r="GR503" i="123"/>
  <c r="FK503" i="123"/>
  <c r="EE503" i="123"/>
  <c r="CX503" i="123"/>
  <c r="BS503" i="123"/>
  <c r="AM503" i="123"/>
  <c r="NI503" i="123"/>
  <c r="HV503" i="123"/>
  <c r="GO503" i="123"/>
  <c r="FF503" i="123"/>
  <c r="DY503" i="123"/>
  <c r="CS503" i="123"/>
  <c r="BN503" i="123"/>
  <c r="AJ503" i="123"/>
  <c r="NH503" i="123"/>
  <c r="JA503" i="123"/>
  <c r="HR503" i="123"/>
  <c r="GL503" i="123"/>
  <c r="EX503" i="123"/>
  <c r="DX503" i="123"/>
  <c r="CR503" i="123"/>
  <c r="BM503" i="123"/>
  <c r="AH503" i="123"/>
  <c r="NE503" i="123"/>
  <c r="IV503" i="123"/>
  <c r="HM503" i="123"/>
  <c r="GD503" i="123"/>
  <c r="EV503" i="123"/>
  <c r="DQ503" i="123"/>
  <c r="CI503" i="123"/>
  <c r="BH503" i="123"/>
  <c r="AF503" i="123"/>
  <c r="IF503" i="123"/>
  <c r="GB503" i="123"/>
  <c r="EK503" i="123"/>
  <c r="CV503" i="123"/>
  <c r="BB503" i="123"/>
  <c r="HW503" i="123"/>
  <c r="FU503" i="123"/>
  <c r="EG503" i="123"/>
  <c r="CH503" i="123"/>
  <c r="AX503" i="123"/>
  <c r="NK503" i="123"/>
  <c r="HK503" i="123"/>
  <c r="FN503" i="123"/>
  <c r="DZ503" i="123"/>
  <c r="CF503" i="123"/>
  <c r="AN503" i="123"/>
  <c r="NF503" i="123"/>
  <c r="HJ503" i="123"/>
  <c r="FM503" i="123"/>
  <c r="DR503" i="123"/>
  <c r="CE503" i="123"/>
  <c r="AL503" i="123"/>
  <c r="NB503" i="123"/>
  <c r="HI503" i="123"/>
  <c r="FL503" i="123"/>
  <c r="DM503" i="123"/>
  <c r="CD503" i="123"/>
  <c r="HY503" i="123"/>
  <c r="ET503" i="123"/>
  <c r="CG503" i="123"/>
  <c r="HF503" i="123"/>
  <c r="EP503" i="123"/>
  <c r="BX503" i="123"/>
  <c r="MX503" i="123"/>
  <c r="HE503" i="123"/>
  <c r="EO503" i="123"/>
  <c r="BQ503" i="123"/>
  <c r="MW503" i="123"/>
  <c r="GT503" i="123"/>
  <c r="EH503" i="123"/>
  <c r="BO503" i="123"/>
  <c r="IW503" i="123"/>
  <c r="GP503" i="123"/>
  <c r="IR503" i="123"/>
  <c r="FQ503" i="123"/>
  <c r="IO503" i="123"/>
  <c r="FI503" i="123"/>
  <c r="DB503" i="123"/>
  <c r="AG503" i="123"/>
  <c r="HN503" i="123"/>
  <c r="CW503" i="123"/>
  <c r="IM503" i="123"/>
  <c r="CO503" i="123"/>
  <c r="GS503" i="123"/>
  <c r="CB503" i="123"/>
  <c r="MQ503" i="123"/>
  <c r="GI503" i="123"/>
  <c r="BD503" i="123"/>
  <c r="FZ503" i="123"/>
  <c r="BC503" i="123"/>
  <c r="FG503" i="123"/>
  <c r="AY503" i="123"/>
  <c r="EW503" i="123"/>
  <c r="AV503" i="123"/>
  <c r="ER503" i="123"/>
  <c r="AK503" i="123"/>
  <c r="DK503" i="123"/>
  <c r="IT503" i="123"/>
  <c r="DI503" i="123"/>
  <c r="NL499" i="123"/>
  <c r="JD499" i="123"/>
  <c r="IP499" i="123"/>
  <c r="IB499" i="123"/>
  <c r="NH499" i="123"/>
  <c r="IZ499" i="123"/>
  <c r="IL499" i="123"/>
  <c r="HX499" i="123"/>
  <c r="NG499" i="123"/>
  <c r="IW499" i="123"/>
  <c r="IG499" i="123"/>
  <c r="HQ499" i="123"/>
  <c r="NC499" i="123"/>
  <c r="IS499" i="123"/>
  <c r="IC499" i="123"/>
  <c r="MZ499" i="123"/>
  <c r="JH499" i="123"/>
  <c r="IO499" i="123"/>
  <c r="HV499" i="123"/>
  <c r="JE499" i="123"/>
  <c r="IK499" i="123"/>
  <c r="HS499" i="123"/>
  <c r="NN499" i="123"/>
  <c r="JC499" i="123"/>
  <c r="IJ499" i="123"/>
  <c r="HR499" i="123"/>
  <c r="ND499" i="123"/>
  <c r="IM499" i="123"/>
  <c r="JB499" i="123"/>
  <c r="IE499" i="123"/>
  <c r="NT499" i="123"/>
  <c r="JA499" i="123"/>
  <c r="ID499" i="123"/>
  <c r="NP499" i="123"/>
  <c r="IV499" i="123"/>
  <c r="HT499" i="123"/>
  <c r="NK499" i="123"/>
  <c r="IT499" i="123"/>
  <c r="NJ499" i="123"/>
  <c r="IR499" i="123"/>
  <c r="NI499" i="123"/>
  <c r="IQ499" i="123"/>
  <c r="JF499" i="123"/>
  <c r="HY499" i="123"/>
  <c r="IU499" i="123"/>
  <c r="HZ499" i="123"/>
  <c r="HW499" i="123"/>
  <c r="NM499" i="123"/>
  <c r="HP499" i="123"/>
  <c r="NF499" i="123"/>
  <c r="NE499" i="123"/>
  <c r="NB499" i="123"/>
  <c r="JG499" i="123"/>
  <c r="NA499" i="123"/>
  <c r="IY499" i="123"/>
  <c r="NI496" i="123"/>
  <c r="MU496" i="123"/>
  <c r="JA496" i="123"/>
  <c r="IM496" i="123"/>
  <c r="HY496" i="123"/>
  <c r="HK496" i="123"/>
  <c r="GW496" i="123"/>
  <c r="GI496" i="123"/>
  <c r="FU496" i="123"/>
  <c r="FG496" i="123"/>
  <c r="ES496" i="123"/>
  <c r="EE496" i="123"/>
  <c r="DQ496" i="123"/>
  <c r="DC496" i="123"/>
  <c r="CO496" i="123"/>
  <c r="CA496" i="123"/>
  <c r="BM496" i="123"/>
  <c r="AY496" i="123"/>
  <c r="AK496" i="123"/>
  <c r="A496" i="123"/>
  <c r="NK496" i="123"/>
  <c r="MV496" i="123"/>
  <c r="IT496" i="123"/>
  <c r="IE496" i="123"/>
  <c r="HP496" i="123"/>
  <c r="HA496" i="123"/>
  <c r="GL496" i="123"/>
  <c r="FW496" i="123"/>
  <c r="FH496" i="123"/>
  <c r="ER496" i="123"/>
  <c r="EC496" i="123"/>
  <c r="DN496" i="123"/>
  <c r="CY496" i="123"/>
  <c r="CJ496" i="123"/>
  <c r="BU496" i="123"/>
  <c r="BF496" i="123"/>
  <c r="AQ496" i="123"/>
  <c r="AB496" i="123"/>
  <c r="NJ496" i="123"/>
  <c r="MS496" i="123"/>
  <c r="IZ496" i="123"/>
  <c r="IJ496" i="123"/>
  <c r="HT496" i="123"/>
  <c r="HD496" i="123"/>
  <c r="GN496" i="123"/>
  <c r="FX496" i="123"/>
  <c r="FF496" i="123"/>
  <c r="EP496" i="123"/>
  <c r="DZ496" i="123"/>
  <c r="DJ496" i="123"/>
  <c r="CT496" i="123"/>
  <c r="CD496" i="123"/>
  <c r="BN496" i="123"/>
  <c r="AW496" i="123"/>
  <c r="AG496" i="123"/>
  <c r="NE496" i="123"/>
  <c r="IV496" i="123"/>
  <c r="IF496" i="123"/>
  <c r="HO496" i="123"/>
  <c r="GY496" i="123"/>
  <c r="GH496" i="123"/>
  <c r="FR496" i="123"/>
  <c r="FB496" i="123"/>
  <c r="EL496" i="123"/>
  <c r="DV496" i="123"/>
  <c r="DF496" i="123"/>
  <c r="CP496" i="123"/>
  <c r="BY496" i="123"/>
  <c r="BI496" i="123"/>
  <c r="AS496" i="123"/>
  <c r="AC496" i="123"/>
  <c r="NM496" i="123"/>
  <c r="MR496" i="123"/>
  <c r="JC496" i="123"/>
  <c r="II496" i="123"/>
  <c r="HQ496" i="123"/>
  <c r="GV496" i="123"/>
  <c r="GD496" i="123"/>
  <c r="FL496" i="123"/>
  <c r="ET496" i="123"/>
  <c r="DY496" i="123"/>
  <c r="DG496" i="123"/>
  <c r="CM496" i="123"/>
  <c r="BT496" i="123"/>
  <c r="BB496" i="123"/>
  <c r="AI496" i="123"/>
  <c r="NF496" i="123"/>
  <c r="IW496" i="123"/>
  <c r="IC496" i="123"/>
  <c r="HJ496" i="123"/>
  <c r="GR496" i="123"/>
  <c r="FZ496" i="123"/>
  <c r="FE496" i="123"/>
  <c r="EM496" i="123"/>
  <c r="DT496" i="123"/>
  <c r="DA496" i="123"/>
  <c r="CH496" i="123"/>
  <c r="BP496" i="123"/>
  <c r="AV496" i="123"/>
  <c r="AD496" i="123"/>
  <c r="ND496" i="123"/>
  <c r="IU496" i="123"/>
  <c r="IB496" i="123"/>
  <c r="HI496" i="123"/>
  <c r="GQ496" i="123"/>
  <c r="FY496" i="123"/>
  <c r="FD496" i="123"/>
  <c r="EK496" i="123"/>
  <c r="DS496" i="123"/>
  <c r="CZ496" i="123"/>
  <c r="CG496" i="123"/>
  <c r="BO496" i="123"/>
  <c r="AU496" i="123"/>
  <c r="AA496" i="123"/>
  <c r="NN496" i="123"/>
  <c r="IS496" i="123"/>
  <c r="HW496" i="123"/>
  <c r="GZ496" i="123"/>
  <c r="GB496" i="123"/>
  <c r="FA496" i="123"/>
  <c r="EF496" i="123"/>
  <c r="DH496" i="123"/>
  <c r="CI496" i="123"/>
  <c r="BJ496" i="123"/>
  <c r="AM496" i="123"/>
  <c r="NH496" i="123"/>
  <c r="IQ496" i="123"/>
  <c r="HU496" i="123"/>
  <c r="GU496" i="123"/>
  <c r="FV496" i="123"/>
  <c r="EY496" i="123"/>
  <c r="EB496" i="123"/>
  <c r="DD496" i="123"/>
  <c r="CE496" i="123"/>
  <c r="BG496" i="123"/>
  <c r="AJ496" i="123"/>
  <c r="NG496" i="123"/>
  <c r="IP496" i="123"/>
  <c r="HS496" i="123"/>
  <c r="GT496" i="123"/>
  <c r="FT496" i="123"/>
  <c r="EX496" i="123"/>
  <c r="EA496" i="123"/>
  <c r="DB496" i="123"/>
  <c r="CC496" i="123"/>
  <c r="BE496" i="123"/>
  <c r="AH496" i="123"/>
  <c r="NC496" i="123"/>
  <c r="IO496" i="123"/>
  <c r="HR496" i="123"/>
  <c r="GS496" i="123"/>
  <c r="FS496" i="123"/>
  <c r="EW496" i="123"/>
  <c r="DX496" i="123"/>
  <c r="CX496" i="123"/>
  <c r="CB496" i="123"/>
  <c r="BD496" i="123"/>
  <c r="AF496" i="123"/>
  <c r="MT496" i="123"/>
  <c r="JB496" i="123"/>
  <c r="IA496" i="123"/>
  <c r="HE496" i="123"/>
  <c r="GF496" i="123"/>
  <c r="FJ496" i="123"/>
  <c r="EI496" i="123"/>
  <c r="DL496" i="123"/>
  <c r="CN496" i="123"/>
  <c r="BQ496" i="123"/>
  <c r="AP496" i="123"/>
  <c r="JE496" i="123"/>
  <c r="HN496" i="123"/>
  <c r="GG496" i="123"/>
  <c r="EU496" i="123"/>
  <c r="DK496" i="123"/>
  <c r="BW496" i="123"/>
  <c r="AN496" i="123"/>
  <c r="MP496" i="123"/>
  <c r="JH496" i="123"/>
  <c r="HX496" i="123"/>
  <c r="GJ496" i="123"/>
  <c r="EQ496" i="123"/>
  <c r="DE496" i="123"/>
  <c r="BR496" i="123"/>
  <c r="Y496" i="123"/>
  <c r="JG496" i="123"/>
  <c r="HV496" i="123"/>
  <c r="GE496" i="123"/>
  <c r="EO496" i="123"/>
  <c r="CW496" i="123"/>
  <c r="BL496" i="123"/>
  <c r="X496" i="123"/>
  <c r="JD496" i="123"/>
  <c r="HL496" i="123"/>
  <c r="GA496" i="123"/>
  <c r="EJ496" i="123"/>
  <c r="CU496" i="123"/>
  <c r="BH496" i="123"/>
  <c r="IY496" i="123"/>
  <c r="HH496" i="123"/>
  <c r="FQ496" i="123"/>
  <c r="EH496" i="123"/>
  <c r="CS496" i="123"/>
  <c r="BC496" i="123"/>
  <c r="IX496" i="123"/>
  <c r="HG496" i="123"/>
  <c r="FP496" i="123"/>
  <c r="EG496" i="123"/>
  <c r="CR496" i="123"/>
  <c r="BA496" i="123"/>
  <c r="NL496" i="123"/>
  <c r="IR496" i="123"/>
  <c r="HF496" i="123"/>
  <c r="FO496" i="123"/>
  <c r="ED496" i="123"/>
  <c r="CQ496" i="123"/>
  <c r="AZ496" i="123"/>
  <c r="NI492" i="123"/>
  <c r="JA492" i="123"/>
  <c r="IM492" i="123"/>
  <c r="HY492" i="123"/>
  <c r="NN492" i="123"/>
  <c r="IW492" i="123"/>
  <c r="IH492" i="123"/>
  <c r="HS492" i="123"/>
  <c r="NL492" i="123"/>
  <c r="JC492" i="123"/>
  <c r="IL492" i="123"/>
  <c r="HV492" i="123"/>
  <c r="NW492" i="123"/>
  <c r="NF492" i="123"/>
  <c r="IV492" i="123"/>
  <c r="IF492" i="123"/>
  <c r="HP492" i="123"/>
  <c r="NS492" i="123"/>
  <c r="MZ492" i="123"/>
  <c r="IS492" i="123"/>
  <c r="IA492" i="123"/>
  <c r="NP492" i="123"/>
  <c r="IQ492" i="123"/>
  <c r="HX492" i="123"/>
  <c r="NO492" i="123"/>
  <c r="JH492" i="123"/>
  <c r="IP492" i="123"/>
  <c r="HW492" i="123"/>
  <c r="NU492" i="123"/>
  <c r="IO492" i="123"/>
  <c r="HQ492" i="123"/>
  <c r="IJ492" i="123"/>
  <c r="NV492" i="123"/>
  <c r="JG492" i="123"/>
  <c r="II492" i="123"/>
  <c r="NR492" i="123"/>
  <c r="JE492" i="123"/>
  <c r="IE492" i="123"/>
  <c r="NM492" i="123"/>
  <c r="JD492" i="123"/>
  <c r="ID492" i="123"/>
  <c r="NJ492" i="123"/>
  <c r="IZ492" i="123"/>
  <c r="IB492" i="123"/>
  <c r="NI489" i="123"/>
  <c r="MU489" i="123"/>
  <c r="JA489" i="123"/>
  <c r="IM489" i="123"/>
  <c r="HY489" i="123"/>
  <c r="HK489" i="123"/>
  <c r="GW489" i="123"/>
  <c r="GI489" i="123"/>
  <c r="FU489" i="123"/>
  <c r="FG489" i="123"/>
  <c r="ES489" i="123"/>
  <c r="EE489" i="123"/>
  <c r="DQ489" i="123"/>
  <c r="DC489" i="123"/>
  <c r="CO489" i="123"/>
  <c r="CA489" i="123"/>
  <c r="BM489" i="123"/>
  <c r="AY489" i="123"/>
  <c r="AK489" i="123"/>
  <c r="NK489" i="123"/>
  <c r="MV489" i="123"/>
  <c r="IT489" i="123"/>
  <c r="IE489" i="123"/>
  <c r="HP489" i="123"/>
  <c r="HA489" i="123"/>
  <c r="GL489" i="123"/>
  <c r="FW489" i="123"/>
  <c r="FH489" i="123"/>
  <c r="ER489" i="123"/>
  <c r="EC489" i="123"/>
  <c r="DN489" i="123"/>
  <c r="CY489" i="123"/>
  <c r="CJ489" i="123"/>
  <c r="BU489" i="123"/>
  <c r="BF489" i="123"/>
  <c r="AQ489" i="123"/>
  <c r="AB489" i="123"/>
  <c r="NG489" i="123"/>
  <c r="MR489" i="123"/>
  <c r="JF489" i="123"/>
  <c r="IQ489" i="123"/>
  <c r="IB489" i="123"/>
  <c r="HM489" i="123"/>
  <c r="GX489" i="123"/>
  <c r="GH489" i="123"/>
  <c r="FS489" i="123"/>
  <c r="FD489" i="123"/>
  <c r="EO489" i="123"/>
  <c r="DZ489" i="123"/>
  <c r="DK489" i="123"/>
  <c r="CV489" i="123"/>
  <c r="CG489" i="123"/>
  <c r="BR489" i="123"/>
  <c r="BC489" i="123"/>
  <c r="AN489" i="123"/>
  <c r="Y489" i="123"/>
  <c r="ND489" i="123"/>
  <c r="JC489" i="123"/>
  <c r="IK489" i="123"/>
  <c r="HT489" i="123"/>
  <c r="HC489" i="123"/>
  <c r="GK489" i="123"/>
  <c r="FR489" i="123"/>
  <c r="FA489" i="123"/>
  <c r="EJ489" i="123"/>
  <c r="DS489" i="123"/>
  <c r="DA489" i="123"/>
  <c r="CI489" i="123"/>
  <c r="BQ489" i="123"/>
  <c r="AZ489" i="123"/>
  <c r="AH489" i="123"/>
  <c r="NH489" i="123"/>
  <c r="IX489" i="123"/>
  <c r="IF489" i="123"/>
  <c r="HL489" i="123"/>
  <c r="GS489" i="123"/>
  <c r="GA489" i="123"/>
  <c r="FI489" i="123"/>
  <c r="EN489" i="123"/>
  <c r="DV489" i="123"/>
  <c r="DD489" i="123"/>
  <c r="CK489" i="123"/>
  <c r="BP489" i="123"/>
  <c r="AW489" i="123"/>
  <c r="AE489" i="123"/>
  <c r="NF489" i="123"/>
  <c r="IW489" i="123"/>
  <c r="ID489" i="123"/>
  <c r="HJ489" i="123"/>
  <c r="GR489" i="123"/>
  <c r="FZ489" i="123"/>
  <c r="FF489" i="123"/>
  <c r="EM489" i="123"/>
  <c r="DU489" i="123"/>
  <c r="DB489" i="123"/>
  <c r="CH489" i="123"/>
  <c r="BO489" i="123"/>
  <c r="AV489" i="123"/>
  <c r="AD489" i="123"/>
  <c r="NB489" i="123"/>
  <c r="IS489" i="123"/>
  <c r="HZ489" i="123"/>
  <c r="HG489" i="123"/>
  <c r="GO489" i="123"/>
  <c r="FV489" i="123"/>
  <c r="FB489" i="123"/>
  <c r="EI489" i="123"/>
  <c r="DP489" i="123"/>
  <c r="CW489" i="123"/>
  <c r="CD489" i="123"/>
  <c r="BK489" i="123"/>
  <c r="AS489" i="123"/>
  <c r="Z489" i="123"/>
  <c r="NL485" i="123"/>
  <c r="JD485" i="123"/>
  <c r="IP485" i="123"/>
  <c r="IB485" i="123"/>
  <c r="NU485" i="123"/>
  <c r="NF485" i="123"/>
  <c r="JE485" i="123"/>
  <c r="IO485" i="123"/>
  <c r="HZ485" i="123"/>
  <c r="NR485" i="123"/>
  <c r="NC485" i="123"/>
  <c r="JA485" i="123"/>
  <c r="IL485" i="123"/>
  <c r="HW485" i="123"/>
  <c r="NP485" i="123"/>
  <c r="NT485" i="123"/>
  <c r="NA485" i="123"/>
  <c r="IX485" i="123"/>
  <c r="IG485" i="123"/>
  <c r="NO485" i="123"/>
  <c r="IU485" i="123"/>
  <c r="ID485" i="123"/>
  <c r="NB482" i="123"/>
  <c r="JH482" i="123"/>
  <c r="IT482" i="123"/>
  <c r="IF482" i="123"/>
  <c r="HR482" i="123"/>
  <c r="HD482" i="123"/>
  <c r="GP482" i="123"/>
  <c r="GB482" i="123"/>
  <c r="FN482" i="123"/>
  <c r="EZ482" i="123"/>
  <c r="EL482" i="123"/>
  <c r="DX482" i="123"/>
  <c r="DJ482" i="123"/>
  <c r="CV482" i="123"/>
  <c r="CH482" i="123"/>
  <c r="BT482" i="123"/>
  <c r="BF482" i="123"/>
  <c r="AR482" i="123"/>
  <c r="AD482" i="123"/>
  <c r="NF482" i="123"/>
  <c r="MQ482" i="123"/>
  <c r="JD482" i="123"/>
  <c r="IO482" i="123"/>
  <c r="HZ482" i="123"/>
  <c r="HK482" i="123"/>
  <c r="GV482" i="123"/>
  <c r="GG482" i="123"/>
  <c r="FR482" i="123"/>
  <c r="FC482" i="123"/>
  <c r="EN482" i="123"/>
  <c r="DY482" i="123"/>
  <c r="DI482" i="123"/>
  <c r="CT482" i="123"/>
  <c r="CE482" i="123"/>
  <c r="BP482" i="123"/>
  <c r="BA482" i="123"/>
  <c r="AL482" i="123"/>
  <c r="NC482" i="123"/>
  <c r="IS482" i="123"/>
  <c r="IC482" i="123"/>
  <c r="HM482" i="123"/>
  <c r="GW482" i="123"/>
  <c r="GF482" i="123"/>
  <c r="FP482" i="123"/>
  <c r="EY482" i="123"/>
  <c r="EI482" i="123"/>
  <c r="DS482" i="123"/>
  <c r="DC482" i="123"/>
  <c r="CM482" i="123"/>
  <c r="BW482" i="123"/>
  <c r="BG482" i="123"/>
  <c r="AP482" i="123"/>
  <c r="Z482" i="123"/>
  <c r="NQ478" i="123"/>
  <c r="NC478" i="123"/>
  <c r="IU478" i="123"/>
  <c r="IG478" i="123"/>
  <c r="HS478" i="123"/>
  <c r="AG488" i="123"/>
  <c r="BG488" i="123"/>
  <c r="CF488" i="123"/>
  <c r="DB488" i="123"/>
  <c r="EA488" i="123"/>
  <c r="EW488" i="123"/>
  <c r="FX488" i="123"/>
  <c r="GU488" i="123"/>
  <c r="HQ488" i="123"/>
  <c r="IS488" i="123"/>
  <c r="JO488" i="123"/>
  <c r="KM488" i="123"/>
  <c r="LK488" i="123"/>
  <c r="BV489" i="123"/>
  <c r="CR489" i="123"/>
  <c r="DO489" i="123"/>
  <c r="EP489" i="123"/>
  <c r="FM489" i="123"/>
  <c r="GJ489" i="123"/>
  <c r="HH489" i="123"/>
  <c r="IH489" i="123"/>
  <c r="JE489" i="123"/>
  <c r="MX489" i="123"/>
  <c r="JU491" i="123"/>
  <c r="IU492" i="123"/>
  <c r="AB495" i="123"/>
  <c r="DD495" i="123"/>
  <c r="FY495" i="123"/>
  <c r="JI495" i="123"/>
  <c r="MP495" i="123"/>
  <c r="BK496" i="123"/>
  <c r="DU496" i="123"/>
  <c r="GP496" i="123"/>
  <c r="IH498" i="123"/>
  <c r="NF498" i="123"/>
  <c r="II499" i="123"/>
  <c r="ED502" i="123"/>
  <c r="GQ503" i="123"/>
  <c r="AD495" i="123"/>
  <c r="DL495" i="123"/>
  <c r="GD495" i="123"/>
  <c r="IN499" i="123"/>
  <c r="IN503" i="123"/>
  <c r="Z510" i="123"/>
  <c r="NX510" i="123"/>
  <c r="JQ509" i="123"/>
  <c r="JM509" i="123"/>
  <c r="LU509" i="123"/>
  <c r="LE509" i="123"/>
  <c r="LB509" i="123"/>
  <c r="MA509" i="123"/>
  <c r="LT502" i="123"/>
  <c r="KN502" i="123"/>
  <c r="JL502" i="123"/>
  <c r="LS502" i="123"/>
  <c r="KK502" i="123"/>
  <c r="JK502" i="123"/>
  <c r="LI502" i="123"/>
  <c r="KI502" i="123"/>
  <c r="LH502" i="123"/>
  <c r="KH502" i="123"/>
  <c r="MJ502" i="123"/>
  <c r="KX502" i="123"/>
  <c r="NV502" i="123"/>
  <c r="LZ502" i="123"/>
  <c r="KG502" i="123"/>
  <c r="LY502" i="123"/>
  <c r="KA502" i="123"/>
  <c r="LE502" i="123"/>
  <c r="JR502" i="123"/>
  <c r="KO502" i="123"/>
  <c r="MF502" i="123"/>
  <c r="KC502" i="123"/>
  <c r="ME502" i="123"/>
  <c r="JU502" i="123"/>
  <c r="LU502" i="123"/>
  <c r="JS502" i="123"/>
  <c r="JN502" i="123"/>
  <c r="MK502" i="123"/>
  <c r="LR502" i="123"/>
  <c r="LF502" i="123"/>
  <c r="JI502" i="123"/>
  <c r="MN502" i="123"/>
  <c r="KJ502" i="123"/>
  <c r="LC502" i="123"/>
  <c r="LA502" i="123"/>
  <c r="KW502" i="123"/>
  <c r="JT502" i="123"/>
  <c r="MD502" i="123"/>
  <c r="OB498" i="123"/>
  <c r="LE498" i="123"/>
  <c r="KC498" i="123"/>
  <c r="JU498" i="123"/>
  <c r="LM498" i="123"/>
  <c r="JZ498" i="123"/>
  <c r="OC498" i="123"/>
  <c r="MM498" i="123"/>
  <c r="KY498" i="123"/>
  <c r="MB498" i="123"/>
  <c r="KK498" i="123"/>
  <c r="LS498" i="123"/>
  <c r="KA498" i="123"/>
  <c r="LQ498" i="123"/>
  <c r="JV498" i="123"/>
  <c r="LX498" i="123"/>
  <c r="JP498" i="123"/>
  <c r="LO498" i="123"/>
  <c r="LC498" i="123"/>
  <c r="LB498" i="123"/>
  <c r="MK498" i="123"/>
  <c r="KH498" i="123"/>
  <c r="LA498" i="123"/>
  <c r="JS498" i="123"/>
  <c r="MO498" i="123"/>
  <c r="MC498" i="123"/>
  <c r="LY498" i="123"/>
  <c r="MB495" i="123"/>
  <c r="LL495" i="123"/>
  <c r="KV495" i="123"/>
  <c r="KF495" i="123"/>
  <c r="JP495" i="123"/>
  <c r="MD495" i="123"/>
  <c r="LM495" i="123"/>
  <c r="KU495" i="123"/>
  <c r="KD495" i="123"/>
  <c r="JK495" i="123"/>
  <c r="NT495" i="123"/>
  <c r="MG495" i="123"/>
  <c r="LN495" i="123"/>
  <c r="KT495" i="123"/>
  <c r="JZ495" i="123"/>
  <c r="LZ495" i="123"/>
  <c r="LH495" i="123"/>
  <c r="KN495" i="123"/>
  <c r="JV495" i="123"/>
  <c r="NS495" i="123"/>
  <c r="LX495" i="123"/>
  <c r="LB495" i="123"/>
  <c r="KH495" i="123"/>
  <c r="JJ495" i="123"/>
  <c r="MN495" i="123"/>
  <c r="LS495" i="123"/>
  <c r="KX495" i="123"/>
  <c r="JY495" i="123"/>
  <c r="MM495" i="123"/>
  <c r="LR495" i="123"/>
  <c r="KW495" i="123"/>
  <c r="JX495" i="123"/>
  <c r="NQ495" i="123"/>
  <c r="ML495" i="123"/>
  <c r="LJ495" i="123"/>
  <c r="KJ495" i="123"/>
  <c r="MI495" i="123"/>
  <c r="LG495" i="123"/>
  <c r="KG495" i="123"/>
  <c r="MH495" i="123"/>
  <c r="LE495" i="123"/>
  <c r="KE495" i="123"/>
  <c r="MF495" i="123"/>
  <c r="LD495" i="123"/>
  <c r="KC495" i="123"/>
  <c r="NY495" i="123"/>
  <c r="LP495" i="123"/>
  <c r="KM495" i="123"/>
  <c r="JO495" i="123"/>
  <c r="LI495" i="123"/>
  <c r="JR495" i="123"/>
  <c r="MK495" i="123"/>
  <c r="KP495" i="123"/>
  <c r="MC495" i="123"/>
  <c r="KL495" i="123"/>
  <c r="NZ495" i="123"/>
  <c r="LY495" i="123"/>
  <c r="KI495" i="123"/>
  <c r="NW495" i="123"/>
  <c r="LW495" i="123"/>
  <c r="JW495" i="123"/>
  <c r="NV495" i="123"/>
  <c r="LV495" i="123"/>
  <c r="JU495" i="123"/>
  <c r="NP495" i="123"/>
  <c r="LT495" i="123"/>
  <c r="JT495" i="123"/>
  <c r="MB491" i="123"/>
  <c r="LI491" i="123"/>
  <c r="KO491" i="123"/>
  <c r="JW491" i="123"/>
  <c r="OB491" i="123"/>
  <c r="MM491" i="123"/>
  <c r="LQ491" i="123"/>
  <c r="KU491" i="123"/>
  <c r="JZ491" i="123"/>
  <c r="MH491" i="123"/>
  <c r="LJ491" i="123"/>
  <c r="KM491" i="123"/>
  <c r="JR491" i="123"/>
  <c r="NZ491" i="123"/>
  <c r="MC491" i="123"/>
  <c r="LE491" i="123"/>
  <c r="KK491" i="123"/>
  <c r="JP491" i="123"/>
  <c r="MA491" i="123"/>
  <c r="LD491" i="123"/>
  <c r="KJ491" i="123"/>
  <c r="JO491" i="123"/>
  <c r="ML491" i="123"/>
  <c r="LC491" i="123"/>
  <c r="KC491" i="123"/>
  <c r="LW491" i="123"/>
  <c r="KR491" i="123"/>
  <c r="LT491" i="123"/>
  <c r="KP491" i="123"/>
  <c r="OC491" i="123"/>
  <c r="LM491" i="123"/>
  <c r="KG491" i="123"/>
  <c r="LK491" i="123"/>
  <c r="KD491" i="123"/>
  <c r="NP488" i="123"/>
  <c r="MN488" i="123"/>
  <c r="LZ488" i="123"/>
  <c r="LL488" i="123"/>
  <c r="KX488" i="123"/>
  <c r="KJ488" i="123"/>
  <c r="JV488" i="123"/>
  <c r="NU488" i="123"/>
  <c r="MB488" i="123"/>
  <c r="LM488" i="123"/>
  <c r="KW488" i="123"/>
  <c r="KH488" i="123"/>
  <c r="JS488" i="123"/>
  <c r="NR488" i="123"/>
  <c r="MM488" i="123"/>
  <c r="LX488" i="123"/>
  <c r="LI488" i="123"/>
  <c r="KT488" i="123"/>
  <c r="KE488" i="123"/>
  <c r="JP488" i="123"/>
  <c r="NZ488" i="123"/>
  <c r="LW488" i="123"/>
  <c r="LF488" i="123"/>
  <c r="KO488" i="123"/>
  <c r="JX488" i="123"/>
  <c r="NT488" i="123"/>
  <c r="MH488" i="123"/>
  <c r="LP488" i="123"/>
  <c r="KV488" i="123"/>
  <c r="KC488" i="123"/>
  <c r="JK488" i="123"/>
  <c r="NS488" i="123"/>
  <c r="MG488" i="123"/>
  <c r="LO488" i="123"/>
  <c r="KU488" i="123"/>
  <c r="KB488" i="123"/>
  <c r="JJ488" i="123"/>
  <c r="MD488" i="123"/>
  <c r="LJ488" i="123"/>
  <c r="KQ488" i="123"/>
  <c r="JY488" i="123"/>
  <c r="NY484" i="123"/>
  <c r="MF484" i="123"/>
  <c r="LQ484" i="123"/>
  <c r="LB484" i="123"/>
  <c r="KM484" i="123"/>
  <c r="JX484" i="123"/>
  <c r="MA484" i="123"/>
  <c r="LK484" i="123"/>
  <c r="KT484" i="123"/>
  <c r="KD484" i="123"/>
  <c r="JN484" i="123"/>
  <c r="MN484" i="123"/>
  <c r="LW484" i="123"/>
  <c r="LG484" i="123"/>
  <c r="KQ484" i="123"/>
  <c r="KA484" i="123"/>
  <c r="MM484" i="123"/>
  <c r="LT484" i="123"/>
  <c r="LA484" i="123"/>
  <c r="KI484" i="123"/>
  <c r="JP484" i="123"/>
  <c r="NW481" i="123"/>
  <c r="MG481" i="123"/>
  <c r="LS481" i="123"/>
  <c r="LE481" i="123"/>
  <c r="KQ481" i="123"/>
  <c r="KC481" i="123"/>
  <c r="JO481" i="123"/>
  <c r="NO481" i="123"/>
  <c r="MK481" i="123"/>
  <c r="LV481" i="123"/>
  <c r="LG481" i="123"/>
  <c r="KR481" i="123"/>
  <c r="KB481" i="123"/>
  <c r="JM481" i="123"/>
  <c r="NR481" i="123"/>
  <c r="ML481" i="123"/>
  <c r="LU481" i="123"/>
  <c r="LD481" i="123"/>
  <c r="KN481" i="123"/>
  <c r="JX481" i="123"/>
  <c r="MO477" i="123"/>
  <c r="MA477" i="123"/>
  <c r="LM477" i="123"/>
  <c r="KY477" i="123"/>
  <c r="KK477" i="123"/>
  <c r="JW477" i="123"/>
  <c r="DL509" i="123"/>
  <c r="DI509" i="123"/>
  <c r="AZ509" i="123"/>
  <c r="AY509" i="123"/>
  <c r="FT509" i="123"/>
  <c r="EP509" i="123"/>
  <c r="DR509" i="123"/>
  <c r="AU509" i="123"/>
  <c r="FN509" i="123"/>
  <c r="EZ509" i="123"/>
  <c r="BF509" i="123"/>
  <c r="DQ509" i="123"/>
  <c r="HI509" i="123"/>
  <c r="NC509" i="123"/>
  <c r="HF509" i="123"/>
  <c r="NA505" i="123"/>
  <c r="IT505" i="123"/>
  <c r="JD505" i="123"/>
  <c r="IR505" i="123"/>
  <c r="NT505" i="123"/>
  <c r="IW505" i="123"/>
  <c r="MY502" i="123"/>
  <c r="HJ502" i="123"/>
  <c r="GF502" i="123"/>
  <c r="FD502" i="123"/>
  <c r="DY502" i="123"/>
  <c r="CW502" i="123"/>
  <c r="BS502" i="123"/>
  <c r="AR502" i="123"/>
  <c r="MW502" i="123"/>
  <c r="HG502" i="123"/>
  <c r="GA502" i="123"/>
  <c r="FC502" i="123"/>
  <c r="DW502" i="123"/>
  <c r="CV502" i="123"/>
  <c r="BR502" i="123"/>
  <c r="AQ502" i="123"/>
  <c r="MU502" i="123"/>
  <c r="HB502" i="123"/>
  <c r="FX502" i="123"/>
  <c r="EW502" i="123"/>
  <c r="DS502" i="123"/>
  <c r="CT502" i="123"/>
  <c r="BP502" i="123"/>
  <c r="AN502" i="123"/>
  <c r="MR502" i="123"/>
  <c r="GX502" i="123"/>
  <c r="FW502" i="123"/>
  <c r="ER502" i="123"/>
  <c r="DQ502" i="123"/>
  <c r="CS502" i="123"/>
  <c r="BO502" i="123"/>
  <c r="AM502" i="123"/>
  <c r="HO502" i="123"/>
  <c r="GJ502" i="123"/>
  <c r="EO502" i="123"/>
  <c r="DB502" i="123"/>
  <c r="BK502" i="123"/>
  <c r="Z502" i="123"/>
  <c r="HK502" i="123"/>
  <c r="FS502" i="123"/>
  <c r="EF502" i="123"/>
  <c r="CL502" i="123"/>
  <c r="BA502" i="123"/>
  <c r="GM502" i="123"/>
  <c r="EP502" i="123"/>
  <c r="CY502" i="123"/>
  <c r="AZ502" i="123"/>
  <c r="FU502" i="123"/>
  <c r="EE502" i="123"/>
  <c r="CG502" i="123"/>
  <c r="AP502" i="123"/>
  <c r="MV502" i="123"/>
  <c r="GL502" i="123"/>
  <c r="EI502" i="123"/>
  <c r="CE502" i="123"/>
  <c r="AA502" i="123"/>
  <c r="FT502" i="123"/>
  <c r="DP502" i="123"/>
  <c r="BX502" i="123"/>
  <c r="FR502" i="123"/>
  <c r="DO502" i="123"/>
  <c r="BQ502" i="123"/>
  <c r="HM502" i="123"/>
  <c r="FI502" i="123"/>
  <c r="DM502" i="123"/>
  <c r="BG502" i="123"/>
  <c r="GQ502" i="123"/>
  <c r="DT502" i="123"/>
  <c r="AV502" i="123"/>
  <c r="GN502" i="123"/>
  <c r="DE502" i="123"/>
  <c r="AG502" i="123"/>
  <c r="FY502" i="123"/>
  <c r="DA502" i="123"/>
  <c r="AB502" i="123"/>
  <c r="FJ502" i="123"/>
  <c r="CU502" i="123"/>
  <c r="Y502" i="123"/>
  <c r="FE502" i="123"/>
  <c r="BF502" i="123"/>
  <c r="EQ502" i="123"/>
  <c r="AS502" i="123"/>
  <c r="EM502" i="123"/>
  <c r="AD502" i="123"/>
  <c r="EL502" i="123"/>
  <c r="X502" i="123"/>
  <c r="GK502" i="123"/>
  <c r="CA502" i="123"/>
  <c r="FG502" i="123"/>
  <c r="DN502" i="123"/>
  <c r="DD502" i="123"/>
  <c r="CH502" i="123"/>
  <c r="IW502" i="123"/>
  <c r="CF502" i="123"/>
  <c r="HN502" i="123"/>
  <c r="BZ502" i="123"/>
  <c r="HL502" i="123"/>
  <c r="BI502" i="123"/>
  <c r="HE502" i="123"/>
  <c r="AW502" i="123"/>
  <c r="NM502" i="123"/>
  <c r="GP502" i="123"/>
  <c r="FH502" i="123"/>
  <c r="IF498" i="123"/>
  <c r="IW498" i="123"/>
  <c r="HV498" i="123"/>
  <c r="NM498" i="123"/>
  <c r="IS498" i="123"/>
  <c r="MZ498" i="123"/>
  <c r="IQ498" i="123"/>
  <c r="IE498" i="123"/>
  <c r="NV498" i="123"/>
  <c r="IX498" i="123"/>
  <c r="NH498" i="123"/>
  <c r="IM498" i="123"/>
  <c r="NG498" i="123"/>
  <c r="IJ498" i="123"/>
  <c r="HY498" i="123"/>
  <c r="NS498" i="123"/>
  <c r="HQ498" i="123"/>
  <c r="NR498" i="123"/>
  <c r="HP498" i="123"/>
  <c r="NI498" i="123"/>
  <c r="JH498" i="123"/>
  <c r="ID498" i="123"/>
  <c r="IU498" i="123"/>
  <c r="ND498" i="123"/>
  <c r="NC498" i="123"/>
  <c r="JB498" i="123"/>
  <c r="JA498" i="123"/>
  <c r="IV498" i="123"/>
  <c r="MR495" i="123"/>
  <c r="HB495" i="123"/>
  <c r="GL495" i="123"/>
  <c r="FV495" i="123"/>
  <c r="FF495" i="123"/>
  <c r="EO495" i="123"/>
  <c r="DY495" i="123"/>
  <c r="DI495" i="123"/>
  <c r="CS495" i="123"/>
  <c r="CC495" i="123"/>
  <c r="BM495" i="123"/>
  <c r="AV495" i="123"/>
  <c r="AF495" i="123"/>
  <c r="MV495" i="123"/>
  <c r="HL495" i="123"/>
  <c r="GT495" i="123"/>
  <c r="GC495" i="123"/>
  <c r="FL495" i="123"/>
  <c r="ET495" i="123"/>
  <c r="EB495" i="123"/>
  <c r="DK495" i="123"/>
  <c r="CT495" i="123"/>
  <c r="CB495" i="123"/>
  <c r="BJ495" i="123"/>
  <c r="AR495" i="123"/>
  <c r="AA495" i="123"/>
  <c r="HE495" i="123"/>
  <c r="GK495" i="123"/>
  <c r="FR495" i="123"/>
  <c r="EZ495" i="123"/>
  <c r="EH495" i="123"/>
  <c r="DN495" i="123"/>
  <c r="CV495" i="123"/>
  <c r="CD495" i="123"/>
  <c r="BH495" i="123"/>
  <c r="AP495" i="123"/>
  <c r="X495" i="123"/>
  <c r="MT495" i="123"/>
  <c r="GY495" i="123"/>
  <c r="GF495" i="123"/>
  <c r="FN495" i="123"/>
  <c r="EU495" i="123"/>
  <c r="EA495" i="123"/>
  <c r="DH495" i="123"/>
  <c r="CP495" i="123"/>
  <c r="BV495" i="123"/>
  <c r="BD495" i="123"/>
  <c r="AL495" i="123"/>
  <c r="MU495" i="123"/>
  <c r="IO495" i="123"/>
  <c r="HT495" i="123"/>
  <c r="GW495" i="123"/>
  <c r="GA495" i="123"/>
  <c r="FD495" i="123"/>
  <c r="EJ495" i="123"/>
  <c r="DM495" i="123"/>
  <c r="CQ495" i="123"/>
  <c r="BT495" i="123"/>
  <c r="AZ495" i="123"/>
  <c r="AC495" i="123"/>
  <c r="NJ495" i="123"/>
  <c r="JE495" i="123"/>
  <c r="IG495" i="123"/>
  <c r="HM495" i="123"/>
  <c r="GQ495" i="123"/>
  <c r="FU495" i="123"/>
  <c r="EY495" i="123"/>
  <c r="ED495" i="123"/>
  <c r="DF495" i="123"/>
  <c r="CJ495" i="123"/>
  <c r="BP495" i="123"/>
  <c r="AS495" i="123"/>
  <c r="NH495" i="123"/>
  <c r="JC495" i="123"/>
  <c r="IF495" i="123"/>
  <c r="HK495" i="123"/>
  <c r="GP495" i="123"/>
  <c r="FT495" i="123"/>
  <c r="EX495" i="123"/>
  <c r="DZ495" i="123"/>
  <c r="DE495" i="123"/>
  <c r="CI495" i="123"/>
  <c r="BO495" i="123"/>
  <c r="AQ495" i="123"/>
  <c r="JG495" i="123"/>
  <c r="ID495" i="123"/>
  <c r="HC495" i="123"/>
  <c r="GB495" i="123"/>
  <c r="FA495" i="123"/>
  <c r="DV495" i="123"/>
  <c r="CW495" i="123"/>
  <c r="BS495" i="123"/>
  <c r="AO495" i="123"/>
  <c r="NK495" i="123"/>
  <c r="JB495" i="123"/>
  <c r="IA495" i="123"/>
  <c r="GZ495" i="123"/>
  <c r="FX495" i="123"/>
  <c r="ES495" i="123"/>
  <c r="DT495" i="123"/>
  <c r="CR495" i="123"/>
  <c r="BQ495" i="123"/>
  <c r="AM495" i="123"/>
  <c r="NF495" i="123"/>
  <c r="JA495" i="123"/>
  <c r="HZ495" i="123"/>
  <c r="GX495" i="123"/>
  <c r="FW495" i="123"/>
  <c r="ER495" i="123"/>
  <c r="DS495" i="123"/>
  <c r="CO495" i="123"/>
  <c r="BN495" i="123"/>
  <c r="AK495" i="123"/>
  <c r="NE495" i="123"/>
  <c r="IX495" i="123"/>
  <c r="HY495" i="123"/>
  <c r="GV495" i="123"/>
  <c r="FQ495" i="123"/>
  <c r="EP495" i="123"/>
  <c r="DQ495" i="123"/>
  <c r="CL495" i="123"/>
  <c r="BL495" i="123"/>
  <c r="AJ495" i="123"/>
  <c r="MQ495" i="123"/>
  <c r="IM495" i="123"/>
  <c r="HH495" i="123"/>
  <c r="GH495" i="123"/>
  <c r="FG495" i="123"/>
  <c r="EE495" i="123"/>
  <c r="CZ495" i="123"/>
  <c r="BZ495" i="123"/>
  <c r="AY495" i="123"/>
  <c r="NA495" i="123"/>
  <c r="HV495" i="123"/>
  <c r="GI495" i="123"/>
  <c r="EM495" i="123"/>
  <c r="CY495" i="123"/>
  <c r="BE495" i="123"/>
  <c r="IS495" i="123"/>
  <c r="HA495" i="123"/>
  <c r="FH495" i="123"/>
  <c r="DJ495" i="123"/>
  <c r="BR495" i="123"/>
  <c r="Y495" i="123"/>
  <c r="IR495" i="123"/>
  <c r="GS495" i="123"/>
  <c r="FC495" i="123"/>
  <c r="DG495" i="123"/>
  <c r="BG495" i="123"/>
  <c r="IN495" i="123"/>
  <c r="GN495" i="123"/>
  <c r="EW495" i="123"/>
  <c r="DB495" i="123"/>
  <c r="BC495" i="123"/>
  <c r="IJ495" i="123"/>
  <c r="GM495" i="123"/>
  <c r="EN495" i="123"/>
  <c r="CX495" i="123"/>
  <c r="BB495" i="123"/>
  <c r="IE495" i="123"/>
  <c r="GJ495" i="123"/>
  <c r="EL495" i="123"/>
  <c r="CU495" i="123"/>
  <c r="BA495" i="123"/>
  <c r="IB495" i="123"/>
  <c r="GE495" i="123"/>
  <c r="EK495" i="123"/>
  <c r="CK495" i="123"/>
  <c r="AX495" i="123"/>
  <c r="NS491" i="123"/>
  <c r="JG491" i="123"/>
  <c r="IP491" i="123"/>
  <c r="HV491" i="123"/>
  <c r="NF491" i="123"/>
  <c r="IQ491" i="123"/>
  <c r="HU491" i="123"/>
  <c r="NU491" i="123"/>
  <c r="NA491" i="123"/>
  <c r="NE491" i="123"/>
  <c r="IY491" i="123"/>
  <c r="IF491" i="123"/>
  <c r="NC491" i="123"/>
  <c r="IW491" i="123"/>
  <c r="ID491" i="123"/>
  <c r="NX491" i="123"/>
  <c r="NB491" i="123"/>
  <c r="IV491" i="123"/>
  <c r="IC491" i="123"/>
  <c r="NM491" i="123"/>
  <c r="JF491" i="123"/>
  <c r="IG491" i="123"/>
  <c r="ND491" i="123"/>
  <c r="IM491" i="123"/>
  <c r="IK491" i="123"/>
  <c r="IH491" i="123"/>
  <c r="NV491" i="123"/>
  <c r="JE491" i="123"/>
  <c r="IB491" i="123"/>
  <c r="HD488" i="123"/>
  <c r="GP488" i="123"/>
  <c r="GB488" i="123"/>
  <c r="FN488" i="123"/>
  <c r="EZ488" i="123"/>
  <c r="EL488" i="123"/>
  <c r="DX488" i="123"/>
  <c r="DJ488" i="123"/>
  <c r="CV488" i="123"/>
  <c r="CH488" i="123"/>
  <c r="BT488" i="123"/>
  <c r="BF488" i="123"/>
  <c r="AR488" i="123"/>
  <c r="AD488" i="123"/>
  <c r="NF488" i="123"/>
  <c r="MQ488" i="123"/>
  <c r="JD488" i="123"/>
  <c r="IO488" i="123"/>
  <c r="HZ488" i="123"/>
  <c r="HK488" i="123"/>
  <c r="GV488" i="123"/>
  <c r="GG488" i="123"/>
  <c r="FR488" i="123"/>
  <c r="FC488" i="123"/>
  <c r="EN488" i="123"/>
  <c r="DY488" i="123"/>
  <c r="DI488" i="123"/>
  <c r="CT488" i="123"/>
  <c r="CE488" i="123"/>
  <c r="BP488" i="123"/>
  <c r="BA488" i="123"/>
  <c r="AL488" i="123"/>
  <c r="A488" i="123"/>
  <c r="NC488" i="123"/>
  <c r="JA488" i="123"/>
  <c r="IL488" i="123"/>
  <c r="HW488" i="123"/>
  <c r="HH488" i="123"/>
  <c r="GS488" i="123"/>
  <c r="GD488" i="123"/>
  <c r="FO488" i="123"/>
  <c r="EY488" i="123"/>
  <c r="EJ488" i="123"/>
  <c r="DU488" i="123"/>
  <c r="DF488" i="123"/>
  <c r="CQ488" i="123"/>
  <c r="CB488" i="123"/>
  <c r="BM488" i="123"/>
  <c r="AX488" i="123"/>
  <c r="AI488" i="123"/>
  <c r="NH488" i="123"/>
  <c r="MP488" i="123"/>
  <c r="JF488" i="123"/>
  <c r="IN488" i="123"/>
  <c r="HV488" i="123"/>
  <c r="HE488" i="123"/>
  <c r="GM488" i="123"/>
  <c r="FV488" i="123"/>
  <c r="FE488" i="123"/>
  <c r="EM488" i="123"/>
  <c r="DT488" i="123"/>
  <c r="DC488" i="123"/>
  <c r="CL488" i="123"/>
  <c r="BU488" i="123"/>
  <c r="BC488" i="123"/>
  <c r="AK488" i="123"/>
  <c r="MZ488" i="123"/>
  <c r="IR488" i="123"/>
  <c r="HY488" i="123"/>
  <c r="HF488" i="123"/>
  <c r="GL488" i="123"/>
  <c r="FT488" i="123"/>
  <c r="FA488" i="123"/>
  <c r="EG488" i="123"/>
  <c r="DO488" i="123"/>
  <c r="CW488" i="123"/>
  <c r="CC488" i="123"/>
  <c r="BJ488" i="123"/>
  <c r="AQ488" i="123"/>
  <c r="Y488" i="123"/>
  <c r="MY488" i="123"/>
  <c r="IQ488" i="123"/>
  <c r="HX488" i="123"/>
  <c r="HC488" i="123"/>
  <c r="GK488" i="123"/>
  <c r="FS488" i="123"/>
  <c r="EX488" i="123"/>
  <c r="EF488" i="123"/>
  <c r="DN488" i="123"/>
  <c r="CU488" i="123"/>
  <c r="CA488" i="123"/>
  <c r="BI488" i="123"/>
  <c r="AP488" i="123"/>
  <c r="X488" i="123"/>
  <c r="NN488" i="123"/>
  <c r="MV488" i="123"/>
  <c r="JE488" i="123"/>
  <c r="IK488" i="123"/>
  <c r="HS488" i="123"/>
  <c r="GZ488" i="123"/>
  <c r="GH488" i="123"/>
  <c r="FM488" i="123"/>
  <c r="EU488" i="123"/>
  <c r="EC488" i="123"/>
  <c r="DK488" i="123"/>
  <c r="CP488" i="123"/>
  <c r="BX488" i="123"/>
  <c r="BE488" i="123"/>
  <c r="AM488" i="123"/>
  <c r="NJ484" i="123"/>
  <c r="IT484" i="123"/>
  <c r="IE484" i="123"/>
  <c r="NV484" i="123"/>
  <c r="NF484" i="123"/>
  <c r="IY484" i="123"/>
  <c r="II484" i="123"/>
  <c r="HS484" i="123"/>
  <c r="NS484" i="123"/>
  <c r="NC484" i="123"/>
  <c r="IV484" i="123"/>
  <c r="IF484" i="123"/>
  <c r="NW484" i="123"/>
  <c r="ND484" i="123"/>
  <c r="IZ484" i="123"/>
  <c r="IG484" i="123"/>
  <c r="MU481" i="123"/>
  <c r="HK481" i="123"/>
  <c r="GW481" i="123"/>
  <c r="GI481" i="123"/>
  <c r="FU481" i="123"/>
  <c r="FG481" i="123"/>
  <c r="ES481" i="123"/>
  <c r="EE481" i="123"/>
  <c r="DQ481" i="123"/>
  <c r="DC481" i="123"/>
  <c r="CO481" i="123"/>
  <c r="CA481" i="123"/>
  <c r="BM481" i="123"/>
  <c r="AY481" i="123"/>
  <c r="AK481" i="123"/>
  <c r="MZ481" i="123"/>
  <c r="NB481" i="123"/>
  <c r="JH481" i="123"/>
  <c r="IS481" i="123"/>
  <c r="ID481" i="123"/>
  <c r="HO481" i="123"/>
  <c r="GZ481" i="123"/>
  <c r="GK481" i="123"/>
  <c r="FV481" i="123"/>
  <c r="FF481" i="123"/>
  <c r="EQ481" i="123"/>
  <c r="EB481" i="123"/>
  <c r="DM481" i="123"/>
  <c r="CX481" i="123"/>
  <c r="CI481" i="123"/>
  <c r="BT481" i="123"/>
  <c r="BE481" i="123"/>
  <c r="AP481" i="123"/>
  <c r="AA481" i="123"/>
  <c r="NQ477" i="123"/>
  <c r="NC477" i="123"/>
  <c r="LD502" i="123"/>
  <c r="X474" i="123"/>
  <c r="AL474" i="123"/>
  <c r="AZ474" i="123"/>
  <c r="BN474" i="123"/>
  <c r="CB474" i="123"/>
  <c r="CP474" i="123"/>
  <c r="DD474" i="123"/>
  <c r="DR474" i="123"/>
  <c r="EF474" i="123"/>
  <c r="ET474" i="123"/>
  <c r="FH474" i="123"/>
  <c r="FV474" i="123"/>
  <c r="GJ474" i="123"/>
  <c r="GX474" i="123"/>
  <c r="HL474" i="123"/>
  <c r="HZ474" i="123"/>
  <c r="IN474" i="123"/>
  <c r="JB474" i="123"/>
  <c r="JP474" i="123"/>
  <c r="KD474" i="123"/>
  <c r="KR474" i="123"/>
  <c r="LF474" i="123"/>
  <c r="LT474" i="123"/>
  <c r="MH474" i="123"/>
  <c r="MV474" i="123"/>
  <c r="AD475" i="123"/>
  <c r="AR475" i="123"/>
  <c r="BF475" i="123"/>
  <c r="BT475" i="123"/>
  <c r="CH475" i="123"/>
  <c r="CV475" i="123"/>
  <c r="DJ475" i="123"/>
  <c r="DX475" i="123"/>
  <c r="EL475" i="123"/>
  <c r="EZ475" i="123"/>
  <c r="FN475" i="123"/>
  <c r="GB475" i="123"/>
  <c r="GP475" i="123"/>
  <c r="HD475" i="123"/>
  <c r="HR475" i="123"/>
  <c r="IF475" i="123"/>
  <c r="IT475" i="123"/>
  <c r="JH475" i="123"/>
  <c r="IC477" i="123"/>
  <c r="IQ477" i="123"/>
  <c r="JE477" i="123"/>
  <c r="JS477" i="123"/>
  <c r="KH477" i="123"/>
  <c r="KW477" i="123"/>
  <c r="LL477" i="123"/>
  <c r="MB477" i="123"/>
  <c r="NF477" i="123"/>
  <c r="NU477" i="123"/>
  <c r="HX478" i="123"/>
  <c r="IM478" i="123"/>
  <c r="JB478" i="123"/>
  <c r="NB478" i="123"/>
  <c r="NR478" i="123"/>
  <c r="AC481" i="123"/>
  <c r="AS481" i="123"/>
  <c r="BI481" i="123"/>
  <c r="BY481" i="123"/>
  <c r="CP481" i="123"/>
  <c r="DF481" i="123"/>
  <c r="DV481" i="123"/>
  <c r="EL481" i="123"/>
  <c r="FB481" i="123"/>
  <c r="FR481" i="123"/>
  <c r="GH481" i="123"/>
  <c r="GY481" i="123"/>
  <c r="HP481" i="123"/>
  <c r="IF481" i="123"/>
  <c r="IV481" i="123"/>
  <c r="JL481" i="123"/>
  <c r="KE481" i="123"/>
  <c r="KV481" i="123"/>
  <c r="LM481" i="123"/>
  <c r="MD481" i="123"/>
  <c r="MV481" i="123"/>
  <c r="NM481" i="123"/>
  <c r="AN482" i="123"/>
  <c r="BE482" i="123"/>
  <c r="BX482" i="123"/>
  <c r="CO482" i="123"/>
  <c r="DF482" i="123"/>
  <c r="DW482" i="123"/>
  <c r="EP482" i="123"/>
  <c r="FG482" i="123"/>
  <c r="FX482" i="123"/>
  <c r="GO482" i="123"/>
  <c r="HG482" i="123"/>
  <c r="HX482" i="123"/>
  <c r="IP482" i="123"/>
  <c r="JG482" i="123"/>
  <c r="MR482" i="123"/>
  <c r="NI482" i="123"/>
  <c r="HV484" i="123"/>
  <c r="IO484" i="123"/>
  <c r="KB484" i="123"/>
  <c r="KW484" i="123"/>
  <c r="LP484" i="123"/>
  <c r="MJ484" i="123"/>
  <c r="NB484" i="123"/>
  <c r="NX484" i="123"/>
  <c r="IF485" i="123"/>
  <c r="IZ485" i="123"/>
  <c r="NS485" i="123"/>
  <c r="Z488" i="123"/>
  <c r="AV488" i="123"/>
  <c r="BS488" i="123"/>
  <c r="CR488" i="123"/>
  <c r="DQ488" i="123"/>
  <c r="EP488" i="123"/>
  <c r="FK488" i="123"/>
  <c r="GJ488" i="123"/>
  <c r="HJ488" i="123"/>
  <c r="IG488" i="123"/>
  <c r="JC488" i="123"/>
  <c r="KD488" i="123"/>
  <c r="LB488" i="123"/>
  <c r="LY488" i="123"/>
  <c r="MW488" i="123"/>
  <c r="NW488" i="123"/>
  <c r="AL489" i="123"/>
  <c r="BI489" i="123"/>
  <c r="CF489" i="123"/>
  <c r="DG489" i="123"/>
  <c r="ED489" i="123"/>
  <c r="EZ489" i="123"/>
  <c r="GB489" i="123"/>
  <c r="GY489" i="123"/>
  <c r="HV489" i="123"/>
  <c r="IU489" i="123"/>
  <c r="NM489" i="123"/>
  <c r="HW491" i="123"/>
  <c r="KT491" i="123"/>
  <c r="MJ491" i="123"/>
  <c r="NR491" i="123"/>
  <c r="IC492" i="123"/>
  <c r="ND492" i="123"/>
  <c r="BW495" i="123"/>
  <c r="FB495" i="123"/>
  <c r="HP495" i="123"/>
  <c r="KZ495" i="123"/>
  <c r="AE496" i="123"/>
  <c r="CV496" i="123"/>
  <c r="FM496" i="123"/>
  <c r="IH496" i="123"/>
  <c r="KR498" i="123"/>
  <c r="AA503" i="123"/>
  <c r="AD481" i="123"/>
  <c r="AT481" i="123"/>
  <c r="BJ481" i="123"/>
  <c r="BZ481" i="123"/>
  <c r="CQ481" i="123"/>
  <c r="DG481" i="123"/>
  <c r="DW481" i="123"/>
  <c r="EM481" i="123"/>
  <c r="FC481" i="123"/>
  <c r="FS481" i="123"/>
  <c r="GJ481" i="123"/>
  <c r="HA481" i="123"/>
  <c r="HQ481" i="123"/>
  <c r="IG481" i="123"/>
  <c r="IW481" i="123"/>
  <c r="JN481" i="123"/>
  <c r="KF481" i="123"/>
  <c r="KW481" i="123"/>
  <c r="LN481" i="123"/>
  <c r="ME481" i="123"/>
  <c r="MW481" i="123"/>
  <c r="NN481" i="123"/>
  <c r="EQ482" i="123"/>
  <c r="FH482" i="123"/>
  <c r="FY482" i="123"/>
  <c r="GQ482" i="123"/>
  <c r="HH482" i="123"/>
  <c r="HY482" i="123"/>
  <c r="IQ482" i="123"/>
  <c r="MS482" i="123"/>
  <c r="NJ482" i="123"/>
  <c r="HW484" i="123"/>
  <c r="IP484" i="123"/>
  <c r="KC484" i="123"/>
  <c r="KX484" i="123"/>
  <c r="LR484" i="123"/>
  <c r="MK484" i="123"/>
  <c r="NE484" i="123"/>
  <c r="NZ484" i="123"/>
  <c r="IH485" i="123"/>
  <c r="JB485" i="123"/>
  <c r="NV485" i="123"/>
  <c r="AA488" i="123"/>
  <c r="AW488" i="123"/>
  <c r="BV488" i="123"/>
  <c r="CS488" i="123"/>
  <c r="DR488" i="123"/>
  <c r="EQ488" i="123"/>
  <c r="FL488" i="123"/>
  <c r="GN488" i="123"/>
  <c r="HL488" i="123"/>
  <c r="IH488" i="123"/>
  <c r="JG488" i="123"/>
  <c r="KF488" i="123"/>
  <c r="LC488" i="123"/>
  <c r="MA488" i="123"/>
  <c r="MX488" i="123"/>
  <c r="NY488" i="123"/>
  <c r="AM489" i="123"/>
  <c r="BJ489" i="123"/>
  <c r="CL489" i="123"/>
  <c r="DH489" i="123"/>
  <c r="EF489" i="123"/>
  <c r="FC489" i="123"/>
  <c r="GC489" i="123"/>
  <c r="GZ489" i="123"/>
  <c r="HW489" i="123"/>
  <c r="IV489" i="123"/>
  <c r="MP489" i="123"/>
  <c r="NN489" i="123"/>
  <c r="IA491" i="123"/>
  <c r="KV491" i="123"/>
  <c r="MN491" i="123"/>
  <c r="NT491" i="123"/>
  <c r="IG492" i="123"/>
  <c r="NE492" i="123"/>
  <c r="CA495" i="123"/>
  <c r="FI495" i="123"/>
  <c r="HU495" i="123"/>
  <c r="LA495" i="123"/>
  <c r="AL496" i="123"/>
  <c r="DI496" i="123"/>
  <c r="FN496" i="123"/>
  <c r="IK496" i="123"/>
  <c r="A498" i="123"/>
  <c r="KU498" i="123"/>
  <c r="BL503" i="123"/>
  <c r="AE481" i="123"/>
  <c r="AU481" i="123"/>
  <c r="BK481" i="123"/>
  <c r="CB481" i="123"/>
  <c r="CR481" i="123"/>
  <c r="DH481" i="123"/>
  <c r="DX481" i="123"/>
  <c r="EN481" i="123"/>
  <c r="FD481" i="123"/>
  <c r="FT481" i="123"/>
  <c r="GL481" i="123"/>
  <c r="HB481" i="123"/>
  <c r="HR481" i="123"/>
  <c r="IH481" i="123"/>
  <c r="IX481" i="123"/>
  <c r="JP481" i="123"/>
  <c r="KG481" i="123"/>
  <c r="KX481" i="123"/>
  <c r="LO481" i="123"/>
  <c r="MF481" i="123"/>
  <c r="MX481" i="123"/>
  <c r="NP481" i="123"/>
  <c r="Y482" i="123"/>
  <c r="AQ482" i="123"/>
  <c r="BI482" i="123"/>
  <c r="BZ482" i="123"/>
  <c r="CQ482" i="123"/>
  <c r="DH482" i="123"/>
  <c r="EA482" i="123"/>
  <c r="ER482" i="123"/>
  <c r="FI482" i="123"/>
  <c r="FZ482" i="123"/>
  <c r="GR482" i="123"/>
  <c r="HI482" i="123"/>
  <c r="IA482" i="123"/>
  <c r="IR482" i="123"/>
  <c r="MT482" i="123"/>
  <c r="NK482" i="123"/>
  <c r="HX484" i="123"/>
  <c r="IQ484" i="123"/>
  <c r="KE484" i="123"/>
  <c r="KY484" i="123"/>
  <c r="LS484" i="123"/>
  <c r="MO484" i="123"/>
  <c r="NG484" i="123"/>
  <c r="OA484" i="123"/>
  <c r="HP485" i="123"/>
  <c r="II485" i="123"/>
  <c r="JC485" i="123"/>
  <c r="MZ485" i="123"/>
  <c r="NW485" i="123"/>
  <c r="AB488" i="123"/>
  <c r="AY488" i="123"/>
  <c r="BW488" i="123"/>
  <c r="CX488" i="123"/>
  <c r="DS488" i="123"/>
  <c r="ER488" i="123"/>
  <c r="FP488" i="123"/>
  <c r="GO488" i="123"/>
  <c r="HM488" i="123"/>
  <c r="II488" i="123"/>
  <c r="JI488" i="123"/>
  <c r="KG488" i="123"/>
  <c r="LD488" i="123"/>
  <c r="MC488" i="123"/>
  <c r="NA488" i="123"/>
  <c r="OA488" i="123"/>
  <c r="AO489" i="123"/>
  <c r="BL489" i="123"/>
  <c r="CM489" i="123"/>
  <c r="DI489" i="123"/>
  <c r="EG489" i="123"/>
  <c r="FE489" i="123"/>
  <c r="GD489" i="123"/>
  <c r="HB489" i="123"/>
  <c r="HX489" i="123"/>
  <c r="IY489" i="123"/>
  <c r="MQ489" i="123"/>
  <c r="IE491" i="123"/>
  <c r="KW491" i="123"/>
  <c r="MO491" i="123"/>
  <c r="NW491" i="123"/>
  <c r="IK492" i="123"/>
  <c r="NG492" i="123"/>
  <c r="CE495" i="123"/>
  <c r="FJ495" i="123"/>
  <c r="IQ495" i="123"/>
  <c r="LK495" i="123"/>
  <c r="AO496" i="123"/>
  <c r="DM496" i="123"/>
  <c r="GC496" i="123"/>
  <c r="IL496" i="123"/>
  <c r="KX498" i="123"/>
  <c r="HU499" i="123"/>
  <c r="DE503" i="123"/>
  <c r="AF481" i="123"/>
  <c r="AV481" i="123"/>
  <c r="BL481" i="123"/>
  <c r="CC481" i="123"/>
  <c r="CS481" i="123"/>
  <c r="DI481" i="123"/>
  <c r="DY481" i="123"/>
  <c r="EO481" i="123"/>
  <c r="FE481" i="123"/>
  <c r="FW481" i="123"/>
  <c r="GM481" i="123"/>
  <c r="HC481" i="123"/>
  <c r="HS481" i="123"/>
  <c r="II481" i="123"/>
  <c r="IY481" i="123"/>
  <c r="JQ481" i="123"/>
  <c r="KH481" i="123"/>
  <c r="KY481" i="123"/>
  <c r="LP481" i="123"/>
  <c r="MH481" i="123"/>
  <c r="MY481" i="123"/>
  <c r="NQ481" i="123"/>
  <c r="MU482" i="123"/>
  <c r="NL482" i="123"/>
  <c r="HY484" i="123"/>
  <c r="IS484" i="123"/>
  <c r="KF484" i="123"/>
  <c r="KZ484" i="123"/>
  <c r="LU484" i="123"/>
  <c r="NH484" i="123"/>
  <c r="OC484" i="123"/>
  <c r="HQ485" i="123"/>
  <c r="IJ485" i="123"/>
  <c r="JF485" i="123"/>
  <c r="NB485" i="123"/>
  <c r="NX485" i="123"/>
  <c r="AC488" i="123"/>
  <c r="AZ488" i="123"/>
  <c r="BY488" i="123"/>
  <c r="CY488" i="123"/>
  <c r="DV488" i="123"/>
  <c r="ES488" i="123"/>
  <c r="FQ488" i="123"/>
  <c r="GQ488" i="123"/>
  <c r="HN488" i="123"/>
  <c r="IJ488" i="123"/>
  <c r="JL488" i="123"/>
  <c r="KI488" i="123"/>
  <c r="LE488" i="123"/>
  <c r="ME488" i="123"/>
  <c r="ND488" i="123"/>
  <c r="OB488" i="123"/>
  <c r="AP489" i="123"/>
  <c r="BN489" i="123"/>
  <c r="CN489" i="123"/>
  <c r="DJ489" i="123"/>
  <c r="EH489" i="123"/>
  <c r="FJ489" i="123"/>
  <c r="GE489" i="123"/>
  <c r="HD489" i="123"/>
  <c r="IA489" i="123"/>
  <c r="IZ489" i="123"/>
  <c r="MS489" i="123"/>
  <c r="II491" i="123"/>
  <c r="KZ491" i="123"/>
  <c r="IN492" i="123"/>
  <c r="NH492" i="123"/>
  <c r="CF495" i="123"/>
  <c r="FM495" i="123"/>
  <c r="IU495" i="123"/>
  <c r="LO495" i="123"/>
  <c r="AR496" i="123"/>
  <c r="DO496" i="123"/>
  <c r="GK496" i="123"/>
  <c r="IN496" i="123"/>
  <c r="HU498" i="123"/>
  <c r="LW498" i="123"/>
  <c r="IA499" i="123"/>
  <c r="DH503" i="123"/>
  <c r="AA499" i="123"/>
  <c r="BB499" i="123"/>
  <c r="FR499" i="123"/>
  <c r="GQ499" i="123"/>
  <c r="IL509" i="123"/>
  <c r="IH509" i="123"/>
  <c r="NH509" i="123"/>
  <c r="NE509" i="123"/>
  <c r="IE509" i="123"/>
  <c r="IV509" i="123"/>
  <c r="HA506" i="123"/>
  <c r="GE506" i="123"/>
  <c r="CE506" i="123"/>
  <c r="AP506" i="123"/>
  <c r="GY506" i="123"/>
  <c r="GD506" i="123"/>
  <c r="BK506" i="123"/>
  <c r="AO506" i="123"/>
  <c r="GV506" i="123"/>
  <c r="GA506" i="123"/>
  <c r="BI506" i="123"/>
  <c r="AJ506" i="123"/>
  <c r="GU506" i="123"/>
  <c r="FZ506" i="123"/>
  <c r="BF506" i="123"/>
  <c r="AH506" i="123"/>
  <c r="HC506" i="123"/>
  <c r="FT506" i="123"/>
  <c r="AU506" i="123"/>
  <c r="MU506" i="123"/>
  <c r="GS506" i="123"/>
  <c r="FP506" i="123"/>
  <c r="AL506" i="123"/>
  <c r="MT506" i="123"/>
  <c r="GO506" i="123"/>
  <c r="FM506" i="123"/>
  <c r="AG506" i="123"/>
  <c r="GT506" i="123"/>
  <c r="BJ506" i="123"/>
  <c r="Y506" i="123"/>
  <c r="MP506" i="123"/>
  <c r="GK506" i="123"/>
  <c r="AY506" i="123"/>
  <c r="GJ506" i="123"/>
  <c r="AX506" i="123"/>
  <c r="GI506" i="123"/>
  <c r="AQ506" i="123"/>
  <c r="FW506" i="123"/>
  <c r="AB506" i="123"/>
  <c r="FU506" i="123"/>
  <c r="AA506" i="123"/>
  <c r="FQ506" i="123"/>
  <c r="GB506" i="123"/>
  <c r="EN506" i="123"/>
  <c r="DS506" i="123"/>
  <c r="BA506" i="123"/>
  <c r="AZ506" i="123"/>
  <c r="HO506" i="123"/>
  <c r="AW506" i="123"/>
  <c r="IG502" i="123"/>
  <c r="IF502" i="123"/>
  <c r="JH502" i="123"/>
  <c r="ID502" i="123"/>
  <c r="JD502" i="123"/>
  <c r="IC502" i="123"/>
  <c r="JC502" i="123"/>
  <c r="IT502" i="123"/>
  <c r="IE502" i="123"/>
  <c r="NL502" i="123"/>
  <c r="HV502" i="123"/>
  <c r="IP502" i="123"/>
  <c r="HZ502" i="123"/>
  <c r="HY502" i="123"/>
  <c r="MZ502" i="123"/>
  <c r="IZ502" i="123"/>
  <c r="IU502" i="123"/>
  <c r="IS502" i="123"/>
  <c r="MX499" i="123"/>
  <c r="HN499" i="123"/>
  <c r="GW499" i="123"/>
  <c r="GI499" i="123"/>
  <c r="FU499" i="123"/>
  <c r="DX499" i="123"/>
  <c r="BI499" i="123"/>
  <c r="AU499" i="123"/>
  <c r="AG499" i="123"/>
  <c r="MT499" i="123"/>
  <c r="HG499" i="123"/>
  <c r="GS499" i="123"/>
  <c r="GE499" i="123"/>
  <c r="FQ499" i="123"/>
  <c r="DD499" i="123"/>
  <c r="BE499" i="123"/>
  <c r="AQ499" i="123"/>
  <c r="AC499" i="123"/>
  <c r="MQ499" i="123"/>
  <c r="GX499" i="123"/>
  <c r="GG499" i="123"/>
  <c r="FP499" i="123"/>
  <c r="CE499" i="123"/>
  <c r="AZ499" i="123"/>
  <c r="AJ499" i="123"/>
  <c r="HL499" i="123"/>
  <c r="GR499" i="123"/>
  <c r="GB499" i="123"/>
  <c r="FA499" i="123"/>
  <c r="BL499" i="123"/>
  <c r="AV499" i="123"/>
  <c r="AE499" i="123"/>
  <c r="HA499" i="123"/>
  <c r="GH499" i="123"/>
  <c r="FN499" i="123"/>
  <c r="BK499" i="123"/>
  <c r="AR499" i="123"/>
  <c r="Y499" i="123"/>
  <c r="MV499" i="123"/>
  <c r="MU499" i="123"/>
  <c r="GU499" i="123"/>
  <c r="GA499" i="123"/>
  <c r="EG499" i="123"/>
  <c r="BF499" i="123"/>
  <c r="AM499" i="123"/>
  <c r="HM499" i="123"/>
  <c r="GN499" i="123"/>
  <c r="FS499" i="123"/>
  <c r="BP499" i="123"/>
  <c r="AO499" i="123"/>
  <c r="MW499" i="123"/>
  <c r="HD499" i="123"/>
  <c r="GJ499" i="123"/>
  <c r="EZ499" i="123"/>
  <c r="BD499" i="123"/>
  <c r="AI499" i="123"/>
  <c r="MS499" i="123"/>
  <c r="HC499" i="123"/>
  <c r="GF499" i="123"/>
  <c r="EW499" i="123"/>
  <c r="BC499" i="123"/>
  <c r="AH499" i="123"/>
  <c r="NB488" i="123"/>
  <c r="NI481" i="123"/>
  <c r="AP499" i="123"/>
  <c r="DC499" i="123"/>
  <c r="GC499" i="123"/>
  <c r="HF499" i="123"/>
  <c r="IA502" i="123"/>
  <c r="HD506" i="123"/>
  <c r="AS499" i="123"/>
  <c r="DE499" i="123"/>
  <c r="GD499" i="123"/>
  <c r="HK499" i="123"/>
  <c r="IJ502" i="123"/>
  <c r="NH502" i="123"/>
  <c r="HM506" i="123"/>
  <c r="MQ506" i="123"/>
  <c r="AT499" i="123"/>
  <c r="DI499" i="123"/>
  <c r="GK499" i="123"/>
  <c r="HO499" i="123"/>
  <c r="IQ502" i="123"/>
  <c r="NI502" i="123"/>
  <c r="HN506" i="123"/>
  <c r="MX506" i="123"/>
  <c r="AX499" i="123"/>
  <c r="EB499" i="123"/>
  <c r="GM499" i="123"/>
  <c r="NN502" i="123"/>
  <c r="Z506" i="123"/>
  <c r="MJ506" i="123"/>
  <c r="LO506" i="123"/>
  <c r="KS506" i="123"/>
  <c r="JU506" i="123"/>
  <c r="MI506" i="123"/>
  <c r="LL506" i="123"/>
  <c r="KP506" i="123"/>
  <c r="JR506" i="123"/>
  <c r="MF506" i="123"/>
  <c r="LG506" i="123"/>
  <c r="KL506" i="123"/>
  <c r="JP506" i="123"/>
  <c r="MB506" i="123"/>
  <c r="LF506" i="123"/>
  <c r="KJ506" i="123"/>
  <c r="JO506" i="123"/>
  <c r="LW506" i="123"/>
  <c r="KV506" i="123"/>
  <c r="JN506" i="123"/>
  <c r="LT506" i="123"/>
  <c r="KM506" i="123"/>
  <c r="JJ506" i="123"/>
  <c r="LR506" i="123"/>
  <c r="KH506" i="123"/>
  <c r="LP506" i="123"/>
  <c r="KC506" i="123"/>
  <c r="LC506" i="123"/>
  <c r="JV506" i="123"/>
  <c r="MN506" i="123"/>
  <c r="LB506" i="123"/>
  <c r="JQ506" i="123"/>
  <c r="MK506" i="123"/>
  <c r="KG506" i="123"/>
  <c r="NW506" i="123"/>
  <c r="LX506" i="123"/>
  <c r="KD506" i="123"/>
  <c r="NT506" i="123"/>
  <c r="LV506" i="123"/>
  <c r="KB506" i="123"/>
  <c r="LQ506" i="123"/>
  <c r="JM506" i="123"/>
  <c r="LK506" i="123"/>
  <c r="JL506" i="123"/>
  <c r="MJ499" i="123"/>
  <c r="LV499" i="123"/>
  <c r="LH499" i="123"/>
  <c r="KT499" i="123"/>
  <c r="KF499" i="123"/>
  <c r="JR499" i="123"/>
  <c r="NZ499" i="123"/>
  <c r="MF499" i="123"/>
  <c r="LR499" i="123"/>
  <c r="LD499" i="123"/>
  <c r="KP499" i="123"/>
  <c r="KB499" i="123"/>
  <c r="JN499" i="123"/>
  <c r="OB499" i="123"/>
  <c r="MA499" i="123"/>
  <c r="LK499" i="123"/>
  <c r="KU499" i="123"/>
  <c r="KD499" i="123"/>
  <c r="JM499" i="123"/>
  <c r="NS499" i="123"/>
  <c r="MM499" i="123"/>
  <c r="LW499" i="123"/>
  <c r="LF499" i="123"/>
  <c r="KO499" i="123"/>
  <c r="JY499" i="123"/>
  <c r="JI499" i="123"/>
  <c r="NR499" i="123"/>
  <c r="MG499" i="123"/>
  <c r="LN499" i="123"/>
  <c r="KV499" i="123"/>
  <c r="KA499" i="123"/>
  <c r="NO499" i="123"/>
  <c r="MC499" i="123"/>
  <c r="LJ499" i="123"/>
  <c r="KQ499" i="123"/>
  <c r="JW499" i="123"/>
  <c r="MB499" i="123"/>
  <c r="LI499" i="123"/>
  <c r="KN499" i="123"/>
  <c r="JV499" i="123"/>
  <c r="NX492" i="123"/>
  <c r="MG492" i="123"/>
  <c r="LS492" i="123"/>
  <c r="LE492" i="123"/>
  <c r="KQ492" i="123"/>
  <c r="KC492" i="123"/>
  <c r="JO492" i="123"/>
  <c r="MJ492" i="123"/>
  <c r="LU492" i="123"/>
  <c r="LF492" i="123"/>
  <c r="KP492" i="123"/>
  <c r="KA492" i="123"/>
  <c r="JL492" i="123"/>
  <c r="NZ485" i="123"/>
  <c r="MJ485" i="123"/>
  <c r="LV485" i="123"/>
  <c r="LH485" i="123"/>
  <c r="KT485" i="123"/>
  <c r="KF485" i="123"/>
  <c r="JR485" i="123"/>
  <c r="KW506" i="123"/>
  <c r="NZ506" i="123"/>
  <c r="LW508" i="123"/>
  <c r="KZ508" i="123"/>
  <c r="KF508" i="123"/>
  <c r="JI508" i="123"/>
  <c r="LV508" i="123"/>
  <c r="KY508" i="123"/>
  <c r="KE508" i="123"/>
  <c r="MN508" i="123"/>
  <c r="LT508" i="123"/>
  <c r="KW508" i="123"/>
  <c r="KC508" i="123"/>
  <c r="MM508" i="123"/>
  <c r="LS508" i="123"/>
  <c r="KV508" i="123"/>
  <c r="JV508" i="123"/>
  <c r="LU508" i="123"/>
  <c r="KL508" i="123"/>
  <c r="JK508" i="123"/>
  <c r="LL508" i="123"/>
  <c r="KI508" i="123"/>
  <c r="MO508" i="123"/>
  <c r="LK508" i="123"/>
  <c r="KH508" i="123"/>
  <c r="MH508" i="123"/>
  <c r="KT508" i="123"/>
  <c r="JJ508" i="123"/>
  <c r="MB508" i="123"/>
  <c r="KK508" i="123"/>
  <c r="MA508" i="123"/>
  <c r="KJ508" i="123"/>
  <c r="LM508" i="123"/>
  <c r="JU508" i="123"/>
  <c r="KS508" i="123"/>
  <c r="MI508" i="123"/>
  <c r="KD508" i="123"/>
  <c r="MG508" i="123"/>
  <c r="JT508" i="123"/>
  <c r="LX508" i="123"/>
  <c r="JR508" i="123"/>
  <c r="LO508" i="123"/>
  <c r="JQ508" i="123"/>
  <c r="NQ504" i="123"/>
  <c r="MI504" i="123"/>
  <c r="JW504" i="123"/>
  <c r="MJ501" i="123"/>
  <c r="LV501" i="123"/>
  <c r="LH501" i="123"/>
  <c r="KT501" i="123"/>
  <c r="KF501" i="123"/>
  <c r="JR501" i="123"/>
  <c r="MI501" i="123"/>
  <c r="MG501" i="123"/>
  <c r="LS501" i="123"/>
  <c r="LE501" i="123"/>
  <c r="KQ501" i="123"/>
  <c r="KC501" i="123"/>
  <c r="JO501" i="123"/>
  <c r="MF501" i="123"/>
  <c r="LR501" i="123"/>
  <c r="LD501" i="123"/>
  <c r="KP501" i="123"/>
  <c r="KB501" i="123"/>
  <c r="JN501" i="123"/>
  <c r="MK501" i="123"/>
  <c r="LP501" i="123"/>
  <c r="KY501" i="123"/>
  <c r="KH501" i="123"/>
  <c r="JP501" i="123"/>
  <c r="MC501" i="123"/>
  <c r="LL501" i="123"/>
  <c r="KU501" i="123"/>
  <c r="KA501" i="123"/>
  <c r="JJ501" i="123"/>
  <c r="LX501" i="123"/>
  <c r="LB501" i="123"/>
  <c r="KI501" i="123"/>
  <c r="JL501" i="123"/>
  <c r="MN501" i="123"/>
  <c r="LQ501" i="123"/>
  <c r="KW501" i="123"/>
  <c r="JZ501" i="123"/>
  <c r="MA501" i="123"/>
  <c r="LC501" i="123"/>
  <c r="KE501" i="123"/>
  <c r="LW501" i="123"/>
  <c r="KX501" i="123"/>
  <c r="JX501" i="123"/>
  <c r="LU501" i="123"/>
  <c r="KV501" i="123"/>
  <c r="JW501" i="123"/>
  <c r="LO501" i="123"/>
  <c r="KR501" i="123"/>
  <c r="JU501" i="123"/>
  <c r="KV497" i="123"/>
  <c r="KP497" i="123"/>
  <c r="ME497" i="123"/>
  <c r="JW497" i="123"/>
  <c r="NY497" i="123"/>
  <c r="LN497" i="123"/>
  <c r="KY497" i="123"/>
  <c r="NR494" i="123"/>
  <c r="MN494" i="123"/>
  <c r="LZ494" i="123"/>
  <c r="LL494" i="123"/>
  <c r="KX494" i="123"/>
  <c r="KJ494" i="123"/>
  <c r="JV494" i="123"/>
  <c r="MG494" i="123"/>
  <c r="LR494" i="123"/>
  <c r="LC494" i="123"/>
  <c r="KN494" i="123"/>
  <c r="JY494" i="123"/>
  <c r="JJ494" i="123"/>
  <c r="MB494" i="123"/>
  <c r="LK494" i="123"/>
  <c r="KU494" i="123"/>
  <c r="KE494" i="123"/>
  <c r="JO494" i="123"/>
  <c r="NU494" i="123"/>
  <c r="MM494" i="123"/>
  <c r="LW494" i="123"/>
  <c r="LG494" i="123"/>
  <c r="KQ494" i="123"/>
  <c r="KA494" i="123"/>
  <c r="JK494" i="123"/>
  <c r="OA490" i="123"/>
  <c r="LX490" i="123"/>
  <c r="KY490" i="123"/>
  <c r="JX490" i="123"/>
  <c r="NT487" i="123"/>
  <c r="MB487" i="123"/>
  <c r="LN487" i="123"/>
  <c r="KZ487" i="123"/>
  <c r="KL487" i="123"/>
  <c r="JX487" i="123"/>
  <c r="JJ487" i="123"/>
  <c r="MA483" i="123"/>
  <c r="LL483" i="123"/>
  <c r="KW483" i="123"/>
  <c r="KH483" i="123"/>
  <c r="JS483" i="123"/>
  <c r="NP480" i="123"/>
  <c r="MN480" i="123"/>
  <c r="LZ480" i="123"/>
  <c r="LL480" i="123"/>
  <c r="KX480" i="123"/>
  <c r="KZ506" i="123"/>
  <c r="LE506" i="123"/>
  <c r="LA508" i="123"/>
  <c r="NW507" i="123"/>
  <c r="NF507" i="123"/>
  <c r="IX507" i="123"/>
  <c r="IJ507" i="123"/>
  <c r="HV507" i="123"/>
  <c r="NU507" i="123"/>
  <c r="NE507" i="123"/>
  <c r="IW507" i="123"/>
  <c r="II507" i="123"/>
  <c r="HU507" i="123"/>
  <c r="NR507" i="123"/>
  <c r="NC507" i="123"/>
  <c r="IU507" i="123"/>
  <c r="IG507" i="123"/>
  <c r="HS507" i="123"/>
  <c r="NQ507" i="123"/>
  <c r="NB507" i="123"/>
  <c r="JH507" i="123"/>
  <c r="IT507" i="123"/>
  <c r="IF507" i="123"/>
  <c r="HR507" i="123"/>
  <c r="NJ507" i="123"/>
  <c r="IS507" i="123"/>
  <c r="IA507" i="123"/>
  <c r="NG507" i="123"/>
  <c r="IP507" i="123"/>
  <c r="HX507" i="123"/>
  <c r="ND507" i="123"/>
  <c r="JG507" i="123"/>
  <c r="IO507" i="123"/>
  <c r="HW507" i="123"/>
  <c r="JC507" i="123"/>
  <c r="ID507" i="123"/>
  <c r="IZ507" i="123"/>
  <c r="HZ507" i="123"/>
  <c r="NS507" i="123"/>
  <c r="IY507" i="123"/>
  <c r="HY507" i="123"/>
  <c r="NM507" i="123"/>
  <c r="IQ507" i="123"/>
  <c r="HP507" i="123"/>
  <c r="NI507" i="123"/>
  <c r="IC507" i="123"/>
  <c r="MZ507" i="123"/>
  <c r="JD507" i="123"/>
  <c r="HQ507" i="123"/>
  <c r="JB507" i="123"/>
  <c r="IV507" i="123"/>
  <c r="IR507" i="123"/>
  <c r="GH504" i="123"/>
  <c r="EC504" i="123"/>
  <c r="NP500" i="123"/>
  <c r="NB500" i="123"/>
  <c r="JH500" i="123"/>
  <c r="IT500" i="123"/>
  <c r="IF500" i="123"/>
  <c r="HR500" i="123"/>
  <c r="NO500" i="123"/>
  <c r="NA500" i="123"/>
  <c r="JG500" i="123"/>
  <c r="IS500" i="123"/>
  <c r="IE500" i="123"/>
  <c r="NT500" i="123"/>
  <c r="ND500" i="123"/>
  <c r="JF500" i="123"/>
  <c r="IP500" i="123"/>
  <c r="HZ500" i="123"/>
  <c r="NN500" i="123"/>
  <c r="JB500" i="123"/>
  <c r="IL500" i="123"/>
  <c r="HV500" i="123"/>
  <c r="NI500" i="123"/>
  <c r="IR500" i="123"/>
  <c r="HY500" i="123"/>
  <c r="NW500" i="123"/>
  <c r="NE500" i="123"/>
  <c r="JE500" i="123"/>
  <c r="IM500" i="123"/>
  <c r="HT500" i="123"/>
  <c r="NM500" i="123"/>
  <c r="IU500" i="123"/>
  <c r="HW500" i="123"/>
  <c r="NJ500" i="123"/>
  <c r="IN500" i="123"/>
  <c r="HQ500" i="123"/>
  <c r="NH500" i="123"/>
  <c r="IK500" i="123"/>
  <c r="HP500" i="123"/>
  <c r="MW497" i="123"/>
  <c r="IT497" i="123"/>
  <c r="HA497" i="123"/>
  <c r="EW497" i="123"/>
  <c r="CX497" i="123"/>
  <c r="AW497" i="123"/>
  <c r="MV497" i="123"/>
  <c r="IM497" i="123"/>
  <c r="GJ497" i="123"/>
  <c r="EE497" i="123"/>
  <c r="HT497" i="123"/>
  <c r="FW497" i="123"/>
  <c r="DR497" i="123"/>
  <c r="BN497" i="123"/>
  <c r="JF497" i="123"/>
  <c r="GL497" i="123"/>
  <c r="ED497" i="123"/>
  <c r="BU497" i="123"/>
  <c r="NJ497" i="123"/>
  <c r="IH497" i="123"/>
  <c r="FX497" i="123"/>
  <c r="DI497" i="123"/>
  <c r="BA497" i="123"/>
  <c r="NW493" i="123"/>
  <c r="NI493" i="123"/>
  <c r="JA493" i="123"/>
  <c r="IM493" i="123"/>
  <c r="HY493" i="123"/>
  <c r="NT493" i="123"/>
  <c r="NE493" i="123"/>
  <c r="IV493" i="123"/>
  <c r="IG493" i="123"/>
  <c r="HR493" i="123"/>
  <c r="NU493" i="123"/>
  <c r="ND493" i="123"/>
  <c r="IT493" i="123"/>
  <c r="ID493" i="123"/>
  <c r="NP493" i="123"/>
  <c r="MZ493" i="123"/>
  <c r="JF493" i="123"/>
  <c r="IP493" i="123"/>
  <c r="HZ493" i="123"/>
  <c r="A493" i="123"/>
  <c r="NC490" i="123"/>
  <c r="JA490" i="123"/>
  <c r="HY490" i="123"/>
  <c r="HA490" i="123"/>
  <c r="GB490" i="123"/>
  <c r="FD490" i="123"/>
  <c r="EF490" i="123"/>
  <c r="DK490" i="123"/>
  <c r="CR490" i="123"/>
  <c r="BV490" i="123"/>
  <c r="BC490" i="123"/>
  <c r="AG490" i="123"/>
  <c r="NL486" i="123"/>
  <c r="JD486" i="123"/>
  <c r="IP486" i="123"/>
  <c r="IB486" i="123"/>
  <c r="NE483" i="123"/>
  <c r="MP483" i="123"/>
  <c r="JD483" i="123"/>
  <c r="IO483" i="123"/>
  <c r="HZ483" i="123"/>
  <c r="HK483" i="123"/>
  <c r="GU483" i="123"/>
  <c r="GF483" i="123"/>
  <c r="FQ483" i="123"/>
  <c r="FB483" i="123"/>
  <c r="EM483" i="123"/>
  <c r="DX483" i="123"/>
  <c r="DI483" i="123"/>
  <c r="CT483" i="123"/>
  <c r="CE483" i="123"/>
  <c r="BP483" i="123"/>
  <c r="BA483" i="123"/>
  <c r="AL483" i="123"/>
  <c r="LM497" i="123"/>
  <c r="JK499" i="123"/>
  <c r="KI499" i="123"/>
  <c r="LE499" i="123"/>
  <c r="ME499" i="123"/>
  <c r="JQ501" i="123"/>
  <c r="KZ501" i="123"/>
  <c r="ME501" i="123"/>
  <c r="LY506" i="123"/>
  <c r="IM507" i="123"/>
  <c r="LF508" i="123"/>
  <c r="NI495" i="123"/>
  <c r="IZ495" i="123"/>
  <c r="II495" i="123"/>
  <c r="HR495" i="123"/>
  <c r="NM495" i="123"/>
  <c r="IT495" i="123"/>
  <c r="IC495" i="123"/>
  <c r="MU492" i="123"/>
  <c r="HK492" i="123"/>
  <c r="GT492" i="123"/>
  <c r="GF492" i="123"/>
  <c r="FR492" i="123"/>
  <c r="ER492" i="123"/>
  <c r="DL492" i="123"/>
  <c r="BY492" i="123"/>
  <c r="BD492" i="123"/>
  <c r="IE508" i="123"/>
  <c r="JH508" i="123"/>
  <c r="ID508" i="123"/>
  <c r="JC508" i="123"/>
  <c r="IB508" i="123"/>
  <c r="JB508" i="123"/>
  <c r="HZ508" i="123"/>
  <c r="HR508" i="123"/>
  <c r="IW508" i="123"/>
  <c r="IV508" i="123"/>
  <c r="NE508" i="123"/>
  <c r="IT508" i="123"/>
  <c r="ND508" i="123"/>
  <c r="IN508" i="123"/>
  <c r="IG508" i="123"/>
  <c r="FY505" i="123"/>
  <c r="MS505" i="123"/>
  <c r="FM505" i="123"/>
  <c r="FH505" i="123"/>
  <c r="FF505" i="123"/>
  <c r="BU505" i="123"/>
  <c r="CT505" i="123"/>
  <c r="BJ505" i="123"/>
  <c r="AZ505" i="123"/>
  <c r="NL501" i="123"/>
  <c r="JD501" i="123"/>
  <c r="IP501" i="123"/>
  <c r="IB501" i="123"/>
  <c r="NK501" i="123"/>
  <c r="NI501" i="123"/>
  <c r="JA501" i="123"/>
  <c r="IM501" i="123"/>
  <c r="HY501" i="123"/>
  <c r="NH501" i="123"/>
  <c r="IZ501" i="123"/>
  <c r="IL501" i="123"/>
  <c r="HX501" i="123"/>
  <c r="IW501" i="123"/>
  <c r="IF501" i="123"/>
  <c r="NM501" i="123"/>
  <c r="IS501" i="123"/>
  <c r="IA501" i="123"/>
  <c r="NF501" i="123"/>
  <c r="IR501" i="123"/>
  <c r="HV501" i="123"/>
  <c r="NB501" i="123"/>
  <c r="JG501" i="123"/>
  <c r="IK501" i="123"/>
  <c r="HR501" i="123"/>
  <c r="MR498" i="123"/>
  <c r="HH498" i="123"/>
  <c r="GE498" i="123"/>
  <c r="FF498" i="123"/>
  <c r="EE498" i="123"/>
  <c r="DB498" i="123"/>
  <c r="CF498" i="123"/>
  <c r="BC498" i="123"/>
  <c r="AC498" i="123"/>
  <c r="MP498" i="123"/>
  <c r="GS498" i="123"/>
  <c r="FQ498" i="123"/>
  <c r="EN498" i="123"/>
  <c r="DM498" i="123"/>
  <c r="CI498" i="123"/>
  <c r="BH498" i="123"/>
  <c r="AD498" i="123"/>
  <c r="HL498" i="123"/>
  <c r="GN498" i="123"/>
  <c r="FH498" i="123"/>
  <c r="EI498" i="123"/>
  <c r="DA498" i="123"/>
  <c r="BZ498" i="123"/>
  <c r="AW498" i="123"/>
  <c r="NB494" i="123"/>
  <c r="JH494" i="123"/>
  <c r="IT494" i="123"/>
  <c r="IF494" i="123"/>
  <c r="HR494" i="123"/>
  <c r="NK494" i="123"/>
  <c r="IU494" i="123"/>
  <c r="IE494" i="123"/>
  <c r="HP494" i="123"/>
  <c r="HY481" i="123"/>
  <c r="IM481" i="123"/>
  <c r="JA481" i="123"/>
  <c r="AF485" i="123"/>
  <c r="AT485" i="123"/>
  <c r="BH485" i="123"/>
  <c r="BV485" i="123"/>
  <c r="CK485" i="123"/>
  <c r="DA485" i="123"/>
  <c r="DP485" i="123"/>
  <c r="EE485" i="123"/>
  <c r="ET485" i="123"/>
  <c r="FI485" i="123"/>
  <c r="FW485" i="123"/>
  <c r="GK485" i="123"/>
  <c r="GY485" i="123"/>
  <c r="HN485" i="123"/>
  <c r="HR488" i="123"/>
  <c r="IF488" i="123"/>
  <c r="IT488" i="123"/>
  <c r="JH488" i="123"/>
  <c r="AB492" i="123"/>
  <c r="AP492" i="123"/>
  <c r="BE492" i="123"/>
  <c r="CC492" i="123"/>
  <c r="DR492" i="123"/>
  <c r="EW492" i="123"/>
  <c r="FW492" i="123"/>
  <c r="GL492" i="123"/>
  <c r="HA492" i="123"/>
  <c r="MY492" i="123"/>
  <c r="HQ495" i="123"/>
  <c r="IL495" i="123"/>
  <c r="JD495" i="123"/>
  <c r="NL495" i="123"/>
  <c r="IC501" i="123"/>
  <c r="IY501" i="123"/>
  <c r="NJ501" i="123"/>
  <c r="BM505" i="123"/>
  <c r="HP508" i="123"/>
  <c r="HX495" i="123"/>
  <c r="IP495" i="123"/>
  <c r="JH495" i="123"/>
  <c r="MZ495" i="123"/>
  <c r="IH501" i="123"/>
  <c r="JF501" i="123"/>
  <c r="FJ505" i="123"/>
  <c r="IF508" i="123"/>
  <c r="LS505" i="123"/>
  <c r="KZ505" i="123"/>
  <c r="KU505" i="123"/>
  <c r="NW498" i="123"/>
  <c r="LR498" i="123"/>
  <c r="KN498" i="123"/>
  <c r="JN498" i="123"/>
  <c r="NO498" i="123"/>
  <c r="MN498" i="123"/>
  <c r="LJ498" i="123"/>
  <c r="KI498" i="123"/>
  <c r="JI498" i="123"/>
  <c r="KZ498" i="123"/>
  <c r="MG498" i="123"/>
  <c r="JI505" i="123"/>
  <c r="NT509" i="123"/>
  <c r="MJ505" i="123"/>
  <c r="OA498" i="123"/>
  <c r="NX495" i="123"/>
  <c r="NX488" i="123"/>
  <c r="OB484" i="123"/>
  <c r="NX481" i="123"/>
  <c r="DV505" i="123"/>
  <c r="MS498" i="123"/>
  <c r="A492" i="123"/>
  <c r="HU464" i="123"/>
  <c r="II464" i="123"/>
  <c r="IW464" i="123"/>
  <c r="NE464" i="123"/>
  <c r="NS464" i="123"/>
  <c r="HV464" i="123"/>
  <c r="IJ464" i="123"/>
  <c r="IX464" i="123"/>
  <c r="NF464" i="123"/>
  <c r="NT464" i="123"/>
  <c r="HY464" i="123"/>
  <c r="IM464" i="123"/>
  <c r="JA464" i="123"/>
  <c r="NI464" i="123"/>
  <c r="HZ464" i="123"/>
  <c r="IN464" i="123"/>
  <c r="JB464" i="123"/>
  <c r="NJ464" i="123"/>
  <c r="NX464" i="123"/>
  <c r="NW464" i="123"/>
  <c r="IA464" i="123"/>
  <c r="IO464" i="123"/>
  <c r="JC464" i="123"/>
  <c r="A508" i="123"/>
  <c r="NX508" i="123"/>
  <c r="NW508" i="123"/>
  <c r="NR508" i="123"/>
  <c r="NO508" i="123"/>
  <c r="OC508" i="123"/>
  <c r="NZ508" i="123"/>
  <c r="NS508" i="123"/>
  <c r="NQ508" i="123"/>
  <c r="NP508" i="123"/>
  <c r="HG506" i="123"/>
  <c r="EX506" i="123"/>
  <c r="ED506" i="123"/>
  <c r="DH506" i="123"/>
  <c r="CN506" i="123"/>
  <c r="BS506" i="123"/>
  <c r="HF506" i="123"/>
  <c r="EW506" i="123"/>
  <c r="EB506" i="123"/>
  <c r="DG506" i="123"/>
  <c r="CM506" i="123"/>
  <c r="BR506" i="123"/>
  <c r="EU506" i="123"/>
  <c r="EA506" i="123"/>
  <c r="DE506" i="123"/>
  <c r="CK506" i="123"/>
  <c r="BP506" i="123"/>
  <c r="ER506" i="123"/>
  <c r="DR506" i="123"/>
  <c r="CP506" i="123"/>
  <c r="BL506" i="123"/>
  <c r="EQ506" i="123"/>
  <c r="DQ506" i="123"/>
  <c r="CJ506" i="123"/>
  <c r="FK506" i="123"/>
  <c r="EJ506" i="123"/>
  <c r="DD506" i="123"/>
  <c r="CD506" i="123"/>
  <c r="FJ506" i="123"/>
  <c r="EI506" i="123"/>
  <c r="DC506" i="123"/>
  <c r="CC506" i="123"/>
  <c r="FC506" i="123"/>
  <c r="DV506" i="123"/>
  <c r="CX506" i="123"/>
  <c r="BT506" i="123"/>
  <c r="EZ506" i="123"/>
  <c r="DU506" i="123"/>
  <c r="CV506" i="123"/>
  <c r="BO506" i="123"/>
  <c r="EY506" i="123"/>
  <c r="DT506" i="123"/>
  <c r="CT506" i="123"/>
  <c r="BN506" i="123"/>
  <c r="FH506" i="123"/>
  <c r="DB506" i="123"/>
  <c r="FF506" i="123"/>
  <c r="CZ506" i="123"/>
  <c r="FE506" i="123"/>
  <c r="CY506" i="123"/>
  <c r="EF506" i="123"/>
  <c r="DL506" i="123"/>
  <c r="HJ506" i="123"/>
  <c r="CR506" i="123"/>
  <c r="HI506" i="123"/>
  <c r="CH506" i="123"/>
  <c r="EL506" i="123"/>
  <c r="CA506" i="123"/>
  <c r="BV506" i="123"/>
  <c r="BM506" i="123"/>
  <c r="ES506" i="123"/>
  <c r="EK506" i="123"/>
  <c r="EG506" i="123"/>
  <c r="DX506" i="123"/>
  <c r="DO506" i="123"/>
  <c r="DM506" i="123"/>
  <c r="CB506" i="123"/>
  <c r="FL506" i="123"/>
  <c r="NS504" i="123"/>
  <c r="NE504" i="123"/>
  <c r="MC504" i="123"/>
  <c r="LO504" i="123"/>
  <c r="LA504" i="123"/>
  <c r="KM504" i="123"/>
  <c r="JY504" i="123"/>
  <c r="JK504" i="123"/>
  <c r="IW504" i="123"/>
  <c r="II504" i="123"/>
  <c r="HU504" i="123"/>
  <c r="HG504" i="123"/>
  <c r="GS504" i="123"/>
  <c r="GE504" i="123"/>
  <c r="FQ504" i="123"/>
  <c r="FC504" i="123"/>
  <c r="EO504" i="123"/>
  <c r="EA504" i="123"/>
  <c r="DM504" i="123"/>
  <c r="CY504" i="123"/>
  <c r="CK504" i="123"/>
  <c r="BW504" i="123"/>
  <c r="BI504" i="123"/>
  <c r="AU504" i="123"/>
  <c r="AG504" i="123"/>
  <c r="OA504" i="123"/>
  <c r="NL504" i="123"/>
  <c r="MW504" i="123"/>
  <c r="MH504" i="123"/>
  <c r="LS504" i="123"/>
  <c r="LD504" i="123"/>
  <c r="KO504" i="123"/>
  <c r="JZ504" i="123"/>
  <c r="JJ504" i="123"/>
  <c r="IU504" i="123"/>
  <c r="IF504" i="123"/>
  <c r="HQ504" i="123"/>
  <c r="HB504" i="123"/>
  <c r="GM504" i="123"/>
  <c r="FX504" i="123"/>
  <c r="FI504" i="123"/>
  <c r="ET504" i="123"/>
  <c r="EE504" i="123"/>
  <c r="DP504" i="123"/>
  <c r="DA504" i="123"/>
  <c r="CL504" i="123"/>
  <c r="BV504" i="123"/>
  <c r="BG504" i="123"/>
  <c r="AR504" i="123"/>
  <c r="AC504" i="123"/>
  <c r="OB504" i="123"/>
  <c r="NK504" i="123"/>
  <c r="MU504" i="123"/>
  <c r="ME504" i="123"/>
  <c r="LN504" i="123"/>
  <c r="KX504" i="123"/>
  <c r="KH504" i="123"/>
  <c r="JR504" i="123"/>
  <c r="JB504" i="123"/>
  <c r="IL504" i="123"/>
  <c r="HV504" i="123"/>
  <c r="HE504" i="123"/>
  <c r="GO504" i="123"/>
  <c r="FY504" i="123"/>
  <c r="FH504" i="123"/>
  <c r="ER504" i="123"/>
  <c r="EB504" i="123"/>
  <c r="DK504" i="123"/>
  <c r="CU504" i="123"/>
  <c r="CE504" i="123"/>
  <c r="BO504" i="123"/>
  <c r="AY504" i="123"/>
  <c r="AI504" i="123"/>
  <c r="NX504" i="123"/>
  <c r="NH504" i="123"/>
  <c r="MA504" i="123"/>
  <c r="LK504" i="123"/>
  <c r="KU504" i="123"/>
  <c r="KE504" i="123"/>
  <c r="JO504" i="123"/>
  <c r="IY504" i="123"/>
  <c r="IH504" i="123"/>
  <c r="HR504" i="123"/>
  <c r="HA504" i="123"/>
  <c r="GK504" i="123"/>
  <c r="FU504" i="123"/>
  <c r="FE504" i="123"/>
  <c r="EN504" i="123"/>
  <c r="DX504" i="123"/>
  <c r="DH504" i="123"/>
  <c r="CR504" i="123"/>
  <c r="CB504" i="123"/>
  <c r="BL504" i="123"/>
  <c r="AV504" i="123"/>
  <c r="AE504" i="123"/>
  <c r="NW504" i="123"/>
  <c r="NG504" i="123"/>
  <c r="LZ504" i="123"/>
  <c r="LJ504" i="123"/>
  <c r="KT504" i="123"/>
  <c r="KD504" i="123"/>
  <c r="JN504" i="123"/>
  <c r="IX504" i="123"/>
  <c r="IG504" i="123"/>
  <c r="HP504" i="123"/>
  <c r="GZ504" i="123"/>
  <c r="GJ504" i="123"/>
  <c r="FT504" i="123"/>
  <c r="FD504" i="123"/>
  <c r="EM504" i="123"/>
  <c r="DW504" i="123"/>
  <c r="DG504" i="123"/>
  <c r="CQ504" i="123"/>
  <c r="CA504" i="123"/>
  <c r="BK504" i="123"/>
  <c r="AT504" i="123"/>
  <c r="AD504" i="123"/>
  <c r="NV504" i="123"/>
  <c r="NF504" i="123"/>
  <c r="MO504" i="123"/>
  <c r="LY504" i="123"/>
  <c r="LI504" i="123"/>
  <c r="KS504" i="123"/>
  <c r="KC504" i="123"/>
  <c r="JM504" i="123"/>
  <c r="IV504" i="123"/>
  <c r="IE504" i="123"/>
  <c r="HO504" i="123"/>
  <c r="GY504" i="123"/>
  <c r="GI504" i="123"/>
  <c r="FS504" i="123"/>
  <c r="FB504" i="123"/>
  <c r="EL504" i="123"/>
  <c r="DV504" i="123"/>
  <c r="DF504" i="123"/>
  <c r="CP504" i="123"/>
  <c r="BZ504" i="123"/>
  <c r="BJ504" i="123"/>
  <c r="AS504" i="123"/>
  <c r="AB504" i="123"/>
  <c r="NO504" i="123"/>
  <c r="LU504" i="123"/>
  <c r="KY504" i="123"/>
  <c r="KA504" i="123"/>
  <c r="JE504" i="123"/>
  <c r="IJ504" i="123"/>
  <c r="HK504" i="123"/>
  <c r="GP504" i="123"/>
  <c r="FP504" i="123"/>
  <c r="EV504" i="123"/>
  <c r="DY504" i="123"/>
  <c r="DB504" i="123"/>
  <c r="CF504" i="123"/>
  <c r="BF504" i="123"/>
  <c r="AL504" i="123"/>
  <c r="NN504" i="123"/>
  <c r="MN504" i="123"/>
  <c r="LT504" i="123"/>
  <c r="KW504" i="123"/>
  <c r="JX504" i="123"/>
  <c r="JD504" i="123"/>
  <c r="ID504" i="123"/>
  <c r="HJ504" i="123"/>
  <c r="GN504" i="123"/>
  <c r="FO504" i="123"/>
  <c r="EU504" i="123"/>
  <c r="DU504" i="123"/>
  <c r="CZ504" i="123"/>
  <c r="CD504" i="123"/>
  <c r="BE504" i="123"/>
  <c r="AK504" i="123"/>
  <c r="ND504" i="123"/>
  <c r="MJ504" i="123"/>
  <c r="LM504" i="123"/>
  <c r="KP504" i="123"/>
  <c r="JT504" i="123"/>
  <c r="IT504" i="123"/>
  <c r="HZ504" i="123"/>
  <c r="HD504" i="123"/>
  <c r="GF504" i="123"/>
  <c r="FK504" i="123"/>
  <c r="EK504" i="123"/>
  <c r="DQ504" i="123"/>
  <c r="CT504" i="123"/>
  <c r="BU504" i="123"/>
  <c r="BA504" i="123"/>
  <c r="AA504" i="123"/>
  <c r="NT504" i="123"/>
  <c r="MY504" i="123"/>
  <c r="MB504" i="123"/>
  <c r="LE504" i="123"/>
  <c r="KI504" i="123"/>
  <c r="JI504" i="123"/>
  <c r="IO504" i="123"/>
  <c r="HS504" i="123"/>
  <c r="GU504" i="123"/>
  <c r="FZ504" i="123"/>
  <c r="EZ504" i="123"/>
  <c r="EF504" i="123"/>
  <c r="DI504" i="123"/>
  <c r="CJ504" i="123"/>
  <c r="BP504" i="123"/>
  <c r="AP504" i="123"/>
  <c r="NR504" i="123"/>
  <c r="MX504" i="123"/>
  <c r="LX504" i="123"/>
  <c r="LC504" i="123"/>
  <c r="KG504" i="123"/>
  <c r="JH504" i="123"/>
  <c r="IN504" i="123"/>
  <c r="HN504" i="123"/>
  <c r="GT504" i="123"/>
  <c r="FW504" i="123"/>
  <c r="EY504" i="123"/>
  <c r="ED504" i="123"/>
  <c r="DE504" i="123"/>
  <c r="CI504" i="123"/>
  <c r="BN504" i="123"/>
  <c r="AO504" i="123"/>
  <c r="NM504" i="123"/>
  <c r="MF504" i="123"/>
  <c r="KR504" i="123"/>
  <c r="JL504" i="123"/>
  <c r="IA504" i="123"/>
  <c r="GR504" i="123"/>
  <c r="FJ504" i="123"/>
  <c r="DZ504" i="123"/>
  <c r="CO504" i="123"/>
  <c r="BD504" i="123"/>
  <c r="X504" i="123"/>
  <c r="NJ504" i="123"/>
  <c r="MD504" i="123"/>
  <c r="KQ504" i="123"/>
  <c r="JG504" i="123"/>
  <c r="HY504" i="123"/>
  <c r="GQ504" i="123"/>
  <c r="FG504" i="123"/>
  <c r="DT504" i="123"/>
  <c r="CN504" i="123"/>
  <c r="BC504" i="123"/>
  <c r="NI504" i="123"/>
  <c r="LW504" i="123"/>
  <c r="KN504" i="123"/>
  <c r="JF504" i="123"/>
  <c r="HX504" i="123"/>
  <c r="GL504" i="123"/>
  <c r="FF504" i="123"/>
  <c r="DS504" i="123"/>
  <c r="CM504" i="123"/>
  <c r="BB504" i="123"/>
  <c r="NY504" i="123"/>
  <c r="MG504" i="123"/>
  <c r="KJ504" i="123"/>
  <c r="IQ504" i="123"/>
  <c r="GX504" i="123"/>
  <c r="FA504" i="123"/>
  <c r="DL504" i="123"/>
  <c r="BS504" i="123"/>
  <c r="Z504" i="123"/>
  <c r="NB504" i="123"/>
  <c r="LL504" i="123"/>
  <c r="JU504" i="123"/>
  <c r="IB504" i="123"/>
  <c r="GD504" i="123"/>
  <c r="EP504" i="123"/>
  <c r="CW504" i="123"/>
  <c r="AZ504" i="123"/>
  <c r="NA504" i="123"/>
  <c r="LH504" i="123"/>
  <c r="JS504" i="123"/>
  <c r="HW504" i="123"/>
  <c r="GC504" i="123"/>
  <c r="EJ504" i="123"/>
  <c r="CV504" i="123"/>
  <c r="AX504" i="123"/>
  <c r="MZ504" i="123"/>
  <c r="LG504" i="123"/>
  <c r="JQ504" i="123"/>
  <c r="HT504" i="123"/>
  <c r="GB504" i="123"/>
  <c r="EI504" i="123"/>
  <c r="CS504" i="123"/>
  <c r="AW504" i="123"/>
  <c r="ML504" i="123"/>
  <c r="KV504" i="123"/>
  <c r="IZ504" i="123"/>
  <c r="HH504" i="123"/>
  <c r="FN504" i="123"/>
  <c r="DR504" i="123"/>
  <c r="BY504" i="123"/>
  <c r="AJ504" i="123"/>
  <c r="MV504" i="123"/>
  <c r="KF504" i="123"/>
  <c r="HL504" i="123"/>
  <c r="EW504" i="123"/>
  <c r="CC504" i="123"/>
  <c r="MT504" i="123"/>
  <c r="KB504" i="123"/>
  <c r="HI504" i="123"/>
  <c r="ES504" i="123"/>
  <c r="BX504" i="123"/>
  <c r="MK504" i="123"/>
  <c r="JV504" i="123"/>
  <c r="HC504" i="123"/>
  <c r="EH504" i="123"/>
  <c r="BR504" i="123"/>
  <c r="OC504" i="123"/>
  <c r="KZ504" i="123"/>
  <c r="HF504" i="123"/>
  <c r="DO504" i="123"/>
  <c r="AM504" i="123"/>
  <c r="NZ504" i="123"/>
  <c r="KL504" i="123"/>
  <c r="GW504" i="123"/>
  <c r="DN504" i="123"/>
  <c r="AH504" i="123"/>
  <c r="NU504" i="123"/>
  <c r="KK504" i="123"/>
  <c r="GV504" i="123"/>
  <c r="DJ504" i="123"/>
  <c r="AF504" i="123"/>
  <c r="NP504" i="123"/>
  <c r="JP504" i="123"/>
  <c r="GG504" i="123"/>
  <c r="DC504" i="123"/>
  <c r="NC504" i="123"/>
  <c r="JC504" i="123"/>
  <c r="GA504" i="123"/>
  <c r="CX504" i="123"/>
  <c r="LV504" i="123"/>
  <c r="IR504" i="123"/>
  <c r="FM504" i="123"/>
  <c r="BT504" i="123"/>
  <c r="LR504" i="123"/>
  <c r="IP504" i="123"/>
  <c r="FL504" i="123"/>
  <c r="BQ504" i="123"/>
  <c r="LQ504" i="123"/>
  <c r="IM504" i="123"/>
  <c r="EX504" i="123"/>
  <c r="BM504" i="123"/>
  <c r="LP504" i="123"/>
  <c r="IK504" i="123"/>
  <c r="EQ504" i="123"/>
  <c r="BH504" i="123"/>
  <c r="LF504" i="123"/>
  <c r="IC504" i="123"/>
  <c r="EG504" i="123"/>
  <c r="AQ504" i="123"/>
  <c r="L502" i="123"/>
  <c r="M502" i="123" s="1"/>
  <c r="A502" i="123"/>
  <c r="NZ501" i="123"/>
  <c r="NX501" i="123"/>
  <c r="OC501" i="123"/>
  <c r="OB501" i="123"/>
  <c r="NY501" i="123"/>
  <c r="NW501" i="123"/>
  <c r="NV501" i="123"/>
  <c r="A501" i="123"/>
  <c r="NU501" i="123"/>
  <c r="NP501" i="123"/>
  <c r="NO501" i="123"/>
  <c r="NR501" i="123"/>
  <c r="NQ501" i="123"/>
  <c r="OA501" i="123"/>
  <c r="NT501" i="123"/>
  <c r="HJ499" i="123"/>
  <c r="FF499" i="123"/>
  <c r="ER499" i="123"/>
  <c r="ED499" i="123"/>
  <c r="DP499" i="123"/>
  <c r="FE499" i="123"/>
  <c r="EP499" i="123"/>
  <c r="EA499" i="123"/>
  <c r="DL499" i="123"/>
  <c r="CX499" i="123"/>
  <c r="CJ499" i="123"/>
  <c r="BV499" i="123"/>
  <c r="HI499" i="123"/>
  <c r="FD499" i="123"/>
  <c r="EO499" i="123"/>
  <c r="DZ499" i="123"/>
  <c r="DK499" i="123"/>
  <c r="CW499" i="123"/>
  <c r="CI499" i="123"/>
  <c r="BU499" i="123"/>
  <c r="HH499" i="123"/>
  <c r="FC499" i="123"/>
  <c r="EN499" i="123"/>
  <c r="DY499" i="123"/>
  <c r="DJ499" i="123"/>
  <c r="CV499" i="123"/>
  <c r="CH499" i="123"/>
  <c r="BT499" i="123"/>
  <c r="FB499" i="123"/>
  <c r="EJ499" i="123"/>
  <c r="DR499" i="123"/>
  <c r="CZ499" i="123"/>
  <c r="CF499" i="123"/>
  <c r="BO499" i="123"/>
  <c r="FK499" i="123"/>
  <c r="EQ499" i="123"/>
  <c r="DU499" i="123"/>
  <c r="DB499" i="123"/>
  <c r="CG499" i="123"/>
  <c r="BN499" i="123"/>
  <c r="FH499" i="123"/>
  <c r="EI499" i="123"/>
  <c r="DN499" i="123"/>
  <c r="CR499" i="123"/>
  <c r="BY499" i="123"/>
  <c r="FG499" i="123"/>
  <c r="EH499" i="123"/>
  <c r="DM499" i="123"/>
  <c r="CQ499" i="123"/>
  <c r="BX499" i="123"/>
  <c r="EY499" i="123"/>
  <c r="EE499" i="123"/>
  <c r="DG499" i="123"/>
  <c r="CN499" i="123"/>
  <c r="BR499" i="123"/>
  <c r="EX499" i="123"/>
  <c r="EC499" i="123"/>
  <c r="DF499" i="123"/>
  <c r="CM499" i="123"/>
  <c r="BQ499" i="123"/>
  <c r="ET499" i="123"/>
  <c r="DV499" i="123"/>
  <c r="DA499" i="123"/>
  <c r="CD499" i="123"/>
  <c r="ES499" i="123"/>
  <c r="DT499" i="123"/>
  <c r="CY499" i="123"/>
  <c r="CC499" i="123"/>
  <c r="FL499" i="123"/>
  <c r="EM499" i="123"/>
  <c r="DS499" i="123"/>
  <c r="CU499" i="123"/>
  <c r="CB499" i="123"/>
  <c r="FJ499" i="123"/>
  <c r="EL499" i="123"/>
  <c r="DQ499" i="123"/>
  <c r="CT499" i="123"/>
  <c r="CA499" i="123"/>
  <c r="NT497" i="123"/>
  <c r="NF497" i="123"/>
  <c r="MR497" i="123"/>
  <c r="MD497" i="123"/>
  <c r="LP497" i="123"/>
  <c r="LB497" i="123"/>
  <c r="KN497" i="123"/>
  <c r="JZ497" i="123"/>
  <c r="JL497" i="123"/>
  <c r="IX497" i="123"/>
  <c r="IJ497" i="123"/>
  <c r="HV497" i="123"/>
  <c r="HH497" i="123"/>
  <c r="GT497" i="123"/>
  <c r="GF497" i="123"/>
  <c r="FR497" i="123"/>
  <c r="FD497" i="123"/>
  <c r="EP497" i="123"/>
  <c r="EB497" i="123"/>
  <c r="DN497" i="123"/>
  <c r="CZ497" i="123"/>
  <c r="CL497" i="123"/>
  <c r="BX497" i="123"/>
  <c r="BJ497" i="123"/>
  <c r="AV497" i="123"/>
  <c r="AH497" i="123"/>
  <c r="NS497" i="123"/>
  <c r="NE497" i="123"/>
  <c r="MQ497" i="123"/>
  <c r="MC497" i="123"/>
  <c r="LO497" i="123"/>
  <c r="LA497" i="123"/>
  <c r="KM497" i="123"/>
  <c r="JY497" i="123"/>
  <c r="JK497" i="123"/>
  <c r="IW497" i="123"/>
  <c r="II497" i="123"/>
  <c r="HU497" i="123"/>
  <c r="HG497" i="123"/>
  <c r="GS497" i="123"/>
  <c r="GE497" i="123"/>
  <c r="FQ497" i="123"/>
  <c r="FC497" i="123"/>
  <c r="EO497" i="123"/>
  <c r="EA497" i="123"/>
  <c r="DM497" i="123"/>
  <c r="CY497" i="123"/>
  <c r="CK497" i="123"/>
  <c r="BW497" i="123"/>
  <c r="BI497" i="123"/>
  <c r="AU497" i="123"/>
  <c r="AG497" i="123"/>
  <c r="NW497" i="123"/>
  <c r="NG497" i="123"/>
  <c r="MO497" i="123"/>
  <c r="LY497" i="123"/>
  <c r="LI497" i="123"/>
  <c r="KS497" i="123"/>
  <c r="KC497" i="123"/>
  <c r="JM497" i="123"/>
  <c r="IU497" i="123"/>
  <c r="IE497" i="123"/>
  <c r="HO497" i="123"/>
  <c r="GY497" i="123"/>
  <c r="GI497" i="123"/>
  <c r="FS497" i="123"/>
  <c r="FA497" i="123"/>
  <c r="EK497" i="123"/>
  <c r="DU497" i="123"/>
  <c r="DE497" i="123"/>
  <c r="CO497" i="123"/>
  <c r="BY497" i="123"/>
  <c r="BG497" i="123"/>
  <c r="AQ497" i="123"/>
  <c r="AA497" i="123"/>
  <c r="OB497" i="123"/>
  <c r="NK497" i="123"/>
  <c r="MT497" i="123"/>
  <c r="MA497" i="123"/>
  <c r="LJ497" i="123"/>
  <c r="KR497" i="123"/>
  <c r="KA497" i="123"/>
  <c r="JH497" i="123"/>
  <c r="IQ497" i="123"/>
  <c r="HZ497" i="123"/>
  <c r="HI497" i="123"/>
  <c r="GP497" i="123"/>
  <c r="FY497" i="123"/>
  <c r="FH497" i="123"/>
  <c r="EQ497" i="123"/>
  <c r="DX497" i="123"/>
  <c r="DG497" i="123"/>
  <c r="CP497" i="123"/>
  <c r="BV497" i="123"/>
  <c r="BE497" i="123"/>
  <c r="AN497" i="123"/>
  <c r="OA497" i="123"/>
  <c r="NI497" i="123"/>
  <c r="MN497" i="123"/>
  <c r="LV497" i="123"/>
  <c r="LD497" i="123"/>
  <c r="KJ497" i="123"/>
  <c r="JR497" i="123"/>
  <c r="IZ497" i="123"/>
  <c r="IF497" i="123"/>
  <c r="HM497" i="123"/>
  <c r="GU497" i="123"/>
  <c r="GA497" i="123"/>
  <c r="FI497" i="123"/>
  <c r="EN497" i="123"/>
  <c r="DV497" i="123"/>
  <c r="DC497" i="123"/>
  <c r="CI497" i="123"/>
  <c r="BQ497" i="123"/>
  <c r="AY497" i="123"/>
  <c r="AE497" i="123"/>
  <c r="NZ497" i="123"/>
  <c r="NH497" i="123"/>
  <c r="MM497" i="123"/>
  <c r="LU497" i="123"/>
  <c r="LC497" i="123"/>
  <c r="KI497" i="123"/>
  <c r="JQ497" i="123"/>
  <c r="IY497" i="123"/>
  <c r="ID497" i="123"/>
  <c r="HL497" i="123"/>
  <c r="GR497" i="123"/>
  <c r="FZ497" i="123"/>
  <c r="FG497" i="123"/>
  <c r="EM497" i="123"/>
  <c r="DT497" i="123"/>
  <c r="DB497" i="123"/>
  <c r="CH497" i="123"/>
  <c r="BP497" i="123"/>
  <c r="AX497" i="123"/>
  <c r="AD497" i="123"/>
  <c r="NV497" i="123"/>
  <c r="NB497" i="123"/>
  <c r="MJ497" i="123"/>
  <c r="LR497" i="123"/>
  <c r="KX497" i="123"/>
  <c r="KF497" i="123"/>
  <c r="JN497" i="123"/>
  <c r="IS497" i="123"/>
  <c r="IA497" i="123"/>
  <c r="HF497" i="123"/>
  <c r="GN497" i="123"/>
  <c r="FV497" i="123"/>
  <c r="FB497" i="123"/>
  <c r="EI497" i="123"/>
  <c r="DQ497" i="123"/>
  <c r="CW497" i="123"/>
  <c r="CE497" i="123"/>
  <c r="BM497" i="123"/>
  <c r="AS497" i="123"/>
  <c r="Z497" i="123"/>
  <c r="NU497" i="123"/>
  <c r="NA497" i="123"/>
  <c r="MI497" i="123"/>
  <c r="LQ497" i="123"/>
  <c r="KW497" i="123"/>
  <c r="KE497" i="123"/>
  <c r="JJ497" i="123"/>
  <c r="IR497" i="123"/>
  <c r="HY497" i="123"/>
  <c r="HE497" i="123"/>
  <c r="GM497" i="123"/>
  <c r="FU497" i="123"/>
  <c r="EZ497" i="123"/>
  <c r="EH497" i="123"/>
  <c r="DP497" i="123"/>
  <c r="CV497" i="123"/>
  <c r="CD497" i="123"/>
  <c r="BL497" i="123"/>
  <c r="AR497" i="123"/>
  <c r="Y497" i="123"/>
  <c r="NM497" i="123"/>
  <c r="MU497" i="123"/>
  <c r="LZ497" i="123"/>
  <c r="LG497" i="123"/>
  <c r="KO497" i="123"/>
  <c r="JU497" i="123"/>
  <c r="JC497" i="123"/>
  <c r="IK497" i="123"/>
  <c r="HQ497" i="123"/>
  <c r="GX497" i="123"/>
  <c r="GD497" i="123"/>
  <c r="FL497" i="123"/>
  <c r="ET497" i="123"/>
  <c r="DZ497" i="123"/>
  <c r="DH497" i="123"/>
  <c r="CN497" i="123"/>
  <c r="BT497" i="123"/>
  <c r="BB497" i="123"/>
  <c r="AJ497" i="123"/>
  <c r="OC494" i="123"/>
  <c r="NO494" i="123"/>
  <c r="NX494" i="123"/>
  <c r="NV494" i="123"/>
  <c r="OB494" i="123"/>
  <c r="NY494" i="123"/>
  <c r="A494" i="123"/>
  <c r="NP494" i="123"/>
  <c r="FA492" i="123"/>
  <c r="EM492" i="123"/>
  <c r="DY492" i="123"/>
  <c r="DK492" i="123"/>
  <c r="CW492" i="123"/>
  <c r="CI492" i="123"/>
  <c r="BU492" i="123"/>
  <c r="EX492" i="123"/>
  <c r="EI492" i="123"/>
  <c r="DT492" i="123"/>
  <c r="DE492" i="123"/>
  <c r="CP492" i="123"/>
  <c r="CA492" i="123"/>
  <c r="BL492" i="123"/>
  <c r="HH492" i="123"/>
  <c r="FD492" i="123"/>
  <c r="EN492" i="123"/>
  <c r="DW492" i="123"/>
  <c r="DG492" i="123"/>
  <c r="CQ492" i="123"/>
  <c r="BZ492" i="123"/>
  <c r="HF492" i="123"/>
  <c r="EZ492" i="123"/>
  <c r="EH492" i="123"/>
  <c r="DQ492" i="123"/>
  <c r="CZ492" i="123"/>
  <c r="CH492" i="123"/>
  <c r="BQ492" i="123"/>
  <c r="EY492" i="123"/>
  <c r="EG492" i="123"/>
  <c r="DP492" i="123"/>
  <c r="CY492" i="123"/>
  <c r="CG492" i="123"/>
  <c r="BP492" i="123"/>
  <c r="FL492" i="123"/>
  <c r="EU492" i="123"/>
  <c r="ED492" i="123"/>
  <c r="DM492" i="123"/>
  <c r="CU492" i="123"/>
  <c r="CD492" i="123"/>
  <c r="BM492" i="123"/>
  <c r="HJ492" i="123"/>
  <c r="FE492" i="123"/>
  <c r="EL492" i="123"/>
  <c r="DU492" i="123"/>
  <c r="DC492" i="123"/>
  <c r="CL492" i="123"/>
  <c r="BT492" i="123"/>
  <c r="NP490" i="123"/>
  <c r="NB490" i="123"/>
  <c r="MN490" i="123"/>
  <c r="LZ490" i="123"/>
  <c r="LL490" i="123"/>
  <c r="KX490" i="123"/>
  <c r="KJ490" i="123"/>
  <c r="JV490" i="123"/>
  <c r="NO490" i="123"/>
  <c r="MZ490" i="123"/>
  <c r="MK490" i="123"/>
  <c r="LV490" i="123"/>
  <c r="LG490" i="123"/>
  <c r="KR490" i="123"/>
  <c r="KC490" i="123"/>
  <c r="JN490" i="123"/>
  <c r="IZ490" i="123"/>
  <c r="IL490" i="123"/>
  <c r="HX490" i="123"/>
  <c r="HJ490" i="123"/>
  <c r="GV490" i="123"/>
  <c r="GH490" i="123"/>
  <c r="FT490" i="123"/>
  <c r="FF490" i="123"/>
  <c r="ER490" i="123"/>
  <c r="ED490" i="123"/>
  <c r="DP490" i="123"/>
  <c r="DB490" i="123"/>
  <c r="CN490" i="123"/>
  <c r="BZ490" i="123"/>
  <c r="BL490" i="123"/>
  <c r="AX490" i="123"/>
  <c r="AJ490" i="123"/>
  <c r="A490" i="123"/>
  <c r="OC490" i="123"/>
  <c r="NN490" i="123"/>
  <c r="MY490" i="123"/>
  <c r="MJ490" i="123"/>
  <c r="LU490" i="123"/>
  <c r="LF490" i="123"/>
  <c r="KQ490" i="123"/>
  <c r="KB490" i="123"/>
  <c r="JM490" i="123"/>
  <c r="IY490" i="123"/>
  <c r="IK490" i="123"/>
  <c r="HW490" i="123"/>
  <c r="HI490" i="123"/>
  <c r="GU490" i="123"/>
  <c r="GG490" i="123"/>
  <c r="FS490" i="123"/>
  <c r="FE490" i="123"/>
  <c r="EQ490" i="123"/>
  <c r="EC490" i="123"/>
  <c r="DO490" i="123"/>
  <c r="DA490" i="123"/>
  <c r="CM490" i="123"/>
  <c r="BY490" i="123"/>
  <c r="BK490" i="123"/>
  <c r="AW490" i="123"/>
  <c r="AI490" i="123"/>
  <c r="NZ490" i="123"/>
  <c r="NK490" i="123"/>
  <c r="MV490" i="123"/>
  <c r="MG490" i="123"/>
  <c r="LR490" i="123"/>
  <c r="LC490" i="123"/>
  <c r="KN490" i="123"/>
  <c r="JY490" i="123"/>
  <c r="JJ490" i="123"/>
  <c r="IV490" i="123"/>
  <c r="IH490" i="123"/>
  <c r="HT490" i="123"/>
  <c r="HF490" i="123"/>
  <c r="GR490" i="123"/>
  <c r="GD490" i="123"/>
  <c r="FP490" i="123"/>
  <c r="FB490" i="123"/>
  <c r="EN490" i="123"/>
  <c r="NS490" i="123"/>
  <c r="ND490" i="123"/>
  <c r="MO490" i="123"/>
  <c r="LY490" i="123"/>
  <c r="LJ490" i="123"/>
  <c r="KU490" i="123"/>
  <c r="KF490" i="123"/>
  <c r="JQ490" i="123"/>
  <c r="JC490" i="123"/>
  <c r="IO490" i="123"/>
  <c r="IA490" i="123"/>
  <c r="HM490" i="123"/>
  <c r="GY490" i="123"/>
  <c r="GK490" i="123"/>
  <c r="FW490" i="123"/>
  <c r="FI490" i="123"/>
  <c r="EU490" i="123"/>
  <c r="EG490" i="123"/>
  <c r="DS490" i="123"/>
  <c r="DE490" i="123"/>
  <c r="CQ490" i="123"/>
  <c r="CC490" i="123"/>
  <c r="BO490" i="123"/>
  <c r="BA490" i="123"/>
  <c r="AM490" i="123"/>
  <c r="Y490" i="123"/>
  <c r="NR487" i="123"/>
  <c r="NQ487" i="123"/>
  <c r="NU487" i="123"/>
  <c r="HH485" i="123"/>
  <c r="FD485" i="123"/>
  <c r="EP485" i="123"/>
  <c r="EB485" i="123"/>
  <c r="DN485" i="123"/>
  <c r="CZ485" i="123"/>
  <c r="CL485" i="123"/>
  <c r="BX485" i="123"/>
  <c r="NV483" i="123"/>
  <c r="NH483" i="123"/>
  <c r="MT483" i="123"/>
  <c r="MF483" i="123"/>
  <c r="LR483" i="123"/>
  <c r="LD483" i="123"/>
  <c r="KP483" i="123"/>
  <c r="KB483" i="123"/>
  <c r="JN483" i="123"/>
  <c r="IZ483" i="123"/>
  <c r="IL483" i="123"/>
  <c r="HX483" i="123"/>
  <c r="HJ483" i="123"/>
  <c r="GV483" i="123"/>
  <c r="GH483" i="123"/>
  <c r="FT483" i="123"/>
  <c r="FF483" i="123"/>
  <c r="ER483" i="123"/>
  <c r="ED483" i="123"/>
  <c r="DP483" i="123"/>
  <c r="DB483" i="123"/>
  <c r="CN483" i="123"/>
  <c r="BZ483" i="123"/>
  <c r="BL483" i="123"/>
  <c r="AX483" i="123"/>
  <c r="AJ483" i="123"/>
  <c r="A483" i="123"/>
  <c r="HH478" i="123"/>
  <c r="FD478" i="123"/>
  <c r="EP478" i="123"/>
  <c r="EB478" i="123"/>
  <c r="DN478" i="123"/>
  <c r="CZ478" i="123"/>
  <c r="CL478" i="123"/>
  <c r="BX478" i="123"/>
  <c r="NV476" i="123"/>
  <c r="NH476" i="123"/>
  <c r="MT476" i="123"/>
  <c r="MF476" i="123"/>
  <c r="LR476" i="123"/>
  <c r="LD476" i="123"/>
  <c r="KP476" i="123"/>
  <c r="KB476" i="123"/>
  <c r="JN476" i="123"/>
  <c r="IZ476" i="123"/>
  <c r="IL476" i="123"/>
  <c r="HX476" i="123"/>
  <c r="HJ476" i="123"/>
  <c r="GV476" i="123"/>
  <c r="GH476" i="123"/>
  <c r="FT476" i="123"/>
  <c r="FF476" i="123"/>
  <c r="ER476" i="123"/>
  <c r="ED476" i="123"/>
  <c r="DP476" i="123"/>
  <c r="DB476" i="123"/>
  <c r="CN476" i="123"/>
  <c r="BZ476" i="123"/>
  <c r="BL476" i="123"/>
  <c r="AX476" i="123"/>
  <c r="AJ476" i="123"/>
  <c r="A476" i="123"/>
  <c r="HH471" i="123"/>
  <c r="FD471" i="123"/>
  <c r="LB504" i="123"/>
  <c r="AL497" i="123"/>
  <c r="BO497" i="123"/>
  <c r="CS497" i="123"/>
  <c r="DW497" i="123"/>
  <c r="EX497" i="123"/>
  <c r="GC497" i="123"/>
  <c r="HD497" i="123"/>
  <c r="IL497" i="123"/>
  <c r="JO497" i="123"/>
  <c r="KQ497" i="123"/>
  <c r="LT497" i="123"/>
  <c r="MX497" i="123"/>
  <c r="OC497" i="123"/>
  <c r="BM499" i="123"/>
  <c r="DH499" i="123"/>
  <c r="FI499" i="123"/>
  <c r="AN504" i="123"/>
  <c r="MM504" i="123"/>
  <c r="NW494" i="123"/>
  <c r="AO497" i="123"/>
  <c r="BS497" i="123"/>
  <c r="CU497" i="123"/>
  <c r="EC497" i="123"/>
  <c r="FE497" i="123"/>
  <c r="GH497" i="123"/>
  <c r="HK497" i="123"/>
  <c r="IN497" i="123"/>
  <c r="JS497" i="123"/>
  <c r="KU497" i="123"/>
  <c r="LX497" i="123"/>
  <c r="MZ497" i="123"/>
  <c r="BS499" i="123"/>
  <c r="DO499" i="123"/>
  <c r="CH504" i="123"/>
  <c r="CG506" i="123"/>
  <c r="FR504" i="123"/>
  <c r="CE492" i="123"/>
  <c r="DD492" i="123"/>
  <c r="EB492" i="123"/>
  <c r="FB492" i="123"/>
  <c r="A497" i="123"/>
  <c r="AZ497" i="123"/>
  <c r="CB497" i="123"/>
  <c r="DF497" i="123"/>
  <c r="EG497" i="123"/>
  <c r="FM497" i="123"/>
  <c r="GO497" i="123"/>
  <c r="HS497" i="123"/>
  <c r="IV497" i="123"/>
  <c r="JX497" i="123"/>
  <c r="LE497" i="123"/>
  <c r="MG497" i="123"/>
  <c r="NL497" i="123"/>
  <c r="CK499" i="123"/>
  <c r="EF499" i="123"/>
  <c r="FV504" i="123"/>
  <c r="NV487" i="123"/>
  <c r="AD490" i="123"/>
  <c r="AU490" i="123"/>
  <c r="BN490" i="123"/>
  <c r="CF490" i="123"/>
  <c r="CW490" i="123"/>
  <c r="DN490" i="123"/>
  <c r="EH490" i="123"/>
  <c r="EZ490" i="123"/>
  <c r="FU490" i="123"/>
  <c r="GN490" i="123"/>
  <c r="HG490" i="123"/>
  <c r="IB490" i="123"/>
  <c r="IT490" i="123"/>
  <c r="JO490" i="123"/>
  <c r="KI490" i="123"/>
  <c r="LD490" i="123"/>
  <c r="MA490" i="123"/>
  <c r="MT490" i="123"/>
  <c r="NQ490" i="123"/>
  <c r="CJ492" i="123"/>
  <c r="DH492" i="123"/>
  <c r="EE492" i="123"/>
  <c r="FF492" i="123"/>
  <c r="X497" i="123"/>
  <c r="BC497" i="123"/>
  <c r="CF497" i="123"/>
  <c r="DJ497" i="123"/>
  <c r="EL497" i="123"/>
  <c r="FO497" i="123"/>
  <c r="GV497" i="123"/>
  <c r="HW497" i="123"/>
  <c r="JB497" i="123"/>
  <c r="KD497" i="123"/>
  <c r="LH497" i="123"/>
  <c r="MK497" i="123"/>
  <c r="NO497" i="123"/>
  <c r="CO499" i="123"/>
  <c r="EK499" i="123"/>
  <c r="NS501" i="123"/>
  <c r="HM504" i="123"/>
  <c r="FV490" i="123"/>
  <c r="GO490" i="123"/>
  <c r="HH490" i="123"/>
  <c r="IC490" i="123"/>
  <c r="IU490" i="123"/>
  <c r="JP490" i="123"/>
  <c r="KK490" i="123"/>
  <c r="LE490" i="123"/>
  <c r="MB490" i="123"/>
  <c r="MU490" i="123"/>
  <c r="NR490" i="123"/>
  <c r="CK492" i="123"/>
  <c r="DI492" i="123"/>
  <c r="EF492" i="123"/>
  <c r="FG492" i="123"/>
  <c r="AB497" i="123"/>
  <c r="BD497" i="123"/>
  <c r="CG497" i="123"/>
  <c r="DK497" i="123"/>
  <c r="ER497" i="123"/>
  <c r="FP497" i="123"/>
  <c r="GW497" i="123"/>
  <c r="HX497" i="123"/>
  <c r="JD497" i="123"/>
  <c r="KG497" i="123"/>
  <c r="LK497" i="123"/>
  <c r="ML497" i="123"/>
  <c r="NP497" i="123"/>
  <c r="CP499" i="123"/>
  <c r="EU499" i="123"/>
  <c r="IS504" i="123"/>
  <c r="NX487" i="123"/>
  <c r="AF490" i="123"/>
  <c r="AY490" i="123"/>
  <c r="BQ490" i="123"/>
  <c r="CH490" i="123"/>
  <c r="CY490" i="123"/>
  <c r="DR490" i="123"/>
  <c r="EJ490" i="123"/>
  <c r="FC490" i="123"/>
  <c r="FX490" i="123"/>
  <c r="GP490" i="123"/>
  <c r="HK490" i="123"/>
  <c r="ID490" i="123"/>
  <c r="IW490" i="123"/>
  <c r="JR490" i="123"/>
  <c r="KL490" i="123"/>
  <c r="LH490" i="123"/>
  <c r="MC490" i="123"/>
  <c r="MW490" i="123"/>
  <c r="NT490" i="123"/>
  <c r="BN492" i="123"/>
  <c r="CM492" i="123"/>
  <c r="DJ492" i="123"/>
  <c r="EJ492" i="123"/>
  <c r="FH492" i="123"/>
  <c r="AC497" i="123"/>
  <c r="BF497" i="123"/>
  <c r="CJ497" i="123"/>
  <c r="DL497" i="123"/>
  <c r="ES497" i="123"/>
  <c r="FT497" i="123"/>
  <c r="GZ497" i="123"/>
  <c r="IB497" i="123"/>
  <c r="JE497" i="123"/>
  <c r="KH497" i="123"/>
  <c r="LL497" i="123"/>
  <c r="MP497" i="123"/>
  <c r="NQ497" i="123"/>
  <c r="CS499" i="123"/>
  <c r="EV499" i="123"/>
  <c r="JA504" i="123"/>
  <c r="X505" i="123"/>
  <c r="BW493" i="123"/>
  <c r="CN493" i="123"/>
  <c r="DF493" i="123"/>
  <c r="DX493" i="123"/>
  <c r="EO493" i="123"/>
  <c r="NR495" i="123"/>
  <c r="AQ498" i="123"/>
  <c r="BI498" i="123"/>
  <c r="CB498" i="123"/>
  <c r="CV498" i="123"/>
  <c r="DN498" i="123"/>
  <c r="EF498" i="123"/>
  <c r="EZ498" i="123"/>
  <c r="FR498" i="123"/>
  <c r="GJ498" i="123"/>
  <c r="HE498" i="123"/>
  <c r="HX498" i="123"/>
  <c r="IR498" i="123"/>
  <c r="JJ498" i="123"/>
  <c r="KB498" i="123"/>
  <c r="KV498" i="123"/>
  <c r="LP498" i="123"/>
  <c r="ML498" i="123"/>
  <c r="NE498" i="123"/>
  <c r="BW500" i="123"/>
  <c r="DC500" i="123"/>
  <c r="EA500" i="123"/>
  <c r="Z505" i="123"/>
  <c r="EM505" i="123"/>
  <c r="HP505" i="123"/>
  <c r="MG505" i="123"/>
  <c r="AC505" i="123"/>
  <c r="EP505" i="123"/>
  <c r="IQ505" i="123"/>
  <c r="FL507" i="123"/>
  <c r="EX507" i="123"/>
  <c r="EJ507" i="123"/>
  <c r="DV507" i="123"/>
  <c r="DH507" i="123"/>
  <c r="EW507" i="123"/>
  <c r="EH507" i="123"/>
  <c r="DS507" i="123"/>
  <c r="DD507" i="123"/>
  <c r="CP507" i="123"/>
  <c r="CB507" i="123"/>
  <c r="BN507" i="123"/>
  <c r="FK507" i="123"/>
  <c r="EV507" i="123"/>
  <c r="EG507" i="123"/>
  <c r="DR507" i="123"/>
  <c r="DC507" i="123"/>
  <c r="CO507" i="123"/>
  <c r="CA507" i="123"/>
  <c r="BM507" i="123"/>
  <c r="HI507" i="123"/>
  <c r="FC507" i="123"/>
  <c r="EL507" i="123"/>
  <c r="DT507" i="123"/>
  <c r="DA507" i="123"/>
  <c r="CK507" i="123"/>
  <c r="BU507" i="123"/>
  <c r="FH507" i="123"/>
  <c r="EQ507" i="123"/>
  <c r="DZ507" i="123"/>
  <c r="DI507" i="123"/>
  <c r="CR507" i="123"/>
  <c r="BZ507" i="123"/>
  <c r="FF507" i="123"/>
  <c r="EM507" i="123"/>
  <c r="DP507" i="123"/>
  <c r="CW507" i="123"/>
  <c r="CE507" i="123"/>
  <c r="HJ507" i="123"/>
  <c r="EZ507" i="123"/>
  <c r="EC507" i="123"/>
  <c r="DG507" i="123"/>
  <c r="CL507" i="123"/>
  <c r="BR507" i="123"/>
  <c r="FE507" i="123"/>
  <c r="EI507" i="123"/>
  <c r="EP507" i="123"/>
  <c r="DO507" i="123"/>
  <c r="CT507" i="123"/>
  <c r="BW507" i="123"/>
  <c r="EN507" i="123"/>
  <c r="DM507" i="123"/>
  <c r="CQ507" i="123"/>
  <c r="BT507" i="123"/>
  <c r="FJ507" i="123"/>
  <c r="EK507" i="123"/>
  <c r="DL507" i="123"/>
  <c r="CN507" i="123"/>
  <c r="BS507" i="123"/>
  <c r="FI507" i="123"/>
  <c r="EF507" i="123"/>
  <c r="DK507" i="123"/>
  <c r="CM507" i="123"/>
  <c r="BQ507" i="123"/>
  <c r="FG507" i="123"/>
  <c r="EE507" i="123"/>
  <c r="DJ507" i="123"/>
  <c r="CJ507" i="123"/>
  <c r="BP507" i="123"/>
  <c r="ES507" i="123"/>
  <c r="DB507" i="123"/>
  <c r="BX507" i="123"/>
  <c r="ER507" i="123"/>
  <c r="CZ507" i="123"/>
  <c r="BV507" i="123"/>
  <c r="EA507" i="123"/>
  <c r="CU507" i="123"/>
  <c r="DY507" i="123"/>
  <c r="CS507" i="123"/>
  <c r="FA507" i="123"/>
  <c r="DQ507" i="123"/>
  <c r="CF507" i="123"/>
  <c r="EY507" i="123"/>
  <c r="DN507" i="123"/>
  <c r="CD507" i="123"/>
  <c r="EU507" i="123"/>
  <c r="DF507" i="123"/>
  <c r="CC507" i="123"/>
  <c r="ET507" i="123"/>
  <c r="BY507" i="123"/>
  <c r="EO507" i="123"/>
  <c r="BO507" i="123"/>
  <c r="ED507" i="123"/>
  <c r="BL507" i="123"/>
  <c r="DW507" i="123"/>
  <c r="DU507" i="123"/>
  <c r="DE507" i="123"/>
  <c r="HF507" i="123"/>
  <c r="CI507" i="123"/>
  <c r="FB507" i="123"/>
  <c r="NY505" i="123"/>
  <c r="NK505" i="123"/>
  <c r="MW505" i="123"/>
  <c r="MI505" i="123"/>
  <c r="LU505" i="123"/>
  <c r="LG505" i="123"/>
  <c r="KS505" i="123"/>
  <c r="KE505" i="123"/>
  <c r="JQ505" i="123"/>
  <c r="JC505" i="123"/>
  <c r="IO505" i="123"/>
  <c r="IA505" i="123"/>
  <c r="HM505" i="123"/>
  <c r="GY505" i="123"/>
  <c r="GK505" i="123"/>
  <c r="FW505" i="123"/>
  <c r="FI505" i="123"/>
  <c r="EU505" i="123"/>
  <c r="EG505" i="123"/>
  <c r="DS505" i="123"/>
  <c r="DE505" i="123"/>
  <c r="CQ505" i="123"/>
  <c r="CC505" i="123"/>
  <c r="BO505" i="123"/>
  <c r="BA505" i="123"/>
  <c r="AM505" i="123"/>
  <c r="Y505" i="123"/>
  <c r="NQ505" i="123"/>
  <c r="NB505" i="123"/>
  <c r="MM505" i="123"/>
  <c r="LX505" i="123"/>
  <c r="LI505" i="123"/>
  <c r="KT505" i="123"/>
  <c r="KD505" i="123"/>
  <c r="JO505" i="123"/>
  <c r="IZ505" i="123"/>
  <c r="IK505" i="123"/>
  <c r="HV505" i="123"/>
  <c r="HG505" i="123"/>
  <c r="GR505" i="123"/>
  <c r="GC505" i="123"/>
  <c r="FN505" i="123"/>
  <c r="EY505" i="123"/>
  <c r="EJ505" i="123"/>
  <c r="DU505" i="123"/>
  <c r="DF505" i="123"/>
  <c r="CP505" i="123"/>
  <c r="CA505" i="123"/>
  <c r="BL505" i="123"/>
  <c r="AW505" i="123"/>
  <c r="AH505" i="123"/>
  <c r="NV505" i="123"/>
  <c r="NG505" i="123"/>
  <c r="NM505" i="123"/>
  <c r="MU505" i="123"/>
  <c r="MD505" i="123"/>
  <c r="LN505" i="123"/>
  <c r="KX505" i="123"/>
  <c r="KH505" i="123"/>
  <c r="JR505" i="123"/>
  <c r="JA505" i="123"/>
  <c r="IJ505" i="123"/>
  <c r="HT505" i="123"/>
  <c r="HD505" i="123"/>
  <c r="GN505" i="123"/>
  <c r="FX505" i="123"/>
  <c r="OA505" i="123"/>
  <c r="NH505" i="123"/>
  <c r="MO505" i="123"/>
  <c r="LW505" i="123"/>
  <c r="LE505" i="123"/>
  <c r="KN505" i="123"/>
  <c r="JW505" i="123"/>
  <c r="JF505" i="123"/>
  <c r="IN505" i="123"/>
  <c r="HW505" i="123"/>
  <c r="HE505" i="123"/>
  <c r="GM505" i="123"/>
  <c r="FU505" i="123"/>
  <c r="FE505" i="123"/>
  <c r="EO505" i="123"/>
  <c r="DY505" i="123"/>
  <c r="DI505" i="123"/>
  <c r="CS505" i="123"/>
  <c r="CB505" i="123"/>
  <c r="BK505" i="123"/>
  <c r="AU505" i="123"/>
  <c r="AE505" i="123"/>
  <c r="NW505" i="123"/>
  <c r="NC505" i="123"/>
  <c r="MH505" i="123"/>
  <c r="LP505" i="123"/>
  <c r="KW505" i="123"/>
  <c r="KC505" i="123"/>
  <c r="JK505" i="123"/>
  <c r="IS505" i="123"/>
  <c r="HZ505" i="123"/>
  <c r="HH505" i="123"/>
  <c r="GO505" i="123"/>
  <c r="FT505" i="123"/>
  <c r="FC505" i="123"/>
  <c r="EL505" i="123"/>
  <c r="DT505" i="123"/>
  <c r="DB505" i="123"/>
  <c r="CK505" i="123"/>
  <c r="BT505" i="123"/>
  <c r="BC505" i="123"/>
  <c r="AK505" i="123"/>
  <c r="NS505" i="123"/>
  <c r="MY505" i="123"/>
  <c r="ME505" i="123"/>
  <c r="LL505" i="123"/>
  <c r="KR505" i="123"/>
  <c r="JZ505" i="123"/>
  <c r="JH505" i="123"/>
  <c r="IP505" i="123"/>
  <c r="HU505" i="123"/>
  <c r="HB505" i="123"/>
  <c r="GI505" i="123"/>
  <c r="FQ505" i="123"/>
  <c r="EZ505" i="123"/>
  <c r="EH505" i="123"/>
  <c r="DP505" i="123"/>
  <c r="CY505" i="123"/>
  <c r="CH505" i="123"/>
  <c r="BQ505" i="123"/>
  <c r="AY505" i="123"/>
  <c r="AG505" i="123"/>
  <c r="NR505" i="123"/>
  <c r="MX505" i="123"/>
  <c r="MC505" i="123"/>
  <c r="LK505" i="123"/>
  <c r="KQ505" i="123"/>
  <c r="JY505" i="123"/>
  <c r="JG505" i="123"/>
  <c r="IM505" i="123"/>
  <c r="HS505" i="123"/>
  <c r="HA505" i="123"/>
  <c r="GH505" i="123"/>
  <c r="FP505" i="123"/>
  <c r="EX505" i="123"/>
  <c r="EF505" i="123"/>
  <c r="DO505" i="123"/>
  <c r="CX505" i="123"/>
  <c r="CG505" i="123"/>
  <c r="BP505" i="123"/>
  <c r="AX505" i="123"/>
  <c r="AF505" i="123"/>
  <c r="NP505" i="123"/>
  <c r="MV505" i="123"/>
  <c r="MB505" i="123"/>
  <c r="LJ505" i="123"/>
  <c r="KP505" i="123"/>
  <c r="JX505" i="123"/>
  <c r="JE505" i="123"/>
  <c r="IL505" i="123"/>
  <c r="HR505" i="123"/>
  <c r="GZ505" i="123"/>
  <c r="GG505" i="123"/>
  <c r="FO505" i="123"/>
  <c r="EW505" i="123"/>
  <c r="EE505" i="123"/>
  <c r="DN505" i="123"/>
  <c r="CW505" i="123"/>
  <c r="CF505" i="123"/>
  <c r="BN505" i="123"/>
  <c r="AV505" i="123"/>
  <c r="AD505" i="123"/>
  <c r="OB505" i="123"/>
  <c r="MZ505" i="123"/>
  <c r="LV505" i="123"/>
  <c r="KY505" i="123"/>
  <c r="JU505" i="123"/>
  <c r="IV505" i="123"/>
  <c r="HX505" i="123"/>
  <c r="GU505" i="123"/>
  <c r="FV505" i="123"/>
  <c r="ET505" i="123"/>
  <c r="DX505" i="123"/>
  <c r="CZ505" i="123"/>
  <c r="BY505" i="123"/>
  <c r="BD505" i="123"/>
  <c r="AB505" i="123"/>
  <c r="NZ505" i="123"/>
  <c r="LT505" i="123"/>
  <c r="KV505" i="123"/>
  <c r="JT505" i="123"/>
  <c r="IU505" i="123"/>
  <c r="HQ505" i="123"/>
  <c r="GT505" i="123"/>
  <c r="FS505" i="123"/>
  <c r="ES505" i="123"/>
  <c r="DW505" i="123"/>
  <c r="CV505" i="123"/>
  <c r="BX505" i="123"/>
  <c r="BB505" i="123"/>
  <c r="AA505" i="123"/>
  <c r="NO505" i="123"/>
  <c r="MN505" i="123"/>
  <c r="LO505" i="123"/>
  <c r="KL505" i="123"/>
  <c r="JM505" i="123"/>
  <c r="II505" i="123"/>
  <c r="HL505" i="123"/>
  <c r="GL505" i="123"/>
  <c r="FK505" i="123"/>
  <c r="EN505" i="123"/>
  <c r="DM505" i="123"/>
  <c r="CO505" i="123"/>
  <c r="BS505" i="123"/>
  <c r="AR505" i="123"/>
  <c r="NN505" i="123"/>
  <c r="ML505" i="123"/>
  <c r="LM505" i="123"/>
  <c r="KK505" i="123"/>
  <c r="JL505" i="123"/>
  <c r="NF505" i="123"/>
  <c r="MF505" i="123"/>
  <c r="LC505" i="123"/>
  <c r="KF505" i="123"/>
  <c r="JB505" i="123"/>
  <c r="ID505" i="123"/>
  <c r="HC505" i="123"/>
  <c r="GB505" i="123"/>
  <c r="FD505" i="123"/>
  <c r="EC505" i="123"/>
  <c r="DG505" i="123"/>
  <c r="CI505" i="123"/>
  <c r="BH505" i="123"/>
  <c r="AL505" i="123"/>
  <c r="NE505" i="123"/>
  <c r="MA505" i="123"/>
  <c r="LB505" i="123"/>
  <c r="KB505" i="123"/>
  <c r="IY505" i="123"/>
  <c r="IC505" i="123"/>
  <c r="GX505" i="123"/>
  <c r="GA505" i="123"/>
  <c r="FB505" i="123"/>
  <c r="EB505" i="123"/>
  <c r="DD505" i="123"/>
  <c r="CE505" i="123"/>
  <c r="BG505" i="123"/>
  <c r="AJ505" i="123"/>
  <c r="NJ505" i="123"/>
  <c r="LQ505" i="123"/>
  <c r="JS505" i="123"/>
  <c r="IE505" i="123"/>
  <c r="GP505" i="123"/>
  <c r="FA505" i="123"/>
  <c r="DL505" i="123"/>
  <c r="BZ505" i="123"/>
  <c r="AP505" i="123"/>
  <c r="NI505" i="123"/>
  <c r="LH505" i="123"/>
  <c r="JP505" i="123"/>
  <c r="IB505" i="123"/>
  <c r="GJ505" i="123"/>
  <c r="EV505" i="123"/>
  <c r="DK505" i="123"/>
  <c r="BW505" i="123"/>
  <c r="AO505" i="123"/>
  <c r="ND505" i="123"/>
  <c r="LF505" i="123"/>
  <c r="JN505" i="123"/>
  <c r="HY505" i="123"/>
  <c r="GF505" i="123"/>
  <c r="ER505" i="123"/>
  <c r="DJ505" i="123"/>
  <c r="BV505" i="123"/>
  <c r="AN505" i="123"/>
  <c r="NU505" i="123"/>
  <c r="LD505" i="123"/>
  <c r="IX505" i="123"/>
  <c r="HF505" i="123"/>
  <c r="FG505" i="123"/>
  <c r="DC505" i="123"/>
  <c r="BI505" i="123"/>
  <c r="KM505" i="123"/>
  <c r="IH505" i="123"/>
  <c r="GE505" i="123"/>
  <c r="EK505" i="123"/>
  <c r="CN505" i="123"/>
  <c r="AS505" i="123"/>
  <c r="KJ505" i="123"/>
  <c r="IG505" i="123"/>
  <c r="GD505" i="123"/>
  <c r="EI505" i="123"/>
  <c r="CM505" i="123"/>
  <c r="AQ505" i="123"/>
  <c r="MK505" i="123"/>
  <c r="KI505" i="123"/>
  <c r="IF505" i="123"/>
  <c r="FZ505" i="123"/>
  <c r="ED505" i="123"/>
  <c r="CL505" i="123"/>
  <c r="AI505" i="123"/>
  <c r="LY505" i="123"/>
  <c r="JJ505" i="123"/>
  <c r="HK505" i="123"/>
  <c r="FL505" i="123"/>
  <c r="DR505" i="123"/>
  <c r="BR505" i="123"/>
  <c r="OC505" i="123"/>
  <c r="KO505" i="123"/>
  <c r="HI505" i="123"/>
  <c r="EA505" i="123"/>
  <c r="BF505" i="123"/>
  <c r="NX505" i="123"/>
  <c r="KG505" i="123"/>
  <c r="GW505" i="123"/>
  <c r="DZ505" i="123"/>
  <c r="BE505" i="123"/>
  <c r="NL505" i="123"/>
  <c r="JV505" i="123"/>
  <c r="GS505" i="123"/>
  <c r="DQ505" i="123"/>
  <c r="AT505" i="123"/>
  <c r="NP502" i="123"/>
  <c r="NS502" i="123"/>
  <c r="HH500" i="123"/>
  <c r="FD500" i="123"/>
  <c r="EP500" i="123"/>
  <c r="EB500" i="123"/>
  <c r="DN500" i="123"/>
  <c r="CZ500" i="123"/>
  <c r="CL500" i="123"/>
  <c r="BX500" i="123"/>
  <c r="HJ500" i="123"/>
  <c r="FE500" i="123"/>
  <c r="EO500" i="123"/>
  <c r="DZ500" i="123"/>
  <c r="DK500" i="123"/>
  <c r="CV500" i="123"/>
  <c r="CG500" i="123"/>
  <c r="BR500" i="123"/>
  <c r="EX500" i="123"/>
  <c r="EH500" i="123"/>
  <c r="DR500" i="123"/>
  <c r="DB500" i="123"/>
  <c r="CK500" i="123"/>
  <c r="BU500" i="123"/>
  <c r="EW500" i="123"/>
  <c r="EG500" i="123"/>
  <c r="DQ500" i="123"/>
  <c r="DA500" i="123"/>
  <c r="CJ500" i="123"/>
  <c r="BT500" i="123"/>
  <c r="FL500" i="123"/>
  <c r="EV500" i="123"/>
  <c r="EF500" i="123"/>
  <c r="DP500" i="123"/>
  <c r="CY500" i="123"/>
  <c r="CI500" i="123"/>
  <c r="BS500" i="123"/>
  <c r="FI500" i="123"/>
  <c r="EN500" i="123"/>
  <c r="DU500" i="123"/>
  <c r="CX500" i="123"/>
  <c r="CD500" i="123"/>
  <c r="FB500" i="123"/>
  <c r="EI500" i="123"/>
  <c r="DL500" i="123"/>
  <c r="CR500" i="123"/>
  <c r="BY500" i="123"/>
  <c r="ES500" i="123"/>
  <c r="DV500" i="123"/>
  <c r="CU500" i="123"/>
  <c r="BZ500" i="123"/>
  <c r="FK500" i="123"/>
  <c r="EM500" i="123"/>
  <c r="DO500" i="123"/>
  <c r="CQ500" i="123"/>
  <c r="BQ500" i="123"/>
  <c r="NZ498" i="123"/>
  <c r="NL498" i="123"/>
  <c r="MX498" i="123"/>
  <c r="MJ498" i="123"/>
  <c r="LV498" i="123"/>
  <c r="LH498" i="123"/>
  <c r="KT498" i="123"/>
  <c r="KF498" i="123"/>
  <c r="JR498" i="123"/>
  <c r="JD498" i="123"/>
  <c r="IP498" i="123"/>
  <c r="IB498" i="123"/>
  <c r="HN498" i="123"/>
  <c r="GZ498" i="123"/>
  <c r="GL498" i="123"/>
  <c r="FX498" i="123"/>
  <c r="FJ498" i="123"/>
  <c r="EV498" i="123"/>
  <c r="EH498" i="123"/>
  <c r="DT498" i="123"/>
  <c r="DF498" i="123"/>
  <c r="CR498" i="123"/>
  <c r="CD498" i="123"/>
  <c r="BP498" i="123"/>
  <c r="BB498" i="123"/>
  <c r="AN498" i="123"/>
  <c r="Z498" i="123"/>
  <c r="NY498" i="123"/>
  <c r="NK498" i="123"/>
  <c r="MW498" i="123"/>
  <c r="MI498" i="123"/>
  <c r="LU498" i="123"/>
  <c r="LG498" i="123"/>
  <c r="KS498" i="123"/>
  <c r="KE498" i="123"/>
  <c r="JQ498" i="123"/>
  <c r="JC498" i="123"/>
  <c r="IO498" i="123"/>
  <c r="IA498" i="123"/>
  <c r="HM498" i="123"/>
  <c r="GY498" i="123"/>
  <c r="GK498" i="123"/>
  <c r="FW498" i="123"/>
  <c r="FI498" i="123"/>
  <c r="EU498" i="123"/>
  <c r="EG498" i="123"/>
  <c r="DS498" i="123"/>
  <c r="DE498" i="123"/>
  <c r="CQ498" i="123"/>
  <c r="CC498" i="123"/>
  <c r="BO498" i="123"/>
  <c r="BA498" i="123"/>
  <c r="AM498" i="123"/>
  <c r="Y498" i="123"/>
  <c r="NX498" i="123"/>
  <c r="NJ498" i="123"/>
  <c r="MV498" i="123"/>
  <c r="MH498" i="123"/>
  <c r="LT498" i="123"/>
  <c r="LF498" i="123"/>
  <c r="NP498" i="123"/>
  <c r="MY498" i="123"/>
  <c r="ME498" i="123"/>
  <c r="LN498" i="123"/>
  <c r="KW498" i="123"/>
  <c r="KG498" i="123"/>
  <c r="JO498" i="123"/>
  <c r="IY498" i="123"/>
  <c r="II498" i="123"/>
  <c r="HS498" i="123"/>
  <c r="HC498" i="123"/>
  <c r="GM498" i="123"/>
  <c r="FU498" i="123"/>
  <c r="FE498" i="123"/>
  <c r="EO498" i="123"/>
  <c r="DY498" i="123"/>
  <c r="DI498" i="123"/>
  <c r="CS498" i="123"/>
  <c r="CA498" i="123"/>
  <c r="BK498" i="123"/>
  <c r="AU498" i="123"/>
  <c r="AE498" i="123"/>
  <c r="NN498" i="123"/>
  <c r="MA498" i="123"/>
  <c r="LI498" i="123"/>
  <c r="KO498" i="123"/>
  <c r="JX498" i="123"/>
  <c r="JG498" i="123"/>
  <c r="IN498" i="123"/>
  <c r="HW498" i="123"/>
  <c r="HF498" i="123"/>
  <c r="GO498" i="123"/>
  <c r="FV498" i="123"/>
  <c r="FD498" i="123"/>
  <c r="EM498" i="123"/>
  <c r="DV498" i="123"/>
  <c r="DC498" i="123"/>
  <c r="CL498" i="123"/>
  <c r="BU498" i="123"/>
  <c r="BD498" i="123"/>
  <c r="AK498" i="123"/>
  <c r="FG493" i="123"/>
  <c r="ES493" i="123"/>
  <c r="EE493" i="123"/>
  <c r="DQ493" i="123"/>
  <c r="DC493" i="123"/>
  <c r="CO493" i="123"/>
  <c r="CA493" i="123"/>
  <c r="BM493" i="123"/>
  <c r="EZ493" i="123"/>
  <c r="EK493" i="123"/>
  <c r="DV493" i="123"/>
  <c r="DG493" i="123"/>
  <c r="CR493" i="123"/>
  <c r="CC493" i="123"/>
  <c r="BN493" i="123"/>
  <c r="EW493" i="123"/>
  <c r="EG493" i="123"/>
  <c r="DP493" i="123"/>
  <c r="CZ493" i="123"/>
  <c r="CJ493" i="123"/>
  <c r="BT493" i="123"/>
  <c r="NY491" i="123"/>
  <c r="NK491" i="123"/>
  <c r="MW491" i="123"/>
  <c r="MI491" i="123"/>
  <c r="LU491" i="123"/>
  <c r="LG491" i="123"/>
  <c r="KS491" i="123"/>
  <c r="KE491" i="123"/>
  <c r="NO491" i="123"/>
  <c r="MZ491" i="123"/>
  <c r="MK491" i="123"/>
  <c r="LV491" i="123"/>
  <c r="LF491" i="123"/>
  <c r="KQ491" i="123"/>
  <c r="KB491" i="123"/>
  <c r="JN491" i="123"/>
  <c r="IZ491" i="123"/>
  <c r="IL491" i="123"/>
  <c r="HX491" i="123"/>
  <c r="HJ491" i="123"/>
  <c r="GV491" i="123"/>
  <c r="GH491" i="123"/>
  <c r="FT491" i="123"/>
  <c r="FF491" i="123"/>
  <c r="ER491" i="123"/>
  <c r="ED491" i="123"/>
  <c r="DP491" i="123"/>
  <c r="DB491" i="123"/>
  <c r="CN491" i="123"/>
  <c r="BZ491" i="123"/>
  <c r="BL491" i="123"/>
  <c r="AX491" i="123"/>
  <c r="AJ491" i="123"/>
  <c r="OA491" i="123"/>
  <c r="NJ491" i="123"/>
  <c r="MD491" i="123"/>
  <c r="LN491" i="123"/>
  <c r="MR505" i="123"/>
  <c r="MT505" i="123"/>
  <c r="A505" i="123"/>
  <c r="MQ505" i="123"/>
  <c r="MP505" i="123"/>
  <c r="A491" i="123"/>
  <c r="MT491" i="123"/>
  <c r="CD505" i="123"/>
  <c r="CH507" i="123"/>
  <c r="OA495" i="123"/>
  <c r="AG498" i="123"/>
  <c r="AY498" i="123"/>
  <c r="BS498" i="123"/>
  <c r="CK498" i="123"/>
  <c r="DD498" i="123"/>
  <c r="DX498" i="123"/>
  <c r="EQ498" i="123"/>
  <c r="FK498" i="123"/>
  <c r="GC498" i="123"/>
  <c r="GU498" i="123"/>
  <c r="HO498" i="123"/>
  <c r="IG498" i="123"/>
  <c r="IZ498" i="123"/>
  <c r="JT498" i="123"/>
  <c r="KL498" i="123"/>
  <c r="LD498" i="123"/>
  <c r="LZ498" i="123"/>
  <c r="MT498" i="123"/>
  <c r="NQ498" i="123"/>
  <c r="CM500" i="123"/>
  <c r="DJ500" i="123"/>
  <c r="EQ500" i="123"/>
  <c r="NT502" i="123"/>
  <c r="CJ505" i="123"/>
  <c r="FR505" i="123"/>
  <c r="KA505" i="123"/>
  <c r="CV507" i="123"/>
  <c r="HY491" i="123"/>
  <c r="IN491" i="123"/>
  <c r="JC491" i="123"/>
  <c r="KH491" i="123"/>
  <c r="KX491" i="123"/>
  <c r="LO491" i="123"/>
  <c r="MF491" i="123"/>
  <c r="MX491" i="123"/>
  <c r="NP491" i="123"/>
  <c r="BR493" i="123"/>
  <c r="CI493" i="123"/>
  <c r="DA493" i="123"/>
  <c r="DS493" i="123"/>
  <c r="EJ493" i="123"/>
  <c r="FB493" i="123"/>
  <c r="HG493" i="123"/>
  <c r="AJ498" i="123"/>
  <c r="BE498" i="123"/>
  <c r="BW498" i="123"/>
  <c r="CO498" i="123"/>
  <c r="DJ498" i="123"/>
  <c r="EB498" i="123"/>
  <c r="ET498" i="123"/>
  <c r="FN498" i="123"/>
  <c r="GF498" i="123"/>
  <c r="GX498" i="123"/>
  <c r="HR498" i="123"/>
  <c r="IK498" i="123"/>
  <c r="JE498" i="123"/>
  <c r="JW498" i="123"/>
  <c r="KP498" i="123"/>
  <c r="LK498" i="123"/>
  <c r="MD498" i="123"/>
  <c r="NA498" i="123"/>
  <c r="NT498" i="123"/>
  <c r="BN500" i="123"/>
  <c r="CP500" i="123"/>
  <c r="DT500" i="123"/>
  <c r="EU500" i="123"/>
  <c r="HI500" i="123"/>
  <c r="CU505" i="123"/>
  <c r="GV505" i="123"/>
  <c r="LA505" i="123"/>
  <c r="DX507" i="123"/>
  <c r="AB484" i="123"/>
  <c r="AP484" i="123"/>
  <c r="BD484" i="123"/>
  <c r="BR484" i="123"/>
  <c r="CF484" i="123"/>
  <c r="CT484" i="123"/>
  <c r="DH484" i="123"/>
  <c r="DV484" i="123"/>
  <c r="EJ484" i="123"/>
  <c r="EX484" i="123"/>
  <c r="FL484" i="123"/>
  <c r="FZ484" i="123"/>
  <c r="GN484" i="123"/>
  <c r="HB484" i="123"/>
  <c r="HP484" i="123"/>
  <c r="ID484" i="123"/>
  <c r="IR484" i="123"/>
  <c r="JF484" i="123"/>
  <c r="JT484" i="123"/>
  <c r="KH484" i="123"/>
  <c r="KV484" i="123"/>
  <c r="LJ484" i="123"/>
  <c r="LX484" i="123"/>
  <c r="ML484" i="123"/>
  <c r="MZ484" i="123"/>
  <c r="NN484" i="123"/>
  <c r="BP486" i="123"/>
  <c r="CD486" i="123"/>
  <c r="CR486" i="123"/>
  <c r="DF486" i="123"/>
  <c r="DT486" i="123"/>
  <c r="EH486" i="123"/>
  <c r="EV486" i="123"/>
  <c r="AL491" i="123"/>
  <c r="BA491" i="123"/>
  <c r="BP491" i="123"/>
  <c r="CE491" i="123"/>
  <c r="CT491" i="123"/>
  <c r="DI491" i="123"/>
  <c r="DX491" i="123"/>
  <c r="EM491" i="123"/>
  <c r="FB491" i="123"/>
  <c r="FQ491" i="123"/>
  <c r="GF491" i="123"/>
  <c r="GU491" i="123"/>
  <c r="HK491" i="123"/>
  <c r="HZ491" i="123"/>
  <c r="IO491" i="123"/>
  <c r="JD491" i="123"/>
  <c r="JS491" i="123"/>
  <c r="KI491" i="123"/>
  <c r="KY491" i="123"/>
  <c r="LP491" i="123"/>
  <c r="MG491" i="123"/>
  <c r="MY491" i="123"/>
  <c r="NQ491" i="123"/>
  <c r="BS493" i="123"/>
  <c r="CK493" i="123"/>
  <c r="DB493" i="123"/>
  <c r="DT493" i="123"/>
  <c r="EL493" i="123"/>
  <c r="FC493" i="123"/>
  <c r="HH493" i="123"/>
  <c r="A495" i="123"/>
  <c r="NO495" i="123"/>
  <c r="AL498" i="123"/>
  <c r="BF498" i="123"/>
  <c r="BX498" i="123"/>
  <c r="CP498" i="123"/>
  <c r="DK498" i="123"/>
  <c r="EC498" i="123"/>
  <c r="EW498" i="123"/>
  <c r="FO498" i="123"/>
  <c r="GG498" i="123"/>
  <c r="HA498" i="123"/>
  <c r="HT498" i="123"/>
  <c r="IL498" i="123"/>
  <c r="JF498" i="123"/>
  <c r="JY498" i="123"/>
  <c r="KQ498" i="123"/>
  <c r="LL498" i="123"/>
  <c r="MF498" i="123"/>
  <c r="NB498" i="123"/>
  <c r="NU498" i="123"/>
  <c r="BO500" i="123"/>
  <c r="CS500" i="123"/>
  <c r="DW500" i="123"/>
  <c r="EY500" i="123"/>
  <c r="DA505" i="123"/>
  <c r="HJ505" i="123"/>
  <c r="LR505" i="123"/>
  <c r="EB507" i="123"/>
  <c r="A509" i="123"/>
  <c r="Y509" i="123"/>
  <c r="FA509" i="123"/>
  <c r="OB509" i="123"/>
  <c r="NN509" i="123"/>
  <c r="MZ509" i="123"/>
  <c r="ML509" i="123"/>
  <c r="LX509" i="123"/>
  <c r="LJ509" i="123"/>
  <c r="KV509" i="123"/>
  <c r="KH509" i="123"/>
  <c r="JT509" i="123"/>
  <c r="JF509" i="123"/>
  <c r="IR509" i="123"/>
  <c r="ID509" i="123"/>
  <c r="HP509" i="123"/>
  <c r="HB509" i="123"/>
  <c r="GN509" i="123"/>
  <c r="FZ509" i="123"/>
  <c r="FL509" i="123"/>
  <c r="EX509" i="123"/>
  <c r="EJ509" i="123"/>
  <c r="DV509" i="123"/>
  <c r="DH509" i="123"/>
  <c r="CT509" i="123"/>
  <c r="CF509" i="123"/>
  <c r="BR509" i="123"/>
  <c r="BD509" i="123"/>
  <c r="AP509" i="123"/>
  <c r="AB509" i="123"/>
  <c r="OA509" i="123"/>
  <c r="NM509" i="123"/>
  <c r="MY509" i="123"/>
  <c r="MK509" i="123"/>
  <c r="LW509" i="123"/>
  <c r="LI509" i="123"/>
  <c r="KU509" i="123"/>
  <c r="KG509" i="123"/>
  <c r="JS509" i="123"/>
  <c r="JE509" i="123"/>
  <c r="IQ509" i="123"/>
  <c r="IC509" i="123"/>
  <c r="HO509" i="123"/>
  <c r="HA509" i="123"/>
  <c r="GM509" i="123"/>
  <c r="FY509" i="123"/>
  <c r="FK509" i="123"/>
  <c r="EW509" i="123"/>
  <c r="EI509" i="123"/>
  <c r="DU509" i="123"/>
  <c r="DG509" i="123"/>
  <c r="CS509" i="123"/>
  <c r="CE509" i="123"/>
  <c r="BQ509" i="123"/>
  <c r="BC509" i="123"/>
  <c r="AO509" i="123"/>
  <c r="AA509" i="123"/>
  <c r="NZ509" i="123"/>
  <c r="NL509" i="123"/>
  <c r="MX509" i="123"/>
  <c r="MJ509" i="123"/>
  <c r="LV509" i="123"/>
  <c r="LH509" i="123"/>
  <c r="KT509" i="123"/>
  <c r="KF509" i="123"/>
  <c r="JR509" i="123"/>
  <c r="JD509" i="123"/>
  <c r="IP509" i="123"/>
  <c r="IB509" i="123"/>
  <c r="HN509" i="123"/>
  <c r="GZ509" i="123"/>
  <c r="GL509" i="123"/>
  <c r="FX509" i="123"/>
  <c r="FJ509" i="123"/>
  <c r="EV509" i="123"/>
  <c r="EH509" i="123"/>
  <c r="DT509" i="123"/>
  <c r="DF509" i="123"/>
  <c r="CR509" i="123"/>
  <c r="CD509" i="123"/>
  <c r="BP509" i="123"/>
  <c r="BB509" i="123"/>
  <c r="AN509" i="123"/>
  <c r="Z509" i="123"/>
  <c r="NK509" i="123"/>
  <c r="MC509" i="123"/>
  <c r="LL509" i="123"/>
  <c r="KR509" i="123"/>
  <c r="KA509" i="123"/>
  <c r="JJ509" i="123"/>
  <c r="IS509" i="123"/>
  <c r="HY509" i="123"/>
  <c r="HH509" i="123"/>
  <c r="GQ509" i="123"/>
  <c r="FW509" i="123"/>
  <c r="FF509" i="123"/>
  <c r="EO509" i="123"/>
  <c r="DX509" i="123"/>
  <c r="DD509" i="123"/>
  <c r="CM509" i="123"/>
  <c r="BV509" i="123"/>
  <c r="BE509" i="123"/>
  <c r="AK509" i="123"/>
  <c r="NJ509" i="123"/>
  <c r="MB509" i="123"/>
  <c r="LK509" i="123"/>
  <c r="KQ509" i="123"/>
  <c r="JZ509" i="123"/>
  <c r="JI509" i="123"/>
  <c r="IO509" i="123"/>
  <c r="HX509" i="123"/>
  <c r="HG509" i="123"/>
  <c r="GP509" i="123"/>
  <c r="FV509" i="123"/>
  <c r="FE509" i="123"/>
  <c r="EN509" i="123"/>
  <c r="DW509" i="123"/>
  <c r="DC509" i="123"/>
  <c r="CL509" i="123"/>
  <c r="BU509" i="123"/>
  <c r="BA509" i="123"/>
  <c r="AJ509" i="123"/>
  <c r="NY509" i="123"/>
  <c r="NF509" i="123"/>
  <c r="MM509" i="123"/>
  <c r="LQ509" i="123"/>
  <c r="KX509" i="123"/>
  <c r="KB509" i="123"/>
  <c r="JG509" i="123"/>
  <c r="IK509" i="123"/>
  <c r="HR509" i="123"/>
  <c r="GV509" i="123"/>
  <c r="GC509" i="123"/>
  <c r="FG509" i="123"/>
  <c r="EL509" i="123"/>
  <c r="DP509" i="123"/>
  <c r="CW509" i="123"/>
  <c r="CA509" i="123"/>
  <c r="BH509" i="123"/>
  <c r="AL509" i="123"/>
  <c r="NP509" i="123"/>
  <c r="LY509" i="123"/>
  <c r="LC509" i="123"/>
  <c r="KJ509" i="123"/>
  <c r="JN509" i="123"/>
  <c r="IU509" i="123"/>
  <c r="HW509" i="123"/>
  <c r="HD509" i="123"/>
  <c r="GH509" i="123"/>
  <c r="FO509" i="123"/>
  <c r="ES509" i="123"/>
  <c r="DZ509" i="123"/>
  <c r="DB509" i="123"/>
  <c r="CI509" i="123"/>
  <c r="BM509" i="123"/>
  <c r="AT509" i="123"/>
  <c r="X509" i="123"/>
  <c r="NR509" i="123"/>
  <c r="LS509" i="123"/>
  <c r="KW509" i="123"/>
  <c r="JW509" i="123"/>
  <c r="IY509" i="123"/>
  <c r="IA509" i="123"/>
  <c r="HC509" i="123"/>
  <c r="GE509" i="123"/>
  <c r="FD509" i="123"/>
  <c r="EF509" i="123"/>
  <c r="DK509" i="123"/>
  <c r="CK509" i="123"/>
  <c r="BL509" i="123"/>
  <c r="AQ509" i="123"/>
  <c r="NQ509" i="123"/>
  <c r="LR509" i="123"/>
  <c r="KS509" i="123"/>
  <c r="JV509" i="123"/>
  <c r="IX509" i="123"/>
  <c r="HZ509" i="123"/>
  <c r="GY509" i="123"/>
  <c r="GD509" i="123"/>
  <c r="FC509" i="123"/>
  <c r="EE509" i="123"/>
  <c r="DJ509" i="123"/>
  <c r="CJ509" i="123"/>
  <c r="BK509" i="123"/>
  <c r="AM509" i="123"/>
  <c r="NG509" i="123"/>
  <c r="MF509" i="123"/>
  <c r="LD509" i="123"/>
  <c r="KC509" i="123"/>
  <c r="IZ509" i="123"/>
  <c r="HU509" i="123"/>
  <c r="GT509" i="123"/>
  <c r="FR509" i="123"/>
  <c r="EQ509" i="123"/>
  <c r="DN509" i="123"/>
  <c r="CN509" i="123"/>
  <c r="BI509" i="123"/>
  <c r="AF509" i="123"/>
  <c r="NS509" i="123"/>
  <c r="MN509" i="123"/>
  <c r="LM509" i="123"/>
  <c r="KK509" i="123"/>
  <c r="JH509" i="123"/>
  <c r="IG509" i="123"/>
  <c r="HE509" i="123"/>
  <c r="GA509" i="123"/>
  <c r="EY509" i="123"/>
  <c r="DS509" i="123"/>
  <c r="CU509" i="123"/>
  <c r="BS509" i="123"/>
  <c r="AR509" i="123"/>
  <c r="ND509" i="123"/>
  <c r="LZ509" i="123"/>
  <c r="KO509" i="123"/>
  <c r="JL509" i="123"/>
  <c r="IF509" i="123"/>
  <c r="GU509" i="123"/>
  <c r="FP509" i="123"/>
  <c r="EG509" i="123"/>
  <c r="CZ509" i="123"/>
  <c r="BW509" i="123"/>
  <c r="AI509" i="123"/>
  <c r="NB509" i="123"/>
  <c r="LT509" i="123"/>
  <c r="KM509" i="123"/>
  <c r="JC509" i="123"/>
  <c r="HV509" i="123"/>
  <c r="GR509" i="123"/>
  <c r="FM509" i="123"/>
  <c r="EC509" i="123"/>
  <c r="CX509" i="123"/>
  <c r="BO509" i="123"/>
  <c r="AG509" i="123"/>
  <c r="NA509" i="123"/>
  <c r="LP509" i="123"/>
  <c r="KL509" i="123"/>
  <c r="JB509" i="123"/>
  <c r="HT509" i="123"/>
  <c r="GO509" i="123"/>
  <c r="FI509" i="123"/>
  <c r="EB509" i="123"/>
  <c r="CV509" i="123"/>
  <c r="BN509" i="123"/>
  <c r="AE509" i="123"/>
  <c r="OC509" i="123"/>
  <c r="MW509" i="123"/>
  <c r="LO509" i="123"/>
  <c r="KI509" i="123"/>
  <c r="JA509" i="123"/>
  <c r="HS509" i="123"/>
  <c r="GK509" i="123"/>
  <c r="FH509" i="123"/>
  <c r="EA509" i="123"/>
  <c r="CQ509" i="123"/>
  <c r="BJ509" i="123"/>
  <c r="AD509" i="123"/>
  <c r="NX509" i="123"/>
  <c r="MV509" i="123"/>
  <c r="LN509" i="123"/>
  <c r="KE509" i="123"/>
  <c r="IW509" i="123"/>
  <c r="HQ509" i="123"/>
  <c r="GJ509" i="123"/>
  <c r="FB509" i="123"/>
  <c r="DY509" i="123"/>
  <c r="CP509" i="123"/>
  <c r="BG509" i="123"/>
  <c r="AC509" i="123"/>
  <c r="MG509" i="123"/>
  <c r="KD509" i="123"/>
  <c r="IJ509" i="123"/>
  <c r="GG509" i="123"/>
  <c r="EM509" i="123"/>
  <c r="CG509" i="123"/>
  <c r="AS509" i="123"/>
  <c r="NW509" i="123"/>
  <c r="ME509" i="123"/>
  <c r="JY509" i="123"/>
  <c r="II509" i="123"/>
  <c r="GF509" i="123"/>
  <c r="EK509" i="123"/>
  <c r="CC509" i="123"/>
  <c r="AH509" i="123"/>
  <c r="NO509" i="123"/>
  <c r="LG509" i="123"/>
  <c r="JP509" i="123"/>
  <c r="HL509" i="123"/>
  <c r="FS509" i="123"/>
  <c r="DO509" i="123"/>
  <c r="BX509" i="123"/>
  <c r="NI509" i="123"/>
  <c r="LF509" i="123"/>
  <c r="JO509" i="123"/>
  <c r="HK509" i="123"/>
  <c r="FQ509" i="123"/>
  <c r="DM509" i="123"/>
  <c r="BT509" i="123"/>
  <c r="MU509" i="123"/>
  <c r="KZ509" i="123"/>
  <c r="IT509" i="123"/>
  <c r="GX509" i="123"/>
  <c r="EU509" i="123"/>
  <c r="DA509" i="123"/>
  <c r="AX509" i="123"/>
  <c r="MO509" i="123"/>
  <c r="KY509" i="123"/>
  <c r="IN509" i="123"/>
  <c r="GW509" i="123"/>
  <c r="ET509" i="123"/>
  <c r="CY509" i="123"/>
  <c r="AW509" i="123"/>
  <c r="MI509" i="123"/>
  <c r="KP509" i="123"/>
  <c r="IM509" i="123"/>
  <c r="GS509" i="123"/>
  <c r="ER509" i="123"/>
  <c r="CO509" i="123"/>
  <c r="AV509" i="123"/>
  <c r="KN509" i="123"/>
  <c r="GI509" i="123"/>
  <c r="CH509" i="123"/>
  <c r="NV509" i="123"/>
  <c r="JX509" i="123"/>
  <c r="GB509" i="123"/>
  <c r="CB509" i="123"/>
  <c r="NU509" i="123"/>
  <c r="JU509" i="123"/>
  <c r="FU509" i="123"/>
  <c r="BZ509" i="123"/>
  <c r="A506" i="123"/>
  <c r="NY506" i="123"/>
  <c r="NX506" i="123"/>
  <c r="NR506" i="123"/>
  <c r="NP506" i="123"/>
  <c r="OC506" i="123"/>
  <c r="A503" i="123"/>
  <c r="OC502" i="123"/>
  <c r="NO502" i="123"/>
  <c r="NA502" i="123"/>
  <c r="MM502" i="123"/>
  <c r="NU502" i="123"/>
  <c r="NF502" i="123"/>
  <c r="MQ502" i="123"/>
  <c r="MB502" i="123"/>
  <c r="LN502" i="123"/>
  <c r="KZ502" i="123"/>
  <c r="KL502" i="123"/>
  <c r="JX502" i="123"/>
  <c r="JJ502" i="123"/>
  <c r="IV502" i="123"/>
  <c r="IH502" i="123"/>
  <c r="HT502" i="123"/>
  <c r="HF502" i="123"/>
  <c r="GR502" i="123"/>
  <c r="GD502" i="123"/>
  <c r="FP502" i="123"/>
  <c r="FB502" i="123"/>
  <c r="EN502" i="123"/>
  <c r="DZ502" i="123"/>
  <c r="DL502" i="123"/>
  <c r="CX502" i="123"/>
  <c r="CJ502" i="123"/>
  <c r="BV502" i="123"/>
  <c r="BH502" i="123"/>
  <c r="AT502" i="123"/>
  <c r="AF502" i="123"/>
  <c r="NQ502" i="123"/>
  <c r="NB502" i="123"/>
  <c r="ML502" i="123"/>
  <c r="LX502" i="123"/>
  <c r="LJ502" i="123"/>
  <c r="KV502" i="123"/>
  <c r="NX502" i="123"/>
  <c r="NG502" i="123"/>
  <c r="MO502" i="123"/>
  <c r="LW502" i="123"/>
  <c r="LG502" i="123"/>
  <c r="KQ502" i="123"/>
  <c r="KB502" i="123"/>
  <c r="JM502" i="123"/>
  <c r="IX502" i="123"/>
  <c r="II502" i="123"/>
  <c r="HS502" i="123"/>
  <c r="HD502" i="123"/>
  <c r="GO502" i="123"/>
  <c r="FZ502" i="123"/>
  <c r="FK502" i="123"/>
  <c r="EV502" i="123"/>
  <c r="EG502" i="123"/>
  <c r="DR502" i="123"/>
  <c r="DC502" i="123"/>
  <c r="CN502" i="123"/>
  <c r="BY502" i="123"/>
  <c r="BJ502" i="123"/>
  <c r="AU502" i="123"/>
  <c r="AE502" i="123"/>
  <c r="OB502" i="123"/>
  <c r="NK502" i="123"/>
  <c r="MT502" i="123"/>
  <c r="MC502" i="123"/>
  <c r="LL502" i="123"/>
  <c r="KU502" i="123"/>
  <c r="KF502" i="123"/>
  <c r="JQ502" i="123"/>
  <c r="JB502" i="123"/>
  <c r="IM502" i="123"/>
  <c r="HX502" i="123"/>
  <c r="HI502" i="123"/>
  <c r="GT502" i="123"/>
  <c r="GE502" i="123"/>
  <c r="FO502" i="123"/>
  <c r="EZ502" i="123"/>
  <c r="EK502" i="123"/>
  <c r="DV502" i="123"/>
  <c r="DG502" i="123"/>
  <c r="CR502" i="123"/>
  <c r="CC502" i="123"/>
  <c r="BN502" i="123"/>
  <c r="AY502" i="123"/>
  <c r="AJ502" i="123"/>
  <c r="OA502" i="123"/>
  <c r="NJ502" i="123"/>
  <c r="MS502" i="123"/>
  <c r="MA502" i="123"/>
  <c r="LK502" i="123"/>
  <c r="KT502" i="123"/>
  <c r="KE502" i="123"/>
  <c r="JP502" i="123"/>
  <c r="JA502" i="123"/>
  <c r="IL502" i="123"/>
  <c r="HW502" i="123"/>
  <c r="HH502" i="123"/>
  <c r="GS502" i="123"/>
  <c r="GC502" i="123"/>
  <c r="FN502" i="123"/>
  <c r="EY502" i="123"/>
  <c r="EJ502" i="123"/>
  <c r="DU502" i="123"/>
  <c r="DF502" i="123"/>
  <c r="CQ502" i="123"/>
  <c r="CB502" i="123"/>
  <c r="BM502" i="123"/>
  <c r="AX502" i="123"/>
  <c r="AI502" i="123"/>
  <c r="NE502" i="123"/>
  <c r="MI502" i="123"/>
  <c r="LP502" i="123"/>
  <c r="KS502" i="123"/>
  <c r="JZ502" i="123"/>
  <c r="JG502" i="123"/>
  <c r="IO502" i="123"/>
  <c r="HU502" i="123"/>
  <c r="HA502" i="123"/>
  <c r="GI502" i="123"/>
  <c r="FQ502" i="123"/>
  <c r="EU502" i="123"/>
  <c r="EC502" i="123"/>
  <c r="DJ502" i="123"/>
  <c r="CP502" i="123"/>
  <c r="BW502" i="123"/>
  <c r="BD502" i="123"/>
  <c r="AL502" i="123"/>
  <c r="NZ502" i="123"/>
  <c r="ND502" i="123"/>
  <c r="MH502" i="123"/>
  <c r="LO502" i="123"/>
  <c r="KR502" i="123"/>
  <c r="JY502" i="123"/>
  <c r="JF502" i="123"/>
  <c r="IN502" i="123"/>
  <c r="HR502" i="123"/>
  <c r="GZ502" i="123"/>
  <c r="GH502" i="123"/>
  <c r="FM502" i="123"/>
  <c r="ET502" i="123"/>
  <c r="EB502" i="123"/>
  <c r="DI502" i="123"/>
  <c r="CO502" i="123"/>
  <c r="BU502" i="123"/>
  <c r="BC502" i="123"/>
  <c r="AK502" i="123"/>
  <c r="NY502" i="123"/>
  <c r="NC502" i="123"/>
  <c r="MG502" i="123"/>
  <c r="LM502" i="123"/>
  <c r="KP502" i="123"/>
  <c r="JW502" i="123"/>
  <c r="JE502" i="123"/>
  <c r="IK502" i="123"/>
  <c r="HQ502" i="123"/>
  <c r="GY502" i="123"/>
  <c r="GG502" i="123"/>
  <c r="FL502" i="123"/>
  <c r="ES502" i="123"/>
  <c r="EA502" i="123"/>
  <c r="DH502" i="123"/>
  <c r="CM502" i="123"/>
  <c r="BT502" i="123"/>
  <c r="BB502" i="123"/>
  <c r="AH502" i="123"/>
  <c r="NV499" i="123"/>
  <c r="NX499" i="123"/>
  <c r="NW499" i="123"/>
  <c r="NU499" i="123"/>
  <c r="NU495" i="123"/>
  <c r="NG495" i="123"/>
  <c r="MS495" i="123"/>
  <c r="ME495" i="123"/>
  <c r="LQ495" i="123"/>
  <c r="LC495" i="123"/>
  <c r="KO495" i="123"/>
  <c r="KA495" i="123"/>
  <c r="JM495" i="123"/>
  <c r="IY495" i="123"/>
  <c r="IK495" i="123"/>
  <c r="HW495" i="123"/>
  <c r="HI495" i="123"/>
  <c r="GU495" i="123"/>
  <c r="GG495" i="123"/>
  <c r="FS495" i="123"/>
  <c r="FE495" i="123"/>
  <c r="EQ495" i="123"/>
  <c r="EC495" i="123"/>
  <c r="DO495" i="123"/>
  <c r="DA495" i="123"/>
  <c r="CM495" i="123"/>
  <c r="BY495" i="123"/>
  <c r="BK495" i="123"/>
  <c r="AW495" i="123"/>
  <c r="AI495" i="123"/>
  <c r="L493" i="123"/>
  <c r="M493" i="123" s="1"/>
  <c r="E512" i="123"/>
  <c r="B512" i="123"/>
  <c r="BY509" i="123"/>
  <c r="HJ509" i="123"/>
  <c r="MD509" i="123"/>
  <c r="AC502" i="123"/>
  <c r="BE502" i="123"/>
  <c r="CD502" i="123"/>
  <c r="CZ502" i="123"/>
  <c r="DX502" i="123"/>
  <c r="EX502" i="123"/>
  <c r="FV502" i="123"/>
  <c r="GU502" i="123"/>
  <c r="HP502" i="123"/>
  <c r="IR502" i="123"/>
  <c r="JO502" i="123"/>
  <c r="KM502" i="123"/>
  <c r="LQ502" i="123"/>
  <c r="MP502" i="123"/>
  <c r="NR502" i="123"/>
  <c r="DE509" i="123"/>
  <c r="HM509" i="123"/>
  <c r="MH509" i="123"/>
  <c r="M494" i="123"/>
  <c r="AE495" i="123"/>
  <c r="AT495" i="123"/>
  <c r="BI495" i="123"/>
  <c r="BX495" i="123"/>
  <c r="CN495" i="123"/>
  <c r="DC495" i="123"/>
  <c r="DR495" i="123"/>
  <c r="EG495" i="123"/>
  <c r="EV495" i="123"/>
  <c r="FK495" i="123"/>
  <c r="FZ495" i="123"/>
  <c r="GO495" i="123"/>
  <c r="HD495" i="123"/>
  <c r="HS495" i="123"/>
  <c r="IH495" i="123"/>
  <c r="IW495" i="123"/>
  <c r="JL495" i="123"/>
  <c r="KB495" i="123"/>
  <c r="KQ495" i="123"/>
  <c r="LF495" i="123"/>
  <c r="LU495" i="123"/>
  <c r="MJ495" i="123"/>
  <c r="MY495" i="123"/>
  <c r="NN495" i="123"/>
  <c r="OC495" i="123"/>
  <c r="OC499" i="123"/>
  <c r="AO502" i="123"/>
  <c r="BL502" i="123"/>
  <c r="CI502" i="123"/>
  <c r="DK502" i="123"/>
  <c r="EH502" i="123"/>
  <c r="FF502" i="123"/>
  <c r="GB502" i="123"/>
  <c r="HC502" i="123"/>
  <c r="IB502" i="123"/>
  <c r="IY502" i="123"/>
  <c r="JV502" i="123"/>
  <c r="KY502" i="123"/>
  <c r="LV502" i="123"/>
  <c r="MX502" i="123"/>
  <c r="NU506" i="123"/>
  <c r="ED509" i="123"/>
  <c r="JK509" i="123"/>
  <c r="M501" i="123"/>
  <c r="MQ504" i="123"/>
  <c r="MR504" i="123"/>
  <c r="MP504" i="123"/>
  <c r="A504" i="123"/>
  <c r="MS504" i="123"/>
  <c r="AY510" i="123"/>
  <c r="CF510" i="123"/>
  <c r="DO510" i="123"/>
  <c r="EU510" i="123"/>
  <c r="GB510" i="123"/>
  <c r="HI510" i="123"/>
  <c r="IM510" i="123"/>
  <c r="JU510" i="123"/>
  <c r="LD510" i="123"/>
  <c r="ML510" i="123"/>
  <c r="NV510" i="123"/>
  <c r="MT509" i="123"/>
  <c r="MS509" i="123"/>
  <c r="MR509" i="123"/>
  <c r="MQ509" i="123"/>
  <c r="MP509" i="123"/>
  <c r="L507" i="123"/>
  <c r="M507" i="123" s="1"/>
  <c r="AZ510" i="123"/>
  <c r="CH510" i="123"/>
  <c r="DP510" i="123"/>
  <c r="EY510" i="123"/>
  <c r="GG510" i="123"/>
  <c r="HL510" i="123"/>
  <c r="IQ510" i="123"/>
  <c r="JW510" i="123"/>
  <c r="LE510" i="123"/>
  <c r="MN510" i="123"/>
  <c r="NW510" i="123"/>
  <c r="A510" i="123"/>
  <c r="FF508" i="123"/>
  <c r="EN508" i="123"/>
  <c r="DU508" i="123"/>
  <c r="DD508" i="123"/>
  <c r="CM508" i="123"/>
  <c r="BU508" i="123"/>
  <c r="FK508" i="123"/>
  <c r="ER508" i="123"/>
  <c r="DX508" i="123"/>
  <c r="DB508" i="123"/>
  <c r="CH508" i="123"/>
  <c r="BL508" i="123"/>
  <c r="FJ508" i="123"/>
  <c r="EQ508" i="123"/>
  <c r="DT508" i="123"/>
  <c r="DA508" i="123"/>
  <c r="CF508" i="123"/>
  <c r="FE508" i="123"/>
  <c r="EF508" i="123"/>
  <c r="DJ508" i="123"/>
  <c r="CK508" i="123"/>
  <c r="BM508" i="123"/>
  <c r="HG508" i="123"/>
  <c r="FL508" i="123"/>
  <c r="EM508" i="123"/>
  <c r="DO508" i="123"/>
  <c r="CQ508" i="123"/>
  <c r="BT508" i="123"/>
  <c r="NQ506" i="123"/>
  <c r="NC506" i="123"/>
  <c r="MO506" i="123"/>
  <c r="MA506" i="123"/>
  <c r="LM506" i="123"/>
  <c r="KY506" i="123"/>
  <c r="KK506" i="123"/>
  <c r="JW506" i="123"/>
  <c r="JI506" i="123"/>
  <c r="IU506" i="123"/>
  <c r="IG506" i="123"/>
  <c r="HS506" i="123"/>
  <c r="HE506" i="123"/>
  <c r="GQ506" i="123"/>
  <c r="GC506" i="123"/>
  <c r="FO506" i="123"/>
  <c r="FA506" i="123"/>
  <c r="EM506" i="123"/>
  <c r="DY506" i="123"/>
  <c r="DK506" i="123"/>
  <c r="CW506" i="123"/>
  <c r="CI506" i="123"/>
  <c r="BU506" i="123"/>
  <c r="BG506" i="123"/>
  <c r="AS506" i="123"/>
  <c r="AE506" i="123"/>
  <c r="NV506" i="123"/>
  <c r="NG506" i="123"/>
  <c r="MC506" i="123"/>
  <c r="LN506" i="123"/>
  <c r="KX506" i="123"/>
  <c r="KI506" i="123"/>
  <c r="JT506" i="123"/>
  <c r="JE506" i="123"/>
  <c r="IP506" i="123"/>
  <c r="IA506" i="123"/>
  <c r="HL506" i="123"/>
  <c r="GW506" i="123"/>
  <c r="GH506" i="123"/>
  <c r="FS506" i="123"/>
  <c r="FD506" i="123"/>
  <c r="EO506" i="123"/>
  <c r="DZ506" i="123"/>
  <c r="DJ506" i="123"/>
  <c r="CU506" i="123"/>
  <c r="CF506" i="123"/>
  <c r="BQ506" i="123"/>
  <c r="BB506" i="123"/>
  <c r="AM506" i="123"/>
  <c r="X506" i="123"/>
  <c r="OA506" i="123"/>
  <c r="NL506" i="123"/>
  <c r="MW506" i="123"/>
  <c r="MH506" i="123"/>
  <c r="LS506" i="123"/>
  <c r="LD506" i="123"/>
  <c r="KO506" i="123"/>
  <c r="JZ506" i="123"/>
  <c r="JK506" i="123"/>
  <c r="IV506" i="123"/>
  <c r="IF506" i="123"/>
  <c r="HQ506" i="123"/>
  <c r="HB506" i="123"/>
  <c r="GM506" i="123"/>
  <c r="FX506" i="123"/>
  <c r="FI506" i="123"/>
  <c r="ET506" i="123"/>
  <c r="EE506" i="123"/>
  <c r="DP506" i="123"/>
  <c r="DA506" i="123"/>
  <c r="CL506" i="123"/>
  <c r="BW506" i="123"/>
  <c r="BH506" i="123"/>
  <c r="AR506" i="123"/>
  <c r="AC506" i="123"/>
  <c r="OB506" i="123"/>
  <c r="NJ506" i="123"/>
  <c r="LZ506" i="123"/>
  <c r="LI506" i="123"/>
  <c r="KR506" i="123"/>
  <c r="KA506" i="123"/>
  <c r="JH506" i="123"/>
  <c r="IQ506" i="123"/>
  <c r="HY506" i="123"/>
  <c r="HH506" i="123"/>
  <c r="GP506" i="123"/>
  <c r="FY506" i="123"/>
  <c r="FG506" i="123"/>
  <c r="EP506" i="123"/>
  <c r="DW506" i="123"/>
  <c r="DF506" i="123"/>
  <c r="CO506" i="123"/>
  <c r="BX506" i="123"/>
  <c r="BE506" i="123"/>
  <c r="AN506" i="123"/>
  <c r="NO506" i="123"/>
  <c r="MV506" i="123"/>
  <c r="MD506" i="123"/>
  <c r="LJ506" i="123"/>
  <c r="KQ506" i="123"/>
  <c r="JX506" i="123"/>
  <c r="JD506" i="123"/>
  <c r="IL506" i="123"/>
  <c r="HT506" i="123"/>
  <c r="GZ506" i="123"/>
  <c r="GG506" i="123"/>
  <c r="FN506" i="123"/>
  <c r="EV506" i="123"/>
  <c r="EC506" i="123"/>
  <c r="DI506" i="123"/>
  <c r="CQ506" i="123"/>
  <c r="BY506" i="123"/>
  <c r="BD506" i="123"/>
  <c r="AK506" i="123"/>
  <c r="X510" i="123"/>
  <c r="BA510" i="123"/>
  <c r="CM510" i="123"/>
  <c r="DR510" i="123"/>
  <c r="EZ510" i="123"/>
  <c r="GH510" i="123"/>
  <c r="HM510" i="123"/>
  <c r="IT510" i="123"/>
  <c r="KA510" i="123"/>
  <c r="LH510" i="123"/>
  <c r="MO510" i="123"/>
  <c r="MR506" i="123"/>
  <c r="MS506" i="123"/>
  <c r="NT510" i="123"/>
  <c r="NF510" i="123"/>
  <c r="MR510" i="123"/>
  <c r="MD510" i="123"/>
  <c r="LP510" i="123"/>
  <c r="LB510" i="123"/>
  <c r="KN510" i="123"/>
  <c r="JZ510" i="123"/>
  <c r="JL510" i="123"/>
  <c r="IX510" i="123"/>
  <c r="IJ510" i="123"/>
  <c r="HV510" i="123"/>
  <c r="HH510" i="123"/>
  <c r="GT510" i="123"/>
  <c r="GF510" i="123"/>
  <c r="FR510" i="123"/>
  <c r="FD510" i="123"/>
  <c r="EP510" i="123"/>
  <c r="EB510" i="123"/>
  <c r="DN510" i="123"/>
  <c r="CZ510" i="123"/>
  <c r="CL510" i="123"/>
  <c r="BX510" i="123"/>
  <c r="BJ510" i="123"/>
  <c r="AV510" i="123"/>
  <c r="AH510" i="123"/>
  <c r="NS510" i="123"/>
  <c r="NE510" i="123"/>
  <c r="MQ510" i="123"/>
  <c r="MC510" i="123"/>
  <c r="LO510" i="123"/>
  <c r="LA510" i="123"/>
  <c r="KM510" i="123"/>
  <c r="JY510" i="123"/>
  <c r="JK510" i="123"/>
  <c r="IW510" i="123"/>
  <c r="II510" i="123"/>
  <c r="HU510" i="123"/>
  <c r="HG510" i="123"/>
  <c r="GS510" i="123"/>
  <c r="GE510" i="123"/>
  <c r="FQ510" i="123"/>
  <c r="FC510" i="123"/>
  <c r="EO510" i="123"/>
  <c r="EA510" i="123"/>
  <c r="DM510" i="123"/>
  <c r="CY510" i="123"/>
  <c r="CK510" i="123"/>
  <c r="BW510" i="123"/>
  <c r="BI510" i="123"/>
  <c r="AU510" i="123"/>
  <c r="AG510" i="123"/>
  <c r="NR510" i="123"/>
  <c r="ND510" i="123"/>
  <c r="MP510" i="123"/>
  <c r="MB510" i="123"/>
  <c r="LN510" i="123"/>
  <c r="KZ510" i="123"/>
  <c r="KL510" i="123"/>
  <c r="JX510" i="123"/>
  <c r="JJ510" i="123"/>
  <c r="IV510" i="123"/>
  <c r="IH510" i="123"/>
  <c r="HT510" i="123"/>
  <c r="HF510" i="123"/>
  <c r="GR510" i="123"/>
  <c r="GD510" i="123"/>
  <c r="FP510" i="123"/>
  <c r="FB510" i="123"/>
  <c r="EN510" i="123"/>
  <c r="DZ510" i="123"/>
  <c r="DL510" i="123"/>
  <c r="CX510" i="123"/>
  <c r="CJ510" i="123"/>
  <c r="BV510" i="123"/>
  <c r="BH510" i="123"/>
  <c r="AT510" i="123"/>
  <c r="AF510" i="123"/>
  <c r="NN510" i="123"/>
  <c r="MW510" i="123"/>
  <c r="MF510" i="123"/>
  <c r="LL510" i="123"/>
  <c r="KU510" i="123"/>
  <c r="KD510" i="123"/>
  <c r="JM510" i="123"/>
  <c r="IS510" i="123"/>
  <c r="IB510" i="123"/>
  <c r="HK510" i="123"/>
  <c r="GQ510" i="123"/>
  <c r="FZ510" i="123"/>
  <c r="FI510" i="123"/>
  <c r="ER510" i="123"/>
  <c r="DX510" i="123"/>
  <c r="DG510" i="123"/>
  <c r="CP510" i="123"/>
  <c r="BY510" i="123"/>
  <c r="BE510" i="123"/>
  <c r="AN510" i="123"/>
  <c r="NM510" i="123"/>
  <c r="MV510" i="123"/>
  <c r="ME510" i="123"/>
  <c r="LK510" i="123"/>
  <c r="KT510" i="123"/>
  <c r="KC510" i="123"/>
  <c r="JI510" i="123"/>
  <c r="IR510" i="123"/>
  <c r="IA510" i="123"/>
  <c r="HJ510" i="123"/>
  <c r="GP510" i="123"/>
  <c r="FY510" i="123"/>
  <c r="FH510" i="123"/>
  <c r="EQ510" i="123"/>
  <c r="DW510" i="123"/>
  <c r="DF510" i="123"/>
  <c r="CO510" i="123"/>
  <c r="BU510" i="123"/>
  <c r="BD510" i="123"/>
  <c r="AM510" i="123"/>
  <c r="OB510" i="123"/>
  <c r="NI510" i="123"/>
  <c r="MM510" i="123"/>
  <c r="LT510" i="123"/>
  <c r="KX510" i="123"/>
  <c r="KE510" i="123"/>
  <c r="JG510" i="123"/>
  <c r="IN510" i="123"/>
  <c r="HR510" i="123"/>
  <c r="GY510" i="123"/>
  <c r="GC510" i="123"/>
  <c r="FJ510" i="123"/>
  <c r="EL510" i="123"/>
  <c r="DS510" i="123"/>
  <c r="CW510" i="123"/>
  <c r="CD510" i="123"/>
  <c r="BK510" i="123"/>
  <c r="AO510" i="123"/>
  <c r="NP510" i="123"/>
  <c r="MU510" i="123"/>
  <c r="LY510" i="123"/>
  <c r="LF510" i="123"/>
  <c r="KJ510" i="123"/>
  <c r="JQ510" i="123"/>
  <c r="IU510" i="123"/>
  <c r="HZ510" i="123"/>
  <c r="HD510" i="123"/>
  <c r="GK510" i="123"/>
  <c r="FO510" i="123"/>
  <c r="EV510" i="123"/>
  <c r="EC510" i="123"/>
  <c r="DE510" i="123"/>
  <c r="CI510" i="123"/>
  <c r="BP510" i="123"/>
  <c r="AW510" i="123"/>
  <c r="AA510" i="123"/>
  <c r="NH510" i="123"/>
  <c r="MJ510" i="123"/>
  <c r="LJ510" i="123"/>
  <c r="KO510" i="123"/>
  <c r="JP510" i="123"/>
  <c r="IP510" i="123"/>
  <c r="HQ510" i="123"/>
  <c r="GV510" i="123"/>
  <c r="FV510" i="123"/>
  <c r="EX510" i="123"/>
  <c r="DY510" i="123"/>
  <c r="DB510" i="123"/>
  <c r="CC510" i="123"/>
  <c r="BC510" i="123"/>
  <c r="AE510" i="123"/>
  <c r="OC510" i="123"/>
  <c r="NG510" i="123"/>
  <c r="MI510" i="123"/>
  <c r="LI510" i="123"/>
  <c r="KK510" i="123"/>
  <c r="JO510" i="123"/>
  <c r="IO510" i="123"/>
  <c r="HP510" i="123"/>
  <c r="GU510" i="123"/>
  <c r="FU510" i="123"/>
  <c r="EW510" i="123"/>
  <c r="DV510" i="123"/>
  <c r="DA510" i="123"/>
  <c r="CB510" i="123"/>
  <c r="BB510" i="123"/>
  <c r="AD510" i="123"/>
  <c r="NB510" i="123"/>
  <c r="LZ510" i="123"/>
  <c r="KY510" i="123"/>
  <c r="JV510" i="123"/>
  <c r="IY510" i="123"/>
  <c r="HS510" i="123"/>
  <c r="GN510" i="123"/>
  <c r="FM510" i="123"/>
  <c r="EJ510" i="123"/>
  <c r="DJ510" i="123"/>
  <c r="CG510" i="123"/>
  <c r="BF510" i="123"/>
  <c r="AB510" i="123"/>
  <c r="NL510" i="123"/>
  <c r="MK510" i="123"/>
  <c r="LG510" i="123"/>
  <c r="KF510" i="123"/>
  <c r="JC510" i="123"/>
  <c r="IC510" i="123"/>
  <c r="GZ510" i="123"/>
  <c r="FW510" i="123"/>
  <c r="ET510" i="123"/>
  <c r="DQ510" i="123"/>
  <c r="CQ510" i="123"/>
  <c r="BN510" i="123"/>
  <c r="AK510" i="123"/>
  <c r="NK510" i="123"/>
  <c r="OB507" i="123"/>
  <c r="NO507" i="123"/>
  <c r="OC507" i="123"/>
  <c r="NV507" i="123"/>
  <c r="OA507" i="123"/>
  <c r="NX507" i="123"/>
  <c r="OA503" i="123"/>
  <c r="NM503" i="123"/>
  <c r="MY503" i="123"/>
  <c r="MK503" i="123"/>
  <c r="LW503" i="123"/>
  <c r="LI503" i="123"/>
  <c r="KU503" i="123"/>
  <c r="KG503" i="123"/>
  <c r="JS503" i="123"/>
  <c r="JE503" i="123"/>
  <c r="IQ503" i="123"/>
  <c r="IC503" i="123"/>
  <c r="HO503" i="123"/>
  <c r="HA503" i="123"/>
  <c r="GM503" i="123"/>
  <c r="FY503" i="123"/>
  <c r="NV503" i="123"/>
  <c r="NG503" i="123"/>
  <c r="MR503" i="123"/>
  <c r="MC503" i="123"/>
  <c r="LN503" i="123"/>
  <c r="KY503" i="123"/>
  <c r="KJ503" i="123"/>
  <c r="JU503" i="123"/>
  <c r="JF503" i="123"/>
  <c r="IP503" i="123"/>
  <c r="IA503" i="123"/>
  <c r="HL503" i="123"/>
  <c r="GW503" i="123"/>
  <c r="GH503" i="123"/>
  <c r="FS503" i="123"/>
  <c r="FE503" i="123"/>
  <c r="EQ503" i="123"/>
  <c r="EC503" i="123"/>
  <c r="DO503" i="123"/>
  <c r="DA503" i="123"/>
  <c r="CM503" i="123"/>
  <c r="BY503" i="123"/>
  <c r="BK503" i="123"/>
  <c r="AW503" i="123"/>
  <c r="AI503" i="123"/>
  <c r="F511" i="123"/>
  <c r="E511" i="123"/>
  <c r="AB503" i="123"/>
  <c r="AQ503" i="123"/>
  <c r="BF503" i="123"/>
  <c r="BU503" i="123"/>
  <c r="CJ503" i="123"/>
  <c r="CY503" i="123"/>
  <c r="DN503" i="123"/>
  <c r="ED503" i="123"/>
  <c r="ES503" i="123"/>
  <c r="FH503" i="123"/>
  <c r="FW503" i="123"/>
  <c r="GN503" i="123"/>
  <c r="HD503" i="123"/>
  <c r="HT503" i="123"/>
  <c r="IJ503" i="123"/>
  <c r="IZ503" i="123"/>
  <c r="JP503" i="123"/>
  <c r="KF503" i="123"/>
  <c r="KW503" i="123"/>
  <c r="LM503" i="123"/>
  <c r="MD503" i="123"/>
  <c r="MT503" i="123"/>
  <c r="NJ503" i="123"/>
  <c r="NZ503" i="123"/>
  <c r="AI506" i="123"/>
  <c r="BC506" i="123"/>
  <c r="BZ506" i="123"/>
  <c r="CS506" i="123"/>
  <c r="DN506" i="123"/>
  <c r="EH506" i="123"/>
  <c r="FB506" i="123"/>
  <c r="FV506" i="123"/>
  <c r="GR506" i="123"/>
  <c r="HK506" i="123"/>
  <c r="IE506" i="123"/>
  <c r="IZ506" i="123"/>
  <c r="JS506" i="123"/>
  <c r="KN506" i="123"/>
  <c r="LH506" i="123"/>
  <c r="ME506" i="123"/>
  <c r="MY506" i="123"/>
  <c r="NS506" i="123"/>
  <c r="NT507" i="123"/>
  <c r="CO508" i="123"/>
  <c r="DQ508" i="123"/>
  <c r="ET508" i="123"/>
  <c r="AC510" i="123"/>
  <c r="BM510" i="123"/>
  <c r="CS510" i="123"/>
  <c r="ED510" i="123"/>
  <c r="FF510" i="123"/>
  <c r="GL510" i="123"/>
  <c r="HW510" i="123"/>
  <c r="JB510" i="123"/>
  <c r="KH510" i="123"/>
  <c r="LR510" i="123"/>
  <c r="MX510" i="123"/>
  <c r="OA510" i="123"/>
  <c r="MT508" i="123"/>
  <c r="MS508" i="123"/>
  <c r="MR508" i="123"/>
  <c r="MQ508" i="123"/>
  <c r="MP508" i="123"/>
  <c r="NM508" i="123"/>
  <c r="IR508" i="123"/>
  <c r="HW508" i="123"/>
  <c r="HE508" i="123"/>
  <c r="GN508" i="123"/>
  <c r="FW508" i="123"/>
  <c r="BD508" i="123"/>
  <c r="AM508" i="123"/>
  <c r="MZ508" i="123"/>
  <c r="IS508" i="123"/>
  <c r="HT508" i="123"/>
  <c r="HA508" i="123"/>
  <c r="GG508" i="123"/>
  <c r="AR508" i="123"/>
  <c r="Y508" i="123"/>
  <c r="MY508" i="123"/>
  <c r="IQ508" i="123"/>
  <c r="HS508" i="123"/>
  <c r="GY508" i="123"/>
  <c r="GC508" i="123"/>
  <c r="BK508" i="123"/>
  <c r="AQ508" i="123"/>
  <c r="X508" i="123"/>
  <c r="AO508" i="123"/>
  <c r="GA508" i="123"/>
  <c r="HB508" i="123"/>
  <c r="IA508" i="123"/>
  <c r="JA508" i="123"/>
  <c r="NN508" i="123"/>
  <c r="NV508" i="123"/>
  <c r="NH508" i="123"/>
  <c r="MF508" i="123"/>
  <c r="LR508" i="123"/>
  <c r="LD508" i="123"/>
  <c r="KP508" i="123"/>
  <c r="KB508" i="123"/>
  <c r="JN508" i="123"/>
  <c r="IZ508" i="123"/>
  <c r="IL508" i="123"/>
  <c r="NU508" i="123"/>
  <c r="NG508" i="123"/>
  <c r="ME508" i="123"/>
  <c r="LQ508" i="123"/>
  <c r="LC508" i="123"/>
  <c r="KO508" i="123"/>
  <c r="KA508" i="123"/>
  <c r="JM508" i="123"/>
  <c r="IY508" i="123"/>
  <c r="IK508" i="123"/>
  <c r="NT508" i="123"/>
  <c r="NF508" i="123"/>
  <c r="MD508" i="123"/>
  <c r="LP508" i="123"/>
  <c r="LB508" i="123"/>
  <c r="KN508" i="123"/>
  <c r="JZ508" i="123"/>
  <c r="JL508" i="123"/>
  <c r="IX508" i="123"/>
  <c r="IJ508" i="123"/>
  <c r="HV508" i="123"/>
  <c r="HH508" i="123"/>
  <c r="GT508" i="123"/>
  <c r="GF508" i="123"/>
  <c r="FR508" i="123"/>
  <c r="FD508" i="123"/>
  <c r="EP508" i="123"/>
  <c r="EB508" i="123"/>
  <c r="DN508" i="123"/>
  <c r="CZ508" i="123"/>
  <c r="CL508" i="123"/>
  <c r="BX508" i="123"/>
  <c r="BJ508" i="123"/>
  <c r="AV508" i="123"/>
  <c r="AH508" i="123"/>
  <c r="OB508" i="123"/>
  <c r="NK508" i="123"/>
  <c r="LZ508" i="123"/>
  <c r="LI508" i="123"/>
  <c r="KR508" i="123"/>
  <c r="JX508" i="123"/>
  <c r="JG508" i="123"/>
  <c r="IP508" i="123"/>
  <c r="HY508" i="123"/>
  <c r="HJ508" i="123"/>
  <c r="GU508" i="123"/>
  <c r="GE508" i="123"/>
  <c r="FP508" i="123"/>
  <c r="FA508" i="123"/>
  <c r="EL508" i="123"/>
  <c r="DW508" i="123"/>
  <c r="DH508" i="123"/>
  <c r="CS508" i="123"/>
  <c r="CD508" i="123"/>
  <c r="BO508" i="123"/>
  <c r="AZ508" i="123"/>
  <c r="AK508" i="123"/>
  <c r="OA508" i="123"/>
  <c r="NJ508" i="123"/>
  <c r="LY508" i="123"/>
  <c r="LH508" i="123"/>
  <c r="KQ508" i="123"/>
  <c r="JW508" i="123"/>
  <c r="JF508" i="123"/>
  <c r="IO508" i="123"/>
  <c r="HX508" i="123"/>
  <c r="HI508" i="123"/>
  <c r="GS508" i="123"/>
  <c r="GD508" i="123"/>
  <c r="FO508" i="123"/>
  <c r="EZ508" i="123"/>
  <c r="EK508" i="123"/>
  <c r="DV508" i="123"/>
  <c r="DG508" i="123"/>
  <c r="CR508" i="123"/>
  <c r="CC508" i="123"/>
  <c r="BN508" i="123"/>
  <c r="AY508" i="123"/>
  <c r="AJ508" i="123"/>
  <c r="AE508" i="123"/>
  <c r="AW508" i="123"/>
  <c r="BP508" i="123"/>
  <c r="CG508" i="123"/>
  <c r="CX508" i="123"/>
  <c r="DP508" i="123"/>
  <c r="EG508" i="123"/>
  <c r="EX508" i="123"/>
  <c r="FQ508" i="123"/>
  <c r="GI508" i="123"/>
  <c r="GZ508" i="123"/>
  <c r="HQ508" i="123"/>
  <c r="IH508" i="123"/>
  <c r="JD508" i="123"/>
  <c r="JY508" i="123"/>
  <c r="KU508" i="123"/>
  <c r="LN508" i="123"/>
  <c r="MJ508" i="123"/>
  <c r="NC508" i="123"/>
  <c r="NY508" i="123"/>
  <c r="U129" i="123"/>
  <c r="S142" i="123"/>
  <c r="U249" i="123"/>
  <c r="G217" i="123"/>
  <c r="AD236" i="123"/>
  <c r="A227" i="123"/>
  <c r="U233" i="123"/>
  <c r="J274" i="123"/>
  <c r="J278" i="123" s="1"/>
  <c r="J1660" i="123"/>
  <c r="K1660" i="123" s="1"/>
  <c r="M241" i="123"/>
  <c r="A186" i="123"/>
  <c r="P274" i="123"/>
  <c r="P278" i="123" s="1"/>
  <c r="A249" i="123"/>
  <c r="U130" i="123"/>
  <c r="U199" i="123"/>
  <c r="S132" i="123"/>
  <c r="J297" i="123"/>
  <c r="J1654" i="123"/>
  <c r="K1654" i="123" s="1"/>
  <c r="J1645" i="123"/>
  <c r="K1645" i="123" s="1"/>
  <c r="J142" i="123"/>
  <c r="A216" i="123"/>
  <c r="AD239" i="123"/>
  <c r="K1445" i="123"/>
  <c r="J1655" i="123"/>
  <c r="K1655" i="123" s="1"/>
  <c r="J1647" i="123"/>
  <c r="K1647" i="123" s="1"/>
  <c r="S234" i="123"/>
  <c r="J1649" i="123"/>
  <c r="K1649" i="123" s="1"/>
  <c r="J1656" i="123"/>
  <c r="K1656" i="123" s="1"/>
  <c r="J259" i="123"/>
  <c r="L1577" i="123"/>
  <c r="A258" i="123"/>
  <c r="J1643" i="123"/>
  <c r="K1643" i="123" s="1"/>
  <c r="M259" i="123"/>
  <c r="M138" i="123"/>
  <c r="G234" i="123"/>
  <c r="U131" i="123"/>
  <c r="J1651" i="123"/>
  <c r="K1651" i="123" s="1"/>
  <c r="A129" i="123"/>
  <c r="S241" i="123"/>
  <c r="P259" i="123"/>
  <c r="U186" i="123"/>
  <c r="A130" i="123"/>
  <c r="A233" i="123"/>
  <c r="J1644" i="123"/>
  <c r="K1644" i="123" s="1"/>
  <c r="M132" i="123"/>
  <c r="J241" i="123"/>
  <c r="S259" i="123"/>
  <c r="G138" i="123"/>
  <c r="L444" i="123"/>
  <c r="V261" i="123"/>
  <c r="D752" i="123"/>
  <c r="J1629" i="123"/>
  <c r="B1673" i="123"/>
  <c r="M155" i="123"/>
  <c r="M250" i="123"/>
  <c r="D1668" i="123"/>
  <c r="P250" i="123"/>
  <c r="M444" i="123"/>
  <c r="A1204" i="123"/>
  <c r="G150" i="123"/>
  <c r="S155" i="123"/>
  <c r="S138" i="123"/>
  <c r="U185" i="123"/>
  <c r="J424" i="123"/>
  <c r="M206" i="123"/>
  <c r="AD237" i="123"/>
  <c r="S206" i="123"/>
  <c r="J132" i="123"/>
  <c r="J155" i="123"/>
  <c r="S200" i="123"/>
  <c r="A131" i="123"/>
  <c r="L79" i="123"/>
  <c r="P132" i="123"/>
  <c r="S217" i="123"/>
  <c r="U226" i="123"/>
  <c r="F239" i="123"/>
  <c r="G259" i="123"/>
  <c r="K424" i="123"/>
  <c r="K444" i="123"/>
  <c r="J444" i="123"/>
  <c r="I444" i="123"/>
  <c r="M424" i="123"/>
  <c r="I424" i="123"/>
  <c r="L424" i="123"/>
  <c r="A226" i="123"/>
  <c r="M200" i="123"/>
  <c r="A199" i="123"/>
  <c r="S187" i="123"/>
  <c r="A185" i="123"/>
  <c r="J150" i="123"/>
  <c r="M150" i="123"/>
  <c r="P150" i="123"/>
  <c r="S150" i="123"/>
  <c r="J187" i="123"/>
  <c r="M187" i="123"/>
  <c r="J200" i="123"/>
  <c r="J206" i="123"/>
  <c r="F151" i="123"/>
  <c r="G132" i="123"/>
  <c r="F236" i="123"/>
  <c r="J1642" i="123"/>
  <c r="K1642" i="123" s="1"/>
  <c r="J1653" i="123"/>
  <c r="K1653" i="123" s="1"/>
  <c r="J1648" i="123"/>
  <c r="K1648" i="123" s="1"/>
  <c r="J1659" i="123"/>
  <c r="K1659" i="123" s="1"/>
  <c r="J1650" i="123"/>
  <c r="K1650" i="123" s="1"/>
  <c r="J1646" i="123"/>
  <c r="K1646" i="123" s="1"/>
  <c r="J1657" i="123"/>
  <c r="K1657" i="123" s="1"/>
  <c r="J1652" i="123"/>
  <c r="K1652" i="123" s="1"/>
  <c r="K1658" i="123"/>
  <c r="H1661" i="123"/>
  <c r="G837" i="123"/>
  <c r="J838" i="123"/>
  <c r="R855" i="123"/>
  <c r="S855" i="123" s="1"/>
  <c r="B868" i="123"/>
  <c r="H702" i="123"/>
  <c r="D155" i="123"/>
  <c r="AD240" i="123"/>
  <c r="F55" i="89"/>
  <c r="C62" i="100"/>
  <c r="C61" i="100"/>
  <c r="K62" i="100" s="1"/>
  <c r="DB511" i="123" l="1"/>
  <c r="M571" i="123" s="1"/>
  <c r="KX511" i="123"/>
  <c r="L615" i="123" s="1"/>
  <c r="L625" i="123" s="1"/>
  <c r="IO511" i="123"/>
  <c r="AD238" i="123"/>
  <c r="J1445" i="123"/>
  <c r="IU511" i="123"/>
  <c r="L590" i="123" s="1"/>
  <c r="KD511" i="123"/>
  <c r="L619" i="123" s="1"/>
  <c r="MS511" i="123"/>
  <c r="LT511" i="123"/>
  <c r="N607" i="123" s="1"/>
  <c r="CX511" i="123"/>
  <c r="N572" i="123" s="1"/>
  <c r="P715" i="123"/>
  <c r="AF511" i="123"/>
  <c r="N519" i="123" s="1"/>
  <c r="JR511" i="123"/>
  <c r="O612" i="123" s="1"/>
  <c r="O622" i="123" s="1"/>
  <c r="ID511" i="123"/>
  <c r="GO511" i="123"/>
  <c r="N636" i="123" s="1"/>
  <c r="KU511" i="123"/>
  <c r="N614" i="123" s="1"/>
  <c r="N624" i="123" s="1"/>
  <c r="BL511" i="123"/>
  <c r="K561" i="123" s="1"/>
  <c r="AR511" i="123"/>
  <c r="K522" i="123" s="1"/>
  <c r="GR511" i="123"/>
  <c r="L637" i="123" s="1"/>
  <c r="NF511" i="123"/>
  <c r="MJ511" i="123"/>
  <c r="O609" i="123" s="1"/>
  <c r="LN511" i="123"/>
  <c r="M605" i="123" s="1"/>
  <c r="MO511" i="123"/>
  <c r="O611" i="123" s="1"/>
  <c r="KJ511" i="123"/>
  <c r="M616" i="123" s="1"/>
  <c r="MX511" i="123"/>
  <c r="EF511" i="123"/>
  <c r="M575" i="123" s="1"/>
  <c r="IE511" i="123"/>
  <c r="K587" i="123" s="1"/>
  <c r="IT511" i="123"/>
  <c r="K590" i="123" s="1"/>
  <c r="BU511" i="123"/>
  <c r="O560" i="123" s="1"/>
  <c r="JQ511" i="123"/>
  <c r="N612" i="123" s="1"/>
  <c r="E153" i="123"/>
  <c r="CD511" i="123"/>
  <c r="N558" i="123" s="1"/>
  <c r="GM511" i="123"/>
  <c r="L636" i="123" s="1"/>
  <c r="CV511" i="123"/>
  <c r="L572" i="123" s="1"/>
  <c r="NN511" i="123"/>
  <c r="LI511" i="123"/>
  <c r="M606" i="123" s="1"/>
  <c r="IV511" i="123"/>
  <c r="M590" i="123" s="1"/>
  <c r="DU511" i="123"/>
  <c r="L567" i="123" s="1"/>
  <c r="JF511" i="123"/>
  <c r="AZ511" i="123"/>
  <c r="N523" i="123" s="1"/>
  <c r="EO511" i="123"/>
  <c r="L577" i="123" s="1"/>
  <c r="MG511" i="123"/>
  <c r="L609" i="123" s="1"/>
  <c r="L627" i="123" s="1"/>
  <c r="NU511" i="123"/>
  <c r="IH511" i="123"/>
  <c r="N587" i="123" s="1"/>
  <c r="BR511" i="123"/>
  <c r="L560" i="123" s="1"/>
  <c r="L562" i="123" s="1"/>
  <c r="EQ511" i="123"/>
  <c r="N577" i="123" s="1"/>
  <c r="FQ511" i="123"/>
  <c r="O528" i="123" s="1"/>
  <c r="DN511" i="123"/>
  <c r="O569" i="123" s="1"/>
  <c r="CI511" i="123"/>
  <c r="N557" i="123" s="1"/>
  <c r="LG511" i="123"/>
  <c r="K606" i="123" s="1"/>
  <c r="LA511" i="123"/>
  <c r="O615" i="123" s="1"/>
  <c r="O625" i="123" s="1"/>
  <c r="LO511" i="123"/>
  <c r="N605" i="123" s="1"/>
  <c r="AS511" i="123"/>
  <c r="L522" i="123" s="1"/>
  <c r="HK511" i="123"/>
  <c r="K642" i="123" s="1"/>
  <c r="HN511" i="123"/>
  <c r="N642" i="123" s="1"/>
  <c r="KW511" i="123"/>
  <c r="K615" i="123" s="1"/>
  <c r="K625" i="123" s="1"/>
  <c r="DJ511" i="123"/>
  <c r="K569" i="123" s="1"/>
  <c r="HJ511" i="123"/>
  <c r="Y511" i="123"/>
  <c r="L518" i="123" s="1"/>
  <c r="AO511" i="123"/>
  <c r="M521" i="123" s="1"/>
  <c r="AP511" i="123"/>
  <c r="N521" i="123" s="1"/>
  <c r="FN511" i="123"/>
  <c r="L528" i="123" s="1"/>
  <c r="FJ511" i="123"/>
  <c r="M581" i="123" s="1"/>
  <c r="HP511" i="123"/>
  <c r="K584" i="123" s="1"/>
  <c r="IF511" i="123"/>
  <c r="L587" i="123" s="1"/>
  <c r="JO511" i="123"/>
  <c r="L612" i="123" s="1"/>
  <c r="BM511" i="123"/>
  <c r="L561" i="123" s="1"/>
  <c r="LB511" i="123"/>
  <c r="K604" i="123" s="1"/>
  <c r="LK511" i="123"/>
  <c r="O606" i="123" s="1"/>
  <c r="HO511" i="123"/>
  <c r="O642" i="123" s="1"/>
  <c r="AL511" i="123"/>
  <c r="O520" i="123" s="1"/>
  <c r="BI511" i="123"/>
  <c r="M526" i="123" s="1"/>
  <c r="FU511" i="123"/>
  <c r="N632" i="123" s="1"/>
  <c r="LF511" i="123"/>
  <c r="O604" i="123" s="1"/>
  <c r="BK511" i="123"/>
  <c r="O526" i="123" s="1"/>
  <c r="BD511" i="123"/>
  <c r="M524" i="123" s="1"/>
  <c r="BS511" i="123"/>
  <c r="M560" i="123" s="1"/>
  <c r="BE511" i="123"/>
  <c r="N524" i="123" s="1"/>
  <c r="IY511" i="123"/>
  <c r="K591" i="123" s="1"/>
  <c r="Z511" i="123"/>
  <c r="M518" i="123" s="1"/>
  <c r="KP511" i="123"/>
  <c r="N617" i="123" s="1"/>
  <c r="AH511" i="123"/>
  <c r="K520" i="123" s="1"/>
  <c r="HV511" i="123"/>
  <c r="L585" i="123" s="1"/>
  <c r="KA511" i="123"/>
  <c r="N618" i="123" s="1"/>
  <c r="IP511" i="123"/>
  <c r="IC511" i="123"/>
  <c r="GK511" i="123"/>
  <c r="O635" i="123" s="1"/>
  <c r="DS511" i="123"/>
  <c r="O568" i="123" s="1"/>
  <c r="KC511" i="123"/>
  <c r="K619" i="123" s="1"/>
  <c r="P619" i="123" s="1"/>
  <c r="FZ511" i="123"/>
  <c r="N633" i="123" s="1"/>
  <c r="BH511" i="123"/>
  <c r="L526" i="123" s="1"/>
  <c r="JY511" i="123"/>
  <c r="L618" i="123" s="1"/>
  <c r="NJ511" i="123"/>
  <c r="HB511" i="123"/>
  <c r="L640" i="123" s="1"/>
  <c r="KK511" i="123"/>
  <c r="N616" i="123" s="1"/>
  <c r="IW511" i="123"/>
  <c r="N590" i="123" s="1"/>
  <c r="AT511" i="123"/>
  <c r="M522" i="123" s="1"/>
  <c r="FV511" i="123"/>
  <c r="O632" i="123" s="1"/>
  <c r="AW511" i="123"/>
  <c r="K523" i="123" s="1"/>
  <c r="IK511" i="123"/>
  <c r="L588" i="123" s="1"/>
  <c r="JW511" i="123"/>
  <c r="O613" i="123" s="1"/>
  <c r="KF511" i="123"/>
  <c r="N619" i="123" s="1"/>
  <c r="KL511" i="123"/>
  <c r="O616" i="123" s="1"/>
  <c r="GJ511" i="123"/>
  <c r="N635" i="123" s="1"/>
  <c r="FR511" i="123"/>
  <c r="K632" i="123" s="1"/>
  <c r="P632" i="123" s="1"/>
  <c r="JI511" i="123"/>
  <c r="JD511" i="123"/>
  <c r="JS511" i="123"/>
  <c r="K613" i="123" s="1"/>
  <c r="CT511" i="123"/>
  <c r="O555" i="123" s="1"/>
  <c r="DA511" i="123"/>
  <c r="L571" i="123" s="1"/>
  <c r="HA511" i="123"/>
  <c r="K640" i="123" s="1"/>
  <c r="HZ511" i="123"/>
  <c r="EV511" i="123"/>
  <c r="N578" i="123" s="1"/>
  <c r="JT511" i="123"/>
  <c r="L613" i="123" s="1"/>
  <c r="CF511" i="123"/>
  <c r="K557" i="123" s="1"/>
  <c r="MF511" i="123"/>
  <c r="K609" i="123" s="1"/>
  <c r="HF511" i="123"/>
  <c r="ME511" i="123"/>
  <c r="O610" i="123" s="1"/>
  <c r="CQ511" i="123"/>
  <c r="L555" i="123" s="1"/>
  <c r="KE511" i="123"/>
  <c r="M619" i="123" s="1"/>
  <c r="DF511" i="123"/>
  <c r="L570" i="123" s="1"/>
  <c r="KT511" i="123"/>
  <c r="M614" i="123" s="1"/>
  <c r="M624" i="123" s="1"/>
  <c r="DV511" i="123"/>
  <c r="M567" i="123" s="1"/>
  <c r="CY511" i="123"/>
  <c r="O572" i="123" s="1"/>
  <c r="DR511" i="123"/>
  <c r="N568" i="123" s="1"/>
  <c r="DG511" i="123"/>
  <c r="M570" i="123" s="1"/>
  <c r="MN511" i="123"/>
  <c r="N611" i="123" s="1"/>
  <c r="N629" i="123" s="1"/>
  <c r="LV511" i="123"/>
  <c r="K608" i="123" s="1"/>
  <c r="K626" i="123" s="1"/>
  <c r="HR511" i="123"/>
  <c r="M584" i="123" s="1"/>
  <c r="JH511" i="123"/>
  <c r="FC511" i="123"/>
  <c r="K580" i="123" s="1"/>
  <c r="KH511" i="123"/>
  <c r="K616" i="123" s="1"/>
  <c r="LX511" i="123"/>
  <c r="M608" i="123" s="1"/>
  <c r="CA511" i="123"/>
  <c r="K558" i="123" s="1"/>
  <c r="BW511" i="123"/>
  <c r="L559" i="123" s="1"/>
  <c r="CS511" i="123"/>
  <c r="N555" i="123" s="1"/>
  <c r="FH511" i="123"/>
  <c r="K581" i="123" s="1"/>
  <c r="GP511" i="123"/>
  <c r="O636" i="123" s="1"/>
  <c r="NP511" i="123"/>
  <c r="HM511" i="123"/>
  <c r="M642" i="123" s="1"/>
  <c r="IB511" i="123"/>
  <c r="IN511" i="123"/>
  <c r="O588" i="123" s="1"/>
  <c r="FD511" i="123"/>
  <c r="L580" i="123" s="1"/>
  <c r="GH511" i="123"/>
  <c r="L635" i="123" s="1"/>
  <c r="NV511" i="123"/>
  <c r="CN511" i="123"/>
  <c r="N556" i="123" s="1"/>
  <c r="KB511" i="123"/>
  <c r="O618" i="123" s="1"/>
  <c r="EU511" i="123"/>
  <c r="M578" i="123" s="1"/>
  <c r="KN511" i="123"/>
  <c r="L617" i="123" s="1"/>
  <c r="EC511" i="123"/>
  <c r="O566" i="123" s="1"/>
  <c r="LU511" i="123"/>
  <c r="O607" i="123" s="1"/>
  <c r="ER511" i="123"/>
  <c r="O577" i="123" s="1"/>
  <c r="MK511" i="123"/>
  <c r="K611" i="123" s="1"/>
  <c r="DP511" i="123"/>
  <c r="L568" i="123" s="1"/>
  <c r="EN511" i="123"/>
  <c r="K577" i="123" s="1"/>
  <c r="DY511" i="123"/>
  <c r="K566" i="123" s="1"/>
  <c r="MU511" i="123"/>
  <c r="IR511" i="123"/>
  <c r="EI511" i="123"/>
  <c r="K576" i="123" s="1"/>
  <c r="AD511" i="123"/>
  <c r="L519" i="123" s="1"/>
  <c r="KI511" i="123"/>
  <c r="L616" i="123" s="1"/>
  <c r="GA511" i="123"/>
  <c r="O633" i="123" s="1"/>
  <c r="BV511" i="123"/>
  <c r="K559" i="123" s="1"/>
  <c r="LJ511" i="123"/>
  <c r="N606" i="123" s="1"/>
  <c r="FS511" i="123"/>
  <c r="L632" i="123" s="1"/>
  <c r="AG511" i="123"/>
  <c r="O519" i="123" s="1"/>
  <c r="HU511" i="123"/>
  <c r="K585" i="123" s="1"/>
  <c r="BJ511" i="123"/>
  <c r="N526" i="123" s="1"/>
  <c r="IX511" i="123"/>
  <c r="O590" i="123" s="1"/>
  <c r="BQ511" i="123"/>
  <c r="K560" i="123" s="1"/>
  <c r="FG511" i="123"/>
  <c r="O580" i="123" s="1"/>
  <c r="CZ511" i="123"/>
  <c r="K571" i="123" s="1"/>
  <c r="CW511" i="123"/>
  <c r="M572" i="123" s="1"/>
  <c r="ED511" i="123"/>
  <c r="K575" i="123" s="1"/>
  <c r="NY511" i="123"/>
  <c r="LP511" i="123"/>
  <c r="O605" i="123" s="1"/>
  <c r="O596" i="123" s="1"/>
  <c r="IZ511" i="123"/>
  <c r="L591" i="123" s="1"/>
  <c r="GC511" i="123"/>
  <c r="L634" i="123" s="1"/>
  <c r="X511" i="123"/>
  <c r="K518" i="123" s="1"/>
  <c r="LM511" i="123"/>
  <c r="L605" i="123" s="1"/>
  <c r="JX511" i="123"/>
  <c r="K618" i="123" s="1"/>
  <c r="IJ511" i="123"/>
  <c r="K588" i="123" s="1"/>
  <c r="IG511" i="123"/>
  <c r="M587" i="123" s="1"/>
  <c r="HE511" i="123"/>
  <c r="O640" i="123" s="1"/>
  <c r="BG511" i="123"/>
  <c r="K526" i="123" s="1"/>
  <c r="KM511" i="123"/>
  <c r="K617" i="123" s="1"/>
  <c r="FP511" i="123"/>
  <c r="N528" i="123" s="1"/>
  <c r="BB511" i="123"/>
  <c r="K524" i="123" s="1"/>
  <c r="K525" i="123" s="1"/>
  <c r="AE511" i="123"/>
  <c r="M519" i="123" s="1"/>
  <c r="EX511" i="123"/>
  <c r="K579" i="123" s="1"/>
  <c r="GZ511" i="123"/>
  <c r="O638" i="123" s="1"/>
  <c r="AI511" i="123"/>
  <c r="L520" i="123" s="1"/>
  <c r="IL511" i="123"/>
  <c r="M588" i="123" s="1"/>
  <c r="CR511" i="123"/>
  <c r="M555" i="123" s="1"/>
  <c r="NG511" i="123"/>
  <c r="DL511" i="123"/>
  <c r="M569" i="123" s="1"/>
  <c r="KZ511" i="123"/>
  <c r="N615" i="123" s="1"/>
  <c r="N625" i="123" s="1"/>
  <c r="GT511" i="123"/>
  <c r="N637" i="123" s="1"/>
  <c r="GY511" i="123"/>
  <c r="N638" i="123" s="1"/>
  <c r="EY511" i="123"/>
  <c r="L579" i="123" s="1"/>
  <c r="GG511" i="123"/>
  <c r="K635" i="123" s="1"/>
  <c r="DT511" i="123"/>
  <c r="K567" i="123" s="1"/>
  <c r="EH511" i="123"/>
  <c r="O575" i="123" s="1"/>
  <c r="CO511" i="123"/>
  <c r="O556" i="123" s="1"/>
  <c r="DD511" i="123"/>
  <c r="O571" i="123" s="1"/>
  <c r="EE511" i="123"/>
  <c r="L575" i="123" s="1"/>
  <c r="HW511" i="123"/>
  <c r="M585" i="123" s="1"/>
  <c r="KS511" i="123"/>
  <c r="L614" i="123" s="1"/>
  <c r="L624" i="123" s="1"/>
  <c r="ES511" i="123"/>
  <c r="K578" i="123" s="1"/>
  <c r="EB511" i="123"/>
  <c r="N566" i="123" s="1"/>
  <c r="KG511" i="123"/>
  <c r="O619" i="123" s="1"/>
  <c r="CL511" i="123"/>
  <c r="L556" i="123" s="1"/>
  <c r="NO511" i="123"/>
  <c r="NQ511" i="123"/>
  <c r="EJ511" i="123"/>
  <c r="L576" i="123" s="1"/>
  <c r="FX511" i="123"/>
  <c r="L633" i="123" s="1"/>
  <c r="ML511" i="123"/>
  <c r="L611" i="123" s="1"/>
  <c r="DI511" i="123"/>
  <c r="O570" i="123" s="1"/>
  <c r="BC511" i="123"/>
  <c r="L524" i="123" s="1"/>
  <c r="HG511" i="123"/>
  <c r="CK511" i="123"/>
  <c r="K556" i="123" s="1"/>
  <c r="P556" i="123" s="1"/>
  <c r="HH511" i="123"/>
  <c r="GV511" i="123"/>
  <c r="K638" i="123" s="1"/>
  <c r="BX511" i="123"/>
  <c r="M559" i="123" s="1"/>
  <c r="P559" i="123" s="1"/>
  <c r="FI511" i="123"/>
  <c r="L581" i="123" s="1"/>
  <c r="ND511" i="123"/>
  <c r="LC511" i="123"/>
  <c r="L604" i="123" s="1"/>
  <c r="FF511" i="123"/>
  <c r="N580" i="123" s="1"/>
  <c r="MZ511" i="123"/>
  <c r="EL511" i="123"/>
  <c r="N576" i="123" s="1"/>
  <c r="EG511" i="123"/>
  <c r="N575" i="123" s="1"/>
  <c r="DH511" i="123"/>
  <c r="N570" i="123" s="1"/>
  <c r="NM511" i="123"/>
  <c r="JJ511" i="123"/>
  <c r="AX511" i="123"/>
  <c r="L523" i="123" s="1"/>
  <c r="GU511" i="123"/>
  <c r="O637" i="123" s="1"/>
  <c r="CP511" i="123"/>
  <c r="K555" i="123" s="1"/>
  <c r="P555" i="123" s="1"/>
  <c r="MA511" i="123"/>
  <c r="K610" i="123" s="1"/>
  <c r="K628" i="123" s="1"/>
  <c r="GI511" i="123"/>
  <c r="M635" i="123" s="1"/>
  <c r="AU511" i="123"/>
  <c r="N522" i="123" s="1"/>
  <c r="II511" i="123"/>
  <c r="O587" i="123" s="1"/>
  <c r="JL511" i="123"/>
  <c r="CB511" i="123"/>
  <c r="L558" i="123" s="1"/>
  <c r="CM511" i="123"/>
  <c r="M556" i="123" s="1"/>
  <c r="BY511" i="123"/>
  <c r="N559" i="123" s="1"/>
  <c r="DK511" i="123"/>
  <c r="L569" i="123" s="1"/>
  <c r="AA511" i="123"/>
  <c r="N518" i="123" s="1"/>
  <c r="JZ511" i="123"/>
  <c r="M618" i="123" s="1"/>
  <c r="HQ511" i="123"/>
  <c r="L584" i="123" s="1"/>
  <c r="KQ511" i="123"/>
  <c r="O617" i="123" s="1"/>
  <c r="AV511" i="123"/>
  <c r="O522" i="123" s="1"/>
  <c r="IQ511" i="123"/>
  <c r="HT511" i="123"/>
  <c r="O584" i="123" s="1"/>
  <c r="NL511" i="123"/>
  <c r="MH511" i="123"/>
  <c r="M609" i="123" s="1"/>
  <c r="MC511" i="123"/>
  <c r="M610" i="123" s="1"/>
  <c r="M628" i="123" s="1"/>
  <c r="KV511" i="123"/>
  <c r="O614" i="123" s="1"/>
  <c r="O624" i="123" s="1"/>
  <c r="FB511" i="123"/>
  <c r="O579" i="123" s="1"/>
  <c r="DO511" i="123"/>
  <c r="K568" i="123" s="1"/>
  <c r="GF511" i="123"/>
  <c r="O634" i="123" s="1"/>
  <c r="FK511" i="123"/>
  <c r="N581" i="123" s="1"/>
  <c r="NB511" i="123"/>
  <c r="GL511" i="123"/>
  <c r="K636" i="123" s="1"/>
  <c r="KO511" i="123"/>
  <c r="M617" i="123" s="1"/>
  <c r="DC511" i="123"/>
  <c r="N571" i="123" s="1"/>
  <c r="JB511" i="123"/>
  <c r="N591" i="123" s="1"/>
  <c r="MB511" i="123"/>
  <c r="L610" i="123" s="1"/>
  <c r="BA511" i="123"/>
  <c r="O523" i="123" s="1"/>
  <c r="MW511" i="123"/>
  <c r="CH511" i="123"/>
  <c r="M557" i="123" s="1"/>
  <c r="P557" i="123" s="1"/>
  <c r="GW511" i="123"/>
  <c r="L638" i="123" s="1"/>
  <c r="LE511" i="123"/>
  <c r="N604" i="123" s="1"/>
  <c r="LH511" i="123"/>
  <c r="L606" i="123" s="1"/>
  <c r="CJ511" i="123"/>
  <c r="O557" i="123" s="1"/>
  <c r="CG511" i="123"/>
  <c r="L557" i="123" s="1"/>
  <c r="HD511" i="123"/>
  <c r="N640" i="123" s="1"/>
  <c r="BZ511" i="123"/>
  <c r="O559" i="123" s="1"/>
  <c r="JN511" i="123"/>
  <c r="K612" i="123" s="1"/>
  <c r="EP511" i="123"/>
  <c r="M577" i="123" s="1"/>
  <c r="FT511" i="123"/>
  <c r="M632" i="123" s="1"/>
  <c r="NH511" i="123"/>
  <c r="AM511" i="123"/>
  <c r="K521" i="123" s="1"/>
  <c r="IA511" i="123"/>
  <c r="GD511" i="123"/>
  <c r="M634" i="123" s="1"/>
  <c r="P634" i="123" s="1"/>
  <c r="NZ511" i="123"/>
  <c r="HI511" i="123"/>
  <c r="AJ511" i="123"/>
  <c r="M520" i="123" s="1"/>
  <c r="HX511" i="123"/>
  <c r="N585" i="123" s="1"/>
  <c r="LL511" i="123"/>
  <c r="K605" i="123" s="1"/>
  <c r="K627" i="123" s="1"/>
  <c r="CU511" i="123"/>
  <c r="K572" i="123" s="1"/>
  <c r="DQ511" i="123"/>
  <c r="M568" i="123" s="1"/>
  <c r="DE511" i="123"/>
  <c r="K570" i="123" s="1"/>
  <c r="OB511" i="123"/>
  <c r="GX511" i="123"/>
  <c r="M638" i="123" s="1"/>
  <c r="NA511" i="123"/>
  <c r="IS511" i="123"/>
  <c r="FY511" i="123"/>
  <c r="M633" i="123" s="1"/>
  <c r="AQ511" i="123"/>
  <c r="O521" i="123" s="1"/>
  <c r="JM511" i="123"/>
  <c r="DM511" i="123"/>
  <c r="N569" i="123" s="1"/>
  <c r="MD511" i="123"/>
  <c r="N610" i="123" s="1"/>
  <c r="CC511" i="123"/>
  <c r="M558" i="123" s="1"/>
  <c r="BN511" i="123"/>
  <c r="M561" i="123" s="1"/>
  <c r="FL511" i="123"/>
  <c r="O581" i="123" s="1"/>
  <c r="HL511" i="123"/>
  <c r="L642" i="123" s="1"/>
  <c r="GB511" i="123"/>
  <c r="K634" i="123" s="1"/>
  <c r="EK511" i="123"/>
  <c r="M576" i="123" s="1"/>
  <c r="AB511" i="123"/>
  <c r="O518" i="123" s="1"/>
  <c r="CE511" i="123"/>
  <c r="O558" i="123" s="1"/>
  <c r="ET511" i="123"/>
  <c r="L578" i="123" s="1"/>
  <c r="BO511" i="123"/>
  <c r="N561" i="123" s="1"/>
  <c r="NR511" i="123"/>
  <c r="FO511" i="123"/>
  <c r="M528" i="123" s="1"/>
  <c r="GN511" i="123"/>
  <c r="M636" i="123" s="1"/>
  <c r="NC511" i="123"/>
  <c r="JG511" i="123"/>
  <c r="MR511" i="123"/>
  <c r="LD511" i="123"/>
  <c r="M604" i="123" s="1"/>
  <c r="M626" i="123" s="1"/>
  <c r="BT511" i="123"/>
  <c r="N560" i="123" s="1"/>
  <c r="P560" i="123" s="1"/>
  <c r="DX511" i="123"/>
  <c r="O567" i="123" s="1"/>
  <c r="DZ511" i="123"/>
  <c r="L566" i="123" s="1"/>
  <c r="LZ511" i="123"/>
  <c r="O608" i="123" s="1"/>
  <c r="AY511" i="123"/>
  <c r="M523" i="123" s="1"/>
  <c r="MT511" i="123"/>
  <c r="FA511" i="123"/>
  <c r="N579" i="123" s="1"/>
  <c r="EZ511" i="123"/>
  <c r="M579" i="123" s="1"/>
  <c r="AN511" i="123"/>
  <c r="L521" i="123" s="1"/>
  <c r="KR511" i="123"/>
  <c r="K614" i="123" s="1"/>
  <c r="HS511" i="123"/>
  <c r="N584" i="123" s="1"/>
  <c r="LR511" i="123"/>
  <c r="L607" i="123" s="1"/>
  <c r="L629" i="123" s="1"/>
  <c r="JE511" i="123"/>
  <c r="OA511" i="123"/>
  <c r="FW511" i="123"/>
  <c r="K633" i="123" s="1"/>
  <c r="P633" i="123" s="1"/>
  <c r="LW511" i="123"/>
  <c r="L608" i="123" s="1"/>
  <c r="L626" i="123" s="1"/>
  <c r="GQ511" i="123"/>
  <c r="K637" i="123" s="1"/>
  <c r="MQ511" i="123"/>
  <c r="JV511" i="123"/>
  <c r="N613" i="123" s="1"/>
  <c r="N596" i="123" s="1"/>
  <c r="MP511" i="123"/>
  <c r="GE511" i="123"/>
  <c r="N634" i="123" s="1"/>
  <c r="MM511" i="123"/>
  <c r="M611" i="123" s="1"/>
  <c r="MI511" i="123"/>
  <c r="N609" i="123" s="1"/>
  <c r="JP511" i="123"/>
  <c r="M612" i="123" s="1"/>
  <c r="BF511" i="123"/>
  <c r="O524" i="123" s="1"/>
  <c r="EW511" i="123"/>
  <c r="O578" i="123" s="1"/>
  <c r="GS511" i="123"/>
  <c r="M637" i="123" s="1"/>
  <c r="LS511" i="123"/>
  <c r="M607" i="123" s="1"/>
  <c r="FE511" i="123"/>
  <c r="M580" i="123" s="1"/>
  <c r="LQ511" i="123"/>
  <c r="K607" i="123" s="1"/>
  <c r="K629" i="123" s="1"/>
  <c r="MY511" i="123"/>
  <c r="DW511" i="123"/>
  <c r="N567" i="123" s="1"/>
  <c r="NI511" i="123"/>
  <c r="LY511" i="123"/>
  <c r="N608" i="123" s="1"/>
  <c r="OC511" i="123"/>
  <c r="EA511" i="123"/>
  <c r="M566" i="123" s="1"/>
  <c r="FM511" i="123"/>
  <c r="K528" i="123" s="1"/>
  <c r="EM511" i="123"/>
  <c r="O576" i="123" s="1"/>
  <c r="HC511" i="123"/>
  <c r="M640" i="123" s="1"/>
  <c r="JK511" i="123"/>
  <c r="KY511" i="123"/>
  <c r="M615" i="123" s="1"/>
  <c r="M625" i="123" s="1"/>
  <c r="AC511" i="123"/>
  <c r="K519" i="123" s="1"/>
  <c r="AK511" i="123"/>
  <c r="N520" i="123" s="1"/>
  <c r="JU511" i="123"/>
  <c r="M613" i="123" s="1"/>
  <c r="M623" i="123" s="1"/>
  <c r="BP511" i="123"/>
  <c r="O561" i="123" s="1"/>
  <c r="MV511" i="123"/>
  <c r="NK511" i="123"/>
  <c r="JA511" i="123"/>
  <c r="M591" i="123" s="1"/>
  <c r="NT511" i="123"/>
  <c r="IM511" i="123"/>
  <c r="N588" i="123" s="1"/>
  <c r="NX511" i="123"/>
  <c r="NW511" i="123"/>
  <c r="NE511" i="123"/>
  <c r="NS511" i="123"/>
  <c r="JC511" i="123"/>
  <c r="O591" i="123" s="1"/>
  <c r="HY511" i="123"/>
  <c r="O585" i="123" s="1"/>
  <c r="D1673" i="123"/>
  <c r="E152" i="123"/>
  <c r="E154" i="123"/>
  <c r="AD241" i="123"/>
  <c r="L623" i="123"/>
  <c r="O623" i="123"/>
  <c r="P617" i="123"/>
  <c r="L596" i="123"/>
  <c r="E752" i="123"/>
  <c r="Q715" i="123"/>
  <c r="M261" i="123"/>
  <c r="M277" i="123" s="1"/>
  <c r="M279" i="123" s="1"/>
  <c r="M281" i="123" s="1"/>
  <c r="J261" i="123"/>
  <c r="J277" i="123" s="1"/>
  <c r="J279" i="123" s="1"/>
  <c r="J281" i="123" s="1"/>
  <c r="K1661" i="123"/>
  <c r="K1663" i="123" s="1"/>
  <c r="K1677" i="123" s="1"/>
  <c r="K1679" i="123" s="1"/>
  <c r="P654" i="123"/>
  <c r="O629" i="123"/>
  <c r="K624" i="123"/>
  <c r="N627" i="123"/>
  <c r="O626" i="123"/>
  <c r="P521" i="123"/>
  <c r="Q716" i="123"/>
  <c r="P716" i="123"/>
  <c r="Q714" i="123"/>
  <c r="P714" i="123"/>
  <c r="G62" i="100"/>
  <c r="I62" i="100"/>
  <c r="E62" i="100"/>
  <c r="P616" i="123" l="1"/>
  <c r="L628" i="123"/>
  <c r="P526" i="123"/>
  <c r="Q640" i="123" s="1"/>
  <c r="N639" i="123"/>
  <c r="N641" i="123" s="1"/>
  <c r="N643" i="123" s="1"/>
  <c r="P636" i="123"/>
  <c r="P615" i="123"/>
  <c r="K622" i="123"/>
  <c r="N623" i="123"/>
  <c r="N626" i="123"/>
  <c r="P611" i="123"/>
  <c r="P606" i="123"/>
  <c r="P581" i="123"/>
  <c r="N622" i="123"/>
  <c r="P568" i="123"/>
  <c r="P520" i="123"/>
  <c r="Q634" i="123" s="1"/>
  <c r="P522" i="123"/>
  <c r="Q636" i="123" s="1"/>
  <c r="P605" i="123"/>
  <c r="P567" i="123"/>
  <c r="O562" i="123"/>
  <c r="O627" i="123"/>
  <c r="P578" i="123"/>
  <c r="K589" i="123"/>
  <c r="O628" i="123"/>
  <c r="O603" i="123"/>
  <c r="P635" i="123"/>
  <c r="Q635" i="123" s="1"/>
  <c r="P519" i="123"/>
  <c r="Q633" i="123" s="1"/>
  <c r="N525" i="123"/>
  <c r="N527" i="123" s="1"/>
  <c r="N529" i="123" s="1"/>
  <c r="N538" i="123" s="1"/>
  <c r="M622" i="123"/>
  <c r="L639" i="123"/>
  <c r="L641" i="123" s="1"/>
  <c r="L643" i="123" s="1"/>
  <c r="P610" i="123"/>
  <c r="P571" i="123"/>
  <c r="M562" i="123"/>
  <c r="M573" i="123"/>
  <c r="P570" i="123"/>
  <c r="K573" i="123"/>
  <c r="P577" i="123"/>
  <c r="P642" i="123"/>
  <c r="K623" i="123"/>
  <c r="P561" i="123"/>
  <c r="P640" i="123"/>
  <c r="P528" i="123"/>
  <c r="Q642" i="123" s="1"/>
  <c r="P523" i="123"/>
  <c r="Q637" i="123" s="1"/>
  <c r="P524" i="123"/>
  <c r="Q638" i="123" s="1"/>
  <c r="P575" i="123"/>
  <c r="P618" i="123"/>
  <c r="P587" i="123"/>
  <c r="L603" i="123"/>
  <c r="P607" i="123"/>
  <c r="N573" i="123"/>
  <c r="M582" i="123"/>
  <c r="L573" i="123"/>
  <c r="N582" i="123"/>
  <c r="P566" i="123"/>
  <c r="P604" i="123"/>
  <c r="P588" i="123"/>
  <c r="P579" i="123"/>
  <c r="O525" i="123"/>
  <c r="O527" i="123" s="1"/>
  <c r="O529" i="123" s="1"/>
  <c r="O645" i="123" s="1"/>
  <c r="P612" i="123"/>
  <c r="L525" i="123"/>
  <c r="L527" i="123" s="1"/>
  <c r="L529" i="123" s="1"/>
  <c r="L547" i="123" s="1"/>
  <c r="O582" i="123"/>
  <c r="L622" i="123"/>
  <c r="P622" i="123" s="1"/>
  <c r="K596" i="123"/>
  <c r="M629" i="123"/>
  <c r="P629" i="123" s="1"/>
  <c r="P591" i="123"/>
  <c r="P613" i="123"/>
  <c r="P625" i="123"/>
  <c r="K639" i="123"/>
  <c r="K641" i="123" s="1"/>
  <c r="M603" i="123"/>
  <c r="P638" i="123"/>
  <c r="P585" i="123"/>
  <c r="O639" i="123"/>
  <c r="O641" i="123" s="1"/>
  <c r="O643" i="123" s="1"/>
  <c r="K582" i="123"/>
  <c r="L582" i="123"/>
  <c r="P590" i="123"/>
  <c r="P518" i="123"/>
  <c r="J512" i="123" s="1"/>
  <c r="P584" i="123"/>
  <c r="P569" i="123"/>
  <c r="P558" i="123"/>
  <c r="M639" i="123"/>
  <c r="M641" i="123" s="1"/>
  <c r="M643" i="123" s="1"/>
  <c r="M596" i="123"/>
  <c r="K562" i="123"/>
  <c r="M627" i="123"/>
  <c r="P608" i="123"/>
  <c r="N628" i="123"/>
  <c r="K603" i="123"/>
  <c r="O573" i="123"/>
  <c r="P573" i="123" s="1"/>
  <c r="N603" i="123"/>
  <c r="P609" i="123"/>
  <c r="P576" i="123"/>
  <c r="N586" i="123"/>
  <c r="P614" i="123"/>
  <c r="P624" i="123"/>
  <c r="K586" i="123"/>
  <c r="M525" i="123"/>
  <c r="M527" i="123" s="1"/>
  <c r="M529" i="123" s="1"/>
  <c r="M544" i="123" s="1"/>
  <c r="P580" i="123"/>
  <c r="P637" i="123"/>
  <c r="P572" i="123"/>
  <c r="N562" i="123"/>
  <c r="O586" i="123"/>
  <c r="O589" i="123"/>
  <c r="M589" i="123"/>
  <c r="O592" i="123"/>
  <c r="M586" i="123"/>
  <c r="N592" i="123"/>
  <c r="L586" i="123"/>
  <c r="L589" i="123"/>
  <c r="N589" i="123"/>
  <c r="M592" i="123"/>
  <c r="K592" i="123"/>
  <c r="L592" i="123"/>
  <c r="E155" i="123"/>
  <c r="P626" i="123"/>
  <c r="F752" i="123"/>
  <c r="K527" i="123"/>
  <c r="P623" i="123" l="1"/>
  <c r="P596" i="123"/>
  <c r="P718" i="123" s="1"/>
  <c r="N547" i="123"/>
  <c r="L535" i="123"/>
  <c r="L541" i="123"/>
  <c r="P627" i="123"/>
  <c r="N544" i="123"/>
  <c r="N550" i="123"/>
  <c r="O532" i="123"/>
  <c r="L538" i="123"/>
  <c r="O538" i="123"/>
  <c r="P628" i="123"/>
  <c r="N541" i="123"/>
  <c r="N532" i="123"/>
  <c r="N645" i="123"/>
  <c r="N535" i="123"/>
  <c r="L544" i="123"/>
  <c r="O544" i="123"/>
  <c r="L645" i="123"/>
  <c r="O541" i="123"/>
  <c r="L532" i="123"/>
  <c r="L550" i="123"/>
  <c r="O547" i="123"/>
  <c r="P562" i="123"/>
  <c r="P603" i="123"/>
  <c r="O550" i="123"/>
  <c r="P586" i="123"/>
  <c r="O535" i="123"/>
  <c r="P589" i="123"/>
  <c r="Q632" i="123"/>
  <c r="P582" i="123"/>
  <c r="P592" i="123"/>
  <c r="J511" i="123"/>
  <c r="P639" i="123"/>
  <c r="M541" i="123"/>
  <c r="M547" i="123"/>
  <c r="M532" i="123"/>
  <c r="M550" i="123"/>
  <c r="M645" i="123"/>
  <c r="M538" i="123"/>
  <c r="P525" i="123"/>
  <c r="M535" i="123"/>
  <c r="P717" i="123"/>
  <c r="Q717" i="123"/>
  <c r="Q718" i="123" s="1"/>
  <c r="G752" i="123"/>
  <c r="K643" i="123"/>
  <c r="P643" i="123" s="1"/>
  <c r="K650" i="123" s="1"/>
  <c r="P641" i="123"/>
  <c r="P527" i="123"/>
  <c r="K529" i="123"/>
  <c r="OC52" i="110"/>
  <c r="OB52" i="110"/>
  <c r="OA52" i="110"/>
  <c r="NZ52" i="110"/>
  <c r="NY52" i="110"/>
  <c r="NX52" i="110"/>
  <c r="NW52" i="110"/>
  <c r="NV52" i="110"/>
  <c r="NU52" i="110"/>
  <c r="NT52" i="110"/>
  <c r="NS52" i="110"/>
  <c r="NR52" i="110"/>
  <c r="NQ52" i="110"/>
  <c r="NP52" i="110"/>
  <c r="NO52" i="110"/>
  <c r="NN52" i="110"/>
  <c r="NM52" i="110"/>
  <c r="NL52" i="110"/>
  <c r="NK52" i="110"/>
  <c r="NJ52" i="110"/>
  <c r="NI52" i="110"/>
  <c r="NH52" i="110"/>
  <c r="NG52" i="110"/>
  <c r="NF52" i="110"/>
  <c r="NE52" i="110"/>
  <c r="ND52" i="110"/>
  <c r="NC52" i="110"/>
  <c r="NB52" i="110"/>
  <c r="NA52" i="110"/>
  <c r="MZ52" i="110"/>
  <c r="MY52" i="110"/>
  <c r="MX52" i="110"/>
  <c r="MW52" i="110"/>
  <c r="MV52" i="110"/>
  <c r="MU52" i="110"/>
  <c r="MT52" i="110"/>
  <c r="MS52" i="110"/>
  <c r="MR52" i="110"/>
  <c r="MQ52" i="110"/>
  <c r="MP52" i="110"/>
  <c r="MO52" i="110"/>
  <c r="MN52" i="110"/>
  <c r="MM52" i="110"/>
  <c r="ML52" i="110"/>
  <c r="MK52" i="110"/>
  <c r="MJ52" i="110"/>
  <c r="MI52" i="110"/>
  <c r="MH52" i="110"/>
  <c r="MG52" i="110"/>
  <c r="MF52" i="110"/>
  <c r="ME52" i="110"/>
  <c r="MD52" i="110"/>
  <c r="MC52" i="110"/>
  <c r="MB52" i="110"/>
  <c r="MA52" i="110"/>
  <c r="LZ52" i="110"/>
  <c r="LY52" i="110"/>
  <c r="LX52" i="110"/>
  <c r="LW52" i="110"/>
  <c r="LV52" i="110"/>
  <c r="LU52" i="110"/>
  <c r="LT52" i="110"/>
  <c r="LS52" i="110"/>
  <c r="LR52" i="110"/>
  <c r="LQ52" i="110"/>
  <c r="LP52" i="110"/>
  <c r="LO52" i="110"/>
  <c r="LN52" i="110"/>
  <c r="LM52" i="110"/>
  <c r="LL52" i="110"/>
  <c r="LK52" i="110"/>
  <c r="LJ52" i="110"/>
  <c r="LI52" i="110"/>
  <c r="LH52" i="110"/>
  <c r="LG52" i="110"/>
  <c r="LF52" i="110"/>
  <c r="LE52" i="110"/>
  <c r="LD52" i="110"/>
  <c r="LC52" i="110"/>
  <c r="LB52" i="110"/>
  <c r="LA52" i="110"/>
  <c r="KZ52" i="110"/>
  <c r="KY52" i="110"/>
  <c r="KX52" i="110"/>
  <c r="KW52" i="110"/>
  <c r="KV52" i="110"/>
  <c r="KU52" i="110"/>
  <c r="KT52" i="110"/>
  <c r="KS52" i="110"/>
  <c r="KR52" i="110"/>
  <c r="KQ52" i="110"/>
  <c r="KP52" i="110"/>
  <c r="KO52" i="110"/>
  <c r="KN52" i="110"/>
  <c r="KM52" i="110"/>
  <c r="KL52" i="110"/>
  <c r="KK52" i="110"/>
  <c r="KJ52" i="110"/>
  <c r="KI52" i="110"/>
  <c r="KH52" i="110"/>
  <c r="KG52" i="110"/>
  <c r="KF52" i="110"/>
  <c r="KE52" i="110"/>
  <c r="KD52" i="110"/>
  <c r="KC52" i="110"/>
  <c r="KB52" i="110"/>
  <c r="KA52" i="110"/>
  <c r="JZ52" i="110"/>
  <c r="JY52" i="110"/>
  <c r="JX52" i="110"/>
  <c r="JW52" i="110"/>
  <c r="JV52" i="110"/>
  <c r="JU52" i="110"/>
  <c r="JT52" i="110"/>
  <c r="JS52" i="110"/>
  <c r="JR52" i="110"/>
  <c r="JQ52" i="110"/>
  <c r="JP52" i="110"/>
  <c r="JO52" i="110"/>
  <c r="JN52" i="110"/>
  <c r="JM52" i="110"/>
  <c r="JL52" i="110"/>
  <c r="JK52" i="110"/>
  <c r="JJ52" i="110"/>
  <c r="JI52" i="110"/>
  <c r="JH52" i="110"/>
  <c r="JG52" i="110"/>
  <c r="JF52" i="110"/>
  <c r="JE52" i="110"/>
  <c r="JD52" i="110"/>
  <c r="JC52" i="110"/>
  <c r="JB52" i="110"/>
  <c r="JA52" i="110"/>
  <c r="IZ52" i="110"/>
  <c r="IY52" i="110"/>
  <c r="IX52" i="110"/>
  <c r="IW52" i="110"/>
  <c r="IV52" i="110"/>
  <c r="IU52" i="110"/>
  <c r="IT52" i="110"/>
  <c r="IS52" i="110"/>
  <c r="IR52" i="110"/>
  <c r="IQ52" i="110"/>
  <c r="IP52" i="110"/>
  <c r="IO52" i="110"/>
  <c r="IN52" i="110"/>
  <c r="IM52" i="110"/>
  <c r="IL52" i="110"/>
  <c r="IK52" i="110"/>
  <c r="IJ52" i="110"/>
  <c r="II52" i="110"/>
  <c r="IH52" i="110"/>
  <c r="IG52" i="110"/>
  <c r="IF52" i="110"/>
  <c r="IE52" i="110"/>
  <c r="ID52" i="110"/>
  <c r="IC52" i="110"/>
  <c r="IB52" i="110"/>
  <c r="IA52" i="110"/>
  <c r="HZ52" i="110"/>
  <c r="HY52" i="110"/>
  <c r="HX52" i="110"/>
  <c r="HW52" i="110"/>
  <c r="HV52" i="110"/>
  <c r="HU52" i="110"/>
  <c r="HT52" i="110"/>
  <c r="HS52" i="110"/>
  <c r="HR52" i="110"/>
  <c r="HQ52" i="110"/>
  <c r="HP52" i="110"/>
  <c r="HO52" i="110"/>
  <c r="HN52" i="110"/>
  <c r="HM52" i="110"/>
  <c r="HL52" i="110"/>
  <c r="HK52" i="110"/>
  <c r="HJ52" i="110"/>
  <c r="HI52" i="110"/>
  <c r="HH52" i="110"/>
  <c r="HG52" i="110"/>
  <c r="HF52" i="110"/>
  <c r="HE52" i="110"/>
  <c r="HD52" i="110"/>
  <c r="HC52" i="110"/>
  <c r="HB52" i="110"/>
  <c r="HA52" i="110"/>
  <c r="GZ52" i="110"/>
  <c r="GY52" i="110"/>
  <c r="GX52" i="110"/>
  <c r="GW52" i="110"/>
  <c r="GV52" i="110"/>
  <c r="GU52" i="110"/>
  <c r="GT52" i="110"/>
  <c r="GS52" i="110"/>
  <c r="GR52" i="110"/>
  <c r="GQ52" i="110"/>
  <c r="GP52" i="110"/>
  <c r="GO52" i="110"/>
  <c r="GN52" i="110"/>
  <c r="GM52" i="110"/>
  <c r="GL52" i="110"/>
  <c r="GK52" i="110"/>
  <c r="GJ52" i="110"/>
  <c r="GI52" i="110"/>
  <c r="GH52" i="110"/>
  <c r="GG52" i="110"/>
  <c r="GF52" i="110"/>
  <c r="GE52" i="110"/>
  <c r="GD52" i="110"/>
  <c r="GC52" i="110"/>
  <c r="GB52" i="110"/>
  <c r="GA52" i="110"/>
  <c r="FZ52" i="110"/>
  <c r="FY52" i="110"/>
  <c r="FX52" i="110"/>
  <c r="FW52" i="110"/>
  <c r="FV52" i="110"/>
  <c r="FU52" i="110"/>
  <c r="FT52" i="110"/>
  <c r="FS52" i="110"/>
  <c r="FR52" i="110"/>
  <c r="FQ52" i="110"/>
  <c r="FP52" i="110"/>
  <c r="FO52" i="110"/>
  <c r="FN52" i="110"/>
  <c r="FM52" i="110"/>
  <c r="FL52" i="110"/>
  <c r="FK52" i="110"/>
  <c r="FJ52" i="110"/>
  <c r="FI52" i="110"/>
  <c r="FH52" i="110"/>
  <c r="FG52" i="110"/>
  <c r="FF52" i="110"/>
  <c r="FE52" i="110"/>
  <c r="FD52" i="110"/>
  <c r="FC52" i="110"/>
  <c r="FB52" i="110"/>
  <c r="FA52" i="110"/>
  <c r="EZ52" i="110"/>
  <c r="EY52" i="110"/>
  <c r="EX52" i="110"/>
  <c r="EW52" i="110"/>
  <c r="EV52" i="110"/>
  <c r="EU52" i="110"/>
  <c r="ET52" i="110"/>
  <c r="ES52" i="110"/>
  <c r="ER52" i="110"/>
  <c r="EQ52" i="110"/>
  <c r="EP52" i="110"/>
  <c r="EO52" i="110"/>
  <c r="EN52" i="110"/>
  <c r="EM52" i="110"/>
  <c r="EL52" i="110"/>
  <c r="EK52" i="110"/>
  <c r="EJ52" i="110"/>
  <c r="EI52" i="110"/>
  <c r="EH52" i="110"/>
  <c r="EG52" i="110"/>
  <c r="EF52" i="110"/>
  <c r="EE52" i="110"/>
  <c r="ED52" i="110"/>
  <c r="EC52" i="110"/>
  <c r="EB52" i="110"/>
  <c r="EA52" i="110"/>
  <c r="DZ52" i="110"/>
  <c r="DY52" i="110"/>
  <c r="DX52" i="110"/>
  <c r="DW52" i="110"/>
  <c r="DV52" i="110"/>
  <c r="DU52" i="110"/>
  <c r="DT52" i="110"/>
  <c r="DS52" i="110"/>
  <c r="DR52" i="110"/>
  <c r="DQ52" i="110"/>
  <c r="DP52" i="110"/>
  <c r="DO52" i="110"/>
  <c r="DN52" i="110"/>
  <c r="DM52" i="110"/>
  <c r="DL52" i="110"/>
  <c r="DK52" i="110"/>
  <c r="DJ52" i="110"/>
  <c r="DI52" i="110"/>
  <c r="DH52" i="110"/>
  <c r="DG52" i="110"/>
  <c r="DF52" i="110"/>
  <c r="DE52" i="110"/>
  <c r="DD52" i="110"/>
  <c r="DC52" i="110"/>
  <c r="DB52" i="110"/>
  <c r="DA52" i="110"/>
  <c r="CZ52" i="110"/>
  <c r="CY52" i="110"/>
  <c r="CX52" i="110"/>
  <c r="CW52" i="110"/>
  <c r="CV52" i="110"/>
  <c r="CU52" i="110"/>
  <c r="CT52" i="110"/>
  <c r="CS52" i="110"/>
  <c r="CR52" i="110"/>
  <c r="CQ52" i="110"/>
  <c r="CP52" i="110"/>
  <c r="CO52" i="110"/>
  <c r="CN52" i="110"/>
  <c r="CM52" i="110"/>
  <c r="CL52" i="110"/>
  <c r="CK52" i="110"/>
  <c r="CJ52" i="110"/>
  <c r="CI52" i="110"/>
  <c r="CH52" i="110"/>
  <c r="CG52" i="110"/>
  <c r="CF52" i="110"/>
  <c r="CE52" i="110"/>
  <c r="CD52" i="110"/>
  <c r="CC52" i="110"/>
  <c r="CB52" i="110"/>
  <c r="CA52" i="110"/>
  <c r="BZ52" i="110"/>
  <c r="BY52" i="110"/>
  <c r="BX52" i="110"/>
  <c r="BW52" i="110"/>
  <c r="BV52" i="110"/>
  <c r="BU52" i="110"/>
  <c r="BT52" i="110"/>
  <c r="BS52" i="110"/>
  <c r="BR52" i="110"/>
  <c r="BQ52" i="110"/>
  <c r="BP52" i="110"/>
  <c r="BO52" i="110"/>
  <c r="BN52" i="110"/>
  <c r="BM52" i="110"/>
  <c r="BL52" i="110"/>
  <c r="BK52" i="110"/>
  <c r="BJ52" i="110"/>
  <c r="BI52" i="110"/>
  <c r="BH52" i="110"/>
  <c r="BG52" i="110"/>
  <c r="BF52" i="110"/>
  <c r="BE52" i="110"/>
  <c r="BD52" i="110"/>
  <c r="BC52" i="110"/>
  <c r="BB52" i="110"/>
  <c r="BA52" i="110"/>
  <c r="AZ52" i="110"/>
  <c r="AY52" i="110"/>
  <c r="AX52" i="110"/>
  <c r="AW52" i="110"/>
  <c r="AV52" i="110"/>
  <c r="AU52" i="110"/>
  <c r="AT52" i="110"/>
  <c r="AS52" i="110"/>
  <c r="AR52" i="110"/>
  <c r="AQ52" i="110"/>
  <c r="AP52" i="110"/>
  <c r="AO52" i="110"/>
  <c r="AN52" i="110"/>
  <c r="AM52" i="110"/>
  <c r="AL52" i="110"/>
  <c r="AK52" i="110"/>
  <c r="AJ52" i="110"/>
  <c r="AI52" i="110"/>
  <c r="AH52" i="110"/>
  <c r="AG52" i="110"/>
  <c r="AF52" i="110"/>
  <c r="AE52" i="110"/>
  <c r="AD52" i="110"/>
  <c r="AC52" i="110"/>
  <c r="AB52" i="110"/>
  <c r="AA52" i="110"/>
  <c r="Z52" i="110"/>
  <c r="Y52" i="110"/>
  <c r="X52" i="110"/>
  <c r="L52" i="110"/>
  <c r="M52" i="110" s="1"/>
  <c r="A52" i="110"/>
  <c r="OC51" i="110"/>
  <c r="OB51" i="110"/>
  <c r="OA51" i="110"/>
  <c r="NZ51" i="110"/>
  <c r="NY51" i="110"/>
  <c r="NX51" i="110"/>
  <c r="NW51" i="110"/>
  <c r="NV51" i="110"/>
  <c r="NU51" i="110"/>
  <c r="NT51" i="110"/>
  <c r="NS51" i="110"/>
  <c r="NR51" i="110"/>
  <c r="NQ51" i="110"/>
  <c r="NP51" i="110"/>
  <c r="NO51" i="110"/>
  <c r="NN51" i="110"/>
  <c r="NM51" i="110"/>
  <c r="NL51" i="110"/>
  <c r="NK51" i="110"/>
  <c r="NJ51" i="110"/>
  <c r="NI51" i="110"/>
  <c r="NH51" i="110"/>
  <c r="NG51" i="110"/>
  <c r="NF51" i="110"/>
  <c r="NE51" i="110"/>
  <c r="ND51" i="110"/>
  <c r="NC51" i="110"/>
  <c r="NB51" i="110"/>
  <c r="NA51" i="110"/>
  <c r="MZ51" i="110"/>
  <c r="MY51" i="110"/>
  <c r="MX51" i="110"/>
  <c r="MW51" i="110"/>
  <c r="MV51" i="110"/>
  <c r="MU51" i="110"/>
  <c r="MT51" i="110"/>
  <c r="MS51" i="110"/>
  <c r="MR51" i="110"/>
  <c r="MQ51" i="110"/>
  <c r="MP51" i="110"/>
  <c r="MO51" i="110"/>
  <c r="MN51" i="110"/>
  <c r="MM51" i="110"/>
  <c r="ML51" i="110"/>
  <c r="MK51" i="110"/>
  <c r="MJ51" i="110"/>
  <c r="MI51" i="110"/>
  <c r="MH51" i="110"/>
  <c r="MG51" i="110"/>
  <c r="MF51" i="110"/>
  <c r="ME51" i="110"/>
  <c r="MD51" i="110"/>
  <c r="MC51" i="110"/>
  <c r="MB51" i="110"/>
  <c r="MA51" i="110"/>
  <c r="LZ51" i="110"/>
  <c r="LY51" i="110"/>
  <c r="LX51" i="110"/>
  <c r="LW51" i="110"/>
  <c r="LV51" i="110"/>
  <c r="LU51" i="110"/>
  <c r="LT51" i="110"/>
  <c r="LS51" i="110"/>
  <c r="LR51" i="110"/>
  <c r="LQ51" i="110"/>
  <c r="LP51" i="110"/>
  <c r="LO51" i="110"/>
  <c r="LN51" i="110"/>
  <c r="LM51" i="110"/>
  <c r="LL51" i="110"/>
  <c r="LK51" i="110"/>
  <c r="LJ51" i="110"/>
  <c r="LI51" i="110"/>
  <c r="LH51" i="110"/>
  <c r="LG51" i="110"/>
  <c r="LF51" i="110"/>
  <c r="LE51" i="110"/>
  <c r="LD51" i="110"/>
  <c r="LC51" i="110"/>
  <c r="LB51" i="110"/>
  <c r="LA51" i="110"/>
  <c r="KZ51" i="110"/>
  <c r="KY51" i="110"/>
  <c r="KX51" i="110"/>
  <c r="KW51" i="110"/>
  <c r="KV51" i="110"/>
  <c r="KU51" i="110"/>
  <c r="KT51" i="110"/>
  <c r="KS51" i="110"/>
  <c r="KR51" i="110"/>
  <c r="KQ51" i="110"/>
  <c r="KP51" i="110"/>
  <c r="KO51" i="110"/>
  <c r="KN51" i="110"/>
  <c r="KM51" i="110"/>
  <c r="KL51" i="110"/>
  <c r="KK51" i="110"/>
  <c r="KJ51" i="110"/>
  <c r="KI51" i="110"/>
  <c r="KH51" i="110"/>
  <c r="KG51" i="110"/>
  <c r="KF51" i="110"/>
  <c r="KE51" i="110"/>
  <c r="KD51" i="110"/>
  <c r="KC51" i="110"/>
  <c r="KB51" i="110"/>
  <c r="KA51" i="110"/>
  <c r="JZ51" i="110"/>
  <c r="JY51" i="110"/>
  <c r="JX51" i="110"/>
  <c r="JW51" i="110"/>
  <c r="JV51" i="110"/>
  <c r="JU51" i="110"/>
  <c r="JT51" i="110"/>
  <c r="JS51" i="110"/>
  <c r="JR51" i="110"/>
  <c r="JQ51" i="110"/>
  <c r="JP51" i="110"/>
  <c r="JO51" i="110"/>
  <c r="JN51" i="110"/>
  <c r="JM51" i="110"/>
  <c r="JL51" i="110"/>
  <c r="JK51" i="110"/>
  <c r="JJ51" i="110"/>
  <c r="JI51" i="110"/>
  <c r="JH51" i="110"/>
  <c r="JG51" i="110"/>
  <c r="JF51" i="110"/>
  <c r="JE51" i="110"/>
  <c r="JD51" i="110"/>
  <c r="JC51" i="110"/>
  <c r="JB51" i="110"/>
  <c r="JA51" i="110"/>
  <c r="IZ51" i="110"/>
  <c r="IY51" i="110"/>
  <c r="IX51" i="110"/>
  <c r="IW51" i="110"/>
  <c r="IV51" i="110"/>
  <c r="IU51" i="110"/>
  <c r="IT51" i="110"/>
  <c r="IS51" i="110"/>
  <c r="IR51" i="110"/>
  <c r="IQ51" i="110"/>
  <c r="IP51" i="110"/>
  <c r="IO51" i="110"/>
  <c r="IN51" i="110"/>
  <c r="IM51" i="110"/>
  <c r="IL51" i="110"/>
  <c r="IK51" i="110"/>
  <c r="IJ51" i="110"/>
  <c r="II51" i="110"/>
  <c r="IH51" i="110"/>
  <c r="IG51" i="110"/>
  <c r="IF51" i="110"/>
  <c r="IE51" i="110"/>
  <c r="ID51" i="110"/>
  <c r="IC51" i="110"/>
  <c r="IB51" i="110"/>
  <c r="IA51" i="110"/>
  <c r="HZ51" i="110"/>
  <c r="HY51" i="110"/>
  <c r="HX51" i="110"/>
  <c r="HW51" i="110"/>
  <c r="HV51" i="110"/>
  <c r="HU51" i="110"/>
  <c r="HT51" i="110"/>
  <c r="HS51" i="110"/>
  <c r="HR51" i="110"/>
  <c r="HQ51" i="110"/>
  <c r="HP51" i="110"/>
  <c r="HO51" i="110"/>
  <c r="HN51" i="110"/>
  <c r="HM51" i="110"/>
  <c r="HL51" i="110"/>
  <c r="HK51" i="110"/>
  <c r="HJ51" i="110"/>
  <c r="HI51" i="110"/>
  <c r="HH51" i="110"/>
  <c r="HG51" i="110"/>
  <c r="HF51" i="110"/>
  <c r="HE51" i="110"/>
  <c r="HD51" i="110"/>
  <c r="HC51" i="110"/>
  <c r="HB51" i="110"/>
  <c r="HA51" i="110"/>
  <c r="GZ51" i="110"/>
  <c r="GY51" i="110"/>
  <c r="GX51" i="110"/>
  <c r="GW51" i="110"/>
  <c r="GV51" i="110"/>
  <c r="GU51" i="110"/>
  <c r="GT51" i="110"/>
  <c r="GS51" i="110"/>
  <c r="GR51" i="110"/>
  <c r="GQ51" i="110"/>
  <c r="GP51" i="110"/>
  <c r="GO51" i="110"/>
  <c r="GN51" i="110"/>
  <c r="GM51" i="110"/>
  <c r="GL51" i="110"/>
  <c r="GK51" i="110"/>
  <c r="GJ51" i="110"/>
  <c r="GI51" i="110"/>
  <c r="GH51" i="110"/>
  <c r="GG51" i="110"/>
  <c r="GF51" i="110"/>
  <c r="GE51" i="110"/>
  <c r="GD51" i="110"/>
  <c r="GC51" i="110"/>
  <c r="GB51" i="110"/>
  <c r="GA51" i="110"/>
  <c r="FZ51" i="110"/>
  <c r="FY51" i="110"/>
  <c r="FX51" i="110"/>
  <c r="FW51" i="110"/>
  <c r="FV51" i="110"/>
  <c r="FU51" i="110"/>
  <c r="FT51" i="110"/>
  <c r="FS51" i="110"/>
  <c r="FR51" i="110"/>
  <c r="FQ51" i="110"/>
  <c r="FP51" i="110"/>
  <c r="FO51" i="110"/>
  <c r="FN51" i="110"/>
  <c r="FM51" i="110"/>
  <c r="FL51" i="110"/>
  <c r="FK51" i="110"/>
  <c r="FJ51" i="110"/>
  <c r="FI51" i="110"/>
  <c r="FH51" i="110"/>
  <c r="FG51" i="110"/>
  <c r="FF51" i="110"/>
  <c r="FE51" i="110"/>
  <c r="FD51" i="110"/>
  <c r="FC51" i="110"/>
  <c r="FB51" i="110"/>
  <c r="FA51" i="110"/>
  <c r="EZ51" i="110"/>
  <c r="EY51" i="110"/>
  <c r="EX51" i="110"/>
  <c r="EW51" i="110"/>
  <c r="EV51" i="110"/>
  <c r="EU51" i="110"/>
  <c r="ET51" i="110"/>
  <c r="ES51" i="110"/>
  <c r="ER51" i="110"/>
  <c r="EQ51" i="110"/>
  <c r="EP51" i="110"/>
  <c r="EO51" i="110"/>
  <c r="EN51" i="110"/>
  <c r="EM51" i="110"/>
  <c r="EL51" i="110"/>
  <c r="EK51" i="110"/>
  <c r="EJ51" i="110"/>
  <c r="EI51" i="110"/>
  <c r="EH51" i="110"/>
  <c r="EG51" i="110"/>
  <c r="EF51" i="110"/>
  <c r="EE51" i="110"/>
  <c r="ED51" i="110"/>
  <c r="EC51" i="110"/>
  <c r="EB51" i="110"/>
  <c r="EA51" i="110"/>
  <c r="DZ51" i="110"/>
  <c r="DY51" i="110"/>
  <c r="DX51" i="110"/>
  <c r="DW51" i="110"/>
  <c r="DV51" i="110"/>
  <c r="DU51" i="110"/>
  <c r="DT51" i="110"/>
  <c r="DS51" i="110"/>
  <c r="DR51" i="110"/>
  <c r="DQ51" i="110"/>
  <c r="DP51" i="110"/>
  <c r="DO51" i="110"/>
  <c r="DN51" i="110"/>
  <c r="DM51" i="110"/>
  <c r="DL51" i="110"/>
  <c r="DK51" i="110"/>
  <c r="DJ51" i="110"/>
  <c r="DI51" i="110"/>
  <c r="DH51" i="110"/>
  <c r="DG51" i="110"/>
  <c r="DF51" i="110"/>
  <c r="DE51" i="110"/>
  <c r="DD51" i="110"/>
  <c r="DC51" i="110"/>
  <c r="DB51" i="110"/>
  <c r="DA51" i="110"/>
  <c r="CZ51" i="110"/>
  <c r="CY51" i="110"/>
  <c r="CX51" i="110"/>
  <c r="CW51" i="110"/>
  <c r="CV51" i="110"/>
  <c r="CU51" i="110"/>
  <c r="CT51" i="110"/>
  <c r="CS51" i="110"/>
  <c r="CR51" i="110"/>
  <c r="CQ51" i="110"/>
  <c r="CP51" i="110"/>
  <c r="CO51" i="110"/>
  <c r="CN51" i="110"/>
  <c r="CM51" i="110"/>
  <c r="CL51" i="110"/>
  <c r="CK51" i="110"/>
  <c r="CJ51" i="110"/>
  <c r="CI51" i="110"/>
  <c r="CH51" i="110"/>
  <c r="CG51" i="110"/>
  <c r="CF51" i="110"/>
  <c r="CE51" i="110"/>
  <c r="CD51" i="110"/>
  <c r="CC51" i="110"/>
  <c r="CB51" i="110"/>
  <c r="CA51" i="110"/>
  <c r="BZ51" i="110"/>
  <c r="BY51" i="110"/>
  <c r="BX51" i="110"/>
  <c r="BW51" i="110"/>
  <c r="BV51" i="110"/>
  <c r="BU51" i="110"/>
  <c r="BT51" i="110"/>
  <c r="BS51" i="110"/>
  <c r="BR51" i="110"/>
  <c r="BQ51" i="110"/>
  <c r="BP51" i="110"/>
  <c r="BO51" i="110"/>
  <c r="BN51" i="110"/>
  <c r="BM51" i="110"/>
  <c r="BL51" i="110"/>
  <c r="BK51" i="110"/>
  <c r="BJ51" i="110"/>
  <c r="BI51" i="110"/>
  <c r="BH51" i="110"/>
  <c r="BG51" i="110"/>
  <c r="BF51" i="110"/>
  <c r="BE51" i="110"/>
  <c r="BD51" i="110"/>
  <c r="BC51" i="110"/>
  <c r="BB51" i="110"/>
  <c r="BA51" i="110"/>
  <c r="AZ51" i="110"/>
  <c r="AY51" i="110"/>
  <c r="AX51" i="110"/>
  <c r="AW51" i="110"/>
  <c r="AV51" i="110"/>
  <c r="AU51" i="110"/>
  <c r="AT51" i="110"/>
  <c r="AS51" i="110"/>
  <c r="AR51" i="110"/>
  <c r="AQ51" i="110"/>
  <c r="AP51" i="110"/>
  <c r="AO51" i="110"/>
  <c r="AN51" i="110"/>
  <c r="AM51" i="110"/>
  <c r="AL51" i="110"/>
  <c r="AK51" i="110"/>
  <c r="AJ51" i="110"/>
  <c r="AI51" i="110"/>
  <c r="AH51" i="110"/>
  <c r="AG51" i="110"/>
  <c r="AF51" i="110"/>
  <c r="AE51" i="110"/>
  <c r="AD51" i="110"/>
  <c r="AC51" i="110"/>
  <c r="AB51" i="110"/>
  <c r="AA51" i="110"/>
  <c r="Z51" i="110"/>
  <c r="Y51" i="110"/>
  <c r="X51" i="110"/>
  <c r="L51" i="110"/>
  <c r="M51" i="110" s="1"/>
  <c r="A51" i="110"/>
  <c r="OC50" i="110"/>
  <c r="OB50" i="110"/>
  <c r="OA50" i="110"/>
  <c r="NZ50" i="110"/>
  <c r="NY50" i="110"/>
  <c r="NX50" i="110"/>
  <c r="NW50" i="110"/>
  <c r="NV50" i="110"/>
  <c r="NU50" i="110"/>
  <c r="NT50" i="110"/>
  <c r="NS50" i="110"/>
  <c r="NR50" i="110"/>
  <c r="NQ50" i="110"/>
  <c r="NP50" i="110"/>
  <c r="NO50" i="110"/>
  <c r="NN50" i="110"/>
  <c r="NM50" i="110"/>
  <c r="NL50" i="110"/>
  <c r="NK50" i="110"/>
  <c r="NJ50" i="110"/>
  <c r="NI50" i="110"/>
  <c r="NH50" i="110"/>
  <c r="NG50" i="110"/>
  <c r="NF50" i="110"/>
  <c r="NE50" i="110"/>
  <c r="ND50" i="110"/>
  <c r="NC50" i="110"/>
  <c r="NB50" i="110"/>
  <c r="NA50" i="110"/>
  <c r="MZ50" i="110"/>
  <c r="MY50" i="110"/>
  <c r="MX50" i="110"/>
  <c r="MW50" i="110"/>
  <c r="MV50" i="110"/>
  <c r="MU50" i="110"/>
  <c r="MT50" i="110"/>
  <c r="MS50" i="110"/>
  <c r="MR50" i="110"/>
  <c r="MQ50" i="110"/>
  <c r="MP50" i="110"/>
  <c r="MO50" i="110"/>
  <c r="MN50" i="110"/>
  <c r="MM50" i="110"/>
  <c r="ML50" i="110"/>
  <c r="MK50" i="110"/>
  <c r="MJ50" i="110"/>
  <c r="MI50" i="110"/>
  <c r="MH50" i="110"/>
  <c r="MG50" i="110"/>
  <c r="MF50" i="110"/>
  <c r="ME50" i="110"/>
  <c r="MD50" i="110"/>
  <c r="MC50" i="110"/>
  <c r="MB50" i="110"/>
  <c r="MA50" i="110"/>
  <c r="LZ50" i="110"/>
  <c r="LY50" i="110"/>
  <c r="LX50" i="110"/>
  <c r="LW50" i="110"/>
  <c r="LV50" i="110"/>
  <c r="LU50" i="110"/>
  <c r="LT50" i="110"/>
  <c r="LS50" i="110"/>
  <c r="LR50" i="110"/>
  <c r="LQ50" i="110"/>
  <c r="LP50" i="110"/>
  <c r="LO50" i="110"/>
  <c r="LN50" i="110"/>
  <c r="LM50" i="110"/>
  <c r="LL50" i="110"/>
  <c r="LK50" i="110"/>
  <c r="LJ50" i="110"/>
  <c r="LI50" i="110"/>
  <c r="LH50" i="110"/>
  <c r="LG50" i="110"/>
  <c r="LF50" i="110"/>
  <c r="LE50" i="110"/>
  <c r="LD50" i="110"/>
  <c r="LC50" i="110"/>
  <c r="LB50" i="110"/>
  <c r="LA50" i="110"/>
  <c r="KZ50" i="110"/>
  <c r="KY50" i="110"/>
  <c r="KX50" i="110"/>
  <c r="KW50" i="110"/>
  <c r="KV50" i="110"/>
  <c r="KU50" i="110"/>
  <c r="KT50" i="110"/>
  <c r="KS50" i="110"/>
  <c r="KR50" i="110"/>
  <c r="KQ50" i="110"/>
  <c r="KP50" i="110"/>
  <c r="KO50" i="110"/>
  <c r="KN50" i="110"/>
  <c r="KM50" i="110"/>
  <c r="KL50" i="110"/>
  <c r="KK50" i="110"/>
  <c r="KJ50" i="110"/>
  <c r="KI50" i="110"/>
  <c r="KH50" i="110"/>
  <c r="KG50" i="110"/>
  <c r="KF50" i="110"/>
  <c r="KE50" i="110"/>
  <c r="KD50" i="110"/>
  <c r="KC50" i="110"/>
  <c r="KB50" i="110"/>
  <c r="KA50" i="110"/>
  <c r="JZ50" i="110"/>
  <c r="JY50" i="110"/>
  <c r="JX50" i="110"/>
  <c r="JW50" i="110"/>
  <c r="JV50" i="110"/>
  <c r="JU50" i="110"/>
  <c r="JT50" i="110"/>
  <c r="JS50" i="110"/>
  <c r="JR50" i="110"/>
  <c r="JQ50" i="110"/>
  <c r="JP50" i="110"/>
  <c r="JO50" i="110"/>
  <c r="JN50" i="110"/>
  <c r="JM50" i="110"/>
  <c r="JL50" i="110"/>
  <c r="JK50" i="110"/>
  <c r="JJ50" i="110"/>
  <c r="JI50" i="110"/>
  <c r="JH50" i="110"/>
  <c r="JG50" i="110"/>
  <c r="JF50" i="110"/>
  <c r="JE50" i="110"/>
  <c r="JD50" i="110"/>
  <c r="JC50" i="110"/>
  <c r="JB50" i="110"/>
  <c r="JA50" i="110"/>
  <c r="IZ50" i="110"/>
  <c r="IY50" i="110"/>
  <c r="IX50" i="110"/>
  <c r="IW50" i="110"/>
  <c r="IV50" i="110"/>
  <c r="IU50" i="110"/>
  <c r="IT50" i="110"/>
  <c r="IS50" i="110"/>
  <c r="IR50" i="110"/>
  <c r="IQ50" i="110"/>
  <c r="IP50" i="110"/>
  <c r="IO50" i="110"/>
  <c r="IN50" i="110"/>
  <c r="IM50" i="110"/>
  <c r="IL50" i="110"/>
  <c r="IK50" i="110"/>
  <c r="IJ50" i="110"/>
  <c r="II50" i="110"/>
  <c r="IH50" i="110"/>
  <c r="IG50" i="110"/>
  <c r="IF50" i="110"/>
  <c r="IE50" i="110"/>
  <c r="ID50" i="110"/>
  <c r="IC50" i="110"/>
  <c r="IB50" i="110"/>
  <c r="IA50" i="110"/>
  <c r="HZ50" i="110"/>
  <c r="HY50" i="110"/>
  <c r="HX50" i="110"/>
  <c r="HW50" i="110"/>
  <c r="HV50" i="110"/>
  <c r="HU50" i="110"/>
  <c r="HT50" i="110"/>
  <c r="HS50" i="110"/>
  <c r="HR50" i="110"/>
  <c r="HQ50" i="110"/>
  <c r="HP50" i="110"/>
  <c r="HO50" i="110"/>
  <c r="HN50" i="110"/>
  <c r="HM50" i="110"/>
  <c r="HL50" i="110"/>
  <c r="HK50" i="110"/>
  <c r="HJ50" i="110"/>
  <c r="HI50" i="110"/>
  <c r="HH50" i="110"/>
  <c r="HG50" i="110"/>
  <c r="HF50" i="110"/>
  <c r="HE50" i="110"/>
  <c r="HD50" i="110"/>
  <c r="HC50" i="110"/>
  <c r="HB50" i="110"/>
  <c r="HA50" i="110"/>
  <c r="GZ50" i="110"/>
  <c r="GY50" i="110"/>
  <c r="GX50" i="110"/>
  <c r="GW50" i="110"/>
  <c r="GV50" i="110"/>
  <c r="GU50" i="110"/>
  <c r="GT50" i="110"/>
  <c r="GS50" i="110"/>
  <c r="GR50" i="110"/>
  <c r="GQ50" i="110"/>
  <c r="GP50" i="110"/>
  <c r="GO50" i="110"/>
  <c r="GN50" i="110"/>
  <c r="GM50" i="110"/>
  <c r="GL50" i="110"/>
  <c r="GK50" i="110"/>
  <c r="GJ50" i="110"/>
  <c r="GI50" i="110"/>
  <c r="GH50" i="110"/>
  <c r="GG50" i="110"/>
  <c r="GF50" i="110"/>
  <c r="GE50" i="110"/>
  <c r="GD50" i="110"/>
  <c r="GC50" i="110"/>
  <c r="GB50" i="110"/>
  <c r="GA50" i="110"/>
  <c r="FZ50" i="110"/>
  <c r="FY50" i="110"/>
  <c r="FX50" i="110"/>
  <c r="FW50" i="110"/>
  <c r="FV50" i="110"/>
  <c r="FU50" i="110"/>
  <c r="FT50" i="110"/>
  <c r="FS50" i="110"/>
  <c r="FR50" i="110"/>
  <c r="FQ50" i="110"/>
  <c r="FP50" i="110"/>
  <c r="FO50" i="110"/>
  <c r="FN50" i="110"/>
  <c r="FM50" i="110"/>
  <c r="FL50" i="110"/>
  <c r="FK50" i="110"/>
  <c r="FJ50" i="110"/>
  <c r="FI50" i="110"/>
  <c r="FH50" i="110"/>
  <c r="FG50" i="110"/>
  <c r="FF50" i="110"/>
  <c r="FE50" i="110"/>
  <c r="FD50" i="110"/>
  <c r="FC50" i="110"/>
  <c r="FB50" i="110"/>
  <c r="FA50" i="110"/>
  <c r="EZ50" i="110"/>
  <c r="EY50" i="110"/>
  <c r="EX50" i="110"/>
  <c r="EW50" i="110"/>
  <c r="EV50" i="110"/>
  <c r="EU50" i="110"/>
  <c r="ET50" i="110"/>
  <c r="ES50" i="110"/>
  <c r="ER50" i="110"/>
  <c r="EQ50" i="110"/>
  <c r="EP50" i="110"/>
  <c r="EO50" i="110"/>
  <c r="EN50" i="110"/>
  <c r="EM50" i="110"/>
  <c r="EL50" i="110"/>
  <c r="EK50" i="110"/>
  <c r="EJ50" i="110"/>
  <c r="EI50" i="110"/>
  <c r="EH50" i="110"/>
  <c r="EG50" i="110"/>
  <c r="EF50" i="110"/>
  <c r="EE50" i="110"/>
  <c r="ED50" i="110"/>
  <c r="EC50" i="110"/>
  <c r="EB50" i="110"/>
  <c r="EA50" i="110"/>
  <c r="DZ50" i="110"/>
  <c r="DY50" i="110"/>
  <c r="DX50" i="110"/>
  <c r="DW50" i="110"/>
  <c r="DV50" i="110"/>
  <c r="DU50" i="110"/>
  <c r="DT50" i="110"/>
  <c r="DS50" i="110"/>
  <c r="DR50" i="110"/>
  <c r="DQ50" i="110"/>
  <c r="DP50" i="110"/>
  <c r="DO50" i="110"/>
  <c r="DN50" i="110"/>
  <c r="DM50" i="110"/>
  <c r="DL50" i="110"/>
  <c r="DK50" i="110"/>
  <c r="DJ50" i="110"/>
  <c r="DI50" i="110"/>
  <c r="DH50" i="110"/>
  <c r="DG50" i="110"/>
  <c r="DF50" i="110"/>
  <c r="DE50" i="110"/>
  <c r="DD50" i="110"/>
  <c r="DC50" i="110"/>
  <c r="DB50" i="110"/>
  <c r="DA50" i="110"/>
  <c r="CZ50" i="110"/>
  <c r="CY50" i="110"/>
  <c r="CX50" i="110"/>
  <c r="CW50" i="110"/>
  <c r="CV50" i="110"/>
  <c r="CU50" i="110"/>
  <c r="CT50" i="110"/>
  <c r="CS50" i="110"/>
  <c r="CR50" i="110"/>
  <c r="CQ50" i="110"/>
  <c r="CP50" i="110"/>
  <c r="CO50" i="110"/>
  <c r="CN50" i="110"/>
  <c r="CM50" i="110"/>
  <c r="CL50" i="110"/>
  <c r="CK50" i="110"/>
  <c r="CJ50" i="110"/>
  <c r="CI50" i="110"/>
  <c r="CH50" i="110"/>
  <c r="CG50" i="110"/>
  <c r="CF50" i="110"/>
  <c r="CE50" i="110"/>
  <c r="CD50" i="110"/>
  <c r="CC50" i="110"/>
  <c r="CB50" i="110"/>
  <c r="CA50" i="110"/>
  <c r="BZ50" i="110"/>
  <c r="BY50" i="110"/>
  <c r="BX50" i="110"/>
  <c r="BW50" i="110"/>
  <c r="BV50" i="110"/>
  <c r="BU50" i="110"/>
  <c r="BT50" i="110"/>
  <c r="BS50" i="110"/>
  <c r="BR50" i="110"/>
  <c r="BQ50" i="110"/>
  <c r="BP50" i="110"/>
  <c r="BO50" i="110"/>
  <c r="BN50" i="110"/>
  <c r="BM50" i="110"/>
  <c r="BL50" i="110"/>
  <c r="BK50" i="110"/>
  <c r="BJ50" i="110"/>
  <c r="BI50" i="110"/>
  <c r="BH50" i="110"/>
  <c r="BG50" i="110"/>
  <c r="BF50" i="110"/>
  <c r="BE50" i="110"/>
  <c r="BD50" i="110"/>
  <c r="BC50" i="110"/>
  <c r="BB50" i="110"/>
  <c r="BA50" i="110"/>
  <c r="AZ50" i="110"/>
  <c r="AY50" i="110"/>
  <c r="AX50" i="110"/>
  <c r="AW50" i="110"/>
  <c r="AV50" i="110"/>
  <c r="AU50" i="110"/>
  <c r="AT50" i="110"/>
  <c r="AS50" i="110"/>
  <c r="AR50" i="110"/>
  <c r="AQ50" i="110"/>
  <c r="AP50" i="110"/>
  <c r="AO50" i="110"/>
  <c r="AN50" i="110"/>
  <c r="AM50" i="110"/>
  <c r="AL50" i="110"/>
  <c r="AK50" i="110"/>
  <c r="AJ50" i="110"/>
  <c r="AI50" i="110"/>
  <c r="AH50" i="110"/>
  <c r="AG50" i="110"/>
  <c r="AF50" i="110"/>
  <c r="AE50" i="110"/>
  <c r="AD50" i="110"/>
  <c r="AC50" i="110"/>
  <c r="AB50" i="110"/>
  <c r="AA50" i="110"/>
  <c r="Z50" i="110"/>
  <c r="Y50" i="110"/>
  <c r="X50" i="110"/>
  <c r="L50" i="110"/>
  <c r="M50" i="110" s="1"/>
  <c r="A50" i="110"/>
  <c r="OC49" i="110"/>
  <c r="OB49" i="110"/>
  <c r="OA49" i="110"/>
  <c r="NZ49" i="110"/>
  <c r="NY49" i="110"/>
  <c r="NX49" i="110"/>
  <c r="NW49" i="110"/>
  <c r="NV49" i="110"/>
  <c r="NU49" i="110"/>
  <c r="NT49" i="110"/>
  <c r="NS49" i="110"/>
  <c r="NR49" i="110"/>
  <c r="NQ49" i="110"/>
  <c r="NP49" i="110"/>
  <c r="NO49" i="110"/>
  <c r="NN49" i="110"/>
  <c r="NM49" i="110"/>
  <c r="NL49" i="110"/>
  <c r="NK49" i="110"/>
  <c r="NJ49" i="110"/>
  <c r="NI49" i="110"/>
  <c r="NH49" i="110"/>
  <c r="NG49" i="110"/>
  <c r="NF49" i="110"/>
  <c r="NE49" i="110"/>
  <c r="ND49" i="110"/>
  <c r="NC49" i="110"/>
  <c r="NB49" i="110"/>
  <c r="NA49" i="110"/>
  <c r="MZ49" i="110"/>
  <c r="MY49" i="110"/>
  <c r="MX49" i="110"/>
  <c r="MW49" i="110"/>
  <c r="MV49" i="110"/>
  <c r="MU49" i="110"/>
  <c r="MT49" i="110"/>
  <c r="MS49" i="110"/>
  <c r="MR49" i="110"/>
  <c r="MQ49" i="110"/>
  <c r="MP49" i="110"/>
  <c r="MO49" i="110"/>
  <c r="MN49" i="110"/>
  <c r="MM49" i="110"/>
  <c r="ML49" i="110"/>
  <c r="MK49" i="110"/>
  <c r="MJ49" i="110"/>
  <c r="MI49" i="110"/>
  <c r="MH49" i="110"/>
  <c r="MG49" i="110"/>
  <c r="MF49" i="110"/>
  <c r="ME49" i="110"/>
  <c r="MD49" i="110"/>
  <c r="MC49" i="110"/>
  <c r="MB49" i="110"/>
  <c r="MA49" i="110"/>
  <c r="LZ49" i="110"/>
  <c r="LY49" i="110"/>
  <c r="LX49" i="110"/>
  <c r="LW49" i="110"/>
  <c r="LV49" i="110"/>
  <c r="LU49" i="110"/>
  <c r="LT49" i="110"/>
  <c r="LS49" i="110"/>
  <c r="LR49" i="110"/>
  <c r="LQ49" i="110"/>
  <c r="LP49" i="110"/>
  <c r="LO49" i="110"/>
  <c r="LN49" i="110"/>
  <c r="LM49" i="110"/>
  <c r="LL49" i="110"/>
  <c r="LK49" i="110"/>
  <c r="LJ49" i="110"/>
  <c r="LI49" i="110"/>
  <c r="LH49" i="110"/>
  <c r="LG49" i="110"/>
  <c r="LF49" i="110"/>
  <c r="LE49" i="110"/>
  <c r="LD49" i="110"/>
  <c r="LC49" i="110"/>
  <c r="LB49" i="110"/>
  <c r="LA49" i="110"/>
  <c r="KZ49" i="110"/>
  <c r="KY49" i="110"/>
  <c r="KX49" i="110"/>
  <c r="KW49" i="110"/>
  <c r="KV49" i="110"/>
  <c r="KU49" i="110"/>
  <c r="KT49" i="110"/>
  <c r="KS49" i="110"/>
  <c r="KR49" i="110"/>
  <c r="KQ49" i="110"/>
  <c r="KP49" i="110"/>
  <c r="KO49" i="110"/>
  <c r="KN49" i="110"/>
  <c r="KM49" i="110"/>
  <c r="KL49" i="110"/>
  <c r="KK49" i="110"/>
  <c r="KJ49" i="110"/>
  <c r="KI49" i="110"/>
  <c r="KH49" i="110"/>
  <c r="KG49" i="110"/>
  <c r="KF49" i="110"/>
  <c r="KE49" i="110"/>
  <c r="KD49" i="110"/>
  <c r="KC49" i="110"/>
  <c r="KB49" i="110"/>
  <c r="KA49" i="110"/>
  <c r="JZ49" i="110"/>
  <c r="JY49" i="110"/>
  <c r="JX49" i="110"/>
  <c r="JW49" i="110"/>
  <c r="JV49" i="110"/>
  <c r="JU49" i="110"/>
  <c r="JT49" i="110"/>
  <c r="JS49" i="110"/>
  <c r="JR49" i="110"/>
  <c r="JQ49" i="110"/>
  <c r="JP49" i="110"/>
  <c r="JO49" i="110"/>
  <c r="JN49" i="110"/>
  <c r="JM49" i="110"/>
  <c r="JL49" i="110"/>
  <c r="JK49" i="110"/>
  <c r="JJ49" i="110"/>
  <c r="JI49" i="110"/>
  <c r="JH49" i="110"/>
  <c r="JG49" i="110"/>
  <c r="JF49" i="110"/>
  <c r="JE49" i="110"/>
  <c r="JD49" i="110"/>
  <c r="JC49" i="110"/>
  <c r="JB49" i="110"/>
  <c r="JA49" i="110"/>
  <c r="IZ49" i="110"/>
  <c r="IY49" i="110"/>
  <c r="IX49" i="110"/>
  <c r="IW49" i="110"/>
  <c r="IV49" i="110"/>
  <c r="IU49" i="110"/>
  <c r="IT49" i="110"/>
  <c r="IS49" i="110"/>
  <c r="IR49" i="110"/>
  <c r="IQ49" i="110"/>
  <c r="IP49" i="110"/>
  <c r="IO49" i="110"/>
  <c r="IN49" i="110"/>
  <c r="IM49" i="110"/>
  <c r="IL49" i="110"/>
  <c r="IK49" i="110"/>
  <c r="IJ49" i="110"/>
  <c r="II49" i="110"/>
  <c r="IH49" i="110"/>
  <c r="IG49" i="110"/>
  <c r="IF49" i="110"/>
  <c r="IE49" i="110"/>
  <c r="ID49" i="110"/>
  <c r="IC49" i="110"/>
  <c r="IB49" i="110"/>
  <c r="IA49" i="110"/>
  <c r="HZ49" i="110"/>
  <c r="HY49" i="110"/>
  <c r="HX49" i="110"/>
  <c r="HW49" i="110"/>
  <c r="HV49" i="110"/>
  <c r="HU49" i="110"/>
  <c r="HT49" i="110"/>
  <c r="HS49" i="110"/>
  <c r="HR49" i="110"/>
  <c r="HQ49" i="110"/>
  <c r="HP49" i="110"/>
  <c r="HO49" i="110"/>
  <c r="HN49" i="110"/>
  <c r="HM49" i="110"/>
  <c r="HL49" i="110"/>
  <c r="HK49" i="110"/>
  <c r="HJ49" i="110"/>
  <c r="HI49" i="110"/>
  <c r="HH49" i="110"/>
  <c r="HG49" i="110"/>
  <c r="HF49" i="110"/>
  <c r="HE49" i="110"/>
  <c r="HD49" i="110"/>
  <c r="HC49" i="110"/>
  <c r="HB49" i="110"/>
  <c r="HA49" i="110"/>
  <c r="GZ49" i="110"/>
  <c r="GY49" i="110"/>
  <c r="GX49" i="110"/>
  <c r="GW49" i="110"/>
  <c r="GV49" i="110"/>
  <c r="GU49" i="110"/>
  <c r="GT49" i="110"/>
  <c r="GS49" i="110"/>
  <c r="GR49" i="110"/>
  <c r="GQ49" i="110"/>
  <c r="GP49" i="110"/>
  <c r="GO49" i="110"/>
  <c r="GN49" i="110"/>
  <c r="GM49" i="110"/>
  <c r="GL49" i="110"/>
  <c r="GK49" i="110"/>
  <c r="GJ49" i="110"/>
  <c r="GI49" i="110"/>
  <c r="GH49" i="110"/>
  <c r="GG49" i="110"/>
  <c r="GF49" i="110"/>
  <c r="GE49" i="110"/>
  <c r="GD49" i="110"/>
  <c r="GC49" i="110"/>
  <c r="GB49" i="110"/>
  <c r="GA49" i="110"/>
  <c r="FZ49" i="110"/>
  <c r="FY49" i="110"/>
  <c r="FX49" i="110"/>
  <c r="FW49" i="110"/>
  <c r="FV49" i="110"/>
  <c r="FU49" i="110"/>
  <c r="FT49" i="110"/>
  <c r="FS49" i="110"/>
  <c r="FR49" i="110"/>
  <c r="FQ49" i="110"/>
  <c r="FP49" i="110"/>
  <c r="FO49" i="110"/>
  <c r="FN49" i="110"/>
  <c r="FM49" i="110"/>
  <c r="FL49" i="110"/>
  <c r="FK49" i="110"/>
  <c r="FJ49" i="110"/>
  <c r="FI49" i="110"/>
  <c r="FH49" i="110"/>
  <c r="FG49" i="110"/>
  <c r="FF49" i="110"/>
  <c r="FE49" i="110"/>
  <c r="FD49" i="110"/>
  <c r="FC49" i="110"/>
  <c r="FB49" i="110"/>
  <c r="FA49" i="110"/>
  <c r="EZ49" i="110"/>
  <c r="EY49" i="110"/>
  <c r="EX49" i="110"/>
  <c r="EW49" i="110"/>
  <c r="EV49" i="110"/>
  <c r="EU49" i="110"/>
  <c r="ET49" i="110"/>
  <c r="ES49" i="110"/>
  <c r="ER49" i="110"/>
  <c r="EQ49" i="110"/>
  <c r="EP49" i="110"/>
  <c r="EO49" i="110"/>
  <c r="EN49" i="110"/>
  <c r="EM49" i="110"/>
  <c r="EL49" i="110"/>
  <c r="EK49" i="110"/>
  <c r="EJ49" i="110"/>
  <c r="EI49" i="110"/>
  <c r="EH49" i="110"/>
  <c r="EG49" i="110"/>
  <c r="EF49" i="110"/>
  <c r="EE49" i="110"/>
  <c r="ED49" i="110"/>
  <c r="EC49" i="110"/>
  <c r="EB49" i="110"/>
  <c r="EA49" i="110"/>
  <c r="DZ49" i="110"/>
  <c r="DY49" i="110"/>
  <c r="DX49" i="110"/>
  <c r="DW49" i="110"/>
  <c r="DV49" i="110"/>
  <c r="DU49" i="110"/>
  <c r="DT49" i="110"/>
  <c r="DS49" i="110"/>
  <c r="DR49" i="110"/>
  <c r="DQ49" i="110"/>
  <c r="DP49" i="110"/>
  <c r="DO49" i="110"/>
  <c r="DN49" i="110"/>
  <c r="DM49" i="110"/>
  <c r="DL49" i="110"/>
  <c r="DK49" i="110"/>
  <c r="DJ49" i="110"/>
  <c r="DI49" i="110"/>
  <c r="DH49" i="110"/>
  <c r="DG49" i="110"/>
  <c r="DF49" i="110"/>
  <c r="DE49" i="110"/>
  <c r="DD49" i="110"/>
  <c r="DC49" i="110"/>
  <c r="DB49" i="110"/>
  <c r="DA49" i="110"/>
  <c r="CZ49" i="110"/>
  <c r="CY49" i="110"/>
  <c r="CX49" i="110"/>
  <c r="CW49" i="110"/>
  <c r="CV49" i="110"/>
  <c r="CU49" i="110"/>
  <c r="CT49" i="110"/>
  <c r="CS49" i="110"/>
  <c r="CR49" i="110"/>
  <c r="CQ49" i="110"/>
  <c r="CP49" i="110"/>
  <c r="CO49" i="110"/>
  <c r="CN49" i="110"/>
  <c r="CM49" i="110"/>
  <c r="CL49" i="110"/>
  <c r="CK49" i="110"/>
  <c r="CJ49" i="110"/>
  <c r="CI49" i="110"/>
  <c r="CH49" i="110"/>
  <c r="CG49" i="110"/>
  <c r="CF49" i="110"/>
  <c r="CE49" i="110"/>
  <c r="CD49" i="110"/>
  <c r="CC49" i="110"/>
  <c r="CB49" i="110"/>
  <c r="CA49" i="110"/>
  <c r="BZ49" i="110"/>
  <c r="BY49" i="110"/>
  <c r="BX49" i="110"/>
  <c r="BW49" i="110"/>
  <c r="BV49" i="110"/>
  <c r="BU49" i="110"/>
  <c r="BT49" i="110"/>
  <c r="BS49" i="110"/>
  <c r="BR49" i="110"/>
  <c r="BQ49" i="110"/>
  <c r="BP49" i="110"/>
  <c r="BO49" i="110"/>
  <c r="BN49" i="110"/>
  <c r="BM49" i="110"/>
  <c r="BL49" i="110"/>
  <c r="BK49" i="110"/>
  <c r="BJ49" i="110"/>
  <c r="BI49" i="110"/>
  <c r="BH49" i="110"/>
  <c r="BG49" i="110"/>
  <c r="BF49" i="110"/>
  <c r="BE49" i="110"/>
  <c r="BD49" i="110"/>
  <c r="BC49" i="110"/>
  <c r="BB49" i="110"/>
  <c r="BA49" i="110"/>
  <c r="AZ49" i="110"/>
  <c r="AY49" i="110"/>
  <c r="AX49" i="110"/>
  <c r="AW49" i="110"/>
  <c r="AV49" i="110"/>
  <c r="AU49" i="110"/>
  <c r="AT49" i="110"/>
  <c r="AS49" i="110"/>
  <c r="AR49" i="110"/>
  <c r="AQ49" i="110"/>
  <c r="AP49" i="110"/>
  <c r="AO49" i="110"/>
  <c r="AN49" i="110"/>
  <c r="AM49" i="110"/>
  <c r="AL49" i="110"/>
  <c r="AK49" i="110"/>
  <c r="AJ49" i="110"/>
  <c r="AI49" i="110"/>
  <c r="AH49" i="110"/>
  <c r="AG49" i="110"/>
  <c r="AF49" i="110"/>
  <c r="AE49" i="110"/>
  <c r="AD49" i="110"/>
  <c r="AC49" i="110"/>
  <c r="AB49" i="110"/>
  <c r="AA49" i="110"/>
  <c r="Z49" i="110"/>
  <c r="Y49" i="110"/>
  <c r="X49" i="110"/>
  <c r="L49" i="110"/>
  <c r="M49" i="110" s="1"/>
  <c r="A49" i="110"/>
  <c r="S121" i="110"/>
  <c r="FL57" i="110"/>
  <c r="FK57" i="110"/>
  <c r="FJ57" i="110"/>
  <c r="FI57" i="110"/>
  <c r="FH57" i="110"/>
  <c r="FG57" i="110"/>
  <c r="FF57" i="110"/>
  <c r="FE57" i="110"/>
  <c r="FD57" i="110"/>
  <c r="FC57" i="110"/>
  <c r="FB57" i="110"/>
  <c r="FA57" i="110"/>
  <c r="EZ57" i="110"/>
  <c r="EY57" i="110"/>
  <c r="EX57" i="110"/>
  <c r="EW57" i="110"/>
  <c r="EV57" i="110"/>
  <c r="EU57" i="110"/>
  <c r="ET57" i="110"/>
  <c r="ES57" i="110"/>
  <c r="ER57" i="110"/>
  <c r="EQ57" i="110"/>
  <c r="EP57" i="110"/>
  <c r="EO57" i="110"/>
  <c r="EN57" i="110"/>
  <c r="EM57" i="110"/>
  <c r="EL57" i="110"/>
  <c r="EK57" i="110"/>
  <c r="EJ57" i="110"/>
  <c r="EI57" i="110"/>
  <c r="EH57" i="110"/>
  <c r="EG57" i="110"/>
  <c r="EF57" i="110"/>
  <c r="EE57" i="110"/>
  <c r="ED57" i="110"/>
  <c r="FL48" i="110"/>
  <c r="FK48" i="110"/>
  <c r="FJ48" i="110"/>
  <c r="FI48" i="110"/>
  <c r="FH48" i="110"/>
  <c r="FG48" i="110"/>
  <c r="FF48" i="110"/>
  <c r="FE48" i="110"/>
  <c r="FD48" i="110"/>
  <c r="FC48" i="110"/>
  <c r="FB48" i="110"/>
  <c r="FA48" i="110"/>
  <c r="EZ48" i="110"/>
  <c r="EY48" i="110"/>
  <c r="EX48" i="110"/>
  <c r="EW48" i="110"/>
  <c r="EV48" i="110"/>
  <c r="EU48" i="110"/>
  <c r="ET48" i="110"/>
  <c r="ES48" i="110"/>
  <c r="ER48" i="110"/>
  <c r="EQ48" i="110"/>
  <c r="EP48" i="110"/>
  <c r="EO48" i="110"/>
  <c r="EN48" i="110"/>
  <c r="EM48" i="110"/>
  <c r="EL48" i="110"/>
  <c r="EK48" i="110"/>
  <c r="EJ48" i="110"/>
  <c r="EI48" i="110"/>
  <c r="EH48" i="110"/>
  <c r="EG48" i="110"/>
  <c r="EF48" i="110"/>
  <c r="EE48" i="110"/>
  <c r="ED48" i="110"/>
  <c r="FL47" i="110"/>
  <c r="FK47" i="110"/>
  <c r="FJ47" i="110"/>
  <c r="FI47" i="110"/>
  <c r="FH47" i="110"/>
  <c r="FG47" i="110"/>
  <c r="FF47" i="110"/>
  <c r="FE47" i="110"/>
  <c r="FD47" i="110"/>
  <c r="FC47" i="110"/>
  <c r="FB47" i="110"/>
  <c r="FA47" i="110"/>
  <c r="EZ47" i="110"/>
  <c r="EY47" i="110"/>
  <c r="EX47" i="110"/>
  <c r="EW47" i="110"/>
  <c r="EV47" i="110"/>
  <c r="EU47" i="110"/>
  <c r="ET47" i="110"/>
  <c r="ES47" i="110"/>
  <c r="ER47" i="110"/>
  <c r="EQ47" i="110"/>
  <c r="EP47" i="110"/>
  <c r="EO47" i="110"/>
  <c r="EN47" i="110"/>
  <c r="EM47" i="110"/>
  <c r="EL47" i="110"/>
  <c r="EK47" i="110"/>
  <c r="EJ47" i="110"/>
  <c r="EI47" i="110"/>
  <c r="EH47" i="110"/>
  <c r="EG47" i="110"/>
  <c r="EF47" i="110"/>
  <c r="EE47" i="110"/>
  <c r="ED47" i="110"/>
  <c r="FL46" i="110"/>
  <c r="FK46" i="110"/>
  <c r="FJ46" i="110"/>
  <c r="FI46" i="110"/>
  <c r="FH46" i="110"/>
  <c r="FG46" i="110"/>
  <c r="FF46" i="110"/>
  <c r="FE46" i="110"/>
  <c r="FD46" i="110"/>
  <c r="FC46" i="110"/>
  <c r="FB46" i="110"/>
  <c r="FA46" i="110"/>
  <c r="EZ46" i="110"/>
  <c r="EY46" i="110"/>
  <c r="EX46" i="110"/>
  <c r="EW46" i="110"/>
  <c r="EV46" i="110"/>
  <c r="EU46" i="110"/>
  <c r="ET46" i="110"/>
  <c r="ES46" i="110"/>
  <c r="ER46" i="110"/>
  <c r="EQ46" i="110"/>
  <c r="EP46" i="110"/>
  <c r="EO46" i="110"/>
  <c r="EN46" i="110"/>
  <c r="EM46" i="110"/>
  <c r="EL46" i="110"/>
  <c r="EK46" i="110"/>
  <c r="EJ46" i="110"/>
  <c r="EI46" i="110"/>
  <c r="EH46" i="110"/>
  <c r="EG46" i="110"/>
  <c r="EF46" i="110"/>
  <c r="EE46" i="110"/>
  <c r="ED46" i="110"/>
  <c r="FL45" i="110"/>
  <c r="FK45" i="110"/>
  <c r="FJ45" i="110"/>
  <c r="FI45" i="110"/>
  <c r="FH45" i="110"/>
  <c r="FG45" i="110"/>
  <c r="FF45" i="110"/>
  <c r="FE45" i="110"/>
  <c r="FD45" i="110"/>
  <c r="FC45" i="110"/>
  <c r="FB45" i="110"/>
  <c r="FA45" i="110"/>
  <c r="EZ45" i="110"/>
  <c r="EY45" i="110"/>
  <c r="EX45" i="110"/>
  <c r="EW45" i="110"/>
  <c r="EV45" i="110"/>
  <c r="EU45" i="110"/>
  <c r="ET45" i="110"/>
  <c r="ES45" i="110"/>
  <c r="ER45" i="110"/>
  <c r="EQ45" i="110"/>
  <c r="EP45" i="110"/>
  <c r="EO45" i="110"/>
  <c r="EN45" i="110"/>
  <c r="EM45" i="110"/>
  <c r="EL45" i="110"/>
  <c r="EK45" i="110"/>
  <c r="EJ45" i="110"/>
  <c r="EI45" i="110"/>
  <c r="EH45" i="110"/>
  <c r="EG45" i="110"/>
  <c r="EF45" i="110"/>
  <c r="EE45" i="110"/>
  <c r="ED45" i="110"/>
  <c r="FL44" i="110"/>
  <c r="FK44" i="110"/>
  <c r="FJ44" i="110"/>
  <c r="FI44" i="110"/>
  <c r="FH44" i="110"/>
  <c r="FG44" i="110"/>
  <c r="FF44" i="110"/>
  <c r="FE44" i="110"/>
  <c r="FD44" i="110"/>
  <c r="FC44" i="110"/>
  <c r="FB44" i="110"/>
  <c r="FA44" i="110"/>
  <c r="EZ44" i="110"/>
  <c r="EY44" i="110"/>
  <c r="EX44" i="110"/>
  <c r="EW44" i="110"/>
  <c r="EV44" i="110"/>
  <c r="EU44" i="110"/>
  <c r="ET44" i="110"/>
  <c r="ES44" i="110"/>
  <c r="ER44" i="110"/>
  <c r="EQ44" i="110"/>
  <c r="EP44" i="110"/>
  <c r="EO44" i="110"/>
  <c r="EN44" i="110"/>
  <c r="EM44" i="110"/>
  <c r="EL44" i="110"/>
  <c r="EK44" i="110"/>
  <c r="EJ44" i="110"/>
  <c r="EI44" i="110"/>
  <c r="EH44" i="110"/>
  <c r="EG44" i="110"/>
  <c r="EF44" i="110"/>
  <c r="EE44" i="110"/>
  <c r="ED44" i="110"/>
  <c r="FL43" i="110"/>
  <c r="FK43" i="110"/>
  <c r="FJ43" i="110"/>
  <c r="FI43" i="110"/>
  <c r="FH43" i="110"/>
  <c r="FG43" i="110"/>
  <c r="FF43" i="110"/>
  <c r="FE43" i="110"/>
  <c r="FD43" i="110"/>
  <c r="FC43" i="110"/>
  <c r="FB43" i="110"/>
  <c r="FA43" i="110"/>
  <c r="EZ43" i="110"/>
  <c r="EY43" i="110"/>
  <c r="EX43" i="110"/>
  <c r="EW43" i="110"/>
  <c r="EV43" i="110"/>
  <c r="EU43" i="110"/>
  <c r="ET43" i="110"/>
  <c r="ES43" i="110"/>
  <c r="ER43" i="110"/>
  <c r="EQ43" i="110"/>
  <c r="EP43" i="110"/>
  <c r="EO43" i="110"/>
  <c r="EN43" i="110"/>
  <c r="EM43" i="110"/>
  <c r="EL43" i="110"/>
  <c r="EK43" i="110"/>
  <c r="EJ43" i="110"/>
  <c r="EI43" i="110"/>
  <c r="EH43" i="110"/>
  <c r="EG43" i="110"/>
  <c r="EF43" i="110"/>
  <c r="EE43" i="110"/>
  <c r="ED43" i="110"/>
  <c r="FL42" i="110"/>
  <c r="FK42" i="110"/>
  <c r="FJ42" i="110"/>
  <c r="FI42" i="110"/>
  <c r="FH42" i="110"/>
  <c r="FG42" i="110"/>
  <c r="FF42" i="110"/>
  <c r="FE42" i="110"/>
  <c r="FD42" i="110"/>
  <c r="FC42" i="110"/>
  <c r="FB42" i="110"/>
  <c r="FA42" i="110"/>
  <c r="EZ42" i="110"/>
  <c r="EY42" i="110"/>
  <c r="EX42" i="110"/>
  <c r="EW42" i="110"/>
  <c r="EV42" i="110"/>
  <c r="EU42" i="110"/>
  <c r="ET42" i="110"/>
  <c r="ES42" i="110"/>
  <c r="ER42" i="110"/>
  <c r="EQ42" i="110"/>
  <c r="EP42" i="110"/>
  <c r="EO42" i="110"/>
  <c r="EN42" i="110"/>
  <c r="EM42" i="110"/>
  <c r="EL42" i="110"/>
  <c r="EK42" i="110"/>
  <c r="EJ42" i="110"/>
  <c r="EI42" i="110"/>
  <c r="EH42" i="110"/>
  <c r="EG42" i="110"/>
  <c r="EF42" i="110"/>
  <c r="EE42" i="110"/>
  <c r="ED42" i="110"/>
  <c r="FL41" i="110"/>
  <c r="FK41" i="110"/>
  <c r="FJ41" i="110"/>
  <c r="FI41" i="110"/>
  <c r="FH41" i="110"/>
  <c r="FG41" i="110"/>
  <c r="FF41" i="110"/>
  <c r="FE41" i="110"/>
  <c r="FD41" i="110"/>
  <c r="FC41" i="110"/>
  <c r="FB41" i="110"/>
  <c r="FA41" i="110"/>
  <c r="EZ41" i="110"/>
  <c r="EY41" i="110"/>
  <c r="EX41" i="110"/>
  <c r="EW41" i="110"/>
  <c r="EV41" i="110"/>
  <c r="EU41" i="110"/>
  <c r="ET41" i="110"/>
  <c r="ES41" i="110"/>
  <c r="ER41" i="110"/>
  <c r="EQ41" i="110"/>
  <c r="EP41" i="110"/>
  <c r="EO41" i="110"/>
  <c r="EN41" i="110"/>
  <c r="EM41" i="110"/>
  <c r="EL41" i="110"/>
  <c r="EK41" i="110"/>
  <c r="EJ41" i="110"/>
  <c r="EI41" i="110"/>
  <c r="EH41" i="110"/>
  <c r="EG41" i="110"/>
  <c r="EF41" i="110"/>
  <c r="EE41" i="110"/>
  <c r="ED41" i="110"/>
  <c r="FL40" i="110"/>
  <c r="FK40" i="110"/>
  <c r="FJ40" i="110"/>
  <c r="FI40" i="110"/>
  <c r="FH40" i="110"/>
  <c r="FG40" i="110"/>
  <c r="FF40" i="110"/>
  <c r="FE40" i="110"/>
  <c r="FD40" i="110"/>
  <c r="FC40" i="110"/>
  <c r="FB40" i="110"/>
  <c r="FA40" i="110"/>
  <c r="EZ40" i="110"/>
  <c r="EY40" i="110"/>
  <c r="EX40" i="110"/>
  <c r="EW40" i="110"/>
  <c r="EV40" i="110"/>
  <c r="EU40" i="110"/>
  <c r="ET40" i="110"/>
  <c r="ES40" i="110"/>
  <c r="ER40" i="110"/>
  <c r="EQ40" i="110"/>
  <c r="EP40" i="110"/>
  <c r="EO40" i="110"/>
  <c r="EN40" i="110"/>
  <c r="EM40" i="110"/>
  <c r="EL40" i="110"/>
  <c r="EK40" i="110"/>
  <c r="EJ40" i="110"/>
  <c r="EI40" i="110"/>
  <c r="EH40" i="110"/>
  <c r="EG40" i="110"/>
  <c r="EF40" i="110"/>
  <c r="EE40" i="110"/>
  <c r="ED40" i="110"/>
  <c r="FL39" i="110"/>
  <c r="FK39" i="110"/>
  <c r="FJ39" i="110"/>
  <c r="FI39" i="110"/>
  <c r="FH39" i="110"/>
  <c r="FG39" i="110"/>
  <c r="FF39" i="110"/>
  <c r="FE39" i="110"/>
  <c r="FD39" i="110"/>
  <c r="FC39" i="110"/>
  <c r="FB39" i="110"/>
  <c r="FA39" i="110"/>
  <c r="EZ39" i="110"/>
  <c r="EY39" i="110"/>
  <c r="EX39" i="110"/>
  <c r="EW39" i="110"/>
  <c r="EV39" i="110"/>
  <c r="EU39" i="110"/>
  <c r="ET39" i="110"/>
  <c r="ES39" i="110"/>
  <c r="ER39" i="110"/>
  <c r="EQ39" i="110"/>
  <c r="EP39" i="110"/>
  <c r="EO39" i="110"/>
  <c r="EN39" i="110"/>
  <c r="EM39" i="110"/>
  <c r="EL39" i="110"/>
  <c r="EK39" i="110"/>
  <c r="EJ39" i="110"/>
  <c r="EI39" i="110"/>
  <c r="EH39" i="110"/>
  <c r="EG39" i="110"/>
  <c r="EF39" i="110"/>
  <c r="EE39" i="110"/>
  <c r="ED39" i="110"/>
  <c r="FL38" i="110"/>
  <c r="FK38" i="110"/>
  <c r="FJ38" i="110"/>
  <c r="FI38" i="110"/>
  <c r="FH38" i="110"/>
  <c r="FG38" i="110"/>
  <c r="FF38" i="110"/>
  <c r="FE38" i="110"/>
  <c r="FD38" i="110"/>
  <c r="FC38" i="110"/>
  <c r="FB38" i="110"/>
  <c r="FA38" i="110"/>
  <c r="EZ38" i="110"/>
  <c r="EY38" i="110"/>
  <c r="EX38" i="110"/>
  <c r="EW38" i="110"/>
  <c r="EV38" i="110"/>
  <c r="EU38" i="110"/>
  <c r="ET38" i="110"/>
  <c r="ES38" i="110"/>
  <c r="ER38" i="110"/>
  <c r="EQ38" i="110"/>
  <c r="EP38" i="110"/>
  <c r="EO38" i="110"/>
  <c r="EN38" i="110"/>
  <c r="EM38" i="110"/>
  <c r="EL38" i="110"/>
  <c r="EK38" i="110"/>
  <c r="EJ38" i="110"/>
  <c r="EI38" i="110"/>
  <c r="EH38" i="110"/>
  <c r="EG38" i="110"/>
  <c r="EF38" i="110"/>
  <c r="EE38" i="110"/>
  <c r="ED38" i="110"/>
  <c r="FL37" i="110"/>
  <c r="FK37" i="110"/>
  <c r="FJ37" i="110"/>
  <c r="FI37" i="110"/>
  <c r="FH37" i="110"/>
  <c r="FG37" i="110"/>
  <c r="FF37" i="110"/>
  <c r="FE37" i="110"/>
  <c r="FD37" i="110"/>
  <c r="FC37" i="110"/>
  <c r="FB37" i="110"/>
  <c r="FA37" i="110"/>
  <c r="EZ37" i="110"/>
  <c r="EY37" i="110"/>
  <c r="EX37" i="110"/>
  <c r="EW37" i="110"/>
  <c r="EV37" i="110"/>
  <c r="EU37" i="110"/>
  <c r="ET37" i="110"/>
  <c r="ES37" i="110"/>
  <c r="ER37" i="110"/>
  <c r="EQ37" i="110"/>
  <c r="EP37" i="110"/>
  <c r="EO37" i="110"/>
  <c r="EN37" i="110"/>
  <c r="EM37" i="110"/>
  <c r="EL37" i="110"/>
  <c r="EK37" i="110"/>
  <c r="EJ37" i="110"/>
  <c r="EI37" i="110"/>
  <c r="EH37" i="110"/>
  <c r="EG37" i="110"/>
  <c r="EF37" i="110"/>
  <c r="EE37" i="110"/>
  <c r="ED37" i="110"/>
  <c r="FL36" i="110"/>
  <c r="FK36" i="110"/>
  <c r="FJ36" i="110"/>
  <c r="FI36" i="110"/>
  <c r="FH36" i="110"/>
  <c r="FG36" i="110"/>
  <c r="FF36" i="110"/>
  <c r="FE36" i="110"/>
  <c r="FD36" i="110"/>
  <c r="FC36" i="110"/>
  <c r="FB36" i="110"/>
  <c r="FA36" i="110"/>
  <c r="EZ36" i="110"/>
  <c r="EY36" i="110"/>
  <c r="EX36" i="110"/>
  <c r="EW36" i="110"/>
  <c r="EV36" i="110"/>
  <c r="EU36" i="110"/>
  <c r="ET36" i="110"/>
  <c r="ES36" i="110"/>
  <c r="ER36" i="110"/>
  <c r="EQ36" i="110"/>
  <c r="EP36" i="110"/>
  <c r="EO36" i="110"/>
  <c r="EN36" i="110"/>
  <c r="EM36" i="110"/>
  <c r="EL36" i="110"/>
  <c r="EK36" i="110"/>
  <c r="EJ36" i="110"/>
  <c r="EI36" i="110"/>
  <c r="EH36" i="110"/>
  <c r="EG36" i="110"/>
  <c r="EF36" i="110"/>
  <c r="EE36" i="110"/>
  <c r="ED36" i="110"/>
  <c r="FL35" i="110"/>
  <c r="FK35" i="110"/>
  <c r="FJ35" i="110"/>
  <c r="FI35" i="110"/>
  <c r="FH35" i="110"/>
  <c r="FG35" i="110"/>
  <c r="FF35" i="110"/>
  <c r="FE35" i="110"/>
  <c r="FD35" i="110"/>
  <c r="FC35" i="110"/>
  <c r="FB35" i="110"/>
  <c r="FA35" i="110"/>
  <c r="EZ35" i="110"/>
  <c r="EY35" i="110"/>
  <c r="EX35" i="110"/>
  <c r="EW35" i="110"/>
  <c r="EV35" i="110"/>
  <c r="EU35" i="110"/>
  <c r="ET35" i="110"/>
  <c r="ES35" i="110"/>
  <c r="ER35" i="110"/>
  <c r="EQ35" i="110"/>
  <c r="EP35" i="110"/>
  <c r="EO35" i="110"/>
  <c r="EN35" i="110"/>
  <c r="EM35" i="110"/>
  <c r="EL35" i="110"/>
  <c r="EK35" i="110"/>
  <c r="EJ35" i="110"/>
  <c r="EI35" i="110"/>
  <c r="EH35" i="110"/>
  <c r="EG35" i="110"/>
  <c r="EF35" i="110"/>
  <c r="EE35" i="110"/>
  <c r="ED35" i="110"/>
  <c r="FL34" i="110"/>
  <c r="FK34" i="110"/>
  <c r="FJ34" i="110"/>
  <c r="FI34" i="110"/>
  <c r="FH34" i="110"/>
  <c r="FG34" i="110"/>
  <c r="FF34" i="110"/>
  <c r="FE34" i="110"/>
  <c r="FD34" i="110"/>
  <c r="FC34" i="110"/>
  <c r="FB34" i="110"/>
  <c r="FA34" i="110"/>
  <c r="EZ34" i="110"/>
  <c r="EY34" i="110"/>
  <c r="EX34" i="110"/>
  <c r="EW34" i="110"/>
  <c r="EV34" i="110"/>
  <c r="EU34" i="110"/>
  <c r="ET34" i="110"/>
  <c r="ES34" i="110"/>
  <c r="ER34" i="110"/>
  <c r="EQ34" i="110"/>
  <c r="EP34" i="110"/>
  <c r="EO34" i="110"/>
  <c r="EN34" i="110"/>
  <c r="EM34" i="110"/>
  <c r="EL34" i="110"/>
  <c r="EK34" i="110"/>
  <c r="EJ34" i="110"/>
  <c r="EI34" i="110"/>
  <c r="EH34" i="110"/>
  <c r="EG34" i="110"/>
  <c r="EF34" i="110"/>
  <c r="EE34" i="110"/>
  <c r="ED34" i="110"/>
  <c r="FL33" i="110"/>
  <c r="FK33" i="110"/>
  <c r="FJ33" i="110"/>
  <c r="FI33" i="110"/>
  <c r="FH33" i="110"/>
  <c r="FG33" i="110"/>
  <c r="FF33" i="110"/>
  <c r="FE33" i="110"/>
  <c r="FD33" i="110"/>
  <c r="FC33" i="110"/>
  <c r="FB33" i="110"/>
  <c r="FA33" i="110"/>
  <c r="EZ33" i="110"/>
  <c r="EY33" i="110"/>
  <c r="EX33" i="110"/>
  <c r="EW33" i="110"/>
  <c r="EV33" i="110"/>
  <c r="EU33" i="110"/>
  <c r="ET33" i="110"/>
  <c r="ES33" i="110"/>
  <c r="ER33" i="110"/>
  <c r="EQ33" i="110"/>
  <c r="EP33" i="110"/>
  <c r="EO33" i="110"/>
  <c r="EN33" i="110"/>
  <c r="EM33" i="110"/>
  <c r="EL33" i="110"/>
  <c r="EK33" i="110"/>
  <c r="EJ33" i="110"/>
  <c r="EI33" i="110"/>
  <c r="EH33" i="110"/>
  <c r="EG33" i="110"/>
  <c r="EF33" i="110"/>
  <c r="EE33" i="110"/>
  <c r="ED33" i="110"/>
  <c r="FL32" i="110"/>
  <c r="FK32" i="110"/>
  <c r="FJ32" i="110"/>
  <c r="FI32" i="110"/>
  <c r="FH32" i="110"/>
  <c r="FG32" i="110"/>
  <c r="FF32" i="110"/>
  <c r="FE32" i="110"/>
  <c r="FD32" i="110"/>
  <c r="FC32" i="110"/>
  <c r="FB32" i="110"/>
  <c r="FA32" i="110"/>
  <c r="EZ32" i="110"/>
  <c r="EY32" i="110"/>
  <c r="EX32" i="110"/>
  <c r="EW32" i="110"/>
  <c r="EV32" i="110"/>
  <c r="EU32" i="110"/>
  <c r="ET32" i="110"/>
  <c r="ES32" i="110"/>
  <c r="ER32" i="110"/>
  <c r="EQ32" i="110"/>
  <c r="EP32" i="110"/>
  <c r="EO32" i="110"/>
  <c r="EN32" i="110"/>
  <c r="EM32" i="110"/>
  <c r="EL32" i="110"/>
  <c r="EK32" i="110"/>
  <c r="EJ32" i="110"/>
  <c r="EI32" i="110"/>
  <c r="EH32" i="110"/>
  <c r="EG32" i="110"/>
  <c r="EF32" i="110"/>
  <c r="EE32" i="110"/>
  <c r="ED32" i="110"/>
  <c r="FL31" i="110"/>
  <c r="FK31" i="110"/>
  <c r="FJ31" i="110"/>
  <c r="FI31" i="110"/>
  <c r="FH31" i="110"/>
  <c r="FG31" i="110"/>
  <c r="FF31" i="110"/>
  <c r="FE31" i="110"/>
  <c r="FD31" i="110"/>
  <c r="FC31" i="110"/>
  <c r="FB31" i="110"/>
  <c r="FA31" i="110"/>
  <c r="EZ31" i="110"/>
  <c r="EY31" i="110"/>
  <c r="EX31" i="110"/>
  <c r="EW31" i="110"/>
  <c r="EV31" i="110"/>
  <c r="EU31" i="110"/>
  <c r="ET31" i="110"/>
  <c r="ES31" i="110"/>
  <c r="ER31" i="110"/>
  <c r="EQ31" i="110"/>
  <c r="EP31" i="110"/>
  <c r="EO31" i="110"/>
  <c r="EN31" i="110"/>
  <c r="EM31" i="110"/>
  <c r="EL31" i="110"/>
  <c r="EK31" i="110"/>
  <c r="EJ31" i="110"/>
  <c r="EI31" i="110"/>
  <c r="EH31" i="110"/>
  <c r="EG31" i="110"/>
  <c r="EF31" i="110"/>
  <c r="EE31" i="110"/>
  <c r="ED31" i="110"/>
  <c r="FL30" i="110"/>
  <c r="FK30" i="110"/>
  <c r="FJ30" i="110"/>
  <c r="FI30" i="110"/>
  <c r="FH30" i="110"/>
  <c r="FG30" i="110"/>
  <c r="FF30" i="110"/>
  <c r="FE30" i="110"/>
  <c r="FD30" i="110"/>
  <c r="FC30" i="110"/>
  <c r="FB30" i="110"/>
  <c r="FA30" i="110"/>
  <c r="EZ30" i="110"/>
  <c r="EY30" i="110"/>
  <c r="EX30" i="110"/>
  <c r="EW30" i="110"/>
  <c r="EV30" i="110"/>
  <c r="EU30" i="110"/>
  <c r="ET30" i="110"/>
  <c r="ES30" i="110"/>
  <c r="ER30" i="110"/>
  <c r="EQ30" i="110"/>
  <c r="EP30" i="110"/>
  <c r="EO30" i="110"/>
  <c r="EN30" i="110"/>
  <c r="EM30" i="110"/>
  <c r="EL30" i="110"/>
  <c r="EK30" i="110"/>
  <c r="EJ30" i="110"/>
  <c r="EI30" i="110"/>
  <c r="EH30" i="110"/>
  <c r="EG30" i="110"/>
  <c r="EF30" i="110"/>
  <c r="EE30" i="110"/>
  <c r="ED30" i="110"/>
  <c r="FL29" i="110"/>
  <c r="FK29" i="110"/>
  <c r="FJ29" i="110"/>
  <c r="FI29" i="110"/>
  <c r="FH29" i="110"/>
  <c r="FG29" i="110"/>
  <c r="FF29" i="110"/>
  <c r="FE29" i="110"/>
  <c r="FD29" i="110"/>
  <c r="FC29" i="110"/>
  <c r="FB29" i="110"/>
  <c r="FA29" i="110"/>
  <c r="EZ29" i="110"/>
  <c r="EY29" i="110"/>
  <c r="EX29" i="110"/>
  <c r="EW29" i="110"/>
  <c r="EV29" i="110"/>
  <c r="EU29" i="110"/>
  <c r="ET29" i="110"/>
  <c r="ES29" i="110"/>
  <c r="ER29" i="110"/>
  <c r="EQ29" i="110"/>
  <c r="EP29" i="110"/>
  <c r="EO29" i="110"/>
  <c r="EN29" i="110"/>
  <c r="EM29" i="110"/>
  <c r="EL29" i="110"/>
  <c r="EK29" i="110"/>
  <c r="EJ29" i="110"/>
  <c r="EI29" i="110"/>
  <c r="EH29" i="110"/>
  <c r="EG29" i="110"/>
  <c r="EF29" i="110"/>
  <c r="EE29" i="110"/>
  <c r="ED29" i="110"/>
  <c r="FL28" i="110"/>
  <c r="FK28" i="110"/>
  <c r="FJ28" i="110"/>
  <c r="FI28" i="110"/>
  <c r="FH28" i="110"/>
  <c r="FG28" i="110"/>
  <c r="FF28" i="110"/>
  <c r="FE28" i="110"/>
  <c r="FD28" i="110"/>
  <c r="FC28" i="110"/>
  <c r="FB28" i="110"/>
  <c r="FA28" i="110"/>
  <c r="EZ28" i="110"/>
  <c r="EY28" i="110"/>
  <c r="EX28" i="110"/>
  <c r="EW28" i="110"/>
  <c r="EV28" i="110"/>
  <c r="EU28" i="110"/>
  <c r="ET28" i="110"/>
  <c r="ES28" i="110"/>
  <c r="ER28" i="110"/>
  <c r="EQ28" i="110"/>
  <c r="EP28" i="110"/>
  <c r="EO28" i="110"/>
  <c r="EN28" i="110"/>
  <c r="EM28" i="110"/>
  <c r="EL28" i="110"/>
  <c r="EK28" i="110"/>
  <c r="EJ28" i="110"/>
  <c r="EI28" i="110"/>
  <c r="EH28" i="110"/>
  <c r="EG28" i="110"/>
  <c r="EF28" i="110"/>
  <c r="EE28" i="110"/>
  <c r="ED28" i="110"/>
  <c r="FL27" i="110"/>
  <c r="FK27" i="110"/>
  <c r="FJ27" i="110"/>
  <c r="FI27" i="110"/>
  <c r="FH27" i="110"/>
  <c r="FG27" i="110"/>
  <c r="FF27" i="110"/>
  <c r="FE27" i="110"/>
  <c r="FD27" i="110"/>
  <c r="FC27" i="110"/>
  <c r="FB27" i="110"/>
  <c r="FA27" i="110"/>
  <c r="EZ27" i="110"/>
  <c r="EY27" i="110"/>
  <c r="EX27" i="110"/>
  <c r="EW27" i="110"/>
  <c r="EV27" i="110"/>
  <c r="EU27" i="110"/>
  <c r="ET27" i="110"/>
  <c r="ES27" i="110"/>
  <c r="ER27" i="110"/>
  <c r="EQ27" i="110"/>
  <c r="EP27" i="110"/>
  <c r="EO27" i="110"/>
  <c r="EN27" i="110"/>
  <c r="EM27" i="110"/>
  <c r="EL27" i="110"/>
  <c r="EK27" i="110"/>
  <c r="EJ27" i="110"/>
  <c r="EI27" i="110"/>
  <c r="EH27" i="110"/>
  <c r="EG27" i="110"/>
  <c r="EF27" i="110"/>
  <c r="EE27" i="110"/>
  <c r="ED27" i="110"/>
  <c r="FL26" i="110"/>
  <c r="FK26" i="110"/>
  <c r="FJ26" i="110"/>
  <c r="FI26" i="110"/>
  <c r="FH26" i="110"/>
  <c r="FG26" i="110"/>
  <c r="FF26" i="110"/>
  <c r="FE26" i="110"/>
  <c r="FD26" i="110"/>
  <c r="FC26" i="110"/>
  <c r="FB26" i="110"/>
  <c r="FA26" i="110"/>
  <c r="EZ26" i="110"/>
  <c r="EY26" i="110"/>
  <c r="EX26" i="110"/>
  <c r="EW26" i="110"/>
  <c r="EV26" i="110"/>
  <c r="EU26" i="110"/>
  <c r="ET26" i="110"/>
  <c r="ES26" i="110"/>
  <c r="ER26" i="110"/>
  <c r="EQ26" i="110"/>
  <c r="EP26" i="110"/>
  <c r="EO26" i="110"/>
  <c r="EN26" i="110"/>
  <c r="EM26" i="110"/>
  <c r="EL26" i="110"/>
  <c r="EK26" i="110"/>
  <c r="EJ26" i="110"/>
  <c r="EI26" i="110"/>
  <c r="EH26" i="110"/>
  <c r="EG26" i="110"/>
  <c r="EF26" i="110"/>
  <c r="EE26" i="110"/>
  <c r="ED26" i="110"/>
  <c r="FL25" i="110"/>
  <c r="FK25" i="110"/>
  <c r="FJ25" i="110"/>
  <c r="FI25" i="110"/>
  <c r="FH25" i="110"/>
  <c r="FG25" i="110"/>
  <c r="FF25" i="110"/>
  <c r="FE25" i="110"/>
  <c r="FD25" i="110"/>
  <c r="FC25" i="110"/>
  <c r="FB25" i="110"/>
  <c r="FA25" i="110"/>
  <c r="EZ25" i="110"/>
  <c r="EY25" i="110"/>
  <c r="EX25" i="110"/>
  <c r="EW25" i="110"/>
  <c r="EV25" i="110"/>
  <c r="EU25" i="110"/>
  <c r="ET25" i="110"/>
  <c r="ES25" i="110"/>
  <c r="ER25" i="110"/>
  <c r="EQ25" i="110"/>
  <c r="EP25" i="110"/>
  <c r="EO25" i="110"/>
  <c r="EN25" i="110"/>
  <c r="EM25" i="110"/>
  <c r="EL25" i="110"/>
  <c r="EK25" i="110"/>
  <c r="EJ25" i="110"/>
  <c r="EI25" i="110"/>
  <c r="EH25" i="110"/>
  <c r="EG25" i="110"/>
  <c r="EF25" i="110"/>
  <c r="EE25" i="110"/>
  <c r="ED25" i="110"/>
  <c r="FL24" i="110"/>
  <c r="FK24" i="110"/>
  <c r="FJ24" i="110"/>
  <c r="FI24" i="110"/>
  <c r="FH24" i="110"/>
  <c r="FG24" i="110"/>
  <c r="FF24" i="110"/>
  <c r="FE24" i="110"/>
  <c r="FD24" i="110"/>
  <c r="FC24" i="110"/>
  <c r="FB24" i="110"/>
  <c r="FA24" i="110"/>
  <c r="EZ24" i="110"/>
  <c r="EY24" i="110"/>
  <c r="EX24" i="110"/>
  <c r="EW24" i="110"/>
  <c r="EV24" i="110"/>
  <c r="EU24" i="110"/>
  <c r="ET24" i="110"/>
  <c r="ES24" i="110"/>
  <c r="ER24" i="110"/>
  <c r="EQ24" i="110"/>
  <c r="EP24" i="110"/>
  <c r="EO24" i="110"/>
  <c r="EN24" i="110"/>
  <c r="EM24" i="110"/>
  <c r="EL24" i="110"/>
  <c r="EK24" i="110"/>
  <c r="EJ24" i="110"/>
  <c r="EI24" i="110"/>
  <c r="EH24" i="110"/>
  <c r="EG24" i="110"/>
  <c r="EF24" i="110"/>
  <c r="EE24" i="110"/>
  <c r="ED24" i="110"/>
  <c r="FL23" i="110"/>
  <c r="FK23" i="110"/>
  <c r="FJ23" i="110"/>
  <c r="FI23" i="110"/>
  <c r="FH23" i="110"/>
  <c r="FG23" i="110"/>
  <c r="FF23" i="110"/>
  <c r="FE23" i="110"/>
  <c r="FD23" i="110"/>
  <c r="FC23" i="110"/>
  <c r="FB23" i="110"/>
  <c r="FA23" i="110"/>
  <c r="EZ23" i="110"/>
  <c r="EY23" i="110"/>
  <c r="EX23" i="110"/>
  <c r="EW23" i="110"/>
  <c r="EV23" i="110"/>
  <c r="EU23" i="110"/>
  <c r="ET23" i="110"/>
  <c r="ES23" i="110"/>
  <c r="ER23" i="110"/>
  <c r="EQ23" i="110"/>
  <c r="EP23" i="110"/>
  <c r="EO23" i="110"/>
  <c r="EN23" i="110"/>
  <c r="EM23" i="110"/>
  <c r="EL23" i="110"/>
  <c r="EK23" i="110"/>
  <c r="EJ23" i="110"/>
  <c r="EI23" i="110"/>
  <c r="EH23" i="110"/>
  <c r="EG23" i="110"/>
  <c r="EF23" i="110"/>
  <c r="EE23" i="110"/>
  <c r="ED23" i="110"/>
  <c r="FL22" i="110"/>
  <c r="FK22" i="110"/>
  <c r="FJ22" i="110"/>
  <c r="FI22" i="110"/>
  <c r="FH22" i="110"/>
  <c r="FG22" i="110"/>
  <c r="FF22" i="110"/>
  <c r="FE22" i="110"/>
  <c r="FD22" i="110"/>
  <c r="FC22" i="110"/>
  <c r="FB22" i="110"/>
  <c r="FA22" i="110"/>
  <c r="EZ22" i="110"/>
  <c r="EY22" i="110"/>
  <c r="EX22" i="110"/>
  <c r="EW22" i="110"/>
  <c r="EV22" i="110"/>
  <c r="EU22" i="110"/>
  <c r="ET22" i="110"/>
  <c r="ES22" i="110"/>
  <c r="ER22" i="110"/>
  <c r="EQ22" i="110"/>
  <c r="EP22" i="110"/>
  <c r="EO22" i="110"/>
  <c r="EN22" i="110"/>
  <c r="EM22" i="110"/>
  <c r="EL22" i="110"/>
  <c r="EK22" i="110"/>
  <c r="EJ22" i="110"/>
  <c r="EI22" i="110"/>
  <c r="EH22" i="110"/>
  <c r="EG22" i="110"/>
  <c r="EF22" i="110"/>
  <c r="EE22" i="110"/>
  <c r="ED22" i="110"/>
  <c r="FL21" i="110"/>
  <c r="FK21" i="110"/>
  <c r="FJ21" i="110"/>
  <c r="FI21" i="110"/>
  <c r="FH21" i="110"/>
  <c r="FG21" i="110"/>
  <c r="FF21" i="110"/>
  <c r="FE21" i="110"/>
  <c r="FD21" i="110"/>
  <c r="FC21" i="110"/>
  <c r="FB21" i="110"/>
  <c r="FA21" i="110"/>
  <c r="EZ21" i="110"/>
  <c r="EY21" i="110"/>
  <c r="EX21" i="110"/>
  <c r="EW21" i="110"/>
  <c r="EV21" i="110"/>
  <c r="EU21" i="110"/>
  <c r="ET21" i="110"/>
  <c r="ES21" i="110"/>
  <c r="ER21" i="110"/>
  <c r="EQ21" i="110"/>
  <c r="EP21" i="110"/>
  <c r="EO21" i="110"/>
  <c r="EN21" i="110"/>
  <c r="EM21" i="110"/>
  <c r="EL21" i="110"/>
  <c r="EK21" i="110"/>
  <c r="EJ21" i="110"/>
  <c r="EI21" i="110"/>
  <c r="EH21" i="110"/>
  <c r="EG21" i="110"/>
  <c r="EF21" i="110"/>
  <c r="EE21" i="110"/>
  <c r="ED21" i="110"/>
  <c r="FL20" i="110"/>
  <c r="FK20" i="110"/>
  <c r="FJ20" i="110"/>
  <c r="FI20" i="110"/>
  <c r="FH20" i="110"/>
  <c r="FG20" i="110"/>
  <c r="FF20" i="110"/>
  <c r="FE20" i="110"/>
  <c r="FD20" i="110"/>
  <c r="FC20" i="110"/>
  <c r="FB20" i="110"/>
  <c r="FA20" i="110"/>
  <c r="EZ20" i="110"/>
  <c r="EY20" i="110"/>
  <c r="EX20" i="110"/>
  <c r="EW20" i="110"/>
  <c r="EV20" i="110"/>
  <c r="EU20" i="110"/>
  <c r="ET20" i="110"/>
  <c r="ES20" i="110"/>
  <c r="ER20" i="110"/>
  <c r="EQ20" i="110"/>
  <c r="EP20" i="110"/>
  <c r="EO20" i="110"/>
  <c r="EN20" i="110"/>
  <c r="EM20" i="110"/>
  <c r="EL20" i="110"/>
  <c r="EK20" i="110"/>
  <c r="EJ20" i="110"/>
  <c r="EI20" i="110"/>
  <c r="EH20" i="110"/>
  <c r="EG20" i="110"/>
  <c r="EF20" i="110"/>
  <c r="EE20" i="110"/>
  <c r="ED20" i="110"/>
  <c r="FL19" i="110"/>
  <c r="FK19" i="110"/>
  <c r="FJ19" i="110"/>
  <c r="FI19" i="110"/>
  <c r="FH19" i="110"/>
  <c r="FG19" i="110"/>
  <c r="FF19" i="110"/>
  <c r="FE19" i="110"/>
  <c r="FD19" i="110"/>
  <c r="FC19" i="110"/>
  <c r="FB19" i="110"/>
  <c r="FA19" i="110"/>
  <c r="EZ19" i="110"/>
  <c r="EY19" i="110"/>
  <c r="EX19" i="110"/>
  <c r="EW19" i="110"/>
  <c r="EV19" i="110"/>
  <c r="EU19" i="110"/>
  <c r="ET19" i="110"/>
  <c r="ES19" i="110"/>
  <c r="ER19" i="110"/>
  <c r="EQ19" i="110"/>
  <c r="EP19" i="110"/>
  <c r="EO19" i="110"/>
  <c r="EN19" i="110"/>
  <c r="EM19" i="110"/>
  <c r="EL19" i="110"/>
  <c r="EK19" i="110"/>
  <c r="EJ19" i="110"/>
  <c r="EI19" i="110"/>
  <c r="EH19" i="110"/>
  <c r="EG19" i="110"/>
  <c r="EF19" i="110"/>
  <c r="EE19" i="110"/>
  <c r="ED19" i="110"/>
  <c r="FL18" i="110"/>
  <c r="FK18" i="110"/>
  <c r="FJ18" i="110"/>
  <c r="FI18" i="110"/>
  <c r="FH18" i="110"/>
  <c r="FG18" i="110"/>
  <c r="FF18" i="110"/>
  <c r="FE18" i="110"/>
  <c r="FD18" i="110"/>
  <c r="FC18" i="110"/>
  <c r="FB18" i="110"/>
  <c r="FA18" i="110"/>
  <c r="EZ18" i="110"/>
  <c r="EY18" i="110"/>
  <c r="EX18" i="110"/>
  <c r="EW18" i="110"/>
  <c r="EV18" i="110"/>
  <c r="EU18" i="110"/>
  <c r="ET18" i="110"/>
  <c r="ES18" i="110"/>
  <c r="ER18" i="110"/>
  <c r="EQ18" i="110"/>
  <c r="EP18" i="110"/>
  <c r="EO18" i="110"/>
  <c r="EN18" i="110"/>
  <c r="EM18" i="110"/>
  <c r="EL18" i="110"/>
  <c r="EK18" i="110"/>
  <c r="EJ18" i="110"/>
  <c r="EI18" i="110"/>
  <c r="EH18" i="110"/>
  <c r="EG18" i="110"/>
  <c r="EF18" i="110"/>
  <c r="EE18" i="110"/>
  <c r="ED18" i="110"/>
  <c r="FL17" i="110"/>
  <c r="FK17" i="110"/>
  <c r="FJ17" i="110"/>
  <c r="FI17" i="110"/>
  <c r="FH17" i="110"/>
  <c r="FG17" i="110"/>
  <c r="FF17" i="110"/>
  <c r="FE17" i="110"/>
  <c r="FD17" i="110"/>
  <c r="FC17" i="110"/>
  <c r="FB17" i="110"/>
  <c r="FA17" i="110"/>
  <c r="EZ17" i="110"/>
  <c r="EY17" i="110"/>
  <c r="EX17" i="110"/>
  <c r="EW17" i="110"/>
  <c r="EV17" i="110"/>
  <c r="EU17" i="110"/>
  <c r="ET17" i="110"/>
  <c r="ES17" i="110"/>
  <c r="ER17" i="110"/>
  <c r="EQ17" i="110"/>
  <c r="EP17" i="110"/>
  <c r="EO17" i="110"/>
  <c r="EN17" i="110"/>
  <c r="EM17" i="110"/>
  <c r="EL17" i="110"/>
  <c r="EK17" i="110"/>
  <c r="EJ17" i="110"/>
  <c r="EI17" i="110"/>
  <c r="EH17" i="110"/>
  <c r="EG17" i="110"/>
  <c r="EF17" i="110"/>
  <c r="EE17" i="110"/>
  <c r="ED17" i="110"/>
  <c r="FL16" i="110"/>
  <c r="FK16" i="110"/>
  <c r="FJ16" i="110"/>
  <c r="FI16" i="110"/>
  <c r="FH16" i="110"/>
  <c r="FG16" i="110"/>
  <c r="FF16" i="110"/>
  <c r="FE16" i="110"/>
  <c r="FD16" i="110"/>
  <c r="FC16" i="110"/>
  <c r="FB16" i="110"/>
  <c r="FA16" i="110"/>
  <c r="EZ16" i="110"/>
  <c r="EY16" i="110"/>
  <c r="EX16" i="110"/>
  <c r="EW16" i="110"/>
  <c r="EV16" i="110"/>
  <c r="EU16" i="110"/>
  <c r="ET16" i="110"/>
  <c r="ES16" i="110"/>
  <c r="ER16" i="110"/>
  <c r="EQ16" i="110"/>
  <c r="EP16" i="110"/>
  <c r="EO16" i="110"/>
  <c r="EN16" i="110"/>
  <c r="EM16" i="110"/>
  <c r="EL16" i="110"/>
  <c r="EK16" i="110"/>
  <c r="EJ16" i="110"/>
  <c r="EI16" i="110"/>
  <c r="EH16" i="110"/>
  <c r="EG16" i="110"/>
  <c r="EF16" i="110"/>
  <c r="EE16" i="110"/>
  <c r="ED16" i="110"/>
  <c r="FL15" i="110"/>
  <c r="FK15" i="110"/>
  <c r="FJ15" i="110"/>
  <c r="FI15" i="110"/>
  <c r="FH15" i="110"/>
  <c r="FG15" i="110"/>
  <c r="FF15" i="110"/>
  <c r="FE15" i="110"/>
  <c r="FD15" i="110"/>
  <c r="FC15" i="110"/>
  <c r="FB15" i="110"/>
  <c r="FA15" i="110"/>
  <c r="EZ15" i="110"/>
  <c r="EY15" i="110"/>
  <c r="EX15" i="110"/>
  <c r="EW15" i="110"/>
  <c r="EV15" i="110"/>
  <c r="EU15" i="110"/>
  <c r="ET15" i="110"/>
  <c r="ES15" i="110"/>
  <c r="ER15" i="110"/>
  <c r="EQ15" i="110"/>
  <c r="EP15" i="110"/>
  <c r="EO15" i="110"/>
  <c r="EN15" i="110"/>
  <c r="EM15" i="110"/>
  <c r="EL15" i="110"/>
  <c r="EK15" i="110"/>
  <c r="EJ15" i="110"/>
  <c r="EI15" i="110"/>
  <c r="EH15" i="110"/>
  <c r="EG15" i="110"/>
  <c r="EF15" i="110"/>
  <c r="EE15" i="110"/>
  <c r="ED15" i="110"/>
  <c r="FL14" i="110"/>
  <c r="FK14" i="110"/>
  <c r="FJ14" i="110"/>
  <c r="FI14" i="110"/>
  <c r="FH14" i="110"/>
  <c r="FG14" i="110"/>
  <c r="FF14" i="110"/>
  <c r="FE14" i="110"/>
  <c r="FD14" i="110"/>
  <c r="FC14" i="110"/>
  <c r="FB14" i="110"/>
  <c r="FA14" i="110"/>
  <c r="EZ14" i="110"/>
  <c r="EY14" i="110"/>
  <c r="EX14" i="110"/>
  <c r="EW14" i="110"/>
  <c r="EV14" i="110"/>
  <c r="EU14" i="110"/>
  <c r="ET14" i="110"/>
  <c r="ES14" i="110"/>
  <c r="ER14" i="110"/>
  <c r="EQ14" i="110"/>
  <c r="EP14" i="110"/>
  <c r="EO14" i="110"/>
  <c r="EN14" i="110"/>
  <c r="EM14" i="110"/>
  <c r="EL14" i="110"/>
  <c r="EK14" i="110"/>
  <c r="EJ14" i="110"/>
  <c r="EI14" i="110"/>
  <c r="EH14" i="110"/>
  <c r="EG14" i="110"/>
  <c r="EF14" i="110"/>
  <c r="EE14" i="110"/>
  <c r="ED14" i="110"/>
  <c r="FL13" i="110"/>
  <c r="FK13" i="110"/>
  <c r="FJ13" i="110"/>
  <c r="FI13" i="110"/>
  <c r="FH13" i="110"/>
  <c r="FG13" i="110"/>
  <c r="FF13" i="110"/>
  <c r="FE13" i="110"/>
  <c r="FD13" i="110"/>
  <c r="FC13" i="110"/>
  <c r="FB13" i="110"/>
  <c r="FA13" i="110"/>
  <c r="EZ13" i="110"/>
  <c r="EY13" i="110"/>
  <c r="EX13" i="110"/>
  <c r="EW13" i="110"/>
  <c r="EV13" i="110"/>
  <c r="EU13" i="110"/>
  <c r="ET13" i="110"/>
  <c r="ES13" i="110"/>
  <c r="ER13" i="110"/>
  <c r="EQ13" i="110"/>
  <c r="EP13" i="110"/>
  <c r="EO13" i="110"/>
  <c r="EN13" i="110"/>
  <c r="EM13" i="110"/>
  <c r="EL13" i="110"/>
  <c r="EK13" i="110"/>
  <c r="EJ13" i="110"/>
  <c r="EI13" i="110"/>
  <c r="EH13" i="110"/>
  <c r="EG13" i="110"/>
  <c r="EF13" i="110"/>
  <c r="EE13" i="110"/>
  <c r="ED13" i="110"/>
  <c r="FL12" i="110"/>
  <c r="FK12" i="110"/>
  <c r="FJ12" i="110"/>
  <c r="FI12" i="110"/>
  <c r="FH12" i="110"/>
  <c r="FG12" i="110"/>
  <c r="FF12" i="110"/>
  <c r="FE12" i="110"/>
  <c r="FD12" i="110"/>
  <c r="FC12" i="110"/>
  <c r="FB12" i="110"/>
  <c r="FA12" i="110"/>
  <c r="EZ12" i="110"/>
  <c r="EY12" i="110"/>
  <c r="EX12" i="110"/>
  <c r="EW12" i="110"/>
  <c r="EV12" i="110"/>
  <c r="EU12" i="110"/>
  <c r="ET12" i="110"/>
  <c r="ES12" i="110"/>
  <c r="ER12" i="110"/>
  <c r="EQ12" i="110"/>
  <c r="EP12" i="110"/>
  <c r="EO12" i="110"/>
  <c r="EN12" i="110"/>
  <c r="EM12" i="110"/>
  <c r="EL12" i="110"/>
  <c r="EK12" i="110"/>
  <c r="EJ12" i="110"/>
  <c r="EI12" i="110"/>
  <c r="EH12" i="110"/>
  <c r="EG12" i="110"/>
  <c r="EF12" i="110"/>
  <c r="EE12" i="110"/>
  <c r="ED12" i="110"/>
  <c r="FL11" i="110"/>
  <c r="FK11" i="110"/>
  <c r="FJ11" i="110"/>
  <c r="FI11" i="110"/>
  <c r="FH11" i="110"/>
  <c r="FG11" i="110"/>
  <c r="FF11" i="110"/>
  <c r="FE11" i="110"/>
  <c r="FD11" i="110"/>
  <c r="FC11" i="110"/>
  <c r="FB11" i="110"/>
  <c r="FA11" i="110"/>
  <c r="EZ11" i="110"/>
  <c r="EY11" i="110"/>
  <c r="EX11" i="110"/>
  <c r="EW11" i="110"/>
  <c r="EV11" i="110"/>
  <c r="EU11" i="110"/>
  <c r="ET11" i="110"/>
  <c r="ES11" i="110"/>
  <c r="ER11" i="110"/>
  <c r="EQ11" i="110"/>
  <c r="EP11" i="110"/>
  <c r="EO11" i="110"/>
  <c r="EN11" i="110"/>
  <c r="EM11" i="110"/>
  <c r="EL11" i="110"/>
  <c r="EK11" i="110"/>
  <c r="EJ11" i="110"/>
  <c r="EI11" i="110"/>
  <c r="EH11" i="110"/>
  <c r="EG11" i="110"/>
  <c r="EF11" i="110"/>
  <c r="EE11" i="110"/>
  <c r="ED11" i="110"/>
  <c r="OC48" i="110"/>
  <c r="OB48" i="110"/>
  <c r="OA48" i="110"/>
  <c r="NZ48" i="110"/>
  <c r="NY48" i="110"/>
  <c r="NX48" i="110"/>
  <c r="NW48" i="110"/>
  <c r="NV48" i="110"/>
  <c r="NU48" i="110"/>
  <c r="NT48" i="110"/>
  <c r="NS48" i="110"/>
  <c r="NR48" i="110"/>
  <c r="NQ48" i="110"/>
  <c r="NP48" i="110"/>
  <c r="NO48" i="110"/>
  <c r="NN48" i="110"/>
  <c r="NM48" i="110"/>
  <c r="NL48" i="110"/>
  <c r="NK48" i="110"/>
  <c r="NJ48" i="110"/>
  <c r="NI48" i="110"/>
  <c r="NH48" i="110"/>
  <c r="NG48" i="110"/>
  <c r="NF48" i="110"/>
  <c r="NE48" i="110"/>
  <c r="ND48" i="110"/>
  <c r="NC48" i="110"/>
  <c r="NB48" i="110"/>
  <c r="NA48" i="110"/>
  <c r="MZ48" i="110"/>
  <c r="MY48" i="110"/>
  <c r="MX48" i="110"/>
  <c r="MW48" i="110"/>
  <c r="MV48" i="110"/>
  <c r="MU48" i="110"/>
  <c r="MT48" i="110"/>
  <c r="MS48" i="110"/>
  <c r="MR48" i="110"/>
  <c r="MQ48" i="110"/>
  <c r="MP48" i="110"/>
  <c r="MO48" i="110"/>
  <c r="MN48" i="110"/>
  <c r="MM48" i="110"/>
  <c r="ML48" i="110"/>
  <c r="MK48" i="110"/>
  <c r="MJ48" i="110"/>
  <c r="MI48" i="110"/>
  <c r="MH48" i="110"/>
  <c r="MG48" i="110"/>
  <c r="MF48" i="110"/>
  <c r="ME48" i="110"/>
  <c r="MD48" i="110"/>
  <c r="MC48" i="110"/>
  <c r="MB48" i="110"/>
  <c r="MA48" i="110"/>
  <c r="LZ48" i="110"/>
  <c r="LY48" i="110"/>
  <c r="LX48" i="110"/>
  <c r="LW48" i="110"/>
  <c r="LV48" i="110"/>
  <c r="LU48" i="110"/>
  <c r="LT48" i="110"/>
  <c r="LS48" i="110"/>
  <c r="LR48" i="110"/>
  <c r="LQ48" i="110"/>
  <c r="LP48" i="110"/>
  <c r="LO48" i="110"/>
  <c r="LN48" i="110"/>
  <c r="LM48" i="110"/>
  <c r="LL48" i="110"/>
  <c r="LK48" i="110"/>
  <c r="LJ48" i="110"/>
  <c r="LI48" i="110"/>
  <c r="LH48" i="110"/>
  <c r="LG48" i="110"/>
  <c r="LF48" i="110"/>
  <c r="LE48" i="110"/>
  <c r="LD48" i="110"/>
  <c r="LC48" i="110"/>
  <c r="LB48" i="110"/>
  <c r="LA48" i="110"/>
  <c r="KZ48" i="110"/>
  <c r="KY48" i="110"/>
  <c r="KX48" i="110"/>
  <c r="KW48" i="110"/>
  <c r="KV48" i="110"/>
  <c r="KU48" i="110"/>
  <c r="KT48" i="110"/>
  <c r="KS48" i="110"/>
  <c r="KR48" i="110"/>
  <c r="KQ48" i="110"/>
  <c r="KP48" i="110"/>
  <c r="KO48" i="110"/>
  <c r="KN48" i="110"/>
  <c r="KM48" i="110"/>
  <c r="KL48" i="110"/>
  <c r="KK48" i="110"/>
  <c r="KJ48" i="110"/>
  <c r="KI48" i="110"/>
  <c r="KH48" i="110"/>
  <c r="KG48" i="110"/>
  <c r="KF48" i="110"/>
  <c r="KE48" i="110"/>
  <c r="KD48" i="110"/>
  <c r="KC48" i="110"/>
  <c r="KB48" i="110"/>
  <c r="KA48" i="110"/>
  <c r="JZ48" i="110"/>
  <c r="JY48" i="110"/>
  <c r="JX48" i="110"/>
  <c r="JW48" i="110"/>
  <c r="JV48" i="110"/>
  <c r="JU48" i="110"/>
  <c r="JT48" i="110"/>
  <c r="JS48" i="110"/>
  <c r="JR48" i="110"/>
  <c r="JQ48" i="110"/>
  <c r="JP48" i="110"/>
  <c r="JO48" i="110"/>
  <c r="JN48" i="110"/>
  <c r="JM48" i="110"/>
  <c r="JL48" i="110"/>
  <c r="JK48" i="110"/>
  <c r="JJ48" i="110"/>
  <c r="JI48" i="110"/>
  <c r="JH48" i="110"/>
  <c r="JG48" i="110"/>
  <c r="JF48" i="110"/>
  <c r="JE48" i="110"/>
  <c r="JD48" i="110"/>
  <c r="JC48" i="110"/>
  <c r="JB48" i="110"/>
  <c r="JA48" i="110"/>
  <c r="IZ48" i="110"/>
  <c r="IY48" i="110"/>
  <c r="IX48" i="110"/>
  <c r="IW48" i="110"/>
  <c r="IV48" i="110"/>
  <c r="IU48" i="110"/>
  <c r="IT48" i="110"/>
  <c r="IS48" i="110"/>
  <c r="IR48" i="110"/>
  <c r="IQ48" i="110"/>
  <c r="IP48" i="110"/>
  <c r="IO48" i="110"/>
  <c r="IN48" i="110"/>
  <c r="IM48" i="110"/>
  <c r="IL48" i="110"/>
  <c r="IK48" i="110"/>
  <c r="IJ48" i="110"/>
  <c r="II48" i="110"/>
  <c r="IH48" i="110"/>
  <c r="IG48" i="110"/>
  <c r="IF48" i="110"/>
  <c r="IE48" i="110"/>
  <c r="ID48" i="110"/>
  <c r="IC48" i="110"/>
  <c r="IB48" i="110"/>
  <c r="IA48" i="110"/>
  <c r="HZ48" i="110"/>
  <c r="HY48" i="110"/>
  <c r="HX48" i="110"/>
  <c r="HW48" i="110"/>
  <c r="HV48" i="110"/>
  <c r="HU48" i="110"/>
  <c r="HT48" i="110"/>
  <c r="HS48" i="110"/>
  <c r="HR48" i="110"/>
  <c r="HQ48" i="110"/>
  <c r="HP48" i="110"/>
  <c r="HO48" i="110"/>
  <c r="HN48" i="110"/>
  <c r="HM48" i="110"/>
  <c r="HL48" i="110"/>
  <c r="HK48" i="110"/>
  <c r="HJ48" i="110"/>
  <c r="HI48" i="110"/>
  <c r="HH48" i="110"/>
  <c r="HG48" i="110"/>
  <c r="HF48" i="110"/>
  <c r="HE48" i="110"/>
  <c r="HD48" i="110"/>
  <c r="HC48" i="110"/>
  <c r="HB48" i="110"/>
  <c r="HA48" i="110"/>
  <c r="GZ48" i="110"/>
  <c r="GY48" i="110"/>
  <c r="GX48" i="110"/>
  <c r="GW48" i="110"/>
  <c r="GV48" i="110"/>
  <c r="GU48" i="110"/>
  <c r="GT48" i="110"/>
  <c r="GS48" i="110"/>
  <c r="GR48" i="110"/>
  <c r="GQ48" i="110"/>
  <c r="GP48" i="110"/>
  <c r="GO48" i="110"/>
  <c r="GN48" i="110"/>
  <c r="GM48" i="110"/>
  <c r="GL48" i="110"/>
  <c r="GK48" i="110"/>
  <c r="GJ48" i="110"/>
  <c r="GI48" i="110"/>
  <c r="GH48" i="110"/>
  <c r="GG48" i="110"/>
  <c r="GF48" i="110"/>
  <c r="GE48" i="110"/>
  <c r="GD48" i="110"/>
  <c r="GC48" i="110"/>
  <c r="GB48" i="110"/>
  <c r="GA48" i="110"/>
  <c r="FZ48" i="110"/>
  <c r="FY48" i="110"/>
  <c r="FX48" i="110"/>
  <c r="FW48" i="110"/>
  <c r="FV48" i="110"/>
  <c r="FU48" i="110"/>
  <c r="FT48" i="110"/>
  <c r="FS48" i="110"/>
  <c r="FR48" i="110"/>
  <c r="FQ48" i="110"/>
  <c r="FP48" i="110"/>
  <c r="FO48" i="110"/>
  <c r="FN48" i="110"/>
  <c r="FM48" i="110"/>
  <c r="EC48" i="110"/>
  <c r="EB48" i="110"/>
  <c r="EA48" i="110"/>
  <c r="DZ48" i="110"/>
  <c r="DY48" i="110"/>
  <c r="DX48" i="110"/>
  <c r="DW48" i="110"/>
  <c r="DV48" i="110"/>
  <c r="DU48" i="110"/>
  <c r="DT48" i="110"/>
  <c r="DS48" i="110"/>
  <c r="DR48" i="110"/>
  <c r="DQ48" i="110"/>
  <c r="DP48" i="110"/>
  <c r="DO48" i="110"/>
  <c r="DN48" i="110"/>
  <c r="DM48" i="110"/>
  <c r="DL48" i="110"/>
  <c r="DK48" i="110"/>
  <c r="DJ48" i="110"/>
  <c r="DI48" i="110"/>
  <c r="DH48" i="110"/>
  <c r="DG48" i="110"/>
  <c r="DF48" i="110"/>
  <c r="DE48" i="110"/>
  <c r="DD48" i="110"/>
  <c r="DC48" i="110"/>
  <c r="DB48" i="110"/>
  <c r="DA48" i="110"/>
  <c r="CZ48" i="110"/>
  <c r="CY48" i="110"/>
  <c r="CX48" i="110"/>
  <c r="CW48" i="110"/>
  <c r="CV48" i="110"/>
  <c r="CU48" i="110"/>
  <c r="CT48" i="110"/>
  <c r="CS48" i="110"/>
  <c r="CR48" i="110"/>
  <c r="CQ48" i="110"/>
  <c r="CP48" i="110"/>
  <c r="CO48" i="110"/>
  <c r="CN48" i="110"/>
  <c r="CM48" i="110"/>
  <c r="CL48" i="110"/>
  <c r="CK48" i="110"/>
  <c r="CJ48" i="110"/>
  <c r="CI48" i="110"/>
  <c r="CH48" i="110"/>
  <c r="CG48" i="110"/>
  <c r="CF48" i="110"/>
  <c r="CE48" i="110"/>
  <c r="CD48" i="110"/>
  <c r="CC48" i="110"/>
  <c r="CB48" i="110"/>
  <c r="CA48" i="110"/>
  <c r="BZ48" i="110"/>
  <c r="BY48" i="110"/>
  <c r="BX48" i="110"/>
  <c r="BW48" i="110"/>
  <c r="BV48" i="110"/>
  <c r="BU48" i="110"/>
  <c r="BT48" i="110"/>
  <c r="BS48" i="110"/>
  <c r="BR48" i="110"/>
  <c r="BQ48" i="110"/>
  <c r="BP48" i="110"/>
  <c r="BO48" i="110"/>
  <c r="BN48" i="110"/>
  <c r="BM48" i="110"/>
  <c r="BL48" i="110"/>
  <c r="BK48" i="110"/>
  <c r="BJ48" i="110"/>
  <c r="BI48" i="110"/>
  <c r="BH48" i="110"/>
  <c r="BG48" i="110"/>
  <c r="BF48" i="110"/>
  <c r="BE48" i="110"/>
  <c r="BD48" i="110"/>
  <c r="BC48" i="110"/>
  <c r="BB48" i="110"/>
  <c r="BA48" i="110"/>
  <c r="AZ48" i="110"/>
  <c r="AY48" i="110"/>
  <c r="AX48" i="110"/>
  <c r="AW48" i="110"/>
  <c r="AV48" i="110"/>
  <c r="AU48" i="110"/>
  <c r="AT48" i="110"/>
  <c r="AS48" i="110"/>
  <c r="AR48" i="110"/>
  <c r="AQ48" i="110"/>
  <c r="AP48" i="110"/>
  <c r="AO48" i="110"/>
  <c r="AN48" i="110"/>
  <c r="AM48" i="110"/>
  <c r="AL48" i="110"/>
  <c r="AK48" i="110"/>
  <c r="AJ48" i="110"/>
  <c r="AI48" i="110"/>
  <c r="AH48" i="110"/>
  <c r="AG48" i="110"/>
  <c r="AF48" i="110"/>
  <c r="AE48" i="110"/>
  <c r="AD48" i="110"/>
  <c r="AC48" i="110"/>
  <c r="AB48" i="110"/>
  <c r="AA48" i="110"/>
  <c r="Z48" i="110"/>
  <c r="Y48" i="110"/>
  <c r="X48" i="110"/>
  <c r="L48" i="110"/>
  <c r="M48" i="110" s="1"/>
  <c r="A48" i="110"/>
  <c r="H752" i="123" l="1"/>
  <c r="P529" i="123"/>
  <c r="K645" i="123"/>
  <c r="K547" i="123"/>
  <c r="K538" i="123"/>
  <c r="K535" i="123"/>
  <c r="K544" i="123"/>
  <c r="K532" i="123"/>
  <c r="K550" i="123"/>
  <c r="K541" i="123"/>
  <c r="EJ58" i="110"/>
  <c r="L123" i="110" s="1"/>
  <c r="FL58" i="110"/>
  <c r="O128" i="110" s="1"/>
  <c r="EN58" i="110"/>
  <c r="K124" i="110" s="1"/>
  <c r="FG58" i="110"/>
  <c r="O127" i="110" s="1"/>
  <c r="FH58" i="110"/>
  <c r="K128" i="110" s="1"/>
  <c r="FI58" i="110"/>
  <c r="L128" i="110" s="1"/>
  <c r="EH58" i="110"/>
  <c r="O122" i="110" s="1"/>
  <c r="EK58" i="110"/>
  <c r="M123" i="110" s="1"/>
  <c r="EY58" i="110"/>
  <c r="L126" i="110" s="1"/>
  <c r="EZ58" i="110"/>
  <c r="M126" i="110" s="1"/>
  <c r="EL58" i="110"/>
  <c r="N123" i="110" s="1"/>
  <c r="EP58" i="110"/>
  <c r="M124" i="110" s="1"/>
  <c r="FD58" i="110"/>
  <c r="L127" i="110" s="1"/>
  <c r="EW58" i="110"/>
  <c r="O125" i="110" s="1"/>
  <c r="EO58" i="110"/>
  <c r="L124" i="110" s="1"/>
  <c r="EQ58" i="110"/>
  <c r="N124" i="110" s="1"/>
  <c r="FE58" i="110"/>
  <c r="M127" i="110" s="1"/>
  <c r="EX58" i="110"/>
  <c r="K126" i="110" s="1"/>
  <c r="ER58" i="110"/>
  <c r="O124" i="110" s="1"/>
  <c r="FF58" i="110"/>
  <c r="N127" i="110" s="1"/>
  <c r="ES58" i="110"/>
  <c r="K125" i="110" s="1"/>
  <c r="EF58" i="110"/>
  <c r="M122" i="110" s="1"/>
  <c r="FA58" i="110"/>
  <c r="N126" i="110" s="1"/>
  <c r="EG58" i="110"/>
  <c r="N122" i="110" s="1"/>
  <c r="EU58" i="110"/>
  <c r="M125" i="110" s="1"/>
  <c r="FB58" i="110"/>
  <c r="O126" i="110" s="1"/>
  <c r="ED58" i="110"/>
  <c r="K122" i="110" s="1"/>
  <c r="EE58" i="110"/>
  <c r="L122" i="110" s="1"/>
  <c r="EM58" i="110"/>
  <c r="O123" i="110" s="1"/>
  <c r="ET58" i="110"/>
  <c r="L125" i="110" s="1"/>
  <c r="EI58" i="110"/>
  <c r="K123" i="110" s="1"/>
  <c r="FK58" i="110"/>
  <c r="N128" i="110" s="1"/>
  <c r="FC58" i="110"/>
  <c r="K127" i="110" s="1"/>
  <c r="EV58" i="110"/>
  <c r="N125" i="110" s="1"/>
  <c r="FJ58" i="110"/>
  <c r="M128" i="110" s="1"/>
  <c r="J592" i="123" l="1"/>
  <c r="J589" i="123"/>
  <c r="J586" i="123"/>
  <c r="I752" i="123"/>
  <c r="K710" i="123"/>
  <c r="K714" i="123"/>
  <c r="K711" i="123"/>
  <c r="K715" i="123"/>
  <c r="K713" i="123"/>
  <c r="K712" i="123"/>
  <c r="P538" i="123"/>
  <c r="P535" i="123"/>
  <c r="P541" i="123"/>
  <c r="P550" i="123"/>
  <c r="P547" i="123"/>
  <c r="P532" i="123"/>
  <c r="P544" i="123"/>
  <c r="P122" i="110"/>
  <c r="N129" i="110"/>
  <c r="P123" i="110"/>
  <c r="P126" i="110"/>
  <c r="P128" i="110"/>
  <c r="L129" i="110"/>
  <c r="M129" i="110"/>
  <c r="K129" i="110"/>
  <c r="O129" i="110"/>
  <c r="P124" i="110"/>
  <c r="P127" i="110"/>
  <c r="P125" i="110"/>
  <c r="X349" i="112"/>
  <c r="K1578" i="123"/>
  <c r="J752" i="123" l="1"/>
  <c r="P536" i="123"/>
  <c r="P537" i="123" s="1"/>
  <c r="M536" i="123"/>
  <c r="M537" i="123" s="1"/>
  <c r="L536" i="123"/>
  <c r="L537" i="123" s="1"/>
  <c r="O536" i="123"/>
  <c r="O537" i="123" s="1"/>
  <c r="K536" i="123"/>
  <c r="K537" i="123" s="1"/>
  <c r="N536" i="123"/>
  <c r="N537" i="123" s="1"/>
  <c r="P539" i="123"/>
  <c r="P540" i="123" s="1"/>
  <c r="K539" i="123"/>
  <c r="K540" i="123" s="1"/>
  <c r="L539" i="123"/>
  <c r="L540" i="123" s="1"/>
  <c r="M539" i="123"/>
  <c r="M540" i="123" s="1"/>
  <c r="N539" i="123"/>
  <c r="N540" i="123" s="1"/>
  <c r="O539" i="123"/>
  <c r="O540" i="123" s="1"/>
  <c r="P548" i="123"/>
  <c r="P549" i="123" s="1"/>
  <c r="K548" i="123"/>
  <c r="K549" i="123" s="1"/>
  <c r="L548" i="123"/>
  <c r="L549" i="123" s="1"/>
  <c r="N548" i="123"/>
  <c r="N549" i="123" s="1"/>
  <c r="M548" i="123"/>
  <c r="M549" i="123" s="1"/>
  <c r="O548" i="123"/>
  <c r="O549" i="123" s="1"/>
  <c r="P542" i="123"/>
  <c r="P543" i="123" s="1"/>
  <c r="N542" i="123"/>
  <c r="N543" i="123" s="1"/>
  <c r="L542" i="123"/>
  <c r="L543" i="123" s="1"/>
  <c r="K542" i="123"/>
  <c r="K543" i="123" s="1"/>
  <c r="M542" i="123"/>
  <c r="M543" i="123" s="1"/>
  <c r="O542" i="123"/>
  <c r="O543" i="123" s="1"/>
  <c r="P545" i="123"/>
  <c r="P546" i="123" s="1"/>
  <c r="N545" i="123"/>
  <c r="N546" i="123" s="1"/>
  <c r="L545" i="123"/>
  <c r="L546" i="123" s="1"/>
  <c r="O545" i="123"/>
  <c r="O546" i="123" s="1"/>
  <c r="M545" i="123"/>
  <c r="M546" i="123" s="1"/>
  <c r="K545" i="123"/>
  <c r="K546" i="123" s="1"/>
  <c r="P533" i="123"/>
  <c r="P534" i="123" s="1"/>
  <c r="O533" i="123"/>
  <c r="O534" i="123" s="1"/>
  <c r="L533" i="123"/>
  <c r="L534" i="123" s="1"/>
  <c r="K533" i="123"/>
  <c r="K534" i="123" s="1"/>
  <c r="N533" i="123"/>
  <c r="N534" i="123" s="1"/>
  <c r="M533" i="123"/>
  <c r="M534" i="123" s="1"/>
  <c r="P551" i="123"/>
  <c r="P552" i="123" s="1"/>
  <c r="N551" i="123"/>
  <c r="N552" i="123" s="1"/>
  <c r="O551" i="123"/>
  <c r="O552" i="123" s="1"/>
  <c r="M551" i="123"/>
  <c r="M552" i="123" s="1"/>
  <c r="K551" i="123"/>
  <c r="K552" i="123" s="1"/>
  <c r="L551" i="123"/>
  <c r="L552" i="123" s="1"/>
  <c r="P129" i="110"/>
  <c r="K752" i="123" l="1"/>
  <c r="B784" i="123" l="1"/>
  <c r="C784" i="123" l="1"/>
  <c r="X137" i="112"/>
  <c r="D784" i="123" l="1"/>
  <c r="E784" i="123" l="1"/>
  <c r="P188" i="113"/>
  <c r="P1060" i="123" s="1"/>
  <c r="F76" i="89"/>
  <c r="F40" i="89"/>
  <c r="F31" i="89"/>
  <c r="E28" i="89"/>
  <c r="E17" i="89"/>
  <c r="J5" i="87"/>
  <c r="G5" i="87"/>
  <c r="D5" i="87"/>
  <c r="A5" i="87"/>
  <c r="H54" i="86"/>
  <c r="G54" i="86"/>
  <c r="F54" i="86"/>
  <c r="E54" i="86"/>
  <c r="D54" i="86"/>
  <c r="H49" i="86"/>
  <c r="G49" i="86"/>
  <c r="F49" i="86"/>
  <c r="E49" i="86"/>
  <c r="D49" i="86"/>
  <c r="H4" i="86"/>
  <c r="E6" i="86"/>
  <c r="E4" i="86"/>
  <c r="B38" i="82"/>
  <c r="B32" i="82"/>
  <c r="B18" i="82"/>
  <c r="F784" i="123" l="1"/>
  <c r="H3" i="113"/>
  <c r="L111" i="110"/>
  <c r="G784" i="123" l="1"/>
  <c r="C69" i="100"/>
  <c r="C67" i="100"/>
  <c r="E69" i="95"/>
  <c r="D69" i="95"/>
  <c r="C69" i="95"/>
  <c r="B69" i="95"/>
  <c r="A69" i="95"/>
  <c r="E68" i="95"/>
  <c r="D68" i="95"/>
  <c r="C68" i="95"/>
  <c r="B68" i="95"/>
  <c r="A68" i="95"/>
  <c r="E67" i="95"/>
  <c r="D67" i="95"/>
  <c r="C67" i="95"/>
  <c r="B67" i="95"/>
  <c r="A67" i="95"/>
  <c r="E66" i="95"/>
  <c r="D66" i="95"/>
  <c r="C66" i="95"/>
  <c r="B66" i="95"/>
  <c r="A66" i="95"/>
  <c r="E65" i="95"/>
  <c r="D65" i="95"/>
  <c r="C65" i="95"/>
  <c r="B65" i="95"/>
  <c r="A65" i="95"/>
  <c r="E64" i="95"/>
  <c r="D64" i="95"/>
  <c r="C64" i="95"/>
  <c r="B64" i="95"/>
  <c r="A64" i="95"/>
  <c r="E63" i="95"/>
  <c r="D63" i="95"/>
  <c r="C63" i="95"/>
  <c r="B63" i="95"/>
  <c r="A63" i="95"/>
  <c r="E62" i="95"/>
  <c r="D62" i="95"/>
  <c r="C62" i="95"/>
  <c r="B62" i="95"/>
  <c r="A62" i="95"/>
  <c r="E61" i="95"/>
  <c r="D61" i="95"/>
  <c r="C61" i="95"/>
  <c r="B61" i="95"/>
  <c r="A61" i="95"/>
  <c r="E60" i="95"/>
  <c r="D60" i="95"/>
  <c r="C60" i="95"/>
  <c r="B60" i="95"/>
  <c r="A60" i="95"/>
  <c r="E59" i="95"/>
  <c r="D59" i="95"/>
  <c r="C59" i="95"/>
  <c r="B59" i="95"/>
  <c r="A59" i="95"/>
  <c r="E58" i="95"/>
  <c r="D58" i="95"/>
  <c r="C58" i="95"/>
  <c r="B58" i="95"/>
  <c r="A58" i="95"/>
  <c r="E57" i="95"/>
  <c r="D57" i="95"/>
  <c r="C57" i="95"/>
  <c r="B57" i="95"/>
  <c r="A57" i="95"/>
  <c r="E56" i="95"/>
  <c r="D56" i="95"/>
  <c r="C56" i="95"/>
  <c r="B56" i="95"/>
  <c r="A56" i="95"/>
  <c r="E55" i="95"/>
  <c r="D55" i="95"/>
  <c r="C55" i="95"/>
  <c r="B55" i="95"/>
  <c r="A55" i="95"/>
  <c r="E54" i="95"/>
  <c r="D54" i="95"/>
  <c r="C54" i="95"/>
  <c r="B54" i="95"/>
  <c r="A54" i="95"/>
  <c r="E53" i="95"/>
  <c r="D53" i="95"/>
  <c r="C53" i="95"/>
  <c r="B53" i="95"/>
  <c r="A53" i="95"/>
  <c r="E52" i="95"/>
  <c r="D52" i="95"/>
  <c r="C52" i="95"/>
  <c r="B52" i="95"/>
  <c r="A52" i="95"/>
  <c r="E51" i="95"/>
  <c r="D51" i="95"/>
  <c r="C51" i="95"/>
  <c r="B51" i="95"/>
  <c r="A51" i="95"/>
  <c r="E50" i="95"/>
  <c r="D50" i="95"/>
  <c r="C50" i="95"/>
  <c r="B50" i="95"/>
  <c r="A50" i="95"/>
  <c r="E49" i="95"/>
  <c r="D49" i="95"/>
  <c r="C49" i="95"/>
  <c r="B49" i="95"/>
  <c r="A49" i="95"/>
  <c r="E48" i="95"/>
  <c r="D48" i="95"/>
  <c r="C48" i="95"/>
  <c r="B48" i="95"/>
  <c r="A48" i="95"/>
  <c r="E47" i="95"/>
  <c r="D47" i="95"/>
  <c r="C47" i="95"/>
  <c r="B47" i="95"/>
  <c r="A47" i="95"/>
  <c r="E46" i="95"/>
  <c r="D46" i="95"/>
  <c r="C46" i="95"/>
  <c r="B46" i="95"/>
  <c r="A46" i="95"/>
  <c r="E45" i="95"/>
  <c r="D45" i="95"/>
  <c r="C45" i="95"/>
  <c r="B45" i="95"/>
  <c r="A45" i="95"/>
  <c r="E44" i="95"/>
  <c r="D44" i="95"/>
  <c r="C44" i="95"/>
  <c r="B44" i="95"/>
  <c r="A44" i="95"/>
  <c r="E43" i="95"/>
  <c r="D43" i="95"/>
  <c r="C43" i="95"/>
  <c r="B43" i="95"/>
  <c r="A43" i="95"/>
  <c r="E42" i="95"/>
  <c r="D42" i="95"/>
  <c r="C42" i="95"/>
  <c r="B42" i="95"/>
  <c r="A42" i="95"/>
  <c r="E41" i="95"/>
  <c r="D41" i="95"/>
  <c r="C41" i="95"/>
  <c r="B41" i="95"/>
  <c r="A41" i="95"/>
  <c r="E40" i="95"/>
  <c r="D40" i="95"/>
  <c r="C40" i="95"/>
  <c r="B40" i="95"/>
  <c r="A40" i="95"/>
  <c r="E39" i="95"/>
  <c r="D39" i="95"/>
  <c r="C39" i="95"/>
  <c r="B39" i="95"/>
  <c r="A39" i="95"/>
  <c r="C160" i="90"/>
  <c r="Q67" i="85"/>
  <c r="N67" i="85"/>
  <c r="C33" i="100"/>
  <c r="B33" i="100"/>
  <c r="C32" i="100"/>
  <c r="B32" i="100"/>
  <c r="C31" i="100"/>
  <c r="B31" i="100"/>
  <c r="C30" i="100"/>
  <c r="B25" i="100"/>
  <c r="L11" i="95"/>
  <c r="G11" i="91"/>
  <c r="E97" i="90"/>
  <c r="E93" i="90"/>
  <c r="O67" i="85"/>
  <c r="L67" i="85"/>
  <c r="E8" i="100"/>
  <c r="C8" i="100"/>
  <c r="D3" i="93"/>
  <c r="M193" i="113"/>
  <c r="M192" i="113"/>
  <c r="M191" i="113"/>
  <c r="B8" i="111"/>
  <c r="G7" i="111"/>
  <c r="B7" i="111"/>
  <c r="B6" i="111"/>
  <c r="Z184" i="107"/>
  <c r="Z183" i="107"/>
  <c r="F111" i="107"/>
  <c r="B106" i="107"/>
  <c r="D40" i="107"/>
  <c r="D39" i="107"/>
  <c r="D38" i="107"/>
  <c r="J28" i="105"/>
  <c r="S190" i="107"/>
  <c r="S188" i="107"/>
  <c r="U188" i="107" s="1"/>
  <c r="AZ403" i="112"/>
  <c r="AZ402" i="112"/>
  <c r="AZ401" i="112"/>
  <c r="AZ400" i="112"/>
  <c r="H299" i="112"/>
  <c r="K97" i="113"/>
  <c r="I97" i="113"/>
  <c r="F118" i="111"/>
  <c r="F856" i="123" s="1"/>
  <c r="E118" i="111"/>
  <c r="E856" i="123" s="1"/>
  <c r="D118" i="111"/>
  <c r="D856" i="123" s="1"/>
  <c r="C118" i="111"/>
  <c r="C856" i="123" s="1"/>
  <c r="B118" i="111"/>
  <c r="B856" i="123" s="1"/>
  <c r="K88" i="111"/>
  <c r="K826" i="123" s="1"/>
  <c r="J88" i="111"/>
  <c r="J826" i="123" s="1"/>
  <c r="I88" i="111"/>
  <c r="I826" i="123" s="1"/>
  <c r="H88" i="111"/>
  <c r="H826" i="123" s="1"/>
  <c r="G88" i="111"/>
  <c r="G826" i="123" s="1"/>
  <c r="F88" i="111"/>
  <c r="F826" i="123" s="1"/>
  <c r="E88" i="111"/>
  <c r="E826" i="123" s="1"/>
  <c r="D88" i="111"/>
  <c r="D826" i="123" s="1"/>
  <c r="C88" i="111"/>
  <c r="C826" i="123" s="1"/>
  <c r="B88" i="111"/>
  <c r="B826" i="123" s="1"/>
  <c r="K56" i="111"/>
  <c r="K794" i="123" s="1"/>
  <c r="J56" i="111"/>
  <c r="J794" i="123" s="1"/>
  <c r="I56" i="111"/>
  <c r="I794" i="123" s="1"/>
  <c r="H56" i="111"/>
  <c r="H794" i="123" s="1"/>
  <c r="G56" i="111"/>
  <c r="G794" i="123" s="1"/>
  <c r="F56" i="111"/>
  <c r="F794" i="123" s="1"/>
  <c r="E56" i="111"/>
  <c r="E794" i="123" s="1"/>
  <c r="D56" i="111"/>
  <c r="D794" i="123" s="1"/>
  <c r="C56" i="111"/>
  <c r="C794" i="123" s="1"/>
  <c r="B56" i="111"/>
  <c r="B794" i="123" s="1"/>
  <c r="K24" i="111"/>
  <c r="K762" i="123" s="1"/>
  <c r="J24" i="111"/>
  <c r="J762" i="123" s="1"/>
  <c r="I24" i="111"/>
  <c r="I762" i="123" s="1"/>
  <c r="H24" i="111"/>
  <c r="H762" i="123" s="1"/>
  <c r="G24" i="111"/>
  <c r="G762" i="123" s="1"/>
  <c r="F24" i="111"/>
  <c r="F762" i="123" s="1"/>
  <c r="E24" i="111"/>
  <c r="E762" i="123" s="1"/>
  <c r="D24" i="111"/>
  <c r="D762" i="123" s="1"/>
  <c r="C24" i="111"/>
  <c r="C762" i="123" s="1"/>
  <c r="B24" i="111"/>
  <c r="B762" i="123" s="1"/>
  <c r="AD105" i="107"/>
  <c r="D80" i="114"/>
  <c r="B80" i="114"/>
  <c r="A77" i="114"/>
  <c r="D74" i="114"/>
  <c r="B74" i="114"/>
  <c r="A71" i="114"/>
  <c r="B68" i="114"/>
  <c r="A65" i="114"/>
  <c r="B62" i="114"/>
  <c r="A59" i="114"/>
  <c r="B57" i="114"/>
  <c r="A54" i="114"/>
  <c r="B51" i="114"/>
  <c r="A48" i="114"/>
  <c r="D45" i="114"/>
  <c r="B45" i="114"/>
  <c r="A42" i="114"/>
  <c r="D39" i="114"/>
  <c r="B39" i="114"/>
  <c r="A36" i="114"/>
  <c r="D34" i="114"/>
  <c r="B34" i="114"/>
  <c r="A31" i="114"/>
  <c r="D28" i="114"/>
  <c r="B28" i="114"/>
  <c r="A25" i="114"/>
  <c r="D22" i="114"/>
  <c r="B22" i="114"/>
  <c r="A19" i="114"/>
  <c r="D17" i="114"/>
  <c r="B17" i="114"/>
  <c r="A14" i="114"/>
  <c r="D12" i="114"/>
  <c r="B12" i="114"/>
  <c r="A9" i="114"/>
  <c r="AZ406" i="112"/>
  <c r="F136" i="111"/>
  <c r="E136" i="111"/>
  <c r="D136" i="111"/>
  <c r="C136" i="111"/>
  <c r="B136" i="111"/>
  <c r="F135" i="111"/>
  <c r="E135" i="111"/>
  <c r="D135" i="111"/>
  <c r="C135" i="111"/>
  <c r="B135" i="111"/>
  <c r="K106" i="111"/>
  <c r="J106" i="111"/>
  <c r="I106" i="111"/>
  <c r="H106" i="111"/>
  <c r="G106" i="111"/>
  <c r="F106" i="111"/>
  <c r="E106" i="111"/>
  <c r="D106" i="111"/>
  <c r="C106" i="111"/>
  <c r="B106" i="111"/>
  <c r="K105" i="111"/>
  <c r="J105" i="111"/>
  <c r="I105" i="111"/>
  <c r="H105" i="111"/>
  <c r="G105" i="111"/>
  <c r="F105" i="111"/>
  <c r="E105" i="111"/>
  <c r="D105" i="111"/>
  <c r="C105" i="111"/>
  <c r="B105" i="111"/>
  <c r="K76" i="111"/>
  <c r="K814" i="123" s="1"/>
  <c r="J76" i="111"/>
  <c r="J814" i="123" s="1"/>
  <c r="I76" i="111"/>
  <c r="I814" i="123" s="1"/>
  <c r="H76" i="111"/>
  <c r="H814" i="123" s="1"/>
  <c r="K75" i="111"/>
  <c r="J75" i="111"/>
  <c r="I75" i="111"/>
  <c r="H75" i="111"/>
  <c r="G75" i="111"/>
  <c r="F75" i="111"/>
  <c r="E75" i="111"/>
  <c r="D75" i="111"/>
  <c r="C75" i="111"/>
  <c r="B75" i="111"/>
  <c r="K74" i="111"/>
  <c r="J74" i="111"/>
  <c r="I74" i="111"/>
  <c r="H74" i="111"/>
  <c r="G74" i="111"/>
  <c r="F74" i="111"/>
  <c r="E74" i="111"/>
  <c r="D74" i="111"/>
  <c r="C74" i="111"/>
  <c r="B74" i="111"/>
  <c r="K43" i="111"/>
  <c r="J43" i="111"/>
  <c r="I43" i="111"/>
  <c r="H43" i="111"/>
  <c r="G43" i="111"/>
  <c r="F43" i="111"/>
  <c r="E43" i="111"/>
  <c r="D43" i="111"/>
  <c r="C43" i="111"/>
  <c r="B43" i="111"/>
  <c r="K42" i="111"/>
  <c r="J42" i="111"/>
  <c r="I42" i="111"/>
  <c r="H42" i="111"/>
  <c r="G42" i="111"/>
  <c r="F42" i="111"/>
  <c r="E42" i="111"/>
  <c r="D42" i="111"/>
  <c r="C42" i="111"/>
  <c r="B42" i="111"/>
  <c r="A36" i="111"/>
  <c r="A68" i="111" s="1"/>
  <c r="A99" i="111" s="1"/>
  <c r="A129" i="111" s="1"/>
  <c r="A35" i="111"/>
  <c r="A67" i="111" s="1"/>
  <c r="A98" i="111" s="1"/>
  <c r="A128" i="111" s="1"/>
  <c r="A34" i="111"/>
  <c r="A66" i="111" s="1"/>
  <c r="A97" i="111" s="1"/>
  <c r="A127" i="111" s="1"/>
  <c r="N180" i="107"/>
  <c r="O10" i="105"/>
  <c r="D3" i="115"/>
  <c r="AW389" i="112"/>
  <c r="AZ392" i="112" s="1"/>
  <c r="T268" i="112"/>
  <c r="C4" i="111"/>
  <c r="L6" i="110"/>
  <c r="B3" i="120"/>
  <c r="F26" i="107"/>
  <c r="F20" i="107"/>
  <c r="A2" i="118"/>
  <c r="H160" i="117"/>
  <c r="H159" i="117"/>
  <c r="H158" i="117"/>
  <c r="H157" i="117"/>
  <c r="H156" i="117"/>
  <c r="K67" i="115"/>
  <c r="C63" i="115"/>
  <c r="D63" i="115" s="1"/>
  <c r="C62" i="115"/>
  <c r="D62" i="115" s="1"/>
  <c r="C61" i="115"/>
  <c r="D61" i="115" s="1"/>
  <c r="C60" i="115"/>
  <c r="D60" i="115" s="1"/>
  <c r="C59" i="115"/>
  <c r="D59" i="115" s="1"/>
  <c r="C58" i="115"/>
  <c r="D58" i="115" s="1"/>
  <c r="K53" i="115"/>
  <c r="J19" i="115"/>
  <c r="J22" i="115" s="1"/>
  <c r="M45" i="120"/>
  <c r="L45" i="120"/>
  <c r="K45" i="120"/>
  <c r="J45" i="120"/>
  <c r="I45" i="120"/>
  <c r="M25" i="120"/>
  <c r="L25" i="120"/>
  <c r="K25" i="120"/>
  <c r="J25" i="120"/>
  <c r="I25" i="120"/>
  <c r="AV413" i="112"/>
  <c r="AU413" i="112"/>
  <c r="BN412" i="112"/>
  <c r="BL412" i="112"/>
  <c r="BJ412" i="112"/>
  <c r="BH412" i="112"/>
  <c r="AU412" i="112"/>
  <c r="AS412" i="112"/>
  <c r="AU411" i="112"/>
  <c r="AS411" i="112"/>
  <c r="AS410" i="112"/>
  <c r="AS409" i="112"/>
  <c r="BL408" i="112"/>
  <c r="BH408" i="112"/>
  <c r="AS408" i="112"/>
  <c r="AS407" i="112"/>
  <c r="AS406" i="112"/>
  <c r="AT405" i="112"/>
  <c r="AS405" i="112"/>
  <c r="AT404" i="112"/>
  <c r="AS404" i="112"/>
  <c r="AT403" i="112"/>
  <c r="AS403" i="112"/>
  <c r="AT402" i="112"/>
  <c r="AS402" i="112"/>
  <c r="BM401" i="112"/>
  <c r="BL401" i="112"/>
  <c r="BI401" i="112"/>
  <c r="BH401" i="112"/>
  <c r="AT401" i="112"/>
  <c r="AS401" i="112"/>
  <c r="AT400" i="112"/>
  <c r="AS400" i="112"/>
  <c r="AT399" i="112"/>
  <c r="AS399" i="112"/>
  <c r="AV398" i="112"/>
  <c r="AU398" i="112"/>
  <c r="AT398" i="112"/>
  <c r="AS398" i="112"/>
  <c r="AV397" i="112"/>
  <c r="AU397" i="112"/>
  <c r="AT397" i="112"/>
  <c r="AS397" i="112"/>
  <c r="AV396" i="112"/>
  <c r="AU396" i="112"/>
  <c r="AT396" i="112"/>
  <c r="AS396" i="112"/>
  <c r="AV395" i="112"/>
  <c r="AU395" i="112"/>
  <c r="AT395" i="112"/>
  <c r="AS395" i="112"/>
  <c r="AV394" i="112"/>
  <c r="AU394" i="112"/>
  <c r="AT394" i="112"/>
  <c r="AS394" i="112"/>
  <c r="AV393" i="112"/>
  <c r="AU393" i="112"/>
  <c r="AT393" i="112"/>
  <c r="AS393" i="112"/>
  <c r="AV391" i="112"/>
  <c r="AU391" i="112"/>
  <c r="AT391" i="112"/>
  <c r="AS391" i="112"/>
  <c r="AC366" i="112"/>
  <c r="AC354" i="112"/>
  <c r="X345" i="112"/>
  <c r="U345" i="112"/>
  <c r="K1574" i="123" s="1"/>
  <c r="AC318" i="112"/>
  <c r="AD318" i="112"/>
  <c r="AC317" i="112"/>
  <c r="AD317" i="112"/>
  <c r="AC309" i="112"/>
  <c r="X309" i="112"/>
  <c r="AC307" i="112"/>
  <c r="X307" i="112"/>
  <c r="AC299" i="112"/>
  <c r="X299" i="112"/>
  <c r="AC298" i="112"/>
  <c r="X298" i="112"/>
  <c r="X283" i="112"/>
  <c r="T283" i="112"/>
  <c r="H283" i="112"/>
  <c r="G1512" i="123" s="1"/>
  <c r="X239" i="112"/>
  <c r="Y236" i="112"/>
  <c r="M1501" i="123" s="1"/>
  <c r="AH233" i="112"/>
  <c r="AC273" i="112"/>
  <c r="AC270" i="112"/>
  <c r="I256" i="112"/>
  <c r="H1468" i="123" s="1"/>
  <c r="AH247" i="112"/>
  <c r="V1459" i="123" s="1"/>
  <c r="AB247" i="112"/>
  <c r="P1459" i="123" s="1"/>
  <c r="AA247" i="112"/>
  <c r="AH215" i="112"/>
  <c r="V1432" i="123" s="1"/>
  <c r="AB215" i="112"/>
  <c r="P1432" i="123" s="1"/>
  <c r="P1433" i="123" s="1"/>
  <c r="AA215" i="112"/>
  <c r="O1432" i="123" s="1"/>
  <c r="AB206" i="112"/>
  <c r="P1423" i="123" s="1"/>
  <c r="AA206" i="112"/>
  <c r="O1423" i="123" s="1"/>
  <c r="X203" i="112"/>
  <c r="X202" i="112"/>
  <c r="AB201" i="112"/>
  <c r="P1418" i="123" s="1"/>
  <c r="AA201" i="112"/>
  <c r="O1418" i="123" s="1"/>
  <c r="AB199" i="112"/>
  <c r="P1416" i="123" s="1"/>
  <c r="X198" i="112"/>
  <c r="AB194" i="112"/>
  <c r="AA194" i="112"/>
  <c r="AC192" i="112"/>
  <c r="X192" i="112"/>
  <c r="AC184" i="112"/>
  <c r="AH183" i="112"/>
  <c r="X159" i="112"/>
  <c r="X158" i="112"/>
  <c r="X157" i="112"/>
  <c r="AB156" i="112"/>
  <c r="P1374" i="123" s="1"/>
  <c r="AA156" i="112"/>
  <c r="O1374" i="123" s="1"/>
  <c r="X154" i="112"/>
  <c r="AB153" i="112"/>
  <c r="P1371" i="123" s="1"/>
  <c r="AA153" i="112"/>
  <c r="O1371" i="123" s="1"/>
  <c r="AB145" i="112"/>
  <c r="P1363" i="123" s="1"/>
  <c r="L1573" i="123" s="1"/>
  <c r="AA145" i="112"/>
  <c r="O1363" i="123" s="1"/>
  <c r="AB136" i="112"/>
  <c r="P1354" i="123" s="1"/>
  <c r="L1572" i="123" s="1"/>
  <c r="AA136" i="112"/>
  <c r="O1354" i="123" s="1"/>
  <c r="AB128" i="112"/>
  <c r="P1346" i="123" s="1"/>
  <c r="AA128" i="112"/>
  <c r="O1346" i="123" s="1"/>
  <c r="AC122" i="112"/>
  <c r="X122" i="112"/>
  <c r="AC121" i="112"/>
  <c r="X121" i="112"/>
  <c r="AB89" i="112"/>
  <c r="AA89" i="112"/>
  <c r="AC88" i="112"/>
  <c r="AB82" i="112"/>
  <c r="AA82" i="112"/>
  <c r="AB73" i="112"/>
  <c r="AA73" i="112"/>
  <c r="AA71" i="112" s="1"/>
  <c r="AB62" i="112"/>
  <c r="AA57" i="112"/>
  <c r="Y53" i="112"/>
  <c r="Y57" i="112" s="1"/>
  <c r="J1269" i="123"/>
  <c r="AC39" i="112"/>
  <c r="X39" i="112"/>
  <c r="P1240" i="123"/>
  <c r="O1240" i="123"/>
  <c r="Q1240" i="123" s="1"/>
  <c r="P1238" i="123"/>
  <c r="O1238" i="123"/>
  <c r="AB26" i="112"/>
  <c r="AA26" i="112"/>
  <c r="P1215" i="123"/>
  <c r="O1215" i="123"/>
  <c r="J97" i="113"/>
  <c r="H97" i="113"/>
  <c r="F97" i="113"/>
  <c r="A69" i="111"/>
  <c r="A100" i="111" s="1"/>
  <c r="A130" i="111" s="1"/>
  <c r="A61" i="111"/>
  <c r="A93" i="111" s="1"/>
  <c r="A123" i="111" s="1"/>
  <c r="A60" i="111"/>
  <c r="A92" i="111" s="1"/>
  <c r="A122" i="111" s="1"/>
  <c r="A59" i="111"/>
  <c r="A91" i="111" s="1"/>
  <c r="A121" i="111" s="1"/>
  <c r="A58" i="111"/>
  <c r="A90" i="111" s="1"/>
  <c r="A120" i="111" s="1"/>
  <c r="B31" i="111"/>
  <c r="D14" i="111"/>
  <c r="E14" i="111" s="1"/>
  <c r="C14" i="111"/>
  <c r="N12" i="111"/>
  <c r="C9" i="111"/>
  <c r="N4" i="111"/>
  <c r="Q275" i="110"/>
  <c r="L269" i="110"/>
  <c r="F269" i="110"/>
  <c r="L263" i="110"/>
  <c r="F258" i="110"/>
  <c r="L253" i="110"/>
  <c r="F249" i="110"/>
  <c r="L245" i="110"/>
  <c r="N245" i="110" s="1"/>
  <c r="S240" i="110"/>
  <c r="L238" i="110"/>
  <c r="F113" i="111" s="1"/>
  <c r="F851" i="123" s="1"/>
  <c r="K238" i="110"/>
  <c r="E113" i="111" s="1"/>
  <c r="E851" i="123" s="1"/>
  <c r="J238" i="110"/>
  <c r="D113" i="111" s="1"/>
  <c r="D851" i="123" s="1"/>
  <c r="I238" i="110"/>
  <c r="C113" i="111" s="1"/>
  <c r="C851" i="123" s="1"/>
  <c r="H238" i="110"/>
  <c r="B113" i="111" s="1"/>
  <c r="B851" i="123" s="1"/>
  <c r="S235" i="110"/>
  <c r="L234" i="110"/>
  <c r="F112" i="111" s="1"/>
  <c r="F850" i="123" s="1"/>
  <c r="K234" i="110"/>
  <c r="E112" i="111" s="1"/>
  <c r="E850" i="123" s="1"/>
  <c r="J234" i="110"/>
  <c r="D112" i="111" s="1"/>
  <c r="D850" i="123" s="1"/>
  <c r="I234" i="110"/>
  <c r="C112" i="111" s="1"/>
  <c r="C850" i="123" s="1"/>
  <c r="H234" i="110"/>
  <c r="B112" i="111" s="1"/>
  <c r="B850" i="123" s="1"/>
  <c r="T231" i="110"/>
  <c r="Q229" i="110"/>
  <c r="K83" i="111" s="1"/>
  <c r="K821" i="123" s="1"/>
  <c r="P229" i="110"/>
  <c r="J83" i="111" s="1"/>
  <c r="J821" i="123" s="1"/>
  <c r="O229" i="110"/>
  <c r="I83" i="111" s="1"/>
  <c r="I821" i="123" s="1"/>
  <c r="N229" i="110"/>
  <c r="H83" i="111" s="1"/>
  <c r="H821" i="123" s="1"/>
  <c r="M229" i="110"/>
  <c r="G83" i="111" s="1"/>
  <c r="G821" i="123" s="1"/>
  <c r="L229" i="110"/>
  <c r="F83" i="111" s="1"/>
  <c r="F821" i="123" s="1"/>
  <c r="K229" i="110"/>
  <c r="E83" i="111" s="1"/>
  <c r="E821" i="123" s="1"/>
  <c r="J229" i="110"/>
  <c r="D83" i="111" s="1"/>
  <c r="D821" i="123" s="1"/>
  <c r="I229" i="110"/>
  <c r="C83" i="111" s="1"/>
  <c r="C821" i="123" s="1"/>
  <c r="H229" i="110"/>
  <c r="B83" i="111" s="1"/>
  <c r="B821" i="123" s="1"/>
  <c r="S226" i="110"/>
  <c r="Q225" i="110"/>
  <c r="K82" i="111" s="1"/>
  <c r="K820" i="123" s="1"/>
  <c r="P225" i="110"/>
  <c r="J82" i="111" s="1"/>
  <c r="J820" i="123" s="1"/>
  <c r="O225" i="110"/>
  <c r="I82" i="111" s="1"/>
  <c r="I820" i="123" s="1"/>
  <c r="N225" i="110"/>
  <c r="H82" i="111" s="1"/>
  <c r="H820" i="123" s="1"/>
  <c r="M225" i="110"/>
  <c r="G82" i="111" s="1"/>
  <c r="G820" i="123" s="1"/>
  <c r="L225" i="110"/>
  <c r="F82" i="111" s="1"/>
  <c r="F820" i="123" s="1"/>
  <c r="K225" i="110"/>
  <c r="E82" i="111" s="1"/>
  <c r="E820" i="123" s="1"/>
  <c r="J225" i="110"/>
  <c r="D82" i="111" s="1"/>
  <c r="D820" i="123" s="1"/>
  <c r="I225" i="110"/>
  <c r="C82" i="111" s="1"/>
  <c r="C820" i="123" s="1"/>
  <c r="H225" i="110"/>
  <c r="B82" i="111" s="1"/>
  <c r="B820" i="123" s="1"/>
  <c r="T222" i="110"/>
  <c r="Q220" i="110"/>
  <c r="K51" i="111" s="1"/>
  <c r="K789" i="123" s="1"/>
  <c r="P220" i="110"/>
  <c r="J51" i="111" s="1"/>
  <c r="J789" i="123" s="1"/>
  <c r="O220" i="110"/>
  <c r="I51" i="111" s="1"/>
  <c r="I789" i="123" s="1"/>
  <c r="N220" i="110"/>
  <c r="H51" i="111" s="1"/>
  <c r="H789" i="123" s="1"/>
  <c r="M220" i="110"/>
  <c r="G51" i="111" s="1"/>
  <c r="G789" i="123" s="1"/>
  <c r="L220" i="110"/>
  <c r="F51" i="111" s="1"/>
  <c r="F789" i="123" s="1"/>
  <c r="K220" i="110"/>
  <c r="E51" i="111" s="1"/>
  <c r="E789" i="123" s="1"/>
  <c r="J220" i="110"/>
  <c r="D51" i="111" s="1"/>
  <c r="D789" i="123" s="1"/>
  <c r="I220" i="110"/>
  <c r="C51" i="111" s="1"/>
  <c r="C789" i="123" s="1"/>
  <c r="H220" i="110"/>
  <c r="B51" i="111" s="1"/>
  <c r="B789" i="123" s="1"/>
  <c r="S217" i="110"/>
  <c r="Q216" i="110"/>
  <c r="K50" i="111" s="1"/>
  <c r="K788" i="123" s="1"/>
  <c r="P216" i="110"/>
  <c r="J50" i="111" s="1"/>
  <c r="J788" i="123" s="1"/>
  <c r="O216" i="110"/>
  <c r="I50" i="111" s="1"/>
  <c r="I788" i="123" s="1"/>
  <c r="N216" i="110"/>
  <c r="H50" i="111" s="1"/>
  <c r="H788" i="123" s="1"/>
  <c r="M216" i="110"/>
  <c r="G50" i="111" s="1"/>
  <c r="G788" i="123" s="1"/>
  <c r="L216" i="110"/>
  <c r="F50" i="111" s="1"/>
  <c r="F788" i="123" s="1"/>
  <c r="K216" i="110"/>
  <c r="E50" i="111" s="1"/>
  <c r="E788" i="123" s="1"/>
  <c r="J216" i="110"/>
  <c r="D50" i="111" s="1"/>
  <c r="D788" i="123" s="1"/>
  <c r="I216" i="110"/>
  <c r="C50" i="111" s="1"/>
  <c r="C788" i="123" s="1"/>
  <c r="H216" i="110"/>
  <c r="B50" i="111" s="1"/>
  <c r="B788" i="123" s="1"/>
  <c r="T213" i="110"/>
  <c r="Q211" i="110"/>
  <c r="K19" i="111" s="1"/>
  <c r="K757" i="123" s="1"/>
  <c r="P211" i="110"/>
  <c r="J19" i="111" s="1"/>
  <c r="J757" i="123" s="1"/>
  <c r="O211" i="110"/>
  <c r="I19" i="111" s="1"/>
  <c r="I757" i="123" s="1"/>
  <c r="N211" i="110"/>
  <c r="H19" i="111" s="1"/>
  <c r="H757" i="123" s="1"/>
  <c r="M211" i="110"/>
  <c r="G19" i="111" s="1"/>
  <c r="G757" i="123" s="1"/>
  <c r="L211" i="110"/>
  <c r="F19" i="111" s="1"/>
  <c r="F757" i="123" s="1"/>
  <c r="K211" i="110"/>
  <c r="E19" i="111" s="1"/>
  <c r="E757" i="123" s="1"/>
  <c r="J211" i="110"/>
  <c r="D19" i="111" s="1"/>
  <c r="D757" i="123" s="1"/>
  <c r="I211" i="110"/>
  <c r="C19" i="111" s="1"/>
  <c r="C757" i="123" s="1"/>
  <c r="H211" i="110"/>
  <c r="B19" i="111" s="1"/>
  <c r="B757" i="123" s="1"/>
  <c r="S208" i="110"/>
  <c r="Q207" i="110"/>
  <c r="K18" i="111" s="1"/>
  <c r="K756" i="123" s="1"/>
  <c r="P207" i="110"/>
  <c r="J18" i="111" s="1"/>
  <c r="J756" i="123" s="1"/>
  <c r="O207" i="110"/>
  <c r="I18" i="111" s="1"/>
  <c r="I756" i="123" s="1"/>
  <c r="N207" i="110"/>
  <c r="H18" i="111" s="1"/>
  <c r="H756" i="123" s="1"/>
  <c r="M207" i="110"/>
  <c r="G18" i="111" s="1"/>
  <c r="G756" i="123" s="1"/>
  <c r="L207" i="110"/>
  <c r="F18" i="111" s="1"/>
  <c r="F756" i="123" s="1"/>
  <c r="K207" i="110"/>
  <c r="E18" i="111" s="1"/>
  <c r="E756" i="123" s="1"/>
  <c r="J207" i="110"/>
  <c r="D18" i="111" s="1"/>
  <c r="D756" i="123" s="1"/>
  <c r="I207" i="110"/>
  <c r="C18" i="111" s="1"/>
  <c r="C756" i="123" s="1"/>
  <c r="H207" i="110"/>
  <c r="B18" i="111" s="1"/>
  <c r="B756" i="123" s="1"/>
  <c r="S204" i="110"/>
  <c r="S203" i="110"/>
  <c r="S201" i="110"/>
  <c r="S178" i="110"/>
  <c r="S168" i="110"/>
  <c r="L149" i="110"/>
  <c r="S149" i="110"/>
  <c r="P141" i="110"/>
  <c r="P140" i="110"/>
  <c r="S130" i="110"/>
  <c r="S112" i="110"/>
  <c r="S111" i="110"/>
  <c r="S101" i="110"/>
  <c r="S78" i="110"/>
  <c r="S62" i="110"/>
  <c r="E59" i="110"/>
  <c r="K1338" i="123"/>
  <c r="OD58" i="110"/>
  <c r="E58" i="110"/>
  <c r="OC57" i="110"/>
  <c r="OB57" i="110"/>
  <c r="OA57" i="110"/>
  <c r="NZ57" i="110"/>
  <c r="NY57" i="110"/>
  <c r="NX57" i="110"/>
  <c r="NW57" i="110"/>
  <c r="NV57" i="110"/>
  <c r="NU57" i="110"/>
  <c r="NT57" i="110"/>
  <c r="NS57" i="110"/>
  <c r="NR57" i="110"/>
  <c r="NQ57" i="110"/>
  <c r="NP57" i="110"/>
  <c r="NO57" i="110"/>
  <c r="NN57" i="110"/>
  <c r="NM57" i="110"/>
  <c r="NL57" i="110"/>
  <c r="NK57" i="110"/>
  <c r="NJ57" i="110"/>
  <c r="NI57" i="110"/>
  <c r="NH57" i="110"/>
  <c r="NG57" i="110"/>
  <c r="NF57" i="110"/>
  <c r="NE57" i="110"/>
  <c r="ND57" i="110"/>
  <c r="NC57" i="110"/>
  <c r="NB57" i="110"/>
  <c r="NA57" i="110"/>
  <c r="MZ57" i="110"/>
  <c r="MY57" i="110"/>
  <c r="MX57" i="110"/>
  <c r="MW57" i="110"/>
  <c r="MV57" i="110"/>
  <c r="MU57" i="110"/>
  <c r="MT57" i="110"/>
  <c r="MS57" i="110"/>
  <c r="MR57" i="110"/>
  <c r="MQ57" i="110"/>
  <c r="MP57" i="110"/>
  <c r="MO57" i="110"/>
  <c r="MN57" i="110"/>
  <c r="MM57" i="110"/>
  <c r="ML57" i="110"/>
  <c r="MK57" i="110"/>
  <c r="MJ57" i="110"/>
  <c r="MI57" i="110"/>
  <c r="MH57" i="110"/>
  <c r="MG57" i="110"/>
  <c r="MF57" i="110"/>
  <c r="ME57" i="110"/>
  <c r="MD57" i="110"/>
  <c r="MC57" i="110"/>
  <c r="MB57" i="110"/>
  <c r="MA57" i="110"/>
  <c r="LZ57" i="110"/>
  <c r="LY57" i="110"/>
  <c r="LX57" i="110"/>
  <c r="LW57" i="110"/>
  <c r="LV57" i="110"/>
  <c r="LU57" i="110"/>
  <c r="LT57" i="110"/>
  <c r="LS57" i="110"/>
  <c r="LR57" i="110"/>
  <c r="LQ57" i="110"/>
  <c r="LP57" i="110"/>
  <c r="LO57" i="110"/>
  <c r="LN57" i="110"/>
  <c r="LM57" i="110"/>
  <c r="LL57" i="110"/>
  <c r="LK57" i="110"/>
  <c r="LJ57" i="110"/>
  <c r="LI57" i="110"/>
  <c r="LH57" i="110"/>
  <c r="LG57" i="110"/>
  <c r="LF57" i="110"/>
  <c r="LE57" i="110"/>
  <c r="LD57" i="110"/>
  <c r="LC57" i="110"/>
  <c r="LB57" i="110"/>
  <c r="LA57" i="110"/>
  <c r="KZ57" i="110"/>
  <c r="KY57" i="110"/>
  <c r="KX57" i="110"/>
  <c r="KW57" i="110"/>
  <c r="KV57" i="110"/>
  <c r="KU57" i="110"/>
  <c r="KT57" i="110"/>
  <c r="KS57" i="110"/>
  <c r="KR57" i="110"/>
  <c r="KQ57" i="110"/>
  <c r="KP57" i="110"/>
  <c r="KO57" i="110"/>
  <c r="KN57" i="110"/>
  <c r="KM57" i="110"/>
  <c r="KL57" i="110"/>
  <c r="KK57" i="110"/>
  <c r="KJ57" i="110"/>
  <c r="KI57" i="110"/>
  <c r="KH57" i="110"/>
  <c r="KG57" i="110"/>
  <c r="KF57" i="110"/>
  <c r="KE57" i="110"/>
  <c r="KD57" i="110"/>
  <c r="KC57" i="110"/>
  <c r="KB57" i="110"/>
  <c r="KA57" i="110"/>
  <c r="JZ57" i="110"/>
  <c r="JY57" i="110"/>
  <c r="JX57" i="110"/>
  <c r="JW57" i="110"/>
  <c r="JV57" i="110"/>
  <c r="JU57" i="110"/>
  <c r="JT57" i="110"/>
  <c r="JS57" i="110"/>
  <c r="JR57" i="110"/>
  <c r="JQ57" i="110"/>
  <c r="JP57" i="110"/>
  <c r="JO57" i="110"/>
  <c r="JN57" i="110"/>
  <c r="JM57" i="110"/>
  <c r="JL57" i="110"/>
  <c r="JK57" i="110"/>
  <c r="JJ57" i="110"/>
  <c r="JI57" i="110"/>
  <c r="JH57" i="110"/>
  <c r="JG57" i="110"/>
  <c r="JF57" i="110"/>
  <c r="JE57" i="110"/>
  <c r="JD57" i="110"/>
  <c r="JC57" i="110"/>
  <c r="JB57" i="110"/>
  <c r="JA57" i="110"/>
  <c r="IZ57" i="110"/>
  <c r="IY57" i="110"/>
  <c r="IX57" i="110"/>
  <c r="IW57" i="110"/>
  <c r="IV57" i="110"/>
  <c r="IU57" i="110"/>
  <c r="IT57" i="110"/>
  <c r="IS57" i="110"/>
  <c r="IR57" i="110"/>
  <c r="IQ57" i="110"/>
  <c r="IP57" i="110"/>
  <c r="IO57" i="110"/>
  <c r="IN57" i="110"/>
  <c r="IM57" i="110"/>
  <c r="IL57" i="110"/>
  <c r="IK57" i="110"/>
  <c r="IJ57" i="110"/>
  <c r="II57" i="110"/>
  <c r="IH57" i="110"/>
  <c r="IG57" i="110"/>
  <c r="IF57" i="110"/>
  <c r="IE57" i="110"/>
  <c r="ID57" i="110"/>
  <c r="IC57" i="110"/>
  <c r="IB57" i="110"/>
  <c r="IA57" i="110"/>
  <c r="HZ57" i="110"/>
  <c r="HY57" i="110"/>
  <c r="HX57" i="110"/>
  <c r="HW57" i="110"/>
  <c r="HV57" i="110"/>
  <c r="HU57" i="110"/>
  <c r="HT57" i="110"/>
  <c r="HS57" i="110"/>
  <c r="HR57" i="110"/>
  <c r="HQ57" i="110"/>
  <c r="HP57" i="110"/>
  <c r="HO57" i="110"/>
  <c r="HN57" i="110"/>
  <c r="HM57" i="110"/>
  <c r="HL57" i="110"/>
  <c r="HK57" i="110"/>
  <c r="HJ57" i="110"/>
  <c r="HI57" i="110"/>
  <c r="HH57" i="110"/>
  <c r="HG57" i="110"/>
  <c r="HF57" i="110"/>
  <c r="HE57" i="110"/>
  <c r="HD57" i="110"/>
  <c r="HC57" i="110"/>
  <c r="HB57" i="110"/>
  <c r="HA57" i="110"/>
  <c r="GZ57" i="110"/>
  <c r="GY57" i="110"/>
  <c r="GX57" i="110"/>
  <c r="GW57" i="110"/>
  <c r="GV57" i="110"/>
  <c r="GU57" i="110"/>
  <c r="GT57" i="110"/>
  <c r="GS57" i="110"/>
  <c r="GR57" i="110"/>
  <c r="GQ57" i="110"/>
  <c r="GP57" i="110"/>
  <c r="GO57" i="110"/>
  <c r="GN57" i="110"/>
  <c r="GM57" i="110"/>
  <c r="GL57" i="110"/>
  <c r="GK57" i="110"/>
  <c r="GJ57" i="110"/>
  <c r="GI57" i="110"/>
  <c r="GH57" i="110"/>
  <c r="GG57" i="110"/>
  <c r="GF57" i="110"/>
  <c r="GE57" i="110"/>
  <c r="GD57" i="110"/>
  <c r="GC57" i="110"/>
  <c r="GB57" i="110"/>
  <c r="GA57" i="110"/>
  <c r="FZ57" i="110"/>
  <c r="FY57" i="110"/>
  <c r="FX57" i="110"/>
  <c r="FW57" i="110"/>
  <c r="FV57" i="110"/>
  <c r="FU57" i="110"/>
  <c r="FT57" i="110"/>
  <c r="FS57" i="110"/>
  <c r="FR57" i="110"/>
  <c r="FQ57" i="110"/>
  <c r="FP57" i="110"/>
  <c r="FO57" i="110"/>
  <c r="FN57" i="110"/>
  <c r="FM57" i="110"/>
  <c r="EC57" i="110"/>
  <c r="EB57" i="110"/>
  <c r="EA57" i="110"/>
  <c r="DZ57" i="110"/>
  <c r="DY57" i="110"/>
  <c r="DX57" i="110"/>
  <c r="DW57" i="110"/>
  <c r="DV57" i="110"/>
  <c r="DU57" i="110"/>
  <c r="DT57" i="110"/>
  <c r="DS57" i="110"/>
  <c r="DR57" i="110"/>
  <c r="DQ57" i="110"/>
  <c r="DP57" i="110"/>
  <c r="DO57" i="110"/>
  <c r="DN57" i="110"/>
  <c r="DM57" i="110"/>
  <c r="DL57" i="110"/>
  <c r="DK57" i="110"/>
  <c r="DJ57" i="110"/>
  <c r="DI57" i="110"/>
  <c r="DH57" i="110"/>
  <c r="DG57" i="110"/>
  <c r="DF57" i="110"/>
  <c r="DE57" i="110"/>
  <c r="DD57" i="110"/>
  <c r="DC57" i="110"/>
  <c r="DB57" i="110"/>
  <c r="DA57" i="110"/>
  <c r="CZ57" i="110"/>
  <c r="CY57" i="110"/>
  <c r="CX57" i="110"/>
  <c r="CW57" i="110"/>
  <c r="CV57" i="110"/>
  <c r="CU57" i="110"/>
  <c r="CT57" i="110"/>
  <c r="CS57" i="110"/>
  <c r="CR57" i="110"/>
  <c r="CQ57" i="110"/>
  <c r="CP57" i="110"/>
  <c r="CO57" i="110"/>
  <c r="CN57" i="110"/>
  <c r="CM57" i="110"/>
  <c r="CL57" i="110"/>
  <c r="CK57" i="110"/>
  <c r="CJ57" i="110"/>
  <c r="CI57" i="110"/>
  <c r="CH57" i="110"/>
  <c r="CG57" i="110"/>
  <c r="CF57" i="110"/>
  <c r="CE57" i="110"/>
  <c r="CD57" i="110"/>
  <c r="CC57" i="110"/>
  <c r="CB57" i="110"/>
  <c r="CA57" i="110"/>
  <c r="BZ57" i="110"/>
  <c r="BY57" i="110"/>
  <c r="BX57" i="110"/>
  <c r="BW57" i="110"/>
  <c r="BV57" i="110"/>
  <c r="BU57" i="110"/>
  <c r="BT57" i="110"/>
  <c r="BS57" i="110"/>
  <c r="BR57" i="110"/>
  <c r="BQ57" i="110"/>
  <c r="BP57" i="110"/>
  <c r="BO57" i="110"/>
  <c r="BN57" i="110"/>
  <c r="BM57" i="110"/>
  <c r="BL57" i="110"/>
  <c r="BK57" i="110"/>
  <c r="BJ57" i="110"/>
  <c r="BI57" i="110"/>
  <c r="BH57" i="110"/>
  <c r="BG57" i="110"/>
  <c r="BF57" i="110"/>
  <c r="BE57" i="110"/>
  <c r="BD57" i="110"/>
  <c r="BC57" i="110"/>
  <c r="BB57" i="110"/>
  <c r="BA57" i="110"/>
  <c r="AZ57" i="110"/>
  <c r="AY57" i="110"/>
  <c r="AX57" i="110"/>
  <c r="AW57" i="110"/>
  <c r="AV57" i="110"/>
  <c r="AU57" i="110"/>
  <c r="AT57" i="110"/>
  <c r="AS57" i="110"/>
  <c r="AR57" i="110"/>
  <c r="AQ57" i="110"/>
  <c r="AP57" i="110"/>
  <c r="AO57" i="110"/>
  <c r="AN57" i="110"/>
  <c r="AM57" i="110"/>
  <c r="AL57" i="110"/>
  <c r="AK57" i="110"/>
  <c r="AJ57" i="110"/>
  <c r="AI57" i="110"/>
  <c r="AH57" i="110"/>
  <c r="AG57" i="110"/>
  <c r="AF57" i="110"/>
  <c r="AE57" i="110"/>
  <c r="AD57" i="110"/>
  <c r="AC57" i="110"/>
  <c r="AB57" i="110"/>
  <c r="AA57" i="110"/>
  <c r="Z57" i="110"/>
  <c r="Y57" i="110"/>
  <c r="X57" i="110"/>
  <c r="A57" i="110"/>
  <c r="OC47" i="110"/>
  <c r="OB47" i="110"/>
  <c r="OA47" i="110"/>
  <c r="NZ47" i="110"/>
  <c r="NY47" i="110"/>
  <c r="NX47" i="110"/>
  <c r="NW47" i="110"/>
  <c r="NV47" i="110"/>
  <c r="NU47" i="110"/>
  <c r="NT47" i="110"/>
  <c r="NS47" i="110"/>
  <c r="NR47" i="110"/>
  <c r="NQ47" i="110"/>
  <c r="NP47" i="110"/>
  <c r="NO47" i="110"/>
  <c r="NN47" i="110"/>
  <c r="NM47" i="110"/>
  <c r="NL47" i="110"/>
  <c r="NK47" i="110"/>
  <c r="NJ47" i="110"/>
  <c r="NI47" i="110"/>
  <c r="NH47" i="110"/>
  <c r="NG47" i="110"/>
  <c r="NF47" i="110"/>
  <c r="NE47" i="110"/>
  <c r="ND47" i="110"/>
  <c r="NC47" i="110"/>
  <c r="NB47" i="110"/>
  <c r="NA47" i="110"/>
  <c r="MZ47" i="110"/>
  <c r="MY47" i="110"/>
  <c r="MX47" i="110"/>
  <c r="MW47" i="110"/>
  <c r="MV47" i="110"/>
  <c r="MU47" i="110"/>
  <c r="MT47" i="110"/>
  <c r="MS47" i="110"/>
  <c r="MR47" i="110"/>
  <c r="MQ47" i="110"/>
  <c r="MP47" i="110"/>
  <c r="MO47" i="110"/>
  <c r="MN47" i="110"/>
  <c r="MM47" i="110"/>
  <c r="ML47" i="110"/>
  <c r="MK47" i="110"/>
  <c r="MJ47" i="110"/>
  <c r="MI47" i="110"/>
  <c r="MH47" i="110"/>
  <c r="MG47" i="110"/>
  <c r="MF47" i="110"/>
  <c r="ME47" i="110"/>
  <c r="MD47" i="110"/>
  <c r="MC47" i="110"/>
  <c r="MB47" i="110"/>
  <c r="MA47" i="110"/>
  <c r="LZ47" i="110"/>
  <c r="LY47" i="110"/>
  <c r="LX47" i="110"/>
  <c r="LW47" i="110"/>
  <c r="LV47" i="110"/>
  <c r="LU47" i="110"/>
  <c r="LT47" i="110"/>
  <c r="LS47" i="110"/>
  <c r="LR47" i="110"/>
  <c r="LQ47" i="110"/>
  <c r="LP47" i="110"/>
  <c r="LO47" i="110"/>
  <c r="LN47" i="110"/>
  <c r="LM47" i="110"/>
  <c r="LL47" i="110"/>
  <c r="LK47" i="110"/>
  <c r="LJ47" i="110"/>
  <c r="LI47" i="110"/>
  <c r="LH47" i="110"/>
  <c r="LG47" i="110"/>
  <c r="LF47" i="110"/>
  <c r="LE47" i="110"/>
  <c r="LD47" i="110"/>
  <c r="LC47" i="110"/>
  <c r="LB47" i="110"/>
  <c r="LA47" i="110"/>
  <c r="KZ47" i="110"/>
  <c r="KY47" i="110"/>
  <c r="KX47" i="110"/>
  <c r="KW47" i="110"/>
  <c r="KV47" i="110"/>
  <c r="KU47" i="110"/>
  <c r="KT47" i="110"/>
  <c r="KS47" i="110"/>
  <c r="KR47" i="110"/>
  <c r="KQ47" i="110"/>
  <c r="KP47" i="110"/>
  <c r="KO47" i="110"/>
  <c r="KN47" i="110"/>
  <c r="KM47" i="110"/>
  <c r="KL47" i="110"/>
  <c r="KK47" i="110"/>
  <c r="KJ47" i="110"/>
  <c r="KI47" i="110"/>
  <c r="KH47" i="110"/>
  <c r="KG47" i="110"/>
  <c r="KF47" i="110"/>
  <c r="KE47" i="110"/>
  <c r="KD47" i="110"/>
  <c r="KC47" i="110"/>
  <c r="KB47" i="110"/>
  <c r="KA47" i="110"/>
  <c r="JZ47" i="110"/>
  <c r="JY47" i="110"/>
  <c r="JX47" i="110"/>
  <c r="JW47" i="110"/>
  <c r="JV47" i="110"/>
  <c r="JU47" i="110"/>
  <c r="JT47" i="110"/>
  <c r="JS47" i="110"/>
  <c r="JR47" i="110"/>
  <c r="JQ47" i="110"/>
  <c r="JP47" i="110"/>
  <c r="JO47" i="110"/>
  <c r="JN47" i="110"/>
  <c r="JM47" i="110"/>
  <c r="JL47" i="110"/>
  <c r="JK47" i="110"/>
  <c r="JJ47" i="110"/>
  <c r="JI47" i="110"/>
  <c r="JH47" i="110"/>
  <c r="JG47" i="110"/>
  <c r="JF47" i="110"/>
  <c r="JE47" i="110"/>
  <c r="JD47" i="110"/>
  <c r="JC47" i="110"/>
  <c r="JB47" i="110"/>
  <c r="JA47" i="110"/>
  <c r="IZ47" i="110"/>
  <c r="IY47" i="110"/>
  <c r="IX47" i="110"/>
  <c r="IW47" i="110"/>
  <c r="IV47" i="110"/>
  <c r="IU47" i="110"/>
  <c r="IT47" i="110"/>
  <c r="IS47" i="110"/>
  <c r="IR47" i="110"/>
  <c r="IQ47" i="110"/>
  <c r="IP47" i="110"/>
  <c r="IO47" i="110"/>
  <c r="IN47" i="110"/>
  <c r="IM47" i="110"/>
  <c r="IL47" i="110"/>
  <c r="IK47" i="110"/>
  <c r="IJ47" i="110"/>
  <c r="II47" i="110"/>
  <c r="IH47" i="110"/>
  <c r="IG47" i="110"/>
  <c r="IF47" i="110"/>
  <c r="IE47" i="110"/>
  <c r="ID47" i="110"/>
  <c r="IC47" i="110"/>
  <c r="IB47" i="110"/>
  <c r="IA47" i="110"/>
  <c r="HZ47" i="110"/>
  <c r="HY47" i="110"/>
  <c r="HX47" i="110"/>
  <c r="HW47" i="110"/>
  <c r="HV47" i="110"/>
  <c r="HU47" i="110"/>
  <c r="HT47" i="110"/>
  <c r="HS47" i="110"/>
  <c r="HR47" i="110"/>
  <c r="HQ47" i="110"/>
  <c r="HP47" i="110"/>
  <c r="HO47" i="110"/>
  <c r="HN47" i="110"/>
  <c r="HM47" i="110"/>
  <c r="HL47" i="110"/>
  <c r="HK47" i="110"/>
  <c r="HJ47" i="110"/>
  <c r="HI47" i="110"/>
  <c r="HH47" i="110"/>
  <c r="HG47" i="110"/>
  <c r="HF47" i="110"/>
  <c r="HE47" i="110"/>
  <c r="HD47" i="110"/>
  <c r="HC47" i="110"/>
  <c r="HB47" i="110"/>
  <c r="HA47" i="110"/>
  <c r="GZ47" i="110"/>
  <c r="GY47" i="110"/>
  <c r="GX47" i="110"/>
  <c r="GW47" i="110"/>
  <c r="GV47" i="110"/>
  <c r="GU47" i="110"/>
  <c r="GT47" i="110"/>
  <c r="GS47" i="110"/>
  <c r="GR47" i="110"/>
  <c r="GQ47" i="110"/>
  <c r="GP47" i="110"/>
  <c r="GO47" i="110"/>
  <c r="GN47" i="110"/>
  <c r="GM47" i="110"/>
  <c r="GL47" i="110"/>
  <c r="GK47" i="110"/>
  <c r="GJ47" i="110"/>
  <c r="GI47" i="110"/>
  <c r="GH47" i="110"/>
  <c r="GG47" i="110"/>
  <c r="GF47" i="110"/>
  <c r="GE47" i="110"/>
  <c r="GD47" i="110"/>
  <c r="GC47" i="110"/>
  <c r="GB47" i="110"/>
  <c r="GA47" i="110"/>
  <c r="FZ47" i="110"/>
  <c r="FY47" i="110"/>
  <c r="FX47" i="110"/>
  <c r="FW47" i="110"/>
  <c r="FV47" i="110"/>
  <c r="FU47" i="110"/>
  <c r="FT47" i="110"/>
  <c r="FS47" i="110"/>
  <c r="FR47" i="110"/>
  <c r="FQ47" i="110"/>
  <c r="FP47" i="110"/>
  <c r="FO47" i="110"/>
  <c r="FN47" i="110"/>
  <c r="FM47" i="110"/>
  <c r="EC47" i="110"/>
  <c r="EB47" i="110"/>
  <c r="EA47" i="110"/>
  <c r="DZ47" i="110"/>
  <c r="DY47" i="110"/>
  <c r="DX47" i="110"/>
  <c r="DW47" i="110"/>
  <c r="DV47" i="110"/>
  <c r="DU47" i="110"/>
  <c r="DT47" i="110"/>
  <c r="DS47" i="110"/>
  <c r="DR47" i="110"/>
  <c r="DQ47" i="110"/>
  <c r="DP47" i="110"/>
  <c r="DO47" i="110"/>
  <c r="DN47" i="110"/>
  <c r="DM47" i="110"/>
  <c r="DL47" i="110"/>
  <c r="DK47" i="110"/>
  <c r="DJ47" i="110"/>
  <c r="DI47" i="110"/>
  <c r="DH47" i="110"/>
  <c r="DG47" i="110"/>
  <c r="DF47" i="110"/>
  <c r="DE47" i="110"/>
  <c r="DD47" i="110"/>
  <c r="DC47" i="110"/>
  <c r="DB47" i="110"/>
  <c r="DA47" i="110"/>
  <c r="CZ47" i="110"/>
  <c r="CY47" i="110"/>
  <c r="CX47" i="110"/>
  <c r="CW47" i="110"/>
  <c r="CV47" i="110"/>
  <c r="CU47" i="110"/>
  <c r="CT47" i="110"/>
  <c r="CS47" i="110"/>
  <c r="CR47" i="110"/>
  <c r="CQ47" i="110"/>
  <c r="CP47" i="110"/>
  <c r="CO47" i="110"/>
  <c r="CN47" i="110"/>
  <c r="CM47" i="110"/>
  <c r="CL47" i="110"/>
  <c r="CK47" i="110"/>
  <c r="CJ47" i="110"/>
  <c r="CI47" i="110"/>
  <c r="CH47" i="110"/>
  <c r="CG47" i="110"/>
  <c r="CF47" i="110"/>
  <c r="CE47" i="110"/>
  <c r="CD47" i="110"/>
  <c r="CC47" i="110"/>
  <c r="CB47" i="110"/>
  <c r="CA47" i="110"/>
  <c r="BZ47" i="110"/>
  <c r="BY47" i="110"/>
  <c r="BX47" i="110"/>
  <c r="BW47" i="110"/>
  <c r="BV47" i="110"/>
  <c r="BU47" i="110"/>
  <c r="BT47" i="110"/>
  <c r="BS47" i="110"/>
  <c r="BR47" i="110"/>
  <c r="BQ47" i="110"/>
  <c r="BP47" i="110"/>
  <c r="BO47" i="110"/>
  <c r="BN47" i="110"/>
  <c r="BM47" i="110"/>
  <c r="BL47" i="110"/>
  <c r="BK47" i="110"/>
  <c r="BJ47" i="110"/>
  <c r="BI47" i="110"/>
  <c r="BH47" i="110"/>
  <c r="BG47" i="110"/>
  <c r="BF47" i="110"/>
  <c r="BE47" i="110"/>
  <c r="BD47" i="110"/>
  <c r="BC47" i="110"/>
  <c r="BB47" i="110"/>
  <c r="BA47" i="110"/>
  <c r="AZ47" i="110"/>
  <c r="AY47" i="110"/>
  <c r="AX47" i="110"/>
  <c r="AW47" i="110"/>
  <c r="AV47" i="110"/>
  <c r="AU47" i="110"/>
  <c r="AT47" i="110"/>
  <c r="AS47" i="110"/>
  <c r="AR47" i="110"/>
  <c r="AQ47" i="110"/>
  <c r="AP47" i="110"/>
  <c r="AO47" i="110"/>
  <c r="AN47" i="110"/>
  <c r="AM47" i="110"/>
  <c r="AL47" i="110"/>
  <c r="AK47" i="110"/>
  <c r="AJ47" i="110"/>
  <c r="AI47" i="110"/>
  <c r="AH47" i="110"/>
  <c r="AG47" i="110"/>
  <c r="AF47" i="110"/>
  <c r="AE47" i="110"/>
  <c r="AD47" i="110"/>
  <c r="AC47" i="110"/>
  <c r="AB47" i="110"/>
  <c r="AA47" i="110"/>
  <c r="Z47" i="110"/>
  <c r="Y47" i="110"/>
  <c r="X47" i="110"/>
  <c r="A47" i="110"/>
  <c r="OC46" i="110"/>
  <c r="OB46" i="110"/>
  <c r="OA46" i="110"/>
  <c r="NZ46" i="110"/>
  <c r="NY46" i="110"/>
  <c r="NX46" i="110"/>
  <c r="NW46" i="110"/>
  <c r="NV46" i="110"/>
  <c r="NU46" i="110"/>
  <c r="NT46" i="110"/>
  <c r="NS46" i="110"/>
  <c r="NR46" i="110"/>
  <c r="NQ46" i="110"/>
  <c r="NP46" i="110"/>
  <c r="NO46" i="110"/>
  <c r="NN46" i="110"/>
  <c r="NM46" i="110"/>
  <c r="NL46" i="110"/>
  <c r="NK46" i="110"/>
  <c r="NJ46" i="110"/>
  <c r="NI46" i="110"/>
  <c r="NH46" i="110"/>
  <c r="NG46" i="110"/>
  <c r="NF46" i="110"/>
  <c r="NE46" i="110"/>
  <c r="ND46" i="110"/>
  <c r="NC46" i="110"/>
  <c r="NB46" i="110"/>
  <c r="NA46" i="110"/>
  <c r="MZ46" i="110"/>
  <c r="MY46" i="110"/>
  <c r="MX46" i="110"/>
  <c r="MW46" i="110"/>
  <c r="MV46" i="110"/>
  <c r="MU46" i="110"/>
  <c r="MT46" i="110"/>
  <c r="MS46" i="110"/>
  <c r="MR46" i="110"/>
  <c r="MQ46" i="110"/>
  <c r="MP46" i="110"/>
  <c r="MO46" i="110"/>
  <c r="MN46" i="110"/>
  <c r="MM46" i="110"/>
  <c r="ML46" i="110"/>
  <c r="MK46" i="110"/>
  <c r="MJ46" i="110"/>
  <c r="MI46" i="110"/>
  <c r="MH46" i="110"/>
  <c r="MG46" i="110"/>
  <c r="MF46" i="110"/>
  <c r="ME46" i="110"/>
  <c r="MD46" i="110"/>
  <c r="MC46" i="110"/>
  <c r="MB46" i="110"/>
  <c r="MA46" i="110"/>
  <c r="LZ46" i="110"/>
  <c r="LY46" i="110"/>
  <c r="LX46" i="110"/>
  <c r="LW46" i="110"/>
  <c r="LV46" i="110"/>
  <c r="LU46" i="110"/>
  <c r="LT46" i="110"/>
  <c r="LS46" i="110"/>
  <c r="LR46" i="110"/>
  <c r="LQ46" i="110"/>
  <c r="LP46" i="110"/>
  <c r="LO46" i="110"/>
  <c r="LN46" i="110"/>
  <c r="LM46" i="110"/>
  <c r="LL46" i="110"/>
  <c r="LK46" i="110"/>
  <c r="LJ46" i="110"/>
  <c r="LI46" i="110"/>
  <c r="LH46" i="110"/>
  <c r="LG46" i="110"/>
  <c r="LF46" i="110"/>
  <c r="LE46" i="110"/>
  <c r="LD46" i="110"/>
  <c r="LC46" i="110"/>
  <c r="LB46" i="110"/>
  <c r="LA46" i="110"/>
  <c r="KZ46" i="110"/>
  <c r="KY46" i="110"/>
  <c r="KX46" i="110"/>
  <c r="KW46" i="110"/>
  <c r="KV46" i="110"/>
  <c r="KU46" i="110"/>
  <c r="KT46" i="110"/>
  <c r="KS46" i="110"/>
  <c r="KR46" i="110"/>
  <c r="KQ46" i="110"/>
  <c r="KP46" i="110"/>
  <c r="KO46" i="110"/>
  <c r="KN46" i="110"/>
  <c r="KM46" i="110"/>
  <c r="KL46" i="110"/>
  <c r="KK46" i="110"/>
  <c r="KJ46" i="110"/>
  <c r="KI46" i="110"/>
  <c r="KH46" i="110"/>
  <c r="KG46" i="110"/>
  <c r="KF46" i="110"/>
  <c r="KE46" i="110"/>
  <c r="KD46" i="110"/>
  <c r="KC46" i="110"/>
  <c r="KB46" i="110"/>
  <c r="KA46" i="110"/>
  <c r="JZ46" i="110"/>
  <c r="JY46" i="110"/>
  <c r="JX46" i="110"/>
  <c r="JW46" i="110"/>
  <c r="JV46" i="110"/>
  <c r="JU46" i="110"/>
  <c r="JT46" i="110"/>
  <c r="JS46" i="110"/>
  <c r="JR46" i="110"/>
  <c r="JQ46" i="110"/>
  <c r="JP46" i="110"/>
  <c r="JO46" i="110"/>
  <c r="JN46" i="110"/>
  <c r="JM46" i="110"/>
  <c r="JL46" i="110"/>
  <c r="JK46" i="110"/>
  <c r="JJ46" i="110"/>
  <c r="JI46" i="110"/>
  <c r="JH46" i="110"/>
  <c r="JG46" i="110"/>
  <c r="JF46" i="110"/>
  <c r="JE46" i="110"/>
  <c r="JD46" i="110"/>
  <c r="JC46" i="110"/>
  <c r="JB46" i="110"/>
  <c r="JA46" i="110"/>
  <c r="IZ46" i="110"/>
  <c r="IY46" i="110"/>
  <c r="IX46" i="110"/>
  <c r="IW46" i="110"/>
  <c r="IV46" i="110"/>
  <c r="IU46" i="110"/>
  <c r="IT46" i="110"/>
  <c r="IS46" i="110"/>
  <c r="IR46" i="110"/>
  <c r="IQ46" i="110"/>
  <c r="IP46" i="110"/>
  <c r="IO46" i="110"/>
  <c r="IN46" i="110"/>
  <c r="IM46" i="110"/>
  <c r="IL46" i="110"/>
  <c r="IK46" i="110"/>
  <c r="IJ46" i="110"/>
  <c r="II46" i="110"/>
  <c r="IH46" i="110"/>
  <c r="IG46" i="110"/>
  <c r="IF46" i="110"/>
  <c r="IE46" i="110"/>
  <c r="ID46" i="110"/>
  <c r="IC46" i="110"/>
  <c r="IB46" i="110"/>
  <c r="IA46" i="110"/>
  <c r="HZ46" i="110"/>
  <c r="HY46" i="110"/>
  <c r="HX46" i="110"/>
  <c r="HW46" i="110"/>
  <c r="HV46" i="110"/>
  <c r="HU46" i="110"/>
  <c r="HT46" i="110"/>
  <c r="HS46" i="110"/>
  <c r="HR46" i="110"/>
  <c r="HQ46" i="110"/>
  <c r="HP46" i="110"/>
  <c r="HO46" i="110"/>
  <c r="HN46" i="110"/>
  <c r="HM46" i="110"/>
  <c r="HL46" i="110"/>
  <c r="HK46" i="110"/>
  <c r="HJ46" i="110"/>
  <c r="HI46" i="110"/>
  <c r="HH46" i="110"/>
  <c r="HG46" i="110"/>
  <c r="HF46" i="110"/>
  <c r="HE46" i="110"/>
  <c r="HD46" i="110"/>
  <c r="HC46" i="110"/>
  <c r="HB46" i="110"/>
  <c r="HA46" i="110"/>
  <c r="GZ46" i="110"/>
  <c r="GY46" i="110"/>
  <c r="GX46" i="110"/>
  <c r="GW46" i="110"/>
  <c r="GV46" i="110"/>
  <c r="GU46" i="110"/>
  <c r="GT46" i="110"/>
  <c r="GS46" i="110"/>
  <c r="GR46" i="110"/>
  <c r="GQ46" i="110"/>
  <c r="GP46" i="110"/>
  <c r="GO46" i="110"/>
  <c r="GN46" i="110"/>
  <c r="GM46" i="110"/>
  <c r="GL46" i="110"/>
  <c r="GK46" i="110"/>
  <c r="GJ46" i="110"/>
  <c r="GI46" i="110"/>
  <c r="GH46" i="110"/>
  <c r="GG46" i="110"/>
  <c r="GF46" i="110"/>
  <c r="GE46" i="110"/>
  <c r="GD46" i="110"/>
  <c r="GC46" i="110"/>
  <c r="GB46" i="110"/>
  <c r="GA46" i="110"/>
  <c r="FZ46" i="110"/>
  <c r="FY46" i="110"/>
  <c r="FX46" i="110"/>
  <c r="FW46" i="110"/>
  <c r="FV46" i="110"/>
  <c r="FU46" i="110"/>
  <c r="FT46" i="110"/>
  <c r="FS46" i="110"/>
  <c r="FR46" i="110"/>
  <c r="FQ46" i="110"/>
  <c r="FP46" i="110"/>
  <c r="FO46" i="110"/>
  <c r="FN46" i="110"/>
  <c r="FM46" i="110"/>
  <c r="EC46" i="110"/>
  <c r="EB46" i="110"/>
  <c r="EA46" i="110"/>
  <c r="DZ46" i="110"/>
  <c r="DY46" i="110"/>
  <c r="DX46" i="110"/>
  <c r="DW46" i="110"/>
  <c r="DV46" i="110"/>
  <c r="DU46" i="110"/>
  <c r="DT46" i="110"/>
  <c r="DS46" i="110"/>
  <c r="DR46" i="110"/>
  <c r="DQ46" i="110"/>
  <c r="DP46" i="110"/>
  <c r="DO46" i="110"/>
  <c r="DN46" i="110"/>
  <c r="DM46" i="110"/>
  <c r="DL46" i="110"/>
  <c r="DK46" i="110"/>
  <c r="DJ46" i="110"/>
  <c r="DI46" i="110"/>
  <c r="DH46" i="110"/>
  <c r="DG46" i="110"/>
  <c r="DF46" i="110"/>
  <c r="DE46" i="110"/>
  <c r="DD46" i="110"/>
  <c r="DC46" i="110"/>
  <c r="DB46" i="110"/>
  <c r="DA46" i="110"/>
  <c r="CZ46" i="110"/>
  <c r="CY46" i="110"/>
  <c r="CX46" i="110"/>
  <c r="CW46" i="110"/>
  <c r="CV46" i="110"/>
  <c r="CU46" i="110"/>
  <c r="CT46" i="110"/>
  <c r="CS46" i="110"/>
  <c r="CR46" i="110"/>
  <c r="CQ46" i="110"/>
  <c r="CP46" i="110"/>
  <c r="CO46" i="110"/>
  <c r="CN46" i="110"/>
  <c r="CM46" i="110"/>
  <c r="CL46" i="110"/>
  <c r="CK46" i="110"/>
  <c r="CJ46" i="110"/>
  <c r="CI46" i="110"/>
  <c r="CH46" i="110"/>
  <c r="CG46" i="110"/>
  <c r="CF46" i="110"/>
  <c r="CE46" i="110"/>
  <c r="CD46" i="110"/>
  <c r="CC46" i="110"/>
  <c r="CB46" i="110"/>
  <c r="CA46" i="110"/>
  <c r="BZ46" i="110"/>
  <c r="BY46" i="110"/>
  <c r="BX46" i="110"/>
  <c r="BW46" i="110"/>
  <c r="BV46" i="110"/>
  <c r="BU46" i="110"/>
  <c r="BT46" i="110"/>
  <c r="BS46" i="110"/>
  <c r="BR46" i="110"/>
  <c r="BQ46" i="110"/>
  <c r="BP46" i="110"/>
  <c r="BO46" i="110"/>
  <c r="BN46" i="110"/>
  <c r="BM46" i="110"/>
  <c r="BL46" i="110"/>
  <c r="BK46" i="110"/>
  <c r="BJ46" i="110"/>
  <c r="BI46" i="110"/>
  <c r="BH46" i="110"/>
  <c r="BG46" i="110"/>
  <c r="BF46" i="110"/>
  <c r="BE46" i="110"/>
  <c r="BD46" i="110"/>
  <c r="BC46" i="110"/>
  <c r="BB46" i="110"/>
  <c r="BA46" i="110"/>
  <c r="AZ46" i="110"/>
  <c r="AY46" i="110"/>
  <c r="AX46" i="110"/>
  <c r="AW46" i="110"/>
  <c r="AV46" i="110"/>
  <c r="AU46" i="110"/>
  <c r="AT46" i="110"/>
  <c r="AS46" i="110"/>
  <c r="AR46" i="110"/>
  <c r="AQ46" i="110"/>
  <c r="AP46" i="110"/>
  <c r="AO46" i="110"/>
  <c r="AN46" i="110"/>
  <c r="AM46" i="110"/>
  <c r="AL46" i="110"/>
  <c r="AK46" i="110"/>
  <c r="AJ46" i="110"/>
  <c r="AI46" i="110"/>
  <c r="AH46" i="110"/>
  <c r="AG46" i="110"/>
  <c r="AF46" i="110"/>
  <c r="AE46" i="110"/>
  <c r="AD46" i="110"/>
  <c r="AC46" i="110"/>
  <c r="AB46" i="110"/>
  <c r="AA46" i="110"/>
  <c r="Z46" i="110"/>
  <c r="Y46" i="110"/>
  <c r="X46" i="110"/>
  <c r="A46" i="110"/>
  <c r="OC45" i="110"/>
  <c r="OB45" i="110"/>
  <c r="OA45" i="110"/>
  <c r="NZ45" i="110"/>
  <c r="NY45" i="110"/>
  <c r="NX45" i="110"/>
  <c r="NW45" i="110"/>
  <c r="NV45" i="110"/>
  <c r="NU45" i="110"/>
  <c r="NT45" i="110"/>
  <c r="NS45" i="110"/>
  <c r="NR45" i="110"/>
  <c r="NQ45" i="110"/>
  <c r="NP45" i="110"/>
  <c r="NO45" i="110"/>
  <c r="NN45" i="110"/>
  <c r="NM45" i="110"/>
  <c r="NL45" i="110"/>
  <c r="NK45" i="110"/>
  <c r="NJ45" i="110"/>
  <c r="NI45" i="110"/>
  <c r="NH45" i="110"/>
  <c r="NG45" i="110"/>
  <c r="NF45" i="110"/>
  <c r="NE45" i="110"/>
  <c r="ND45" i="110"/>
  <c r="NC45" i="110"/>
  <c r="NB45" i="110"/>
  <c r="NA45" i="110"/>
  <c r="MZ45" i="110"/>
  <c r="MY45" i="110"/>
  <c r="MX45" i="110"/>
  <c r="MW45" i="110"/>
  <c r="MV45" i="110"/>
  <c r="MU45" i="110"/>
  <c r="MT45" i="110"/>
  <c r="MS45" i="110"/>
  <c r="MR45" i="110"/>
  <c r="MQ45" i="110"/>
  <c r="MP45" i="110"/>
  <c r="MO45" i="110"/>
  <c r="MN45" i="110"/>
  <c r="MM45" i="110"/>
  <c r="ML45" i="110"/>
  <c r="MK45" i="110"/>
  <c r="MJ45" i="110"/>
  <c r="MI45" i="110"/>
  <c r="MH45" i="110"/>
  <c r="MG45" i="110"/>
  <c r="MF45" i="110"/>
  <c r="ME45" i="110"/>
  <c r="MD45" i="110"/>
  <c r="MC45" i="110"/>
  <c r="MB45" i="110"/>
  <c r="MA45" i="110"/>
  <c r="LZ45" i="110"/>
  <c r="LY45" i="110"/>
  <c r="LX45" i="110"/>
  <c r="LW45" i="110"/>
  <c r="LV45" i="110"/>
  <c r="LU45" i="110"/>
  <c r="LT45" i="110"/>
  <c r="LS45" i="110"/>
  <c r="LR45" i="110"/>
  <c r="LQ45" i="110"/>
  <c r="LP45" i="110"/>
  <c r="LO45" i="110"/>
  <c r="LN45" i="110"/>
  <c r="LM45" i="110"/>
  <c r="LL45" i="110"/>
  <c r="LK45" i="110"/>
  <c r="LJ45" i="110"/>
  <c r="LI45" i="110"/>
  <c r="LH45" i="110"/>
  <c r="LG45" i="110"/>
  <c r="LF45" i="110"/>
  <c r="LE45" i="110"/>
  <c r="LD45" i="110"/>
  <c r="LC45" i="110"/>
  <c r="LB45" i="110"/>
  <c r="LA45" i="110"/>
  <c r="KZ45" i="110"/>
  <c r="KY45" i="110"/>
  <c r="KX45" i="110"/>
  <c r="KW45" i="110"/>
  <c r="KV45" i="110"/>
  <c r="KU45" i="110"/>
  <c r="KT45" i="110"/>
  <c r="KS45" i="110"/>
  <c r="KR45" i="110"/>
  <c r="KQ45" i="110"/>
  <c r="KP45" i="110"/>
  <c r="KO45" i="110"/>
  <c r="KN45" i="110"/>
  <c r="KM45" i="110"/>
  <c r="KL45" i="110"/>
  <c r="KK45" i="110"/>
  <c r="KJ45" i="110"/>
  <c r="KI45" i="110"/>
  <c r="KH45" i="110"/>
  <c r="KG45" i="110"/>
  <c r="KF45" i="110"/>
  <c r="KE45" i="110"/>
  <c r="KD45" i="110"/>
  <c r="KC45" i="110"/>
  <c r="KB45" i="110"/>
  <c r="KA45" i="110"/>
  <c r="JZ45" i="110"/>
  <c r="JY45" i="110"/>
  <c r="JX45" i="110"/>
  <c r="JW45" i="110"/>
  <c r="JV45" i="110"/>
  <c r="JU45" i="110"/>
  <c r="JT45" i="110"/>
  <c r="JS45" i="110"/>
  <c r="JR45" i="110"/>
  <c r="JQ45" i="110"/>
  <c r="JP45" i="110"/>
  <c r="JO45" i="110"/>
  <c r="JN45" i="110"/>
  <c r="JM45" i="110"/>
  <c r="JL45" i="110"/>
  <c r="JK45" i="110"/>
  <c r="JJ45" i="110"/>
  <c r="JI45" i="110"/>
  <c r="JH45" i="110"/>
  <c r="JG45" i="110"/>
  <c r="JF45" i="110"/>
  <c r="JE45" i="110"/>
  <c r="JD45" i="110"/>
  <c r="JC45" i="110"/>
  <c r="JB45" i="110"/>
  <c r="JA45" i="110"/>
  <c r="IZ45" i="110"/>
  <c r="IY45" i="110"/>
  <c r="IX45" i="110"/>
  <c r="IW45" i="110"/>
  <c r="IV45" i="110"/>
  <c r="IU45" i="110"/>
  <c r="IT45" i="110"/>
  <c r="IS45" i="110"/>
  <c r="IR45" i="110"/>
  <c r="IQ45" i="110"/>
  <c r="IP45" i="110"/>
  <c r="IO45" i="110"/>
  <c r="IN45" i="110"/>
  <c r="IM45" i="110"/>
  <c r="IL45" i="110"/>
  <c r="IK45" i="110"/>
  <c r="IJ45" i="110"/>
  <c r="II45" i="110"/>
  <c r="IH45" i="110"/>
  <c r="IG45" i="110"/>
  <c r="IF45" i="110"/>
  <c r="IE45" i="110"/>
  <c r="ID45" i="110"/>
  <c r="IC45" i="110"/>
  <c r="IB45" i="110"/>
  <c r="IA45" i="110"/>
  <c r="HZ45" i="110"/>
  <c r="HY45" i="110"/>
  <c r="HX45" i="110"/>
  <c r="HW45" i="110"/>
  <c r="HV45" i="110"/>
  <c r="HU45" i="110"/>
  <c r="HT45" i="110"/>
  <c r="HS45" i="110"/>
  <c r="HR45" i="110"/>
  <c r="HQ45" i="110"/>
  <c r="HP45" i="110"/>
  <c r="HO45" i="110"/>
  <c r="HN45" i="110"/>
  <c r="HM45" i="110"/>
  <c r="HL45" i="110"/>
  <c r="HK45" i="110"/>
  <c r="HJ45" i="110"/>
  <c r="HI45" i="110"/>
  <c r="HH45" i="110"/>
  <c r="HG45" i="110"/>
  <c r="HF45" i="110"/>
  <c r="HE45" i="110"/>
  <c r="HD45" i="110"/>
  <c r="HC45" i="110"/>
  <c r="HB45" i="110"/>
  <c r="HA45" i="110"/>
  <c r="GZ45" i="110"/>
  <c r="GY45" i="110"/>
  <c r="GX45" i="110"/>
  <c r="GW45" i="110"/>
  <c r="GV45" i="110"/>
  <c r="GU45" i="110"/>
  <c r="GT45" i="110"/>
  <c r="GS45" i="110"/>
  <c r="GR45" i="110"/>
  <c r="GQ45" i="110"/>
  <c r="GP45" i="110"/>
  <c r="GO45" i="110"/>
  <c r="GN45" i="110"/>
  <c r="GM45" i="110"/>
  <c r="GL45" i="110"/>
  <c r="GK45" i="110"/>
  <c r="GJ45" i="110"/>
  <c r="GI45" i="110"/>
  <c r="GH45" i="110"/>
  <c r="GG45" i="110"/>
  <c r="GF45" i="110"/>
  <c r="GE45" i="110"/>
  <c r="GD45" i="110"/>
  <c r="GC45" i="110"/>
  <c r="GB45" i="110"/>
  <c r="GA45" i="110"/>
  <c r="FZ45" i="110"/>
  <c r="FY45" i="110"/>
  <c r="FX45" i="110"/>
  <c r="FW45" i="110"/>
  <c r="FV45" i="110"/>
  <c r="FU45" i="110"/>
  <c r="FT45" i="110"/>
  <c r="FS45" i="110"/>
  <c r="FR45" i="110"/>
  <c r="FQ45" i="110"/>
  <c r="FP45" i="110"/>
  <c r="FO45" i="110"/>
  <c r="FN45" i="110"/>
  <c r="FM45" i="110"/>
  <c r="EC45" i="110"/>
  <c r="EB45" i="110"/>
  <c r="EA45" i="110"/>
  <c r="DZ45" i="110"/>
  <c r="DY45" i="110"/>
  <c r="DX45" i="110"/>
  <c r="DW45" i="110"/>
  <c r="DV45" i="110"/>
  <c r="DU45" i="110"/>
  <c r="DT45" i="110"/>
  <c r="DS45" i="110"/>
  <c r="DR45" i="110"/>
  <c r="DQ45" i="110"/>
  <c r="DP45" i="110"/>
  <c r="DO45" i="110"/>
  <c r="DN45" i="110"/>
  <c r="DM45" i="110"/>
  <c r="DL45" i="110"/>
  <c r="DK45" i="110"/>
  <c r="DJ45" i="110"/>
  <c r="DI45" i="110"/>
  <c r="DH45" i="110"/>
  <c r="DG45" i="110"/>
  <c r="DF45" i="110"/>
  <c r="DE45" i="110"/>
  <c r="DD45" i="110"/>
  <c r="DC45" i="110"/>
  <c r="DB45" i="110"/>
  <c r="DA45" i="110"/>
  <c r="CZ45" i="110"/>
  <c r="CY45" i="110"/>
  <c r="CX45" i="110"/>
  <c r="CW45" i="110"/>
  <c r="CV45" i="110"/>
  <c r="CU45" i="110"/>
  <c r="CT45" i="110"/>
  <c r="CS45" i="110"/>
  <c r="CR45" i="110"/>
  <c r="CQ45" i="110"/>
  <c r="CP45" i="110"/>
  <c r="CO45" i="110"/>
  <c r="CN45" i="110"/>
  <c r="CM45" i="110"/>
  <c r="CL45" i="110"/>
  <c r="CK45" i="110"/>
  <c r="CJ45" i="110"/>
  <c r="CI45" i="110"/>
  <c r="CH45" i="110"/>
  <c r="CG45" i="110"/>
  <c r="CF45" i="110"/>
  <c r="CE45" i="110"/>
  <c r="CD45" i="110"/>
  <c r="CC45" i="110"/>
  <c r="CB45" i="110"/>
  <c r="CA45" i="110"/>
  <c r="BZ45" i="110"/>
  <c r="BY45" i="110"/>
  <c r="BX45" i="110"/>
  <c r="BW45" i="110"/>
  <c r="BV45" i="110"/>
  <c r="BU45" i="110"/>
  <c r="BT45" i="110"/>
  <c r="BS45" i="110"/>
  <c r="BR45" i="110"/>
  <c r="BQ45" i="110"/>
  <c r="BP45" i="110"/>
  <c r="BO45" i="110"/>
  <c r="BN45" i="110"/>
  <c r="BM45" i="110"/>
  <c r="BL45" i="110"/>
  <c r="BK45" i="110"/>
  <c r="BJ45" i="110"/>
  <c r="BI45" i="110"/>
  <c r="BH45" i="110"/>
  <c r="BG45" i="110"/>
  <c r="BF45" i="110"/>
  <c r="BE45" i="110"/>
  <c r="BD45" i="110"/>
  <c r="BC45" i="110"/>
  <c r="BB45" i="110"/>
  <c r="BA45" i="110"/>
  <c r="AZ45" i="110"/>
  <c r="AY45" i="110"/>
  <c r="AX45" i="110"/>
  <c r="AW45" i="110"/>
  <c r="AV45" i="110"/>
  <c r="AU45" i="110"/>
  <c r="AT45" i="110"/>
  <c r="AS45" i="110"/>
  <c r="AR45" i="110"/>
  <c r="AQ45" i="110"/>
  <c r="AP45" i="110"/>
  <c r="AO45" i="110"/>
  <c r="AN45" i="110"/>
  <c r="AM45" i="110"/>
  <c r="AL45" i="110"/>
  <c r="AK45" i="110"/>
  <c r="AJ45" i="110"/>
  <c r="AI45" i="110"/>
  <c r="AH45" i="110"/>
  <c r="AG45" i="110"/>
  <c r="AF45" i="110"/>
  <c r="AE45" i="110"/>
  <c r="AD45" i="110"/>
  <c r="AC45" i="110"/>
  <c r="AB45" i="110"/>
  <c r="AA45" i="110"/>
  <c r="Z45" i="110"/>
  <c r="Y45" i="110"/>
  <c r="X45" i="110"/>
  <c r="A45" i="110"/>
  <c r="OC44" i="110"/>
  <c r="OB44" i="110"/>
  <c r="OA44" i="110"/>
  <c r="NZ44" i="110"/>
  <c r="NY44" i="110"/>
  <c r="NX44" i="110"/>
  <c r="NW44" i="110"/>
  <c r="NV44" i="110"/>
  <c r="NU44" i="110"/>
  <c r="NT44" i="110"/>
  <c r="NS44" i="110"/>
  <c r="NR44" i="110"/>
  <c r="NQ44" i="110"/>
  <c r="NP44" i="110"/>
  <c r="NO44" i="110"/>
  <c r="NN44" i="110"/>
  <c r="NM44" i="110"/>
  <c r="NL44" i="110"/>
  <c r="NK44" i="110"/>
  <c r="NJ44" i="110"/>
  <c r="NI44" i="110"/>
  <c r="NH44" i="110"/>
  <c r="NG44" i="110"/>
  <c r="NF44" i="110"/>
  <c r="NE44" i="110"/>
  <c r="ND44" i="110"/>
  <c r="NC44" i="110"/>
  <c r="NB44" i="110"/>
  <c r="NA44" i="110"/>
  <c r="MZ44" i="110"/>
  <c r="MY44" i="110"/>
  <c r="MX44" i="110"/>
  <c r="MW44" i="110"/>
  <c r="MV44" i="110"/>
  <c r="MU44" i="110"/>
  <c r="MT44" i="110"/>
  <c r="MS44" i="110"/>
  <c r="MR44" i="110"/>
  <c r="MQ44" i="110"/>
  <c r="MP44" i="110"/>
  <c r="MO44" i="110"/>
  <c r="MN44" i="110"/>
  <c r="MM44" i="110"/>
  <c r="ML44" i="110"/>
  <c r="MK44" i="110"/>
  <c r="MJ44" i="110"/>
  <c r="MI44" i="110"/>
  <c r="MH44" i="110"/>
  <c r="MG44" i="110"/>
  <c r="MF44" i="110"/>
  <c r="ME44" i="110"/>
  <c r="MD44" i="110"/>
  <c r="MC44" i="110"/>
  <c r="MB44" i="110"/>
  <c r="MA44" i="110"/>
  <c r="LZ44" i="110"/>
  <c r="LY44" i="110"/>
  <c r="LX44" i="110"/>
  <c r="LW44" i="110"/>
  <c r="LV44" i="110"/>
  <c r="LU44" i="110"/>
  <c r="LT44" i="110"/>
  <c r="LS44" i="110"/>
  <c r="LR44" i="110"/>
  <c r="LQ44" i="110"/>
  <c r="LP44" i="110"/>
  <c r="LO44" i="110"/>
  <c r="LN44" i="110"/>
  <c r="LM44" i="110"/>
  <c r="LL44" i="110"/>
  <c r="LK44" i="110"/>
  <c r="LJ44" i="110"/>
  <c r="LI44" i="110"/>
  <c r="LH44" i="110"/>
  <c r="LG44" i="110"/>
  <c r="LF44" i="110"/>
  <c r="LE44" i="110"/>
  <c r="LD44" i="110"/>
  <c r="LC44" i="110"/>
  <c r="LB44" i="110"/>
  <c r="LA44" i="110"/>
  <c r="KZ44" i="110"/>
  <c r="KY44" i="110"/>
  <c r="KX44" i="110"/>
  <c r="KW44" i="110"/>
  <c r="KV44" i="110"/>
  <c r="KU44" i="110"/>
  <c r="KT44" i="110"/>
  <c r="KS44" i="110"/>
  <c r="KR44" i="110"/>
  <c r="KQ44" i="110"/>
  <c r="KP44" i="110"/>
  <c r="KO44" i="110"/>
  <c r="KN44" i="110"/>
  <c r="KM44" i="110"/>
  <c r="KL44" i="110"/>
  <c r="KK44" i="110"/>
  <c r="KJ44" i="110"/>
  <c r="KI44" i="110"/>
  <c r="KH44" i="110"/>
  <c r="KG44" i="110"/>
  <c r="KF44" i="110"/>
  <c r="KE44" i="110"/>
  <c r="KD44" i="110"/>
  <c r="KC44" i="110"/>
  <c r="KB44" i="110"/>
  <c r="KA44" i="110"/>
  <c r="JZ44" i="110"/>
  <c r="JY44" i="110"/>
  <c r="JX44" i="110"/>
  <c r="JW44" i="110"/>
  <c r="JV44" i="110"/>
  <c r="JU44" i="110"/>
  <c r="JT44" i="110"/>
  <c r="JS44" i="110"/>
  <c r="JR44" i="110"/>
  <c r="JQ44" i="110"/>
  <c r="JP44" i="110"/>
  <c r="JO44" i="110"/>
  <c r="JN44" i="110"/>
  <c r="JM44" i="110"/>
  <c r="JL44" i="110"/>
  <c r="JK44" i="110"/>
  <c r="JJ44" i="110"/>
  <c r="JI44" i="110"/>
  <c r="JH44" i="110"/>
  <c r="JG44" i="110"/>
  <c r="JF44" i="110"/>
  <c r="JE44" i="110"/>
  <c r="JD44" i="110"/>
  <c r="JC44" i="110"/>
  <c r="JB44" i="110"/>
  <c r="JA44" i="110"/>
  <c r="IZ44" i="110"/>
  <c r="IY44" i="110"/>
  <c r="IX44" i="110"/>
  <c r="IW44" i="110"/>
  <c r="IV44" i="110"/>
  <c r="IU44" i="110"/>
  <c r="IT44" i="110"/>
  <c r="IS44" i="110"/>
  <c r="IR44" i="110"/>
  <c r="IQ44" i="110"/>
  <c r="IP44" i="110"/>
  <c r="IO44" i="110"/>
  <c r="IN44" i="110"/>
  <c r="IM44" i="110"/>
  <c r="IL44" i="110"/>
  <c r="IK44" i="110"/>
  <c r="IJ44" i="110"/>
  <c r="II44" i="110"/>
  <c r="IH44" i="110"/>
  <c r="IG44" i="110"/>
  <c r="IF44" i="110"/>
  <c r="IE44" i="110"/>
  <c r="ID44" i="110"/>
  <c r="IC44" i="110"/>
  <c r="IB44" i="110"/>
  <c r="IA44" i="110"/>
  <c r="HZ44" i="110"/>
  <c r="HY44" i="110"/>
  <c r="HX44" i="110"/>
  <c r="HW44" i="110"/>
  <c r="HV44" i="110"/>
  <c r="HU44" i="110"/>
  <c r="HT44" i="110"/>
  <c r="HS44" i="110"/>
  <c r="HR44" i="110"/>
  <c r="HQ44" i="110"/>
  <c r="HP44" i="110"/>
  <c r="HO44" i="110"/>
  <c r="HN44" i="110"/>
  <c r="HM44" i="110"/>
  <c r="HL44" i="110"/>
  <c r="HK44" i="110"/>
  <c r="HJ44" i="110"/>
  <c r="HI44" i="110"/>
  <c r="HH44" i="110"/>
  <c r="HG44" i="110"/>
  <c r="HF44" i="110"/>
  <c r="HE44" i="110"/>
  <c r="HD44" i="110"/>
  <c r="HC44" i="110"/>
  <c r="HB44" i="110"/>
  <c r="HA44" i="110"/>
  <c r="GZ44" i="110"/>
  <c r="GY44" i="110"/>
  <c r="GX44" i="110"/>
  <c r="GW44" i="110"/>
  <c r="GV44" i="110"/>
  <c r="GU44" i="110"/>
  <c r="GT44" i="110"/>
  <c r="GS44" i="110"/>
  <c r="GR44" i="110"/>
  <c r="GQ44" i="110"/>
  <c r="GP44" i="110"/>
  <c r="GO44" i="110"/>
  <c r="GN44" i="110"/>
  <c r="GM44" i="110"/>
  <c r="GL44" i="110"/>
  <c r="GK44" i="110"/>
  <c r="GJ44" i="110"/>
  <c r="GI44" i="110"/>
  <c r="GH44" i="110"/>
  <c r="GG44" i="110"/>
  <c r="GF44" i="110"/>
  <c r="GE44" i="110"/>
  <c r="GD44" i="110"/>
  <c r="GC44" i="110"/>
  <c r="GB44" i="110"/>
  <c r="GA44" i="110"/>
  <c r="FZ44" i="110"/>
  <c r="FY44" i="110"/>
  <c r="FX44" i="110"/>
  <c r="FW44" i="110"/>
  <c r="FV44" i="110"/>
  <c r="FU44" i="110"/>
  <c r="FT44" i="110"/>
  <c r="FS44" i="110"/>
  <c r="FR44" i="110"/>
  <c r="FQ44" i="110"/>
  <c r="FP44" i="110"/>
  <c r="FO44" i="110"/>
  <c r="FN44" i="110"/>
  <c r="FM44" i="110"/>
  <c r="EC44" i="110"/>
  <c r="EB44" i="110"/>
  <c r="EA44" i="110"/>
  <c r="DZ44" i="110"/>
  <c r="DY44" i="110"/>
  <c r="DX44" i="110"/>
  <c r="DW44" i="110"/>
  <c r="DV44" i="110"/>
  <c r="DU44" i="110"/>
  <c r="DT44" i="110"/>
  <c r="DS44" i="110"/>
  <c r="DR44" i="110"/>
  <c r="DQ44" i="110"/>
  <c r="DP44" i="110"/>
  <c r="DO44" i="110"/>
  <c r="DN44" i="110"/>
  <c r="DM44" i="110"/>
  <c r="DL44" i="110"/>
  <c r="DK44" i="110"/>
  <c r="DJ44" i="110"/>
  <c r="DI44" i="110"/>
  <c r="DH44" i="110"/>
  <c r="DG44" i="110"/>
  <c r="DF44" i="110"/>
  <c r="DE44" i="110"/>
  <c r="DD44" i="110"/>
  <c r="DC44" i="110"/>
  <c r="DB44" i="110"/>
  <c r="DA44" i="110"/>
  <c r="CZ44" i="110"/>
  <c r="CY44" i="110"/>
  <c r="CX44" i="110"/>
  <c r="CW44" i="110"/>
  <c r="CV44" i="110"/>
  <c r="CU44" i="110"/>
  <c r="CT44" i="110"/>
  <c r="CS44" i="110"/>
  <c r="CR44" i="110"/>
  <c r="CQ44" i="110"/>
  <c r="CP44" i="110"/>
  <c r="CO44" i="110"/>
  <c r="CN44" i="110"/>
  <c r="CM44" i="110"/>
  <c r="CL44" i="110"/>
  <c r="CK44" i="110"/>
  <c r="CJ44" i="110"/>
  <c r="CI44" i="110"/>
  <c r="CH44" i="110"/>
  <c r="CG44" i="110"/>
  <c r="CF44" i="110"/>
  <c r="CE44" i="110"/>
  <c r="CD44" i="110"/>
  <c r="CC44" i="110"/>
  <c r="CB44" i="110"/>
  <c r="CA44" i="110"/>
  <c r="BZ44" i="110"/>
  <c r="BY44" i="110"/>
  <c r="BX44" i="110"/>
  <c r="BW44" i="110"/>
  <c r="BV44" i="110"/>
  <c r="BU44" i="110"/>
  <c r="BT44" i="110"/>
  <c r="BS44" i="110"/>
  <c r="BR44" i="110"/>
  <c r="BQ44" i="110"/>
  <c r="BP44" i="110"/>
  <c r="BO44" i="110"/>
  <c r="BN44" i="110"/>
  <c r="BM44" i="110"/>
  <c r="BL44" i="110"/>
  <c r="BK44" i="110"/>
  <c r="BJ44" i="110"/>
  <c r="BI44" i="110"/>
  <c r="BH44" i="110"/>
  <c r="BG44" i="110"/>
  <c r="BF44" i="110"/>
  <c r="BE44" i="110"/>
  <c r="BD44" i="110"/>
  <c r="BC44" i="110"/>
  <c r="BB44" i="110"/>
  <c r="BA44" i="110"/>
  <c r="AZ44" i="110"/>
  <c r="AY44" i="110"/>
  <c r="AX44" i="110"/>
  <c r="AW44" i="110"/>
  <c r="AV44" i="110"/>
  <c r="AU44" i="110"/>
  <c r="AT44" i="110"/>
  <c r="AS44" i="110"/>
  <c r="AR44" i="110"/>
  <c r="AQ44" i="110"/>
  <c r="AP44" i="110"/>
  <c r="AO44" i="110"/>
  <c r="AN44" i="110"/>
  <c r="AM44" i="110"/>
  <c r="AL44" i="110"/>
  <c r="AK44" i="110"/>
  <c r="AJ44" i="110"/>
  <c r="AI44" i="110"/>
  <c r="AH44" i="110"/>
  <c r="AG44" i="110"/>
  <c r="AF44" i="110"/>
  <c r="AE44" i="110"/>
  <c r="AD44" i="110"/>
  <c r="AC44" i="110"/>
  <c r="AB44" i="110"/>
  <c r="AA44" i="110"/>
  <c r="Z44" i="110"/>
  <c r="Y44" i="110"/>
  <c r="X44" i="110"/>
  <c r="A44" i="110"/>
  <c r="OC43" i="110"/>
  <c r="OB43" i="110"/>
  <c r="OA43" i="110"/>
  <c r="NZ43" i="110"/>
  <c r="NY43" i="110"/>
  <c r="NX43" i="110"/>
  <c r="NW43" i="110"/>
  <c r="NV43" i="110"/>
  <c r="NU43" i="110"/>
  <c r="NT43" i="110"/>
  <c r="NS43" i="110"/>
  <c r="NR43" i="110"/>
  <c r="NQ43" i="110"/>
  <c r="NP43" i="110"/>
  <c r="NO43" i="110"/>
  <c r="NN43" i="110"/>
  <c r="NM43" i="110"/>
  <c r="NL43" i="110"/>
  <c r="NK43" i="110"/>
  <c r="NJ43" i="110"/>
  <c r="NI43" i="110"/>
  <c r="NH43" i="110"/>
  <c r="NG43" i="110"/>
  <c r="NF43" i="110"/>
  <c r="NE43" i="110"/>
  <c r="ND43" i="110"/>
  <c r="NC43" i="110"/>
  <c r="NB43" i="110"/>
  <c r="NA43" i="110"/>
  <c r="MZ43" i="110"/>
  <c r="MY43" i="110"/>
  <c r="MX43" i="110"/>
  <c r="MW43" i="110"/>
  <c r="MV43" i="110"/>
  <c r="MU43" i="110"/>
  <c r="MT43" i="110"/>
  <c r="MS43" i="110"/>
  <c r="MR43" i="110"/>
  <c r="MQ43" i="110"/>
  <c r="MP43" i="110"/>
  <c r="MO43" i="110"/>
  <c r="MN43" i="110"/>
  <c r="MM43" i="110"/>
  <c r="ML43" i="110"/>
  <c r="MK43" i="110"/>
  <c r="MJ43" i="110"/>
  <c r="MI43" i="110"/>
  <c r="MH43" i="110"/>
  <c r="MG43" i="110"/>
  <c r="MF43" i="110"/>
  <c r="ME43" i="110"/>
  <c r="MD43" i="110"/>
  <c r="MC43" i="110"/>
  <c r="MB43" i="110"/>
  <c r="MA43" i="110"/>
  <c r="LZ43" i="110"/>
  <c r="LY43" i="110"/>
  <c r="LX43" i="110"/>
  <c r="LW43" i="110"/>
  <c r="LV43" i="110"/>
  <c r="LU43" i="110"/>
  <c r="LT43" i="110"/>
  <c r="LS43" i="110"/>
  <c r="LR43" i="110"/>
  <c r="LQ43" i="110"/>
  <c r="LP43" i="110"/>
  <c r="LO43" i="110"/>
  <c r="LN43" i="110"/>
  <c r="LM43" i="110"/>
  <c r="LL43" i="110"/>
  <c r="LK43" i="110"/>
  <c r="LJ43" i="110"/>
  <c r="LI43" i="110"/>
  <c r="LH43" i="110"/>
  <c r="LG43" i="110"/>
  <c r="LF43" i="110"/>
  <c r="LE43" i="110"/>
  <c r="LD43" i="110"/>
  <c r="LC43" i="110"/>
  <c r="LB43" i="110"/>
  <c r="LA43" i="110"/>
  <c r="KZ43" i="110"/>
  <c r="KY43" i="110"/>
  <c r="KX43" i="110"/>
  <c r="KW43" i="110"/>
  <c r="KV43" i="110"/>
  <c r="KU43" i="110"/>
  <c r="KT43" i="110"/>
  <c r="KS43" i="110"/>
  <c r="KR43" i="110"/>
  <c r="KQ43" i="110"/>
  <c r="KP43" i="110"/>
  <c r="KO43" i="110"/>
  <c r="KN43" i="110"/>
  <c r="KM43" i="110"/>
  <c r="KL43" i="110"/>
  <c r="KK43" i="110"/>
  <c r="KJ43" i="110"/>
  <c r="KI43" i="110"/>
  <c r="KH43" i="110"/>
  <c r="KG43" i="110"/>
  <c r="KF43" i="110"/>
  <c r="KE43" i="110"/>
  <c r="KD43" i="110"/>
  <c r="KC43" i="110"/>
  <c r="KB43" i="110"/>
  <c r="KA43" i="110"/>
  <c r="JZ43" i="110"/>
  <c r="JY43" i="110"/>
  <c r="JX43" i="110"/>
  <c r="JW43" i="110"/>
  <c r="JV43" i="110"/>
  <c r="JU43" i="110"/>
  <c r="JT43" i="110"/>
  <c r="JS43" i="110"/>
  <c r="JR43" i="110"/>
  <c r="JQ43" i="110"/>
  <c r="JP43" i="110"/>
  <c r="JO43" i="110"/>
  <c r="JN43" i="110"/>
  <c r="JM43" i="110"/>
  <c r="JL43" i="110"/>
  <c r="JK43" i="110"/>
  <c r="JJ43" i="110"/>
  <c r="JI43" i="110"/>
  <c r="JH43" i="110"/>
  <c r="JG43" i="110"/>
  <c r="JF43" i="110"/>
  <c r="JE43" i="110"/>
  <c r="JD43" i="110"/>
  <c r="JC43" i="110"/>
  <c r="JB43" i="110"/>
  <c r="JA43" i="110"/>
  <c r="IZ43" i="110"/>
  <c r="IY43" i="110"/>
  <c r="IX43" i="110"/>
  <c r="IW43" i="110"/>
  <c r="IV43" i="110"/>
  <c r="IU43" i="110"/>
  <c r="IT43" i="110"/>
  <c r="IS43" i="110"/>
  <c r="IR43" i="110"/>
  <c r="IQ43" i="110"/>
  <c r="IP43" i="110"/>
  <c r="IO43" i="110"/>
  <c r="IN43" i="110"/>
  <c r="IM43" i="110"/>
  <c r="IL43" i="110"/>
  <c r="IK43" i="110"/>
  <c r="IJ43" i="110"/>
  <c r="II43" i="110"/>
  <c r="IH43" i="110"/>
  <c r="IG43" i="110"/>
  <c r="IF43" i="110"/>
  <c r="IE43" i="110"/>
  <c r="ID43" i="110"/>
  <c r="IC43" i="110"/>
  <c r="IB43" i="110"/>
  <c r="IA43" i="110"/>
  <c r="HZ43" i="110"/>
  <c r="HY43" i="110"/>
  <c r="HX43" i="110"/>
  <c r="HW43" i="110"/>
  <c r="HV43" i="110"/>
  <c r="HU43" i="110"/>
  <c r="HT43" i="110"/>
  <c r="HS43" i="110"/>
  <c r="HR43" i="110"/>
  <c r="HQ43" i="110"/>
  <c r="HP43" i="110"/>
  <c r="HO43" i="110"/>
  <c r="HN43" i="110"/>
  <c r="HM43" i="110"/>
  <c r="HL43" i="110"/>
  <c r="HK43" i="110"/>
  <c r="HJ43" i="110"/>
  <c r="HI43" i="110"/>
  <c r="HH43" i="110"/>
  <c r="HG43" i="110"/>
  <c r="HF43" i="110"/>
  <c r="HE43" i="110"/>
  <c r="HD43" i="110"/>
  <c r="HC43" i="110"/>
  <c r="HB43" i="110"/>
  <c r="HA43" i="110"/>
  <c r="GZ43" i="110"/>
  <c r="GY43" i="110"/>
  <c r="GX43" i="110"/>
  <c r="GW43" i="110"/>
  <c r="GV43" i="110"/>
  <c r="GU43" i="110"/>
  <c r="GT43" i="110"/>
  <c r="GS43" i="110"/>
  <c r="GR43" i="110"/>
  <c r="GQ43" i="110"/>
  <c r="GP43" i="110"/>
  <c r="GO43" i="110"/>
  <c r="GN43" i="110"/>
  <c r="GM43" i="110"/>
  <c r="GL43" i="110"/>
  <c r="GK43" i="110"/>
  <c r="GJ43" i="110"/>
  <c r="GI43" i="110"/>
  <c r="GH43" i="110"/>
  <c r="GG43" i="110"/>
  <c r="GF43" i="110"/>
  <c r="GE43" i="110"/>
  <c r="GD43" i="110"/>
  <c r="GC43" i="110"/>
  <c r="GB43" i="110"/>
  <c r="GA43" i="110"/>
  <c r="FZ43" i="110"/>
  <c r="FY43" i="110"/>
  <c r="FX43" i="110"/>
  <c r="FW43" i="110"/>
  <c r="FV43" i="110"/>
  <c r="FU43" i="110"/>
  <c r="FT43" i="110"/>
  <c r="FS43" i="110"/>
  <c r="FR43" i="110"/>
  <c r="FQ43" i="110"/>
  <c r="FP43" i="110"/>
  <c r="FO43" i="110"/>
  <c r="FN43" i="110"/>
  <c r="FM43" i="110"/>
  <c r="EC43" i="110"/>
  <c r="EB43" i="110"/>
  <c r="EA43" i="110"/>
  <c r="DZ43" i="110"/>
  <c r="DY43" i="110"/>
  <c r="DX43" i="110"/>
  <c r="DW43" i="110"/>
  <c r="DV43" i="110"/>
  <c r="DU43" i="110"/>
  <c r="DT43" i="110"/>
  <c r="DS43" i="110"/>
  <c r="DR43" i="110"/>
  <c r="DQ43" i="110"/>
  <c r="DP43" i="110"/>
  <c r="DO43" i="110"/>
  <c r="DN43" i="110"/>
  <c r="DM43" i="110"/>
  <c r="DL43" i="110"/>
  <c r="DK43" i="110"/>
  <c r="DJ43" i="110"/>
  <c r="DI43" i="110"/>
  <c r="DH43" i="110"/>
  <c r="DG43" i="110"/>
  <c r="DF43" i="110"/>
  <c r="DE43" i="110"/>
  <c r="DD43" i="110"/>
  <c r="DC43" i="110"/>
  <c r="DB43" i="110"/>
  <c r="DA43" i="110"/>
  <c r="CZ43" i="110"/>
  <c r="CY43" i="110"/>
  <c r="CX43" i="110"/>
  <c r="CW43" i="110"/>
  <c r="CV43" i="110"/>
  <c r="CU43" i="110"/>
  <c r="CT43" i="110"/>
  <c r="CS43" i="110"/>
  <c r="CR43" i="110"/>
  <c r="CQ43" i="110"/>
  <c r="CP43" i="110"/>
  <c r="CO43" i="110"/>
  <c r="CN43" i="110"/>
  <c r="CM43" i="110"/>
  <c r="CL43" i="110"/>
  <c r="CK43" i="110"/>
  <c r="CJ43" i="110"/>
  <c r="CI43" i="110"/>
  <c r="CH43" i="110"/>
  <c r="CG43" i="110"/>
  <c r="CF43" i="110"/>
  <c r="CE43" i="110"/>
  <c r="CD43" i="110"/>
  <c r="CC43" i="110"/>
  <c r="CB43" i="110"/>
  <c r="CA43" i="110"/>
  <c r="BZ43" i="110"/>
  <c r="BY43" i="110"/>
  <c r="BX43" i="110"/>
  <c r="BW43" i="110"/>
  <c r="BV43" i="110"/>
  <c r="BU43" i="110"/>
  <c r="BT43" i="110"/>
  <c r="BS43" i="110"/>
  <c r="BR43" i="110"/>
  <c r="BQ43" i="110"/>
  <c r="BP43" i="110"/>
  <c r="BO43" i="110"/>
  <c r="BN43" i="110"/>
  <c r="BM43" i="110"/>
  <c r="BL43" i="110"/>
  <c r="BK43" i="110"/>
  <c r="BJ43" i="110"/>
  <c r="BI43" i="110"/>
  <c r="BH43" i="110"/>
  <c r="BG43" i="110"/>
  <c r="BF43" i="110"/>
  <c r="BE43" i="110"/>
  <c r="BD43" i="110"/>
  <c r="BC43" i="110"/>
  <c r="BB43" i="110"/>
  <c r="BA43" i="110"/>
  <c r="AZ43" i="110"/>
  <c r="AY43" i="110"/>
  <c r="AX43" i="110"/>
  <c r="AW43" i="110"/>
  <c r="AV43" i="110"/>
  <c r="AU43" i="110"/>
  <c r="AT43" i="110"/>
  <c r="AS43" i="110"/>
  <c r="AR43" i="110"/>
  <c r="AQ43" i="110"/>
  <c r="AP43" i="110"/>
  <c r="AO43" i="110"/>
  <c r="AN43" i="110"/>
  <c r="AM43" i="110"/>
  <c r="AL43" i="110"/>
  <c r="AK43" i="110"/>
  <c r="AJ43" i="110"/>
  <c r="AI43" i="110"/>
  <c r="AH43" i="110"/>
  <c r="AG43" i="110"/>
  <c r="AF43" i="110"/>
  <c r="AE43" i="110"/>
  <c r="AD43" i="110"/>
  <c r="AC43" i="110"/>
  <c r="AB43" i="110"/>
  <c r="AA43" i="110"/>
  <c r="Z43" i="110"/>
  <c r="Y43" i="110"/>
  <c r="X43" i="110"/>
  <c r="A43" i="110"/>
  <c r="OC42" i="110"/>
  <c r="OB42" i="110"/>
  <c r="OA42" i="110"/>
  <c r="NZ42" i="110"/>
  <c r="NY42" i="110"/>
  <c r="NX42" i="110"/>
  <c r="NW42" i="110"/>
  <c r="NV42" i="110"/>
  <c r="NU42" i="110"/>
  <c r="NT42" i="110"/>
  <c r="NS42" i="110"/>
  <c r="NR42" i="110"/>
  <c r="NQ42" i="110"/>
  <c r="NP42" i="110"/>
  <c r="NO42" i="110"/>
  <c r="NN42" i="110"/>
  <c r="NM42" i="110"/>
  <c r="NL42" i="110"/>
  <c r="NK42" i="110"/>
  <c r="NJ42" i="110"/>
  <c r="NI42" i="110"/>
  <c r="NH42" i="110"/>
  <c r="NG42" i="110"/>
  <c r="NF42" i="110"/>
  <c r="NE42" i="110"/>
  <c r="ND42" i="110"/>
  <c r="NC42" i="110"/>
  <c r="NB42" i="110"/>
  <c r="NA42" i="110"/>
  <c r="MZ42" i="110"/>
  <c r="MY42" i="110"/>
  <c r="MX42" i="110"/>
  <c r="MW42" i="110"/>
  <c r="MV42" i="110"/>
  <c r="MU42" i="110"/>
  <c r="MT42" i="110"/>
  <c r="MS42" i="110"/>
  <c r="MR42" i="110"/>
  <c r="MQ42" i="110"/>
  <c r="MP42" i="110"/>
  <c r="MO42" i="110"/>
  <c r="MN42" i="110"/>
  <c r="MM42" i="110"/>
  <c r="ML42" i="110"/>
  <c r="MK42" i="110"/>
  <c r="MJ42" i="110"/>
  <c r="MI42" i="110"/>
  <c r="MH42" i="110"/>
  <c r="MG42" i="110"/>
  <c r="MF42" i="110"/>
  <c r="ME42" i="110"/>
  <c r="MD42" i="110"/>
  <c r="MC42" i="110"/>
  <c r="MB42" i="110"/>
  <c r="MA42" i="110"/>
  <c r="LZ42" i="110"/>
  <c r="LY42" i="110"/>
  <c r="LX42" i="110"/>
  <c r="LW42" i="110"/>
  <c r="LV42" i="110"/>
  <c r="LU42" i="110"/>
  <c r="LT42" i="110"/>
  <c r="LS42" i="110"/>
  <c r="LR42" i="110"/>
  <c r="LQ42" i="110"/>
  <c r="LP42" i="110"/>
  <c r="LO42" i="110"/>
  <c r="LN42" i="110"/>
  <c r="LM42" i="110"/>
  <c r="LL42" i="110"/>
  <c r="LK42" i="110"/>
  <c r="LJ42" i="110"/>
  <c r="LI42" i="110"/>
  <c r="LH42" i="110"/>
  <c r="LG42" i="110"/>
  <c r="LF42" i="110"/>
  <c r="LE42" i="110"/>
  <c r="LD42" i="110"/>
  <c r="LC42" i="110"/>
  <c r="LB42" i="110"/>
  <c r="LA42" i="110"/>
  <c r="KZ42" i="110"/>
  <c r="KY42" i="110"/>
  <c r="KX42" i="110"/>
  <c r="KW42" i="110"/>
  <c r="KV42" i="110"/>
  <c r="KU42" i="110"/>
  <c r="KT42" i="110"/>
  <c r="KS42" i="110"/>
  <c r="KR42" i="110"/>
  <c r="KQ42" i="110"/>
  <c r="KP42" i="110"/>
  <c r="KO42" i="110"/>
  <c r="KN42" i="110"/>
  <c r="KM42" i="110"/>
  <c r="KL42" i="110"/>
  <c r="KK42" i="110"/>
  <c r="KJ42" i="110"/>
  <c r="KI42" i="110"/>
  <c r="KH42" i="110"/>
  <c r="KG42" i="110"/>
  <c r="KF42" i="110"/>
  <c r="KE42" i="110"/>
  <c r="KD42" i="110"/>
  <c r="KC42" i="110"/>
  <c r="KB42" i="110"/>
  <c r="KA42" i="110"/>
  <c r="JZ42" i="110"/>
  <c r="JY42" i="110"/>
  <c r="JX42" i="110"/>
  <c r="JW42" i="110"/>
  <c r="JV42" i="110"/>
  <c r="JU42" i="110"/>
  <c r="JT42" i="110"/>
  <c r="JS42" i="110"/>
  <c r="JR42" i="110"/>
  <c r="JQ42" i="110"/>
  <c r="JP42" i="110"/>
  <c r="JO42" i="110"/>
  <c r="JN42" i="110"/>
  <c r="JM42" i="110"/>
  <c r="JL42" i="110"/>
  <c r="JK42" i="110"/>
  <c r="JJ42" i="110"/>
  <c r="JI42" i="110"/>
  <c r="JH42" i="110"/>
  <c r="JG42" i="110"/>
  <c r="JF42" i="110"/>
  <c r="JE42" i="110"/>
  <c r="JD42" i="110"/>
  <c r="JC42" i="110"/>
  <c r="JB42" i="110"/>
  <c r="JA42" i="110"/>
  <c r="IZ42" i="110"/>
  <c r="IY42" i="110"/>
  <c r="IX42" i="110"/>
  <c r="IW42" i="110"/>
  <c r="IV42" i="110"/>
  <c r="IU42" i="110"/>
  <c r="IT42" i="110"/>
  <c r="IS42" i="110"/>
  <c r="IR42" i="110"/>
  <c r="IQ42" i="110"/>
  <c r="IP42" i="110"/>
  <c r="IO42" i="110"/>
  <c r="IN42" i="110"/>
  <c r="IM42" i="110"/>
  <c r="IL42" i="110"/>
  <c r="IK42" i="110"/>
  <c r="IJ42" i="110"/>
  <c r="II42" i="110"/>
  <c r="IH42" i="110"/>
  <c r="IG42" i="110"/>
  <c r="IF42" i="110"/>
  <c r="IE42" i="110"/>
  <c r="ID42" i="110"/>
  <c r="IC42" i="110"/>
  <c r="IB42" i="110"/>
  <c r="IA42" i="110"/>
  <c r="HZ42" i="110"/>
  <c r="HY42" i="110"/>
  <c r="HX42" i="110"/>
  <c r="HW42" i="110"/>
  <c r="HV42" i="110"/>
  <c r="HU42" i="110"/>
  <c r="HT42" i="110"/>
  <c r="HS42" i="110"/>
  <c r="HR42" i="110"/>
  <c r="HQ42" i="110"/>
  <c r="HP42" i="110"/>
  <c r="HO42" i="110"/>
  <c r="HN42" i="110"/>
  <c r="HM42" i="110"/>
  <c r="HL42" i="110"/>
  <c r="HK42" i="110"/>
  <c r="HJ42" i="110"/>
  <c r="HI42" i="110"/>
  <c r="HH42" i="110"/>
  <c r="HG42" i="110"/>
  <c r="HF42" i="110"/>
  <c r="HE42" i="110"/>
  <c r="HD42" i="110"/>
  <c r="HC42" i="110"/>
  <c r="HB42" i="110"/>
  <c r="HA42" i="110"/>
  <c r="GZ42" i="110"/>
  <c r="GY42" i="110"/>
  <c r="GX42" i="110"/>
  <c r="GW42" i="110"/>
  <c r="GV42" i="110"/>
  <c r="GU42" i="110"/>
  <c r="GT42" i="110"/>
  <c r="GS42" i="110"/>
  <c r="GR42" i="110"/>
  <c r="GQ42" i="110"/>
  <c r="GP42" i="110"/>
  <c r="GO42" i="110"/>
  <c r="GN42" i="110"/>
  <c r="GM42" i="110"/>
  <c r="GL42" i="110"/>
  <c r="GK42" i="110"/>
  <c r="GJ42" i="110"/>
  <c r="GI42" i="110"/>
  <c r="GH42" i="110"/>
  <c r="GG42" i="110"/>
  <c r="GF42" i="110"/>
  <c r="GE42" i="110"/>
  <c r="GD42" i="110"/>
  <c r="GC42" i="110"/>
  <c r="GB42" i="110"/>
  <c r="GA42" i="110"/>
  <c r="FZ42" i="110"/>
  <c r="FY42" i="110"/>
  <c r="FX42" i="110"/>
  <c r="FW42" i="110"/>
  <c r="FV42" i="110"/>
  <c r="FU42" i="110"/>
  <c r="FT42" i="110"/>
  <c r="FS42" i="110"/>
  <c r="FR42" i="110"/>
  <c r="FQ42" i="110"/>
  <c r="FP42" i="110"/>
  <c r="FO42" i="110"/>
  <c r="FN42" i="110"/>
  <c r="FM42" i="110"/>
  <c r="EC42" i="110"/>
  <c r="EB42" i="110"/>
  <c r="EA42" i="110"/>
  <c r="DZ42" i="110"/>
  <c r="DY42" i="110"/>
  <c r="DX42" i="110"/>
  <c r="DW42" i="110"/>
  <c r="DV42" i="110"/>
  <c r="DU42" i="110"/>
  <c r="DT42" i="110"/>
  <c r="DS42" i="110"/>
  <c r="DR42" i="110"/>
  <c r="DQ42" i="110"/>
  <c r="DP42" i="110"/>
  <c r="DO42" i="110"/>
  <c r="DN42" i="110"/>
  <c r="DM42" i="110"/>
  <c r="DL42" i="110"/>
  <c r="DK42" i="110"/>
  <c r="DJ42" i="110"/>
  <c r="DI42" i="110"/>
  <c r="DH42" i="110"/>
  <c r="DG42" i="110"/>
  <c r="DF42" i="110"/>
  <c r="DE42" i="110"/>
  <c r="DD42" i="110"/>
  <c r="DC42" i="110"/>
  <c r="DB42" i="110"/>
  <c r="DA42" i="110"/>
  <c r="CZ42" i="110"/>
  <c r="CY42" i="110"/>
  <c r="CX42" i="110"/>
  <c r="CW42" i="110"/>
  <c r="CV42" i="110"/>
  <c r="CU42" i="110"/>
  <c r="CT42" i="110"/>
  <c r="CS42" i="110"/>
  <c r="CR42" i="110"/>
  <c r="CQ42" i="110"/>
  <c r="CP42" i="110"/>
  <c r="CO42" i="110"/>
  <c r="CN42" i="110"/>
  <c r="CM42" i="110"/>
  <c r="CL42" i="110"/>
  <c r="CK42" i="110"/>
  <c r="CJ42" i="110"/>
  <c r="CI42" i="110"/>
  <c r="CH42" i="110"/>
  <c r="CG42" i="110"/>
  <c r="CF42" i="110"/>
  <c r="CE42" i="110"/>
  <c r="CD42" i="110"/>
  <c r="CC42" i="110"/>
  <c r="CB42" i="110"/>
  <c r="CA42" i="110"/>
  <c r="BZ42" i="110"/>
  <c r="BY42" i="110"/>
  <c r="BX42" i="110"/>
  <c r="BW42" i="110"/>
  <c r="BV42" i="110"/>
  <c r="BU42" i="110"/>
  <c r="BT42" i="110"/>
  <c r="BS42" i="110"/>
  <c r="BR42" i="110"/>
  <c r="BQ42" i="110"/>
  <c r="BP42" i="110"/>
  <c r="BO42" i="110"/>
  <c r="BN42" i="110"/>
  <c r="BM42" i="110"/>
  <c r="BL42" i="110"/>
  <c r="BK42" i="110"/>
  <c r="BJ42" i="110"/>
  <c r="BI42" i="110"/>
  <c r="BH42" i="110"/>
  <c r="BG42" i="110"/>
  <c r="BF42" i="110"/>
  <c r="BE42" i="110"/>
  <c r="BD42" i="110"/>
  <c r="BC42" i="110"/>
  <c r="BB42" i="110"/>
  <c r="BA42" i="110"/>
  <c r="AZ42" i="110"/>
  <c r="AY42" i="110"/>
  <c r="AX42" i="110"/>
  <c r="AW42" i="110"/>
  <c r="AV42" i="110"/>
  <c r="AU42" i="110"/>
  <c r="AT42" i="110"/>
  <c r="AS42" i="110"/>
  <c r="AR42" i="110"/>
  <c r="AQ42" i="110"/>
  <c r="AP42" i="110"/>
  <c r="AO42" i="110"/>
  <c r="AN42" i="110"/>
  <c r="AM42" i="110"/>
  <c r="AL42" i="110"/>
  <c r="AK42" i="110"/>
  <c r="AJ42" i="110"/>
  <c r="AI42" i="110"/>
  <c r="AH42" i="110"/>
  <c r="AG42" i="110"/>
  <c r="AF42" i="110"/>
  <c r="AE42" i="110"/>
  <c r="AD42" i="110"/>
  <c r="AC42" i="110"/>
  <c r="AB42" i="110"/>
  <c r="AA42" i="110"/>
  <c r="Z42" i="110"/>
  <c r="Y42" i="110"/>
  <c r="X42" i="110"/>
  <c r="A42" i="110"/>
  <c r="OC41" i="110"/>
  <c r="OB41" i="110"/>
  <c r="OA41" i="110"/>
  <c r="NZ41" i="110"/>
  <c r="NY41" i="110"/>
  <c r="NX41" i="110"/>
  <c r="NW41" i="110"/>
  <c r="NV41" i="110"/>
  <c r="NU41" i="110"/>
  <c r="NT41" i="110"/>
  <c r="NS41" i="110"/>
  <c r="NR41" i="110"/>
  <c r="NQ41" i="110"/>
  <c r="NP41" i="110"/>
  <c r="NO41" i="110"/>
  <c r="NN41" i="110"/>
  <c r="NM41" i="110"/>
  <c r="NL41" i="110"/>
  <c r="NK41" i="110"/>
  <c r="NJ41" i="110"/>
  <c r="NI41" i="110"/>
  <c r="NH41" i="110"/>
  <c r="NG41" i="110"/>
  <c r="NF41" i="110"/>
  <c r="NE41" i="110"/>
  <c r="ND41" i="110"/>
  <c r="NC41" i="110"/>
  <c r="NB41" i="110"/>
  <c r="NA41" i="110"/>
  <c r="MZ41" i="110"/>
  <c r="MY41" i="110"/>
  <c r="MX41" i="110"/>
  <c r="MW41" i="110"/>
  <c r="MV41" i="110"/>
  <c r="MU41" i="110"/>
  <c r="MT41" i="110"/>
  <c r="MS41" i="110"/>
  <c r="MR41" i="110"/>
  <c r="MQ41" i="110"/>
  <c r="MP41" i="110"/>
  <c r="MO41" i="110"/>
  <c r="MN41" i="110"/>
  <c r="MM41" i="110"/>
  <c r="ML41" i="110"/>
  <c r="MK41" i="110"/>
  <c r="MJ41" i="110"/>
  <c r="MI41" i="110"/>
  <c r="MH41" i="110"/>
  <c r="MG41" i="110"/>
  <c r="MF41" i="110"/>
  <c r="ME41" i="110"/>
  <c r="MD41" i="110"/>
  <c r="MC41" i="110"/>
  <c r="MB41" i="110"/>
  <c r="MA41" i="110"/>
  <c r="LZ41" i="110"/>
  <c r="LY41" i="110"/>
  <c r="LX41" i="110"/>
  <c r="LW41" i="110"/>
  <c r="LV41" i="110"/>
  <c r="LU41" i="110"/>
  <c r="LT41" i="110"/>
  <c r="LS41" i="110"/>
  <c r="LR41" i="110"/>
  <c r="LQ41" i="110"/>
  <c r="LP41" i="110"/>
  <c r="LO41" i="110"/>
  <c r="LN41" i="110"/>
  <c r="LM41" i="110"/>
  <c r="LL41" i="110"/>
  <c r="LK41" i="110"/>
  <c r="LJ41" i="110"/>
  <c r="LI41" i="110"/>
  <c r="LH41" i="110"/>
  <c r="LG41" i="110"/>
  <c r="LF41" i="110"/>
  <c r="LE41" i="110"/>
  <c r="LD41" i="110"/>
  <c r="LC41" i="110"/>
  <c r="LB41" i="110"/>
  <c r="LA41" i="110"/>
  <c r="KZ41" i="110"/>
  <c r="KY41" i="110"/>
  <c r="KX41" i="110"/>
  <c r="KW41" i="110"/>
  <c r="KV41" i="110"/>
  <c r="KU41" i="110"/>
  <c r="KT41" i="110"/>
  <c r="KS41" i="110"/>
  <c r="KR41" i="110"/>
  <c r="KQ41" i="110"/>
  <c r="KP41" i="110"/>
  <c r="KO41" i="110"/>
  <c r="KN41" i="110"/>
  <c r="KM41" i="110"/>
  <c r="KL41" i="110"/>
  <c r="KK41" i="110"/>
  <c r="KJ41" i="110"/>
  <c r="KI41" i="110"/>
  <c r="KH41" i="110"/>
  <c r="KG41" i="110"/>
  <c r="KF41" i="110"/>
  <c r="KE41" i="110"/>
  <c r="KD41" i="110"/>
  <c r="KC41" i="110"/>
  <c r="KB41" i="110"/>
  <c r="KA41" i="110"/>
  <c r="JZ41" i="110"/>
  <c r="JY41" i="110"/>
  <c r="JX41" i="110"/>
  <c r="JW41" i="110"/>
  <c r="JV41" i="110"/>
  <c r="JU41" i="110"/>
  <c r="JT41" i="110"/>
  <c r="JS41" i="110"/>
  <c r="JR41" i="110"/>
  <c r="JQ41" i="110"/>
  <c r="JP41" i="110"/>
  <c r="JO41" i="110"/>
  <c r="JN41" i="110"/>
  <c r="JM41" i="110"/>
  <c r="JL41" i="110"/>
  <c r="JK41" i="110"/>
  <c r="JJ41" i="110"/>
  <c r="JI41" i="110"/>
  <c r="JH41" i="110"/>
  <c r="JG41" i="110"/>
  <c r="JF41" i="110"/>
  <c r="JE41" i="110"/>
  <c r="JD41" i="110"/>
  <c r="JC41" i="110"/>
  <c r="JB41" i="110"/>
  <c r="JA41" i="110"/>
  <c r="IZ41" i="110"/>
  <c r="IY41" i="110"/>
  <c r="IX41" i="110"/>
  <c r="IW41" i="110"/>
  <c r="IV41" i="110"/>
  <c r="IU41" i="110"/>
  <c r="IT41" i="110"/>
  <c r="IS41" i="110"/>
  <c r="IR41" i="110"/>
  <c r="IQ41" i="110"/>
  <c r="IP41" i="110"/>
  <c r="IO41" i="110"/>
  <c r="IN41" i="110"/>
  <c r="IM41" i="110"/>
  <c r="IL41" i="110"/>
  <c r="IK41" i="110"/>
  <c r="IJ41" i="110"/>
  <c r="II41" i="110"/>
  <c r="IH41" i="110"/>
  <c r="IG41" i="110"/>
  <c r="IF41" i="110"/>
  <c r="IE41" i="110"/>
  <c r="ID41" i="110"/>
  <c r="IC41" i="110"/>
  <c r="IB41" i="110"/>
  <c r="IA41" i="110"/>
  <c r="HZ41" i="110"/>
  <c r="HY41" i="110"/>
  <c r="HX41" i="110"/>
  <c r="HW41" i="110"/>
  <c r="HV41" i="110"/>
  <c r="HU41" i="110"/>
  <c r="HT41" i="110"/>
  <c r="HS41" i="110"/>
  <c r="HR41" i="110"/>
  <c r="HQ41" i="110"/>
  <c r="HP41" i="110"/>
  <c r="HO41" i="110"/>
  <c r="HN41" i="110"/>
  <c r="HM41" i="110"/>
  <c r="HL41" i="110"/>
  <c r="HK41" i="110"/>
  <c r="HJ41" i="110"/>
  <c r="HI41" i="110"/>
  <c r="HH41" i="110"/>
  <c r="HG41" i="110"/>
  <c r="HF41" i="110"/>
  <c r="HE41" i="110"/>
  <c r="HD41" i="110"/>
  <c r="HC41" i="110"/>
  <c r="HB41" i="110"/>
  <c r="HA41" i="110"/>
  <c r="GZ41" i="110"/>
  <c r="GY41" i="110"/>
  <c r="GX41" i="110"/>
  <c r="GW41" i="110"/>
  <c r="GV41" i="110"/>
  <c r="GU41" i="110"/>
  <c r="GT41" i="110"/>
  <c r="GS41" i="110"/>
  <c r="GR41" i="110"/>
  <c r="GQ41" i="110"/>
  <c r="GP41" i="110"/>
  <c r="GO41" i="110"/>
  <c r="GN41" i="110"/>
  <c r="GM41" i="110"/>
  <c r="GL41" i="110"/>
  <c r="GK41" i="110"/>
  <c r="GJ41" i="110"/>
  <c r="GI41" i="110"/>
  <c r="GH41" i="110"/>
  <c r="GG41" i="110"/>
  <c r="GF41" i="110"/>
  <c r="GE41" i="110"/>
  <c r="GD41" i="110"/>
  <c r="GC41" i="110"/>
  <c r="GB41" i="110"/>
  <c r="GA41" i="110"/>
  <c r="FZ41" i="110"/>
  <c r="FY41" i="110"/>
  <c r="FX41" i="110"/>
  <c r="FW41" i="110"/>
  <c r="FV41" i="110"/>
  <c r="FU41" i="110"/>
  <c r="FT41" i="110"/>
  <c r="FS41" i="110"/>
  <c r="FR41" i="110"/>
  <c r="FQ41" i="110"/>
  <c r="FP41" i="110"/>
  <c r="FO41" i="110"/>
  <c r="FN41" i="110"/>
  <c r="FM41" i="110"/>
  <c r="EC41" i="110"/>
  <c r="EB41" i="110"/>
  <c r="EA41" i="110"/>
  <c r="DZ41" i="110"/>
  <c r="DY41" i="110"/>
  <c r="DX41" i="110"/>
  <c r="DW41" i="110"/>
  <c r="DV41" i="110"/>
  <c r="DU41" i="110"/>
  <c r="DT41" i="110"/>
  <c r="DS41" i="110"/>
  <c r="DR41" i="110"/>
  <c r="DQ41" i="110"/>
  <c r="DP41" i="110"/>
  <c r="DO41" i="110"/>
  <c r="DN41" i="110"/>
  <c r="DM41" i="110"/>
  <c r="DL41" i="110"/>
  <c r="DK41" i="110"/>
  <c r="DJ41" i="110"/>
  <c r="DI41" i="110"/>
  <c r="DH41" i="110"/>
  <c r="DG41" i="110"/>
  <c r="DF41" i="110"/>
  <c r="DE41" i="110"/>
  <c r="DD41" i="110"/>
  <c r="DC41" i="110"/>
  <c r="DB41" i="110"/>
  <c r="DA41" i="110"/>
  <c r="CZ41" i="110"/>
  <c r="CY41" i="110"/>
  <c r="CX41" i="110"/>
  <c r="CW41" i="110"/>
  <c r="CV41" i="110"/>
  <c r="CU41" i="110"/>
  <c r="CT41" i="110"/>
  <c r="CS41" i="110"/>
  <c r="CR41" i="110"/>
  <c r="CQ41" i="110"/>
  <c r="CP41" i="110"/>
  <c r="CO41" i="110"/>
  <c r="CN41" i="110"/>
  <c r="CM41" i="110"/>
  <c r="CL41" i="110"/>
  <c r="CK41" i="110"/>
  <c r="CJ41" i="110"/>
  <c r="CI41" i="110"/>
  <c r="CH41" i="110"/>
  <c r="CG41" i="110"/>
  <c r="CF41" i="110"/>
  <c r="CE41" i="110"/>
  <c r="CD41" i="110"/>
  <c r="CC41" i="110"/>
  <c r="CB41" i="110"/>
  <c r="CA41" i="110"/>
  <c r="BZ41" i="110"/>
  <c r="BY41" i="110"/>
  <c r="BX41" i="110"/>
  <c r="BW41" i="110"/>
  <c r="BV41" i="110"/>
  <c r="BU41" i="110"/>
  <c r="BT41" i="110"/>
  <c r="BS41" i="110"/>
  <c r="BR41" i="110"/>
  <c r="BQ41" i="110"/>
  <c r="BP41" i="110"/>
  <c r="BO41" i="110"/>
  <c r="BN41" i="110"/>
  <c r="BM41" i="110"/>
  <c r="BL41" i="110"/>
  <c r="BK41" i="110"/>
  <c r="BJ41" i="110"/>
  <c r="BI41" i="110"/>
  <c r="BH41" i="110"/>
  <c r="BG41" i="110"/>
  <c r="BF41" i="110"/>
  <c r="BE41" i="110"/>
  <c r="BD41" i="110"/>
  <c r="BC41" i="110"/>
  <c r="BB41" i="110"/>
  <c r="BA41" i="110"/>
  <c r="AZ41" i="110"/>
  <c r="AY41" i="110"/>
  <c r="AX41" i="110"/>
  <c r="AW41" i="110"/>
  <c r="AV41" i="110"/>
  <c r="AU41" i="110"/>
  <c r="AT41" i="110"/>
  <c r="AS41" i="110"/>
  <c r="AR41" i="110"/>
  <c r="AQ41" i="110"/>
  <c r="AP41" i="110"/>
  <c r="AO41" i="110"/>
  <c r="AN41" i="110"/>
  <c r="AM41" i="110"/>
  <c r="AL41" i="110"/>
  <c r="AK41" i="110"/>
  <c r="AJ41" i="110"/>
  <c r="AI41" i="110"/>
  <c r="AH41" i="110"/>
  <c r="AG41" i="110"/>
  <c r="AF41" i="110"/>
  <c r="AE41" i="110"/>
  <c r="AD41" i="110"/>
  <c r="AC41" i="110"/>
  <c r="AB41" i="110"/>
  <c r="AA41" i="110"/>
  <c r="Z41" i="110"/>
  <c r="Y41" i="110"/>
  <c r="X41" i="110"/>
  <c r="A41" i="110"/>
  <c r="OC40" i="110"/>
  <c r="OB40" i="110"/>
  <c r="OA40" i="110"/>
  <c r="NZ40" i="110"/>
  <c r="NY40" i="110"/>
  <c r="NX40" i="110"/>
  <c r="NW40" i="110"/>
  <c r="NV40" i="110"/>
  <c r="NU40" i="110"/>
  <c r="NT40" i="110"/>
  <c r="NS40" i="110"/>
  <c r="NR40" i="110"/>
  <c r="NQ40" i="110"/>
  <c r="NP40" i="110"/>
  <c r="NO40" i="110"/>
  <c r="NN40" i="110"/>
  <c r="NM40" i="110"/>
  <c r="NL40" i="110"/>
  <c r="NK40" i="110"/>
  <c r="NJ40" i="110"/>
  <c r="NI40" i="110"/>
  <c r="NH40" i="110"/>
  <c r="NG40" i="110"/>
  <c r="NF40" i="110"/>
  <c r="NE40" i="110"/>
  <c r="ND40" i="110"/>
  <c r="NC40" i="110"/>
  <c r="NB40" i="110"/>
  <c r="NA40" i="110"/>
  <c r="MZ40" i="110"/>
  <c r="MY40" i="110"/>
  <c r="MX40" i="110"/>
  <c r="MW40" i="110"/>
  <c r="MV40" i="110"/>
  <c r="MU40" i="110"/>
  <c r="MT40" i="110"/>
  <c r="MS40" i="110"/>
  <c r="MR40" i="110"/>
  <c r="MQ40" i="110"/>
  <c r="MP40" i="110"/>
  <c r="MO40" i="110"/>
  <c r="MN40" i="110"/>
  <c r="MM40" i="110"/>
  <c r="ML40" i="110"/>
  <c r="MK40" i="110"/>
  <c r="MJ40" i="110"/>
  <c r="MI40" i="110"/>
  <c r="MH40" i="110"/>
  <c r="MG40" i="110"/>
  <c r="MF40" i="110"/>
  <c r="ME40" i="110"/>
  <c r="MD40" i="110"/>
  <c r="MC40" i="110"/>
  <c r="MB40" i="110"/>
  <c r="MA40" i="110"/>
  <c r="LZ40" i="110"/>
  <c r="LY40" i="110"/>
  <c r="LX40" i="110"/>
  <c r="LW40" i="110"/>
  <c r="LV40" i="110"/>
  <c r="LU40" i="110"/>
  <c r="LT40" i="110"/>
  <c r="LS40" i="110"/>
  <c r="LR40" i="110"/>
  <c r="LQ40" i="110"/>
  <c r="LP40" i="110"/>
  <c r="LO40" i="110"/>
  <c r="LN40" i="110"/>
  <c r="LM40" i="110"/>
  <c r="LL40" i="110"/>
  <c r="LK40" i="110"/>
  <c r="LJ40" i="110"/>
  <c r="LI40" i="110"/>
  <c r="LH40" i="110"/>
  <c r="LG40" i="110"/>
  <c r="LF40" i="110"/>
  <c r="LE40" i="110"/>
  <c r="LD40" i="110"/>
  <c r="LC40" i="110"/>
  <c r="LB40" i="110"/>
  <c r="LA40" i="110"/>
  <c r="KZ40" i="110"/>
  <c r="KY40" i="110"/>
  <c r="KX40" i="110"/>
  <c r="KW40" i="110"/>
  <c r="KV40" i="110"/>
  <c r="KU40" i="110"/>
  <c r="KT40" i="110"/>
  <c r="KS40" i="110"/>
  <c r="KR40" i="110"/>
  <c r="KQ40" i="110"/>
  <c r="KP40" i="110"/>
  <c r="KO40" i="110"/>
  <c r="KN40" i="110"/>
  <c r="KM40" i="110"/>
  <c r="KL40" i="110"/>
  <c r="KK40" i="110"/>
  <c r="KJ40" i="110"/>
  <c r="KI40" i="110"/>
  <c r="KH40" i="110"/>
  <c r="KG40" i="110"/>
  <c r="KF40" i="110"/>
  <c r="KE40" i="110"/>
  <c r="KD40" i="110"/>
  <c r="KC40" i="110"/>
  <c r="KB40" i="110"/>
  <c r="KA40" i="110"/>
  <c r="JZ40" i="110"/>
  <c r="JY40" i="110"/>
  <c r="JX40" i="110"/>
  <c r="JW40" i="110"/>
  <c r="JV40" i="110"/>
  <c r="JU40" i="110"/>
  <c r="JT40" i="110"/>
  <c r="JS40" i="110"/>
  <c r="JR40" i="110"/>
  <c r="JQ40" i="110"/>
  <c r="JP40" i="110"/>
  <c r="JO40" i="110"/>
  <c r="JN40" i="110"/>
  <c r="JM40" i="110"/>
  <c r="JL40" i="110"/>
  <c r="JK40" i="110"/>
  <c r="JJ40" i="110"/>
  <c r="JI40" i="110"/>
  <c r="JH40" i="110"/>
  <c r="JG40" i="110"/>
  <c r="JF40" i="110"/>
  <c r="JE40" i="110"/>
  <c r="JD40" i="110"/>
  <c r="JC40" i="110"/>
  <c r="JB40" i="110"/>
  <c r="JA40" i="110"/>
  <c r="IZ40" i="110"/>
  <c r="IY40" i="110"/>
  <c r="IX40" i="110"/>
  <c r="IW40" i="110"/>
  <c r="IV40" i="110"/>
  <c r="IU40" i="110"/>
  <c r="IT40" i="110"/>
  <c r="IS40" i="110"/>
  <c r="IR40" i="110"/>
  <c r="IQ40" i="110"/>
  <c r="IP40" i="110"/>
  <c r="IO40" i="110"/>
  <c r="IN40" i="110"/>
  <c r="IM40" i="110"/>
  <c r="IL40" i="110"/>
  <c r="IK40" i="110"/>
  <c r="IJ40" i="110"/>
  <c r="II40" i="110"/>
  <c r="IH40" i="110"/>
  <c r="IG40" i="110"/>
  <c r="IF40" i="110"/>
  <c r="IE40" i="110"/>
  <c r="ID40" i="110"/>
  <c r="IC40" i="110"/>
  <c r="IB40" i="110"/>
  <c r="IA40" i="110"/>
  <c r="HZ40" i="110"/>
  <c r="HY40" i="110"/>
  <c r="HX40" i="110"/>
  <c r="HW40" i="110"/>
  <c r="HV40" i="110"/>
  <c r="HU40" i="110"/>
  <c r="HT40" i="110"/>
  <c r="HS40" i="110"/>
  <c r="HR40" i="110"/>
  <c r="HQ40" i="110"/>
  <c r="HP40" i="110"/>
  <c r="HO40" i="110"/>
  <c r="HN40" i="110"/>
  <c r="HM40" i="110"/>
  <c r="HL40" i="110"/>
  <c r="HK40" i="110"/>
  <c r="HJ40" i="110"/>
  <c r="HI40" i="110"/>
  <c r="HH40" i="110"/>
  <c r="HG40" i="110"/>
  <c r="HF40" i="110"/>
  <c r="HE40" i="110"/>
  <c r="HD40" i="110"/>
  <c r="HC40" i="110"/>
  <c r="HB40" i="110"/>
  <c r="HA40" i="110"/>
  <c r="GZ40" i="110"/>
  <c r="GY40" i="110"/>
  <c r="GX40" i="110"/>
  <c r="GW40" i="110"/>
  <c r="GV40" i="110"/>
  <c r="GU40" i="110"/>
  <c r="GT40" i="110"/>
  <c r="GS40" i="110"/>
  <c r="GR40" i="110"/>
  <c r="GQ40" i="110"/>
  <c r="GP40" i="110"/>
  <c r="GO40" i="110"/>
  <c r="GN40" i="110"/>
  <c r="GM40" i="110"/>
  <c r="GL40" i="110"/>
  <c r="GK40" i="110"/>
  <c r="GJ40" i="110"/>
  <c r="GI40" i="110"/>
  <c r="GH40" i="110"/>
  <c r="GG40" i="110"/>
  <c r="GF40" i="110"/>
  <c r="GE40" i="110"/>
  <c r="GD40" i="110"/>
  <c r="GC40" i="110"/>
  <c r="GB40" i="110"/>
  <c r="GA40" i="110"/>
  <c r="FZ40" i="110"/>
  <c r="FY40" i="110"/>
  <c r="FX40" i="110"/>
  <c r="FW40" i="110"/>
  <c r="FV40" i="110"/>
  <c r="FU40" i="110"/>
  <c r="FT40" i="110"/>
  <c r="FS40" i="110"/>
  <c r="FR40" i="110"/>
  <c r="FQ40" i="110"/>
  <c r="FP40" i="110"/>
  <c r="FO40" i="110"/>
  <c r="FN40" i="110"/>
  <c r="FM40" i="110"/>
  <c r="EC40" i="110"/>
  <c r="EB40" i="110"/>
  <c r="EA40" i="110"/>
  <c r="DZ40" i="110"/>
  <c r="DY40" i="110"/>
  <c r="DX40" i="110"/>
  <c r="DW40" i="110"/>
  <c r="DV40" i="110"/>
  <c r="DU40" i="110"/>
  <c r="DT40" i="110"/>
  <c r="DS40" i="110"/>
  <c r="DR40" i="110"/>
  <c r="DQ40" i="110"/>
  <c r="DP40" i="110"/>
  <c r="DO40" i="110"/>
  <c r="DN40" i="110"/>
  <c r="DM40" i="110"/>
  <c r="DL40" i="110"/>
  <c r="DK40" i="110"/>
  <c r="DJ40" i="110"/>
  <c r="DI40" i="110"/>
  <c r="DH40" i="110"/>
  <c r="DG40" i="110"/>
  <c r="DF40" i="110"/>
  <c r="DE40" i="110"/>
  <c r="DD40" i="110"/>
  <c r="DC40" i="110"/>
  <c r="DB40" i="110"/>
  <c r="DA40" i="110"/>
  <c r="CZ40" i="110"/>
  <c r="CY40" i="110"/>
  <c r="CX40" i="110"/>
  <c r="CW40" i="110"/>
  <c r="CV40" i="110"/>
  <c r="CU40" i="110"/>
  <c r="CT40" i="110"/>
  <c r="CS40" i="110"/>
  <c r="CR40" i="110"/>
  <c r="CQ40" i="110"/>
  <c r="CP40" i="110"/>
  <c r="CO40" i="110"/>
  <c r="CN40" i="110"/>
  <c r="CM40" i="110"/>
  <c r="CL40" i="110"/>
  <c r="CK40" i="110"/>
  <c r="CJ40" i="110"/>
  <c r="CI40" i="110"/>
  <c r="CH40" i="110"/>
  <c r="CG40" i="110"/>
  <c r="CF40" i="110"/>
  <c r="CE40" i="110"/>
  <c r="CD40" i="110"/>
  <c r="CC40" i="110"/>
  <c r="CB40" i="110"/>
  <c r="CA40" i="110"/>
  <c r="BZ40" i="110"/>
  <c r="BY40" i="110"/>
  <c r="BX40" i="110"/>
  <c r="BW40" i="110"/>
  <c r="BV40" i="110"/>
  <c r="BU40" i="110"/>
  <c r="BT40" i="110"/>
  <c r="BS40" i="110"/>
  <c r="BR40" i="110"/>
  <c r="BQ40" i="110"/>
  <c r="BP40" i="110"/>
  <c r="BO40" i="110"/>
  <c r="BN40" i="110"/>
  <c r="BM40" i="110"/>
  <c r="BL40" i="110"/>
  <c r="BK40" i="110"/>
  <c r="BJ40" i="110"/>
  <c r="BI40" i="110"/>
  <c r="BH40" i="110"/>
  <c r="BG40" i="110"/>
  <c r="BF40" i="110"/>
  <c r="BE40" i="110"/>
  <c r="BD40" i="110"/>
  <c r="BC40" i="110"/>
  <c r="BB40" i="110"/>
  <c r="BA40" i="110"/>
  <c r="AZ40" i="110"/>
  <c r="AY40" i="110"/>
  <c r="AX40" i="110"/>
  <c r="AW40" i="110"/>
  <c r="AV40" i="110"/>
  <c r="AU40" i="110"/>
  <c r="AT40" i="110"/>
  <c r="AS40" i="110"/>
  <c r="AR40" i="110"/>
  <c r="AQ40" i="110"/>
  <c r="AP40" i="110"/>
  <c r="AO40" i="110"/>
  <c r="AN40" i="110"/>
  <c r="AM40" i="110"/>
  <c r="AL40" i="110"/>
  <c r="AK40" i="110"/>
  <c r="AJ40" i="110"/>
  <c r="AI40" i="110"/>
  <c r="AH40" i="110"/>
  <c r="AG40" i="110"/>
  <c r="AF40" i="110"/>
  <c r="AE40" i="110"/>
  <c r="AD40" i="110"/>
  <c r="AC40" i="110"/>
  <c r="AB40" i="110"/>
  <c r="AA40" i="110"/>
  <c r="Z40" i="110"/>
  <c r="Y40" i="110"/>
  <c r="X40" i="110"/>
  <c r="A40" i="110"/>
  <c r="OC39" i="110"/>
  <c r="OB39" i="110"/>
  <c r="OA39" i="110"/>
  <c r="NZ39" i="110"/>
  <c r="NY39" i="110"/>
  <c r="NX39" i="110"/>
  <c r="NW39" i="110"/>
  <c r="NV39" i="110"/>
  <c r="NU39" i="110"/>
  <c r="NT39" i="110"/>
  <c r="NS39" i="110"/>
  <c r="NR39" i="110"/>
  <c r="NQ39" i="110"/>
  <c r="NP39" i="110"/>
  <c r="NO39" i="110"/>
  <c r="NN39" i="110"/>
  <c r="NM39" i="110"/>
  <c r="NL39" i="110"/>
  <c r="NK39" i="110"/>
  <c r="NJ39" i="110"/>
  <c r="NI39" i="110"/>
  <c r="NH39" i="110"/>
  <c r="NG39" i="110"/>
  <c r="NF39" i="110"/>
  <c r="NE39" i="110"/>
  <c r="ND39" i="110"/>
  <c r="NC39" i="110"/>
  <c r="NB39" i="110"/>
  <c r="NA39" i="110"/>
  <c r="MZ39" i="110"/>
  <c r="MY39" i="110"/>
  <c r="MX39" i="110"/>
  <c r="MW39" i="110"/>
  <c r="MV39" i="110"/>
  <c r="MU39" i="110"/>
  <c r="MT39" i="110"/>
  <c r="MS39" i="110"/>
  <c r="MR39" i="110"/>
  <c r="MQ39" i="110"/>
  <c r="MP39" i="110"/>
  <c r="MO39" i="110"/>
  <c r="MN39" i="110"/>
  <c r="MM39" i="110"/>
  <c r="ML39" i="110"/>
  <c r="MK39" i="110"/>
  <c r="MJ39" i="110"/>
  <c r="MI39" i="110"/>
  <c r="MH39" i="110"/>
  <c r="MG39" i="110"/>
  <c r="MF39" i="110"/>
  <c r="ME39" i="110"/>
  <c r="MD39" i="110"/>
  <c r="MC39" i="110"/>
  <c r="MB39" i="110"/>
  <c r="MA39" i="110"/>
  <c r="LZ39" i="110"/>
  <c r="LY39" i="110"/>
  <c r="LX39" i="110"/>
  <c r="LW39" i="110"/>
  <c r="LV39" i="110"/>
  <c r="LU39" i="110"/>
  <c r="LT39" i="110"/>
  <c r="LS39" i="110"/>
  <c r="LR39" i="110"/>
  <c r="LQ39" i="110"/>
  <c r="LP39" i="110"/>
  <c r="LO39" i="110"/>
  <c r="LN39" i="110"/>
  <c r="LM39" i="110"/>
  <c r="LL39" i="110"/>
  <c r="LK39" i="110"/>
  <c r="LJ39" i="110"/>
  <c r="LI39" i="110"/>
  <c r="LH39" i="110"/>
  <c r="LG39" i="110"/>
  <c r="LF39" i="110"/>
  <c r="LE39" i="110"/>
  <c r="LD39" i="110"/>
  <c r="LC39" i="110"/>
  <c r="LB39" i="110"/>
  <c r="LA39" i="110"/>
  <c r="KZ39" i="110"/>
  <c r="KY39" i="110"/>
  <c r="KX39" i="110"/>
  <c r="KW39" i="110"/>
  <c r="KV39" i="110"/>
  <c r="KU39" i="110"/>
  <c r="KT39" i="110"/>
  <c r="KS39" i="110"/>
  <c r="KR39" i="110"/>
  <c r="KQ39" i="110"/>
  <c r="KP39" i="110"/>
  <c r="KO39" i="110"/>
  <c r="KN39" i="110"/>
  <c r="KM39" i="110"/>
  <c r="KL39" i="110"/>
  <c r="KK39" i="110"/>
  <c r="KJ39" i="110"/>
  <c r="KI39" i="110"/>
  <c r="KH39" i="110"/>
  <c r="KG39" i="110"/>
  <c r="KF39" i="110"/>
  <c r="KE39" i="110"/>
  <c r="KD39" i="110"/>
  <c r="KC39" i="110"/>
  <c r="KB39" i="110"/>
  <c r="KA39" i="110"/>
  <c r="JZ39" i="110"/>
  <c r="JY39" i="110"/>
  <c r="JX39" i="110"/>
  <c r="JW39" i="110"/>
  <c r="JV39" i="110"/>
  <c r="JU39" i="110"/>
  <c r="JT39" i="110"/>
  <c r="JS39" i="110"/>
  <c r="JR39" i="110"/>
  <c r="JQ39" i="110"/>
  <c r="JP39" i="110"/>
  <c r="JO39" i="110"/>
  <c r="JN39" i="110"/>
  <c r="JM39" i="110"/>
  <c r="JL39" i="110"/>
  <c r="JK39" i="110"/>
  <c r="JJ39" i="110"/>
  <c r="JI39" i="110"/>
  <c r="JH39" i="110"/>
  <c r="JG39" i="110"/>
  <c r="JF39" i="110"/>
  <c r="JE39" i="110"/>
  <c r="JD39" i="110"/>
  <c r="JC39" i="110"/>
  <c r="JB39" i="110"/>
  <c r="JA39" i="110"/>
  <c r="IZ39" i="110"/>
  <c r="IY39" i="110"/>
  <c r="IX39" i="110"/>
  <c r="IW39" i="110"/>
  <c r="IV39" i="110"/>
  <c r="IU39" i="110"/>
  <c r="IT39" i="110"/>
  <c r="IS39" i="110"/>
  <c r="IR39" i="110"/>
  <c r="IQ39" i="110"/>
  <c r="IP39" i="110"/>
  <c r="IO39" i="110"/>
  <c r="IN39" i="110"/>
  <c r="IM39" i="110"/>
  <c r="IL39" i="110"/>
  <c r="IK39" i="110"/>
  <c r="IJ39" i="110"/>
  <c r="II39" i="110"/>
  <c r="IH39" i="110"/>
  <c r="IG39" i="110"/>
  <c r="IF39" i="110"/>
  <c r="IE39" i="110"/>
  <c r="ID39" i="110"/>
  <c r="IC39" i="110"/>
  <c r="IB39" i="110"/>
  <c r="IA39" i="110"/>
  <c r="HZ39" i="110"/>
  <c r="HY39" i="110"/>
  <c r="HX39" i="110"/>
  <c r="HW39" i="110"/>
  <c r="HV39" i="110"/>
  <c r="HU39" i="110"/>
  <c r="HT39" i="110"/>
  <c r="HS39" i="110"/>
  <c r="HR39" i="110"/>
  <c r="HQ39" i="110"/>
  <c r="HP39" i="110"/>
  <c r="HO39" i="110"/>
  <c r="HN39" i="110"/>
  <c r="HM39" i="110"/>
  <c r="HL39" i="110"/>
  <c r="HK39" i="110"/>
  <c r="HJ39" i="110"/>
  <c r="HI39" i="110"/>
  <c r="HH39" i="110"/>
  <c r="HG39" i="110"/>
  <c r="HF39" i="110"/>
  <c r="HE39" i="110"/>
  <c r="HD39" i="110"/>
  <c r="HC39" i="110"/>
  <c r="HB39" i="110"/>
  <c r="HA39" i="110"/>
  <c r="GZ39" i="110"/>
  <c r="GY39" i="110"/>
  <c r="GX39" i="110"/>
  <c r="GW39" i="110"/>
  <c r="GV39" i="110"/>
  <c r="GU39" i="110"/>
  <c r="GT39" i="110"/>
  <c r="GS39" i="110"/>
  <c r="GR39" i="110"/>
  <c r="GQ39" i="110"/>
  <c r="GP39" i="110"/>
  <c r="GO39" i="110"/>
  <c r="GN39" i="110"/>
  <c r="GM39" i="110"/>
  <c r="GL39" i="110"/>
  <c r="GK39" i="110"/>
  <c r="GJ39" i="110"/>
  <c r="GI39" i="110"/>
  <c r="GH39" i="110"/>
  <c r="GG39" i="110"/>
  <c r="GF39" i="110"/>
  <c r="GE39" i="110"/>
  <c r="GD39" i="110"/>
  <c r="GC39" i="110"/>
  <c r="GB39" i="110"/>
  <c r="GA39" i="110"/>
  <c r="FZ39" i="110"/>
  <c r="FY39" i="110"/>
  <c r="FX39" i="110"/>
  <c r="FW39" i="110"/>
  <c r="FV39" i="110"/>
  <c r="FU39" i="110"/>
  <c r="FT39" i="110"/>
  <c r="FS39" i="110"/>
  <c r="FR39" i="110"/>
  <c r="FQ39" i="110"/>
  <c r="FP39" i="110"/>
  <c r="FO39" i="110"/>
  <c r="FN39" i="110"/>
  <c r="FM39" i="110"/>
  <c r="EC39" i="110"/>
  <c r="EB39" i="110"/>
  <c r="EA39" i="110"/>
  <c r="DZ39" i="110"/>
  <c r="DY39" i="110"/>
  <c r="DX39" i="110"/>
  <c r="DW39" i="110"/>
  <c r="DV39" i="110"/>
  <c r="DU39" i="110"/>
  <c r="DT39" i="110"/>
  <c r="DS39" i="110"/>
  <c r="DR39" i="110"/>
  <c r="DQ39" i="110"/>
  <c r="DP39" i="110"/>
  <c r="DO39" i="110"/>
  <c r="DN39" i="110"/>
  <c r="DM39" i="110"/>
  <c r="DL39" i="110"/>
  <c r="DK39" i="110"/>
  <c r="DJ39" i="110"/>
  <c r="DI39" i="110"/>
  <c r="DH39" i="110"/>
  <c r="DG39" i="110"/>
  <c r="DF39" i="110"/>
  <c r="DE39" i="110"/>
  <c r="DD39" i="110"/>
  <c r="DC39" i="110"/>
  <c r="DB39" i="110"/>
  <c r="DA39" i="110"/>
  <c r="CZ39" i="110"/>
  <c r="CY39" i="110"/>
  <c r="CX39" i="110"/>
  <c r="CW39" i="110"/>
  <c r="CV39" i="110"/>
  <c r="CU39" i="110"/>
  <c r="CT39" i="110"/>
  <c r="CS39" i="110"/>
  <c r="CR39" i="110"/>
  <c r="CQ39" i="110"/>
  <c r="CP39" i="110"/>
  <c r="CO39" i="110"/>
  <c r="CN39" i="110"/>
  <c r="CM39" i="110"/>
  <c r="CL39" i="110"/>
  <c r="CK39" i="110"/>
  <c r="CJ39" i="110"/>
  <c r="CI39" i="110"/>
  <c r="CH39" i="110"/>
  <c r="CG39" i="110"/>
  <c r="CF39" i="110"/>
  <c r="CE39" i="110"/>
  <c r="CD39" i="110"/>
  <c r="CC39" i="110"/>
  <c r="CB39" i="110"/>
  <c r="CA39" i="110"/>
  <c r="BZ39" i="110"/>
  <c r="BY39" i="110"/>
  <c r="BX39" i="110"/>
  <c r="BW39" i="110"/>
  <c r="BV39" i="110"/>
  <c r="BU39" i="110"/>
  <c r="BT39" i="110"/>
  <c r="BS39" i="110"/>
  <c r="BR39" i="110"/>
  <c r="BQ39" i="110"/>
  <c r="BP39" i="110"/>
  <c r="BO39" i="110"/>
  <c r="BN39" i="110"/>
  <c r="BM39" i="110"/>
  <c r="BL39" i="110"/>
  <c r="BK39" i="110"/>
  <c r="BJ39" i="110"/>
  <c r="BI39" i="110"/>
  <c r="BH39" i="110"/>
  <c r="BG39" i="110"/>
  <c r="BF39" i="110"/>
  <c r="BE39" i="110"/>
  <c r="BD39" i="110"/>
  <c r="BC39" i="110"/>
  <c r="BB39" i="110"/>
  <c r="BA39" i="110"/>
  <c r="AZ39" i="110"/>
  <c r="AY39" i="110"/>
  <c r="AX39" i="110"/>
  <c r="AW39" i="110"/>
  <c r="AV39" i="110"/>
  <c r="AU39" i="110"/>
  <c r="AT39" i="110"/>
  <c r="AS39" i="110"/>
  <c r="AR39" i="110"/>
  <c r="AQ39" i="110"/>
  <c r="AP39" i="110"/>
  <c r="AO39" i="110"/>
  <c r="AN39" i="110"/>
  <c r="AM39" i="110"/>
  <c r="AL39" i="110"/>
  <c r="AK39" i="110"/>
  <c r="AJ39" i="110"/>
  <c r="AI39" i="110"/>
  <c r="AH39" i="110"/>
  <c r="AG39" i="110"/>
  <c r="AF39" i="110"/>
  <c r="AE39" i="110"/>
  <c r="AD39" i="110"/>
  <c r="AC39" i="110"/>
  <c r="AB39" i="110"/>
  <c r="AA39" i="110"/>
  <c r="Z39" i="110"/>
  <c r="Y39" i="110"/>
  <c r="X39" i="110"/>
  <c r="A39" i="110"/>
  <c r="OC38" i="110"/>
  <c r="OB38" i="110"/>
  <c r="OA38" i="110"/>
  <c r="NZ38" i="110"/>
  <c r="NY38" i="110"/>
  <c r="NX38" i="110"/>
  <c r="NW38" i="110"/>
  <c r="NV38" i="110"/>
  <c r="NU38" i="110"/>
  <c r="NT38" i="110"/>
  <c r="NS38" i="110"/>
  <c r="NR38" i="110"/>
  <c r="NQ38" i="110"/>
  <c r="NP38" i="110"/>
  <c r="NO38" i="110"/>
  <c r="NN38" i="110"/>
  <c r="NM38" i="110"/>
  <c r="NL38" i="110"/>
  <c r="NK38" i="110"/>
  <c r="NJ38" i="110"/>
  <c r="NI38" i="110"/>
  <c r="NH38" i="110"/>
  <c r="NG38" i="110"/>
  <c r="NF38" i="110"/>
  <c r="NE38" i="110"/>
  <c r="ND38" i="110"/>
  <c r="NC38" i="110"/>
  <c r="NB38" i="110"/>
  <c r="NA38" i="110"/>
  <c r="MZ38" i="110"/>
  <c r="MY38" i="110"/>
  <c r="MX38" i="110"/>
  <c r="MW38" i="110"/>
  <c r="MV38" i="110"/>
  <c r="MU38" i="110"/>
  <c r="MT38" i="110"/>
  <c r="MS38" i="110"/>
  <c r="MR38" i="110"/>
  <c r="MQ38" i="110"/>
  <c r="MP38" i="110"/>
  <c r="MO38" i="110"/>
  <c r="MN38" i="110"/>
  <c r="MM38" i="110"/>
  <c r="ML38" i="110"/>
  <c r="MK38" i="110"/>
  <c r="MJ38" i="110"/>
  <c r="MI38" i="110"/>
  <c r="MH38" i="110"/>
  <c r="MG38" i="110"/>
  <c r="MF38" i="110"/>
  <c r="ME38" i="110"/>
  <c r="MD38" i="110"/>
  <c r="MC38" i="110"/>
  <c r="MB38" i="110"/>
  <c r="MA38" i="110"/>
  <c r="LZ38" i="110"/>
  <c r="LY38" i="110"/>
  <c r="LX38" i="110"/>
  <c r="LW38" i="110"/>
  <c r="LV38" i="110"/>
  <c r="LU38" i="110"/>
  <c r="LT38" i="110"/>
  <c r="LS38" i="110"/>
  <c r="LR38" i="110"/>
  <c r="LQ38" i="110"/>
  <c r="LP38" i="110"/>
  <c r="LO38" i="110"/>
  <c r="LN38" i="110"/>
  <c r="LM38" i="110"/>
  <c r="LL38" i="110"/>
  <c r="LK38" i="110"/>
  <c r="LJ38" i="110"/>
  <c r="LI38" i="110"/>
  <c r="LH38" i="110"/>
  <c r="LG38" i="110"/>
  <c r="LF38" i="110"/>
  <c r="LE38" i="110"/>
  <c r="LD38" i="110"/>
  <c r="LC38" i="110"/>
  <c r="LB38" i="110"/>
  <c r="LA38" i="110"/>
  <c r="KZ38" i="110"/>
  <c r="KY38" i="110"/>
  <c r="KX38" i="110"/>
  <c r="KW38" i="110"/>
  <c r="KV38" i="110"/>
  <c r="KU38" i="110"/>
  <c r="KT38" i="110"/>
  <c r="KS38" i="110"/>
  <c r="KR38" i="110"/>
  <c r="KQ38" i="110"/>
  <c r="KP38" i="110"/>
  <c r="KO38" i="110"/>
  <c r="KN38" i="110"/>
  <c r="KM38" i="110"/>
  <c r="KL38" i="110"/>
  <c r="KK38" i="110"/>
  <c r="KJ38" i="110"/>
  <c r="KI38" i="110"/>
  <c r="KH38" i="110"/>
  <c r="KG38" i="110"/>
  <c r="KF38" i="110"/>
  <c r="KE38" i="110"/>
  <c r="KD38" i="110"/>
  <c r="KC38" i="110"/>
  <c r="KB38" i="110"/>
  <c r="KA38" i="110"/>
  <c r="JZ38" i="110"/>
  <c r="JY38" i="110"/>
  <c r="JX38" i="110"/>
  <c r="JW38" i="110"/>
  <c r="JV38" i="110"/>
  <c r="JU38" i="110"/>
  <c r="JT38" i="110"/>
  <c r="JS38" i="110"/>
  <c r="JR38" i="110"/>
  <c r="JQ38" i="110"/>
  <c r="JP38" i="110"/>
  <c r="JO38" i="110"/>
  <c r="JN38" i="110"/>
  <c r="JM38" i="110"/>
  <c r="JL38" i="110"/>
  <c r="JK38" i="110"/>
  <c r="JJ38" i="110"/>
  <c r="JI38" i="110"/>
  <c r="JH38" i="110"/>
  <c r="JG38" i="110"/>
  <c r="JF38" i="110"/>
  <c r="JE38" i="110"/>
  <c r="JD38" i="110"/>
  <c r="JC38" i="110"/>
  <c r="JB38" i="110"/>
  <c r="JA38" i="110"/>
  <c r="IZ38" i="110"/>
  <c r="IY38" i="110"/>
  <c r="IX38" i="110"/>
  <c r="IW38" i="110"/>
  <c r="IV38" i="110"/>
  <c r="IU38" i="110"/>
  <c r="IT38" i="110"/>
  <c r="IS38" i="110"/>
  <c r="IR38" i="110"/>
  <c r="IQ38" i="110"/>
  <c r="IP38" i="110"/>
  <c r="IO38" i="110"/>
  <c r="IN38" i="110"/>
  <c r="IM38" i="110"/>
  <c r="IL38" i="110"/>
  <c r="IK38" i="110"/>
  <c r="IJ38" i="110"/>
  <c r="II38" i="110"/>
  <c r="IH38" i="110"/>
  <c r="IG38" i="110"/>
  <c r="IF38" i="110"/>
  <c r="IE38" i="110"/>
  <c r="ID38" i="110"/>
  <c r="IC38" i="110"/>
  <c r="IB38" i="110"/>
  <c r="IA38" i="110"/>
  <c r="HZ38" i="110"/>
  <c r="HY38" i="110"/>
  <c r="HX38" i="110"/>
  <c r="HW38" i="110"/>
  <c r="HV38" i="110"/>
  <c r="HU38" i="110"/>
  <c r="HT38" i="110"/>
  <c r="HS38" i="110"/>
  <c r="HR38" i="110"/>
  <c r="HQ38" i="110"/>
  <c r="HP38" i="110"/>
  <c r="HO38" i="110"/>
  <c r="HN38" i="110"/>
  <c r="HM38" i="110"/>
  <c r="HL38" i="110"/>
  <c r="HK38" i="110"/>
  <c r="HJ38" i="110"/>
  <c r="HI38" i="110"/>
  <c r="HH38" i="110"/>
  <c r="HG38" i="110"/>
  <c r="HF38" i="110"/>
  <c r="HE38" i="110"/>
  <c r="HD38" i="110"/>
  <c r="HC38" i="110"/>
  <c r="HB38" i="110"/>
  <c r="HA38" i="110"/>
  <c r="GZ38" i="110"/>
  <c r="GY38" i="110"/>
  <c r="GX38" i="110"/>
  <c r="GW38" i="110"/>
  <c r="GV38" i="110"/>
  <c r="GU38" i="110"/>
  <c r="GT38" i="110"/>
  <c r="GS38" i="110"/>
  <c r="GR38" i="110"/>
  <c r="GQ38" i="110"/>
  <c r="GP38" i="110"/>
  <c r="GO38" i="110"/>
  <c r="GN38" i="110"/>
  <c r="GM38" i="110"/>
  <c r="GL38" i="110"/>
  <c r="GK38" i="110"/>
  <c r="GJ38" i="110"/>
  <c r="GI38" i="110"/>
  <c r="GH38" i="110"/>
  <c r="GG38" i="110"/>
  <c r="GF38" i="110"/>
  <c r="GE38" i="110"/>
  <c r="GD38" i="110"/>
  <c r="GC38" i="110"/>
  <c r="GB38" i="110"/>
  <c r="GA38" i="110"/>
  <c r="FZ38" i="110"/>
  <c r="FY38" i="110"/>
  <c r="FX38" i="110"/>
  <c r="FW38" i="110"/>
  <c r="FV38" i="110"/>
  <c r="FU38" i="110"/>
  <c r="FT38" i="110"/>
  <c r="FS38" i="110"/>
  <c r="FR38" i="110"/>
  <c r="FQ38" i="110"/>
  <c r="FP38" i="110"/>
  <c r="FO38" i="110"/>
  <c r="FN38" i="110"/>
  <c r="FM38" i="110"/>
  <c r="EC38" i="110"/>
  <c r="EB38" i="110"/>
  <c r="EA38" i="110"/>
  <c r="DZ38" i="110"/>
  <c r="DY38" i="110"/>
  <c r="DX38" i="110"/>
  <c r="DW38" i="110"/>
  <c r="DV38" i="110"/>
  <c r="DU38" i="110"/>
  <c r="DT38" i="110"/>
  <c r="DS38" i="110"/>
  <c r="DR38" i="110"/>
  <c r="DQ38" i="110"/>
  <c r="DP38" i="110"/>
  <c r="DO38" i="110"/>
  <c r="DN38" i="110"/>
  <c r="DM38" i="110"/>
  <c r="DL38" i="110"/>
  <c r="DK38" i="110"/>
  <c r="DJ38" i="110"/>
  <c r="DI38" i="110"/>
  <c r="DH38" i="110"/>
  <c r="DG38" i="110"/>
  <c r="DF38" i="110"/>
  <c r="DE38" i="110"/>
  <c r="DD38" i="110"/>
  <c r="DC38" i="110"/>
  <c r="DB38" i="110"/>
  <c r="DA38" i="110"/>
  <c r="CZ38" i="110"/>
  <c r="CY38" i="110"/>
  <c r="CX38" i="110"/>
  <c r="CW38" i="110"/>
  <c r="CV38" i="110"/>
  <c r="CU38" i="110"/>
  <c r="CT38" i="110"/>
  <c r="CS38" i="110"/>
  <c r="CR38" i="110"/>
  <c r="CQ38" i="110"/>
  <c r="CP38" i="110"/>
  <c r="CO38" i="110"/>
  <c r="CN38" i="110"/>
  <c r="CM38" i="110"/>
  <c r="CL38" i="110"/>
  <c r="CK38" i="110"/>
  <c r="CJ38" i="110"/>
  <c r="CI38" i="110"/>
  <c r="CH38" i="110"/>
  <c r="CG38" i="110"/>
  <c r="CF38" i="110"/>
  <c r="CE38" i="110"/>
  <c r="CD38" i="110"/>
  <c r="CC38" i="110"/>
  <c r="CB38" i="110"/>
  <c r="CA38" i="110"/>
  <c r="BZ38" i="110"/>
  <c r="BY38" i="110"/>
  <c r="BX38" i="110"/>
  <c r="BW38" i="110"/>
  <c r="BV38" i="110"/>
  <c r="BU38" i="110"/>
  <c r="BT38" i="110"/>
  <c r="BS38" i="110"/>
  <c r="BR38" i="110"/>
  <c r="BQ38" i="110"/>
  <c r="BP38" i="110"/>
  <c r="BO38" i="110"/>
  <c r="BN38" i="110"/>
  <c r="BM38" i="110"/>
  <c r="BL38" i="110"/>
  <c r="BK38" i="110"/>
  <c r="BJ38" i="110"/>
  <c r="BI38" i="110"/>
  <c r="BH38" i="110"/>
  <c r="BG38" i="110"/>
  <c r="BF38" i="110"/>
  <c r="BE38" i="110"/>
  <c r="BD38" i="110"/>
  <c r="BC38" i="110"/>
  <c r="BB38" i="110"/>
  <c r="BA38" i="110"/>
  <c r="AZ38" i="110"/>
  <c r="AY38" i="110"/>
  <c r="AX38" i="110"/>
  <c r="AW38" i="110"/>
  <c r="AV38" i="110"/>
  <c r="AU38" i="110"/>
  <c r="AT38" i="110"/>
  <c r="AS38" i="110"/>
  <c r="AR38" i="110"/>
  <c r="AQ38" i="110"/>
  <c r="AP38" i="110"/>
  <c r="AO38" i="110"/>
  <c r="AN38" i="110"/>
  <c r="AM38" i="110"/>
  <c r="AL38" i="110"/>
  <c r="AK38" i="110"/>
  <c r="AJ38" i="110"/>
  <c r="AI38" i="110"/>
  <c r="AH38" i="110"/>
  <c r="AG38" i="110"/>
  <c r="AF38" i="110"/>
  <c r="AE38" i="110"/>
  <c r="AD38" i="110"/>
  <c r="AC38" i="110"/>
  <c r="AB38" i="110"/>
  <c r="AA38" i="110"/>
  <c r="Z38" i="110"/>
  <c r="Y38" i="110"/>
  <c r="X38" i="110"/>
  <c r="A38" i="110"/>
  <c r="OC37" i="110"/>
  <c r="OB37" i="110"/>
  <c r="OA37" i="110"/>
  <c r="NZ37" i="110"/>
  <c r="NY37" i="110"/>
  <c r="NX37" i="110"/>
  <c r="NW37" i="110"/>
  <c r="NV37" i="110"/>
  <c r="NU37" i="110"/>
  <c r="NT37" i="110"/>
  <c r="NS37" i="110"/>
  <c r="NR37" i="110"/>
  <c r="NQ37" i="110"/>
  <c r="NP37" i="110"/>
  <c r="NO37" i="110"/>
  <c r="NN37" i="110"/>
  <c r="NM37" i="110"/>
  <c r="NL37" i="110"/>
  <c r="NK37" i="110"/>
  <c r="NJ37" i="110"/>
  <c r="NI37" i="110"/>
  <c r="NH37" i="110"/>
  <c r="NG37" i="110"/>
  <c r="NF37" i="110"/>
  <c r="NE37" i="110"/>
  <c r="ND37" i="110"/>
  <c r="NC37" i="110"/>
  <c r="NB37" i="110"/>
  <c r="NA37" i="110"/>
  <c r="MZ37" i="110"/>
  <c r="MY37" i="110"/>
  <c r="MX37" i="110"/>
  <c r="MW37" i="110"/>
  <c r="MV37" i="110"/>
  <c r="MU37" i="110"/>
  <c r="MT37" i="110"/>
  <c r="MS37" i="110"/>
  <c r="MR37" i="110"/>
  <c r="MQ37" i="110"/>
  <c r="MP37" i="110"/>
  <c r="MO37" i="110"/>
  <c r="MN37" i="110"/>
  <c r="MM37" i="110"/>
  <c r="ML37" i="110"/>
  <c r="MK37" i="110"/>
  <c r="MJ37" i="110"/>
  <c r="MI37" i="110"/>
  <c r="MH37" i="110"/>
  <c r="MG37" i="110"/>
  <c r="MF37" i="110"/>
  <c r="ME37" i="110"/>
  <c r="MD37" i="110"/>
  <c r="MC37" i="110"/>
  <c r="MB37" i="110"/>
  <c r="MA37" i="110"/>
  <c r="LZ37" i="110"/>
  <c r="LY37" i="110"/>
  <c r="LX37" i="110"/>
  <c r="LW37" i="110"/>
  <c r="LV37" i="110"/>
  <c r="LU37" i="110"/>
  <c r="LT37" i="110"/>
  <c r="LS37" i="110"/>
  <c r="LR37" i="110"/>
  <c r="LQ37" i="110"/>
  <c r="LP37" i="110"/>
  <c r="LO37" i="110"/>
  <c r="LN37" i="110"/>
  <c r="LM37" i="110"/>
  <c r="LL37" i="110"/>
  <c r="LK37" i="110"/>
  <c r="LJ37" i="110"/>
  <c r="LI37" i="110"/>
  <c r="LH37" i="110"/>
  <c r="LG37" i="110"/>
  <c r="LF37" i="110"/>
  <c r="LE37" i="110"/>
  <c r="LD37" i="110"/>
  <c r="LC37" i="110"/>
  <c r="LB37" i="110"/>
  <c r="LA37" i="110"/>
  <c r="KZ37" i="110"/>
  <c r="KY37" i="110"/>
  <c r="KX37" i="110"/>
  <c r="KW37" i="110"/>
  <c r="KV37" i="110"/>
  <c r="KU37" i="110"/>
  <c r="KT37" i="110"/>
  <c r="KS37" i="110"/>
  <c r="KR37" i="110"/>
  <c r="KQ37" i="110"/>
  <c r="KP37" i="110"/>
  <c r="KO37" i="110"/>
  <c r="KN37" i="110"/>
  <c r="KM37" i="110"/>
  <c r="KL37" i="110"/>
  <c r="KK37" i="110"/>
  <c r="KJ37" i="110"/>
  <c r="KI37" i="110"/>
  <c r="KH37" i="110"/>
  <c r="KG37" i="110"/>
  <c r="KF37" i="110"/>
  <c r="KE37" i="110"/>
  <c r="KD37" i="110"/>
  <c r="KC37" i="110"/>
  <c r="KB37" i="110"/>
  <c r="KA37" i="110"/>
  <c r="JZ37" i="110"/>
  <c r="JY37" i="110"/>
  <c r="JX37" i="110"/>
  <c r="JW37" i="110"/>
  <c r="JV37" i="110"/>
  <c r="JU37" i="110"/>
  <c r="JT37" i="110"/>
  <c r="JS37" i="110"/>
  <c r="JR37" i="110"/>
  <c r="JQ37" i="110"/>
  <c r="JP37" i="110"/>
  <c r="JO37" i="110"/>
  <c r="JN37" i="110"/>
  <c r="JM37" i="110"/>
  <c r="JL37" i="110"/>
  <c r="JK37" i="110"/>
  <c r="JJ37" i="110"/>
  <c r="JI37" i="110"/>
  <c r="JH37" i="110"/>
  <c r="JG37" i="110"/>
  <c r="JF37" i="110"/>
  <c r="JE37" i="110"/>
  <c r="JD37" i="110"/>
  <c r="JC37" i="110"/>
  <c r="JB37" i="110"/>
  <c r="JA37" i="110"/>
  <c r="IZ37" i="110"/>
  <c r="IY37" i="110"/>
  <c r="IX37" i="110"/>
  <c r="IW37" i="110"/>
  <c r="IV37" i="110"/>
  <c r="IU37" i="110"/>
  <c r="IT37" i="110"/>
  <c r="IS37" i="110"/>
  <c r="IR37" i="110"/>
  <c r="IQ37" i="110"/>
  <c r="IP37" i="110"/>
  <c r="IO37" i="110"/>
  <c r="IN37" i="110"/>
  <c r="IM37" i="110"/>
  <c r="IL37" i="110"/>
  <c r="IK37" i="110"/>
  <c r="IJ37" i="110"/>
  <c r="II37" i="110"/>
  <c r="IH37" i="110"/>
  <c r="IG37" i="110"/>
  <c r="IF37" i="110"/>
  <c r="IE37" i="110"/>
  <c r="ID37" i="110"/>
  <c r="IC37" i="110"/>
  <c r="IB37" i="110"/>
  <c r="IA37" i="110"/>
  <c r="HZ37" i="110"/>
  <c r="HY37" i="110"/>
  <c r="HX37" i="110"/>
  <c r="HW37" i="110"/>
  <c r="HV37" i="110"/>
  <c r="HU37" i="110"/>
  <c r="HT37" i="110"/>
  <c r="HS37" i="110"/>
  <c r="HR37" i="110"/>
  <c r="HQ37" i="110"/>
  <c r="HP37" i="110"/>
  <c r="HO37" i="110"/>
  <c r="HN37" i="110"/>
  <c r="HM37" i="110"/>
  <c r="HL37" i="110"/>
  <c r="HK37" i="110"/>
  <c r="HJ37" i="110"/>
  <c r="HI37" i="110"/>
  <c r="HH37" i="110"/>
  <c r="HG37" i="110"/>
  <c r="HF37" i="110"/>
  <c r="HE37" i="110"/>
  <c r="HD37" i="110"/>
  <c r="HC37" i="110"/>
  <c r="HB37" i="110"/>
  <c r="HA37" i="110"/>
  <c r="GZ37" i="110"/>
  <c r="GY37" i="110"/>
  <c r="GX37" i="110"/>
  <c r="GW37" i="110"/>
  <c r="GV37" i="110"/>
  <c r="GU37" i="110"/>
  <c r="GT37" i="110"/>
  <c r="GS37" i="110"/>
  <c r="GR37" i="110"/>
  <c r="GQ37" i="110"/>
  <c r="GP37" i="110"/>
  <c r="GO37" i="110"/>
  <c r="GN37" i="110"/>
  <c r="GM37" i="110"/>
  <c r="GL37" i="110"/>
  <c r="GK37" i="110"/>
  <c r="GJ37" i="110"/>
  <c r="GI37" i="110"/>
  <c r="GH37" i="110"/>
  <c r="GG37" i="110"/>
  <c r="GF37" i="110"/>
  <c r="GE37" i="110"/>
  <c r="GD37" i="110"/>
  <c r="GC37" i="110"/>
  <c r="GB37" i="110"/>
  <c r="GA37" i="110"/>
  <c r="FZ37" i="110"/>
  <c r="FY37" i="110"/>
  <c r="FX37" i="110"/>
  <c r="FW37" i="110"/>
  <c r="FV37" i="110"/>
  <c r="FU37" i="110"/>
  <c r="FT37" i="110"/>
  <c r="FS37" i="110"/>
  <c r="FR37" i="110"/>
  <c r="FQ37" i="110"/>
  <c r="FP37" i="110"/>
  <c r="FO37" i="110"/>
  <c r="FN37" i="110"/>
  <c r="FM37" i="110"/>
  <c r="EC37" i="110"/>
  <c r="EB37" i="110"/>
  <c r="EA37" i="110"/>
  <c r="DZ37" i="110"/>
  <c r="DY37" i="110"/>
  <c r="DX37" i="110"/>
  <c r="DW37" i="110"/>
  <c r="DV37" i="110"/>
  <c r="DU37" i="110"/>
  <c r="DT37" i="110"/>
  <c r="DS37" i="110"/>
  <c r="DR37" i="110"/>
  <c r="DQ37" i="110"/>
  <c r="DP37" i="110"/>
  <c r="DO37" i="110"/>
  <c r="DN37" i="110"/>
  <c r="DM37" i="110"/>
  <c r="DL37" i="110"/>
  <c r="DK37" i="110"/>
  <c r="DJ37" i="110"/>
  <c r="DI37" i="110"/>
  <c r="DH37" i="110"/>
  <c r="DG37" i="110"/>
  <c r="DF37" i="110"/>
  <c r="DE37" i="110"/>
  <c r="DD37" i="110"/>
  <c r="DC37" i="110"/>
  <c r="DB37" i="110"/>
  <c r="DA37" i="110"/>
  <c r="CZ37" i="110"/>
  <c r="CY37" i="110"/>
  <c r="CX37" i="110"/>
  <c r="CW37" i="110"/>
  <c r="CV37" i="110"/>
  <c r="CU37" i="110"/>
  <c r="CT37" i="110"/>
  <c r="CS37" i="110"/>
  <c r="CR37" i="110"/>
  <c r="CQ37" i="110"/>
  <c r="CP37" i="110"/>
  <c r="CO37" i="110"/>
  <c r="CN37" i="110"/>
  <c r="CM37" i="110"/>
  <c r="CL37" i="110"/>
  <c r="CK37" i="110"/>
  <c r="CJ37" i="110"/>
  <c r="CI37" i="110"/>
  <c r="CH37" i="110"/>
  <c r="CG37" i="110"/>
  <c r="CF37" i="110"/>
  <c r="CE37" i="110"/>
  <c r="CD37" i="110"/>
  <c r="CC37" i="110"/>
  <c r="CB37" i="110"/>
  <c r="CA37" i="110"/>
  <c r="BZ37" i="110"/>
  <c r="BY37" i="110"/>
  <c r="BX37" i="110"/>
  <c r="BW37" i="110"/>
  <c r="BV37" i="110"/>
  <c r="BU37" i="110"/>
  <c r="BT37" i="110"/>
  <c r="BS37" i="110"/>
  <c r="BR37" i="110"/>
  <c r="BQ37" i="110"/>
  <c r="BP37" i="110"/>
  <c r="BO37" i="110"/>
  <c r="BN37" i="110"/>
  <c r="BM37" i="110"/>
  <c r="BL37" i="110"/>
  <c r="BK37" i="110"/>
  <c r="BJ37" i="110"/>
  <c r="BI37" i="110"/>
  <c r="BH37" i="110"/>
  <c r="BG37" i="110"/>
  <c r="BF37" i="110"/>
  <c r="BE37" i="110"/>
  <c r="BD37" i="110"/>
  <c r="BC37" i="110"/>
  <c r="BB37" i="110"/>
  <c r="BA37" i="110"/>
  <c r="AZ37" i="110"/>
  <c r="AY37" i="110"/>
  <c r="AX37" i="110"/>
  <c r="AW37" i="110"/>
  <c r="AV37" i="110"/>
  <c r="AU37" i="110"/>
  <c r="AT37" i="110"/>
  <c r="AS37" i="110"/>
  <c r="AR37" i="110"/>
  <c r="AQ37" i="110"/>
  <c r="AP37" i="110"/>
  <c r="AO37" i="110"/>
  <c r="AN37" i="110"/>
  <c r="AM37" i="110"/>
  <c r="AL37" i="110"/>
  <c r="AK37" i="110"/>
  <c r="AJ37" i="110"/>
  <c r="AI37" i="110"/>
  <c r="AH37" i="110"/>
  <c r="AG37" i="110"/>
  <c r="AF37" i="110"/>
  <c r="AE37" i="110"/>
  <c r="AD37" i="110"/>
  <c r="AC37" i="110"/>
  <c r="AB37" i="110"/>
  <c r="AA37" i="110"/>
  <c r="Z37" i="110"/>
  <c r="Y37" i="110"/>
  <c r="X37" i="110"/>
  <c r="A37" i="110"/>
  <c r="OC36" i="110"/>
  <c r="OB36" i="110"/>
  <c r="OA36" i="110"/>
  <c r="NZ36" i="110"/>
  <c r="NY36" i="110"/>
  <c r="NX36" i="110"/>
  <c r="NW36" i="110"/>
  <c r="NV36" i="110"/>
  <c r="NU36" i="110"/>
  <c r="NT36" i="110"/>
  <c r="NS36" i="110"/>
  <c r="NR36" i="110"/>
  <c r="NQ36" i="110"/>
  <c r="NP36" i="110"/>
  <c r="NO36" i="110"/>
  <c r="NN36" i="110"/>
  <c r="NM36" i="110"/>
  <c r="NL36" i="110"/>
  <c r="NK36" i="110"/>
  <c r="NJ36" i="110"/>
  <c r="NI36" i="110"/>
  <c r="NH36" i="110"/>
  <c r="NG36" i="110"/>
  <c r="NF36" i="110"/>
  <c r="NE36" i="110"/>
  <c r="ND36" i="110"/>
  <c r="NC36" i="110"/>
  <c r="NB36" i="110"/>
  <c r="NA36" i="110"/>
  <c r="MZ36" i="110"/>
  <c r="MY36" i="110"/>
  <c r="MX36" i="110"/>
  <c r="MW36" i="110"/>
  <c r="MV36" i="110"/>
  <c r="MU36" i="110"/>
  <c r="MT36" i="110"/>
  <c r="MS36" i="110"/>
  <c r="MR36" i="110"/>
  <c r="MQ36" i="110"/>
  <c r="MP36" i="110"/>
  <c r="MO36" i="110"/>
  <c r="MN36" i="110"/>
  <c r="MM36" i="110"/>
  <c r="ML36" i="110"/>
  <c r="MK36" i="110"/>
  <c r="MJ36" i="110"/>
  <c r="MI36" i="110"/>
  <c r="MH36" i="110"/>
  <c r="MG36" i="110"/>
  <c r="MF36" i="110"/>
  <c r="ME36" i="110"/>
  <c r="MD36" i="110"/>
  <c r="MC36" i="110"/>
  <c r="MB36" i="110"/>
  <c r="MA36" i="110"/>
  <c r="LZ36" i="110"/>
  <c r="LY36" i="110"/>
  <c r="LX36" i="110"/>
  <c r="LW36" i="110"/>
  <c r="LV36" i="110"/>
  <c r="LU36" i="110"/>
  <c r="LT36" i="110"/>
  <c r="LS36" i="110"/>
  <c r="LR36" i="110"/>
  <c r="LQ36" i="110"/>
  <c r="LP36" i="110"/>
  <c r="LO36" i="110"/>
  <c r="LN36" i="110"/>
  <c r="LM36" i="110"/>
  <c r="LL36" i="110"/>
  <c r="LK36" i="110"/>
  <c r="LJ36" i="110"/>
  <c r="LI36" i="110"/>
  <c r="LH36" i="110"/>
  <c r="LG36" i="110"/>
  <c r="LF36" i="110"/>
  <c r="LE36" i="110"/>
  <c r="LD36" i="110"/>
  <c r="LC36" i="110"/>
  <c r="LB36" i="110"/>
  <c r="LA36" i="110"/>
  <c r="KZ36" i="110"/>
  <c r="KY36" i="110"/>
  <c r="KX36" i="110"/>
  <c r="KW36" i="110"/>
  <c r="KV36" i="110"/>
  <c r="KU36" i="110"/>
  <c r="KT36" i="110"/>
  <c r="KS36" i="110"/>
  <c r="KR36" i="110"/>
  <c r="KQ36" i="110"/>
  <c r="KP36" i="110"/>
  <c r="KO36" i="110"/>
  <c r="KN36" i="110"/>
  <c r="KM36" i="110"/>
  <c r="KL36" i="110"/>
  <c r="KK36" i="110"/>
  <c r="KJ36" i="110"/>
  <c r="KI36" i="110"/>
  <c r="KH36" i="110"/>
  <c r="KG36" i="110"/>
  <c r="KF36" i="110"/>
  <c r="KE36" i="110"/>
  <c r="KD36" i="110"/>
  <c r="KC36" i="110"/>
  <c r="KB36" i="110"/>
  <c r="KA36" i="110"/>
  <c r="JZ36" i="110"/>
  <c r="JY36" i="110"/>
  <c r="JX36" i="110"/>
  <c r="JW36" i="110"/>
  <c r="JV36" i="110"/>
  <c r="JU36" i="110"/>
  <c r="JT36" i="110"/>
  <c r="JS36" i="110"/>
  <c r="JR36" i="110"/>
  <c r="JQ36" i="110"/>
  <c r="JP36" i="110"/>
  <c r="JO36" i="110"/>
  <c r="JN36" i="110"/>
  <c r="JM36" i="110"/>
  <c r="JL36" i="110"/>
  <c r="JK36" i="110"/>
  <c r="JJ36" i="110"/>
  <c r="JI36" i="110"/>
  <c r="JH36" i="110"/>
  <c r="JG36" i="110"/>
  <c r="JF36" i="110"/>
  <c r="JE36" i="110"/>
  <c r="JD36" i="110"/>
  <c r="JC36" i="110"/>
  <c r="JB36" i="110"/>
  <c r="JA36" i="110"/>
  <c r="IZ36" i="110"/>
  <c r="IY36" i="110"/>
  <c r="IX36" i="110"/>
  <c r="IW36" i="110"/>
  <c r="IV36" i="110"/>
  <c r="IU36" i="110"/>
  <c r="IT36" i="110"/>
  <c r="IS36" i="110"/>
  <c r="IR36" i="110"/>
  <c r="IQ36" i="110"/>
  <c r="IP36" i="110"/>
  <c r="IO36" i="110"/>
  <c r="IN36" i="110"/>
  <c r="IM36" i="110"/>
  <c r="IL36" i="110"/>
  <c r="IK36" i="110"/>
  <c r="IJ36" i="110"/>
  <c r="II36" i="110"/>
  <c r="IH36" i="110"/>
  <c r="IG36" i="110"/>
  <c r="IF36" i="110"/>
  <c r="IE36" i="110"/>
  <c r="ID36" i="110"/>
  <c r="IC36" i="110"/>
  <c r="IB36" i="110"/>
  <c r="IA36" i="110"/>
  <c r="HZ36" i="110"/>
  <c r="HY36" i="110"/>
  <c r="HX36" i="110"/>
  <c r="HW36" i="110"/>
  <c r="HV36" i="110"/>
  <c r="HU36" i="110"/>
  <c r="HT36" i="110"/>
  <c r="HS36" i="110"/>
  <c r="HR36" i="110"/>
  <c r="HQ36" i="110"/>
  <c r="HP36" i="110"/>
  <c r="HO36" i="110"/>
  <c r="HN36" i="110"/>
  <c r="HM36" i="110"/>
  <c r="HL36" i="110"/>
  <c r="HK36" i="110"/>
  <c r="HJ36" i="110"/>
  <c r="HI36" i="110"/>
  <c r="HH36" i="110"/>
  <c r="HG36" i="110"/>
  <c r="HF36" i="110"/>
  <c r="HE36" i="110"/>
  <c r="HD36" i="110"/>
  <c r="HC36" i="110"/>
  <c r="HB36" i="110"/>
  <c r="HA36" i="110"/>
  <c r="GZ36" i="110"/>
  <c r="GY36" i="110"/>
  <c r="GX36" i="110"/>
  <c r="GW36" i="110"/>
  <c r="GV36" i="110"/>
  <c r="GU36" i="110"/>
  <c r="GT36" i="110"/>
  <c r="GS36" i="110"/>
  <c r="GR36" i="110"/>
  <c r="GQ36" i="110"/>
  <c r="GP36" i="110"/>
  <c r="GO36" i="110"/>
  <c r="GN36" i="110"/>
  <c r="GM36" i="110"/>
  <c r="GL36" i="110"/>
  <c r="GK36" i="110"/>
  <c r="GJ36" i="110"/>
  <c r="GI36" i="110"/>
  <c r="GH36" i="110"/>
  <c r="GG36" i="110"/>
  <c r="GF36" i="110"/>
  <c r="GE36" i="110"/>
  <c r="GD36" i="110"/>
  <c r="GC36" i="110"/>
  <c r="GB36" i="110"/>
  <c r="GA36" i="110"/>
  <c r="FZ36" i="110"/>
  <c r="FY36" i="110"/>
  <c r="FX36" i="110"/>
  <c r="FW36" i="110"/>
  <c r="FV36" i="110"/>
  <c r="FU36" i="110"/>
  <c r="FT36" i="110"/>
  <c r="FS36" i="110"/>
  <c r="FR36" i="110"/>
  <c r="FQ36" i="110"/>
  <c r="FP36" i="110"/>
  <c r="FO36" i="110"/>
  <c r="FN36" i="110"/>
  <c r="FM36" i="110"/>
  <c r="EC36" i="110"/>
  <c r="EB36" i="110"/>
  <c r="EA36" i="110"/>
  <c r="DZ36" i="110"/>
  <c r="DY36" i="110"/>
  <c r="DX36" i="110"/>
  <c r="DW36" i="110"/>
  <c r="DV36" i="110"/>
  <c r="DU36" i="110"/>
  <c r="DT36" i="110"/>
  <c r="DS36" i="110"/>
  <c r="DR36" i="110"/>
  <c r="DQ36" i="110"/>
  <c r="DP36" i="110"/>
  <c r="DO36" i="110"/>
  <c r="DN36" i="110"/>
  <c r="DM36" i="110"/>
  <c r="DL36" i="110"/>
  <c r="DK36" i="110"/>
  <c r="DJ36" i="110"/>
  <c r="DI36" i="110"/>
  <c r="DH36" i="110"/>
  <c r="DG36" i="110"/>
  <c r="DF36" i="110"/>
  <c r="DE36" i="110"/>
  <c r="DD36" i="110"/>
  <c r="DC36" i="110"/>
  <c r="DB36" i="110"/>
  <c r="DA36" i="110"/>
  <c r="CZ36" i="110"/>
  <c r="CY36" i="110"/>
  <c r="CX36" i="110"/>
  <c r="CW36" i="110"/>
  <c r="CV36" i="110"/>
  <c r="CU36" i="110"/>
  <c r="CT36" i="110"/>
  <c r="CS36" i="110"/>
  <c r="CR36" i="110"/>
  <c r="CQ36" i="110"/>
  <c r="CP36" i="110"/>
  <c r="CO36" i="110"/>
  <c r="CN36" i="110"/>
  <c r="CM36" i="110"/>
  <c r="CL36" i="110"/>
  <c r="CK36" i="110"/>
  <c r="CJ36" i="110"/>
  <c r="CI36" i="110"/>
  <c r="CH36" i="110"/>
  <c r="CG36" i="110"/>
  <c r="CF36" i="110"/>
  <c r="CE36" i="110"/>
  <c r="CD36" i="110"/>
  <c r="CC36" i="110"/>
  <c r="CB36" i="110"/>
  <c r="CA36" i="110"/>
  <c r="BZ36" i="110"/>
  <c r="BY36" i="110"/>
  <c r="BX36" i="110"/>
  <c r="BW36" i="110"/>
  <c r="BV36" i="110"/>
  <c r="BU36" i="110"/>
  <c r="BT36" i="110"/>
  <c r="BS36" i="110"/>
  <c r="BR36" i="110"/>
  <c r="BQ36" i="110"/>
  <c r="BP36" i="110"/>
  <c r="BO36" i="110"/>
  <c r="BN36" i="110"/>
  <c r="BM36" i="110"/>
  <c r="BL36" i="110"/>
  <c r="BK36" i="110"/>
  <c r="BJ36" i="110"/>
  <c r="BI36" i="110"/>
  <c r="BH36" i="110"/>
  <c r="BG36" i="110"/>
  <c r="BF36" i="110"/>
  <c r="BE36" i="110"/>
  <c r="BD36" i="110"/>
  <c r="BC36" i="110"/>
  <c r="BB36" i="110"/>
  <c r="BA36" i="110"/>
  <c r="AZ36" i="110"/>
  <c r="AY36" i="110"/>
  <c r="AX36" i="110"/>
  <c r="AW36" i="110"/>
  <c r="AV36" i="110"/>
  <c r="AU36" i="110"/>
  <c r="AT36" i="110"/>
  <c r="AS36" i="110"/>
  <c r="AR36" i="110"/>
  <c r="AQ36" i="110"/>
  <c r="AP36" i="110"/>
  <c r="AO36" i="110"/>
  <c r="AN36" i="110"/>
  <c r="AM36" i="110"/>
  <c r="AL36" i="110"/>
  <c r="AK36" i="110"/>
  <c r="AJ36" i="110"/>
  <c r="AI36" i="110"/>
  <c r="AH36" i="110"/>
  <c r="AG36" i="110"/>
  <c r="AF36" i="110"/>
  <c r="AE36" i="110"/>
  <c r="AD36" i="110"/>
  <c r="AC36" i="110"/>
  <c r="AB36" i="110"/>
  <c r="AA36" i="110"/>
  <c r="Z36" i="110"/>
  <c r="Y36" i="110"/>
  <c r="X36" i="110"/>
  <c r="A36" i="110"/>
  <c r="OC35" i="110"/>
  <c r="OB35" i="110"/>
  <c r="OA35" i="110"/>
  <c r="NZ35" i="110"/>
  <c r="NY35" i="110"/>
  <c r="NX35" i="110"/>
  <c r="NW35" i="110"/>
  <c r="NV35" i="110"/>
  <c r="NU35" i="110"/>
  <c r="NT35" i="110"/>
  <c r="NS35" i="110"/>
  <c r="NR35" i="110"/>
  <c r="NQ35" i="110"/>
  <c r="NP35" i="110"/>
  <c r="NO35" i="110"/>
  <c r="NN35" i="110"/>
  <c r="NM35" i="110"/>
  <c r="NL35" i="110"/>
  <c r="NK35" i="110"/>
  <c r="NJ35" i="110"/>
  <c r="NI35" i="110"/>
  <c r="NH35" i="110"/>
  <c r="NG35" i="110"/>
  <c r="NF35" i="110"/>
  <c r="NE35" i="110"/>
  <c r="ND35" i="110"/>
  <c r="NC35" i="110"/>
  <c r="NB35" i="110"/>
  <c r="NA35" i="110"/>
  <c r="MZ35" i="110"/>
  <c r="MY35" i="110"/>
  <c r="MX35" i="110"/>
  <c r="MW35" i="110"/>
  <c r="MV35" i="110"/>
  <c r="MU35" i="110"/>
  <c r="MT35" i="110"/>
  <c r="MS35" i="110"/>
  <c r="MR35" i="110"/>
  <c r="MQ35" i="110"/>
  <c r="MP35" i="110"/>
  <c r="MO35" i="110"/>
  <c r="MN35" i="110"/>
  <c r="MM35" i="110"/>
  <c r="ML35" i="110"/>
  <c r="MK35" i="110"/>
  <c r="MJ35" i="110"/>
  <c r="MI35" i="110"/>
  <c r="MH35" i="110"/>
  <c r="MG35" i="110"/>
  <c r="MF35" i="110"/>
  <c r="ME35" i="110"/>
  <c r="MD35" i="110"/>
  <c r="MC35" i="110"/>
  <c r="MB35" i="110"/>
  <c r="MA35" i="110"/>
  <c r="LZ35" i="110"/>
  <c r="LY35" i="110"/>
  <c r="LX35" i="110"/>
  <c r="LW35" i="110"/>
  <c r="LV35" i="110"/>
  <c r="LU35" i="110"/>
  <c r="LT35" i="110"/>
  <c r="LS35" i="110"/>
  <c r="LR35" i="110"/>
  <c r="LQ35" i="110"/>
  <c r="LP35" i="110"/>
  <c r="LO35" i="110"/>
  <c r="LN35" i="110"/>
  <c r="LM35" i="110"/>
  <c r="LL35" i="110"/>
  <c r="LK35" i="110"/>
  <c r="LJ35" i="110"/>
  <c r="LI35" i="110"/>
  <c r="LH35" i="110"/>
  <c r="LG35" i="110"/>
  <c r="LF35" i="110"/>
  <c r="LE35" i="110"/>
  <c r="LD35" i="110"/>
  <c r="LC35" i="110"/>
  <c r="LB35" i="110"/>
  <c r="LA35" i="110"/>
  <c r="KZ35" i="110"/>
  <c r="KY35" i="110"/>
  <c r="KX35" i="110"/>
  <c r="KW35" i="110"/>
  <c r="KV35" i="110"/>
  <c r="KU35" i="110"/>
  <c r="KT35" i="110"/>
  <c r="KS35" i="110"/>
  <c r="KR35" i="110"/>
  <c r="KQ35" i="110"/>
  <c r="KP35" i="110"/>
  <c r="KO35" i="110"/>
  <c r="KN35" i="110"/>
  <c r="KM35" i="110"/>
  <c r="KL35" i="110"/>
  <c r="KK35" i="110"/>
  <c r="KJ35" i="110"/>
  <c r="KI35" i="110"/>
  <c r="KH35" i="110"/>
  <c r="KG35" i="110"/>
  <c r="KF35" i="110"/>
  <c r="KE35" i="110"/>
  <c r="KD35" i="110"/>
  <c r="KC35" i="110"/>
  <c r="KB35" i="110"/>
  <c r="KA35" i="110"/>
  <c r="JZ35" i="110"/>
  <c r="JY35" i="110"/>
  <c r="JX35" i="110"/>
  <c r="JW35" i="110"/>
  <c r="JV35" i="110"/>
  <c r="JU35" i="110"/>
  <c r="JT35" i="110"/>
  <c r="JS35" i="110"/>
  <c r="JR35" i="110"/>
  <c r="JQ35" i="110"/>
  <c r="JP35" i="110"/>
  <c r="JO35" i="110"/>
  <c r="JN35" i="110"/>
  <c r="JM35" i="110"/>
  <c r="JL35" i="110"/>
  <c r="JK35" i="110"/>
  <c r="JJ35" i="110"/>
  <c r="JI35" i="110"/>
  <c r="JH35" i="110"/>
  <c r="JG35" i="110"/>
  <c r="JF35" i="110"/>
  <c r="JE35" i="110"/>
  <c r="JD35" i="110"/>
  <c r="JC35" i="110"/>
  <c r="JB35" i="110"/>
  <c r="JA35" i="110"/>
  <c r="IZ35" i="110"/>
  <c r="IY35" i="110"/>
  <c r="IX35" i="110"/>
  <c r="IW35" i="110"/>
  <c r="IV35" i="110"/>
  <c r="IU35" i="110"/>
  <c r="IT35" i="110"/>
  <c r="IS35" i="110"/>
  <c r="IR35" i="110"/>
  <c r="IQ35" i="110"/>
  <c r="IP35" i="110"/>
  <c r="IO35" i="110"/>
  <c r="IN35" i="110"/>
  <c r="IM35" i="110"/>
  <c r="IL35" i="110"/>
  <c r="IK35" i="110"/>
  <c r="IJ35" i="110"/>
  <c r="II35" i="110"/>
  <c r="IH35" i="110"/>
  <c r="IG35" i="110"/>
  <c r="IF35" i="110"/>
  <c r="IE35" i="110"/>
  <c r="ID35" i="110"/>
  <c r="IC35" i="110"/>
  <c r="IB35" i="110"/>
  <c r="IA35" i="110"/>
  <c r="HZ35" i="110"/>
  <c r="HY35" i="110"/>
  <c r="HX35" i="110"/>
  <c r="HW35" i="110"/>
  <c r="HV35" i="110"/>
  <c r="HU35" i="110"/>
  <c r="HT35" i="110"/>
  <c r="HS35" i="110"/>
  <c r="HR35" i="110"/>
  <c r="HQ35" i="110"/>
  <c r="HP35" i="110"/>
  <c r="HO35" i="110"/>
  <c r="HN35" i="110"/>
  <c r="HM35" i="110"/>
  <c r="HL35" i="110"/>
  <c r="HK35" i="110"/>
  <c r="HJ35" i="110"/>
  <c r="HI35" i="110"/>
  <c r="HH35" i="110"/>
  <c r="HG35" i="110"/>
  <c r="HF35" i="110"/>
  <c r="HE35" i="110"/>
  <c r="HD35" i="110"/>
  <c r="HC35" i="110"/>
  <c r="HB35" i="110"/>
  <c r="HA35" i="110"/>
  <c r="GZ35" i="110"/>
  <c r="GY35" i="110"/>
  <c r="GX35" i="110"/>
  <c r="GW35" i="110"/>
  <c r="GV35" i="110"/>
  <c r="GU35" i="110"/>
  <c r="GT35" i="110"/>
  <c r="GS35" i="110"/>
  <c r="GR35" i="110"/>
  <c r="GQ35" i="110"/>
  <c r="GP35" i="110"/>
  <c r="GO35" i="110"/>
  <c r="GN35" i="110"/>
  <c r="GM35" i="110"/>
  <c r="GL35" i="110"/>
  <c r="GK35" i="110"/>
  <c r="GJ35" i="110"/>
  <c r="GI35" i="110"/>
  <c r="GH35" i="110"/>
  <c r="GG35" i="110"/>
  <c r="GF35" i="110"/>
  <c r="GE35" i="110"/>
  <c r="GD35" i="110"/>
  <c r="GC35" i="110"/>
  <c r="GB35" i="110"/>
  <c r="GA35" i="110"/>
  <c r="FZ35" i="110"/>
  <c r="FY35" i="110"/>
  <c r="FX35" i="110"/>
  <c r="FW35" i="110"/>
  <c r="FV35" i="110"/>
  <c r="FU35" i="110"/>
  <c r="FT35" i="110"/>
  <c r="FS35" i="110"/>
  <c r="FR35" i="110"/>
  <c r="FQ35" i="110"/>
  <c r="FP35" i="110"/>
  <c r="FO35" i="110"/>
  <c r="FN35" i="110"/>
  <c r="FM35" i="110"/>
  <c r="EC35" i="110"/>
  <c r="EB35" i="110"/>
  <c r="EA35" i="110"/>
  <c r="DZ35" i="110"/>
  <c r="DY35" i="110"/>
  <c r="DX35" i="110"/>
  <c r="DW35" i="110"/>
  <c r="DV35" i="110"/>
  <c r="DU35" i="110"/>
  <c r="DT35" i="110"/>
  <c r="DS35" i="110"/>
  <c r="DR35" i="110"/>
  <c r="DQ35" i="110"/>
  <c r="DP35" i="110"/>
  <c r="DO35" i="110"/>
  <c r="DN35" i="110"/>
  <c r="DM35" i="110"/>
  <c r="DL35" i="110"/>
  <c r="DK35" i="110"/>
  <c r="DJ35" i="110"/>
  <c r="DI35" i="110"/>
  <c r="DH35" i="110"/>
  <c r="DG35" i="110"/>
  <c r="DF35" i="110"/>
  <c r="DE35" i="110"/>
  <c r="DD35" i="110"/>
  <c r="DC35" i="110"/>
  <c r="DB35" i="110"/>
  <c r="DA35" i="110"/>
  <c r="CZ35" i="110"/>
  <c r="CY35" i="110"/>
  <c r="CX35" i="110"/>
  <c r="CW35" i="110"/>
  <c r="CV35" i="110"/>
  <c r="CU35" i="110"/>
  <c r="CT35" i="110"/>
  <c r="CS35" i="110"/>
  <c r="CR35" i="110"/>
  <c r="CQ35" i="110"/>
  <c r="CP35" i="110"/>
  <c r="CO35" i="110"/>
  <c r="CN35" i="110"/>
  <c r="CM35" i="110"/>
  <c r="CL35" i="110"/>
  <c r="CK35" i="110"/>
  <c r="CJ35" i="110"/>
  <c r="CI35" i="110"/>
  <c r="CH35" i="110"/>
  <c r="CG35" i="110"/>
  <c r="CF35" i="110"/>
  <c r="CE35" i="110"/>
  <c r="CD35" i="110"/>
  <c r="CC35" i="110"/>
  <c r="CB35" i="110"/>
  <c r="CA35" i="110"/>
  <c r="BZ35" i="110"/>
  <c r="BY35" i="110"/>
  <c r="BX35" i="110"/>
  <c r="BW35" i="110"/>
  <c r="BV35" i="110"/>
  <c r="BU35" i="110"/>
  <c r="BT35" i="110"/>
  <c r="BS35" i="110"/>
  <c r="BR35" i="110"/>
  <c r="BQ35" i="110"/>
  <c r="BP35" i="110"/>
  <c r="BO35" i="110"/>
  <c r="BN35" i="110"/>
  <c r="BM35" i="110"/>
  <c r="BL35" i="110"/>
  <c r="BK35" i="110"/>
  <c r="BJ35" i="110"/>
  <c r="BI35" i="110"/>
  <c r="BH35" i="110"/>
  <c r="BG35" i="110"/>
  <c r="BF35" i="110"/>
  <c r="BE35" i="110"/>
  <c r="BD35" i="110"/>
  <c r="BC35" i="110"/>
  <c r="BB35" i="110"/>
  <c r="BA35" i="110"/>
  <c r="AZ35" i="110"/>
  <c r="AY35" i="110"/>
  <c r="AX35" i="110"/>
  <c r="AW35" i="110"/>
  <c r="AV35" i="110"/>
  <c r="AU35" i="110"/>
  <c r="AT35" i="110"/>
  <c r="AS35" i="110"/>
  <c r="AR35" i="110"/>
  <c r="AQ35" i="110"/>
  <c r="AP35" i="110"/>
  <c r="AO35" i="110"/>
  <c r="AN35" i="110"/>
  <c r="AM35" i="110"/>
  <c r="AL35" i="110"/>
  <c r="AK35" i="110"/>
  <c r="AJ35" i="110"/>
  <c r="AI35" i="110"/>
  <c r="AH35" i="110"/>
  <c r="AG35" i="110"/>
  <c r="AF35" i="110"/>
  <c r="AE35" i="110"/>
  <c r="AD35" i="110"/>
  <c r="AC35" i="110"/>
  <c r="AB35" i="110"/>
  <c r="AA35" i="110"/>
  <c r="Z35" i="110"/>
  <c r="Y35" i="110"/>
  <c r="X35" i="110"/>
  <c r="A35" i="110"/>
  <c r="OC34" i="110"/>
  <c r="OB34" i="110"/>
  <c r="OA34" i="110"/>
  <c r="NZ34" i="110"/>
  <c r="NY34" i="110"/>
  <c r="NX34" i="110"/>
  <c r="NW34" i="110"/>
  <c r="NV34" i="110"/>
  <c r="NU34" i="110"/>
  <c r="NT34" i="110"/>
  <c r="NS34" i="110"/>
  <c r="NR34" i="110"/>
  <c r="NQ34" i="110"/>
  <c r="NP34" i="110"/>
  <c r="NO34" i="110"/>
  <c r="NN34" i="110"/>
  <c r="NM34" i="110"/>
  <c r="NL34" i="110"/>
  <c r="NK34" i="110"/>
  <c r="NJ34" i="110"/>
  <c r="NI34" i="110"/>
  <c r="NH34" i="110"/>
  <c r="NG34" i="110"/>
  <c r="NF34" i="110"/>
  <c r="NE34" i="110"/>
  <c r="ND34" i="110"/>
  <c r="NC34" i="110"/>
  <c r="NB34" i="110"/>
  <c r="NA34" i="110"/>
  <c r="MZ34" i="110"/>
  <c r="MY34" i="110"/>
  <c r="MX34" i="110"/>
  <c r="MW34" i="110"/>
  <c r="MV34" i="110"/>
  <c r="MU34" i="110"/>
  <c r="MT34" i="110"/>
  <c r="MS34" i="110"/>
  <c r="MR34" i="110"/>
  <c r="MQ34" i="110"/>
  <c r="MP34" i="110"/>
  <c r="MO34" i="110"/>
  <c r="MN34" i="110"/>
  <c r="MM34" i="110"/>
  <c r="ML34" i="110"/>
  <c r="MK34" i="110"/>
  <c r="MJ34" i="110"/>
  <c r="MI34" i="110"/>
  <c r="MH34" i="110"/>
  <c r="MG34" i="110"/>
  <c r="MF34" i="110"/>
  <c r="ME34" i="110"/>
  <c r="MD34" i="110"/>
  <c r="MC34" i="110"/>
  <c r="MB34" i="110"/>
  <c r="MA34" i="110"/>
  <c r="LZ34" i="110"/>
  <c r="LY34" i="110"/>
  <c r="LX34" i="110"/>
  <c r="LW34" i="110"/>
  <c r="LV34" i="110"/>
  <c r="LU34" i="110"/>
  <c r="LT34" i="110"/>
  <c r="LS34" i="110"/>
  <c r="LR34" i="110"/>
  <c r="LQ34" i="110"/>
  <c r="LP34" i="110"/>
  <c r="LO34" i="110"/>
  <c r="LN34" i="110"/>
  <c r="LM34" i="110"/>
  <c r="LL34" i="110"/>
  <c r="LK34" i="110"/>
  <c r="LJ34" i="110"/>
  <c r="LI34" i="110"/>
  <c r="LH34" i="110"/>
  <c r="LG34" i="110"/>
  <c r="LF34" i="110"/>
  <c r="LE34" i="110"/>
  <c r="LD34" i="110"/>
  <c r="LC34" i="110"/>
  <c r="LB34" i="110"/>
  <c r="LA34" i="110"/>
  <c r="KZ34" i="110"/>
  <c r="KY34" i="110"/>
  <c r="KX34" i="110"/>
  <c r="KW34" i="110"/>
  <c r="KV34" i="110"/>
  <c r="KU34" i="110"/>
  <c r="KT34" i="110"/>
  <c r="KS34" i="110"/>
  <c r="KR34" i="110"/>
  <c r="KQ34" i="110"/>
  <c r="KP34" i="110"/>
  <c r="KO34" i="110"/>
  <c r="KN34" i="110"/>
  <c r="KM34" i="110"/>
  <c r="KL34" i="110"/>
  <c r="KK34" i="110"/>
  <c r="KJ34" i="110"/>
  <c r="KI34" i="110"/>
  <c r="KH34" i="110"/>
  <c r="KG34" i="110"/>
  <c r="KF34" i="110"/>
  <c r="KE34" i="110"/>
  <c r="KD34" i="110"/>
  <c r="KC34" i="110"/>
  <c r="KB34" i="110"/>
  <c r="KA34" i="110"/>
  <c r="JZ34" i="110"/>
  <c r="JY34" i="110"/>
  <c r="JX34" i="110"/>
  <c r="JW34" i="110"/>
  <c r="JV34" i="110"/>
  <c r="JU34" i="110"/>
  <c r="JT34" i="110"/>
  <c r="JS34" i="110"/>
  <c r="JR34" i="110"/>
  <c r="JQ34" i="110"/>
  <c r="JP34" i="110"/>
  <c r="JO34" i="110"/>
  <c r="JN34" i="110"/>
  <c r="JM34" i="110"/>
  <c r="JL34" i="110"/>
  <c r="JK34" i="110"/>
  <c r="JJ34" i="110"/>
  <c r="JI34" i="110"/>
  <c r="JH34" i="110"/>
  <c r="JG34" i="110"/>
  <c r="JF34" i="110"/>
  <c r="JE34" i="110"/>
  <c r="JD34" i="110"/>
  <c r="JC34" i="110"/>
  <c r="JB34" i="110"/>
  <c r="JA34" i="110"/>
  <c r="IZ34" i="110"/>
  <c r="IY34" i="110"/>
  <c r="IX34" i="110"/>
  <c r="IW34" i="110"/>
  <c r="IV34" i="110"/>
  <c r="IU34" i="110"/>
  <c r="IT34" i="110"/>
  <c r="IS34" i="110"/>
  <c r="IR34" i="110"/>
  <c r="IQ34" i="110"/>
  <c r="IP34" i="110"/>
  <c r="IO34" i="110"/>
  <c r="IN34" i="110"/>
  <c r="IM34" i="110"/>
  <c r="IL34" i="110"/>
  <c r="IK34" i="110"/>
  <c r="IJ34" i="110"/>
  <c r="II34" i="110"/>
  <c r="IH34" i="110"/>
  <c r="IG34" i="110"/>
  <c r="IF34" i="110"/>
  <c r="IE34" i="110"/>
  <c r="ID34" i="110"/>
  <c r="IC34" i="110"/>
  <c r="IB34" i="110"/>
  <c r="IA34" i="110"/>
  <c r="HZ34" i="110"/>
  <c r="HY34" i="110"/>
  <c r="HX34" i="110"/>
  <c r="HW34" i="110"/>
  <c r="HV34" i="110"/>
  <c r="HU34" i="110"/>
  <c r="HT34" i="110"/>
  <c r="HS34" i="110"/>
  <c r="HR34" i="110"/>
  <c r="HQ34" i="110"/>
  <c r="HP34" i="110"/>
  <c r="HO34" i="110"/>
  <c r="HN34" i="110"/>
  <c r="HM34" i="110"/>
  <c r="HL34" i="110"/>
  <c r="HK34" i="110"/>
  <c r="HJ34" i="110"/>
  <c r="HI34" i="110"/>
  <c r="HH34" i="110"/>
  <c r="HG34" i="110"/>
  <c r="HF34" i="110"/>
  <c r="HE34" i="110"/>
  <c r="HD34" i="110"/>
  <c r="HC34" i="110"/>
  <c r="HB34" i="110"/>
  <c r="HA34" i="110"/>
  <c r="GZ34" i="110"/>
  <c r="GY34" i="110"/>
  <c r="GX34" i="110"/>
  <c r="GW34" i="110"/>
  <c r="GV34" i="110"/>
  <c r="GU34" i="110"/>
  <c r="GT34" i="110"/>
  <c r="GS34" i="110"/>
  <c r="GR34" i="110"/>
  <c r="GQ34" i="110"/>
  <c r="GP34" i="110"/>
  <c r="GO34" i="110"/>
  <c r="GN34" i="110"/>
  <c r="GM34" i="110"/>
  <c r="GL34" i="110"/>
  <c r="GK34" i="110"/>
  <c r="GJ34" i="110"/>
  <c r="GI34" i="110"/>
  <c r="GH34" i="110"/>
  <c r="GG34" i="110"/>
  <c r="GF34" i="110"/>
  <c r="GE34" i="110"/>
  <c r="GD34" i="110"/>
  <c r="GC34" i="110"/>
  <c r="GB34" i="110"/>
  <c r="GA34" i="110"/>
  <c r="FZ34" i="110"/>
  <c r="FY34" i="110"/>
  <c r="FX34" i="110"/>
  <c r="FW34" i="110"/>
  <c r="FV34" i="110"/>
  <c r="FU34" i="110"/>
  <c r="FT34" i="110"/>
  <c r="FS34" i="110"/>
  <c r="FR34" i="110"/>
  <c r="FQ34" i="110"/>
  <c r="FP34" i="110"/>
  <c r="FO34" i="110"/>
  <c r="FN34" i="110"/>
  <c r="FM34" i="110"/>
  <c r="EC34" i="110"/>
  <c r="EB34" i="110"/>
  <c r="EA34" i="110"/>
  <c r="DZ34" i="110"/>
  <c r="DY34" i="110"/>
  <c r="DX34" i="110"/>
  <c r="DW34" i="110"/>
  <c r="DV34" i="110"/>
  <c r="DU34" i="110"/>
  <c r="DT34" i="110"/>
  <c r="DS34" i="110"/>
  <c r="DR34" i="110"/>
  <c r="DQ34" i="110"/>
  <c r="DP34" i="110"/>
  <c r="DO34" i="110"/>
  <c r="DN34" i="110"/>
  <c r="DM34" i="110"/>
  <c r="DL34" i="110"/>
  <c r="DK34" i="110"/>
  <c r="DJ34" i="110"/>
  <c r="DI34" i="110"/>
  <c r="DH34" i="110"/>
  <c r="DG34" i="110"/>
  <c r="DF34" i="110"/>
  <c r="DE34" i="110"/>
  <c r="DD34" i="110"/>
  <c r="DC34" i="110"/>
  <c r="DB34" i="110"/>
  <c r="DA34" i="110"/>
  <c r="CZ34" i="110"/>
  <c r="CY34" i="110"/>
  <c r="CX34" i="110"/>
  <c r="CW34" i="110"/>
  <c r="CV34" i="110"/>
  <c r="CU34" i="110"/>
  <c r="CT34" i="110"/>
  <c r="CS34" i="110"/>
  <c r="CR34" i="110"/>
  <c r="CQ34" i="110"/>
  <c r="CP34" i="110"/>
  <c r="CO34" i="110"/>
  <c r="CN34" i="110"/>
  <c r="CM34" i="110"/>
  <c r="CL34" i="110"/>
  <c r="CK34" i="110"/>
  <c r="CJ34" i="110"/>
  <c r="CI34" i="110"/>
  <c r="CH34" i="110"/>
  <c r="CG34" i="110"/>
  <c r="CF34" i="110"/>
  <c r="CE34" i="110"/>
  <c r="CD34" i="110"/>
  <c r="CC34" i="110"/>
  <c r="CB34" i="110"/>
  <c r="CA34" i="110"/>
  <c r="BZ34" i="110"/>
  <c r="BY34" i="110"/>
  <c r="BX34" i="110"/>
  <c r="BW34" i="110"/>
  <c r="BV34" i="110"/>
  <c r="BU34" i="110"/>
  <c r="BT34" i="110"/>
  <c r="BS34" i="110"/>
  <c r="BR34" i="110"/>
  <c r="BQ34" i="110"/>
  <c r="BP34" i="110"/>
  <c r="BO34" i="110"/>
  <c r="BN34" i="110"/>
  <c r="BM34" i="110"/>
  <c r="BL34" i="110"/>
  <c r="BK34" i="110"/>
  <c r="BJ34" i="110"/>
  <c r="BI34" i="110"/>
  <c r="BH34" i="110"/>
  <c r="BG34" i="110"/>
  <c r="BF34" i="110"/>
  <c r="BE34" i="110"/>
  <c r="BD34" i="110"/>
  <c r="BC34" i="110"/>
  <c r="BB34" i="110"/>
  <c r="BA34" i="110"/>
  <c r="AZ34" i="110"/>
  <c r="AY34" i="110"/>
  <c r="AX34" i="110"/>
  <c r="AW34" i="110"/>
  <c r="AV34" i="110"/>
  <c r="AU34" i="110"/>
  <c r="AT34" i="110"/>
  <c r="AS34" i="110"/>
  <c r="AR34" i="110"/>
  <c r="AQ34" i="110"/>
  <c r="AP34" i="110"/>
  <c r="AO34" i="110"/>
  <c r="AN34" i="110"/>
  <c r="AM34" i="110"/>
  <c r="AL34" i="110"/>
  <c r="AK34" i="110"/>
  <c r="AJ34" i="110"/>
  <c r="AI34" i="110"/>
  <c r="AH34" i="110"/>
  <c r="AG34" i="110"/>
  <c r="AF34" i="110"/>
  <c r="AE34" i="110"/>
  <c r="AD34" i="110"/>
  <c r="AC34" i="110"/>
  <c r="AB34" i="110"/>
  <c r="AA34" i="110"/>
  <c r="Z34" i="110"/>
  <c r="Y34" i="110"/>
  <c r="X34" i="110"/>
  <c r="A34" i="110"/>
  <c r="OC33" i="110"/>
  <c r="OB33" i="110"/>
  <c r="OA33" i="110"/>
  <c r="NZ33" i="110"/>
  <c r="NY33" i="110"/>
  <c r="NX33" i="110"/>
  <c r="NW33" i="110"/>
  <c r="NV33" i="110"/>
  <c r="NU33" i="110"/>
  <c r="NT33" i="110"/>
  <c r="NS33" i="110"/>
  <c r="NR33" i="110"/>
  <c r="NQ33" i="110"/>
  <c r="NP33" i="110"/>
  <c r="NO33" i="110"/>
  <c r="NN33" i="110"/>
  <c r="NM33" i="110"/>
  <c r="NL33" i="110"/>
  <c r="NK33" i="110"/>
  <c r="NJ33" i="110"/>
  <c r="NI33" i="110"/>
  <c r="NH33" i="110"/>
  <c r="NG33" i="110"/>
  <c r="NF33" i="110"/>
  <c r="NE33" i="110"/>
  <c r="ND33" i="110"/>
  <c r="NC33" i="110"/>
  <c r="NB33" i="110"/>
  <c r="NA33" i="110"/>
  <c r="MZ33" i="110"/>
  <c r="MY33" i="110"/>
  <c r="MX33" i="110"/>
  <c r="MW33" i="110"/>
  <c r="MV33" i="110"/>
  <c r="MU33" i="110"/>
  <c r="MT33" i="110"/>
  <c r="MS33" i="110"/>
  <c r="MR33" i="110"/>
  <c r="MQ33" i="110"/>
  <c r="MP33" i="110"/>
  <c r="MO33" i="110"/>
  <c r="MN33" i="110"/>
  <c r="MM33" i="110"/>
  <c r="ML33" i="110"/>
  <c r="MK33" i="110"/>
  <c r="MJ33" i="110"/>
  <c r="MI33" i="110"/>
  <c r="MH33" i="110"/>
  <c r="MG33" i="110"/>
  <c r="MF33" i="110"/>
  <c r="ME33" i="110"/>
  <c r="MD33" i="110"/>
  <c r="MC33" i="110"/>
  <c r="MB33" i="110"/>
  <c r="MA33" i="110"/>
  <c r="LZ33" i="110"/>
  <c r="LY33" i="110"/>
  <c r="LX33" i="110"/>
  <c r="LW33" i="110"/>
  <c r="LV33" i="110"/>
  <c r="LU33" i="110"/>
  <c r="LT33" i="110"/>
  <c r="LS33" i="110"/>
  <c r="LR33" i="110"/>
  <c r="LQ33" i="110"/>
  <c r="LP33" i="110"/>
  <c r="LO33" i="110"/>
  <c r="LN33" i="110"/>
  <c r="LM33" i="110"/>
  <c r="LL33" i="110"/>
  <c r="LK33" i="110"/>
  <c r="LJ33" i="110"/>
  <c r="LI33" i="110"/>
  <c r="LH33" i="110"/>
  <c r="LG33" i="110"/>
  <c r="LF33" i="110"/>
  <c r="LE33" i="110"/>
  <c r="LD33" i="110"/>
  <c r="LC33" i="110"/>
  <c r="LB33" i="110"/>
  <c r="LA33" i="110"/>
  <c r="KZ33" i="110"/>
  <c r="KY33" i="110"/>
  <c r="KX33" i="110"/>
  <c r="KW33" i="110"/>
  <c r="KV33" i="110"/>
  <c r="KU33" i="110"/>
  <c r="KT33" i="110"/>
  <c r="KS33" i="110"/>
  <c r="KR33" i="110"/>
  <c r="KQ33" i="110"/>
  <c r="KP33" i="110"/>
  <c r="KO33" i="110"/>
  <c r="KN33" i="110"/>
  <c r="KM33" i="110"/>
  <c r="KL33" i="110"/>
  <c r="KK33" i="110"/>
  <c r="KJ33" i="110"/>
  <c r="KI33" i="110"/>
  <c r="KH33" i="110"/>
  <c r="KG33" i="110"/>
  <c r="KF33" i="110"/>
  <c r="KE33" i="110"/>
  <c r="KD33" i="110"/>
  <c r="KC33" i="110"/>
  <c r="KB33" i="110"/>
  <c r="KA33" i="110"/>
  <c r="JZ33" i="110"/>
  <c r="JY33" i="110"/>
  <c r="JX33" i="110"/>
  <c r="JW33" i="110"/>
  <c r="JV33" i="110"/>
  <c r="JU33" i="110"/>
  <c r="JT33" i="110"/>
  <c r="JS33" i="110"/>
  <c r="JR33" i="110"/>
  <c r="JQ33" i="110"/>
  <c r="JP33" i="110"/>
  <c r="JO33" i="110"/>
  <c r="JN33" i="110"/>
  <c r="JM33" i="110"/>
  <c r="JL33" i="110"/>
  <c r="JK33" i="110"/>
  <c r="JJ33" i="110"/>
  <c r="JI33" i="110"/>
  <c r="JH33" i="110"/>
  <c r="JG33" i="110"/>
  <c r="JF33" i="110"/>
  <c r="JE33" i="110"/>
  <c r="JD33" i="110"/>
  <c r="JC33" i="110"/>
  <c r="JB33" i="110"/>
  <c r="JA33" i="110"/>
  <c r="IZ33" i="110"/>
  <c r="IY33" i="110"/>
  <c r="IX33" i="110"/>
  <c r="IW33" i="110"/>
  <c r="IV33" i="110"/>
  <c r="IU33" i="110"/>
  <c r="IT33" i="110"/>
  <c r="IS33" i="110"/>
  <c r="IR33" i="110"/>
  <c r="IQ33" i="110"/>
  <c r="IP33" i="110"/>
  <c r="IO33" i="110"/>
  <c r="IN33" i="110"/>
  <c r="IM33" i="110"/>
  <c r="IL33" i="110"/>
  <c r="IK33" i="110"/>
  <c r="IJ33" i="110"/>
  <c r="II33" i="110"/>
  <c r="IH33" i="110"/>
  <c r="IG33" i="110"/>
  <c r="IF33" i="110"/>
  <c r="IE33" i="110"/>
  <c r="ID33" i="110"/>
  <c r="IC33" i="110"/>
  <c r="IB33" i="110"/>
  <c r="IA33" i="110"/>
  <c r="HZ33" i="110"/>
  <c r="HY33" i="110"/>
  <c r="HX33" i="110"/>
  <c r="HW33" i="110"/>
  <c r="HV33" i="110"/>
  <c r="HU33" i="110"/>
  <c r="HT33" i="110"/>
  <c r="HS33" i="110"/>
  <c r="HR33" i="110"/>
  <c r="HQ33" i="110"/>
  <c r="HP33" i="110"/>
  <c r="HO33" i="110"/>
  <c r="HN33" i="110"/>
  <c r="HM33" i="110"/>
  <c r="HL33" i="110"/>
  <c r="HK33" i="110"/>
  <c r="HJ33" i="110"/>
  <c r="HI33" i="110"/>
  <c r="HH33" i="110"/>
  <c r="HG33" i="110"/>
  <c r="HF33" i="110"/>
  <c r="HE33" i="110"/>
  <c r="HD33" i="110"/>
  <c r="HC33" i="110"/>
  <c r="HB33" i="110"/>
  <c r="HA33" i="110"/>
  <c r="GZ33" i="110"/>
  <c r="GY33" i="110"/>
  <c r="GX33" i="110"/>
  <c r="GW33" i="110"/>
  <c r="GV33" i="110"/>
  <c r="GU33" i="110"/>
  <c r="GT33" i="110"/>
  <c r="GS33" i="110"/>
  <c r="GR33" i="110"/>
  <c r="GQ33" i="110"/>
  <c r="GP33" i="110"/>
  <c r="GO33" i="110"/>
  <c r="GN33" i="110"/>
  <c r="GM33" i="110"/>
  <c r="GL33" i="110"/>
  <c r="GK33" i="110"/>
  <c r="GJ33" i="110"/>
  <c r="GI33" i="110"/>
  <c r="GH33" i="110"/>
  <c r="GG33" i="110"/>
  <c r="GF33" i="110"/>
  <c r="GE33" i="110"/>
  <c r="GD33" i="110"/>
  <c r="GC33" i="110"/>
  <c r="GB33" i="110"/>
  <c r="GA33" i="110"/>
  <c r="FZ33" i="110"/>
  <c r="FY33" i="110"/>
  <c r="FX33" i="110"/>
  <c r="FW33" i="110"/>
  <c r="FV33" i="110"/>
  <c r="FU33" i="110"/>
  <c r="FT33" i="110"/>
  <c r="FS33" i="110"/>
  <c r="FR33" i="110"/>
  <c r="FQ33" i="110"/>
  <c r="FP33" i="110"/>
  <c r="FO33" i="110"/>
  <c r="FN33" i="110"/>
  <c r="FM33" i="110"/>
  <c r="EC33" i="110"/>
  <c r="EB33" i="110"/>
  <c r="EA33" i="110"/>
  <c r="DZ33" i="110"/>
  <c r="DY33" i="110"/>
  <c r="DX33" i="110"/>
  <c r="DW33" i="110"/>
  <c r="DV33" i="110"/>
  <c r="DU33" i="110"/>
  <c r="DT33" i="110"/>
  <c r="DS33" i="110"/>
  <c r="DR33" i="110"/>
  <c r="DQ33" i="110"/>
  <c r="DP33" i="110"/>
  <c r="DO33" i="110"/>
  <c r="DN33" i="110"/>
  <c r="DM33" i="110"/>
  <c r="DL33" i="110"/>
  <c r="DK33" i="110"/>
  <c r="DJ33" i="110"/>
  <c r="DI33" i="110"/>
  <c r="DH33" i="110"/>
  <c r="DG33" i="110"/>
  <c r="DF33" i="110"/>
  <c r="DE33" i="110"/>
  <c r="DD33" i="110"/>
  <c r="DC33" i="110"/>
  <c r="DB33" i="110"/>
  <c r="DA33" i="110"/>
  <c r="CZ33" i="110"/>
  <c r="CY33" i="110"/>
  <c r="CX33" i="110"/>
  <c r="CW33" i="110"/>
  <c r="CV33" i="110"/>
  <c r="CU33" i="110"/>
  <c r="CT33" i="110"/>
  <c r="CS33" i="110"/>
  <c r="CR33" i="110"/>
  <c r="CQ33" i="110"/>
  <c r="CP33" i="110"/>
  <c r="CO33" i="110"/>
  <c r="CN33" i="110"/>
  <c r="CM33" i="110"/>
  <c r="CL33" i="110"/>
  <c r="CK33" i="110"/>
  <c r="CJ33" i="110"/>
  <c r="CI33" i="110"/>
  <c r="CH33" i="110"/>
  <c r="CG33" i="110"/>
  <c r="CF33" i="110"/>
  <c r="CE33" i="110"/>
  <c r="CD33" i="110"/>
  <c r="CC33" i="110"/>
  <c r="CB33" i="110"/>
  <c r="CA33" i="110"/>
  <c r="BZ33" i="110"/>
  <c r="BY33" i="110"/>
  <c r="BX33" i="110"/>
  <c r="BW33" i="110"/>
  <c r="BV33" i="110"/>
  <c r="BU33" i="110"/>
  <c r="BT33" i="110"/>
  <c r="BS33" i="110"/>
  <c r="BR33" i="110"/>
  <c r="BQ33" i="110"/>
  <c r="BP33" i="110"/>
  <c r="BO33" i="110"/>
  <c r="BN33" i="110"/>
  <c r="BM33" i="110"/>
  <c r="BL33" i="110"/>
  <c r="BK33" i="110"/>
  <c r="BJ33" i="110"/>
  <c r="BI33" i="110"/>
  <c r="BH33" i="110"/>
  <c r="BG33" i="110"/>
  <c r="BF33" i="110"/>
  <c r="BE33" i="110"/>
  <c r="BD33" i="110"/>
  <c r="BC33" i="110"/>
  <c r="BB33" i="110"/>
  <c r="BA33" i="110"/>
  <c r="AZ33" i="110"/>
  <c r="AY33" i="110"/>
  <c r="AX33" i="110"/>
  <c r="AW33" i="110"/>
  <c r="AV33" i="110"/>
  <c r="AU33" i="110"/>
  <c r="AT33" i="110"/>
  <c r="AS33" i="110"/>
  <c r="AR33" i="110"/>
  <c r="AQ33" i="110"/>
  <c r="AP33" i="110"/>
  <c r="AO33" i="110"/>
  <c r="AN33" i="110"/>
  <c r="AM33" i="110"/>
  <c r="AL33" i="110"/>
  <c r="AK33" i="110"/>
  <c r="AJ33" i="110"/>
  <c r="AI33" i="110"/>
  <c r="AH33" i="110"/>
  <c r="AG33" i="110"/>
  <c r="AF33" i="110"/>
  <c r="AE33" i="110"/>
  <c r="AD33" i="110"/>
  <c r="AC33" i="110"/>
  <c r="AB33" i="110"/>
  <c r="AA33" i="110"/>
  <c r="Z33" i="110"/>
  <c r="Y33" i="110"/>
  <c r="X33" i="110"/>
  <c r="A33" i="110"/>
  <c r="OC32" i="110"/>
  <c r="OB32" i="110"/>
  <c r="OA32" i="110"/>
  <c r="NZ32" i="110"/>
  <c r="NY32" i="110"/>
  <c r="NX32" i="110"/>
  <c r="NW32" i="110"/>
  <c r="NV32" i="110"/>
  <c r="NU32" i="110"/>
  <c r="NT32" i="110"/>
  <c r="NS32" i="110"/>
  <c r="NR32" i="110"/>
  <c r="NQ32" i="110"/>
  <c r="NP32" i="110"/>
  <c r="NO32" i="110"/>
  <c r="NN32" i="110"/>
  <c r="NM32" i="110"/>
  <c r="NL32" i="110"/>
  <c r="NK32" i="110"/>
  <c r="NJ32" i="110"/>
  <c r="NI32" i="110"/>
  <c r="NH32" i="110"/>
  <c r="NG32" i="110"/>
  <c r="NF32" i="110"/>
  <c r="NE32" i="110"/>
  <c r="ND32" i="110"/>
  <c r="NC32" i="110"/>
  <c r="NB32" i="110"/>
  <c r="NA32" i="110"/>
  <c r="MZ32" i="110"/>
  <c r="MY32" i="110"/>
  <c r="MX32" i="110"/>
  <c r="MW32" i="110"/>
  <c r="MV32" i="110"/>
  <c r="MU32" i="110"/>
  <c r="MT32" i="110"/>
  <c r="MS32" i="110"/>
  <c r="MR32" i="110"/>
  <c r="MQ32" i="110"/>
  <c r="MP32" i="110"/>
  <c r="MO32" i="110"/>
  <c r="MN32" i="110"/>
  <c r="MM32" i="110"/>
  <c r="ML32" i="110"/>
  <c r="MK32" i="110"/>
  <c r="MJ32" i="110"/>
  <c r="MI32" i="110"/>
  <c r="MH32" i="110"/>
  <c r="MG32" i="110"/>
  <c r="MF32" i="110"/>
  <c r="ME32" i="110"/>
  <c r="MD32" i="110"/>
  <c r="MC32" i="110"/>
  <c r="MB32" i="110"/>
  <c r="MA32" i="110"/>
  <c r="LZ32" i="110"/>
  <c r="LY32" i="110"/>
  <c r="LX32" i="110"/>
  <c r="LW32" i="110"/>
  <c r="LV32" i="110"/>
  <c r="LU32" i="110"/>
  <c r="LT32" i="110"/>
  <c r="LS32" i="110"/>
  <c r="LR32" i="110"/>
  <c r="LQ32" i="110"/>
  <c r="LP32" i="110"/>
  <c r="LO32" i="110"/>
  <c r="LN32" i="110"/>
  <c r="LM32" i="110"/>
  <c r="LL32" i="110"/>
  <c r="LK32" i="110"/>
  <c r="LJ32" i="110"/>
  <c r="LI32" i="110"/>
  <c r="LH32" i="110"/>
  <c r="LG32" i="110"/>
  <c r="LF32" i="110"/>
  <c r="LE32" i="110"/>
  <c r="LD32" i="110"/>
  <c r="LC32" i="110"/>
  <c r="LB32" i="110"/>
  <c r="LA32" i="110"/>
  <c r="KZ32" i="110"/>
  <c r="KY32" i="110"/>
  <c r="KX32" i="110"/>
  <c r="KW32" i="110"/>
  <c r="KV32" i="110"/>
  <c r="KU32" i="110"/>
  <c r="KT32" i="110"/>
  <c r="KS32" i="110"/>
  <c r="KR32" i="110"/>
  <c r="KQ32" i="110"/>
  <c r="KP32" i="110"/>
  <c r="KO32" i="110"/>
  <c r="KN32" i="110"/>
  <c r="KM32" i="110"/>
  <c r="KL32" i="110"/>
  <c r="KK32" i="110"/>
  <c r="KJ32" i="110"/>
  <c r="KI32" i="110"/>
  <c r="KH32" i="110"/>
  <c r="KG32" i="110"/>
  <c r="KF32" i="110"/>
  <c r="KE32" i="110"/>
  <c r="KD32" i="110"/>
  <c r="KC32" i="110"/>
  <c r="KB32" i="110"/>
  <c r="KA32" i="110"/>
  <c r="JZ32" i="110"/>
  <c r="JY32" i="110"/>
  <c r="JX32" i="110"/>
  <c r="JW32" i="110"/>
  <c r="JV32" i="110"/>
  <c r="JU32" i="110"/>
  <c r="JT32" i="110"/>
  <c r="JS32" i="110"/>
  <c r="JR32" i="110"/>
  <c r="JQ32" i="110"/>
  <c r="JP32" i="110"/>
  <c r="JO32" i="110"/>
  <c r="JN32" i="110"/>
  <c r="JM32" i="110"/>
  <c r="JL32" i="110"/>
  <c r="JK32" i="110"/>
  <c r="JJ32" i="110"/>
  <c r="JI32" i="110"/>
  <c r="JH32" i="110"/>
  <c r="JG32" i="110"/>
  <c r="JF32" i="110"/>
  <c r="JE32" i="110"/>
  <c r="JD32" i="110"/>
  <c r="JC32" i="110"/>
  <c r="JB32" i="110"/>
  <c r="JA32" i="110"/>
  <c r="IZ32" i="110"/>
  <c r="IY32" i="110"/>
  <c r="IX32" i="110"/>
  <c r="IW32" i="110"/>
  <c r="IV32" i="110"/>
  <c r="IU32" i="110"/>
  <c r="IT32" i="110"/>
  <c r="IS32" i="110"/>
  <c r="IR32" i="110"/>
  <c r="IQ32" i="110"/>
  <c r="IP32" i="110"/>
  <c r="IO32" i="110"/>
  <c r="IN32" i="110"/>
  <c r="IM32" i="110"/>
  <c r="IL32" i="110"/>
  <c r="IK32" i="110"/>
  <c r="IJ32" i="110"/>
  <c r="II32" i="110"/>
  <c r="IH32" i="110"/>
  <c r="IG32" i="110"/>
  <c r="IF32" i="110"/>
  <c r="IE32" i="110"/>
  <c r="ID32" i="110"/>
  <c r="IC32" i="110"/>
  <c r="IB32" i="110"/>
  <c r="IA32" i="110"/>
  <c r="HZ32" i="110"/>
  <c r="HY32" i="110"/>
  <c r="HX32" i="110"/>
  <c r="HW32" i="110"/>
  <c r="HV32" i="110"/>
  <c r="HU32" i="110"/>
  <c r="HT32" i="110"/>
  <c r="HS32" i="110"/>
  <c r="HR32" i="110"/>
  <c r="HQ32" i="110"/>
  <c r="HP32" i="110"/>
  <c r="HO32" i="110"/>
  <c r="HN32" i="110"/>
  <c r="HM32" i="110"/>
  <c r="HL32" i="110"/>
  <c r="HK32" i="110"/>
  <c r="HJ32" i="110"/>
  <c r="HI32" i="110"/>
  <c r="HH32" i="110"/>
  <c r="HG32" i="110"/>
  <c r="HF32" i="110"/>
  <c r="HE32" i="110"/>
  <c r="HD32" i="110"/>
  <c r="HC32" i="110"/>
  <c r="HB32" i="110"/>
  <c r="HA32" i="110"/>
  <c r="GZ32" i="110"/>
  <c r="GY32" i="110"/>
  <c r="GX32" i="110"/>
  <c r="GW32" i="110"/>
  <c r="GV32" i="110"/>
  <c r="GU32" i="110"/>
  <c r="GT32" i="110"/>
  <c r="GS32" i="110"/>
  <c r="GR32" i="110"/>
  <c r="GQ32" i="110"/>
  <c r="GP32" i="110"/>
  <c r="GO32" i="110"/>
  <c r="GN32" i="110"/>
  <c r="GM32" i="110"/>
  <c r="GL32" i="110"/>
  <c r="GK32" i="110"/>
  <c r="GJ32" i="110"/>
  <c r="GI32" i="110"/>
  <c r="GH32" i="110"/>
  <c r="GG32" i="110"/>
  <c r="GF32" i="110"/>
  <c r="GE32" i="110"/>
  <c r="GD32" i="110"/>
  <c r="GC32" i="110"/>
  <c r="GB32" i="110"/>
  <c r="GA32" i="110"/>
  <c r="FZ32" i="110"/>
  <c r="FY32" i="110"/>
  <c r="FX32" i="110"/>
  <c r="FW32" i="110"/>
  <c r="FV32" i="110"/>
  <c r="FU32" i="110"/>
  <c r="FT32" i="110"/>
  <c r="FS32" i="110"/>
  <c r="FR32" i="110"/>
  <c r="FQ32" i="110"/>
  <c r="FP32" i="110"/>
  <c r="FO32" i="110"/>
  <c r="FN32" i="110"/>
  <c r="FM32" i="110"/>
  <c r="EC32" i="110"/>
  <c r="EB32" i="110"/>
  <c r="EA32" i="110"/>
  <c r="DZ32" i="110"/>
  <c r="DY32" i="110"/>
  <c r="DX32" i="110"/>
  <c r="DW32" i="110"/>
  <c r="DV32" i="110"/>
  <c r="DU32" i="110"/>
  <c r="DT32" i="110"/>
  <c r="DS32" i="110"/>
  <c r="DR32" i="110"/>
  <c r="DQ32" i="110"/>
  <c r="DP32" i="110"/>
  <c r="DO32" i="110"/>
  <c r="DN32" i="110"/>
  <c r="DM32" i="110"/>
  <c r="DL32" i="110"/>
  <c r="DK32" i="110"/>
  <c r="DJ32" i="110"/>
  <c r="DI32" i="110"/>
  <c r="DH32" i="110"/>
  <c r="DG32" i="110"/>
  <c r="DF32" i="110"/>
  <c r="DE32" i="110"/>
  <c r="DD32" i="110"/>
  <c r="DC32" i="110"/>
  <c r="DB32" i="110"/>
  <c r="DA32" i="110"/>
  <c r="CZ32" i="110"/>
  <c r="CY32" i="110"/>
  <c r="CX32" i="110"/>
  <c r="CW32" i="110"/>
  <c r="CV32" i="110"/>
  <c r="CU32" i="110"/>
  <c r="CT32" i="110"/>
  <c r="CS32" i="110"/>
  <c r="CR32" i="110"/>
  <c r="CQ32" i="110"/>
  <c r="CP32" i="110"/>
  <c r="CO32" i="110"/>
  <c r="CN32" i="110"/>
  <c r="CM32" i="110"/>
  <c r="CL32" i="110"/>
  <c r="CK32" i="110"/>
  <c r="CJ32" i="110"/>
  <c r="CI32" i="110"/>
  <c r="CH32" i="110"/>
  <c r="CG32" i="110"/>
  <c r="CF32" i="110"/>
  <c r="CE32" i="110"/>
  <c r="CD32" i="110"/>
  <c r="CC32" i="110"/>
  <c r="CB32" i="110"/>
  <c r="CA32" i="110"/>
  <c r="BZ32" i="110"/>
  <c r="BY32" i="110"/>
  <c r="BX32" i="110"/>
  <c r="BW32" i="110"/>
  <c r="BV32" i="110"/>
  <c r="BU32" i="110"/>
  <c r="BT32" i="110"/>
  <c r="BS32" i="110"/>
  <c r="BR32" i="110"/>
  <c r="BQ32" i="110"/>
  <c r="BP32" i="110"/>
  <c r="BO32" i="110"/>
  <c r="BN32" i="110"/>
  <c r="BM32" i="110"/>
  <c r="BL32" i="110"/>
  <c r="BK32" i="110"/>
  <c r="BJ32" i="110"/>
  <c r="BI32" i="110"/>
  <c r="BH32" i="110"/>
  <c r="BG32" i="110"/>
  <c r="BF32" i="110"/>
  <c r="BE32" i="110"/>
  <c r="BD32" i="110"/>
  <c r="BC32" i="110"/>
  <c r="BB32" i="110"/>
  <c r="BA32" i="110"/>
  <c r="AZ32" i="110"/>
  <c r="AY32" i="110"/>
  <c r="AX32" i="110"/>
  <c r="AW32" i="110"/>
  <c r="AV32" i="110"/>
  <c r="AU32" i="110"/>
  <c r="AT32" i="110"/>
  <c r="AS32" i="110"/>
  <c r="AR32" i="110"/>
  <c r="AQ32" i="110"/>
  <c r="AP32" i="110"/>
  <c r="AO32" i="110"/>
  <c r="AN32" i="110"/>
  <c r="AM32" i="110"/>
  <c r="AL32" i="110"/>
  <c r="AK32" i="110"/>
  <c r="AJ32" i="110"/>
  <c r="AI32" i="110"/>
  <c r="AH32" i="110"/>
  <c r="AG32" i="110"/>
  <c r="AF32" i="110"/>
  <c r="AE32" i="110"/>
  <c r="AD32" i="110"/>
  <c r="AC32" i="110"/>
  <c r="AB32" i="110"/>
  <c r="AA32" i="110"/>
  <c r="Z32" i="110"/>
  <c r="Y32" i="110"/>
  <c r="X32" i="110"/>
  <c r="A32" i="110"/>
  <c r="OC31" i="110"/>
  <c r="OB31" i="110"/>
  <c r="OA31" i="110"/>
  <c r="NZ31" i="110"/>
  <c r="NY31" i="110"/>
  <c r="NX31" i="110"/>
  <c r="NW31" i="110"/>
  <c r="NV31" i="110"/>
  <c r="NU31" i="110"/>
  <c r="NT31" i="110"/>
  <c r="NS31" i="110"/>
  <c r="NR31" i="110"/>
  <c r="NQ31" i="110"/>
  <c r="NP31" i="110"/>
  <c r="NO31" i="110"/>
  <c r="NN31" i="110"/>
  <c r="NM31" i="110"/>
  <c r="NL31" i="110"/>
  <c r="NK31" i="110"/>
  <c r="NJ31" i="110"/>
  <c r="NI31" i="110"/>
  <c r="NH31" i="110"/>
  <c r="NG31" i="110"/>
  <c r="NF31" i="110"/>
  <c r="NE31" i="110"/>
  <c r="ND31" i="110"/>
  <c r="NC31" i="110"/>
  <c r="NB31" i="110"/>
  <c r="NA31" i="110"/>
  <c r="MZ31" i="110"/>
  <c r="MY31" i="110"/>
  <c r="MX31" i="110"/>
  <c r="MW31" i="110"/>
  <c r="MV31" i="110"/>
  <c r="MU31" i="110"/>
  <c r="MT31" i="110"/>
  <c r="MS31" i="110"/>
  <c r="MR31" i="110"/>
  <c r="MQ31" i="110"/>
  <c r="MP31" i="110"/>
  <c r="MO31" i="110"/>
  <c r="MN31" i="110"/>
  <c r="MM31" i="110"/>
  <c r="ML31" i="110"/>
  <c r="MK31" i="110"/>
  <c r="MJ31" i="110"/>
  <c r="MI31" i="110"/>
  <c r="MH31" i="110"/>
  <c r="MG31" i="110"/>
  <c r="MF31" i="110"/>
  <c r="ME31" i="110"/>
  <c r="MD31" i="110"/>
  <c r="MC31" i="110"/>
  <c r="MB31" i="110"/>
  <c r="MA31" i="110"/>
  <c r="LZ31" i="110"/>
  <c r="LY31" i="110"/>
  <c r="LX31" i="110"/>
  <c r="LW31" i="110"/>
  <c r="LV31" i="110"/>
  <c r="LU31" i="110"/>
  <c r="LT31" i="110"/>
  <c r="LS31" i="110"/>
  <c r="LR31" i="110"/>
  <c r="LQ31" i="110"/>
  <c r="LP31" i="110"/>
  <c r="LO31" i="110"/>
  <c r="LN31" i="110"/>
  <c r="LM31" i="110"/>
  <c r="LL31" i="110"/>
  <c r="LK31" i="110"/>
  <c r="LJ31" i="110"/>
  <c r="LI31" i="110"/>
  <c r="LH31" i="110"/>
  <c r="LG31" i="110"/>
  <c r="LF31" i="110"/>
  <c r="LE31" i="110"/>
  <c r="LD31" i="110"/>
  <c r="LC31" i="110"/>
  <c r="LB31" i="110"/>
  <c r="LA31" i="110"/>
  <c r="KZ31" i="110"/>
  <c r="KY31" i="110"/>
  <c r="KX31" i="110"/>
  <c r="KW31" i="110"/>
  <c r="KV31" i="110"/>
  <c r="KU31" i="110"/>
  <c r="KT31" i="110"/>
  <c r="KS31" i="110"/>
  <c r="KR31" i="110"/>
  <c r="KQ31" i="110"/>
  <c r="KP31" i="110"/>
  <c r="KO31" i="110"/>
  <c r="KN31" i="110"/>
  <c r="KM31" i="110"/>
  <c r="KL31" i="110"/>
  <c r="KK31" i="110"/>
  <c r="KJ31" i="110"/>
  <c r="KI31" i="110"/>
  <c r="KH31" i="110"/>
  <c r="KG31" i="110"/>
  <c r="KF31" i="110"/>
  <c r="KE31" i="110"/>
  <c r="KD31" i="110"/>
  <c r="KC31" i="110"/>
  <c r="KB31" i="110"/>
  <c r="KA31" i="110"/>
  <c r="JZ31" i="110"/>
  <c r="JY31" i="110"/>
  <c r="JX31" i="110"/>
  <c r="JW31" i="110"/>
  <c r="JV31" i="110"/>
  <c r="JU31" i="110"/>
  <c r="JT31" i="110"/>
  <c r="JS31" i="110"/>
  <c r="JR31" i="110"/>
  <c r="JQ31" i="110"/>
  <c r="JP31" i="110"/>
  <c r="JO31" i="110"/>
  <c r="JN31" i="110"/>
  <c r="JM31" i="110"/>
  <c r="JL31" i="110"/>
  <c r="JK31" i="110"/>
  <c r="JJ31" i="110"/>
  <c r="JI31" i="110"/>
  <c r="JH31" i="110"/>
  <c r="JG31" i="110"/>
  <c r="JF31" i="110"/>
  <c r="JE31" i="110"/>
  <c r="JD31" i="110"/>
  <c r="JC31" i="110"/>
  <c r="JB31" i="110"/>
  <c r="JA31" i="110"/>
  <c r="IZ31" i="110"/>
  <c r="IY31" i="110"/>
  <c r="IX31" i="110"/>
  <c r="IW31" i="110"/>
  <c r="IV31" i="110"/>
  <c r="IU31" i="110"/>
  <c r="IT31" i="110"/>
  <c r="IS31" i="110"/>
  <c r="IR31" i="110"/>
  <c r="IQ31" i="110"/>
  <c r="IP31" i="110"/>
  <c r="IO31" i="110"/>
  <c r="IN31" i="110"/>
  <c r="IM31" i="110"/>
  <c r="IL31" i="110"/>
  <c r="IK31" i="110"/>
  <c r="IJ31" i="110"/>
  <c r="II31" i="110"/>
  <c r="IH31" i="110"/>
  <c r="IG31" i="110"/>
  <c r="IF31" i="110"/>
  <c r="IE31" i="110"/>
  <c r="ID31" i="110"/>
  <c r="IC31" i="110"/>
  <c r="IB31" i="110"/>
  <c r="IA31" i="110"/>
  <c r="HZ31" i="110"/>
  <c r="HY31" i="110"/>
  <c r="HX31" i="110"/>
  <c r="HW31" i="110"/>
  <c r="HV31" i="110"/>
  <c r="HU31" i="110"/>
  <c r="HT31" i="110"/>
  <c r="HS31" i="110"/>
  <c r="HR31" i="110"/>
  <c r="HQ31" i="110"/>
  <c r="HP31" i="110"/>
  <c r="HO31" i="110"/>
  <c r="HN31" i="110"/>
  <c r="HM31" i="110"/>
  <c r="HL31" i="110"/>
  <c r="HK31" i="110"/>
  <c r="HJ31" i="110"/>
  <c r="HI31" i="110"/>
  <c r="HH31" i="110"/>
  <c r="HG31" i="110"/>
  <c r="HF31" i="110"/>
  <c r="HE31" i="110"/>
  <c r="HD31" i="110"/>
  <c r="HC31" i="110"/>
  <c r="HB31" i="110"/>
  <c r="HA31" i="110"/>
  <c r="GZ31" i="110"/>
  <c r="GY31" i="110"/>
  <c r="GX31" i="110"/>
  <c r="GW31" i="110"/>
  <c r="GV31" i="110"/>
  <c r="GU31" i="110"/>
  <c r="GT31" i="110"/>
  <c r="GS31" i="110"/>
  <c r="GR31" i="110"/>
  <c r="GQ31" i="110"/>
  <c r="GP31" i="110"/>
  <c r="GO31" i="110"/>
  <c r="GN31" i="110"/>
  <c r="GM31" i="110"/>
  <c r="GL31" i="110"/>
  <c r="GK31" i="110"/>
  <c r="GJ31" i="110"/>
  <c r="GI31" i="110"/>
  <c r="GH31" i="110"/>
  <c r="GG31" i="110"/>
  <c r="GF31" i="110"/>
  <c r="GE31" i="110"/>
  <c r="GD31" i="110"/>
  <c r="GC31" i="110"/>
  <c r="GB31" i="110"/>
  <c r="GA31" i="110"/>
  <c r="FZ31" i="110"/>
  <c r="FY31" i="110"/>
  <c r="FX31" i="110"/>
  <c r="FW31" i="110"/>
  <c r="FV31" i="110"/>
  <c r="FU31" i="110"/>
  <c r="FT31" i="110"/>
  <c r="FS31" i="110"/>
  <c r="FR31" i="110"/>
  <c r="FQ31" i="110"/>
  <c r="FP31" i="110"/>
  <c r="FO31" i="110"/>
  <c r="FN31" i="110"/>
  <c r="FM31" i="110"/>
  <c r="EC31" i="110"/>
  <c r="EB31" i="110"/>
  <c r="EA31" i="110"/>
  <c r="DZ31" i="110"/>
  <c r="DY31" i="110"/>
  <c r="DX31" i="110"/>
  <c r="DW31" i="110"/>
  <c r="DV31" i="110"/>
  <c r="DU31" i="110"/>
  <c r="DT31" i="110"/>
  <c r="DS31" i="110"/>
  <c r="DR31" i="110"/>
  <c r="DQ31" i="110"/>
  <c r="DP31" i="110"/>
  <c r="DO31" i="110"/>
  <c r="DN31" i="110"/>
  <c r="DM31" i="110"/>
  <c r="DL31" i="110"/>
  <c r="DK31" i="110"/>
  <c r="DJ31" i="110"/>
  <c r="DI31" i="110"/>
  <c r="DH31" i="110"/>
  <c r="DG31" i="110"/>
  <c r="DF31" i="110"/>
  <c r="DE31" i="110"/>
  <c r="DD31" i="110"/>
  <c r="DC31" i="110"/>
  <c r="DB31" i="110"/>
  <c r="DA31" i="110"/>
  <c r="CZ31" i="110"/>
  <c r="CY31" i="110"/>
  <c r="CX31" i="110"/>
  <c r="CW31" i="110"/>
  <c r="CV31" i="110"/>
  <c r="CU31" i="110"/>
  <c r="CT31" i="110"/>
  <c r="CS31" i="110"/>
  <c r="CR31" i="110"/>
  <c r="CQ31" i="110"/>
  <c r="CP31" i="110"/>
  <c r="CO31" i="110"/>
  <c r="CN31" i="110"/>
  <c r="CM31" i="110"/>
  <c r="CL31" i="110"/>
  <c r="CK31" i="110"/>
  <c r="CJ31" i="110"/>
  <c r="CI31" i="110"/>
  <c r="CH31" i="110"/>
  <c r="CG31" i="110"/>
  <c r="CF31" i="110"/>
  <c r="CE31" i="110"/>
  <c r="CD31" i="110"/>
  <c r="CC31" i="110"/>
  <c r="CB31" i="110"/>
  <c r="CA31" i="110"/>
  <c r="BZ31" i="110"/>
  <c r="BY31" i="110"/>
  <c r="BX31" i="110"/>
  <c r="BW31" i="110"/>
  <c r="BV31" i="110"/>
  <c r="BU31" i="110"/>
  <c r="BT31" i="110"/>
  <c r="BS31" i="110"/>
  <c r="BR31" i="110"/>
  <c r="BQ31" i="110"/>
  <c r="BP31" i="110"/>
  <c r="BO31" i="110"/>
  <c r="BN31" i="110"/>
  <c r="BM31" i="110"/>
  <c r="BL31" i="110"/>
  <c r="BK31" i="110"/>
  <c r="BJ31" i="110"/>
  <c r="BI31" i="110"/>
  <c r="BH31" i="110"/>
  <c r="BG31" i="110"/>
  <c r="BF31" i="110"/>
  <c r="BE31" i="110"/>
  <c r="BD31" i="110"/>
  <c r="BC31" i="110"/>
  <c r="BB31" i="110"/>
  <c r="BA31" i="110"/>
  <c r="AZ31" i="110"/>
  <c r="AY31" i="110"/>
  <c r="AX31" i="110"/>
  <c r="AW31" i="110"/>
  <c r="AV31" i="110"/>
  <c r="AU31" i="110"/>
  <c r="AT31" i="110"/>
  <c r="AS31" i="110"/>
  <c r="AR31" i="110"/>
  <c r="AQ31" i="110"/>
  <c r="AP31" i="110"/>
  <c r="AO31" i="110"/>
  <c r="AN31" i="110"/>
  <c r="AM31" i="110"/>
  <c r="AL31" i="110"/>
  <c r="AK31" i="110"/>
  <c r="AJ31" i="110"/>
  <c r="AI31" i="110"/>
  <c r="AH31" i="110"/>
  <c r="AG31" i="110"/>
  <c r="AF31" i="110"/>
  <c r="AE31" i="110"/>
  <c r="AD31" i="110"/>
  <c r="AC31" i="110"/>
  <c r="AB31" i="110"/>
  <c r="AA31" i="110"/>
  <c r="Z31" i="110"/>
  <c r="Y31" i="110"/>
  <c r="X31" i="110"/>
  <c r="A31" i="110"/>
  <c r="OC30" i="110"/>
  <c r="OB30" i="110"/>
  <c r="OA30" i="110"/>
  <c r="NZ30" i="110"/>
  <c r="NY30" i="110"/>
  <c r="NX30" i="110"/>
  <c r="NW30" i="110"/>
  <c r="NV30" i="110"/>
  <c r="NU30" i="110"/>
  <c r="NT30" i="110"/>
  <c r="NS30" i="110"/>
  <c r="NR30" i="110"/>
  <c r="NQ30" i="110"/>
  <c r="NP30" i="110"/>
  <c r="NO30" i="110"/>
  <c r="NN30" i="110"/>
  <c r="NM30" i="110"/>
  <c r="NL30" i="110"/>
  <c r="NK30" i="110"/>
  <c r="NJ30" i="110"/>
  <c r="NI30" i="110"/>
  <c r="NH30" i="110"/>
  <c r="NG30" i="110"/>
  <c r="NF30" i="110"/>
  <c r="NE30" i="110"/>
  <c r="ND30" i="110"/>
  <c r="NC30" i="110"/>
  <c r="NB30" i="110"/>
  <c r="NA30" i="110"/>
  <c r="MZ30" i="110"/>
  <c r="MY30" i="110"/>
  <c r="MX30" i="110"/>
  <c r="MW30" i="110"/>
  <c r="MV30" i="110"/>
  <c r="MU30" i="110"/>
  <c r="MT30" i="110"/>
  <c r="MS30" i="110"/>
  <c r="MR30" i="110"/>
  <c r="MQ30" i="110"/>
  <c r="MP30" i="110"/>
  <c r="MO30" i="110"/>
  <c r="MN30" i="110"/>
  <c r="MM30" i="110"/>
  <c r="ML30" i="110"/>
  <c r="MK30" i="110"/>
  <c r="MJ30" i="110"/>
  <c r="MI30" i="110"/>
  <c r="MH30" i="110"/>
  <c r="MG30" i="110"/>
  <c r="MF30" i="110"/>
  <c r="ME30" i="110"/>
  <c r="MD30" i="110"/>
  <c r="MC30" i="110"/>
  <c r="MB30" i="110"/>
  <c r="MA30" i="110"/>
  <c r="LZ30" i="110"/>
  <c r="LY30" i="110"/>
  <c r="LX30" i="110"/>
  <c r="LW30" i="110"/>
  <c r="LV30" i="110"/>
  <c r="LU30" i="110"/>
  <c r="LT30" i="110"/>
  <c r="LS30" i="110"/>
  <c r="LR30" i="110"/>
  <c r="LQ30" i="110"/>
  <c r="LP30" i="110"/>
  <c r="LO30" i="110"/>
  <c r="LN30" i="110"/>
  <c r="LM30" i="110"/>
  <c r="LL30" i="110"/>
  <c r="LK30" i="110"/>
  <c r="LJ30" i="110"/>
  <c r="LI30" i="110"/>
  <c r="LH30" i="110"/>
  <c r="LG30" i="110"/>
  <c r="LF30" i="110"/>
  <c r="LE30" i="110"/>
  <c r="LD30" i="110"/>
  <c r="LC30" i="110"/>
  <c r="LB30" i="110"/>
  <c r="LA30" i="110"/>
  <c r="KZ30" i="110"/>
  <c r="KY30" i="110"/>
  <c r="KX30" i="110"/>
  <c r="KW30" i="110"/>
  <c r="KV30" i="110"/>
  <c r="KU30" i="110"/>
  <c r="KT30" i="110"/>
  <c r="KS30" i="110"/>
  <c r="KR30" i="110"/>
  <c r="KQ30" i="110"/>
  <c r="KP30" i="110"/>
  <c r="KO30" i="110"/>
  <c r="KN30" i="110"/>
  <c r="KM30" i="110"/>
  <c r="KL30" i="110"/>
  <c r="KK30" i="110"/>
  <c r="KJ30" i="110"/>
  <c r="KI30" i="110"/>
  <c r="KH30" i="110"/>
  <c r="KG30" i="110"/>
  <c r="KF30" i="110"/>
  <c r="KE30" i="110"/>
  <c r="KD30" i="110"/>
  <c r="KC30" i="110"/>
  <c r="KB30" i="110"/>
  <c r="KA30" i="110"/>
  <c r="JZ30" i="110"/>
  <c r="JY30" i="110"/>
  <c r="JX30" i="110"/>
  <c r="JW30" i="110"/>
  <c r="JV30" i="110"/>
  <c r="JU30" i="110"/>
  <c r="JT30" i="110"/>
  <c r="JS30" i="110"/>
  <c r="JR30" i="110"/>
  <c r="JQ30" i="110"/>
  <c r="JP30" i="110"/>
  <c r="JO30" i="110"/>
  <c r="JN30" i="110"/>
  <c r="JM30" i="110"/>
  <c r="JL30" i="110"/>
  <c r="JK30" i="110"/>
  <c r="JJ30" i="110"/>
  <c r="JI30" i="110"/>
  <c r="JH30" i="110"/>
  <c r="JG30" i="110"/>
  <c r="JF30" i="110"/>
  <c r="JE30" i="110"/>
  <c r="JD30" i="110"/>
  <c r="JC30" i="110"/>
  <c r="JB30" i="110"/>
  <c r="JA30" i="110"/>
  <c r="IZ30" i="110"/>
  <c r="IY30" i="110"/>
  <c r="IX30" i="110"/>
  <c r="IW30" i="110"/>
  <c r="IV30" i="110"/>
  <c r="IU30" i="110"/>
  <c r="IT30" i="110"/>
  <c r="IS30" i="110"/>
  <c r="IR30" i="110"/>
  <c r="IQ30" i="110"/>
  <c r="IP30" i="110"/>
  <c r="IO30" i="110"/>
  <c r="IN30" i="110"/>
  <c r="IM30" i="110"/>
  <c r="IL30" i="110"/>
  <c r="IK30" i="110"/>
  <c r="IJ30" i="110"/>
  <c r="II30" i="110"/>
  <c r="IH30" i="110"/>
  <c r="IG30" i="110"/>
  <c r="IF30" i="110"/>
  <c r="IE30" i="110"/>
  <c r="ID30" i="110"/>
  <c r="IC30" i="110"/>
  <c r="IB30" i="110"/>
  <c r="IA30" i="110"/>
  <c r="HZ30" i="110"/>
  <c r="HY30" i="110"/>
  <c r="HX30" i="110"/>
  <c r="HW30" i="110"/>
  <c r="HV30" i="110"/>
  <c r="HU30" i="110"/>
  <c r="HT30" i="110"/>
  <c r="HS30" i="110"/>
  <c r="HR30" i="110"/>
  <c r="HQ30" i="110"/>
  <c r="HP30" i="110"/>
  <c r="HO30" i="110"/>
  <c r="HN30" i="110"/>
  <c r="HM30" i="110"/>
  <c r="HL30" i="110"/>
  <c r="HK30" i="110"/>
  <c r="HJ30" i="110"/>
  <c r="HI30" i="110"/>
  <c r="HH30" i="110"/>
  <c r="HG30" i="110"/>
  <c r="HF30" i="110"/>
  <c r="HE30" i="110"/>
  <c r="HD30" i="110"/>
  <c r="HC30" i="110"/>
  <c r="HB30" i="110"/>
  <c r="HA30" i="110"/>
  <c r="GZ30" i="110"/>
  <c r="GY30" i="110"/>
  <c r="GX30" i="110"/>
  <c r="GW30" i="110"/>
  <c r="GV30" i="110"/>
  <c r="GU30" i="110"/>
  <c r="GT30" i="110"/>
  <c r="GS30" i="110"/>
  <c r="GR30" i="110"/>
  <c r="GQ30" i="110"/>
  <c r="GP30" i="110"/>
  <c r="GO30" i="110"/>
  <c r="GN30" i="110"/>
  <c r="GM30" i="110"/>
  <c r="GL30" i="110"/>
  <c r="GK30" i="110"/>
  <c r="GJ30" i="110"/>
  <c r="GI30" i="110"/>
  <c r="GH30" i="110"/>
  <c r="GG30" i="110"/>
  <c r="GF30" i="110"/>
  <c r="GE30" i="110"/>
  <c r="GD30" i="110"/>
  <c r="GC30" i="110"/>
  <c r="GB30" i="110"/>
  <c r="GA30" i="110"/>
  <c r="FZ30" i="110"/>
  <c r="FY30" i="110"/>
  <c r="FX30" i="110"/>
  <c r="FW30" i="110"/>
  <c r="FV30" i="110"/>
  <c r="FU30" i="110"/>
  <c r="FT30" i="110"/>
  <c r="FS30" i="110"/>
  <c r="FR30" i="110"/>
  <c r="FQ30" i="110"/>
  <c r="FP30" i="110"/>
  <c r="FO30" i="110"/>
  <c r="FN30" i="110"/>
  <c r="FM30" i="110"/>
  <c r="EC30" i="110"/>
  <c r="EB30" i="110"/>
  <c r="EA30" i="110"/>
  <c r="DZ30" i="110"/>
  <c r="DY30" i="110"/>
  <c r="DX30" i="110"/>
  <c r="DW30" i="110"/>
  <c r="DV30" i="110"/>
  <c r="DU30" i="110"/>
  <c r="DT30" i="110"/>
  <c r="DS30" i="110"/>
  <c r="DR30" i="110"/>
  <c r="DQ30" i="110"/>
  <c r="DP30" i="110"/>
  <c r="DO30" i="110"/>
  <c r="DN30" i="110"/>
  <c r="DM30" i="110"/>
  <c r="DL30" i="110"/>
  <c r="DK30" i="110"/>
  <c r="DJ30" i="110"/>
  <c r="DI30" i="110"/>
  <c r="DH30" i="110"/>
  <c r="DG30" i="110"/>
  <c r="DF30" i="110"/>
  <c r="DE30" i="110"/>
  <c r="DD30" i="110"/>
  <c r="DC30" i="110"/>
  <c r="DB30" i="110"/>
  <c r="DA30" i="110"/>
  <c r="CZ30" i="110"/>
  <c r="CY30" i="110"/>
  <c r="CX30" i="110"/>
  <c r="CW30" i="110"/>
  <c r="CV30" i="110"/>
  <c r="CU30" i="110"/>
  <c r="CT30" i="110"/>
  <c r="CS30" i="110"/>
  <c r="CR30" i="110"/>
  <c r="CQ30" i="110"/>
  <c r="CP30" i="110"/>
  <c r="CO30" i="110"/>
  <c r="CN30" i="110"/>
  <c r="CM30" i="110"/>
  <c r="CL30" i="110"/>
  <c r="CK30" i="110"/>
  <c r="CJ30" i="110"/>
  <c r="CI30" i="110"/>
  <c r="CH30" i="110"/>
  <c r="CG30" i="110"/>
  <c r="CF30" i="110"/>
  <c r="CE30" i="110"/>
  <c r="CD30" i="110"/>
  <c r="CC30" i="110"/>
  <c r="CB30" i="110"/>
  <c r="CA30" i="110"/>
  <c r="BZ30" i="110"/>
  <c r="BY30" i="110"/>
  <c r="BX30" i="110"/>
  <c r="BW30" i="110"/>
  <c r="BV30" i="110"/>
  <c r="BU30" i="110"/>
  <c r="BT30" i="110"/>
  <c r="BS30" i="110"/>
  <c r="BR30" i="110"/>
  <c r="BQ30" i="110"/>
  <c r="BP30" i="110"/>
  <c r="BO30" i="110"/>
  <c r="BN30" i="110"/>
  <c r="BM30" i="110"/>
  <c r="BL30" i="110"/>
  <c r="BK30" i="110"/>
  <c r="BJ30" i="110"/>
  <c r="BI30" i="110"/>
  <c r="BH30" i="110"/>
  <c r="BG30" i="110"/>
  <c r="BF30" i="110"/>
  <c r="BE30" i="110"/>
  <c r="BD30" i="110"/>
  <c r="BC30" i="110"/>
  <c r="BB30" i="110"/>
  <c r="BA30" i="110"/>
  <c r="AZ30" i="110"/>
  <c r="AY30" i="110"/>
  <c r="AX30" i="110"/>
  <c r="AW30" i="110"/>
  <c r="AV30" i="110"/>
  <c r="AU30" i="110"/>
  <c r="AT30" i="110"/>
  <c r="AS30" i="110"/>
  <c r="AR30" i="110"/>
  <c r="AQ30" i="110"/>
  <c r="AP30" i="110"/>
  <c r="AO30" i="110"/>
  <c r="AN30" i="110"/>
  <c r="AM30" i="110"/>
  <c r="AL30" i="110"/>
  <c r="AK30" i="110"/>
  <c r="AJ30" i="110"/>
  <c r="AI30" i="110"/>
  <c r="AH30" i="110"/>
  <c r="AG30" i="110"/>
  <c r="AF30" i="110"/>
  <c r="AE30" i="110"/>
  <c r="AD30" i="110"/>
  <c r="AC30" i="110"/>
  <c r="AB30" i="110"/>
  <c r="AA30" i="110"/>
  <c r="Z30" i="110"/>
  <c r="Y30" i="110"/>
  <c r="X30" i="110"/>
  <c r="A30" i="110"/>
  <c r="OC29" i="110"/>
  <c r="OB29" i="110"/>
  <c r="OA29" i="110"/>
  <c r="NZ29" i="110"/>
  <c r="NY29" i="110"/>
  <c r="NX29" i="110"/>
  <c r="NW29" i="110"/>
  <c r="NV29" i="110"/>
  <c r="NU29" i="110"/>
  <c r="NT29" i="110"/>
  <c r="NS29" i="110"/>
  <c r="NR29" i="110"/>
  <c r="NQ29" i="110"/>
  <c r="NP29" i="110"/>
  <c r="NO29" i="110"/>
  <c r="NN29" i="110"/>
  <c r="NM29" i="110"/>
  <c r="NL29" i="110"/>
  <c r="NK29" i="110"/>
  <c r="NJ29" i="110"/>
  <c r="NI29" i="110"/>
  <c r="NH29" i="110"/>
  <c r="NG29" i="110"/>
  <c r="NF29" i="110"/>
  <c r="NE29" i="110"/>
  <c r="ND29" i="110"/>
  <c r="NC29" i="110"/>
  <c r="NB29" i="110"/>
  <c r="NA29" i="110"/>
  <c r="MZ29" i="110"/>
  <c r="MY29" i="110"/>
  <c r="MX29" i="110"/>
  <c r="MW29" i="110"/>
  <c r="MV29" i="110"/>
  <c r="MU29" i="110"/>
  <c r="MT29" i="110"/>
  <c r="MS29" i="110"/>
  <c r="MR29" i="110"/>
  <c r="MQ29" i="110"/>
  <c r="MP29" i="110"/>
  <c r="MO29" i="110"/>
  <c r="MN29" i="110"/>
  <c r="MM29" i="110"/>
  <c r="ML29" i="110"/>
  <c r="MK29" i="110"/>
  <c r="MJ29" i="110"/>
  <c r="MI29" i="110"/>
  <c r="MH29" i="110"/>
  <c r="MG29" i="110"/>
  <c r="MF29" i="110"/>
  <c r="ME29" i="110"/>
  <c r="MD29" i="110"/>
  <c r="MC29" i="110"/>
  <c r="MB29" i="110"/>
  <c r="MA29" i="110"/>
  <c r="LZ29" i="110"/>
  <c r="LY29" i="110"/>
  <c r="LX29" i="110"/>
  <c r="LW29" i="110"/>
  <c r="LV29" i="110"/>
  <c r="LU29" i="110"/>
  <c r="LT29" i="110"/>
  <c r="LS29" i="110"/>
  <c r="LR29" i="110"/>
  <c r="LQ29" i="110"/>
  <c r="LP29" i="110"/>
  <c r="LO29" i="110"/>
  <c r="LN29" i="110"/>
  <c r="LM29" i="110"/>
  <c r="LL29" i="110"/>
  <c r="LK29" i="110"/>
  <c r="LJ29" i="110"/>
  <c r="LI29" i="110"/>
  <c r="LH29" i="110"/>
  <c r="LG29" i="110"/>
  <c r="LF29" i="110"/>
  <c r="LE29" i="110"/>
  <c r="LD29" i="110"/>
  <c r="LC29" i="110"/>
  <c r="LB29" i="110"/>
  <c r="LA29" i="110"/>
  <c r="KZ29" i="110"/>
  <c r="KY29" i="110"/>
  <c r="KX29" i="110"/>
  <c r="KW29" i="110"/>
  <c r="KV29" i="110"/>
  <c r="KU29" i="110"/>
  <c r="KT29" i="110"/>
  <c r="KS29" i="110"/>
  <c r="KR29" i="110"/>
  <c r="KQ29" i="110"/>
  <c r="KP29" i="110"/>
  <c r="KO29" i="110"/>
  <c r="KN29" i="110"/>
  <c r="KM29" i="110"/>
  <c r="KL29" i="110"/>
  <c r="KK29" i="110"/>
  <c r="KJ29" i="110"/>
  <c r="KI29" i="110"/>
  <c r="KH29" i="110"/>
  <c r="KG29" i="110"/>
  <c r="KF29" i="110"/>
  <c r="KE29" i="110"/>
  <c r="KD29" i="110"/>
  <c r="KC29" i="110"/>
  <c r="KB29" i="110"/>
  <c r="KA29" i="110"/>
  <c r="JZ29" i="110"/>
  <c r="JY29" i="110"/>
  <c r="JX29" i="110"/>
  <c r="JW29" i="110"/>
  <c r="JV29" i="110"/>
  <c r="JU29" i="110"/>
  <c r="JT29" i="110"/>
  <c r="JS29" i="110"/>
  <c r="JR29" i="110"/>
  <c r="JQ29" i="110"/>
  <c r="JP29" i="110"/>
  <c r="JO29" i="110"/>
  <c r="JN29" i="110"/>
  <c r="JM29" i="110"/>
  <c r="JL29" i="110"/>
  <c r="JK29" i="110"/>
  <c r="JJ29" i="110"/>
  <c r="JI29" i="110"/>
  <c r="JH29" i="110"/>
  <c r="JG29" i="110"/>
  <c r="JF29" i="110"/>
  <c r="JE29" i="110"/>
  <c r="JD29" i="110"/>
  <c r="JC29" i="110"/>
  <c r="JB29" i="110"/>
  <c r="JA29" i="110"/>
  <c r="IZ29" i="110"/>
  <c r="IY29" i="110"/>
  <c r="IX29" i="110"/>
  <c r="IW29" i="110"/>
  <c r="IV29" i="110"/>
  <c r="IU29" i="110"/>
  <c r="IT29" i="110"/>
  <c r="IS29" i="110"/>
  <c r="IR29" i="110"/>
  <c r="IQ29" i="110"/>
  <c r="IP29" i="110"/>
  <c r="IO29" i="110"/>
  <c r="IN29" i="110"/>
  <c r="IM29" i="110"/>
  <c r="IL29" i="110"/>
  <c r="IK29" i="110"/>
  <c r="IJ29" i="110"/>
  <c r="II29" i="110"/>
  <c r="IH29" i="110"/>
  <c r="IG29" i="110"/>
  <c r="IF29" i="110"/>
  <c r="IE29" i="110"/>
  <c r="ID29" i="110"/>
  <c r="IC29" i="110"/>
  <c r="IB29" i="110"/>
  <c r="IA29" i="110"/>
  <c r="HZ29" i="110"/>
  <c r="HY29" i="110"/>
  <c r="HX29" i="110"/>
  <c r="HW29" i="110"/>
  <c r="HV29" i="110"/>
  <c r="HU29" i="110"/>
  <c r="HT29" i="110"/>
  <c r="HS29" i="110"/>
  <c r="HR29" i="110"/>
  <c r="HQ29" i="110"/>
  <c r="HP29" i="110"/>
  <c r="HO29" i="110"/>
  <c r="HN29" i="110"/>
  <c r="HM29" i="110"/>
  <c r="HL29" i="110"/>
  <c r="HK29" i="110"/>
  <c r="HJ29" i="110"/>
  <c r="HI29" i="110"/>
  <c r="HH29" i="110"/>
  <c r="HG29" i="110"/>
  <c r="HF29" i="110"/>
  <c r="HE29" i="110"/>
  <c r="HD29" i="110"/>
  <c r="HC29" i="110"/>
  <c r="HB29" i="110"/>
  <c r="HA29" i="110"/>
  <c r="GZ29" i="110"/>
  <c r="GY29" i="110"/>
  <c r="GX29" i="110"/>
  <c r="GW29" i="110"/>
  <c r="GV29" i="110"/>
  <c r="GU29" i="110"/>
  <c r="GT29" i="110"/>
  <c r="GS29" i="110"/>
  <c r="GR29" i="110"/>
  <c r="GQ29" i="110"/>
  <c r="GP29" i="110"/>
  <c r="GO29" i="110"/>
  <c r="GN29" i="110"/>
  <c r="GM29" i="110"/>
  <c r="GL29" i="110"/>
  <c r="GK29" i="110"/>
  <c r="GJ29" i="110"/>
  <c r="GI29" i="110"/>
  <c r="GH29" i="110"/>
  <c r="GG29" i="110"/>
  <c r="GF29" i="110"/>
  <c r="GE29" i="110"/>
  <c r="GD29" i="110"/>
  <c r="GC29" i="110"/>
  <c r="GB29" i="110"/>
  <c r="GA29" i="110"/>
  <c r="FZ29" i="110"/>
  <c r="FY29" i="110"/>
  <c r="FX29" i="110"/>
  <c r="FW29" i="110"/>
  <c r="FV29" i="110"/>
  <c r="FU29" i="110"/>
  <c r="FT29" i="110"/>
  <c r="FS29" i="110"/>
  <c r="FR29" i="110"/>
  <c r="FQ29" i="110"/>
  <c r="FP29" i="110"/>
  <c r="FO29" i="110"/>
  <c r="FN29" i="110"/>
  <c r="FM29" i="110"/>
  <c r="EC29" i="110"/>
  <c r="EB29" i="110"/>
  <c r="EA29" i="110"/>
  <c r="DZ29" i="110"/>
  <c r="DY29" i="110"/>
  <c r="DX29" i="110"/>
  <c r="DW29" i="110"/>
  <c r="DV29" i="110"/>
  <c r="DU29" i="110"/>
  <c r="DT29" i="110"/>
  <c r="DS29" i="110"/>
  <c r="DR29" i="110"/>
  <c r="DQ29" i="110"/>
  <c r="DP29" i="110"/>
  <c r="DO29" i="110"/>
  <c r="DN29" i="110"/>
  <c r="DM29" i="110"/>
  <c r="DL29" i="110"/>
  <c r="DK29" i="110"/>
  <c r="DJ29" i="110"/>
  <c r="DI29" i="110"/>
  <c r="DH29" i="110"/>
  <c r="DG29" i="110"/>
  <c r="DF29" i="110"/>
  <c r="DE29" i="110"/>
  <c r="DD29" i="110"/>
  <c r="DC29" i="110"/>
  <c r="DB29" i="110"/>
  <c r="DA29" i="110"/>
  <c r="CZ29" i="110"/>
  <c r="CY29" i="110"/>
  <c r="CX29" i="110"/>
  <c r="CW29" i="110"/>
  <c r="CV29" i="110"/>
  <c r="CU29" i="110"/>
  <c r="CT29" i="110"/>
  <c r="CS29" i="110"/>
  <c r="CR29" i="110"/>
  <c r="CQ29" i="110"/>
  <c r="CP29" i="110"/>
  <c r="CO29" i="110"/>
  <c r="CN29" i="110"/>
  <c r="CM29" i="110"/>
  <c r="CL29" i="110"/>
  <c r="CK29" i="110"/>
  <c r="CJ29" i="110"/>
  <c r="CI29" i="110"/>
  <c r="CH29" i="110"/>
  <c r="CG29" i="110"/>
  <c r="CF29" i="110"/>
  <c r="CE29" i="110"/>
  <c r="CD29" i="110"/>
  <c r="CC29" i="110"/>
  <c r="CB29" i="110"/>
  <c r="CA29" i="110"/>
  <c r="BZ29" i="110"/>
  <c r="BY29" i="110"/>
  <c r="BX29" i="110"/>
  <c r="BW29" i="110"/>
  <c r="BV29" i="110"/>
  <c r="BU29" i="110"/>
  <c r="BT29" i="110"/>
  <c r="BS29" i="110"/>
  <c r="BR29" i="110"/>
  <c r="BQ29" i="110"/>
  <c r="BP29" i="110"/>
  <c r="BO29" i="110"/>
  <c r="BN29" i="110"/>
  <c r="BM29" i="110"/>
  <c r="BL29" i="110"/>
  <c r="BK29" i="110"/>
  <c r="BJ29" i="110"/>
  <c r="BI29" i="110"/>
  <c r="BH29" i="110"/>
  <c r="BG29" i="110"/>
  <c r="BF29" i="110"/>
  <c r="BE29" i="110"/>
  <c r="BD29" i="110"/>
  <c r="BC29" i="110"/>
  <c r="BB29" i="110"/>
  <c r="BA29" i="110"/>
  <c r="AZ29" i="110"/>
  <c r="AY29" i="110"/>
  <c r="AX29" i="110"/>
  <c r="AW29" i="110"/>
  <c r="AV29" i="110"/>
  <c r="AU29" i="110"/>
  <c r="AT29" i="110"/>
  <c r="AS29" i="110"/>
  <c r="AR29" i="110"/>
  <c r="AQ29" i="110"/>
  <c r="AP29" i="110"/>
  <c r="AO29" i="110"/>
  <c r="AN29" i="110"/>
  <c r="AM29" i="110"/>
  <c r="AL29" i="110"/>
  <c r="AK29" i="110"/>
  <c r="AJ29" i="110"/>
  <c r="AI29" i="110"/>
  <c r="AH29" i="110"/>
  <c r="AG29" i="110"/>
  <c r="AF29" i="110"/>
  <c r="AE29" i="110"/>
  <c r="AD29" i="110"/>
  <c r="AC29" i="110"/>
  <c r="AB29" i="110"/>
  <c r="AA29" i="110"/>
  <c r="Z29" i="110"/>
  <c r="Y29" i="110"/>
  <c r="X29" i="110"/>
  <c r="A29" i="110"/>
  <c r="OC28" i="110"/>
  <c r="OB28" i="110"/>
  <c r="OA28" i="110"/>
  <c r="NZ28" i="110"/>
  <c r="NY28" i="110"/>
  <c r="NX28" i="110"/>
  <c r="NW28" i="110"/>
  <c r="NV28" i="110"/>
  <c r="NU28" i="110"/>
  <c r="NT28" i="110"/>
  <c r="NS28" i="110"/>
  <c r="NR28" i="110"/>
  <c r="NQ28" i="110"/>
  <c r="NP28" i="110"/>
  <c r="NO28" i="110"/>
  <c r="NN28" i="110"/>
  <c r="NM28" i="110"/>
  <c r="NL28" i="110"/>
  <c r="NK28" i="110"/>
  <c r="NJ28" i="110"/>
  <c r="NI28" i="110"/>
  <c r="NH28" i="110"/>
  <c r="NG28" i="110"/>
  <c r="NF28" i="110"/>
  <c r="NE28" i="110"/>
  <c r="ND28" i="110"/>
  <c r="NC28" i="110"/>
  <c r="NB28" i="110"/>
  <c r="NA28" i="110"/>
  <c r="MZ28" i="110"/>
  <c r="MY28" i="110"/>
  <c r="MX28" i="110"/>
  <c r="MW28" i="110"/>
  <c r="MV28" i="110"/>
  <c r="MU28" i="110"/>
  <c r="MT28" i="110"/>
  <c r="MS28" i="110"/>
  <c r="MR28" i="110"/>
  <c r="MQ28" i="110"/>
  <c r="MP28" i="110"/>
  <c r="MO28" i="110"/>
  <c r="MN28" i="110"/>
  <c r="MM28" i="110"/>
  <c r="ML28" i="110"/>
  <c r="MK28" i="110"/>
  <c r="MJ28" i="110"/>
  <c r="MI28" i="110"/>
  <c r="MH28" i="110"/>
  <c r="MG28" i="110"/>
  <c r="MF28" i="110"/>
  <c r="ME28" i="110"/>
  <c r="MD28" i="110"/>
  <c r="MC28" i="110"/>
  <c r="MB28" i="110"/>
  <c r="MA28" i="110"/>
  <c r="LZ28" i="110"/>
  <c r="LY28" i="110"/>
  <c r="LX28" i="110"/>
  <c r="LW28" i="110"/>
  <c r="LV28" i="110"/>
  <c r="LU28" i="110"/>
  <c r="LT28" i="110"/>
  <c r="LS28" i="110"/>
  <c r="LR28" i="110"/>
  <c r="LQ28" i="110"/>
  <c r="LP28" i="110"/>
  <c r="LO28" i="110"/>
  <c r="LN28" i="110"/>
  <c r="LM28" i="110"/>
  <c r="LL28" i="110"/>
  <c r="LK28" i="110"/>
  <c r="LJ28" i="110"/>
  <c r="LI28" i="110"/>
  <c r="LH28" i="110"/>
  <c r="LG28" i="110"/>
  <c r="LF28" i="110"/>
  <c r="LE28" i="110"/>
  <c r="LD28" i="110"/>
  <c r="LC28" i="110"/>
  <c r="LB28" i="110"/>
  <c r="LA28" i="110"/>
  <c r="KZ28" i="110"/>
  <c r="KY28" i="110"/>
  <c r="KX28" i="110"/>
  <c r="KW28" i="110"/>
  <c r="KV28" i="110"/>
  <c r="KU28" i="110"/>
  <c r="KT28" i="110"/>
  <c r="KS28" i="110"/>
  <c r="KR28" i="110"/>
  <c r="KQ28" i="110"/>
  <c r="KP28" i="110"/>
  <c r="KO28" i="110"/>
  <c r="KN28" i="110"/>
  <c r="KM28" i="110"/>
  <c r="KL28" i="110"/>
  <c r="KK28" i="110"/>
  <c r="KJ28" i="110"/>
  <c r="KI28" i="110"/>
  <c r="KH28" i="110"/>
  <c r="KG28" i="110"/>
  <c r="KF28" i="110"/>
  <c r="KE28" i="110"/>
  <c r="KD28" i="110"/>
  <c r="KC28" i="110"/>
  <c r="KB28" i="110"/>
  <c r="KA28" i="110"/>
  <c r="JZ28" i="110"/>
  <c r="JY28" i="110"/>
  <c r="JX28" i="110"/>
  <c r="JW28" i="110"/>
  <c r="JV28" i="110"/>
  <c r="JU28" i="110"/>
  <c r="JT28" i="110"/>
  <c r="JS28" i="110"/>
  <c r="JR28" i="110"/>
  <c r="JQ28" i="110"/>
  <c r="JP28" i="110"/>
  <c r="JO28" i="110"/>
  <c r="JN28" i="110"/>
  <c r="JM28" i="110"/>
  <c r="JL28" i="110"/>
  <c r="JK28" i="110"/>
  <c r="JJ28" i="110"/>
  <c r="JI28" i="110"/>
  <c r="JH28" i="110"/>
  <c r="JG28" i="110"/>
  <c r="JF28" i="110"/>
  <c r="JE28" i="110"/>
  <c r="JD28" i="110"/>
  <c r="JC28" i="110"/>
  <c r="JB28" i="110"/>
  <c r="JA28" i="110"/>
  <c r="IZ28" i="110"/>
  <c r="IY28" i="110"/>
  <c r="IX28" i="110"/>
  <c r="IW28" i="110"/>
  <c r="IV28" i="110"/>
  <c r="IU28" i="110"/>
  <c r="IT28" i="110"/>
  <c r="IS28" i="110"/>
  <c r="IR28" i="110"/>
  <c r="IQ28" i="110"/>
  <c r="IP28" i="110"/>
  <c r="IO28" i="110"/>
  <c r="IN28" i="110"/>
  <c r="IM28" i="110"/>
  <c r="IL28" i="110"/>
  <c r="IK28" i="110"/>
  <c r="IJ28" i="110"/>
  <c r="II28" i="110"/>
  <c r="IH28" i="110"/>
  <c r="IG28" i="110"/>
  <c r="IF28" i="110"/>
  <c r="IE28" i="110"/>
  <c r="ID28" i="110"/>
  <c r="IC28" i="110"/>
  <c r="IB28" i="110"/>
  <c r="IA28" i="110"/>
  <c r="HZ28" i="110"/>
  <c r="HY28" i="110"/>
  <c r="HX28" i="110"/>
  <c r="HW28" i="110"/>
  <c r="HV28" i="110"/>
  <c r="HU28" i="110"/>
  <c r="HT28" i="110"/>
  <c r="HS28" i="110"/>
  <c r="HR28" i="110"/>
  <c r="HQ28" i="110"/>
  <c r="HP28" i="110"/>
  <c r="HO28" i="110"/>
  <c r="HN28" i="110"/>
  <c r="HM28" i="110"/>
  <c r="HL28" i="110"/>
  <c r="HK28" i="110"/>
  <c r="HJ28" i="110"/>
  <c r="HI28" i="110"/>
  <c r="HH28" i="110"/>
  <c r="HG28" i="110"/>
  <c r="HF28" i="110"/>
  <c r="HE28" i="110"/>
  <c r="HD28" i="110"/>
  <c r="HC28" i="110"/>
  <c r="HB28" i="110"/>
  <c r="HA28" i="110"/>
  <c r="GZ28" i="110"/>
  <c r="GY28" i="110"/>
  <c r="GX28" i="110"/>
  <c r="GW28" i="110"/>
  <c r="GV28" i="110"/>
  <c r="GU28" i="110"/>
  <c r="GT28" i="110"/>
  <c r="GS28" i="110"/>
  <c r="GR28" i="110"/>
  <c r="GQ28" i="110"/>
  <c r="GP28" i="110"/>
  <c r="GO28" i="110"/>
  <c r="GN28" i="110"/>
  <c r="GM28" i="110"/>
  <c r="GL28" i="110"/>
  <c r="GK28" i="110"/>
  <c r="GJ28" i="110"/>
  <c r="GI28" i="110"/>
  <c r="GH28" i="110"/>
  <c r="GG28" i="110"/>
  <c r="GF28" i="110"/>
  <c r="GE28" i="110"/>
  <c r="GD28" i="110"/>
  <c r="GC28" i="110"/>
  <c r="GB28" i="110"/>
  <c r="GA28" i="110"/>
  <c r="FZ28" i="110"/>
  <c r="FY28" i="110"/>
  <c r="FX28" i="110"/>
  <c r="FW28" i="110"/>
  <c r="FV28" i="110"/>
  <c r="FU28" i="110"/>
  <c r="FT28" i="110"/>
  <c r="FS28" i="110"/>
  <c r="FR28" i="110"/>
  <c r="FQ28" i="110"/>
  <c r="FP28" i="110"/>
  <c r="FO28" i="110"/>
  <c r="FN28" i="110"/>
  <c r="FM28" i="110"/>
  <c r="EC28" i="110"/>
  <c r="EB28" i="110"/>
  <c r="EA28" i="110"/>
  <c r="DZ28" i="110"/>
  <c r="DY28" i="110"/>
  <c r="DX28" i="110"/>
  <c r="DW28" i="110"/>
  <c r="DV28" i="110"/>
  <c r="DU28" i="110"/>
  <c r="DT28" i="110"/>
  <c r="DS28" i="110"/>
  <c r="DR28" i="110"/>
  <c r="DQ28" i="110"/>
  <c r="DP28" i="110"/>
  <c r="DO28" i="110"/>
  <c r="DN28" i="110"/>
  <c r="DM28" i="110"/>
  <c r="DL28" i="110"/>
  <c r="DK28" i="110"/>
  <c r="DJ28" i="110"/>
  <c r="DI28" i="110"/>
  <c r="DH28" i="110"/>
  <c r="DG28" i="110"/>
  <c r="DF28" i="110"/>
  <c r="DE28" i="110"/>
  <c r="DD28" i="110"/>
  <c r="DC28" i="110"/>
  <c r="DB28" i="110"/>
  <c r="DA28" i="110"/>
  <c r="CZ28" i="110"/>
  <c r="CY28" i="110"/>
  <c r="CX28" i="110"/>
  <c r="CW28" i="110"/>
  <c r="CV28" i="110"/>
  <c r="CU28" i="110"/>
  <c r="CT28" i="110"/>
  <c r="CS28" i="110"/>
  <c r="CR28" i="110"/>
  <c r="CQ28" i="110"/>
  <c r="CP28" i="110"/>
  <c r="CO28" i="110"/>
  <c r="CN28" i="110"/>
  <c r="CM28" i="110"/>
  <c r="CL28" i="110"/>
  <c r="CK28" i="110"/>
  <c r="CJ28" i="110"/>
  <c r="CI28" i="110"/>
  <c r="CH28" i="110"/>
  <c r="CG28" i="110"/>
  <c r="CF28" i="110"/>
  <c r="CE28" i="110"/>
  <c r="CD28" i="110"/>
  <c r="CC28" i="110"/>
  <c r="CB28" i="110"/>
  <c r="CA28" i="110"/>
  <c r="BZ28" i="110"/>
  <c r="BY28" i="110"/>
  <c r="BX28" i="110"/>
  <c r="BW28" i="110"/>
  <c r="BV28" i="110"/>
  <c r="BU28" i="110"/>
  <c r="BT28" i="110"/>
  <c r="BS28" i="110"/>
  <c r="BR28" i="110"/>
  <c r="BQ28" i="110"/>
  <c r="BP28" i="110"/>
  <c r="BO28" i="110"/>
  <c r="BN28" i="110"/>
  <c r="BM28" i="110"/>
  <c r="BL28" i="110"/>
  <c r="BK28" i="110"/>
  <c r="BJ28" i="110"/>
  <c r="BI28" i="110"/>
  <c r="BH28" i="110"/>
  <c r="BG28" i="110"/>
  <c r="BF28" i="110"/>
  <c r="BE28" i="110"/>
  <c r="BD28" i="110"/>
  <c r="BC28" i="110"/>
  <c r="BB28" i="110"/>
  <c r="BA28" i="110"/>
  <c r="AZ28" i="110"/>
  <c r="AY28" i="110"/>
  <c r="AX28" i="110"/>
  <c r="AW28" i="110"/>
  <c r="AV28" i="110"/>
  <c r="AU28" i="110"/>
  <c r="AT28" i="110"/>
  <c r="AS28" i="110"/>
  <c r="AR28" i="110"/>
  <c r="AQ28" i="110"/>
  <c r="AP28" i="110"/>
  <c r="AO28" i="110"/>
  <c r="AN28" i="110"/>
  <c r="AM28" i="110"/>
  <c r="AL28" i="110"/>
  <c r="AK28" i="110"/>
  <c r="AJ28" i="110"/>
  <c r="AI28" i="110"/>
  <c r="AH28" i="110"/>
  <c r="AG28" i="110"/>
  <c r="AF28" i="110"/>
  <c r="AE28" i="110"/>
  <c r="AD28" i="110"/>
  <c r="AC28" i="110"/>
  <c r="AB28" i="110"/>
  <c r="AA28" i="110"/>
  <c r="Z28" i="110"/>
  <c r="Y28" i="110"/>
  <c r="X28" i="110"/>
  <c r="A28" i="110"/>
  <c r="OC27" i="110"/>
  <c r="OB27" i="110"/>
  <c r="OA27" i="110"/>
  <c r="NZ27" i="110"/>
  <c r="NY27" i="110"/>
  <c r="NX27" i="110"/>
  <c r="NW27" i="110"/>
  <c r="NV27" i="110"/>
  <c r="NU27" i="110"/>
  <c r="NT27" i="110"/>
  <c r="NS27" i="110"/>
  <c r="NR27" i="110"/>
  <c r="NQ27" i="110"/>
  <c r="NP27" i="110"/>
  <c r="NO27" i="110"/>
  <c r="NN27" i="110"/>
  <c r="NM27" i="110"/>
  <c r="NL27" i="110"/>
  <c r="NK27" i="110"/>
  <c r="NJ27" i="110"/>
  <c r="NI27" i="110"/>
  <c r="NH27" i="110"/>
  <c r="NG27" i="110"/>
  <c r="NF27" i="110"/>
  <c r="NE27" i="110"/>
  <c r="ND27" i="110"/>
  <c r="NC27" i="110"/>
  <c r="NB27" i="110"/>
  <c r="NA27" i="110"/>
  <c r="MZ27" i="110"/>
  <c r="MY27" i="110"/>
  <c r="MX27" i="110"/>
  <c r="MW27" i="110"/>
  <c r="MV27" i="110"/>
  <c r="MU27" i="110"/>
  <c r="MT27" i="110"/>
  <c r="MS27" i="110"/>
  <c r="MR27" i="110"/>
  <c r="MQ27" i="110"/>
  <c r="MP27" i="110"/>
  <c r="MO27" i="110"/>
  <c r="MN27" i="110"/>
  <c r="MM27" i="110"/>
  <c r="ML27" i="110"/>
  <c r="MK27" i="110"/>
  <c r="MJ27" i="110"/>
  <c r="MI27" i="110"/>
  <c r="MH27" i="110"/>
  <c r="MG27" i="110"/>
  <c r="MF27" i="110"/>
  <c r="ME27" i="110"/>
  <c r="MD27" i="110"/>
  <c r="MC27" i="110"/>
  <c r="MB27" i="110"/>
  <c r="MA27" i="110"/>
  <c r="LZ27" i="110"/>
  <c r="LY27" i="110"/>
  <c r="LX27" i="110"/>
  <c r="LW27" i="110"/>
  <c r="LV27" i="110"/>
  <c r="LU27" i="110"/>
  <c r="LT27" i="110"/>
  <c r="LS27" i="110"/>
  <c r="LR27" i="110"/>
  <c r="LQ27" i="110"/>
  <c r="LP27" i="110"/>
  <c r="LO27" i="110"/>
  <c r="LN27" i="110"/>
  <c r="LM27" i="110"/>
  <c r="LL27" i="110"/>
  <c r="LK27" i="110"/>
  <c r="LJ27" i="110"/>
  <c r="LI27" i="110"/>
  <c r="LH27" i="110"/>
  <c r="LG27" i="110"/>
  <c r="LF27" i="110"/>
  <c r="LE27" i="110"/>
  <c r="LD27" i="110"/>
  <c r="LC27" i="110"/>
  <c r="LB27" i="110"/>
  <c r="LA27" i="110"/>
  <c r="KZ27" i="110"/>
  <c r="KY27" i="110"/>
  <c r="KX27" i="110"/>
  <c r="KW27" i="110"/>
  <c r="KV27" i="110"/>
  <c r="KU27" i="110"/>
  <c r="KT27" i="110"/>
  <c r="KS27" i="110"/>
  <c r="KR27" i="110"/>
  <c r="KQ27" i="110"/>
  <c r="KP27" i="110"/>
  <c r="KO27" i="110"/>
  <c r="KN27" i="110"/>
  <c r="KM27" i="110"/>
  <c r="KL27" i="110"/>
  <c r="KK27" i="110"/>
  <c r="KJ27" i="110"/>
  <c r="KI27" i="110"/>
  <c r="KH27" i="110"/>
  <c r="KG27" i="110"/>
  <c r="KF27" i="110"/>
  <c r="KE27" i="110"/>
  <c r="KD27" i="110"/>
  <c r="KC27" i="110"/>
  <c r="KB27" i="110"/>
  <c r="KA27" i="110"/>
  <c r="JZ27" i="110"/>
  <c r="JY27" i="110"/>
  <c r="JX27" i="110"/>
  <c r="JW27" i="110"/>
  <c r="JV27" i="110"/>
  <c r="JU27" i="110"/>
  <c r="JT27" i="110"/>
  <c r="JS27" i="110"/>
  <c r="JR27" i="110"/>
  <c r="JQ27" i="110"/>
  <c r="JP27" i="110"/>
  <c r="JO27" i="110"/>
  <c r="JN27" i="110"/>
  <c r="JM27" i="110"/>
  <c r="JL27" i="110"/>
  <c r="JK27" i="110"/>
  <c r="JJ27" i="110"/>
  <c r="JI27" i="110"/>
  <c r="JH27" i="110"/>
  <c r="JG27" i="110"/>
  <c r="JF27" i="110"/>
  <c r="JE27" i="110"/>
  <c r="JD27" i="110"/>
  <c r="JC27" i="110"/>
  <c r="JB27" i="110"/>
  <c r="JA27" i="110"/>
  <c r="IZ27" i="110"/>
  <c r="IY27" i="110"/>
  <c r="IX27" i="110"/>
  <c r="IW27" i="110"/>
  <c r="IV27" i="110"/>
  <c r="IU27" i="110"/>
  <c r="IT27" i="110"/>
  <c r="IS27" i="110"/>
  <c r="IR27" i="110"/>
  <c r="IQ27" i="110"/>
  <c r="IP27" i="110"/>
  <c r="IO27" i="110"/>
  <c r="IN27" i="110"/>
  <c r="IM27" i="110"/>
  <c r="IL27" i="110"/>
  <c r="IK27" i="110"/>
  <c r="IJ27" i="110"/>
  <c r="II27" i="110"/>
  <c r="IH27" i="110"/>
  <c r="IG27" i="110"/>
  <c r="IF27" i="110"/>
  <c r="IE27" i="110"/>
  <c r="ID27" i="110"/>
  <c r="IC27" i="110"/>
  <c r="IB27" i="110"/>
  <c r="IA27" i="110"/>
  <c r="HZ27" i="110"/>
  <c r="HY27" i="110"/>
  <c r="HX27" i="110"/>
  <c r="HW27" i="110"/>
  <c r="HV27" i="110"/>
  <c r="HU27" i="110"/>
  <c r="HT27" i="110"/>
  <c r="HS27" i="110"/>
  <c r="HR27" i="110"/>
  <c r="HQ27" i="110"/>
  <c r="HP27" i="110"/>
  <c r="HO27" i="110"/>
  <c r="HN27" i="110"/>
  <c r="HM27" i="110"/>
  <c r="HL27" i="110"/>
  <c r="HK27" i="110"/>
  <c r="HJ27" i="110"/>
  <c r="HI27" i="110"/>
  <c r="HH27" i="110"/>
  <c r="HG27" i="110"/>
  <c r="HF27" i="110"/>
  <c r="HE27" i="110"/>
  <c r="HD27" i="110"/>
  <c r="HC27" i="110"/>
  <c r="HB27" i="110"/>
  <c r="HA27" i="110"/>
  <c r="GZ27" i="110"/>
  <c r="GY27" i="110"/>
  <c r="GX27" i="110"/>
  <c r="GW27" i="110"/>
  <c r="GV27" i="110"/>
  <c r="GU27" i="110"/>
  <c r="GT27" i="110"/>
  <c r="GS27" i="110"/>
  <c r="GR27" i="110"/>
  <c r="GQ27" i="110"/>
  <c r="GP27" i="110"/>
  <c r="GO27" i="110"/>
  <c r="GN27" i="110"/>
  <c r="GM27" i="110"/>
  <c r="GL27" i="110"/>
  <c r="GK27" i="110"/>
  <c r="GJ27" i="110"/>
  <c r="GI27" i="110"/>
  <c r="GH27" i="110"/>
  <c r="GG27" i="110"/>
  <c r="GF27" i="110"/>
  <c r="GE27" i="110"/>
  <c r="GD27" i="110"/>
  <c r="GC27" i="110"/>
  <c r="GB27" i="110"/>
  <c r="GA27" i="110"/>
  <c r="FZ27" i="110"/>
  <c r="FY27" i="110"/>
  <c r="FX27" i="110"/>
  <c r="FW27" i="110"/>
  <c r="FV27" i="110"/>
  <c r="FU27" i="110"/>
  <c r="FT27" i="110"/>
  <c r="FS27" i="110"/>
  <c r="FR27" i="110"/>
  <c r="FQ27" i="110"/>
  <c r="FP27" i="110"/>
  <c r="FO27" i="110"/>
  <c r="FN27" i="110"/>
  <c r="FM27" i="110"/>
  <c r="EC27" i="110"/>
  <c r="EB27" i="110"/>
  <c r="EA27" i="110"/>
  <c r="DZ27" i="110"/>
  <c r="DY27" i="110"/>
  <c r="DX27" i="110"/>
  <c r="DW27" i="110"/>
  <c r="DV27" i="110"/>
  <c r="DU27" i="110"/>
  <c r="DT27" i="110"/>
  <c r="DS27" i="110"/>
  <c r="DR27" i="110"/>
  <c r="DQ27" i="110"/>
  <c r="DP27" i="110"/>
  <c r="DO27" i="110"/>
  <c r="DN27" i="110"/>
  <c r="DM27" i="110"/>
  <c r="DL27" i="110"/>
  <c r="DK27" i="110"/>
  <c r="DJ27" i="110"/>
  <c r="DI27" i="110"/>
  <c r="DH27" i="110"/>
  <c r="DG27" i="110"/>
  <c r="DF27" i="110"/>
  <c r="DE27" i="110"/>
  <c r="DD27" i="110"/>
  <c r="DC27" i="110"/>
  <c r="DB27" i="110"/>
  <c r="DA27" i="110"/>
  <c r="CZ27" i="110"/>
  <c r="CY27" i="110"/>
  <c r="CX27" i="110"/>
  <c r="CW27" i="110"/>
  <c r="CV27" i="110"/>
  <c r="CU27" i="110"/>
  <c r="CT27" i="110"/>
  <c r="CS27" i="110"/>
  <c r="CR27" i="110"/>
  <c r="CQ27" i="110"/>
  <c r="CP27" i="110"/>
  <c r="CO27" i="110"/>
  <c r="CN27" i="110"/>
  <c r="CM27" i="110"/>
  <c r="CL27" i="110"/>
  <c r="CK27" i="110"/>
  <c r="CJ27" i="110"/>
  <c r="CI27" i="110"/>
  <c r="CH27" i="110"/>
  <c r="CG27" i="110"/>
  <c r="CF27" i="110"/>
  <c r="CE27" i="110"/>
  <c r="CD27" i="110"/>
  <c r="CC27" i="110"/>
  <c r="CB27" i="110"/>
  <c r="CA27" i="110"/>
  <c r="BZ27" i="110"/>
  <c r="BY27" i="110"/>
  <c r="BX27" i="110"/>
  <c r="BW27" i="110"/>
  <c r="BV27" i="110"/>
  <c r="BU27" i="110"/>
  <c r="BT27" i="110"/>
  <c r="BS27" i="110"/>
  <c r="BR27" i="110"/>
  <c r="BQ27" i="110"/>
  <c r="BP27" i="110"/>
  <c r="BO27" i="110"/>
  <c r="BN27" i="110"/>
  <c r="BM27" i="110"/>
  <c r="BL27" i="110"/>
  <c r="BK27" i="110"/>
  <c r="BJ27" i="110"/>
  <c r="BI27" i="110"/>
  <c r="BH27" i="110"/>
  <c r="BG27" i="110"/>
  <c r="BF27" i="110"/>
  <c r="BE27" i="110"/>
  <c r="BD27" i="110"/>
  <c r="BC27" i="110"/>
  <c r="BB27" i="110"/>
  <c r="BA27" i="110"/>
  <c r="AZ27" i="110"/>
  <c r="AY27" i="110"/>
  <c r="AX27" i="110"/>
  <c r="AW27" i="110"/>
  <c r="AV27" i="110"/>
  <c r="AU27" i="110"/>
  <c r="AT27" i="110"/>
  <c r="AS27" i="110"/>
  <c r="AR27" i="110"/>
  <c r="AQ27" i="110"/>
  <c r="AP27" i="110"/>
  <c r="AO27" i="110"/>
  <c r="AN27" i="110"/>
  <c r="AM27" i="110"/>
  <c r="AL27" i="110"/>
  <c r="AK27" i="110"/>
  <c r="AJ27" i="110"/>
  <c r="AI27" i="110"/>
  <c r="AH27" i="110"/>
  <c r="AG27" i="110"/>
  <c r="AF27" i="110"/>
  <c r="AE27" i="110"/>
  <c r="AD27" i="110"/>
  <c r="AC27" i="110"/>
  <c r="AB27" i="110"/>
  <c r="AA27" i="110"/>
  <c r="Z27" i="110"/>
  <c r="Y27" i="110"/>
  <c r="X27" i="110"/>
  <c r="A27" i="110"/>
  <c r="OC26" i="110"/>
  <c r="OB26" i="110"/>
  <c r="OA26" i="110"/>
  <c r="NZ26" i="110"/>
  <c r="NY26" i="110"/>
  <c r="NX26" i="110"/>
  <c r="NW26" i="110"/>
  <c r="NV26" i="110"/>
  <c r="NU26" i="110"/>
  <c r="NT26" i="110"/>
  <c r="NS26" i="110"/>
  <c r="NR26" i="110"/>
  <c r="NQ26" i="110"/>
  <c r="NP26" i="110"/>
  <c r="NO26" i="110"/>
  <c r="NN26" i="110"/>
  <c r="NM26" i="110"/>
  <c r="NL26" i="110"/>
  <c r="NK26" i="110"/>
  <c r="NJ26" i="110"/>
  <c r="NI26" i="110"/>
  <c r="NH26" i="110"/>
  <c r="NG26" i="110"/>
  <c r="NF26" i="110"/>
  <c r="NE26" i="110"/>
  <c r="ND26" i="110"/>
  <c r="NC26" i="110"/>
  <c r="NB26" i="110"/>
  <c r="NA26" i="110"/>
  <c r="MZ26" i="110"/>
  <c r="MY26" i="110"/>
  <c r="MX26" i="110"/>
  <c r="MW26" i="110"/>
  <c r="MV26" i="110"/>
  <c r="MU26" i="110"/>
  <c r="MT26" i="110"/>
  <c r="MS26" i="110"/>
  <c r="MR26" i="110"/>
  <c r="MQ26" i="110"/>
  <c r="MP26" i="110"/>
  <c r="MO26" i="110"/>
  <c r="MN26" i="110"/>
  <c r="MM26" i="110"/>
  <c r="ML26" i="110"/>
  <c r="MK26" i="110"/>
  <c r="MJ26" i="110"/>
  <c r="MI26" i="110"/>
  <c r="MH26" i="110"/>
  <c r="MG26" i="110"/>
  <c r="MF26" i="110"/>
  <c r="ME26" i="110"/>
  <c r="MD26" i="110"/>
  <c r="MC26" i="110"/>
  <c r="MB26" i="110"/>
  <c r="MA26" i="110"/>
  <c r="LZ26" i="110"/>
  <c r="LY26" i="110"/>
  <c r="LX26" i="110"/>
  <c r="LW26" i="110"/>
  <c r="LV26" i="110"/>
  <c r="LU26" i="110"/>
  <c r="LT26" i="110"/>
  <c r="LS26" i="110"/>
  <c r="LR26" i="110"/>
  <c r="LQ26" i="110"/>
  <c r="LP26" i="110"/>
  <c r="LO26" i="110"/>
  <c r="LN26" i="110"/>
  <c r="LM26" i="110"/>
  <c r="LL26" i="110"/>
  <c r="LK26" i="110"/>
  <c r="LJ26" i="110"/>
  <c r="LI26" i="110"/>
  <c r="LH26" i="110"/>
  <c r="LG26" i="110"/>
  <c r="LF26" i="110"/>
  <c r="LE26" i="110"/>
  <c r="LD26" i="110"/>
  <c r="LC26" i="110"/>
  <c r="LB26" i="110"/>
  <c r="LA26" i="110"/>
  <c r="KZ26" i="110"/>
  <c r="KY26" i="110"/>
  <c r="KX26" i="110"/>
  <c r="KW26" i="110"/>
  <c r="KV26" i="110"/>
  <c r="KU26" i="110"/>
  <c r="KT26" i="110"/>
  <c r="KS26" i="110"/>
  <c r="KR26" i="110"/>
  <c r="KQ26" i="110"/>
  <c r="KP26" i="110"/>
  <c r="KO26" i="110"/>
  <c r="KN26" i="110"/>
  <c r="KM26" i="110"/>
  <c r="KL26" i="110"/>
  <c r="KK26" i="110"/>
  <c r="KJ26" i="110"/>
  <c r="KI26" i="110"/>
  <c r="KH26" i="110"/>
  <c r="KG26" i="110"/>
  <c r="KF26" i="110"/>
  <c r="KE26" i="110"/>
  <c r="KD26" i="110"/>
  <c r="KC26" i="110"/>
  <c r="KB26" i="110"/>
  <c r="KA26" i="110"/>
  <c r="JZ26" i="110"/>
  <c r="JY26" i="110"/>
  <c r="JX26" i="110"/>
  <c r="JW26" i="110"/>
  <c r="JV26" i="110"/>
  <c r="JU26" i="110"/>
  <c r="JT26" i="110"/>
  <c r="JS26" i="110"/>
  <c r="JR26" i="110"/>
  <c r="JQ26" i="110"/>
  <c r="JP26" i="110"/>
  <c r="JO26" i="110"/>
  <c r="JN26" i="110"/>
  <c r="JM26" i="110"/>
  <c r="JL26" i="110"/>
  <c r="JK26" i="110"/>
  <c r="JJ26" i="110"/>
  <c r="JI26" i="110"/>
  <c r="JH26" i="110"/>
  <c r="JG26" i="110"/>
  <c r="JF26" i="110"/>
  <c r="JE26" i="110"/>
  <c r="JD26" i="110"/>
  <c r="JC26" i="110"/>
  <c r="JB26" i="110"/>
  <c r="JA26" i="110"/>
  <c r="IZ26" i="110"/>
  <c r="IY26" i="110"/>
  <c r="IX26" i="110"/>
  <c r="IW26" i="110"/>
  <c r="IV26" i="110"/>
  <c r="IU26" i="110"/>
  <c r="IT26" i="110"/>
  <c r="IS26" i="110"/>
  <c r="IR26" i="110"/>
  <c r="IQ26" i="110"/>
  <c r="IP26" i="110"/>
  <c r="IO26" i="110"/>
  <c r="IN26" i="110"/>
  <c r="IM26" i="110"/>
  <c r="IL26" i="110"/>
  <c r="IK26" i="110"/>
  <c r="IJ26" i="110"/>
  <c r="II26" i="110"/>
  <c r="IH26" i="110"/>
  <c r="IG26" i="110"/>
  <c r="IF26" i="110"/>
  <c r="IE26" i="110"/>
  <c r="ID26" i="110"/>
  <c r="IC26" i="110"/>
  <c r="IB26" i="110"/>
  <c r="IA26" i="110"/>
  <c r="HZ26" i="110"/>
  <c r="HY26" i="110"/>
  <c r="HX26" i="110"/>
  <c r="HW26" i="110"/>
  <c r="HV26" i="110"/>
  <c r="HU26" i="110"/>
  <c r="HT26" i="110"/>
  <c r="HS26" i="110"/>
  <c r="HR26" i="110"/>
  <c r="HQ26" i="110"/>
  <c r="HP26" i="110"/>
  <c r="HO26" i="110"/>
  <c r="HN26" i="110"/>
  <c r="HM26" i="110"/>
  <c r="HL26" i="110"/>
  <c r="HK26" i="110"/>
  <c r="HJ26" i="110"/>
  <c r="HI26" i="110"/>
  <c r="HH26" i="110"/>
  <c r="HG26" i="110"/>
  <c r="HF26" i="110"/>
  <c r="HE26" i="110"/>
  <c r="HD26" i="110"/>
  <c r="HC26" i="110"/>
  <c r="HB26" i="110"/>
  <c r="HA26" i="110"/>
  <c r="GZ26" i="110"/>
  <c r="GY26" i="110"/>
  <c r="GX26" i="110"/>
  <c r="GW26" i="110"/>
  <c r="GV26" i="110"/>
  <c r="GU26" i="110"/>
  <c r="GT26" i="110"/>
  <c r="GS26" i="110"/>
  <c r="GR26" i="110"/>
  <c r="GQ26" i="110"/>
  <c r="GP26" i="110"/>
  <c r="GO26" i="110"/>
  <c r="GN26" i="110"/>
  <c r="GM26" i="110"/>
  <c r="GL26" i="110"/>
  <c r="GK26" i="110"/>
  <c r="GJ26" i="110"/>
  <c r="GI26" i="110"/>
  <c r="GH26" i="110"/>
  <c r="GG26" i="110"/>
  <c r="GF26" i="110"/>
  <c r="GE26" i="110"/>
  <c r="GD26" i="110"/>
  <c r="GC26" i="110"/>
  <c r="GB26" i="110"/>
  <c r="GA26" i="110"/>
  <c r="FZ26" i="110"/>
  <c r="FY26" i="110"/>
  <c r="FX26" i="110"/>
  <c r="FW26" i="110"/>
  <c r="FV26" i="110"/>
  <c r="FU26" i="110"/>
  <c r="FT26" i="110"/>
  <c r="FS26" i="110"/>
  <c r="FR26" i="110"/>
  <c r="FQ26" i="110"/>
  <c r="FP26" i="110"/>
  <c r="FO26" i="110"/>
  <c r="FN26" i="110"/>
  <c r="FM26" i="110"/>
  <c r="EC26" i="110"/>
  <c r="EB26" i="110"/>
  <c r="EA26" i="110"/>
  <c r="DZ26" i="110"/>
  <c r="DY26" i="110"/>
  <c r="DX26" i="110"/>
  <c r="DW26" i="110"/>
  <c r="DV26" i="110"/>
  <c r="DU26" i="110"/>
  <c r="DT26" i="110"/>
  <c r="DS26" i="110"/>
  <c r="DR26" i="110"/>
  <c r="DQ26" i="110"/>
  <c r="DP26" i="110"/>
  <c r="DO26" i="110"/>
  <c r="DN26" i="110"/>
  <c r="DM26" i="110"/>
  <c r="DL26" i="110"/>
  <c r="DK26" i="110"/>
  <c r="DJ26" i="110"/>
  <c r="DI26" i="110"/>
  <c r="DH26" i="110"/>
  <c r="DG26" i="110"/>
  <c r="DF26" i="110"/>
  <c r="DE26" i="110"/>
  <c r="DD26" i="110"/>
  <c r="DC26" i="110"/>
  <c r="DB26" i="110"/>
  <c r="DA26" i="110"/>
  <c r="CZ26" i="110"/>
  <c r="CY26" i="110"/>
  <c r="CX26" i="110"/>
  <c r="CW26" i="110"/>
  <c r="CV26" i="110"/>
  <c r="CU26" i="110"/>
  <c r="CT26" i="110"/>
  <c r="CS26" i="110"/>
  <c r="CR26" i="110"/>
  <c r="CQ26" i="110"/>
  <c r="CP26" i="110"/>
  <c r="CO26" i="110"/>
  <c r="CN26" i="110"/>
  <c r="CM26" i="110"/>
  <c r="CL26" i="110"/>
  <c r="CK26" i="110"/>
  <c r="CJ26" i="110"/>
  <c r="CI26" i="110"/>
  <c r="CH26" i="110"/>
  <c r="CG26" i="110"/>
  <c r="CF26" i="110"/>
  <c r="CE26" i="110"/>
  <c r="CD26" i="110"/>
  <c r="CC26" i="110"/>
  <c r="CB26" i="110"/>
  <c r="CA26" i="110"/>
  <c r="BZ26" i="110"/>
  <c r="BY26" i="110"/>
  <c r="BX26" i="110"/>
  <c r="BW26" i="110"/>
  <c r="BV26" i="110"/>
  <c r="BU26" i="110"/>
  <c r="BT26" i="110"/>
  <c r="BS26" i="110"/>
  <c r="BR26" i="110"/>
  <c r="BQ26" i="110"/>
  <c r="BP26" i="110"/>
  <c r="BO26" i="110"/>
  <c r="BN26" i="110"/>
  <c r="BM26" i="110"/>
  <c r="BL26" i="110"/>
  <c r="BK26" i="110"/>
  <c r="BJ26" i="110"/>
  <c r="BI26" i="110"/>
  <c r="BH26" i="110"/>
  <c r="BG26" i="110"/>
  <c r="BF26" i="110"/>
  <c r="BE26" i="110"/>
  <c r="BD26" i="110"/>
  <c r="BC26" i="110"/>
  <c r="BB26" i="110"/>
  <c r="BA26" i="110"/>
  <c r="AZ26" i="110"/>
  <c r="AY26" i="110"/>
  <c r="AX26" i="110"/>
  <c r="AW26" i="110"/>
  <c r="AV26" i="110"/>
  <c r="AU26" i="110"/>
  <c r="AT26" i="110"/>
  <c r="AS26" i="110"/>
  <c r="AR26" i="110"/>
  <c r="AQ26" i="110"/>
  <c r="AP26" i="110"/>
  <c r="AO26" i="110"/>
  <c r="AN26" i="110"/>
  <c r="AM26" i="110"/>
  <c r="AL26" i="110"/>
  <c r="AK26" i="110"/>
  <c r="AJ26" i="110"/>
  <c r="AI26" i="110"/>
  <c r="AH26" i="110"/>
  <c r="AG26" i="110"/>
  <c r="AF26" i="110"/>
  <c r="AE26" i="110"/>
  <c r="AD26" i="110"/>
  <c r="AC26" i="110"/>
  <c r="AB26" i="110"/>
  <c r="AA26" i="110"/>
  <c r="Z26" i="110"/>
  <c r="Y26" i="110"/>
  <c r="X26" i="110"/>
  <c r="A26" i="110"/>
  <c r="OC25" i="110"/>
  <c r="OB25" i="110"/>
  <c r="OA25" i="110"/>
  <c r="NZ25" i="110"/>
  <c r="NY25" i="110"/>
  <c r="NX25" i="110"/>
  <c r="NW25" i="110"/>
  <c r="NV25" i="110"/>
  <c r="NU25" i="110"/>
  <c r="NT25" i="110"/>
  <c r="NS25" i="110"/>
  <c r="NR25" i="110"/>
  <c r="NQ25" i="110"/>
  <c r="NP25" i="110"/>
  <c r="NO25" i="110"/>
  <c r="NN25" i="110"/>
  <c r="NM25" i="110"/>
  <c r="NL25" i="110"/>
  <c r="NK25" i="110"/>
  <c r="NJ25" i="110"/>
  <c r="NI25" i="110"/>
  <c r="NH25" i="110"/>
  <c r="NG25" i="110"/>
  <c r="NF25" i="110"/>
  <c r="NE25" i="110"/>
  <c r="ND25" i="110"/>
  <c r="NC25" i="110"/>
  <c r="NB25" i="110"/>
  <c r="NA25" i="110"/>
  <c r="MZ25" i="110"/>
  <c r="MY25" i="110"/>
  <c r="MX25" i="110"/>
  <c r="MW25" i="110"/>
  <c r="MV25" i="110"/>
  <c r="MU25" i="110"/>
  <c r="MT25" i="110"/>
  <c r="MS25" i="110"/>
  <c r="MR25" i="110"/>
  <c r="MQ25" i="110"/>
  <c r="MP25" i="110"/>
  <c r="MO25" i="110"/>
  <c r="MN25" i="110"/>
  <c r="MM25" i="110"/>
  <c r="ML25" i="110"/>
  <c r="MK25" i="110"/>
  <c r="MJ25" i="110"/>
  <c r="MI25" i="110"/>
  <c r="MH25" i="110"/>
  <c r="MG25" i="110"/>
  <c r="MF25" i="110"/>
  <c r="ME25" i="110"/>
  <c r="MD25" i="110"/>
  <c r="MC25" i="110"/>
  <c r="MB25" i="110"/>
  <c r="MA25" i="110"/>
  <c r="LZ25" i="110"/>
  <c r="LY25" i="110"/>
  <c r="LX25" i="110"/>
  <c r="LW25" i="110"/>
  <c r="LV25" i="110"/>
  <c r="LU25" i="110"/>
  <c r="LT25" i="110"/>
  <c r="LS25" i="110"/>
  <c r="LR25" i="110"/>
  <c r="LQ25" i="110"/>
  <c r="LP25" i="110"/>
  <c r="LO25" i="110"/>
  <c r="LN25" i="110"/>
  <c r="LM25" i="110"/>
  <c r="LL25" i="110"/>
  <c r="LK25" i="110"/>
  <c r="LJ25" i="110"/>
  <c r="LI25" i="110"/>
  <c r="LH25" i="110"/>
  <c r="LG25" i="110"/>
  <c r="LF25" i="110"/>
  <c r="LE25" i="110"/>
  <c r="LD25" i="110"/>
  <c r="LC25" i="110"/>
  <c r="LB25" i="110"/>
  <c r="LA25" i="110"/>
  <c r="KZ25" i="110"/>
  <c r="KY25" i="110"/>
  <c r="KX25" i="110"/>
  <c r="KW25" i="110"/>
  <c r="KV25" i="110"/>
  <c r="KU25" i="110"/>
  <c r="KT25" i="110"/>
  <c r="KS25" i="110"/>
  <c r="KR25" i="110"/>
  <c r="KQ25" i="110"/>
  <c r="KP25" i="110"/>
  <c r="KO25" i="110"/>
  <c r="KN25" i="110"/>
  <c r="KM25" i="110"/>
  <c r="KL25" i="110"/>
  <c r="KK25" i="110"/>
  <c r="KJ25" i="110"/>
  <c r="KI25" i="110"/>
  <c r="KH25" i="110"/>
  <c r="KG25" i="110"/>
  <c r="KF25" i="110"/>
  <c r="KE25" i="110"/>
  <c r="KD25" i="110"/>
  <c r="KC25" i="110"/>
  <c r="KB25" i="110"/>
  <c r="KA25" i="110"/>
  <c r="JZ25" i="110"/>
  <c r="JY25" i="110"/>
  <c r="JX25" i="110"/>
  <c r="JW25" i="110"/>
  <c r="JV25" i="110"/>
  <c r="JU25" i="110"/>
  <c r="JT25" i="110"/>
  <c r="JS25" i="110"/>
  <c r="JR25" i="110"/>
  <c r="JQ25" i="110"/>
  <c r="JP25" i="110"/>
  <c r="JO25" i="110"/>
  <c r="JN25" i="110"/>
  <c r="JM25" i="110"/>
  <c r="JL25" i="110"/>
  <c r="JK25" i="110"/>
  <c r="JJ25" i="110"/>
  <c r="JI25" i="110"/>
  <c r="JH25" i="110"/>
  <c r="JG25" i="110"/>
  <c r="JF25" i="110"/>
  <c r="JE25" i="110"/>
  <c r="JD25" i="110"/>
  <c r="JC25" i="110"/>
  <c r="JB25" i="110"/>
  <c r="JA25" i="110"/>
  <c r="IZ25" i="110"/>
  <c r="IY25" i="110"/>
  <c r="IX25" i="110"/>
  <c r="IW25" i="110"/>
  <c r="IV25" i="110"/>
  <c r="IU25" i="110"/>
  <c r="IT25" i="110"/>
  <c r="IS25" i="110"/>
  <c r="IR25" i="110"/>
  <c r="IQ25" i="110"/>
  <c r="IP25" i="110"/>
  <c r="IO25" i="110"/>
  <c r="IN25" i="110"/>
  <c r="IM25" i="110"/>
  <c r="IL25" i="110"/>
  <c r="IK25" i="110"/>
  <c r="IJ25" i="110"/>
  <c r="II25" i="110"/>
  <c r="IH25" i="110"/>
  <c r="IG25" i="110"/>
  <c r="IF25" i="110"/>
  <c r="IE25" i="110"/>
  <c r="ID25" i="110"/>
  <c r="IC25" i="110"/>
  <c r="IB25" i="110"/>
  <c r="IA25" i="110"/>
  <c r="HZ25" i="110"/>
  <c r="HY25" i="110"/>
  <c r="HX25" i="110"/>
  <c r="HW25" i="110"/>
  <c r="HV25" i="110"/>
  <c r="HU25" i="110"/>
  <c r="HT25" i="110"/>
  <c r="HS25" i="110"/>
  <c r="HR25" i="110"/>
  <c r="HQ25" i="110"/>
  <c r="HP25" i="110"/>
  <c r="HO25" i="110"/>
  <c r="HN25" i="110"/>
  <c r="HM25" i="110"/>
  <c r="HL25" i="110"/>
  <c r="HK25" i="110"/>
  <c r="HJ25" i="110"/>
  <c r="HI25" i="110"/>
  <c r="HH25" i="110"/>
  <c r="HG25" i="110"/>
  <c r="HF25" i="110"/>
  <c r="HE25" i="110"/>
  <c r="HD25" i="110"/>
  <c r="HC25" i="110"/>
  <c r="HB25" i="110"/>
  <c r="HA25" i="110"/>
  <c r="GZ25" i="110"/>
  <c r="GY25" i="110"/>
  <c r="GX25" i="110"/>
  <c r="GW25" i="110"/>
  <c r="GV25" i="110"/>
  <c r="GU25" i="110"/>
  <c r="GT25" i="110"/>
  <c r="GS25" i="110"/>
  <c r="GR25" i="110"/>
  <c r="GQ25" i="110"/>
  <c r="GP25" i="110"/>
  <c r="GO25" i="110"/>
  <c r="GN25" i="110"/>
  <c r="GM25" i="110"/>
  <c r="GL25" i="110"/>
  <c r="GK25" i="110"/>
  <c r="GJ25" i="110"/>
  <c r="GI25" i="110"/>
  <c r="GH25" i="110"/>
  <c r="GG25" i="110"/>
  <c r="GF25" i="110"/>
  <c r="GE25" i="110"/>
  <c r="GD25" i="110"/>
  <c r="GC25" i="110"/>
  <c r="GB25" i="110"/>
  <c r="GA25" i="110"/>
  <c r="FZ25" i="110"/>
  <c r="FY25" i="110"/>
  <c r="FX25" i="110"/>
  <c r="FW25" i="110"/>
  <c r="FV25" i="110"/>
  <c r="FU25" i="110"/>
  <c r="FT25" i="110"/>
  <c r="FS25" i="110"/>
  <c r="FR25" i="110"/>
  <c r="FQ25" i="110"/>
  <c r="FP25" i="110"/>
  <c r="FO25" i="110"/>
  <c r="FN25" i="110"/>
  <c r="FM25" i="110"/>
  <c r="EC25" i="110"/>
  <c r="EB25" i="110"/>
  <c r="EA25" i="110"/>
  <c r="DZ25" i="110"/>
  <c r="DY25" i="110"/>
  <c r="DX25" i="110"/>
  <c r="DW25" i="110"/>
  <c r="DV25" i="110"/>
  <c r="DU25" i="110"/>
  <c r="DT25" i="110"/>
  <c r="DS25" i="110"/>
  <c r="DR25" i="110"/>
  <c r="DQ25" i="110"/>
  <c r="DP25" i="110"/>
  <c r="DO25" i="110"/>
  <c r="DN25" i="110"/>
  <c r="DM25" i="110"/>
  <c r="DL25" i="110"/>
  <c r="DK25" i="110"/>
  <c r="DJ25" i="110"/>
  <c r="DI25" i="110"/>
  <c r="DH25" i="110"/>
  <c r="DG25" i="110"/>
  <c r="DF25" i="110"/>
  <c r="DE25" i="110"/>
  <c r="DD25" i="110"/>
  <c r="DC25" i="110"/>
  <c r="DB25" i="110"/>
  <c r="DA25" i="110"/>
  <c r="CZ25" i="110"/>
  <c r="CY25" i="110"/>
  <c r="CX25" i="110"/>
  <c r="CW25" i="110"/>
  <c r="CV25" i="110"/>
  <c r="CU25" i="110"/>
  <c r="CT25" i="110"/>
  <c r="CS25" i="110"/>
  <c r="CR25" i="110"/>
  <c r="CQ25" i="110"/>
  <c r="CP25" i="110"/>
  <c r="CO25" i="110"/>
  <c r="CN25" i="110"/>
  <c r="CM25" i="110"/>
  <c r="CL25" i="110"/>
  <c r="CK25" i="110"/>
  <c r="CJ25" i="110"/>
  <c r="CI25" i="110"/>
  <c r="CH25" i="110"/>
  <c r="CG25" i="110"/>
  <c r="CF25" i="110"/>
  <c r="CE25" i="110"/>
  <c r="CD25" i="110"/>
  <c r="CC25" i="110"/>
  <c r="CB25" i="110"/>
  <c r="CA25" i="110"/>
  <c r="BZ25" i="110"/>
  <c r="BY25" i="110"/>
  <c r="BX25" i="110"/>
  <c r="BW25" i="110"/>
  <c r="BV25" i="110"/>
  <c r="BU25" i="110"/>
  <c r="BT25" i="110"/>
  <c r="BS25" i="110"/>
  <c r="BR25" i="110"/>
  <c r="BQ25" i="110"/>
  <c r="BP25" i="110"/>
  <c r="BO25" i="110"/>
  <c r="BN25" i="110"/>
  <c r="BM25" i="110"/>
  <c r="BL25" i="110"/>
  <c r="BK25" i="110"/>
  <c r="BJ25" i="110"/>
  <c r="BI25" i="110"/>
  <c r="BH25" i="110"/>
  <c r="BG25" i="110"/>
  <c r="BF25" i="110"/>
  <c r="BE25" i="110"/>
  <c r="BD25" i="110"/>
  <c r="BC25" i="110"/>
  <c r="BB25" i="110"/>
  <c r="BA25" i="110"/>
  <c r="AZ25" i="110"/>
  <c r="AY25" i="110"/>
  <c r="AX25" i="110"/>
  <c r="AW25" i="110"/>
  <c r="AV25" i="110"/>
  <c r="AU25" i="110"/>
  <c r="AT25" i="110"/>
  <c r="AS25" i="110"/>
  <c r="AR25" i="110"/>
  <c r="AQ25" i="110"/>
  <c r="AP25" i="110"/>
  <c r="AO25" i="110"/>
  <c r="AN25" i="110"/>
  <c r="AM25" i="110"/>
  <c r="AL25" i="110"/>
  <c r="AK25" i="110"/>
  <c r="AJ25" i="110"/>
  <c r="AI25" i="110"/>
  <c r="AH25" i="110"/>
  <c r="AG25" i="110"/>
  <c r="AF25" i="110"/>
  <c r="AE25" i="110"/>
  <c r="AD25" i="110"/>
  <c r="AC25" i="110"/>
  <c r="AB25" i="110"/>
  <c r="AA25" i="110"/>
  <c r="Z25" i="110"/>
  <c r="Y25" i="110"/>
  <c r="X25" i="110"/>
  <c r="A25" i="110"/>
  <c r="OC24" i="110"/>
  <c r="OB24" i="110"/>
  <c r="OA24" i="110"/>
  <c r="NZ24" i="110"/>
  <c r="NY24" i="110"/>
  <c r="NX24" i="110"/>
  <c r="NW24" i="110"/>
  <c r="NV24" i="110"/>
  <c r="NU24" i="110"/>
  <c r="NT24" i="110"/>
  <c r="NS24" i="110"/>
  <c r="NR24" i="110"/>
  <c r="NQ24" i="110"/>
  <c r="NP24" i="110"/>
  <c r="NO24" i="110"/>
  <c r="NN24" i="110"/>
  <c r="NM24" i="110"/>
  <c r="NL24" i="110"/>
  <c r="NK24" i="110"/>
  <c r="NJ24" i="110"/>
  <c r="NI24" i="110"/>
  <c r="NH24" i="110"/>
  <c r="NG24" i="110"/>
  <c r="NF24" i="110"/>
  <c r="NE24" i="110"/>
  <c r="ND24" i="110"/>
  <c r="NC24" i="110"/>
  <c r="NB24" i="110"/>
  <c r="NA24" i="110"/>
  <c r="MZ24" i="110"/>
  <c r="MY24" i="110"/>
  <c r="MX24" i="110"/>
  <c r="MW24" i="110"/>
  <c r="MV24" i="110"/>
  <c r="MU24" i="110"/>
  <c r="MT24" i="110"/>
  <c r="MS24" i="110"/>
  <c r="MR24" i="110"/>
  <c r="MQ24" i="110"/>
  <c r="MP24" i="110"/>
  <c r="MO24" i="110"/>
  <c r="MN24" i="110"/>
  <c r="MM24" i="110"/>
  <c r="ML24" i="110"/>
  <c r="MK24" i="110"/>
  <c r="MJ24" i="110"/>
  <c r="MI24" i="110"/>
  <c r="MH24" i="110"/>
  <c r="MG24" i="110"/>
  <c r="MF24" i="110"/>
  <c r="ME24" i="110"/>
  <c r="MD24" i="110"/>
  <c r="MC24" i="110"/>
  <c r="MB24" i="110"/>
  <c r="MA24" i="110"/>
  <c r="LZ24" i="110"/>
  <c r="LY24" i="110"/>
  <c r="LX24" i="110"/>
  <c r="LW24" i="110"/>
  <c r="LV24" i="110"/>
  <c r="LU24" i="110"/>
  <c r="LT24" i="110"/>
  <c r="LS24" i="110"/>
  <c r="LR24" i="110"/>
  <c r="LQ24" i="110"/>
  <c r="LP24" i="110"/>
  <c r="LO24" i="110"/>
  <c r="LN24" i="110"/>
  <c r="LM24" i="110"/>
  <c r="LL24" i="110"/>
  <c r="LK24" i="110"/>
  <c r="LJ24" i="110"/>
  <c r="LI24" i="110"/>
  <c r="LH24" i="110"/>
  <c r="LG24" i="110"/>
  <c r="LF24" i="110"/>
  <c r="LE24" i="110"/>
  <c r="LD24" i="110"/>
  <c r="LC24" i="110"/>
  <c r="LB24" i="110"/>
  <c r="LA24" i="110"/>
  <c r="KZ24" i="110"/>
  <c r="KY24" i="110"/>
  <c r="KX24" i="110"/>
  <c r="KW24" i="110"/>
  <c r="KV24" i="110"/>
  <c r="KU24" i="110"/>
  <c r="KT24" i="110"/>
  <c r="KS24" i="110"/>
  <c r="KR24" i="110"/>
  <c r="KQ24" i="110"/>
  <c r="KP24" i="110"/>
  <c r="KO24" i="110"/>
  <c r="KN24" i="110"/>
  <c r="KM24" i="110"/>
  <c r="KL24" i="110"/>
  <c r="KK24" i="110"/>
  <c r="KJ24" i="110"/>
  <c r="KI24" i="110"/>
  <c r="KH24" i="110"/>
  <c r="KG24" i="110"/>
  <c r="KF24" i="110"/>
  <c r="KE24" i="110"/>
  <c r="KD24" i="110"/>
  <c r="KC24" i="110"/>
  <c r="KB24" i="110"/>
  <c r="KA24" i="110"/>
  <c r="JZ24" i="110"/>
  <c r="JY24" i="110"/>
  <c r="JX24" i="110"/>
  <c r="JW24" i="110"/>
  <c r="JV24" i="110"/>
  <c r="JU24" i="110"/>
  <c r="JT24" i="110"/>
  <c r="JS24" i="110"/>
  <c r="JR24" i="110"/>
  <c r="JQ24" i="110"/>
  <c r="JP24" i="110"/>
  <c r="JO24" i="110"/>
  <c r="JN24" i="110"/>
  <c r="JM24" i="110"/>
  <c r="JL24" i="110"/>
  <c r="JK24" i="110"/>
  <c r="JJ24" i="110"/>
  <c r="JI24" i="110"/>
  <c r="JH24" i="110"/>
  <c r="JG24" i="110"/>
  <c r="JF24" i="110"/>
  <c r="JE24" i="110"/>
  <c r="JD24" i="110"/>
  <c r="JC24" i="110"/>
  <c r="JB24" i="110"/>
  <c r="JA24" i="110"/>
  <c r="IZ24" i="110"/>
  <c r="IY24" i="110"/>
  <c r="IX24" i="110"/>
  <c r="IW24" i="110"/>
  <c r="IV24" i="110"/>
  <c r="IU24" i="110"/>
  <c r="IT24" i="110"/>
  <c r="IS24" i="110"/>
  <c r="IR24" i="110"/>
  <c r="IQ24" i="110"/>
  <c r="IP24" i="110"/>
  <c r="IO24" i="110"/>
  <c r="IN24" i="110"/>
  <c r="IM24" i="110"/>
  <c r="IL24" i="110"/>
  <c r="IK24" i="110"/>
  <c r="IJ24" i="110"/>
  <c r="II24" i="110"/>
  <c r="IH24" i="110"/>
  <c r="IG24" i="110"/>
  <c r="IF24" i="110"/>
  <c r="IE24" i="110"/>
  <c r="ID24" i="110"/>
  <c r="IC24" i="110"/>
  <c r="IB24" i="110"/>
  <c r="IA24" i="110"/>
  <c r="HZ24" i="110"/>
  <c r="HY24" i="110"/>
  <c r="HX24" i="110"/>
  <c r="HW24" i="110"/>
  <c r="HV24" i="110"/>
  <c r="HU24" i="110"/>
  <c r="HT24" i="110"/>
  <c r="HS24" i="110"/>
  <c r="HR24" i="110"/>
  <c r="HQ24" i="110"/>
  <c r="HP24" i="110"/>
  <c r="HO24" i="110"/>
  <c r="HN24" i="110"/>
  <c r="HM24" i="110"/>
  <c r="HL24" i="110"/>
  <c r="HK24" i="110"/>
  <c r="HJ24" i="110"/>
  <c r="HI24" i="110"/>
  <c r="HH24" i="110"/>
  <c r="HG24" i="110"/>
  <c r="HF24" i="110"/>
  <c r="HE24" i="110"/>
  <c r="HD24" i="110"/>
  <c r="HC24" i="110"/>
  <c r="HB24" i="110"/>
  <c r="HA24" i="110"/>
  <c r="GZ24" i="110"/>
  <c r="GY24" i="110"/>
  <c r="GX24" i="110"/>
  <c r="GW24" i="110"/>
  <c r="GV24" i="110"/>
  <c r="GU24" i="110"/>
  <c r="GT24" i="110"/>
  <c r="GS24" i="110"/>
  <c r="GR24" i="110"/>
  <c r="GQ24" i="110"/>
  <c r="GP24" i="110"/>
  <c r="GO24" i="110"/>
  <c r="GN24" i="110"/>
  <c r="GM24" i="110"/>
  <c r="GL24" i="110"/>
  <c r="GK24" i="110"/>
  <c r="GJ24" i="110"/>
  <c r="GI24" i="110"/>
  <c r="GH24" i="110"/>
  <c r="GG24" i="110"/>
  <c r="GF24" i="110"/>
  <c r="GE24" i="110"/>
  <c r="GD24" i="110"/>
  <c r="GC24" i="110"/>
  <c r="GB24" i="110"/>
  <c r="GA24" i="110"/>
  <c r="FZ24" i="110"/>
  <c r="FY24" i="110"/>
  <c r="FX24" i="110"/>
  <c r="FW24" i="110"/>
  <c r="FV24" i="110"/>
  <c r="FU24" i="110"/>
  <c r="FT24" i="110"/>
  <c r="FS24" i="110"/>
  <c r="FR24" i="110"/>
  <c r="FQ24" i="110"/>
  <c r="FP24" i="110"/>
  <c r="FO24" i="110"/>
  <c r="FN24" i="110"/>
  <c r="FM24" i="110"/>
  <c r="EC24" i="110"/>
  <c r="EB24" i="110"/>
  <c r="EA24" i="110"/>
  <c r="DZ24" i="110"/>
  <c r="DY24" i="110"/>
  <c r="DX24" i="110"/>
  <c r="DW24" i="110"/>
  <c r="DV24" i="110"/>
  <c r="DU24" i="110"/>
  <c r="DT24" i="110"/>
  <c r="DS24" i="110"/>
  <c r="DR24" i="110"/>
  <c r="DQ24" i="110"/>
  <c r="DP24" i="110"/>
  <c r="DO24" i="110"/>
  <c r="DN24" i="110"/>
  <c r="DM24" i="110"/>
  <c r="DL24" i="110"/>
  <c r="DK24" i="110"/>
  <c r="DJ24" i="110"/>
  <c r="DI24" i="110"/>
  <c r="DH24" i="110"/>
  <c r="DG24" i="110"/>
  <c r="DF24" i="110"/>
  <c r="DE24" i="110"/>
  <c r="DD24" i="110"/>
  <c r="DC24" i="110"/>
  <c r="DB24" i="110"/>
  <c r="DA24" i="110"/>
  <c r="CZ24" i="110"/>
  <c r="CY24" i="110"/>
  <c r="CX24" i="110"/>
  <c r="CW24" i="110"/>
  <c r="CV24" i="110"/>
  <c r="CU24" i="110"/>
  <c r="CT24" i="110"/>
  <c r="CS24" i="110"/>
  <c r="CR24" i="110"/>
  <c r="CQ24" i="110"/>
  <c r="CP24" i="110"/>
  <c r="CO24" i="110"/>
  <c r="CN24" i="110"/>
  <c r="CM24" i="110"/>
  <c r="CL24" i="110"/>
  <c r="CK24" i="110"/>
  <c r="CJ24" i="110"/>
  <c r="CI24" i="110"/>
  <c r="CH24" i="110"/>
  <c r="CG24" i="110"/>
  <c r="CF24" i="110"/>
  <c r="CE24" i="110"/>
  <c r="CD24" i="110"/>
  <c r="CC24" i="110"/>
  <c r="CB24" i="110"/>
  <c r="CA24" i="110"/>
  <c r="BZ24" i="110"/>
  <c r="BY24" i="110"/>
  <c r="BX24" i="110"/>
  <c r="BW24" i="110"/>
  <c r="BV24" i="110"/>
  <c r="BU24" i="110"/>
  <c r="BT24" i="110"/>
  <c r="BS24" i="110"/>
  <c r="BR24" i="110"/>
  <c r="BQ24" i="110"/>
  <c r="BP24" i="110"/>
  <c r="BO24" i="110"/>
  <c r="BN24" i="110"/>
  <c r="BM24" i="110"/>
  <c r="BL24" i="110"/>
  <c r="BK24" i="110"/>
  <c r="BJ24" i="110"/>
  <c r="BI24" i="110"/>
  <c r="BH24" i="110"/>
  <c r="BG24" i="110"/>
  <c r="BF24" i="110"/>
  <c r="BE24" i="110"/>
  <c r="BD24" i="110"/>
  <c r="BC24" i="110"/>
  <c r="BB24" i="110"/>
  <c r="BA24" i="110"/>
  <c r="AZ24" i="110"/>
  <c r="AY24" i="110"/>
  <c r="AX24" i="110"/>
  <c r="AW24" i="110"/>
  <c r="AV24" i="110"/>
  <c r="AU24" i="110"/>
  <c r="AT24" i="110"/>
  <c r="AS24" i="110"/>
  <c r="AR24" i="110"/>
  <c r="AQ24" i="110"/>
  <c r="AP24" i="110"/>
  <c r="AO24" i="110"/>
  <c r="AN24" i="110"/>
  <c r="AM24" i="110"/>
  <c r="AL24" i="110"/>
  <c r="AK24" i="110"/>
  <c r="AJ24" i="110"/>
  <c r="AI24" i="110"/>
  <c r="AH24" i="110"/>
  <c r="AG24" i="110"/>
  <c r="AF24" i="110"/>
  <c r="AE24" i="110"/>
  <c r="AD24" i="110"/>
  <c r="AC24" i="110"/>
  <c r="AB24" i="110"/>
  <c r="AA24" i="110"/>
  <c r="Z24" i="110"/>
  <c r="Y24" i="110"/>
  <c r="X24" i="110"/>
  <c r="A24" i="110"/>
  <c r="OC23" i="110"/>
  <c r="OB23" i="110"/>
  <c r="OA23" i="110"/>
  <c r="NZ23" i="110"/>
  <c r="NY23" i="110"/>
  <c r="NX23" i="110"/>
  <c r="NW23" i="110"/>
  <c r="NV23" i="110"/>
  <c r="NU23" i="110"/>
  <c r="NT23" i="110"/>
  <c r="NS23" i="110"/>
  <c r="NR23" i="110"/>
  <c r="NQ23" i="110"/>
  <c r="NP23" i="110"/>
  <c r="NO23" i="110"/>
  <c r="NN23" i="110"/>
  <c r="NM23" i="110"/>
  <c r="NL23" i="110"/>
  <c r="NK23" i="110"/>
  <c r="NJ23" i="110"/>
  <c r="NI23" i="110"/>
  <c r="NH23" i="110"/>
  <c r="NG23" i="110"/>
  <c r="NF23" i="110"/>
  <c r="NE23" i="110"/>
  <c r="ND23" i="110"/>
  <c r="NC23" i="110"/>
  <c r="NB23" i="110"/>
  <c r="NA23" i="110"/>
  <c r="MZ23" i="110"/>
  <c r="MY23" i="110"/>
  <c r="MX23" i="110"/>
  <c r="MW23" i="110"/>
  <c r="MV23" i="110"/>
  <c r="MU23" i="110"/>
  <c r="MT23" i="110"/>
  <c r="MS23" i="110"/>
  <c r="MR23" i="110"/>
  <c r="MQ23" i="110"/>
  <c r="MP23" i="110"/>
  <c r="MO23" i="110"/>
  <c r="MN23" i="110"/>
  <c r="MM23" i="110"/>
  <c r="ML23" i="110"/>
  <c r="MK23" i="110"/>
  <c r="MJ23" i="110"/>
  <c r="MI23" i="110"/>
  <c r="MH23" i="110"/>
  <c r="MG23" i="110"/>
  <c r="MF23" i="110"/>
  <c r="ME23" i="110"/>
  <c r="MD23" i="110"/>
  <c r="MC23" i="110"/>
  <c r="MB23" i="110"/>
  <c r="MA23" i="110"/>
  <c r="LZ23" i="110"/>
  <c r="LY23" i="110"/>
  <c r="LX23" i="110"/>
  <c r="LW23" i="110"/>
  <c r="LV23" i="110"/>
  <c r="LU23" i="110"/>
  <c r="LT23" i="110"/>
  <c r="LS23" i="110"/>
  <c r="LR23" i="110"/>
  <c r="LQ23" i="110"/>
  <c r="LP23" i="110"/>
  <c r="LO23" i="110"/>
  <c r="LN23" i="110"/>
  <c r="LM23" i="110"/>
  <c r="LL23" i="110"/>
  <c r="LK23" i="110"/>
  <c r="LJ23" i="110"/>
  <c r="LI23" i="110"/>
  <c r="LH23" i="110"/>
  <c r="LG23" i="110"/>
  <c r="LF23" i="110"/>
  <c r="LE23" i="110"/>
  <c r="LD23" i="110"/>
  <c r="LC23" i="110"/>
  <c r="LB23" i="110"/>
  <c r="LA23" i="110"/>
  <c r="KZ23" i="110"/>
  <c r="KY23" i="110"/>
  <c r="KX23" i="110"/>
  <c r="KW23" i="110"/>
  <c r="KV23" i="110"/>
  <c r="KU23" i="110"/>
  <c r="KT23" i="110"/>
  <c r="KS23" i="110"/>
  <c r="KR23" i="110"/>
  <c r="KQ23" i="110"/>
  <c r="KP23" i="110"/>
  <c r="KO23" i="110"/>
  <c r="KN23" i="110"/>
  <c r="KM23" i="110"/>
  <c r="KL23" i="110"/>
  <c r="KK23" i="110"/>
  <c r="KJ23" i="110"/>
  <c r="KI23" i="110"/>
  <c r="KH23" i="110"/>
  <c r="KG23" i="110"/>
  <c r="KF23" i="110"/>
  <c r="KE23" i="110"/>
  <c r="KD23" i="110"/>
  <c r="KC23" i="110"/>
  <c r="KB23" i="110"/>
  <c r="KA23" i="110"/>
  <c r="JZ23" i="110"/>
  <c r="JY23" i="110"/>
  <c r="JX23" i="110"/>
  <c r="JW23" i="110"/>
  <c r="JV23" i="110"/>
  <c r="JU23" i="110"/>
  <c r="JT23" i="110"/>
  <c r="JS23" i="110"/>
  <c r="JR23" i="110"/>
  <c r="JQ23" i="110"/>
  <c r="JP23" i="110"/>
  <c r="JO23" i="110"/>
  <c r="JN23" i="110"/>
  <c r="JM23" i="110"/>
  <c r="JL23" i="110"/>
  <c r="JK23" i="110"/>
  <c r="JJ23" i="110"/>
  <c r="JI23" i="110"/>
  <c r="JH23" i="110"/>
  <c r="JG23" i="110"/>
  <c r="JF23" i="110"/>
  <c r="JE23" i="110"/>
  <c r="JD23" i="110"/>
  <c r="JC23" i="110"/>
  <c r="JB23" i="110"/>
  <c r="JA23" i="110"/>
  <c r="IZ23" i="110"/>
  <c r="IY23" i="110"/>
  <c r="IX23" i="110"/>
  <c r="IW23" i="110"/>
  <c r="IV23" i="110"/>
  <c r="IU23" i="110"/>
  <c r="IT23" i="110"/>
  <c r="IS23" i="110"/>
  <c r="IR23" i="110"/>
  <c r="IQ23" i="110"/>
  <c r="IP23" i="110"/>
  <c r="IO23" i="110"/>
  <c r="IN23" i="110"/>
  <c r="IM23" i="110"/>
  <c r="IL23" i="110"/>
  <c r="IK23" i="110"/>
  <c r="IJ23" i="110"/>
  <c r="II23" i="110"/>
  <c r="IH23" i="110"/>
  <c r="IG23" i="110"/>
  <c r="IF23" i="110"/>
  <c r="IE23" i="110"/>
  <c r="ID23" i="110"/>
  <c r="IC23" i="110"/>
  <c r="IB23" i="110"/>
  <c r="IA23" i="110"/>
  <c r="HZ23" i="110"/>
  <c r="HY23" i="110"/>
  <c r="HX23" i="110"/>
  <c r="HW23" i="110"/>
  <c r="HV23" i="110"/>
  <c r="HU23" i="110"/>
  <c r="HT23" i="110"/>
  <c r="HS23" i="110"/>
  <c r="HR23" i="110"/>
  <c r="HQ23" i="110"/>
  <c r="HP23" i="110"/>
  <c r="HO23" i="110"/>
  <c r="HN23" i="110"/>
  <c r="HM23" i="110"/>
  <c r="HL23" i="110"/>
  <c r="HK23" i="110"/>
  <c r="HJ23" i="110"/>
  <c r="HI23" i="110"/>
  <c r="HH23" i="110"/>
  <c r="HG23" i="110"/>
  <c r="HF23" i="110"/>
  <c r="HE23" i="110"/>
  <c r="HD23" i="110"/>
  <c r="HC23" i="110"/>
  <c r="HB23" i="110"/>
  <c r="HA23" i="110"/>
  <c r="GZ23" i="110"/>
  <c r="GY23" i="110"/>
  <c r="GX23" i="110"/>
  <c r="GW23" i="110"/>
  <c r="GV23" i="110"/>
  <c r="GU23" i="110"/>
  <c r="GT23" i="110"/>
  <c r="GS23" i="110"/>
  <c r="GR23" i="110"/>
  <c r="GQ23" i="110"/>
  <c r="GP23" i="110"/>
  <c r="GO23" i="110"/>
  <c r="GN23" i="110"/>
  <c r="GM23" i="110"/>
  <c r="GL23" i="110"/>
  <c r="GK23" i="110"/>
  <c r="GJ23" i="110"/>
  <c r="GI23" i="110"/>
  <c r="GH23" i="110"/>
  <c r="GG23" i="110"/>
  <c r="GF23" i="110"/>
  <c r="GE23" i="110"/>
  <c r="GD23" i="110"/>
  <c r="GC23" i="110"/>
  <c r="GB23" i="110"/>
  <c r="GA23" i="110"/>
  <c r="FZ23" i="110"/>
  <c r="FY23" i="110"/>
  <c r="FX23" i="110"/>
  <c r="FW23" i="110"/>
  <c r="FV23" i="110"/>
  <c r="FU23" i="110"/>
  <c r="FT23" i="110"/>
  <c r="FS23" i="110"/>
  <c r="FR23" i="110"/>
  <c r="FQ23" i="110"/>
  <c r="FP23" i="110"/>
  <c r="FO23" i="110"/>
  <c r="FN23" i="110"/>
  <c r="FM23" i="110"/>
  <c r="EC23" i="110"/>
  <c r="EB23" i="110"/>
  <c r="EA23" i="110"/>
  <c r="DZ23" i="110"/>
  <c r="DY23" i="110"/>
  <c r="DX23" i="110"/>
  <c r="DW23" i="110"/>
  <c r="DV23" i="110"/>
  <c r="DU23" i="110"/>
  <c r="DT23" i="110"/>
  <c r="DS23" i="110"/>
  <c r="DR23" i="110"/>
  <c r="DQ23" i="110"/>
  <c r="DP23" i="110"/>
  <c r="DO23" i="110"/>
  <c r="DN23" i="110"/>
  <c r="DM23" i="110"/>
  <c r="DL23" i="110"/>
  <c r="DK23" i="110"/>
  <c r="DJ23" i="110"/>
  <c r="DI23" i="110"/>
  <c r="DH23" i="110"/>
  <c r="DG23" i="110"/>
  <c r="DF23" i="110"/>
  <c r="DE23" i="110"/>
  <c r="DD23" i="110"/>
  <c r="DC23" i="110"/>
  <c r="DB23" i="110"/>
  <c r="DA23" i="110"/>
  <c r="CZ23" i="110"/>
  <c r="CY23" i="110"/>
  <c r="CX23" i="110"/>
  <c r="CW23" i="110"/>
  <c r="CV23" i="110"/>
  <c r="CU23" i="110"/>
  <c r="CT23" i="110"/>
  <c r="CS23" i="110"/>
  <c r="CR23" i="110"/>
  <c r="CQ23" i="110"/>
  <c r="CP23" i="110"/>
  <c r="CO23" i="110"/>
  <c r="CN23" i="110"/>
  <c r="CM23" i="110"/>
  <c r="CL23" i="110"/>
  <c r="CK23" i="110"/>
  <c r="CJ23" i="110"/>
  <c r="CI23" i="110"/>
  <c r="CH23" i="110"/>
  <c r="CG23" i="110"/>
  <c r="CF23" i="110"/>
  <c r="CE23" i="110"/>
  <c r="CD23" i="110"/>
  <c r="CC23" i="110"/>
  <c r="CB23" i="110"/>
  <c r="CA23" i="110"/>
  <c r="BZ23" i="110"/>
  <c r="BY23" i="110"/>
  <c r="BX23" i="110"/>
  <c r="BW23" i="110"/>
  <c r="BV23" i="110"/>
  <c r="BU23" i="110"/>
  <c r="BT23" i="110"/>
  <c r="BS23" i="110"/>
  <c r="BR23" i="110"/>
  <c r="BQ23" i="110"/>
  <c r="BP23" i="110"/>
  <c r="BO23" i="110"/>
  <c r="BN23" i="110"/>
  <c r="BM23" i="110"/>
  <c r="BL23" i="110"/>
  <c r="BK23" i="110"/>
  <c r="BJ23" i="110"/>
  <c r="BI23" i="110"/>
  <c r="BH23" i="110"/>
  <c r="BG23" i="110"/>
  <c r="BF23" i="110"/>
  <c r="BE23" i="110"/>
  <c r="BD23" i="110"/>
  <c r="BC23" i="110"/>
  <c r="BB23" i="110"/>
  <c r="BA23" i="110"/>
  <c r="AZ23" i="110"/>
  <c r="AY23" i="110"/>
  <c r="AX23" i="110"/>
  <c r="AW23" i="110"/>
  <c r="AV23" i="110"/>
  <c r="AU23" i="110"/>
  <c r="AT23" i="110"/>
  <c r="AS23" i="110"/>
  <c r="AR23" i="110"/>
  <c r="AQ23" i="110"/>
  <c r="AP23" i="110"/>
  <c r="AO23" i="110"/>
  <c r="AN23" i="110"/>
  <c r="AM23" i="110"/>
  <c r="AL23" i="110"/>
  <c r="AK23" i="110"/>
  <c r="AJ23" i="110"/>
  <c r="AI23" i="110"/>
  <c r="AH23" i="110"/>
  <c r="AG23" i="110"/>
  <c r="AF23" i="110"/>
  <c r="AE23" i="110"/>
  <c r="AD23" i="110"/>
  <c r="AC23" i="110"/>
  <c r="AB23" i="110"/>
  <c r="AA23" i="110"/>
  <c r="Z23" i="110"/>
  <c r="Y23" i="110"/>
  <c r="X23" i="110"/>
  <c r="A23" i="110"/>
  <c r="OC22" i="110"/>
  <c r="OB22" i="110"/>
  <c r="OA22" i="110"/>
  <c r="NZ22" i="110"/>
  <c r="NY22" i="110"/>
  <c r="NX22" i="110"/>
  <c r="NW22" i="110"/>
  <c r="NV22" i="110"/>
  <c r="NU22" i="110"/>
  <c r="NT22" i="110"/>
  <c r="NS22" i="110"/>
  <c r="NR22" i="110"/>
  <c r="NQ22" i="110"/>
  <c r="NP22" i="110"/>
  <c r="NO22" i="110"/>
  <c r="NN22" i="110"/>
  <c r="NM22" i="110"/>
  <c r="NL22" i="110"/>
  <c r="NK22" i="110"/>
  <c r="NJ22" i="110"/>
  <c r="NI22" i="110"/>
  <c r="NH22" i="110"/>
  <c r="NG22" i="110"/>
  <c r="NF22" i="110"/>
  <c r="NE22" i="110"/>
  <c r="ND22" i="110"/>
  <c r="NC22" i="110"/>
  <c r="NB22" i="110"/>
  <c r="NA22" i="110"/>
  <c r="MZ22" i="110"/>
  <c r="MY22" i="110"/>
  <c r="MX22" i="110"/>
  <c r="MW22" i="110"/>
  <c r="MV22" i="110"/>
  <c r="MU22" i="110"/>
  <c r="MT22" i="110"/>
  <c r="MS22" i="110"/>
  <c r="MR22" i="110"/>
  <c r="MQ22" i="110"/>
  <c r="MP22" i="110"/>
  <c r="MO22" i="110"/>
  <c r="MN22" i="110"/>
  <c r="MM22" i="110"/>
  <c r="ML22" i="110"/>
  <c r="MK22" i="110"/>
  <c r="MJ22" i="110"/>
  <c r="MI22" i="110"/>
  <c r="MH22" i="110"/>
  <c r="MG22" i="110"/>
  <c r="MF22" i="110"/>
  <c r="ME22" i="110"/>
  <c r="MD22" i="110"/>
  <c r="MC22" i="110"/>
  <c r="MB22" i="110"/>
  <c r="MA22" i="110"/>
  <c r="LZ22" i="110"/>
  <c r="LY22" i="110"/>
  <c r="LX22" i="110"/>
  <c r="LW22" i="110"/>
  <c r="LV22" i="110"/>
  <c r="LU22" i="110"/>
  <c r="LT22" i="110"/>
  <c r="LS22" i="110"/>
  <c r="LR22" i="110"/>
  <c r="LQ22" i="110"/>
  <c r="LP22" i="110"/>
  <c r="LO22" i="110"/>
  <c r="LN22" i="110"/>
  <c r="LM22" i="110"/>
  <c r="LL22" i="110"/>
  <c r="LK22" i="110"/>
  <c r="LJ22" i="110"/>
  <c r="LI22" i="110"/>
  <c r="LH22" i="110"/>
  <c r="LG22" i="110"/>
  <c r="LF22" i="110"/>
  <c r="LE22" i="110"/>
  <c r="LD22" i="110"/>
  <c r="LC22" i="110"/>
  <c r="LB22" i="110"/>
  <c r="LA22" i="110"/>
  <c r="KZ22" i="110"/>
  <c r="KY22" i="110"/>
  <c r="KX22" i="110"/>
  <c r="KW22" i="110"/>
  <c r="KV22" i="110"/>
  <c r="KU22" i="110"/>
  <c r="KT22" i="110"/>
  <c r="KS22" i="110"/>
  <c r="KR22" i="110"/>
  <c r="KQ22" i="110"/>
  <c r="KP22" i="110"/>
  <c r="KO22" i="110"/>
  <c r="KN22" i="110"/>
  <c r="KM22" i="110"/>
  <c r="KL22" i="110"/>
  <c r="KK22" i="110"/>
  <c r="KJ22" i="110"/>
  <c r="KI22" i="110"/>
  <c r="KH22" i="110"/>
  <c r="KG22" i="110"/>
  <c r="KF22" i="110"/>
  <c r="KE22" i="110"/>
  <c r="KD22" i="110"/>
  <c r="KC22" i="110"/>
  <c r="KB22" i="110"/>
  <c r="KA22" i="110"/>
  <c r="JZ22" i="110"/>
  <c r="JY22" i="110"/>
  <c r="JX22" i="110"/>
  <c r="JW22" i="110"/>
  <c r="JV22" i="110"/>
  <c r="JU22" i="110"/>
  <c r="JT22" i="110"/>
  <c r="JS22" i="110"/>
  <c r="JR22" i="110"/>
  <c r="JQ22" i="110"/>
  <c r="JP22" i="110"/>
  <c r="JO22" i="110"/>
  <c r="JN22" i="110"/>
  <c r="JM22" i="110"/>
  <c r="JL22" i="110"/>
  <c r="JK22" i="110"/>
  <c r="JJ22" i="110"/>
  <c r="JI22" i="110"/>
  <c r="JH22" i="110"/>
  <c r="JG22" i="110"/>
  <c r="JF22" i="110"/>
  <c r="JE22" i="110"/>
  <c r="JD22" i="110"/>
  <c r="JC22" i="110"/>
  <c r="JB22" i="110"/>
  <c r="JA22" i="110"/>
  <c r="IZ22" i="110"/>
  <c r="IY22" i="110"/>
  <c r="IX22" i="110"/>
  <c r="IW22" i="110"/>
  <c r="IV22" i="110"/>
  <c r="IU22" i="110"/>
  <c r="IT22" i="110"/>
  <c r="IS22" i="110"/>
  <c r="IR22" i="110"/>
  <c r="IQ22" i="110"/>
  <c r="IP22" i="110"/>
  <c r="IO22" i="110"/>
  <c r="IN22" i="110"/>
  <c r="IM22" i="110"/>
  <c r="IL22" i="110"/>
  <c r="IK22" i="110"/>
  <c r="IJ22" i="110"/>
  <c r="II22" i="110"/>
  <c r="IH22" i="110"/>
  <c r="IG22" i="110"/>
  <c r="IF22" i="110"/>
  <c r="IE22" i="110"/>
  <c r="ID22" i="110"/>
  <c r="IC22" i="110"/>
  <c r="IB22" i="110"/>
  <c r="IA22" i="110"/>
  <c r="HZ22" i="110"/>
  <c r="HY22" i="110"/>
  <c r="HX22" i="110"/>
  <c r="HW22" i="110"/>
  <c r="HV22" i="110"/>
  <c r="HU22" i="110"/>
  <c r="HT22" i="110"/>
  <c r="HS22" i="110"/>
  <c r="HR22" i="110"/>
  <c r="HQ22" i="110"/>
  <c r="HP22" i="110"/>
  <c r="HO22" i="110"/>
  <c r="HN22" i="110"/>
  <c r="HM22" i="110"/>
  <c r="HL22" i="110"/>
  <c r="HK22" i="110"/>
  <c r="HJ22" i="110"/>
  <c r="HI22" i="110"/>
  <c r="HH22" i="110"/>
  <c r="HG22" i="110"/>
  <c r="HF22" i="110"/>
  <c r="HE22" i="110"/>
  <c r="HD22" i="110"/>
  <c r="HC22" i="110"/>
  <c r="HB22" i="110"/>
  <c r="HA22" i="110"/>
  <c r="GZ22" i="110"/>
  <c r="GY22" i="110"/>
  <c r="GX22" i="110"/>
  <c r="GW22" i="110"/>
  <c r="GV22" i="110"/>
  <c r="GU22" i="110"/>
  <c r="GT22" i="110"/>
  <c r="GS22" i="110"/>
  <c r="GR22" i="110"/>
  <c r="GQ22" i="110"/>
  <c r="GP22" i="110"/>
  <c r="GO22" i="110"/>
  <c r="GN22" i="110"/>
  <c r="GM22" i="110"/>
  <c r="GL22" i="110"/>
  <c r="GK22" i="110"/>
  <c r="GJ22" i="110"/>
  <c r="GI22" i="110"/>
  <c r="GH22" i="110"/>
  <c r="GG22" i="110"/>
  <c r="GF22" i="110"/>
  <c r="GE22" i="110"/>
  <c r="GD22" i="110"/>
  <c r="GC22" i="110"/>
  <c r="GB22" i="110"/>
  <c r="GA22" i="110"/>
  <c r="FZ22" i="110"/>
  <c r="FY22" i="110"/>
  <c r="FX22" i="110"/>
  <c r="FW22" i="110"/>
  <c r="FV22" i="110"/>
  <c r="FU22" i="110"/>
  <c r="FT22" i="110"/>
  <c r="FS22" i="110"/>
  <c r="FR22" i="110"/>
  <c r="FQ22" i="110"/>
  <c r="FP22" i="110"/>
  <c r="FO22" i="110"/>
  <c r="FN22" i="110"/>
  <c r="FM22" i="110"/>
  <c r="EC22" i="110"/>
  <c r="EB22" i="110"/>
  <c r="EA22" i="110"/>
  <c r="DZ22" i="110"/>
  <c r="DY22" i="110"/>
  <c r="DX22" i="110"/>
  <c r="DW22" i="110"/>
  <c r="DV22" i="110"/>
  <c r="DU22" i="110"/>
  <c r="DT22" i="110"/>
  <c r="DS22" i="110"/>
  <c r="DR22" i="110"/>
  <c r="DQ22" i="110"/>
  <c r="DP22" i="110"/>
  <c r="DO22" i="110"/>
  <c r="DN22" i="110"/>
  <c r="DM22" i="110"/>
  <c r="DL22" i="110"/>
  <c r="DK22" i="110"/>
  <c r="DJ22" i="110"/>
  <c r="DI22" i="110"/>
  <c r="DH22" i="110"/>
  <c r="DG22" i="110"/>
  <c r="DF22" i="110"/>
  <c r="DE22" i="110"/>
  <c r="DD22" i="110"/>
  <c r="DC22" i="110"/>
  <c r="DB22" i="110"/>
  <c r="DA22" i="110"/>
  <c r="CZ22" i="110"/>
  <c r="CY22" i="110"/>
  <c r="CX22" i="110"/>
  <c r="CW22" i="110"/>
  <c r="CV22" i="110"/>
  <c r="CU22" i="110"/>
  <c r="CT22" i="110"/>
  <c r="CS22" i="110"/>
  <c r="CR22" i="110"/>
  <c r="CQ22" i="110"/>
  <c r="CP22" i="110"/>
  <c r="CO22" i="110"/>
  <c r="CN22" i="110"/>
  <c r="CM22" i="110"/>
  <c r="CL22" i="110"/>
  <c r="CK22" i="110"/>
  <c r="CJ22" i="110"/>
  <c r="CI22" i="110"/>
  <c r="CH22" i="110"/>
  <c r="CG22" i="110"/>
  <c r="CF22" i="110"/>
  <c r="CE22" i="110"/>
  <c r="CD22" i="110"/>
  <c r="CC22" i="110"/>
  <c r="CB22" i="110"/>
  <c r="CA22" i="110"/>
  <c r="BZ22" i="110"/>
  <c r="BY22" i="110"/>
  <c r="BX22" i="110"/>
  <c r="BW22" i="110"/>
  <c r="BV22" i="110"/>
  <c r="BU22" i="110"/>
  <c r="BT22" i="110"/>
  <c r="BS22" i="110"/>
  <c r="BR22" i="110"/>
  <c r="BQ22" i="110"/>
  <c r="BP22" i="110"/>
  <c r="BO22" i="110"/>
  <c r="BN22" i="110"/>
  <c r="BM22" i="110"/>
  <c r="BL22" i="110"/>
  <c r="BK22" i="110"/>
  <c r="BJ22" i="110"/>
  <c r="BI22" i="110"/>
  <c r="BH22" i="110"/>
  <c r="BG22" i="110"/>
  <c r="BF22" i="110"/>
  <c r="BE22" i="110"/>
  <c r="BD22" i="110"/>
  <c r="BC22" i="110"/>
  <c r="BB22" i="110"/>
  <c r="BA22" i="110"/>
  <c r="AZ22" i="110"/>
  <c r="AY22" i="110"/>
  <c r="AX22" i="110"/>
  <c r="AW22" i="110"/>
  <c r="AV22" i="110"/>
  <c r="AU22" i="110"/>
  <c r="AT22" i="110"/>
  <c r="AS22" i="110"/>
  <c r="AR22" i="110"/>
  <c r="AQ22" i="110"/>
  <c r="AP22" i="110"/>
  <c r="AO22" i="110"/>
  <c r="AN22" i="110"/>
  <c r="AM22" i="110"/>
  <c r="AL22" i="110"/>
  <c r="AK22" i="110"/>
  <c r="AJ22" i="110"/>
  <c r="AI22" i="110"/>
  <c r="AH22" i="110"/>
  <c r="AG22" i="110"/>
  <c r="AF22" i="110"/>
  <c r="AE22" i="110"/>
  <c r="AD22" i="110"/>
  <c r="AC22" i="110"/>
  <c r="AB22" i="110"/>
  <c r="AA22" i="110"/>
  <c r="Z22" i="110"/>
  <c r="Y22" i="110"/>
  <c r="X22" i="110"/>
  <c r="A22" i="110"/>
  <c r="OC21" i="110"/>
  <c r="OB21" i="110"/>
  <c r="OA21" i="110"/>
  <c r="NZ21" i="110"/>
  <c r="NY21" i="110"/>
  <c r="NX21" i="110"/>
  <c r="NW21" i="110"/>
  <c r="NV21" i="110"/>
  <c r="NU21" i="110"/>
  <c r="NT21" i="110"/>
  <c r="NS21" i="110"/>
  <c r="NR21" i="110"/>
  <c r="NQ21" i="110"/>
  <c r="NP21" i="110"/>
  <c r="NO21" i="110"/>
  <c r="NN21" i="110"/>
  <c r="NM21" i="110"/>
  <c r="NL21" i="110"/>
  <c r="NK21" i="110"/>
  <c r="NJ21" i="110"/>
  <c r="NI21" i="110"/>
  <c r="NH21" i="110"/>
  <c r="NG21" i="110"/>
  <c r="NF21" i="110"/>
  <c r="NE21" i="110"/>
  <c r="ND21" i="110"/>
  <c r="NC21" i="110"/>
  <c r="NB21" i="110"/>
  <c r="NA21" i="110"/>
  <c r="MZ21" i="110"/>
  <c r="MY21" i="110"/>
  <c r="MX21" i="110"/>
  <c r="MW21" i="110"/>
  <c r="MV21" i="110"/>
  <c r="MU21" i="110"/>
  <c r="MT21" i="110"/>
  <c r="MS21" i="110"/>
  <c r="MR21" i="110"/>
  <c r="MQ21" i="110"/>
  <c r="MP21" i="110"/>
  <c r="MO21" i="110"/>
  <c r="MN21" i="110"/>
  <c r="MM21" i="110"/>
  <c r="ML21" i="110"/>
  <c r="MK21" i="110"/>
  <c r="MJ21" i="110"/>
  <c r="MI21" i="110"/>
  <c r="MH21" i="110"/>
  <c r="MG21" i="110"/>
  <c r="MF21" i="110"/>
  <c r="ME21" i="110"/>
  <c r="MD21" i="110"/>
  <c r="MC21" i="110"/>
  <c r="MB21" i="110"/>
  <c r="MA21" i="110"/>
  <c r="LZ21" i="110"/>
  <c r="LY21" i="110"/>
  <c r="LX21" i="110"/>
  <c r="LW21" i="110"/>
  <c r="LV21" i="110"/>
  <c r="LU21" i="110"/>
  <c r="LT21" i="110"/>
  <c r="LS21" i="110"/>
  <c r="LR21" i="110"/>
  <c r="LQ21" i="110"/>
  <c r="LP21" i="110"/>
  <c r="LO21" i="110"/>
  <c r="LN21" i="110"/>
  <c r="LM21" i="110"/>
  <c r="LL21" i="110"/>
  <c r="LK21" i="110"/>
  <c r="LJ21" i="110"/>
  <c r="LI21" i="110"/>
  <c r="LH21" i="110"/>
  <c r="LG21" i="110"/>
  <c r="LF21" i="110"/>
  <c r="LE21" i="110"/>
  <c r="LD21" i="110"/>
  <c r="LC21" i="110"/>
  <c r="LB21" i="110"/>
  <c r="LA21" i="110"/>
  <c r="KZ21" i="110"/>
  <c r="KY21" i="110"/>
  <c r="KX21" i="110"/>
  <c r="KW21" i="110"/>
  <c r="KV21" i="110"/>
  <c r="KU21" i="110"/>
  <c r="KT21" i="110"/>
  <c r="KS21" i="110"/>
  <c r="KR21" i="110"/>
  <c r="KQ21" i="110"/>
  <c r="KP21" i="110"/>
  <c r="KO21" i="110"/>
  <c r="KN21" i="110"/>
  <c r="KM21" i="110"/>
  <c r="KL21" i="110"/>
  <c r="KK21" i="110"/>
  <c r="KJ21" i="110"/>
  <c r="KI21" i="110"/>
  <c r="KH21" i="110"/>
  <c r="KG21" i="110"/>
  <c r="KF21" i="110"/>
  <c r="KE21" i="110"/>
  <c r="KD21" i="110"/>
  <c r="KC21" i="110"/>
  <c r="KB21" i="110"/>
  <c r="KA21" i="110"/>
  <c r="JZ21" i="110"/>
  <c r="JY21" i="110"/>
  <c r="JX21" i="110"/>
  <c r="JW21" i="110"/>
  <c r="JV21" i="110"/>
  <c r="JU21" i="110"/>
  <c r="JT21" i="110"/>
  <c r="JS21" i="110"/>
  <c r="JR21" i="110"/>
  <c r="JQ21" i="110"/>
  <c r="JP21" i="110"/>
  <c r="JO21" i="110"/>
  <c r="JN21" i="110"/>
  <c r="JM21" i="110"/>
  <c r="JL21" i="110"/>
  <c r="JK21" i="110"/>
  <c r="JJ21" i="110"/>
  <c r="JI21" i="110"/>
  <c r="JH21" i="110"/>
  <c r="JG21" i="110"/>
  <c r="JF21" i="110"/>
  <c r="JE21" i="110"/>
  <c r="JD21" i="110"/>
  <c r="JC21" i="110"/>
  <c r="JB21" i="110"/>
  <c r="JA21" i="110"/>
  <c r="IZ21" i="110"/>
  <c r="IY21" i="110"/>
  <c r="IX21" i="110"/>
  <c r="IW21" i="110"/>
  <c r="IV21" i="110"/>
  <c r="IU21" i="110"/>
  <c r="IT21" i="110"/>
  <c r="IS21" i="110"/>
  <c r="IR21" i="110"/>
  <c r="IQ21" i="110"/>
  <c r="IP21" i="110"/>
  <c r="IO21" i="110"/>
  <c r="IN21" i="110"/>
  <c r="IM21" i="110"/>
  <c r="IL21" i="110"/>
  <c r="IK21" i="110"/>
  <c r="IJ21" i="110"/>
  <c r="II21" i="110"/>
  <c r="IH21" i="110"/>
  <c r="IG21" i="110"/>
  <c r="IF21" i="110"/>
  <c r="IE21" i="110"/>
  <c r="ID21" i="110"/>
  <c r="IC21" i="110"/>
  <c r="IB21" i="110"/>
  <c r="IA21" i="110"/>
  <c r="HZ21" i="110"/>
  <c r="HY21" i="110"/>
  <c r="HX21" i="110"/>
  <c r="HW21" i="110"/>
  <c r="HV21" i="110"/>
  <c r="HU21" i="110"/>
  <c r="HT21" i="110"/>
  <c r="HS21" i="110"/>
  <c r="HR21" i="110"/>
  <c r="HQ21" i="110"/>
  <c r="HP21" i="110"/>
  <c r="HO21" i="110"/>
  <c r="HN21" i="110"/>
  <c r="HM21" i="110"/>
  <c r="HL21" i="110"/>
  <c r="HK21" i="110"/>
  <c r="HJ21" i="110"/>
  <c r="HI21" i="110"/>
  <c r="HH21" i="110"/>
  <c r="HG21" i="110"/>
  <c r="HF21" i="110"/>
  <c r="HE21" i="110"/>
  <c r="HD21" i="110"/>
  <c r="HC21" i="110"/>
  <c r="HB21" i="110"/>
  <c r="HA21" i="110"/>
  <c r="GZ21" i="110"/>
  <c r="GY21" i="110"/>
  <c r="GX21" i="110"/>
  <c r="GW21" i="110"/>
  <c r="GV21" i="110"/>
  <c r="GU21" i="110"/>
  <c r="GT21" i="110"/>
  <c r="GS21" i="110"/>
  <c r="GR21" i="110"/>
  <c r="GQ21" i="110"/>
  <c r="GP21" i="110"/>
  <c r="GO21" i="110"/>
  <c r="GN21" i="110"/>
  <c r="GM21" i="110"/>
  <c r="GL21" i="110"/>
  <c r="GK21" i="110"/>
  <c r="GJ21" i="110"/>
  <c r="GI21" i="110"/>
  <c r="GH21" i="110"/>
  <c r="GG21" i="110"/>
  <c r="GF21" i="110"/>
  <c r="GE21" i="110"/>
  <c r="GD21" i="110"/>
  <c r="GC21" i="110"/>
  <c r="GB21" i="110"/>
  <c r="GA21" i="110"/>
  <c r="FZ21" i="110"/>
  <c r="FY21" i="110"/>
  <c r="FX21" i="110"/>
  <c r="FW21" i="110"/>
  <c r="FV21" i="110"/>
  <c r="FU21" i="110"/>
  <c r="FT21" i="110"/>
  <c r="FS21" i="110"/>
  <c r="FR21" i="110"/>
  <c r="FQ21" i="110"/>
  <c r="FP21" i="110"/>
  <c r="FO21" i="110"/>
  <c r="FN21" i="110"/>
  <c r="FM21" i="110"/>
  <c r="EC21" i="110"/>
  <c r="EB21" i="110"/>
  <c r="EA21" i="110"/>
  <c r="DZ21" i="110"/>
  <c r="DY21" i="110"/>
  <c r="DX21" i="110"/>
  <c r="DW21" i="110"/>
  <c r="DV21" i="110"/>
  <c r="DU21" i="110"/>
  <c r="DT21" i="110"/>
  <c r="DS21" i="110"/>
  <c r="DR21" i="110"/>
  <c r="DQ21" i="110"/>
  <c r="DP21" i="110"/>
  <c r="DO21" i="110"/>
  <c r="DN21" i="110"/>
  <c r="DM21" i="110"/>
  <c r="DL21" i="110"/>
  <c r="DK21" i="110"/>
  <c r="DJ21" i="110"/>
  <c r="DI21" i="110"/>
  <c r="DH21" i="110"/>
  <c r="DG21" i="110"/>
  <c r="DF21" i="110"/>
  <c r="DE21" i="110"/>
  <c r="DD21" i="110"/>
  <c r="DC21" i="110"/>
  <c r="DB21" i="110"/>
  <c r="DA21" i="110"/>
  <c r="CZ21" i="110"/>
  <c r="CY21" i="110"/>
  <c r="CX21" i="110"/>
  <c r="CW21" i="110"/>
  <c r="CV21" i="110"/>
  <c r="CU21" i="110"/>
  <c r="CT21" i="110"/>
  <c r="CS21" i="110"/>
  <c r="CR21" i="110"/>
  <c r="CQ21" i="110"/>
  <c r="CP21" i="110"/>
  <c r="CO21" i="110"/>
  <c r="CN21" i="110"/>
  <c r="CM21" i="110"/>
  <c r="CL21" i="110"/>
  <c r="CK21" i="110"/>
  <c r="CJ21" i="110"/>
  <c r="CI21" i="110"/>
  <c r="CH21" i="110"/>
  <c r="CG21" i="110"/>
  <c r="CF21" i="110"/>
  <c r="CE21" i="110"/>
  <c r="CD21" i="110"/>
  <c r="CC21" i="110"/>
  <c r="CB21" i="110"/>
  <c r="CA21" i="110"/>
  <c r="BZ21" i="110"/>
  <c r="BY21" i="110"/>
  <c r="BX21" i="110"/>
  <c r="BW21" i="110"/>
  <c r="BV21" i="110"/>
  <c r="BU21" i="110"/>
  <c r="BT21" i="110"/>
  <c r="BS21" i="110"/>
  <c r="BR21" i="110"/>
  <c r="BQ21" i="110"/>
  <c r="BP21" i="110"/>
  <c r="BO21" i="110"/>
  <c r="BN21" i="110"/>
  <c r="BM21" i="110"/>
  <c r="BL21" i="110"/>
  <c r="BK21" i="110"/>
  <c r="BJ21" i="110"/>
  <c r="BI21" i="110"/>
  <c r="BH21" i="110"/>
  <c r="BG21" i="110"/>
  <c r="BF21" i="110"/>
  <c r="BE21" i="110"/>
  <c r="BD21" i="110"/>
  <c r="BC21" i="110"/>
  <c r="BB21" i="110"/>
  <c r="BA21" i="110"/>
  <c r="AZ21" i="110"/>
  <c r="AY21" i="110"/>
  <c r="AX21" i="110"/>
  <c r="AW21" i="110"/>
  <c r="AV21" i="110"/>
  <c r="AU21" i="110"/>
  <c r="AT21" i="110"/>
  <c r="AS21" i="110"/>
  <c r="AR21" i="110"/>
  <c r="AQ21" i="110"/>
  <c r="AP21" i="110"/>
  <c r="AO21" i="110"/>
  <c r="AN21" i="110"/>
  <c r="AM21" i="110"/>
  <c r="AL21" i="110"/>
  <c r="AK21" i="110"/>
  <c r="AJ21" i="110"/>
  <c r="AI21" i="110"/>
  <c r="AH21" i="110"/>
  <c r="AG21" i="110"/>
  <c r="AF21" i="110"/>
  <c r="AE21" i="110"/>
  <c r="AD21" i="110"/>
  <c r="AC21" i="110"/>
  <c r="AB21" i="110"/>
  <c r="AA21" i="110"/>
  <c r="Z21" i="110"/>
  <c r="Y21" i="110"/>
  <c r="X21" i="110"/>
  <c r="A21" i="110"/>
  <c r="OC20" i="110"/>
  <c r="OB20" i="110"/>
  <c r="OA20" i="110"/>
  <c r="NZ20" i="110"/>
  <c r="NY20" i="110"/>
  <c r="NX20" i="110"/>
  <c r="NW20" i="110"/>
  <c r="NV20" i="110"/>
  <c r="NU20" i="110"/>
  <c r="NT20" i="110"/>
  <c r="NS20" i="110"/>
  <c r="NR20" i="110"/>
  <c r="NQ20" i="110"/>
  <c r="NP20" i="110"/>
  <c r="NO20" i="110"/>
  <c r="NN20" i="110"/>
  <c r="NM20" i="110"/>
  <c r="NL20" i="110"/>
  <c r="NK20" i="110"/>
  <c r="NJ20" i="110"/>
  <c r="NI20" i="110"/>
  <c r="NH20" i="110"/>
  <c r="NG20" i="110"/>
  <c r="NF20" i="110"/>
  <c r="NE20" i="110"/>
  <c r="ND20" i="110"/>
  <c r="NC20" i="110"/>
  <c r="NB20" i="110"/>
  <c r="NA20" i="110"/>
  <c r="MZ20" i="110"/>
  <c r="MY20" i="110"/>
  <c r="MX20" i="110"/>
  <c r="MW20" i="110"/>
  <c r="MV20" i="110"/>
  <c r="MU20" i="110"/>
  <c r="MT20" i="110"/>
  <c r="MS20" i="110"/>
  <c r="MR20" i="110"/>
  <c r="MQ20" i="110"/>
  <c r="MP20" i="110"/>
  <c r="MO20" i="110"/>
  <c r="MN20" i="110"/>
  <c r="MM20" i="110"/>
  <c r="ML20" i="110"/>
  <c r="MK20" i="110"/>
  <c r="MJ20" i="110"/>
  <c r="MI20" i="110"/>
  <c r="MH20" i="110"/>
  <c r="MG20" i="110"/>
  <c r="MF20" i="110"/>
  <c r="ME20" i="110"/>
  <c r="MD20" i="110"/>
  <c r="MC20" i="110"/>
  <c r="MB20" i="110"/>
  <c r="MA20" i="110"/>
  <c r="LZ20" i="110"/>
  <c r="LY20" i="110"/>
  <c r="LX20" i="110"/>
  <c r="LW20" i="110"/>
  <c r="LV20" i="110"/>
  <c r="LU20" i="110"/>
  <c r="LT20" i="110"/>
  <c r="LS20" i="110"/>
  <c r="LR20" i="110"/>
  <c r="LQ20" i="110"/>
  <c r="LP20" i="110"/>
  <c r="LO20" i="110"/>
  <c r="LN20" i="110"/>
  <c r="LM20" i="110"/>
  <c r="LL20" i="110"/>
  <c r="LK20" i="110"/>
  <c r="LJ20" i="110"/>
  <c r="LI20" i="110"/>
  <c r="LH20" i="110"/>
  <c r="LG20" i="110"/>
  <c r="LF20" i="110"/>
  <c r="LE20" i="110"/>
  <c r="LD20" i="110"/>
  <c r="LC20" i="110"/>
  <c r="LB20" i="110"/>
  <c r="LA20" i="110"/>
  <c r="KZ20" i="110"/>
  <c r="KY20" i="110"/>
  <c r="KX20" i="110"/>
  <c r="KW20" i="110"/>
  <c r="KV20" i="110"/>
  <c r="KU20" i="110"/>
  <c r="KT20" i="110"/>
  <c r="KS20" i="110"/>
  <c r="KR20" i="110"/>
  <c r="KQ20" i="110"/>
  <c r="KP20" i="110"/>
  <c r="KO20" i="110"/>
  <c r="KN20" i="110"/>
  <c r="KM20" i="110"/>
  <c r="KL20" i="110"/>
  <c r="KK20" i="110"/>
  <c r="KJ20" i="110"/>
  <c r="KI20" i="110"/>
  <c r="KH20" i="110"/>
  <c r="KG20" i="110"/>
  <c r="KF20" i="110"/>
  <c r="KE20" i="110"/>
  <c r="KD20" i="110"/>
  <c r="KC20" i="110"/>
  <c r="KB20" i="110"/>
  <c r="KA20" i="110"/>
  <c r="JZ20" i="110"/>
  <c r="JY20" i="110"/>
  <c r="JX20" i="110"/>
  <c r="JW20" i="110"/>
  <c r="JV20" i="110"/>
  <c r="JU20" i="110"/>
  <c r="JT20" i="110"/>
  <c r="JS20" i="110"/>
  <c r="JR20" i="110"/>
  <c r="JQ20" i="110"/>
  <c r="JP20" i="110"/>
  <c r="JO20" i="110"/>
  <c r="JN20" i="110"/>
  <c r="JM20" i="110"/>
  <c r="JL20" i="110"/>
  <c r="JK20" i="110"/>
  <c r="JJ20" i="110"/>
  <c r="JI20" i="110"/>
  <c r="JH20" i="110"/>
  <c r="JG20" i="110"/>
  <c r="JF20" i="110"/>
  <c r="JE20" i="110"/>
  <c r="JD20" i="110"/>
  <c r="JC20" i="110"/>
  <c r="JB20" i="110"/>
  <c r="JA20" i="110"/>
  <c r="IZ20" i="110"/>
  <c r="IY20" i="110"/>
  <c r="IX20" i="110"/>
  <c r="IW20" i="110"/>
  <c r="IV20" i="110"/>
  <c r="IU20" i="110"/>
  <c r="IT20" i="110"/>
  <c r="IS20" i="110"/>
  <c r="IR20" i="110"/>
  <c r="IQ20" i="110"/>
  <c r="IP20" i="110"/>
  <c r="IO20" i="110"/>
  <c r="IN20" i="110"/>
  <c r="IM20" i="110"/>
  <c r="IL20" i="110"/>
  <c r="IK20" i="110"/>
  <c r="IJ20" i="110"/>
  <c r="II20" i="110"/>
  <c r="IH20" i="110"/>
  <c r="IG20" i="110"/>
  <c r="IF20" i="110"/>
  <c r="IE20" i="110"/>
  <c r="ID20" i="110"/>
  <c r="IC20" i="110"/>
  <c r="IB20" i="110"/>
  <c r="IA20" i="110"/>
  <c r="HZ20" i="110"/>
  <c r="HY20" i="110"/>
  <c r="HX20" i="110"/>
  <c r="HW20" i="110"/>
  <c r="HV20" i="110"/>
  <c r="HU20" i="110"/>
  <c r="HT20" i="110"/>
  <c r="HS20" i="110"/>
  <c r="HR20" i="110"/>
  <c r="HQ20" i="110"/>
  <c r="HP20" i="110"/>
  <c r="HO20" i="110"/>
  <c r="HN20" i="110"/>
  <c r="HM20" i="110"/>
  <c r="HL20" i="110"/>
  <c r="HK20" i="110"/>
  <c r="HJ20" i="110"/>
  <c r="HI20" i="110"/>
  <c r="HH20" i="110"/>
  <c r="HG20" i="110"/>
  <c r="HF20" i="110"/>
  <c r="HE20" i="110"/>
  <c r="HD20" i="110"/>
  <c r="HC20" i="110"/>
  <c r="HB20" i="110"/>
  <c r="HA20" i="110"/>
  <c r="GZ20" i="110"/>
  <c r="GY20" i="110"/>
  <c r="GX20" i="110"/>
  <c r="GW20" i="110"/>
  <c r="GV20" i="110"/>
  <c r="GU20" i="110"/>
  <c r="GT20" i="110"/>
  <c r="GS20" i="110"/>
  <c r="GR20" i="110"/>
  <c r="GQ20" i="110"/>
  <c r="GP20" i="110"/>
  <c r="GO20" i="110"/>
  <c r="GN20" i="110"/>
  <c r="GM20" i="110"/>
  <c r="GL20" i="110"/>
  <c r="GK20" i="110"/>
  <c r="GJ20" i="110"/>
  <c r="GI20" i="110"/>
  <c r="GH20" i="110"/>
  <c r="GG20" i="110"/>
  <c r="GF20" i="110"/>
  <c r="GE20" i="110"/>
  <c r="GD20" i="110"/>
  <c r="GC20" i="110"/>
  <c r="GB20" i="110"/>
  <c r="GA20" i="110"/>
  <c r="FZ20" i="110"/>
  <c r="FY20" i="110"/>
  <c r="FX20" i="110"/>
  <c r="FW20" i="110"/>
  <c r="FV20" i="110"/>
  <c r="FU20" i="110"/>
  <c r="FT20" i="110"/>
  <c r="FS20" i="110"/>
  <c r="FR20" i="110"/>
  <c r="FQ20" i="110"/>
  <c r="FP20" i="110"/>
  <c r="FO20" i="110"/>
  <c r="FN20" i="110"/>
  <c r="FM20" i="110"/>
  <c r="EC20" i="110"/>
  <c r="EB20" i="110"/>
  <c r="EA20" i="110"/>
  <c r="DZ20" i="110"/>
  <c r="DY20" i="110"/>
  <c r="DX20" i="110"/>
  <c r="DW20" i="110"/>
  <c r="DV20" i="110"/>
  <c r="DU20" i="110"/>
  <c r="DT20" i="110"/>
  <c r="DS20" i="110"/>
  <c r="DR20" i="110"/>
  <c r="DQ20" i="110"/>
  <c r="DP20" i="110"/>
  <c r="DO20" i="110"/>
  <c r="DN20" i="110"/>
  <c r="DM20" i="110"/>
  <c r="DL20" i="110"/>
  <c r="DK20" i="110"/>
  <c r="DJ20" i="110"/>
  <c r="DI20" i="110"/>
  <c r="DH20" i="110"/>
  <c r="DG20" i="110"/>
  <c r="DF20" i="110"/>
  <c r="DE20" i="110"/>
  <c r="DD20" i="110"/>
  <c r="DC20" i="110"/>
  <c r="DB20" i="110"/>
  <c r="DA20" i="110"/>
  <c r="CZ20" i="110"/>
  <c r="CY20" i="110"/>
  <c r="CX20" i="110"/>
  <c r="CW20" i="110"/>
  <c r="CV20" i="110"/>
  <c r="CU20" i="110"/>
  <c r="CT20" i="110"/>
  <c r="CS20" i="110"/>
  <c r="CR20" i="110"/>
  <c r="CQ20" i="110"/>
  <c r="CP20" i="110"/>
  <c r="CO20" i="110"/>
  <c r="CN20" i="110"/>
  <c r="CM20" i="110"/>
  <c r="CL20" i="110"/>
  <c r="CK20" i="110"/>
  <c r="CJ20" i="110"/>
  <c r="CI20" i="110"/>
  <c r="CH20" i="110"/>
  <c r="CG20" i="110"/>
  <c r="CF20" i="110"/>
  <c r="CE20" i="110"/>
  <c r="CD20" i="110"/>
  <c r="CC20" i="110"/>
  <c r="CB20" i="110"/>
  <c r="CA20" i="110"/>
  <c r="BZ20" i="110"/>
  <c r="BY20" i="110"/>
  <c r="BX20" i="110"/>
  <c r="BW20" i="110"/>
  <c r="BV20" i="110"/>
  <c r="BU20" i="110"/>
  <c r="BT20" i="110"/>
  <c r="BS20" i="110"/>
  <c r="BR20" i="110"/>
  <c r="BQ20" i="110"/>
  <c r="BP20" i="110"/>
  <c r="BO20" i="110"/>
  <c r="BN20" i="110"/>
  <c r="BM20" i="110"/>
  <c r="BL20" i="110"/>
  <c r="BK20" i="110"/>
  <c r="BJ20" i="110"/>
  <c r="BI20" i="110"/>
  <c r="BH20" i="110"/>
  <c r="BG20" i="110"/>
  <c r="BF20" i="110"/>
  <c r="BE20" i="110"/>
  <c r="BD20" i="110"/>
  <c r="BC20" i="110"/>
  <c r="BB20" i="110"/>
  <c r="BA20" i="110"/>
  <c r="AZ20" i="110"/>
  <c r="AY20" i="110"/>
  <c r="AX20" i="110"/>
  <c r="AW20" i="110"/>
  <c r="AV20" i="110"/>
  <c r="AU20" i="110"/>
  <c r="AT20" i="110"/>
  <c r="AS20" i="110"/>
  <c r="AR20" i="110"/>
  <c r="AQ20" i="110"/>
  <c r="AP20" i="110"/>
  <c r="AO20" i="110"/>
  <c r="AN20" i="110"/>
  <c r="AM20" i="110"/>
  <c r="AL20" i="110"/>
  <c r="AK20" i="110"/>
  <c r="AJ20" i="110"/>
  <c r="AI20" i="110"/>
  <c r="AH20" i="110"/>
  <c r="AG20" i="110"/>
  <c r="AF20" i="110"/>
  <c r="AE20" i="110"/>
  <c r="AD20" i="110"/>
  <c r="AC20" i="110"/>
  <c r="AB20" i="110"/>
  <c r="AA20" i="110"/>
  <c r="Z20" i="110"/>
  <c r="Y20" i="110"/>
  <c r="X20" i="110"/>
  <c r="A20" i="110"/>
  <c r="OC19" i="110"/>
  <c r="OB19" i="110"/>
  <c r="OA19" i="110"/>
  <c r="NZ19" i="110"/>
  <c r="NY19" i="110"/>
  <c r="NX19" i="110"/>
  <c r="NW19" i="110"/>
  <c r="NV19" i="110"/>
  <c r="NU19" i="110"/>
  <c r="NT19" i="110"/>
  <c r="NS19" i="110"/>
  <c r="NR19" i="110"/>
  <c r="NQ19" i="110"/>
  <c r="NP19" i="110"/>
  <c r="NO19" i="110"/>
  <c r="NN19" i="110"/>
  <c r="NM19" i="110"/>
  <c r="NL19" i="110"/>
  <c r="NK19" i="110"/>
  <c r="NJ19" i="110"/>
  <c r="NI19" i="110"/>
  <c r="NH19" i="110"/>
  <c r="NG19" i="110"/>
  <c r="NF19" i="110"/>
  <c r="NE19" i="110"/>
  <c r="ND19" i="110"/>
  <c r="NC19" i="110"/>
  <c r="NB19" i="110"/>
  <c r="NA19" i="110"/>
  <c r="MZ19" i="110"/>
  <c r="MY19" i="110"/>
  <c r="MX19" i="110"/>
  <c r="MW19" i="110"/>
  <c r="MV19" i="110"/>
  <c r="MU19" i="110"/>
  <c r="MT19" i="110"/>
  <c r="MS19" i="110"/>
  <c r="MR19" i="110"/>
  <c r="MQ19" i="110"/>
  <c r="MP19" i="110"/>
  <c r="MO19" i="110"/>
  <c r="MN19" i="110"/>
  <c r="MM19" i="110"/>
  <c r="ML19" i="110"/>
  <c r="MK19" i="110"/>
  <c r="MJ19" i="110"/>
  <c r="MI19" i="110"/>
  <c r="MH19" i="110"/>
  <c r="MG19" i="110"/>
  <c r="MF19" i="110"/>
  <c r="ME19" i="110"/>
  <c r="MD19" i="110"/>
  <c r="MC19" i="110"/>
  <c r="MB19" i="110"/>
  <c r="MA19" i="110"/>
  <c r="LZ19" i="110"/>
  <c r="LY19" i="110"/>
  <c r="LX19" i="110"/>
  <c r="LW19" i="110"/>
  <c r="LV19" i="110"/>
  <c r="LU19" i="110"/>
  <c r="LT19" i="110"/>
  <c r="LS19" i="110"/>
  <c r="LR19" i="110"/>
  <c r="LQ19" i="110"/>
  <c r="LP19" i="110"/>
  <c r="LO19" i="110"/>
  <c r="LN19" i="110"/>
  <c r="LM19" i="110"/>
  <c r="LL19" i="110"/>
  <c r="LK19" i="110"/>
  <c r="LJ19" i="110"/>
  <c r="LI19" i="110"/>
  <c r="LH19" i="110"/>
  <c r="LG19" i="110"/>
  <c r="LF19" i="110"/>
  <c r="LE19" i="110"/>
  <c r="LD19" i="110"/>
  <c r="LC19" i="110"/>
  <c r="LB19" i="110"/>
  <c r="LA19" i="110"/>
  <c r="KZ19" i="110"/>
  <c r="KY19" i="110"/>
  <c r="KX19" i="110"/>
  <c r="KW19" i="110"/>
  <c r="KV19" i="110"/>
  <c r="KU19" i="110"/>
  <c r="KT19" i="110"/>
  <c r="KS19" i="110"/>
  <c r="KR19" i="110"/>
  <c r="KQ19" i="110"/>
  <c r="KP19" i="110"/>
  <c r="KO19" i="110"/>
  <c r="KN19" i="110"/>
  <c r="KM19" i="110"/>
  <c r="KL19" i="110"/>
  <c r="KK19" i="110"/>
  <c r="KJ19" i="110"/>
  <c r="KI19" i="110"/>
  <c r="KH19" i="110"/>
  <c r="KG19" i="110"/>
  <c r="KF19" i="110"/>
  <c r="KE19" i="110"/>
  <c r="KD19" i="110"/>
  <c r="KC19" i="110"/>
  <c r="KB19" i="110"/>
  <c r="KA19" i="110"/>
  <c r="JZ19" i="110"/>
  <c r="JY19" i="110"/>
  <c r="JX19" i="110"/>
  <c r="JW19" i="110"/>
  <c r="JV19" i="110"/>
  <c r="JU19" i="110"/>
  <c r="JT19" i="110"/>
  <c r="JS19" i="110"/>
  <c r="JR19" i="110"/>
  <c r="JQ19" i="110"/>
  <c r="JP19" i="110"/>
  <c r="JO19" i="110"/>
  <c r="JN19" i="110"/>
  <c r="JM19" i="110"/>
  <c r="JL19" i="110"/>
  <c r="JK19" i="110"/>
  <c r="JJ19" i="110"/>
  <c r="JI19" i="110"/>
  <c r="JH19" i="110"/>
  <c r="JG19" i="110"/>
  <c r="JF19" i="110"/>
  <c r="JE19" i="110"/>
  <c r="JD19" i="110"/>
  <c r="JC19" i="110"/>
  <c r="JB19" i="110"/>
  <c r="JA19" i="110"/>
  <c r="IZ19" i="110"/>
  <c r="IY19" i="110"/>
  <c r="IX19" i="110"/>
  <c r="IW19" i="110"/>
  <c r="IV19" i="110"/>
  <c r="IU19" i="110"/>
  <c r="IT19" i="110"/>
  <c r="IS19" i="110"/>
  <c r="IR19" i="110"/>
  <c r="IQ19" i="110"/>
  <c r="IP19" i="110"/>
  <c r="IO19" i="110"/>
  <c r="IN19" i="110"/>
  <c r="IM19" i="110"/>
  <c r="IL19" i="110"/>
  <c r="IK19" i="110"/>
  <c r="IJ19" i="110"/>
  <c r="II19" i="110"/>
  <c r="IH19" i="110"/>
  <c r="IG19" i="110"/>
  <c r="IF19" i="110"/>
  <c r="IE19" i="110"/>
  <c r="ID19" i="110"/>
  <c r="IC19" i="110"/>
  <c r="IB19" i="110"/>
  <c r="IA19" i="110"/>
  <c r="HZ19" i="110"/>
  <c r="HY19" i="110"/>
  <c r="HX19" i="110"/>
  <c r="HW19" i="110"/>
  <c r="HV19" i="110"/>
  <c r="HU19" i="110"/>
  <c r="HT19" i="110"/>
  <c r="HS19" i="110"/>
  <c r="HR19" i="110"/>
  <c r="HQ19" i="110"/>
  <c r="HP19" i="110"/>
  <c r="HO19" i="110"/>
  <c r="HN19" i="110"/>
  <c r="HM19" i="110"/>
  <c r="HL19" i="110"/>
  <c r="HK19" i="110"/>
  <c r="HJ19" i="110"/>
  <c r="HI19" i="110"/>
  <c r="HH19" i="110"/>
  <c r="HG19" i="110"/>
  <c r="HF19" i="110"/>
  <c r="HE19" i="110"/>
  <c r="HD19" i="110"/>
  <c r="HC19" i="110"/>
  <c r="HB19" i="110"/>
  <c r="HA19" i="110"/>
  <c r="GZ19" i="110"/>
  <c r="GY19" i="110"/>
  <c r="GX19" i="110"/>
  <c r="GW19" i="110"/>
  <c r="GV19" i="110"/>
  <c r="GU19" i="110"/>
  <c r="GT19" i="110"/>
  <c r="GS19" i="110"/>
  <c r="GR19" i="110"/>
  <c r="GQ19" i="110"/>
  <c r="GP19" i="110"/>
  <c r="GO19" i="110"/>
  <c r="GN19" i="110"/>
  <c r="GM19" i="110"/>
  <c r="GL19" i="110"/>
  <c r="GK19" i="110"/>
  <c r="GJ19" i="110"/>
  <c r="GI19" i="110"/>
  <c r="GH19" i="110"/>
  <c r="GG19" i="110"/>
  <c r="GF19" i="110"/>
  <c r="GE19" i="110"/>
  <c r="GD19" i="110"/>
  <c r="GC19" i="110"/>
  <c r="GB19" i="110"/>
  <c r="GA19" i="110"/>
  <c r="FZ19" i="110"/>
  <c r="FY19" i="110"/>
  <c r="FX19" i="110"/>
  <c r="FW19" i="110"/>
  <c r="FV19" i="110"/>
  <c r="FU19" i="110"/>
  <c r="FT19" i="110"/>
  <c r="FS19" i="110"/>
  <c r="FR19" i="110"/>
  <c r="FQ19" i="110"/>
  <c r="FP19" i="110"/>
  <c r="FO19" i="110"/>
  <c r="FN19" i="110"/>
  <c r="FM19" i="110"/>
  <c r="EC19" i="110"/>
  <c r="EB19" i="110"/>
  <c r="EA19" i="110"/>
  <c r="DZ19" i="110"/>
  <c r="DY19" i="110"/>
  <c r="DX19" i="110"/>
  <c r="DW19" i="110"/>
  <c r="DV19" i="110"/>
  <c r="DU19" i="110"/>
  <c r="DT19" i="110"/>
  <c r="DS19" i="110"/>
  <c r="DR19" i="110"/>
  <c r="DQ19" i="110"/>
  <c r="DP19" i="110"/>
  <c r="DO19" i="110"/>
  <c r="DN19" i="110"/>
  <c r="DM19" i="110"/>
  <c r="DL19" i="110"/>
  <c r="DK19" i="110"/>
  <c r="DJ19" i="110"/>
  <c r="DI19" i="110"/>
  <c r="DH19" i="110"/>
  <c r="DG19" i="110"/>
  <c r="DF19" i="110"/>
  <c r="DE19" i="110"/>
  <c r="DD19" i="110"/>
  <c r="DC19" i="110"/>
  <c r="DB19" i="110"/>
  <c r="DA19" i="110"/>
  <c r="CZ19" i="110"/>
  <c r="CY19" i="110"/>
  <c r="CX19" i="110"/>
  <c r="CW19" i="110"/>
  <c r="CV19" i="110"/>
  <c r="CU19" i="110"/>
  <c r="CT19" i="110"/>
  <c r="CS19" i="110"/>
  <c r="CR19" i="110"/>
  <c r="CQ19" i="110"/>
  <c r="CP19" i="110"/>
  <c r="CO19" i="110"/>
  <c r="CN19" i="110"/>
  <c r="CM19" i="110"/>
  <c r="CL19" i="110"/>
  <c r="CK19" i="110"/>
  <c r="CJ19" i="110"/>
  <c r="CI19" i="110"/>
  <c r="CH19" i="110"/>
  <c r="CG19" i="110"/>
  <c r="CF19" i="110"/>
  <c r="CE19" i="110"/>
  <c r="CD19" i="110"/>
  <c r="CC19" i="110"/>
  <c r="CB19" i="110"/>
  <c r="CA19" i="110"/>
  <c r="BZ19" i="110"/>
  <c r="BY19" i="110"/>
  <c r="BX19" i="110"/>
  <c r="BW19" i="110"/>
  <c r="BV19" i="110"/>
  <c r="BU19" i="110"/>
  <c r="BT19" i="110"/>
  <c r="BS19" i="110"/>
  <c r="BR19" i="110"/>
  <c r="BQ19" i="110"/>
  <c r="BP19" i="110"/>
  <c r="BO19" i="110"/>
  <c r="BN19" i="110"/>
  <c r="BM19" i="110"/>
  <c r="BL19" i="110"/>
  <c r="BK19" i="110"/>
  <c r="BJ19" i="110"/>
  <c r="BI19" i="110"/>
  <c r="BH19" i="110"/>
  <c r="BG19" i="110"/>
  <c r="BF19" i="110"/>
  <c r="BE19" i="110"/>
  <c r="BD19" i="110"/>
  <c r="BC19" i="110"/>
  <c r="BB19" i="110"/>
  <c r="BA19" i="110"/>
  <c r="AZ19" i="110"/>
  <c r="AY19" i="110"/>
  <c r="AX19" i="110"/>
  <c r="AW19" i="110"/>
  <c r="AV19" i="110"/>
  <c r="AU19" i="110"/>
  <c r="AT19" i="110"/>
  <c r="AS19" i="110"/>
  <c r="AR19" i="110"/>
  <c r="AQ19" i="110"/>
  <c r="AP19" i="110"/>
  <c r="AO19" i="110"/>
  <c r="AN19" i="110"/>
  <c r="AM19" i="110"/>
  <c r="AL19" i="110"/>
  <c r="AK19" i="110"/>
  <c r="AJ19" i="110"/>
  <c r="AI19" i="110"/>
  <c r="AH19" i="110"/>
  <c r="AG19" i="110"/>
  <c r="AF19" i="110"/>
  <c r="AE19" i="110"/>
  <c r="AD19" i="110"/>
  <c r="AC19" i="110"/>
  <c r="AB19" i="110"/>
  <c r="AA19" i="110"/>
  <c r="Z19" i="110"/>
  <c r="Y19" i="110"/>
  <c r="X19" i="110"/>
  <c r="A19" i="110"/>
  <c r="OC18" i="110"/>
  <c r="OB18" i="110"/>
  <c r="OA18" i="110"/>
  <c r="NZ18" i="110"/>
  <c r="NY18" i="110"/>
  <c r="NX18" i="110"/>
  <c r="NW18" i="110"/>
  <c r="NV18" i="110"/>
  <c r="NU18" i="110"/>
  <c r="NT18" i="110"/>
  <c r="NS18" i="110"/>
  <c r="NR18" i="110"/>
  <c r="NQ18" i="110"/>
  <c r="NP18" i="110"/>
  <c r="NO18" i="110"/>
  <c r="NN18" i="110"/>
  <c r="NM18" i="110"/>
  <c r="NL18" i="110"/>
  <c r="NK18" i="110"/>
  <c r="NJ18" i="110"/>
  <c r="NI18" i="110"/>
  <c r="NH18" i="110"/>
  <c r="NG18" i="110"/>
  <c r="NF18" i="110"/>
  <c r="NE18" i="110"/>
  <c r="ND18" i="110"/>
  <c r="NC18" i="110"/>
  <c r="NB18" i="110"/>
  <c r="NA18" i="110"/>
  <c r="MZ18" i="110"/>
  <c r="MY18" i="110"/>
  <c r="MX18" i="110"/>
  <c r="MW18" i="110"/>
  <c r="MV18" i="110"/>
  <c r="MU18" i="110"/>
  <c r="MT18" i="110"/>
  <c r="MS18" i="110"/>
  <c r="MR18" i="110"/>
  <c r="MQ18" i="110"/>
  <c r="MP18" i="110"/>
  <c r="MO18" i="110"/>
  <c r="MN18" i="110"/>
  <c r="MM18" i="110"/>
  <c r="ML18" i="110"/>
  <c r="MK18" i="110"/>
  <c r="MJ18" i="110"/>
  <c r="MI18" i="110"/>
  <c r="MH18" i="110"/>
  <c r="MG18" i="110"/>
  <c r="MF18" i="110"/>
  <c r="ME18" i="110"/>
  <c r="MD18" i="110"/>
  <c r="MC18" i="110"/>
  <c r="MB18" i="110"/>
  <c r="MA18" i="110"/>
  <c r="LZ18" i="110"/>
  <c r="LY18" i="110"/>
  <c r="LX18" i="110"/>
  <c r="LW18" i="110"/>
  <c r="LV18" i="110"/>
  <c r="LU18" i="110"/>
  <c r="LT18" i="110"/>
  <c r="LS18" i="110"/>
  <c r="LR18" i="110"/>
  <c r="LQ18" i="110"/>
  <c r="LP18" i="110"/>
  <c r="LO18" i="110"/>
  <c r="LN18" i="110"/>
  <c r="LM18" i="110"/>
  <c r="LL18" i="110"/>
  <c r="LK18" i="110"/>
  <c r="LJ18" i="110"/>
  <c r="LI18" i="110"/>
  <c r="LH18" i="110"/>
  <c r="LG18" i="110"/>
  <c r="LF18" i="110"/>
  <c r="LE18" i="110"/>
  <c r="LD18" i="110"/>
  <c r="LC18" i="110"/>
  <c r="LB18" i="110"/>
  <c r="LA18" i="110"/>
  <c r="KZ18" i="110"/>
  <c r="KY18" i="110"/>
  <c r="KX18" i="110"/>
  <c r="KW18" i="110"/>
  <c r="KV18" i="110"/>
  <c r="KU18" i="110"/>
  <c r="KT18" i="110"/>
  <c r="KS18" i="110"/>
  <c r="KR18" i="110"/>
  <c r="KQ18" i="110"/>
  <c r="KP18" i="110"/>
  <c r="KO18" i="110"/>
  <c r="KN18" i="110"/>
  <c r="KM18" i="110"/>
  <c r="KL18" i="110"/>
  <c r="KK18" i="110"/>
  <c r="KJ18" i="110"/>
  <c r="KI18" i="110"/>
  <c r="KH18" i="110"/>
  <c r="KG18" i="110"/>
  <c r="KF18" i="110"/>
  <c r="KE18" i="110"/>
  <c r="KD18" i="110"/>
  <c r="KC18" i="110"/>
  <c r="KB18" i="110"/>
  <c r="KA18" i="110"/>
  <c r="JZ18" i="110"/>
  <c r="JY18" i="110"/>
  <c r="JX18" i="110"/>
  <c r="JW18" i="110"/>
  <c r="JV18" i="110"/>
  <c r="JU18" i="110"/>
  <c r="JT18" i="110"/>
  <c r="JS18" i="110"/>
  <c r="JR18" i="110"/>
  <c r="JQ18" i="110"/>
  <c r="JP18" i="110"/>
  <c r="JO18" i="110"/>
  <c r="JN18" i="110"/>
  <c r="JM18" i="110"/>
  <c r="JL18" i="110"/>
  <c r="JK18" i="110"/>
  <c r="JJ18" i="110"/>
  <c r="JI18" i="110"/>
  <c r="JH18" i="110"/>
  <c r="JG18" i="110"/>
  <c r="JF18" i="110"/>
  <c r="JE18" i="110"/>
  <c r="JD18" i="110"/>
  <c r="JC18" i="110"/>
  <c r="JB18" i="110"/>
  <c r="JA18" i="110"/>
  <c r="IZ18" i="110"/>
  <c r="IY18" i="110"/>
  <c r="IX18" i="110"/>
  <c r="IW18" i="110"/>
  <c r="IV18" i="110"/>
  <c r="IU18" i="110"/>
  <c r="IT18" i="110"/>
  <c r="IS18" i="110"/>
  <c r="IR18" i="110"/>
  <c r="IQ18" i="110"/>
  <c r="IP18" i="110"/>
  <c r="IO18" i="110"/>
  <c r="IN18" i="110"/>
  <c r="IM18" i="110"/>
  <c r="IL18" i="110"/>
  <c r="IK18" i="110"/>
  <c r="IJ18" i="110"/>
  <c r="II18" i="110"/>
  <c r="IH18" i="110"/>
  <c r="IG18" i="110"/>
  <c r="IF18" i="110"/>
  <c r="IE18" i="110"/>
  <c r="ID18" i="110"/>
  <c r="IC18" i="110"/>
  <c r="IB18" i="110"/>
  <c r="IA18" i="110"/>
  <c r="HZ18" i="110"/>
  <c r="HY18" i="110"/>
  <c r="HX18" i="110"/>
  <c r="HW18" i="110"/>
  <c r="HV18" i="110"/>
  <c r="HU18" i="110"/>
  <c r="HT18" i="110"/>
  <c r="HS18" i="110"/>
  <c r="HR18" i="110"/>
  <c r="HQ18" i="110"/>
  <c r="HP18" i="110"/>
  <c r="HO18" i="110"/>
  <c r="HN18" i="110"/>
  <c r="HM18" i="110"/>
  <c r="HL18" i="110"/>
  <c r="HK18" i="110"/>
  <c r="HJ18" i="110"/>
  <c r="HI18" i="110"/>
  <c r="HH18" i="110"/>
  <c r="HG18" i="110"/>
  <c r="HF18" i="110"/>
  <c r="HE18" i="110"/>
  <c r="HD18" i="110"/>
  <c r="HC18" i="110"/>
  <c r="HB18" i="110"/>
  <c r="HA18" i="110"/>
  <c r="GZ18" i="110"/>
  <c r="GY18" i="110"/>
  <c r="GX18" i="110"/>
  <c r="GW18" i="110"/>
  <c r="GV18" i="110"/>
  <c r="GU18" i="110"/>
  <c r="GT18" i="110"/>
  <c r="GS18" i="110"/>
  <c r="GR18" i="110"/>
  <c r="GQ18" i="110"/>
  <c r="GP18" i="110"/>
  <c r="GO18" i="110"/>
  <c r="GN18" i="110"/>
  <c r="GM18" i="110"/>
  <c r="GL18" i="110"/>
  <c r="GK18" i="110"/>
  <c r="GJ18" i="110"/>
  <c r="GI18" i="110"/>
  <c r="GH18" i="110"/>
  <c r="GG18" i="110"/>
  <c r="GF18" i="110"/>
  <c r="GE18" i="110"/>
  <c r="GD18" i="110"/>
  <c r="GC18" i="110"/>
  <c r="GB18" i="110"/>
  <c r="GA18" i="110"/>
  <c r="FZ18" i="110"/>
  <c r="FY18" i="110"/>
  <c r="FX18" i="110"/>
  <c r="FW18" i="110"/>
  <c r="FV18" i="110"/>
  <c r="FU18" i="110"/>
  <c r="FT18" i="110"/>
  <c r="FS18" i="110"/>
  <c r="FR18" i="110"/>
  <c r="FQ18" i="110"/>
  <c r="FP18" i="110"/>
  <c r="FO18" i="110"/>
  <c r="FN18" i="110"/>
  <c r="FM18" i="110"/>
  <c r="EC18" i="110"/>
  <c r="EB18" i="110"/>
  <c r="EA18" i="110"/>
  <c r="DZ18" i="110"/>
  <c r="DY18" i="110"/>
  <c r="DX18" i="110"/>
  <c r="DW18" i="110"/>
  <c r="DV18" i="110"/>
  <c r="DU18" i="110"/>
  <c r="DT18" i="110"/>
  <c r="DS18" i="110"/>
  <c r="DR18" i="110"/>
  <c r="DQ18" i="110"/>
  <c r="DP18" i="110"/>
  <c r="DO18" i="110"/>
  <c r="DN18" i="110"/>
  <c r="DM18" i="110"/>
  <c r="DL18" i="110"/>
  <c r="DK18" i="110"/>
  <c r="DJ18" i="110"/>
  <c r="DI18" i="110"/>
  <c r="DH18" i="110"/>
  <c r="DG18" i="110"/>
  <c r="DF18" i="110"/>
  <c r="DE18" i="110"/>
  <c r="DD18" i="110"/>
  <c r="DC18" i="110"/>
  <c r="DB18" i="110"/>
  <c r="DA18" i="110"/>
  <c r="CZ18" i="110"/>
  <c r="CY18" i="110"/>
  <c r="CX18" i="110"/>
  <c r="CW18" i="110"/>
  <c r="CV18" i="110"/>
  <c r="CU18" i="110"/>
  <c r="CT18" i="110"/>
  <c r="CS18" i="110"/>
  <c r="CR18" i="110"/>
  <c r="CQ18" i="110"/>
  <c r="CP18" i="110"/>
  <c r="CO18" i="110"/>
  <c r="CN18" i="110"/>
  <c r="CM18" i="110"/>
  <c r="CL18" i="110"/>
  <c r="CK18" i="110"/>
  <c r="CJ18" i="110"/>
  <c r="CI18" i="110"/>
  <c r="CH18" i="110"/>
  <c r="CG18" i="110"/>
  <c r="CF18" i="110"/>
  <c r="CE18" i="110"/>
  <c r="CD18" i="110"/>
  <c r="CC18" i="110"/>
  <c r="CB18" i="110"/>
  <c r="CA18" i="110"/>
  <c r="BZ18" i="110"/>
  <c r="BY18" i="110"/>
  <c r="BX18" i="110"/>
  <c r="BW18" i="110"/>
  <c r="BV18" i="110"/>
  <c r="BU18" i="110"/>
  <c r="BT18" i="110"/>
  <c r="BS18" i="110"/>
  <c r="BR18" i="110"/>
  <c r="BQ18" i="110"/>
  <c r="BP18" i="110"/>
  <c r="BO18" i="110"/>
  <c r="BN18" i="110"/>
  <c r="BM18" i="110"/>
  <c r="BL18" i="110"/>
  <c r="BK18" i="110"/>
  <c r="BJ18" i="110"/>
  <c r="BI18" i="110"/>
  <c r="BH18" i="110"/>
  <c r="BG18" i="110"/>
  <c r="BF18" i="110"/>
  <c r="BE18" i="110"/>
  <c r="BD18" i="110"/>
  <c r="BC18" i="110"/>
  <c r="BB18" i="110"/>
  <c r="BA18" i="110"/>
  <c r="AZ18" i="110"/>
  <c r="AY18" i="110"/>
  <c r="AX18" i="110"/>
  <c r="AW18" i="110"/>
  <c r="AV18" i="110"/>
  <c r="AU18" i="110"/>
  <c r="AT18" i="110"/>
  <c r="AS18" i="110"/>
  <c r="AR18" i="110"/>
  <c r="AQ18" i="110"/>
  <c r="AP18" i="110"/>
  <c r="AO18" i="110"/>
  <c r="AN18" i="110"/>
  <c r="AM18" i="110"/>
  <c r="AL18" i="110"/>
  <c r="AK18" i="110"/>
  <c r="AJ18" i="110"/>
  <c r="AI18" i="110"/>
  <c r="AH18" i="110"/>
  <c r="AG18" i="110"/>
  <c r="AF18" i="110"/>
  <c r="AE18" i="110"/>
  <c r="AD18" i="110"/>
  <c r="AC18" i="110"/>
  <c r="AB18" i="110"/>
  <c r="AA18" i="110"/>
  <c r="Z18" i="110"/>
  <c r="Y18" i="110"/>
  <c r="X18" i="110"/>
  <c r="A18" i="110"/>
  <c r="OC17" i="110"/>
  <c r="OB17" i="110"/>
  <c r="OA17" i="110"/>
  <c r="NZ17" i="110"/>
  <c r="NY17" i="110"/>
  <c r="NX17" i="110"/>
  <c r="NW17" i="110"/>
  <c r="NV17" i="110"/>
  <c r="NU17" i="110"/>
  <c r="NT17" i="110"/>
  <c r="NS17" i="110"/>
  <c r="NR17" i="110"/>
  <c r="NQ17" i="110"/>
  <c r="NP17" i="110"/>
  <c r="NO17" i="110"/>
  <c r="NN17" i="110"/>
  <c r="NM17" i="110"/>
  <c r="NL17" i="110"/>
  <c r="NK17" i="110"/>
  <c r="NJ17" i="110"/>
  <c r="NI17" i="110"/>
  <c r="NH17" i="110"/>
  <c r="NG17" i="110"/>
  <c r="NF17" i="110"/>
  <c r="NE17" i="110"/>
  <c r="ND17" i="110"/>
  <c r="NC17" i="110"/>
  <c r="NB17" i="110"/>
  <c r="NA17" i="110"/>
  <c r="MZ17" i="110"/>
  <c r="MY17" i="110"/>
  <c r="MX17" i="110"/>
  <c r="MW17" i="110"/>
  <c r="MV17" i="110"/>
  <c r="MU17" i="110"/>
  <c r="MT17" i="110"/>
  <c r="MS17" i="110"/>
  <c r="MR17" i="110"/>
  <c r="MQ17" i="110"/>
  <c r="MP17" i="110"/>
  <c r="MO17" i="110"/>
  <c r="MN17" i="110"/>
  <c r="MM17" i="110"/>
  <c r="ML17" i="110"/>
  <c r="MK17" i="110"/>
  <c r="MJ17" i="110"/>
  <c r="MI17" i="110"/>
  <c r="MH17" i="110"/>
  <c r="MG17" i="110"/>
  <c r="MF17" i="110"/>
  <c r="ME17" i="110"/>
  <c r="MD17" i="110"/>
  <c r="MC17" i="110"/>
  <c r="MB17" i="110"/>
  <c r="MA17" i="110"/>
  <c r="LZ17" i="110"/>
  <c r="LY17" i="110"/>
  <c r="LX17" i="110"/>
  <c r="LW17" i="110"/>
  <c r="LV17" i="110"/>
  <c r="LU17" i="110"/>
  <c r="LT17" i="110"/>
  <c r="LS17" i="110"/>
  <c r="LR17" i="110"/>
  <c r="LQ17" i="110"/>
  <c r="LP17" i="110"/>
  <c r="LO17" i="110"/>
  <c r="LN17" i="110"/>
  <c r="LM17" i="110"/>
  <c r="LL17" i="110"/>
  <c r="LK17" i="110"/>
  <c r="LJ17" i="110"/>
  <c r="LI17" i="110"/>
  <c r="LH17" i="110"/>
  <c r="LG17" i="110"/>
  <c r="LF17" i="110"/>
  <c r="LE17" i="110"/>
  <c r="LD17" i="110"/>
  <c r="LC17" i="110"/>
  <c r="LB17" i="110"/>
  <c r="LA17" i="110"/>
  <c r="KZ17" i="110"/>
  <c r="KY17" i="110"/>
  <c r="KX17" i="110"/>
  <c r="KW17" i="110"/>
  <c r="KV17" i="110"/>
  <c r="KU17" i="110"/>
  <c r="KT17" i="110"/>
  <c r="KS17" i="110"/>
  <c r="KR17" i="110"/>
  <c r="KQ17" i="110"/>
  <c r="KP17" i="110"/>
  <c r="KO17" i="110"/>
  <c r="KN17" i="110"/>
  <c r="KM17" i="110"/>
  <c r="KL17" i="110"/>
  <c r="KK17" i="110"/>
  <c r="KJ17" i="110"/>
  <c r="KI17" i="110"/>
  <c r="KH17" i="110"/>
  <c r="KG17" i="110"/>
  <c r="KF17" i="110"/>
  <c r="KE17" i="110"/>
  <c r="KD17" i="110"/>
  <c r="KC17" i="110"/>
  <c r="KB17" i="110"/>
  <c r="KA17" i="110"/>
  <c r="JZ17" i="110"/>
  <c r="JY17" i="110"/>
  <c r="JX17" i="110"/>
  <c r="JW17" i="110"/>
  <c r="JV17" i="110"/>
  <c r="JU17" i="110"/>
  <c r="JT17" i="110"/>
  <c r="JS17" i="110"/>
  <c r="JR17" i="110"/>
  <c r="JQ17" i="110"/>
  <c r="JP17" i="110"/>
  <c r="JO17" i="110"/>
  <c r="JN17" i="110"/>
  <c r="JM17" i="110"/>
  <c r="JL17" i="110"/>
  <c r="JK17" i="110"/>
  <c r="JJ17" i="110"/>
  <c r="JI17" i="110"/>
  <c r="JH17" i="110"/>
  <c r="JG17" i="110"/>
  <c r="JF17" i="110"/>
  <c r="JE17" i="110"/>
  <c r="JD17" i="110"/>
  <c r="JC17" i="110"/>
  <c r="JB17" i="110"/>
  <c r="JA17" i="110"/>
  <c r="IZ17" i="110"/>
  <c r="IY17" i="110"/>
  <c r="IX17" i="110"/>
  <c r="IW17" i="110"/>
  <c r="IV17" i="110"/>
  <c r="IU17" i="110"/>
  <c r="IT17" i="110"/>
  <c r="IS17" i="110"/>
  <c r="IR17" i="110"/>
  <c r="IQ17" i="110"/>
  <c r="IP17" i="110"/>
  <c r="IO17" i="110"/>
  <c r="IN17" i="110"/>
  <c r="IM17" i="110"/>
  <c r="IL17" i="110"/>
  <c r="IK17" i="110"/>
  <c r="IJ17" i="110"/>
  <c r="II17" i="110"/>
  <c r="IH17" i="110"/>
  <c r="IG17" i="110"/>
  <c r="IF17" i="110"/>
  <c r="IE17" i="110"/>
  <c r="ID17" i="110"/>
  <c r="IC17" i="110"/>
  <c r="IB17" i="110"/>
  <c r="IA17" i="110"/>
  <c r="HZ17" i="110"/>
  <c r="HY17" i="110"/>
  <c r="HX17" i="110"/>
  <c r="HW17" i="110"/>
  <c r="HV17" i="110"/>
  <c r="HU17" i="110"/>
  <c r="HT17" i="110"/>
  <c r="HS17" i="110"/>
  <c r="HR17" i="110"/>
  <c r="HQ17" i="110"/>
  <c r="HP17" i="110"/>
  <c r="HO17" i="110"/>
  <c r="HN17" i="110"/>
  <c r="HM17" i="110"/>
  <c r="HL17" i="110"/>
  <c r="HK17" i="110"/>
  <c r="HJ17" i="110"/>
  <c r="HI17" i="110"/>
  <c r="HH17" i="110"/>
  <c r="HG17" i="110"/>
  <c r="HF17" i="110"/>
  <c r="HE17" i="110"/>
  <c r="HD17" i="110"/>
  <c r="HC17" i="110"/>
  <c r="HB17" i="110"/>
  <c r="HA17" i="110"/>
  <c r="GZ17" i="110"/>
  <c r="GY17" i="110"/>
  <c r="GX17" i="110"/>
  <c r="GW17" i="110"/>
  <c r="GV17" i="110"/>
  <c r="GU17" i="110"/>
  <c r="GT17" i="110"/>
  <c r="GS17" i="110"/>
  <c r="GR17" i="110"/>
  <c r="GQ17" i="110"/>
  <c r="GP17" i="110"/>
  <c r="GO17" i="110"/>
  <c r="GN17" i="110"/>
  <c r="GM17" i="110"/>
  <c r="GL17" i="110"/>
  <c r="GK17" i="110"/>
  <c r="GJ17" i="110"/>
  <c r="GI17" i="110"/>
  <c r="GH17" i="110"/>
  <c r="GG17" i="110"/>
  <c r="GF17" i="110"/>
  <c r="GE17" i="110"/>
  <c r="GD17" i="110"/>
  <c r="GC17" i="110"/>
  <c r="GB17" i="110"/>
  <c r="GA17" i="110"/>
  <c r="FZ17" i="110"/>
  <c r="FY17" i="110"/>
  <c r="FX17" i="110"/>
  <c r="FW17" i="110"/>
  <c r="FV17" i="110"/>
  <c r="FU17" i="110"/>
  <c r="FT17" i="110"/>
  <c r="FS17" i="110"/>
  <c r="FR17" i="110"/>
  <c r="FQ17" i="110"/>
  <c r="FP17" i="110"/>
  <c r="FO17" i="110"/>
  <c r="FN17" i="110"/>
  <c r="FM17" i="110"/>
  <c r="EC17" i="110"/>
  <c r="EB17" i="110"/>
  <c r="EA17" i="110"/>
  <c r="DZ17" i="110"/>
  <c r="DY17" i="110"/>
  <c r="DX17" i="110"/>
  <c r="DW17" i="110"/>
  <c r="DV17" i="110"/>
  <c r="DU17" i="110"/>
  <c r="DT17" i="110"/>
  <c r="DS17" i="110"/>
  <c r="DR17" i="110"/>
  <c r="DQ17" i="110"/>
  <c r="DP17" i="110"/>
  <c r="DO17" i="110"/>
  <c r="DN17" i="110"/>
  <c r="DM17" i="110"/>
  <c r="DL17" i="110"/>
  <c r="DK17" i="110"/>
  <c r="DJ17" i="110"/>
  <c r="DI17" i="110"/>
  <c r="DH17" i="110"/>
  <c r="DG17" i="110"/>
  <c r="DF17" i="110"/>
  <c r="DE17" i="110"/>
  <c r="DD17" i="110"/>
  <c r="DC17" i="110"/>
  <c r="DB17" i="110"/>
  <c r="DA17" i="110"/>
  <c r="CZ17" i="110"/>
  <c r="CY17" i="110"/>
  <c r="CX17" i="110"/>
  <c r="CW17" i="110"/>
  <c r="CV17" i="110"/>
  <c r="CU17" i="110"/>
  <c r="CT17" i="110"/>
  <c r="CS17" i="110"/>
  <c r="CR17" i="110"/>
  <c r="CQ17" i="110"/>
  <c r="CP17" i="110"/>
  <c r="CO17" i="110"/>
  <c r="CN17" i="110"/>
  <c r="CM17" i="110"/>
  <c r="CL17" i="110"/>
  <c r="CK17" i="110"/>
  <c r="CJ17" i="110"/>
  <c r="CI17" i="110"/>
  <c r="CH17" i="110"/>
  <c r="CG17" i="110"/>
  <c r="CF17" i="110"/>
  <c r="CE17" i="110"/>
  <c r="CD17" i="110"/>
  <c r="CC17" i="110"/>
  <c r="CB17" i="110"/>
  <c r="CA17" i="110"/>
  <c r="BZ17" i="110"/>
  <c r="BY17" i="110"/>
  <c r="BX17" i="110"/>
  <c r="BW17" i="110"/>
  <c r="BV17" i="110"/>
  <c r="BU17" i="110"/>
  <c r="BT17" i="110"/>
  <c r="BS17" i="110"/>
  <c r="BR17" i="110"/>
  <c r="BQ17" i="110"/>
  <c r="BP17" i="110"/>
  <c r="BO17" i="110"/>
  <c r="BN17" i="110"/>
  <c r="BM17" i="110"/>
  <c r="BL17" i="110"/>
  <c r="BK17" i="110"/>
  <c r="BJ17" i="110"/>
  <c r="BI17" i="110"/>
  <c r="BH17" i="110"/>
  <c r="BG17" i="110"/>
  <c r="BF17" i="110"/>
  <c r="BE17" i="110"/>
  <c r="BD17" i="110"/>
  <c r="BC17" i="110"/>
  <c r="BB17" i="110"/>
  <c r="BA17" i="110"/>
  <c r="AZ17" i="110"/>
  <c r="AY17" i="110"/>
  <c r="AX17" i="110"/>
  <c r="AW17" i="110"/>
  <c r="AV17" i="110"/>
  <c r="AU17" i="110"/>
  <c r="AT17" i="110"/>
  <c r="AS17" i="110"/>
  <c r="AR17" i="110"/>
  <c r="AQ17" i="110"/>
  <c r="AP17" i="110"/>
  <c r="AO17" i="110"/>
  <c r="AN17" i="110"/>
  <c r="AM17" i="110"/>
  <c r="AL17" i="110"/>
  <c r="AK17" i="110"/>
  <c r="AJ17" i="110"/>
  <c r="AI17" i="110"/>
  <c r="AH17" i="110"/>
  <c r="AG17" i="110"/>
  <c r="AF17" i="110"/>
  <c r="AE17" i="110"/>
  <c r="AD17" i="110"/>
  <c r="AC17" i="110"/>
  <c r="AB17" i="110"/>
  <c r="AA17" i="110"/>
  <c r="Z17" i="110"/>
  <c r="Y17" i="110"/>
  <c r="X17" i="110"/>
  <c r="OC16" i="110"/>
  <c r="OB16" i="110"/>
  <c r="OA16" i="110"/>
  <c r="NZ16" i="110"/>
  <c r="NY16" i="110"/>
  <c r="NX16" i="110"/>
  <c r="NW16" i="110"/>
  <c r="NV16" i="110"/>
  <c r="NU16" i="110"/>
  <c r="NT16" i="110"/>
  <c r="NS16" i="110"/>
  <c r="NR16" i="110"/>
  <c r="NQ16" i="110"/>
  <c r="NP16" i="110"/>
  <c r="NO16" i="110"/>
  <c r="NN16" i="110"/>
  <c r="NM16" i="110"/>
  <c r="NL16" i="110"/>
  <c r="NK16" i="110"/>
  <c r="NJ16" i="110"/>
  <c r="NI16" i="110"/>
  <c r="NH16" i="110"/>
  <c r="NG16" i="110"/>
  <c r="NF16" i="110"/>
  <c r="NE16" i="110"/>
  <c r="ND16" i="110"/>
  <c r="NC16" i="110"/>
  <c r="NB16" i="110"/>
  <c r="NA16" i="110"/>
  <c r="MZ16" i="110"/>
  <c r="MY16" i="110"/>
  <c r="MX16" i="110"/>
  <c r="MW16" i="110"/>
  <c r="MV16" i="110"/>
  <c r="MU16" i="110"/>
  <c r="MT16" i="110"/>
  <c r="MS16" i="110"/>
  <c r="MR16" i="110"/>
  <c r="MQ16" i="110"/>
  <c r="MP16" i="110"/>
  <c r="MO16" i="110"/>
  <c r="MN16" i="110"/>
  <c r="MM16" i="110"/>
  <c r="ML16" i="110"/>
  <c r="MK16" i="110"/>
  <c r="MJ16" i="110"/>
  <c r="MI16" i="110"/>
  <c r="MH16" i="110"/>
  <c r="MG16" i="110"/>
  <c r="MF16" i="110"/>
  <c r="ME16" i="110"/>
  <c r="MD16" i="110"/>
  <c r="MC16" i="110"/>
  <c r="MB16" i="110"/>
  <c r="MA16" i="110"/>
  <c r="LZ16" i="110"/>
  <c r="LY16" i="110"/>
  <c r="LX16" i="110"/>
  <c r="LW16" i="110"/>
  <c r="LV16" i="110"/>
  <c r="LU16" i="110"/>
  <c r="LT16" i="110"/>
  <c r="LS16" i="110"/>
  <c r="LR16" i="110"/>
  <c r="LQ16" i="110"/>
  <c r="LP16" i="110"/>
  <c r="LO16" i="110"/>
  <c r="LN16" i="110"/>
  <c r="LM16" i="110"/>
  <c r="LL16" i="110"/>
  <c r="LK16" i="110"/>
  <c r="LJ16" i="110"/>
  <c r="LI16" i="110"/>
  <c r="LH16" i="110"/>
  <c r="LG16" i="110"/>
  <c r="LF16" i="110"/>
  <c r="LE16" i="110"/>
  <c r="LD16" i="110"/>
  <c r="LC16" i="110"/>
  <c r="LB16" i="110"/>
  <c r="LA16" i="110"/>
  <c r="KZ16" i="110"/>
  <c r="KY16" i="110"/>
  <c r="KX16" i="110"/>
  <c r="KW16" i="110"/>
  <c r="KV16" i="110"/>
  <c r="KU16" i="110"/>
  <c r="KT16" i="110"/>
  <c r="KS16" i="110"/>
  <c r="KR16" i="110"/>
  <c r="KQ16" i="110"/>
  <c r="KP16" i="110"/>
  <c r="KO16" i="110"/>
  <c r="KN16" i="110"/>
  <c r="KM16" i="110"/>
  <c r="KL16" i="110"/>
  <c r="KK16" i="110"/>
  <c r="KJ16" i="110"/>
  <c r="KI16" i="110"/>
  <c r="KH16" i="110"/>
  <c r="KG16" i="110"/>
  <c r="KF16" i="110"/>
  <c r="KE16" i="110"/>
  <c r="KD16" i="110"/>
  <c r="KC16" i="110"/>
  <c r="KB16" i="110"/>
  <c r="KA16" i="110"/>
  <c r="JZ16" i="110"/>
  <c r="JY16" i="110"/>
  <c r="JX16" i="110"/>
  <c r="JW16" i="110"/>
  <c r="JV16" i="110"/>
  <c r="JU16" i="110"/>
  <c r="JT16" i="110"/>
  <c r="JS16" i="110"/>
  <c r="JR16" i="110"/>
  <c r="JQ16" i="110"/>
  <c r="JP16" i="110"/>
  <c r="JO16" i="110"/>
  <c r="JN16" i="110"/>
  <c r="JM16" i="110"/>
  <c r="JL16" i="110"/>
  <c r="JK16" i="110"/>
  <c r="JJ16" i="110"/>
  <c r="JI16" i="110"/>
  <c r="JH16" i="110"/>
  <c r="JG16" i="110"/>
  <c r="JF16" i="110"/>
  <c r="JE16" i="110"/>
  <c r="JD16" i="110"/>
  <c r="JC16" i="110"/>
  <c r="JB16" i="110"/>
  <c r="JA16" i="110"/>
  <c r="IZ16" i="110"/>
  <c r="IY16" i="110"/>
  <c r="IX16" i="110"/>
  <c r="IW16" i="110"/>
  <c r="IV16" i="110"/>
  <c r="IU16" i="110"/>
  <c r="IT16" i="110"/>
  <c r="IS16" i="110"/>
  <c r="IR16" i="110"/>
  <c r="IQ16" i="110"/>
  <c r="IP16" i="110"/>
  <c r="IO16" i="110"/>
  <c r="IN16" i="110"/>
  <c r="IM16" i="110"/>
  <c r="IL16" i="110"/>
  <c r="IK16" i="110"/>
  <c r="IJ16" i="110"/>
  <c r="II16" i="110"/>
  <c r="IH16" i="110"/>
  <c r="IG16" i="110"/>
  <c r="IF16" i="110"/>
  <c r="IE16" i="110"/>
  <c r="ID16" i="110"/>
  <c r="IC16" i="110"/>
  <c r="IB16" i="110"/>
  <c r="IA16" i="110"/>
  <c r="HZ16" i="110"/>
  <c r="HY16" i="110"/>
  <c r="HX16" i="110"/>
  <c r="HW16" i="110"/>
  <c r="HV16" i="110"/>
  <c r="HU16" i="110"/>
  <c r="HT16" i="110"/>
  <c r="HS16" i="110"/>
  <c r="HR16" i="110"/>
  <c r="HQ16" i="110"/>
  <c r="HP16" i="110"/>
  <c r="HO16" i="110"/>
  <c r="HN16" i="110"/>
  <c r="HM16" i="110"/>
  <c r="HL16" i="110"/>
  <c r="HK16" i="110"/>
  <c r="HJ16" i="110"/>
  <c r="HI16" i="110"/>
  <c r="HH16" i="110"/>
  <c r="HG16" i="110"/>
  <c r="HF16" i="110"/>
  <c r="HE16" i="110"/>
  <c r="HD16" i="110"/>
  <c r="HC16" i="110"/>
  <c r="HB16" i="110"/>
  <c r="HA16" i="110"/>
  <c r="GZ16" i="110"/>
  <c r="GY16" i="110"/>
  <c r="GX16" i="110"/>
  <c r="GW16" i="110"/>
  <c r="GV16" i="110"/>
  <c r="GU16" i="110"/>
  <c r="GT16" i="110"/>
  <c r="GS16" i="110"/>
  <c r="GR16" i="110"/>
  <c r="GQ16" i="110"/>
  <c r="GP16" i="110"/>
  <c r="GO16" i="110"/>
  <c r="GN16" i="110"/>
  <c r="GM16" i="110"/>
  <c r="GL16" i="110"/>
  <c r="GK16" i="110"/>
  <c r="GJ16" i="110"/>
  <c r="GI16" i="110"/>
  <c r="GH16" i="110"/>
  <c r="GG16" i="110"/>
  <c r="GF16" i="110"/>
  <c r="GE16" i="110"/>
  <c r="GD16" i="110"/>
  <c r="GC16" i="110"/>
  <c r="GB16" i="110"/>
  <c r="GA16" i="110"/>
  <c r="FZ16" i="110"/>
  <c r="FY16" i="110"/>
  <c r="FX16" i="110"/>
  <c r="FW16" i="110"/>
  <c r="FV16" i="110"/>
  <c r="FU16" i="110"/>
  <c r="FT16" i="110"/>
  <c r="FS16" i="110"/>
  <c r="FR16" i="110"/>
  <c r="FQ16" i="110"/>
  <c r="FP16" i="110"/>
  <c r="FO16" i="110"/>
  <c r="FN16" i="110"/>
  <c r="FM16" i="110"/>
  <c r="EC16" i="110"/>
  <c r="EB16" i="110"/>
  <c r="EA16" i="110"/>
  <c r="DZ16" i="110"/>
  <c r="DY16" i="110"/>
  <c r="DX16" i="110"/>
  <c r="DW16" i="110"/>
  <c r="DV16" i="110"/>
  <c r="DU16" i="110"/>
  <c r="DT16" i="110"/>
  <c r="DS16" i="110"/>
  <c r="DR16" i="110"/>
  <c r="DQ16" i="110"/>
  <c r="DP16" i="110"/>
  <c r="DO16" i="110"/>
  <c r="DN16" i="110"/>
  <c r="DM16" i="110"/>
  <c r="DL16" i="110"/>
  <c r="DK16" i="110"/>
  <c r="DJ16" i="110"/>
  <c r="DI16" i="110"/>
  <c r="DH16" i="110"/>
  <c r="DG16" i="110"/>
  <c r="DF16" i="110"/>
  <c r="DE16" i="110"/>
  <c r="DD16" i="110"/>
  <c r="DC16" i="110"/>
  <c r="DB16" i="110"/>
  <c r="DA16" i="110"/>
  <c r="CZ16" i="110"/>
  <c r="CY16" i="110"/>
  <c r="CX16" i="110"/>
  <c r="CW16" i="110"/>
  <c r="CV16" i="110"/>
  <c r="CU16" i="110"/>
  <c r="CT16" i="110"/>
  <c r="CS16" i="110"/>
  <c r="CR16" i="110"/>
  <c r="CQ16" i="110"/>
  <c r="CP16" i="110"/>
  <c r="CO16" i="110"/>
  <c r="CN16" i="110"/>
  <c r="CM16" i="110"/>
  <c r="CL16" i="110"/>
  <c r="CK16" i="110"/>
  <c r="CJ16" i="110"/>
  <c r="CI16" i="110"/>
  <c r="CH16" i="110"/>
  <c r="CG16" i="110"/>
  <c r="CF16" i="110"/>
  <c r="CE16" i="110"/>
  <c r="CD16" i="110"/>
  <c r="CC16" i="110"/>
  <c r="CB16" i="110"/>
  <c r="CA16" i="110"/>
  <c r="BZ16" i="110"/>
  <c r="BY16" i="110"/>
  <c r="BX16" i="110"/>
  <c r="BW16" i="110"/>
  <c r="BV16" i="110"/>
  <c r="BU16" i="110"/>
  <c r="BT16" i="110"/>
  <c r="BS16" i="110"/>
  <c r="BR16" i="110"/>
  <c r="BQ16" i="110"/>
  <c r="BP16" i="110"/>
  <c r="BO16" i="110"/>
  <c r="BN16" i="110"/>
  <c r="BM16" i="110"/>
  <c r="BL16" i="110"/>
  <c r="BK16" i="110"/>
  <c r="BJ16" i="110"/>
  <c r="BI16" i="110"/>
  <c r="BH16"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AI16" i="110"/>
  <c r="AH16" i="110"/>
  <c r="AG16" i="110"/>
  <c r="AF16" i="110"/>
  <c r="AE16" i="110"/>
  <c r="AD16" i="110"/>
  <c r="AC16" i="110"/>
  <c r="AB16" i="110"/>
  <c r="AA16" i="110"/>
  <c r="Z16" i="110"/>
  <c r="Y16" i="110"/>
  <c r="X16" i="110"/>
  <c r="OC15" i="110"/>
  <c r="OB15" i="110"/>
  <c r="OA15" i="110"/>
  <c r="NZ15" i="110"/>
  <c r="NY15" i="110"/>
  <c r="NX15" i="110"/>
  <c r="NW15" i="110"/>
  <c r="NV15" i="110"/>
  <c r="NU15" i="110"/>
  <c r="NT15" i="110"/>
  <c r="NS15" i="110"/>
  <c r="NR15" i="110"/>
  <c r="NQ15" i="110"/>
  <c r="NP15" i="110"/>
  <c r="NO15" i="110"/>
  <c r="NN15" i="110"/>
  <c r="NM15" i="110"/>
  <c r="NL15" i="110"/>
  <c r="NK15" i="110"/>
  <c r="NJ15" i="110"/>
  <c r="NI15" i="110"/>
  <c r="NH15" i="110"/>
  <c r="NG15" i="110"/>
  <c r="NF15" i="110"/>
  <c r="NE15" i="110"/>
  <c r="ND15" i="110"/>
  <c r="NC15" i="110"/>
  <c r="NB15" i="110"/>
  <c r="NA15" i="110"/>
  <c r="MZ15" i="110"/>
  <c r="MY15" i="110"/>
  <c r="MX15" i="110"/>
  <c r="MW15" i="110"/>
  <c r="MV15" i="110"/>
  <c r="MU15" i="110"/>
  <c r="MT15" i="110"/>
  <c r="MS15" i="110"/>
  <c r="MR15" i="110"/>
  <c r="MQ15" i="110"/>
  <c r="MP15" i="110"/>
  <c r="MO15" i="110"/>
  <c r="MN15" i="110"/>
  <c r="MM15" i="110"/>
  <c r="ML15" i="110"/>
  <c r="MK15" i="110"/>
  <c r="MJ15" i="110"/>
  <c r="MI15" i="110"/>
  <c r="MH15" i="110"/>
  <c r="MG15" i="110"/>
  <c r="MF15" i="110"/>
  <c r="ME15" i="110"/>
  <c r="MD15" i="110"/>
  <c r="MC15" i="110"/>
  <c r="MB15" i="110"/>
  <c r="MA15" i="110"/>
  <c r="LZ15" i="110"/>
  <c r="LY15" i="110"/>
  <c r="LX15" i="110"/>
  <c r="LW15" i="110"/>
  <c r="LV15" i="110"/>
  <c r="LU15" i="110"/>
  <c r="LT15" i="110"/>
  <c r="LS15" i="110"/>
  <c r="LR15" i="110"/>
  <c r="LQ15" i="110"/>
  <c r="LP15" i="110"/>
  <c r="LO15" i="110"/>
  <c r="LN15" i="110"/>
  <c r="LM15" i="110"/>
  <c r="LL15" i="110"/>
  <c r="LK15" i="110"/>
  <c r="LJ15" i="110"/>
  <c r="LI15" i="110"/>
  <c r="LH15" i="110"/>
  <c r="LG15" i="110"/>
  <c r="LF15" i="110"/>
  <c r="LE15" i="110"/>
  <c r="LD15" i="110"/>
  <c r="LC15" i="110"/>
  <c r="LB15" i="110"/>
  <c r="LA15" i="110"/>
  <c r="KZ15" i="110"/>
  <c r="KY15" i="110"/>
  <c r="KX15" i="110"/>
  <c r="KW15" i="110"/>
  <c r="KV15" i="110"/>
  <c r="KU15" i="110"/>
  <c r="KT15" i="110"/>
  <c r="KS15" i="110"/>
  <c r="KR15" i="110"/>
  <c r="KQ15" i="110"/>
  <c r="KP15" i="110"/>
  <c r="KO15" i="110"/>
  <c r="KN15" i="110"/>
  <c r="KM15" i="110"/>
  <c r="KL15" i="110"/>
  <c r="KK15" i="110"/>
  <c r="KJ15" i="110"/>
  <c r="KI15" i="110"/>
  <c r="KH15" i="110"/>
  <c r="KG15" i="110"/>
  <c r="KF15" i="110"/>
  <c r="KE15" i="110"/>
  <c r="KD15" i="110"/>
  <c r="KC15" i="110"/>
  <c r="KB15" i="110"/>
  <c r="KA15" i="110"/>
  <c r="JZ15" i="110"/>
  <c r="JY15" i="110"/>
  <c r="JX15" i="110"/>
  <c r="JW15" i="110"/>
  <c r="JV15" i="110"/>
  <c r="JU15" i="110"/>
  <c r="JT15" i="110"/>
  <c r="JS15" i="110"/>
  <c r="JR15" i="110"/>
  <c r="JQ15" i="110"/>
  <c r="JP15" i="110"/>
  <c r="JO15" i="110"/>
  <c r="JN15" i="110"/>
  <c r="JM15" i="110"/>
  <c r="JL15" i="110"/>
  <c r="JK15" i="110"/>
  <c r="JJ15" i="110"/>
  <c r="JI15" i="110"/>
  <c r="JH15" i="110"/>
  <c r="JG15" i="110"/>
  <c r="JF15" i="110"/>
  <c r="JE15" i="110"/>
  <c r="JD15" i="110"/>
  <c r="JC15" i="110"/>
  <c r="JB15" i="110"/>
  <c r="JA15" i="110"/>
  <c r="IZ15" i="110"/>
  <c r="IY15" i="110"/>
  <c r="IX15" i="110"/>
  <c r="IW15" i="110"/>
  <c r="IV15" i="110"/>
  <c r="IU15" i="110"/>
  <c r="IT15" i="110"/>
  <c r="IS15" i="110"/>
  <c r="IR15" i="110"/>
  <c r="IQ15" i="110"/>
  <c r="IP15" i="110"/>
  <c r="IO15" i="110"/>
  <c r="IN15" i="110"/>
  <c r="IM15" i="110"/>
  <c r="IL15" i="110"/>
  <c r="IK15" i="110"/>
  <c r="IJ15" i="110"/>
  <c r="II15" i="110"/>
  <c r="IH15" i="110"/>
  <c r="IG15" i="110"/>
  <c r="IF15" i="110"/>
  <c r="IE15" i="110"/>
  <c r="ID15" i="110"/>
  <c r="IC15" i="110"/>
  <c r="IB15" i="110"/>
  <c r="IA15" i="110"/>
  <c r="HZ15" i="110"/>
  <c r="HY15" i="110"/>
  <c r="HX15" i="110"/>
  <c r="HW15" i="110"/>
  <c r="HV15" i="110"/>
  <c r="HU15" i="110"/>
  <c r="HT15" i="110"/>
  <c r="HS15" i="110"/>
  <c r="HR15" i="110"/>
  <c r="HQ15" i="110"/>
  <c r="HP15" i="110"/>
  <c r="HO15" i="110"/>
  <c r="HN15" i="110"/>
  <c r="HM15" i="110"/>
  <c r="HL15" i="110"/>
  <c r="HK15" i="110"/>
  <c r="HJ15" i="110"/>
  <c r="HI15" i="110"/>
  <c r="HH15" i="110"/>
  <c r="HG15" i="110"/>
  <c r="HF15" i="110"/>
  <c r="HE15" i="110"/>
  <c r="HD15" i="110"/>
  <c r="HC15" i="110"/>
  <c r="HB15" i="110"/>
  <c r="HA15" i="110"/>
  <c r="GZ15" i="110"/>
  <c r="GY15" i="110"/>
  <c r="GX15" i="110"/>
  <c r="GW15" i="110"/>
  <c r="GV15" i="110"/>
  <c r="GU15" i="110"/>
  <c r="GT15" i="110"/>
  <c r="GS15" i="110"/>
  <c r="GR15" i="110"/>
  <c r="GQ15" i="110"/>
  <c r="GP15" i="110"/>
  <c r="GO15" i="110"/>
  <c r="GN15" i="110"/>
  <c r="GM15" i="110"/>
  <c r="GL15" i="110"/>
  <c r="GK15" i="110"/>
  <c r="GJ15" i="110"/>
  <c r="GI15" i="110"/>
  <c r="GH15" i="110"/>
  <c r="GG15" i="110"/>
  <c r="GF15" i="110"/>
  <c r="GE15" i="110"/>
  <c r="GD15" i="110"/>
  <c r="GC15" i="110"/>
  <c r="GB15" i="110"/>
  <c r="GA15" i="110"/>
  <c r="FZ15" i="110"/>
  <c r="FY15" i="110"/>
  <c r="FX15" i="110"/>
  <c r="FW15" i="110"/>
  <c r="FV15" i="110"/>
  <c r="FU15" i="110"/>
  <c r="FT15" i="110"/>
  <c r="FS15" i="110"/>
  <c r="FR15" i="110"/>
  <c r="FQ15" i="110"/>
  <c r="FP15" i="110"/>
  <c r="FO15" i="110"/>
  <c r="FN15" i="110"/>
  <c r="FM15" i="110"/>
  <c r="EC15" i="110"/>
  <c r="EB15" i="110"/>
  <c r="EA15" i="110"/>
  <c r="DZ15" i="110"/>
  <c r="DY15" i="110"/>
  <c r="DX15" i="110"/>
  <c r="DW15" i="110"/>
  <c r="DV15" i="110"/>
  <c r="DU15" i="110"/>
  <c r="DT15" i="110"/>
  <c r="DS15" i="110"/>
  <c r="DR15" i="110"/>
  <c r="DQ15" i="110"/>
  <c r="DP15" i="110"/>
  <c r="DO15" i="110"/>
  <c r="DN15" i="110"/>
  <c r="DM15" i="110"/>
  <c r="DL15" i="110"/>
  <c r="DK15" i="110"/>
  <c r="DJ15" i="110"/>
  <c r="DI15" i="110"/>
  <c r="DH15" i="110"/>
  <c r="DG15" i="110"/>
  <c r="DF15" i="110"/>
  <c r="DE15" i="110"/>
  <c r="DD15" i="110"/>
  <c r="DC15" i="110"/>
  <c r="DB15" i="110"/>
  <c r="DA15" i="110"/>
  <c r="CZ15" i="110"/>
  <c r="CY15" i="110"/>
  <c r="CX15" i="110"/>
  <c r="CW15" i="110"/>
  <c r="CV15" i="110"/>
  <c r="CU15" i="110"/>
  <c r="CT15" i="110"/>
  <c r="CS15" i="110"/>
  <c r="CR15" i="110"/>
  <c r="CQ15" i="110"/>
  <c r="CP15" i="110"/>
  <c r="CO15" i="110"/>
  <c r="CN15" i="110"/>
  <c r="CM15" i="110"/>
  <c r="CL15" i="110"/>
  <c r="CK15" i="110"/>
  <c r="CJ15" i="110"/>
  <c r="CI15" i="110"/>
  <c r="CH15" i="110"/>
  <c r="CG15" i="110"/>
  <c r="CF15" i="110"/>
  <c r="CE15" i="110"/>
  <c r="CD15" i="110"/>
  <c r="CC15" i="110"/>
  <c r="CB15" i="110"/>
  <c r="CA15" i="110"/>
  <c r="BZ15" i="110"/>
  <c r="BY15" i="110"/>
  <c r="BX15" i="110"/>
  <c r="BW15" i="110"/>
  <c r="BV15" i="110"/>
  <c r="BU15" i="110"/>
  <c r="BT15" i="110"/>
  <c r="BS15" i="110"/>
  <c r="BR15" i="110"/>
  <c r="BQ15" i="110"/>
  <c r="BP15" i="110"/>
  <c r="BO15" i="110"/>
  <c r="BN15" i="110"/>
  <c r="BM15" i="110"/>
  <c r="BL15" i="110"/>
  <c r="BK15" i="110"/>
  <c r="BJ15" i="110"/>
  <c r="BI15" i="110"/>
  <c r="BH15" i="110"/>
  <c r="BG15" i="110"/>
  <c r="BF15" i="110"/>
  <c r="BE15" i="110"/>
  <c r="BD15" i="110"/>
  <c r="BC15" i="110"/>
  <c r="BB15" i="110"/>
  <c r="BA15" i="110"/>
  <c r="AZ15" i="110"/>
  <c r="AY15" i="110"/>
  <c r="AX15" i="110"/>
  <c r="AW15" i="110"/>
  <c r="AV15" i="110"/>
  <c r="AU15" i="110"/>
  <c r="AT15" i="110"/>
  <c r="AS15" i="110"/>
  <c r="AR15" i="110"/>
  <c r="AQ15" i="110"/>
  <c r="AP15" i="110"/>
  <c r="AO15" i="110"/>
  <c r="AN15" i="110"/>
  <c r="AM15" i="110"/>
  <c r="AL15" i="110"/>
  <c r="AK15" i="110"/>
  <c r="AJ15" i="110"/>
  <c r="AI15" i="110"/>
  <c r="AH15" i="110"/>
  <c r="AG15" i="110"/>
  <c r="AF15" i="110"/>
  <c r="AE15" i="110"/>
  <c r="AD15" i="110"/>
  <c r="AC15" i="110"/>
  <c r="AB15" i="110"/>
  <c r="AA15" i="110"/>
  <c r="Z15" i="110"/>
  <c r="Y15" i="110"/>
  <c r="X15" i="110"/>
  <c r="OC14" i="110"/>
  <c r="OB14" i="110"/>
  <c r="OA14" i="110"/>
  <c r="NZ14" i="110"/>
  <c r="NY14" i="110"/>
  <c r="NX14" i="110"/>
  <c r="NW14" i="110"/>
  <c r="NV14" i="110"/>
  <c r="NU14" i="110"/>
  <c r="NT14" i="110"/>
  <c r="NS14" i="110"/>
  <c r="NR14" i="110"/>
  <c r="NQ14" i="110"/>
  <c r="NP14" i="110"/>
  <c r="NO14" i="110"/>
  <c r="NN14" i="110"/>
  <c r="NM14" i="110"/>
  <c r="NL14" i="110"/>
  <c r="NK14" i="110"/>
  <c r="NJ14" i="110"/>
  <c r="NI14" i="110"/>
  <c r="NH14" i="110"/>
  <c r="NG14" i="110"/>
  <c r="NF14" i="110"/>
  <c r="NE14" i="110"/>
  <c r="ND14" i="110"/>
  <c r="NC14" i="110"/>
  <c r="NB14" i="110"/>
  <c r="NA14" i="110"/>
  <c r="MZ14" i="110"/>
  <c r="MY14" i="110"/>
  <c r="MX14" i="110"/>
  <c r="MW14" i="110"/>
  <c r="MV14" i="110"/>
  <c r="MU14" i="110"/>
  <c r="MT14" i="110"/>
  <c r="MS14" i="110"/>
  <c r="MR14" i="110"/>
  <c r="MQ14" i="110"/>
  <c r="MP14" i="110"/>
  <c r="MO14" i="110"/>
  <c r="MN14" i="110"/>
  <c r="MM14" i="110"/>
  <c r="ML14" i="110"/>
  <c r="MK14" i="110"/>
  <c r="MJ14" i="110"/>
  <c r="MI14" i="110"/>
  <c r="MH14" i="110"/>
  <c r="MG14" i="110"/>
  <c r="MF14" i="110"/>
  <c r="ME14" i="110"/>
  <c r="MD14" i="110"/>
  <c r="MC14" i="110"/>
  <c r="MB14" i="110"/>
  <c r="MA14" i="110"/>
  <c r="LZ14" i="110"/>
  <c r="LY14" i="110"/>
  <c r="LX14" i="110"/>
  <c r="LW14" i="110"/>
  <c r="LV14" i="110"/>
  <c r="LU14" i="110"/>
  <c r="LT14" i="110"/>
  <c r="LS14" i="110"/>
  <c r="LR14" i="110"/>
  <c r="LQ14" i="110"/>
  <c r="LP14" i="110"/>
  <c r="LO14" i="110"/>
  <c r="LN14" i="110"/>
  <c r="LM14" i="110"/>
  <c r="LL14" i="110"/>
  <c r="LK14" i="110"/>
  <c r="LJ14" i="110"/>
  <c r="LI14" i="110"/>
  <c r="LH14" i="110"/>
  <c r="LG14" i="110"/>
  <c r="LF14" i="110"/>
  <c r="LE14" i="110"/>
  <c r="LD14" i="110"/>
  <c r="LC14" i="110"/>
  <c r="LB14" i="110"/>
  <c r="LA14" i="110"/>
  <c r="KZ14" i="110"/>
  <c r="KY14" i="110"/>
  <c r="KX14" i="110"/>
  <c r="KW14" i="110"/>
  <c r="KV14" i="110"/>
  <c r="KU14" i="110"/>
  <c r="KT14" i="110"/>
  <c r="KS14" i="110"/>
  <c r="KR14" i="110"/>
  <c r="KQ14" i="110"/>
  <c r="KP14" i="110"/>
  <c r="KO14" i="110"/>
  <c r="KN14" i="110"/>
  <c r="KM14" i="110"/>
  <c r="KL14" i="110"/>
  <c r="KK14" i="110"/>
  <c r="KJ14" i="110"/>
  <c r="KI14" i="110"/>
  <c r="KH14" i="110"/>
  <c r="KG14" i="110"/>
  <c r="KF14" i="110"/>
  <c r="KE14" i="110"/>
  <c r="KD14" i="110"/>
  <c r="KC14" i="110"/>
  <c r="KB14" i="110"/>
  <c r="KA14" i="110"/>
  <c r="JZ14" i="110"/>
  <c r="JY14" i="110"/>
  <c r="JX14" i="110"/>
  <c r="JW14" i="110"/>
  <c r="JV14" i="110"/>
  <c r="JU14" i="110"/>
  <c r="JT14" i="110"/>
  <c r="JS14" i="110"/>
  <c r="JR14" i="110"/>
  <c r="JQ14" i="110"/>
  <c r="JP14" i="110"/>
  <c r="JO14" i="110"/>
  <c r="JN14" i="110"/>
  <c r="JM14" i="110"/>
  <c r="JL14" i="110"/>
  <c r="JK14" i="110"/>
  <c r="JJ14" i="110"/>
  <c r="JI14" i="110"/>
  <c r="JH14" i="110"/>
  <c r="JG14" i="110"/>
  <c r="JF14" i="110"/>
  <c r="JE14" i="110"/>
  <c r="JD14" i="110"/>
  <c r="JC14" i="110"/>
  <c r="JB14" i="110"/>
  <c r="JA14" i="110"/>
  <c r="IZ14" i="110"/>
  <c r="IY14" i="110"/>
  <c r="IX14" i="110"/>
  <c r="IW14" i="110"/>
  <c r="IV14" i="110"/>
  <c r="IU14" i="110"/>
  <c r="IT14" i="110"/>
  <c r="IS14" i="110"/>
  <c r="IR14" i="110"/>
  <c r="IQ14" i="110"/>
  <c r="IP14" i="110"/>
  <c r="IO14" i="110"/>
  <c r="IN14" i="110"/>
  <c r="IM14" i="110"/>
  <c r="IL14" i="110"/>
  <c r="IK14" i="110"/>
  <c r="IJ14" i="110"/>
  <c r="II14" i="110"/>
  <c r="IH14" i="110"/>
  <c r="IG14" i="110"/>
  <c r="IF14" i="110"/>
  <c r="IE14" i="110"/>
  <c r="ID14" i="110"/>
  <c r="IC14" i="110"/>
  <c r="IB14" i="110"/>
  <c r="IA14" i="110"/>
  <c r="HZ14" i="110"/>
  <c r="HY14" i="110"/>
  <c r="HX14" i="110"/>
  <c r="HW14" i="110"/>
  <c r="HV14" i="110"/>
  <c r="HU14" i="110"/>
  <c r="HT14" i="110"/>
  <c r="HS14" i="110"/>
  <c r="HR14" i="110"/>
  <c r="HQ14" i="110"/>
  <c r="HP14" i="110"/>
  <c r="HO14" i="110"/>
  <c r="HN14" i="110"/>
  <c r="HM14" i="110"/>
  <c r="HL14" i="110"/>
  <c r="HK14" i="110"/>
  <c r="HJ14" i="110"/>
  <c r="HI14" i="110"/>
  <c r="HH14" i="110"/>
  <c r="HG14" i="110"/>
  <c r="HF14" i="110"/>
  <c r="HE14" i="110"/>
  <c r="HD14" i="110"/>
  <c r="HC14" i="110"/>
  <c r="HB14" i="110"/>
  <c r="HA14" i="110"/>
  <c r="GZ14" i="110"/>
  <c r="GY14" i="110"/>
  <c r="GX14" i="110"/>
  <c r="GW14" i="110"/>
  <c r="GV14" i="110"/>
  <c r="GU14" i="110"/>
  <c r="GT14" i="110"/>
  <c r="GS14" i="110"/>
  <c r="GR14" i="110"/>
  <c r="GQ14" i="110"/>
  <c r="GP14" i="110"/>
  <c r="GO14" i="110"/>
  <c r="GN14" i="110"/>
  <c r="GM14" i="110"/>
  <c r="GL14" i="110"/>
  <c r="GK14" i="110"/>
  <c r="GJ14" i="110"/>
  <c r="GI14" i="110"/>
  <c r="GH14" i="110"/>
  <c r="GG14" i="110"/>
  <c r="GF14" i="110"/>
  <c r="GE14" i="110"/>
  <c r="GD14" i="110"/>
  <c r="GC14" i="110"/>
  <c r="GB14" i="110"/>
  <c r="GA14" i="110"/>
  <c r="FZ14" i="110"/>
  <c r="FY14" i="110"/>
  <c r="FX14" i="110"/>
  <c r="FW14" i="110"/>
  <c r="FV14" i="110"/>
  <c r="FU14" i="110"/>
  <c r="FT14" i="110"/>
  <c r="FS14" i="110"/>
  <c r="FR14" i="110"/>
  <c r="FQ14" i="110"/>
  <c r="FP14" i="110"/>
  <c r="FO14" i="110"/>
  <c r="FN14" i="110"/>
  <c r="FM14" i="110"/>
  <c r="EC14" i="110"/>
  <c r="EB14" i="110"/>
  <c r="EA14" i="110"/>
  <c r="DZ14" i="110"/>
  <c r="DY14" i="110"/>
  <c r="DX14" i="110"/>
  <c r="DW14" i="110"/>
  <c r="DV14" i="110"/>
  <c r="DU14" i="110"/>
  <c r="DT14" i="110"/>
  <c r="DS14" i="110"/>
  <c r="DR14" i="110"/>
  <c r="DQ14" i="110"/>
  <c r="DP14" i="110"/>
  <c r="DO14" i="110"/>
  <c r="DN14" i="110"/>
  <c r="DM14" i="110"/>
  <c r="DL14" i="110"/>
  <c r="DK14" i="110"/>
  <c r="DJ14" i="110"/>
  <c r="DI14" i="110"/>
  <c r="DH14" i="110"/>
  <c r="DG14" i="110"/>
  <c r="DF14" i="110"/>
  <c r="DE14" i="110"/>
  <c r="DD14" i="110"/>
  <c r="DC14" i="110"/>
  <c r="DB14" i="110"/>
  <c r="DA14" i="110"/>
  <c r="CZ14" i="110"/>
  <c r="CY14" i="110"/>
  <c r="CX14" i="110"/>
  <c r="CW14" i="110"/>
  <c r="CV14" i="110"/>
  <c r="CU14" i="110"/>
  <c r="CT14" i="110"/>
  <c r="CS14" i="110"/>
  <c r="CR14" i="110"/>
  <c r="CQ14" i="110"/>
  <c r="CP14" i="110"/>
  <c r="CO14" i="110"/>
  <c r="CN14" i="110"/>
  <c r="CM14" i="110"/>
  <c r="CL14" i="110"/>
  <c r="CK14" i="110"/>
  <c r="CJ14" i="110"/>
  <c r="CI14" i="110"/>
  <c r="CH14" i="110"/>
  <c r="CG14" i="110"/>
  <c r="CF14" i="110"/>
  <c r="CE14" i="110"/>
  <c r="CD14" i="110"/>
  <c r="CC14" i="110"/>
  <c r="CB14" i="110"/>
  <c r="CA14" i="110"/>
  <c r="BZ14" i="110"/>
  <c r="BY14" i="110"/>
  <c r="BX14" i="110"/>
  <c r="BW14" i="110"/>
  <c r="BV14" i="110"/>
  <c r="BU14" i="110"/>
  <c r="BT14" i="110"/>
  <c r="BS14" i="110"/>
  <c r="BR14" i="110"/>
  <c r="BQ14" i="110"/>
  <c r="BP14" i="110"/>
  <c r="BO14" i="110"/>
  <c r="BN14" i="110"/>
  <c r="BM14" i="110"/>
  <c r="BL14" i="110"/>
  <c r="BK14" i="110"/>
  <c r="BJ14" i="110"/>
  <c r="BI14" i="110"/>
  <c r="BH14" i="110"/>
  <c r="BG14" i="110"/>
  <c r="BF14" i="110"/>
  <c r="BE14" i="110"/>
  <c r="BD14" i="110"/>
  <c r="BC14" i="110"/>
  <c r="BB14" i="110"/>
  <c r="BA14" i="110"/>
  <c r="AZ14" i="110"/>
  <c r="AY14" i="110"/>
  <c r="AX14" i="110"/>
  <c r="AW14" i="110"/>
  <c r="AV14" i="110"/>
  <c r="AU14" i="110"/>
  <c r="AT14" i="110"/>
  <c r="AS14" i="110"/>
  <c r="AR14" i="110"/>
  <c r="AQ14" i="110"/>
  <c r="AP14" i="110"/>
  <c r="AO14" i="110"/>
  <c r="AN14" i="110"/>
  <c r="AM14" i="110"/>
  <c r="AL14" i="110"/>
  <c r="AK14" i="110"/>
  <c r="AJ14" i="110"/>
  <c r="AI14" i="110"/>
  <c r="AH14" i="110"/>
  <c r="AG14" i="110"/>
  <c r="AF14" i="110"/>
  <c r="AE14" i="110"/>
  <c r="AD14" i="110"/>
  <c r="AC14" i="110"/>
  <c r="AB14" i="110"/>
  <c r="AA14" i="110"/>
  <c r="Z14" i="110"/>
  <c r="Y14" i="110"/>
  <c r="X14" i="110"/>
  <c r="L14" i="110"/>
  <c r="M14" i="110" s="1"/>
  <c r="A14" i="110"/>
  <c r="OC13" i="110"/>
  <c r="OB13" i="110"/>
  <c r="OA13" i="110"/>
  <c r="NZ13" i="110"/>
  <c r="NY13" i="110"/>
  <c r="NX13" i="110"/>
  <c r="NW13" i="110"/>
  <c r="NV13" i="110"/>
  <c r="NU13" i="110"/>
  <c r="NT13" i="110"/>
  <c r="NS13" i="110"/>
  <c r="NR13" i="110"/>
  <c r="NQ13" i="110"/>
  <c r="NP13" i="110"/>
  <c r="NO13" i="110"/>
  <c r="NN13" i="110"/>
  <c r="NM13" i="110"/>
  <c r="NL13" i="110"/>
  <c r="NK13" i="110"/>
  <c r="NJ13" i="110"/>
  <c r="NI13" i="110"/>
  <c r="NH13" i="110"/>
  <c r="NG13" i="110"/>
  <c r="NF13" i="110"/>
  <c r="NE13" i="110"/>
  <c r="ND13" i="110"/>
  <c r="NC13" i="110"/>
  <c r="NB13" i="110"/>
  <c r="NA13" i="110"/>
  <c r="MZ13" i="110"/>
  <c r="MY13" i="110"/>
  <c r="MX13" i="110"/>
  <c r="MW13" i="110"/>
  <c r="MV13" i="110"/>
  <c r="MU13" i="110"/>
  <c r="MT13" i="110"/>
  <c r="MS13" i="110"/>
  <c r="MR13" i="110"/>
  <c r="MQ13" i="110"/>
  <c r="MP13" i="110"/>
  <c r="MO13" i="110"/>
  <c r="MN13" i="110"/>
  <c r="MM13" i="110"/>
  <c r="ML13" i="110"/>
  <c r="MK13" i="110"/>
  <c r="MJ13" i="110"/>
  <c r="MI13" i="110"/>
  <c r="MH13" i="110"/>
  <c r="MG13" i="110"/>
  <c r="MF13" i="110"/>
  <c r="ME13" i="110"/>
  <c r="MD13" i="110"/>
  <c r="MC13" i="110"/>
  <c r="MB13" i="110"/>
  <c r="MA13" i="110"/>
  <c r="LZ13" i="110"/>
  <c r="LY13" i="110"/>
  <c r="LX13" i="110"/>
  <c r="LW13" i="110"/>
  <c r="LV13" i="110"/>
  <c r="LU13" i="110"/>
  <c r="LT13" i="110"/>
  <c r="LS13" i="110"/>
  <c r="LR13" i="110"/>
  <c r="LQ13" i="110"/>
  <c r="LP13" i="110"/>
  <c r="LO13" i="110"/>
  <c r="LN13" i="110"/>
  <c r="LM13" i="110"/>
  <c r="LL13" i="110"/>
  <c r="LK13" i="110"/>
  <c r="LJ13" i="110"/>
  <c r="LI13" i="110"/>
  <c r="LH13" i="110"/>
  <c r="LG13" i="110"/>
  <c r="LF13" i="110"/>
  <c r="LE13" i="110"/>
  <c r="LD13" i="110"/>
  <c r="LC13" i="110"/>
  <c r="LB13" i="110"/>
  <c r="LA13" i="110"/>
  <c r="KZ13" i="110"/>
  <c r="KY13" i="110"/>
  <c r="KX13" i="110"/>
  <c r="KW13" i="110"/>
  <c r="KV13" i="110"/>
  <c r="KU13" i="110"/>
  <c r="KT13" i="110"/>
  <c r="KS13" i="110"/>
  <c r="KR13" i="110"/>
  <c r="KQ13" i="110"/>
  <c r="KP13" i="110"/>
  <c r="KO13" i="110"/>
  <c r="KN13" i="110"/>
  <c r="KM13" i="110"/>
  <c r="KL13" i="110"/>
  <c r="KK13" i="110"/>
  <c r="KJ13" i="110"/>
  <c r="KI13" i="110"/>
  <c r="KH13" i="110"/>
  <c r="KG13" i="110"/>
  <c r="KF13" i="110"/>
  <c r="KE13" i="110"/>
  <c r="KD13" i="110"/>
  <c r="KC13" i="110"/>
  <c r="KB13" i="110"/>
  <c r="KA13" i="110"/>
  <c r="JZ13" i="110"/>
  <c r="JY13" i="110"/>
  <c r="JX13" i="110"/>
  <c r="JW13" i="110"/>
  <c r="JV13" i="110"/>
  <c r="JU13" i="110"/>
  <c r="JT13" i="110"/>
  <c r="JS13" i="110"/>
  <c r="JR13" i="110"/>
  <c r="JQ13" i="110"/>
  <c r="JP13" i="110"/>
  <c r="JO13" i="110"/>
  <c r="JN13" i="110"/>
  <c r="JM13" i="110"/>
  <c r="JL13" i="110"/>
  <c r="JK13" i="110"/>
  <c r="JJ13" i="110"/>
  <c r="JI13" i="110"/>
  <c r="JH13" i="110"/>
  <c r="JG13" i="110"/>
  <c r="JF13" i="110"/>
  <c r="JE13" i="110"/>
  <c r="JD13" i="110"/>
  <c r="JC13" i="110"/>
  <c r="JB13" i="110"/>
  <c r="JA13" i="110"/>
  <c r="IZ13" i="110"/>
  <c r="IY13" i="110"/>
  <c r="IX13" i="110"/>
  <c r="IW13" i="110"/>
  <c r="IV13" i="110"/>
  <c r="IU13" i="110"/>
  <c r="IT13" i="110"/>
  <c r="IS13" i="110"/>
  <c r="IR13" i="110"/>
  <c r="IQ13" i="110"/>
  <c r="IP13" i="110"/>
  <c r="IO13" i="110"/>
  <c r="IN13" i="110"/>
  <c r="IM13" i="110"/>
  <c r="IL13" i="110"/>
  <c r="IK13" i="110"/>
  <c r="IJ13" i="110"/>
  <c r="II13" i="110"/>
  <c r="IH13" i="110"/>
  <c r="IG13" i="110"/>
  <c r="IF13" i="110"/>
  <c r="IE13" i="110"/>
  <c r="ID13" i="110"/>
  <c r="IC13" i="110"/>
  <c r="IB13" i="110"/>
  <c r="IA13" i="110"/>
  <c r="HZ13" i="110"/>
  <c r="HY13" i="110"/>
  <c r="HX13" i="110"/>
  <c r="HW13" i="110"/>
  <c r="HV13" i="110"/>
  <c r="HU13" i="110"/>
  <c r="HT13" i="110"/>
  <c r="HS13" i="110"/>
  <c r="HR13" i="110"/>
  <c r="HQ13" i="110"/>
  <c r="HP13" i="110"/>
  <c r="HO13" i="110"/>
  <c r="HN13" i="110"/>
  <c r="HM13" i="110"/>
  <c r="HL13" i="110"/>
  <c r="HK13" i="110"/>
  <c r="HJ13" i="110"/>
  <c r="HI13" i="110"/>
  <c r="HH13" i="110"/>
  <c r="HG13" i="110"/>
  <c r="HF13" i="110"/>
  <c r="HE13" i="110"/>
  <c r="HD13" i="110"/>
  <c r="HC13" i="110"/>
  <c r="HB13" i="110"/>
  <c r="HA13" i="110"/>
  <c r="GZ13" i="110"/>
  <c r="GY13" i="110"/>
  <c r="GX13" i="110"/>
  <c r="GW13" i="110"/>
  <c r="GV13" i="110"/>
  <c r="GU13" i="110"/>
  <c r="GT13" i="110"/>
  <c r="GS13" i="110"/>
  <c r="GR13" i="110"/>
  <c r="GQ13" i="110"/>
  <c r="GP13" i="110"/>
  <c r="GO13" i="110"/>
  <c r="GN13" i="110"/>
  <c r="GM13" i="110"/>
  <c r="GL13" i="110"/>
  <c r="GK13" i="110"/>
  <c r="GJ13" i="110"/>
  <c r="GI13" i="110"/>
  <c r="GH13" i="110"/>
  <c r="GG13" i="110"/>
  <c r="GF13" i="110"/>
  <c r="GE13" i="110"/>
  <c r="GD13" i="110"/>
  <c r="GC13" i="110"/>
  <c r="GB13" i="110"/>
  <c r="GA13" i="110"/>
  <c r="FZ13" i="110"/>
  <c r="FY13" i="110"/>
  <c r="FX13" i="110"/>
  <c r="FW13" i="110"/>
  <c r="FV13" i="110"/>
  <c r="FU13" i="110"/>
  <c r="FT13" i="110"/>
  <c r="FS13" i="110"/>
  <c r="FR13" i="110"/>
  <c r="FQ13" i="110"/>
  <c r="FP13" i="110"/>
  <c r="FO13" i="110"/>
  <c r="FN13" i="110"/>
  <c r="FM13" i="110"/>
  <c r="EC13" i="110"/>
  <c r="EB13" i="110"/>
  <c r="EA13" i="110"/>
  <c r="DZ13" i="110"/>
  <c r="DY13" i="110"/>
  <c r="DX13" i="110"/>
  <c r="DW13" i="110"/>
  <c r="DV13" i="110"/>
  <c r="DU13" i="110"/>
  <c r="DT13" i="110"/>
  <c r="DS13" i="110"/>
  <c r="DR13" i="110"/>
  <c r="DQ13" i="110"/>
  <c r="DP13" i="110"/>
  <c r="DO13" i="110"/>
  <c r="DN13" i="110"/>
  <c r="DM13" i="110"/>
  <c r="DL13" i="110"/>
  <c r="DK13" i="110"/>
  <c r="DJ13" i="110"/>
  <c r="DI13" i="110"/>
  <c r="DH13" i="110"/>
  <c r="DG13" i="110"/>
  <c r="DF13" i="110"/>
  <c r="DE13" i="110"/>
  <c r="DD13" i="110"/>
  <c r="DC13" i="110"/>
  <c r="DB13" i="110"/>
  <c r="DA13" i="110"/>
  <c r="CZ13" i="110"/>
  <c r="CY13" i="110"/>
  <c r="CX13" i="110"/>
  <c r="CW13" i="110"/>
  <c r="CV13" i="110"/>
  <c r="CU13" i="110"/>
  <c r="CT13" i="110"/>
  <c r="CS13" i="110"/>
  <c r="CR13" i="110"/>
  <c r="CQ13" i="110"/>
  <c r="CP13" i="110"/>
  <c r="CO13" i="110"/>
  <c r="CN13" i="110"/>
  <c r="CM13" i="110"/>
  <c r="CL13" i="110"/>
  <c r="CK13" i="110"/>
  <c r="CJ13" i="110"/>
  <c r="CI13" i="110"/>
  <c r="CH13" i="110"/>
  <c r="CG13" i="110"/>
  <c r="CF13" i="110"/>
  <c r="CE13" i="110"/>
  <c r="CD13" i="110"/>
  <c r="CC13" i="110"/>
  <c r="CB13" i="110"/>
  <c r="CA13" i="110"/>
  <c r="BZ13" i="110"/>
  <c r="BY13" i="110"/>
  <c r="BX13" i="110"/>
  <c r="BW13" i="110"/>
  <c r="BV13" i="110"/>
  <c r="BU13" i="110"/>
  <c r="BT13" i="110"/>
  <c r="BS13" i="110"/>
  <c r="BR13" i="110"/>
  <c r="BQ13" i="110"/>
  <c r="BP13" i="110"/>
  <c r="BO13" i="110"/>
  <c r="BN13" i="110"/>
  <c r="BM13" i="110"/>
  <c r="BL13" i="110"/>
  <c r="BK13" i="110"/>
  <c r="BJ13" i="110"/>
  <c r="BI13" i="110"/>
  <c r="BH13" i="110"/>
  <c r="BG13" i="110"/>
  <c r="BF13" i="110"/>
  <c r="BE13" i="110"/>
  <c r="BD13" i="110"/>
  <c r="BC13" i="110"/>
  <c r="BB13" i="110"/>
  <c r="BA13" i="110"/>
  <c r="AZ13" i="110"/>
  <c r="AY13" i="110"/>
  <c r="AX13" i="110"/>
  <c r="AW13" i="110"/>
  <c r="AV13" i="110"/>
  <c r="AU13" i="110"/>
  <c r="AT13" i="110"/>
  <c r="AS13" i="110"/>
  <c r="AR13" i="110"/>
  <c r="AQ13" i="110"/>
  <c r="AP13" i="110"/>
  <c r="AO13" i="110"/>
  <c r="AN13" i="110"/>
  <c r="AM13" i="110"/>
  <c r="AL13" i="110"/>
  <c r="AK13" i="110"/>
  <c r="AJ13" i="110"/>
  <c r="AI13" i="110"/>
  <c r="AH13" i="110"/>
  <c r="AG13" i="110"/>
  <c r="AF13" i="110"/>
  <c r="AE13" i="110"/>
  <c r="AD13" i="110"/>
  <c r="AC13" i="110"/>
  <c r="AB13" i="110"/>
  <c r="AA13" i="110"/>
  <c r="Z13" i="110"/>
  <c r="Y13" i="110"/>
  <c r="X13" i="110"/>
  <c r="L13" i="110"/>
  <c r="M13" i="110" s="1"/>
  <c r="A13" i="110"/>
  <c r="OC12" i="110"/>
  <c r="OB12" i="110"/>
  <c r="OA12" i="110"/>
  <c r="NZ12" i="110"/>
  <c r="NY12" i="110"/>
  <c r="NX12" i="110"/>
  <c r="NW12" i="110"/>
  <c r="NV12" i="110"/>
  <c r="NU12" i="110"/>
  <c r="NT12" i="110"/>
  <c r="NS12" i="110"/>
  <c r="NR12" i="110"/>
  <c r="NQ12" i="110"/>
  <c r="NP12" i="110"/>
  <c r="NO12" i="110"/>
  <c r="NN12" i="110"/>
  <c r="NM12" i="110"/>
  <c r="NL12" i="110"/>
  <c r="NK12" i="110"/>
  <c r="NJ12" i="110"/>
  <c r="NI12" i="110"/>
  <c r="NH12" i="110"/>
  <c r="NG12" i="110"/>
  <c r="NF12" i="110"/>
  <c r="NE12" i="110"/>
  <c r="ND12" i="110"/>
  <c r="NC12" i="110"/>
  <c r="NB12" i="110"/>
  <c r="NA12" i="110"/>
  <c r="MZ12" i="110"/>
  <c r="MY12" i="110"/>
  <c r="MX12" i="110"/>
  <c r="MW12" i="110"/>
  <c r="MV12" i="110"/>
  <c r="MU12" i="110"/>
  <c r="MT12" i="110"/>
  <c r="MS12" i="110"/>
  <c r="MR12" i="110"/>
  <c r="MQ12" i="110"/>
  <c r="MP12" i="110"/>
  <c r="MO12" i="110"/>
  <c r="MN12" i="110"/>
  <c r="MM12" i="110"/>
  <c r="ML12" i="110"/>
  <c r="MK12" i="110"/>
  <c r="MJ12" i="110"/>
  <c r="MI12" i="110"/>
  <c r="MH12" i="110"/>
  <c r="MG12" i="110"/>
  <c r="MF12" i="110"/>
  <c r="ME12" i="110"/>
  <c r="MD12" i="110"/>
  <c r="MC12" i="110"/>
  <c r="MB12" i="110"/>
  <c r="MA12" i="110"/>
  <c r="LZ12" i="110"/>
  <c r="LY12" i="110"/>
  <c r="LX12" i="110"/>
  <c r="LW12" i="110"/>
  <c r="LV12" i="110"/>
  <c r="LU12" i="110"/>
  <c r="LT12" i="110"/>
  <c r="LS12" i="110"/>
  <c r="LR12" i="110"/>
  <c r="LQ12" i="110"/>
  <c r="LP12" i="110"/>
  <c r="LO12" i="110"/>
  <c r="LN12" i="110"/>
  <c r="LM12" i="110"/>
  <c r="LL12" i="110"/>
  <c r="LK12" i="110"/>
  <c r="LJ12" i="110"/>
  <c r="LI12" i="110"/>
  <c r="LH12" i="110"/>
  <c r="LG12" i="110"/>
  <c r="LF12" i="110"/>
  <c r="LE12" i="110"/>
  <c r="LD12" i="110"/>
  <c r="LC12" i="110"/>
  <c r="LB12" i="110"/>
  <c r="LA12" i="110"/>
  <c r="KZ12" i="110"/>
  <c r="KY12" i="110"/>
  <c r="KX12" i="110"/>
  <c r="KW12" i="110"/>
  <c r="KV12" i="110"/>
  <c r="KU12" i="110"/>
  <c r="KT12" i="110"/>
  <c r="KS12" i="110"/>
  <c r="KR12" i="110"/>
  <c r="KQ12" i="110"/>
  <c r="KP12" i="110"/>
  <c r="KO12" i="110"/>
  <c r="KN12" i="110"/>
  <c r="KM12" i="110"/>
  <c r="KL12" i="110"/>
  <c r="KK12" i="110"/>
  <c r="KJ12" i="110"/>
  <c r="KI12" i="110"/>
  <c r="KH12" i="110"/>
  <c r="KG12" i="110"/>
  <c r="KF12" i="110"/>
  <c r="KE12" i="110"/>
  <c r="KD12" i="110"/>
  <c r="KC12" i="110"/>
  <c r="KB12" i="110"/>
  <c r="KA12" i="110"/>
  <c r="JZ12" i="110"/>
  <c r="JY12" i="110"/>
  <c r="JX12" i="110"/>
  <c r="JW12" i="110"/>
  <c r="JV12" i="110"/>
  <c r="JU12" i="110"/>
  <c r="JT12" i="110"/>
  <c r="JS12" i="110"/>
  <c r="JR12" i="110"/>
  <c r="JQ12" i="110"/>
  <c r="JP12" i="110"/>
  <c r="JO12" i="110"/>
  <c r="JN12" i="110"/>
  <c r="JM12" i="110"/>
  <c r="JL12" i="110"/>
  <c r="JK12" i="110"/>
  <c r="JJ12" i="110"/>
  <c r="JI12" i="110"/>
  <c r="JH12" i="110"/>
  <c r="JG12" i="110"/>
  <c r="JF12" i="110"/>
  <c r="JE12" i="110"/>
  <c r="JD12" i="110"/>
  <c r="JC12" i="110"/>
  <c r="JB12" i="110"/>
  <c r="JA12" i="110"/>
  <c r="IZ12" i="110"/>
  <c r="IY12" i="110"/>
  <c r="IX12" i="110"/>
  <c r="IW12" i="110"/>
  <c r="IV12" i="110"/>
  <c r="IU12" i="110"/>
  <c r="IT12" i="110"/>
  <c r="IS12" i="110"/>
  <c r="IR12" i="110"/>
  <c r="IQ12" i="110"/>
  <c r="IP12" i="110"/>
  <c r="IO12" i="110"/>
  <c r="IN12" i="110"/>
  <c r="IM12" i="110"/>
  <c r="IL12" i="110"/>
  <c r="IK12" i="110"/>
  <c r="IJ12" i="110"/>
  <c r="II12" i="110"/>
  <c r="IH12" i="110"/>
  <c r="IG12" i="110"/>
  <c r="IF12" i="110"/>
  <c r="IE12" i="110"/>
  <c r="ID12" i="110"/>
  <c r="IC12" i="110"/>
  <c r="IB12" i="110"/>
  <c r="IA12" i="110"/>
  <c r="HZ12" i="110"/>
  <c r="HY12" i="110"/>
  <c r="HX12" i="110"/>
  <c r="HW12" i="110"/>
  <c r="HV12" i="110"/>
  <c r="HU12" i="110"/>
  <c r="HT12" i="110"/>
  <c r="HS12" i="110"/>
  <c r="HR12" i="110"/>
  <c r="HQ12" i="110"/>
  <c r="HP12" i="110"/>
  <c r="HO12" i="110"/>
  <c r="HN12" i="110"/>
  <c r="HM12" i="110"/>
  <c r="HL12" i="110"/>
  <c r="HK12" i="110"/>
  <c r="HJ12" i="110"/>
  <c r="HI12" i="110"/>
  <c r="HH12" i="110"/>
  <c r="HG12" i="110"/>
  <c r="HF12" i="110"/>
  <c r="HE12" i="110"/>
  <c r="HD12" i="110"/>
  <c r="HC12" i="110"/>
  <c r="HB12" i="110"/>
  <c r="HA12" i="110"/>
  <c r="GZ12" i="110"/>
  <c r="GY12" i="110"/>
  <c r="GX12" i="110"/>
  <c r="GW12" i="110"/>
  <c r="GV12" i="110"/>
  <c r="GU12" i="110"/>
  <c r="GT12" i="110"/>
  <c r="GS12" i="110"/>
  <c r="GR12" i="110"/>
  <c r="GQ12" i="110"/>
  <c r="GP12" i="110"/>
  <c r="GO12" i="110"/>
  <c r="GN12" i="110"/>
  <c r="GM12" i="110"/>
  <c r="GL12" i="110"/>
  <c r="GK12" i="110"/>
  <c r="GJ12" i="110"/>
  <c r="GI12" i="110"/>
  <c r="GH12" i="110"/>
  <c r="GG12" i="110"/>
  <c r="GF12" i="110"/>
  <c r="GE12" i="110"/>
  <c r="GD12" i="110"/>
  <c r="GC12" i="110"/>
  <c r="GB12" i="110"/>
  <c r="GA12" i="110"/>
  <c r="FZ12" i="110"/>
  <c r="FY12" i="110"/>
  <c r="FX12" i="110"/>
  <c r="FW12" i="110"/>
  <c r="FV12" i="110"/>
  <c r="FU12" i="110"/>
  <c r="FT12" i="110"/>
  <c r="FS12" i="110"/>
  <c r="FR12" i="110"/>
  <c r="FQ12" i="110"/>
  <c r="FP12" i="110"/>
  <c r="FO12" i="110"/>
  <c r="FN12" i="110"/>
  <c r="FM12" i="110"/>
  <c r="EC12" i="110"/>
  <c r="EB12" i="110"/>
  <c r="EA12" i="110"/>
  <c r="DZ12" i="110"/>
  <c r="DY12" i="110"/>
  <c r="DX12" i="110"/>
  <c r="DW12" i="110"/>
  <c r="DV12" i="110"/>
  <c r="DU12" i="110"/>
  <c r="DT12" i="110"/>
  <c r="DS12" i="110"/>
  <c r="DR12" i="110"/>
  <c r="DQ12" i="110"/>
  <c r="DP12" i="110"/>
  <c r="DO12" i="110"/>
  <c r="DN12" i="110"/>
  <c r="DM12" i="110"/>
  <c r="DL12" i="110"/>
  <c r="DK12" i="110"/>
  <c r="DJ12" i="110"/>
  <c r="DI12" i="110"/>
  <c r="DH12" i="110"/>
  <c r="DG12" i="110"/>
  <c r="DF12" i="110"/>
  <c r="DE12" i="110"/>
  <c r="DD12" i="110"/>
  <c r="DC12" i="110"/>
  <c r="DB12" i="110"/>
  <c r="DA12" i="110"/>
  <c r="CZ12" i="110"/>
  <c r="CY12" i="110"/>
  <c r="CX12" i="110"/>
  <c r="CW12" i="110"/>
  <c r="CV12" i="110"/>
  <c r="CU12" i="110"/>
  <c r="CT12" i="110"/>
  <c r="CS12" i="110"/>
  <c r="CR12" i="110"/>
  <c r="CQ12" i="110"/>
  <c r="CP12" i="110"/>
  <c r="CO12" i="110"/>
  <c r="CN12" i="110"/>
  <c r="CM12" i="110"/>
  <c r="CL12" i="110"/>
  <c r="CK12" i="110"/>
  <c r="CJ12" i="110"/>
  <c r="CI12" i="110"/>
  <c r="CH12" i="110"/>
  <c r="CG12" i="110"/>
  <c r="CF12" i="110"/>
  <c r="CE12" i="110"/>
  <c r="CD12" i="110"/>
  <c r="CC12" i="110"/>
  <c r="CB12" i="110"/>
  <c r="CA12" i="110"/>
  <c r="BZ12" i="110"/>
  <c r="BY12" i="110"/>
  <c r="BX12" i="110"/>
  <c r="BW12" i="110"/>
  <c r="BV12" i="110"/>
  <c r="BU12" i="110"/>
  <c r="BT12" i="110"/>
  <c r="BS12" i="110"/>
  <c r="BR12" i="110"/>
  <c r="BQ12" i="110"/>
  <c r="BP12" i="110"/>
  <c r="BO12" i="110"/>
  <c r="BN12" i="110"/>
  <c r="BM12" i="110"/>
  <c r="BL12" i="110"/>
  <c r="BK12" i="110"/>
  <c r="BJ12" i="110"/>
  <c r="BI12" i="110"/>
  <c r="BH12" i="110"/>
  <c r="BG12" i="110"/>
  <c r="BF12" i="110"/>
  <c r="BE12" i="110"/>
  <c r="BD12" i="110"/>
  <c r="BC12" i="110"/>
  <c r="BB12" i="110"/>
  <c r="BA12" i="110"/>
  <c r="AZ12" i="110"/>
  <c r="AY12" i="110"/>
  <c r="AX12" i="110"/>
  <c r="AW12" i="110"/>
  <c r="AV12" i="110"/>
  <c r="AU12" i="110"/>
  <c r="AT12" i="110"/>
  <c r="AS12" i="110"/>
  <c r="AR12" i="110"/>
  <c r="AQ12" i="110"/>
  <c r="AP12" i="110"/>
  <c r="AO12" i="110"/>
  <c r="AN12" i="110"/>
  <c r="AM12" i="110"/>
  <c r="AL12" i="110"/>
  <c r="AK12" i="110"/>
  <c r="AJ12" i="110"/>
  <c r="AI12" i="110"/>
  <c r="AH12" i="110"/>
  <c r="AG12" i="110"/>
  <c r="AF12" i="110"/>
  <c r="AE12" i="110"/>
  <c r="AD12" i="110"/>
  <c r="AC12" i="110"/>
  <c r="AB12" i="110"/>
  <c r="AA12" i="110"/>
  <c r="Z12" i="110"/>
  <c r="Y12" i="110"/>
  <c r="X12" i="110"/>
  <c r="L12" i="110"/>
  <c r="M12" i="110" s="1"/>
  <c r="A12" i="110"/>
  <c r="OC11" i="110"/>
  <c r="OB11" i="110"/>
  <c r="OA11" i="110"/>
  <c r="NZ11" i="110"/>
  <c r="NY11" i="110"/>
  <c r="NX11" i="110"/>
  <c r="NW11" i="110"/>
  <c r="NV11" i="110"/>
  <c r="NU11" i="110"/>
  <c r="NT11" i="110"/>
  <c r="NS11" i="110"/>
  <c r="NR11" i="110"/>
  <c r="NQ11" i="110"/>
  <c r="NP11" i="110"/>
  <c r="NO11" i="110"/>
  <c r="NN11" i="110"/>
  <c r="NM11" i="110"/>
  <c r="NL11" i="110"/>
  <c r="NK11" i="110"/>
  <c r="NJ11" i="110"/>
  <c r="NI11" i="110"/>
  <c r="NH11" i="110"/>
  <c r="NG11" i="110"/>
  <c r="NF11" i="110"/>
  <c r="NE11" i="110"/>
  <c r="ND11" i="110"/>
  <c r="NC11" i="110"/>
  <c r="NB11" i="110"/>
  <c r="NA11" i="110"/>
  <c r="MZ11" i="110"/>
  <c r="MY11" i="110"/>
  <c r="MX11" i="110"/>
  <c r="MW11" i="110"/>
  <c r="MV11" i="110"/>
  <c r="MU11" i="110"/>
  <c r="MT11" i="110"/>
  <c r="MS11" i="110"/>
  <c r="MR11" i="110"/>
  <c r="MQ11" i="110"/>
  <c r="MP11" i="110"/>
  <c r="MO11" i="110"/>
  <c r="MN11" i="110"/>
  <c r="MM11" i="110"/>
  <c r="ML11" i="110"/>
  <c r="MK11" i="110"/>
  <c r="MJ11" i="110"/>
  <c r="MI11" i="110"/>
  <c r="MH11" i="110"/>
  <c r="MG11" i="110"/>
  <c r="MF11" i="110"/>
  <c r="ME11" i="110"/>
  <c r="MD11" i="110"/>
  <c r="MC11" i="110"/>
  <c r="MB11" i="110"/>
  <c r="MA11" i="110"/>
  <c r="LZ11" i="110"/>
  <c r="LY11" i="110"/>
  <c r="LX11" i="110"/>
  <c r="LW11" i="110"/>
  <c r="LV11" i="110"/>
  <c r="LU11" i="110"/>
  <c r="LT11" i="110"/>
  <c r="LS11" i="110"/>
  <c r="LR11" i="110"/>
  <c r="LQ11" i="110"/>
  <c r="LP11" i="110"/>
  <c r="LO11" i="110"/>
  <c r="LN11" i="110"/>
  <c r="LM11" i="110"/>
  <c r="LL11" i="110"/>
  <c r="LK11" i="110"/>
  <c r="LJ11" i="110"/>
  <c r="LI11" i="110"/>
  <c r="LH11" i="110"/>
  <c r="LG11" i="110"/>
  <c r="LF11" i="110"/>
  <c r="LE11" i="110"/>
  <c r="LD11" i="110"/>
  <c r="LC11" i="110"/>
  <c r="LB11" i="110"/>
  <c r="LA11" i="110"/>
  <c r="KZ11" i="110"/>
  <c r="KY11" i="110"/>
  <c r="KX11" i="110"/>
  <c r="KW11" i="110"/>
  <c r="KV11" i="110"/>
  <c r="KU11" i="110"/>
  <c r="KT11" i="110"/>
  <c r="KS11" i="110"/>
  <c r="KR11" i="110"/>
  <c r="KQ11" i="110"/>
  <c r="KP11" i="110"/>
  <c r="KO11" i="110"/>
  <c r="KN11" i="110"/>
  <c r="KM11" i="110"/>
  <c r="KL11" i="110"/>
  <c r="KK11" i="110"/>
  <c r="KJ11" i="110"/>
  <c r="KI11" i="110"/>
  <c r="KH11" i="110"/>
  <c r="KG11" i="110"/>
  <c r="KF11" i="110"/>
  <c r="KE11" i="110"/>
  <c r="KD11" i="110"/>
  <c r="KC11" i="110"/>
  <c r="KB11" i="110"/>
  <c r="KA11" i="110"/>
  <c r="JZ11" i="110"/>
  <c r="JY11" i="110"/>
  <c r="JX11" i="110"/>
  <c r="JW11" i="110"/>
  <c r="JV11" i="110"/>
  <c r="JU11" i="110"/>
  <c r="JT11" i="110"/>
  <c r="JS11" i="110"/>
  <c r="JR11" i="110"/>
  <c r="JQ11" i="110"/>
  <c r="JP11" i="110"/>
  <c r="JO11" i="110"/>
  <c r="JN11" i="110"/>
  <c r="JM11" i="110"/>
  <c r="JL11" i="110"/>
  <c r="JK11" i="110"/>
  <c r="JJ11" i="110"/>
  <c r="JI11" i="110"/>
  <c r="JH11" i="110"/>
  <c r="JG11" i="110"/>
  <c r="JF11" i="110"/>
  <c r="JE11" i="110"/>
  <c r="JD11" i="110"/>
  <c r="JC11" i="110"/>
  <c r="JB11" i="110"/>
  <c r="JA11" i="110"/>
  <c r="IZ11" i="110"/>
  <c r="IY11" i="110"/>
  <c r="IX11" i="110"/>
  <c r="IW11" i="110"/>
  <c r="IV11" i="110"/>
  <c r="IU11" i="110"/>
  <c r="IT11" i="110"/>
  <c r="IS11" i="110"/>
  <c r="IR11" i="110"/>
  <c r="IQ11" i="110"/>
  <c r="IP11" i="110"/>
  <c r="IO11" i="110"/>
  <c r="IN11" i="110"/>
  <c r="IM11" i="110"/>
  <c r="IL11" i="110"/>
  <c r="IK11" i="110"/>
  <c r="IJ11" i="110"/>
  <c r="II11" i="110"/>
  <c r="IH11" i="110"/>
  <c r="IG11" i="110"/>
  <c r="IF11" i="110"/>
  <c r="IE11" i="110"/>
  <c r="ID11" i="110"/>
  <c r="IC11" i="110"/>
  <c r="IB11" i="110"/>
  <c r="IA11" i="110"/>
  <c r="HZ11" i="110"/>
  <c r="HY11" i="110"/>
  <c r="HX11" i="110"/>
  <c r="HW11" i="110"/>
  <c r="HV11" i="110"/>
  <c r="HU11" i="110"/>
  <c r="HT11" i="110"/>
  <c r="HS11" i="110"/>
  <c r="HR11" i="110"/>
  <c r="HQ11" i="110"/>
  <c r="HP11" i="110"/>
  <c r="HO11" i="110"/>
  <c r="HN11" i="110"/>
  <c r="HM11" i="110"/>
  <c r="HL11" i="110"/>
  <c r="HK11" i="110"/>
  <c r="HJ11" i="110"/>
  <c r="HI11" i="110"/>
  <c r="HH11" i="110"/>
  <c r="HG11" i="110"/>
  <c r="HF11" i="110"/>
  <c r="HE11" i="110"/>
  <c r="HD11" i="110"/>
  <c r="HC11" i="110"/>
  <c r="HB11" i="110"/>
  <c r="HA11" i="110"/>
  <c r="GZ11" i="110"/>
  <c r="GY11" i="110"/>
  <c r="GX11" i="110"/>
  <c r="GW11" i="110"/>
  <c r="GV11" i="110"/>
  <c r="GU11" i="110"/>
  <c r="GT11" i="110"/>
  <c r="GS11" i="110"/>
  <c r="GR11" i="110"/>
  <c r="GQ11" i="110"/>
  <c r="GP11" i="110"/>
  <c r="GO11" i="110"/>
  <c r="GN11" i="110"/>
  <c r="GM11" i="110"/>
  <c r="GL11" i="110"/>
  <c r="GK11" i="110"/>
  <c r="GJ11" i="110"/>
  <c r="GI11" i="110"/>
  <c r="GH11" i="110"/>
  <c r="GG11" i="110"/>
  <c r="GF11" i="110"/>
  <c r="GE11" i="110"/>
  <c r="GD11" i="110"/>
  <c r="GC11" i="110"/>
  <c r="GB11" i="110"/>
  <c r="GA11" i="110"/>
  <c r="FZ11" i="110"/>
  <c r="FY11" i="110"/>
  <c r="FX11" i="110"/>
  <c r="FW11" i="110"/>
  <c r="FV11" i="110"/>
  <c r="FU11" i="110"/>
  <c r="FT11" i="110"/>
  <c r="FS11" i="110"/>
  <c r="FR11" i="110"/>
  <c r="FQ11" i="110"/>
  <c r="FP11" i="110"/>
  <c r="FO11" i="110"/>
  <c r="FN11" i="110"/>
  <c r="FM11" i="110"/>
  <c r="EC11" i="110"/>
  <c r="EB11" i="110"/>
  <c r="EA11" i="110"/>
  <c r="DZ11" i="110"/>
  <c r="DY11" i="110"/>
  <c r="DX11" i="110"/>
  <c r="DW11" i="110"/>
  <c r="DV11" i="110"/>
  <c r="DU11" i="110"/>
  <c r="DT11" i="110"/>
  <c r="DS11" i="110"/>
  <c r="DR11" i="110"/>
  <c r="DQ11" i="110"/>
  <c r="DP11" i="110"/>
  <c r="DO11" i="110"/>
  <c r="DN11" i="110"/>
  <c r="DM11" i="110"/>
  <c r="DL11" i="110"/>
  <c r="DK11" i="110"/>
  <c r="DJ11" i="110"/>
  <c r="DI11" i="110"/>
  <c r="DH11" i="110"/>
  <c r="DG11" i="110"/>
  <c r="DF11" i="110"/>
  <c r="DE11" i="110"/>
  <c r="DD11" i="110"/>
  <c r="DC11" i="110"/>
  <c r="DB11" i="110"/>
  <c r="DA11" i="110"/>
  <c r="CZ11" i="110"/>
  <c r="CY11" i="110"/>
  <c r="CX11" i="110"/>
  <c r="CW11" i="110"/>
  <c r="CV11" i="110"/>
  <c r="CU11" i="110"/>
  <c r="CT11" i="110"/>
  <c r="CS11" i="110"/>
  <c r="CR11" i="110"/>
  <c r="CQ11" i="110"/>
  <c r="CP11" i="110"/>
  <c r="CO11" i="110"/>
  <c r="CN11" i="110"/>
  <c r="CM11" i="110"/>
  <c r="CL11" i="110"/>
  <c r="CK11" i="110"/>
  <c r="CJ11" i="110"/>
  <c r="CI11" i="110"/>
  <c r="CH11" i="110"/>
  <c r="CG11" i="110"/>
  <c r="CF11" i="110"/>
  <c r="CE11" i="110"/>
  <c r="CD11" i="110"/>
  <c r="CC11" i="110"/>
  <c r="CB11" i="110"/>
  <c r="CA11" i="110"/>
  <c r="BZ11" i="110"/>
  <c r="BY11" i="110"/>
  <c r="BX11" i="110"/>
  <c r="BW11" i="110"/>
  <c r="BV11" i="110"/>
  <c r="BU11" i="110"/>
  <c r="BT11" i="110"/>
  <c r="BS11" i="110"/>
  <c r="BR11" i="110"/>
  <c r="BQ11" i="110"/>
  <c r="BP11" i="110"/>
  <c r="BO11" i="110"/>
  <c r="BN11" i="110"/>
  <c r="BM11" i="110"/>
  <c r="BL11" i="110"/>
  <c r="BK11" i="110"/>
  <c r="BJ11" i="110"/>
  <c r="BI11" i="110"/>
  <c r="BH11" i="110"/>
  <c r="BG11" i="110"/>
  <c r="BF11" i="110"/>
  <c r="BE11" i="110"/>
  <c r="BD11" i="110"/>
  <c r="BC11" i="110"/>
  <c r="BB11" i="110"/>
  <c r="BA11" i="110"/>
  <c r="AZ11" i="110"/>
  <c r="AY11" i="110"/>
  <c r="AX11" i="110"/>
  <c r="AW11" i="110"/>
  <c r="AV11" i="110"/>
  <c r="AU11" i="110"/>
  <c r="AT11" i="110"/>
  <c r="AS11" i="110"/>
  <c r="AR11" i="110"/>
  <c r="AQ11" i="110"/>
  <c r="AP11" i="110"/>
  <c r="AO11" i="110"/>
  <c r="AN11" i="110"/>
  <c r="AM11" i="110"/>
  <c r="AL11" i="110"/>
  <c r="AK11" i="110"/>
  <c r="AJ11" i="110"/>
  <c r="AI11" i="110"/>
  <c r="AH11" i="110"/>
  <c r="AG11" i="110"/>
  <c r="AF11" i="110"/>
  <c r="AE11" i="110"/>
  <c r="AD11" i="110"/>
  <c r="AC11" i="110"/>
  <c r="AB11" i="110"/>
  <c r="AA11" i="110"/>
  <c r="Z11" i="110"/>
  <c r="Y11" i="110"/>
  <c r="X11" i="110"/>
  <c r="L11" i="110"/>
  <c r="M11" i="110" s="1"/>
  <c r="A11" i="110"/>
  <c r="T4" i="110"/>
  <c r="J183" i="107"/>
  <c r="J180" i="107"/>
  <c r="W176" i="107"/>
  <c r="W162" i="107"/>
  <c r="V160" i="107"/>
  <c r="P160" i="107"/>
  <c r="P164" i="107" s="1"/>
  <c r="J160" i="107"/>
  <c r="J164" i="107" s="1"/>
  <c r="W152" i="107"/>
  <c r="W151" i="107"/>
  <c r="V145" i="107"/>
  <c r="S145" i="107"/>
  <c r="P145" i="107"/>
  <c r="M145" i="107"/>
  <c r="J145" i="107"/>
  <c r="G145" i="107"/>
  <c r="U144" i="107"/>
  <c r="A144" i="107"/>
  <c r="W142" i="107"/>
  <c r="O142" i="107"/>
  <c r="V140" i="107"/>
  <c r="V136" i="107"/>
  <c r="P136" i="107"/>
  <c r="M136" i="107"/>
  <c r="J136" i="107"/>
  <c r="U135" i="107"/>
  <c r="A135" i="107"/>
  <c r="W128" i="107"/>
  <c r="O128" i="107"/>
  <c r="V127" i="107"/>
  <c r="S127" i="107"/>
  <c r="M127" i="107"/>
  <c r="J127" i="107"/>
  <c r="W121" i="107"/>
  <c r="O121" i="107"/>
  <c r="V120" i="107"/>
  <c r="S120" i="107"/>
  <c r="G120" i="107"/>
  <c r="U119" i="107"/>
  <c r="A119" i="107"/>
  <c r="W115" i="107"/>
  <c r="O115" i="107"/>
  <c r="V114" i="107"/>
  <c r="U113" i="107"/>
  <c r="A113" i="107"/>
  <c r="U112" i="107"/>
  <c r="A112" i="107"/>
  <c r="AD104" i="107"/>
  <c r="W104" i="107"/>
  <c r="O104" i="107"/>
  <c r="V103" i="107"/>
  <c r="S103" i="107"/>
  <c r="G103" i="107"/>
  <c r="U102" i="107"/>
  <c r="A102" i="107"/>
  <c r="W96" i="107"/>
  <c r="O96" i="107"/>
  <c r="V94" i="107"/>
  <c r="V92" i="107"/>
  <c r="S92" i="107"/>
  <c r="M92" i="107"/>
  <c r="J92" i="107"/>
  <c r="W87" i="107"/>
  <c r="O87" i="107"/>
  <c r="V86" i="107"/>
  <c r="S86" i="107"/>
  <c r="M86" i="107"/>
  <c r="J86" i="107"/>
  <c r="U85" i="107"/>
  <c r="A85" i="107"/>
  <c r="W74" i="107"/>
  <c r="O74" i="107"/>
  <c r="V73" i="107"/>
  <c r="S73" i="107"/>
  <c r="M73" i="107"/>
  <c r="J73" i="107"/>
  <c r="U72" i="107"/>
  <c r="A72" i="107"/>
  <c r="U71" i="107"/>
  <c r="A71" i="107"/>
  <c r="W60" i="107"/>
  <c r="O60" i="107"/>
  <c r="W54" i="107"/>
  <c r="O54" i="107"/>
  <c r="W51" i="107"/>
  <c r="W45" i="107"/>
  <c r="O45" i="107"/>
  <c r="V41" i="107"/>
  <c r="S41" i="107"/>
  <c r="M41" i="107"/>
  <c r="J41" i="107"/>
  <c r="W37" i="107"/>
  <c r="O37" i="107"/>
  <c r="V36" i="107"/>
  <c r="S36" i="107"/>
  <c r="P36" i="107"/>
  <c r="M36" i="107"/>
  <c r="J36" i="107"/>
  <c r="G36" i="107"/>
  <c r="W29" i="107"/>
  <c r="O29" i="107"/>
  <c r="V28" i="107"/>
  <c r="S28" i="107"/>
  <c r="P28" i="107"/>
  <c r="M28" i="107"/>
  <c r="J28" i="107"/>
  <c r="G28" i="107"/>
  <c r="W25" i="107"/>
  <c r="O25" i="107"/>
  <c r="V24" i="107"/>
  <c r="S24" i="107"/>
  <c r="M24" i="107"/>
  <c r="G24" i="107"/>
  <c r="W19" i="107"/>
  <c r="O19" i="107"/>
  <c r="V18" i="107"/>
  <c r="S18" i="107"/>
  <c r="P18" i="107"/>
  <c r="M18" i="107"/>
  <c r="J18" i="107"/>
  <c r="G18" i="107"/>
  <c r="U17" i="107"/>
  <c r="A17" i="107"/>
  <c r="U16" i="107"/>
  <c r="A16" i="107"/>
  <c r="U15" i="107"/>
  <c r="A15" i="107"/>
  <c r="W8" i="107"/>
  <c r="O8" i="107"/>
  <c r="V6" i="107"/>
  <c r="S39" i="106"/>
  <c r="S21" i="106"/>
  <c r="S4" i="106"/>
  <c r="K30" i="105"/>
  <c r="N266" i="110" l="1"/>
  <c r="N261" i="110"/>
  <c r="H243" i="110"/>
  <c r="H256" i="110"/>
  <c r="H254" i="110"/>
  <c r="H253" i="110"/>
  <c r="H252" i="110"/>
  <c r="H244" i="110"/>
  <c r="H245" i="110"/>
  <c r="H262" i="110"/>
  <c r="H261" i="110"/>
  <c r="H248" i="110"/>
  <c r="N257" i="110"/>
  <c r="N267" i="110"/>
  <c r="N251" i="110"/>
  <c r="N259" i="110"/>
  <c r="H268" i="110"/>
  <c r="H265" i="110"/>
  <c r="H264" i="110"/>
  <c r="H263" i="110"/>
  <c r="N253" i="110"/>
  <c r="N269" i="110"/>
  <c r="H258" i="110"/>
  <c r="J18" i="110"/>
  <c r="J471" i="123" s="1"/>
  <c r="L471" i="123" s="1"/>
  <c r="M471" i="123" s="1"/>
  <c r="J26" i="110"/>
  <c r="J479" i="123" s="1"/>
  <c r="L479" i="123" s="1"/>
  <c r="M479" i="123" s="1"/>
  <c r="J22" i="110"/>
  <c r="J475" i="123" s="1"/>
  <c r="L475" i="123" s="1"/>
  <c r="M475" i="123" s="1"/>
  <c r="J30" i="110"/>
  <c r="J483" i="123" s="1"/>
  <c r="L483" i="123" s="1"/>
  <c r="M483" i="123" s="1"/>
  <c r="J23" i="110"/>
  <c r="J476" i="123" s="1"/>
  <c r="L476" i="123" s="1"/>
  <c r="M476" i="123" s="1"/>
  <c r="J19" i="110"/>
  <c r="J472" i="123" s="1"/>
  <c r="L472" i="123" s="1"/>
  <c r="M472" i="123" s="1"/>
  <c r="J27" i="110"/>
  <c r="J480" i="123" s="1"/>
  <c r="L480" i="123" s="1"/>
  <c r="M480" i="123" s="1"/>
  <c r="J31" i="110"/>
  <c r="J484" i="123" s="1"/>
  <c r="L484" i="123" s="1"/>
  <c r="M484" i="123" s="1"/>
  <c r="J24" i="110"/>
  <c r="J477" i="123" s="1"/>
  <c r="L477" i="123" s="1"/>
  <c r="M477" i="123" s="1"/>
  <c r="J28" i="110"/>
  <c r="J481" i="123" s="1"/>
  <c r="L481" i="123" s="1"/>
  <c r="M481" i="123" s="1"/>
  <c r="J32" i="110"/>
  <c r="J485" i="123" s="1"/>
  <c r="L485" i="123" s="1"/>
  <c r="M485" i="123" s="1"/>
  <c r="J20" i="110"/>
  <c r="J473" i="123" s="1"/>
  <c r="L473" i="123" s="1"/>
  <c r="M473" i="123" s="1"/>
  <c r="C31" i="111"/>
  <c r="C769" i="123" s="1"/>
  <c r="B769" i="123"/>
  <c r="AC122" i="107"/>
  <c r="AD122" i="107" s="1"/>
  <c r="AC124" i="107"/>
  <c r="AD124" i="107" s="1"/>
  <c r="M147" i="107"/>
  <c r="M163" i="107" s="1"/>
  <c r="M165" i="107" s="1"/>
  <c r="M167" i="107" s="1"/>
  <c r="K28" i="123"/>
  <c r="H15" i="100"/>
  <c r="H8" i="100"/>
  <c r="J26" i="123"/>
  <c r="A1" i="123" s="1"/>
  <c r="A315" i="123"/>
  <c r="A46" i="123"/>
  <c r="A2" i="106"/>
  <c r="S2" i="106" s="1"/>
  <c r="F233" i="112"/>
  <c r="O1459" i="123"/>
  <c r="L1459" i="123" s="1"/>
  <c r="P1410" i="123"/>
  <c r="AB193" i="112"/>
  <c r="AB190" i="112" s="1"/>
  <c r="O1410" i="123"/>
  <c r="AA193" i="112"/>
  <c r="O1315" i="123"/>
  <c r="O1311" i="123"/>
  <c r="P1315" i="123"/>
  <c r="P1311" i="123"/>
  <c r="O1274" i="123"/>
  <c r="L1274" i="123" s="1"/>
  <c r="AA60" i="112"/>
  <c r="O1272" i="123" s="1"/>
  <c r="P1274" i="123"/>
  <c r="AB60" i="112"/>
  <c r="P1272" i="123" s="1"/>
  <c r="P1219" i="123"/>
  <c r="AB23" i="112"/>
  <c r="O1219" i="123"/>
  <c r="Q1219" i="123" s="1"/>
  <c r="AA23" i="112"/>
  <c r="AB256" i="112"/>
  <c r="AB268" i="112" s="1"/>
  <c r="AA297" i="112"/>
  <c r="O1526" i="123" s="1"/>
  <c r="R1526" i="123" s="1"/>
  <c r="AB297" i="112"/>
  <c r="P1526" i="123" s="1"/>
  <c r="L1432" i="123"/>
  <c r="O1433" i="123"/>
  <c r="L1231" i="123"/>
  <c r="Q1238" i="123"/>
  <c r="D12" i="112"/>
  <c r="AB71" i="112"/>
  <c r="P1283" i="123" s="1"/>
  <c r="P1286" i="123"/>
  <c r="O1286" i="123"/>
  <c r="O1283" i="123"/>
  <c r="H784" i="123"/>
  <c r="L29" i="110"/>
  <c r="M29" i="110" s="1"/>
  <c r="F123" i="111"/>
  <c r="F130" i="111" s="1"/>
  <c r="C93" i="111"/>
  <c r="C100" i="111" s="1"/>
  <c r="V147" i="107"/>
  <c r="E38" i="107"/>
  <c r="P38" i="107" s="1"/>
  <c r="J147" i="107"/>
  <c r="J163" i="107" s="1"/>
  <c r="E40" i="107"/>
  <c r="P40" i="107" s="1"/>
  <c r="C29" i="111"/>
  <c r="C37" i="111" s="1"/>
  <c r="E29" i="111"/>
  <c r="E37" i="111" s="1"/>
  <c r="D64" i="111"/>
  <c r="C64" i="111"/>
  <c r="E64" i="111"/>
  <c r="I27" i="111"/>
  <c r="D29" i="111"/>
  <c r="D37" i="111" s="1"/>
  <c r="G32" i="111"/>
  <c r="H32" i="111"/>
  <c r="D59" i="111"/>
  <c r="I32" i="111"/>
  <c r="H60" i="111"/>
  <c r="H68" i="111" s="1"/>
  <c r="G91" i="111"/>
  <c r="J32" i="111"/>
  <c r="I60" i="111"/>
  <c r="I68" i="111" s="1"/>
  <c r="K92" i="111"/>
  <c r="K99" i="111" s="1"/>
  <c r="B64" i="111"/>
  <c r="B93" i="111"/>
  <c r="B100" i="111" s="1"/>
  <c r="B121" i="111"/>
  <c r="I59" i="111"/>
  <c r="B92" i="111"/>
  <c r="B99" i="111" s="1"/>
  <c r="B122" i="111"/>
  <c r="B129" i="111" s="1"/>
  <c r="E28" i="111"/>
  <c r="E36" i="111" s="1"/>
  <c r="I29" i="111"/>
  <c r="J59" i="111"/>
  <c r="D61" i="111"/>
  <c r="D69" i="111" s="1"/>
  <c r="C92" i="111"/>
  <c r="G93" i="111"/>
  <c r="K35" i="87" s="1"/>
  <c r="C122" i="111"/>
  <c r="C129" i="111" s="1"/>
  <c r="D28" i="111"/>
  <c r="D36" i="111" s="1"/>
  <c r="H29" i="111"/>
  <c r="K16" i="87" s="1"/>
  <c r="C61" i="111"/>
  <c r="C69" i="111" s="1"/>
  <c r="F93" i="111"/>
  <c r="F100" i="111" s="1"/>
  <c r="B27" i="111"/>
  <c r="F28" i="111"/>
  <c r="F36" i="111" s="1"/>
  <c r="J29" i="111"/>
  <c r="J37" i="111" s="1"/>
  <c r="K59" i="111"/>
  <c r="E61" i="111"/>
  <c r="E69" i="111" s="1"/>
  <c r="D92" i="111"/>
  <c r="D99" i="111" s="1"/>
  <c r="H93" i="111"/>
  <c r="D122" i="111"/>
  <c r="D129" i="111" s="1"/>
  <c r="J27" i="111"/>
  <c r="E59" i="111"/>
  <c r="H91" i="111"/>
  <c r="C121" i="111"/>
  <c r="K27" i="111"/>
  <c r="F59" i="111"/>
  <c r="J60" i="111"/>
  <c r="J68" i="111" s="1"/>
  <c r="I91" i="111"/>
  <c r="D121" i="111"/>
  <c r="B28" i="111"/>
  <c r="B36" i="111" s="1"/>
  <c r="F29" i="111"/>
  <c r="F37" i="111" s="1"/>
  <c r="G59" i="111"/>
  <c r="K60" i="111"/>
  <c r="K68" i="111" s="1"/>
  <c r="J91" i="111"/>
  <c r="D93" i="111"/>
  <c r="E121" i="111"/>
  <c r="C28" i="111"/>
  <c r="C36" i="111" s="1"/>
  <c r="K32" i="111"/>
  <c r="H59" i="111"/>
  <c r="B61" i="111"/>
  <c r="B69" i="111" s="1"/>
  <c r="F64" i="111"/>
  <c r="K91" i="111"/>
  <c r="E93" i="111"/>
  <c r="E100" i="111" s="1"/>
  <c r="F121" i="111"/>
  <c r="C27" i="111"/>
  <c r="G28" i="111"/>
  <c r="G36" i="111" s="1"/>
  <c r="K29" i="111"/>
  <c r="K37" i="111" s="1"/>
  <c r="B60" i="111"/>
  <c r="B68" i="111" s="1"/>
  <c r="F61" i="111"/>
  <c r="E92" i="111"/>
  <c r="E99" i="111" s="1"/>
  <c r="I93" i="111"/>
  <c r="K37" i="87" s="1"/>
  <c r="E122" i="111"/>
  <c r="E129" i="111" s="1"/>
  <c r="D27" i="111"/>
  <c r="H28" i="111"/>
  <c r="H36" i="111" s="1"/>
  <c r="B32" i="111"/>
  <c r="C60" i="111"/>
  <c r="C68" i="111" s="1"/>
  <c r="G61" i="111"/>
  <c r="K25" i="87" s="1"/>
  <c r="B91" i="111"/>
  <c r="F92" i="111"/>
  <c r="F99" i="111" s="1"/>
  <c r="J93" i="111"/>
  <c r="J100" i="111" s="1"/>
  <c r="F122" i="111"/>
  <c r="F129" i="111" s="1"/>
  <c r="E27" i="111"/>
  <c r="I28" i="111"/>
  <c r="I36" i="111" s="1"/>
  <c r="C32" i="111"/>
  <c r="D60" i="111"/>
  <c r="D68" i="111" s="1"/>
  <c r="H61" i="111"/>
  <c r="H69" i="111" s="1"/>
  <c r="C91" i="111"/>
  <c r="G92" i="111"/>
  <c r="G99" i="111" s="1"/>
  <c r="K93" i="111"/>
  <c r="K39" i="87" s="1"/>
  <c r="B123" i="111"/>
  <c r="B130" i="111" s="1"/>
  <c r="G29" i="111"/>
  <c r="F27" i="111"/>
  <c r="J28" i="111"/>
  <c r="J36" i="111" s="1"/>
  <c r="D32" i="111"/>
  <c r="E60" i="111"/>
  <c r="I61" i="111"/>
  <c r="I69" i="111" s="1"/>
  <c r="D91" i="111"/>
  <c r="H92" i="111"/>
  <c r="H99" i="111" s="1"/>
  <c r="C123" i="111"/>
  <c r="C130" i="111" s="1"/>
  <c r="G27" i="111"/>
  <c r="K28" i="111"/>
  <c r="K36" i="111" s="1"/>
  <c r="E32" i="111"/>
  <c r="B59" i="111"/>
  <c r="F60" i="111"/>
  <c r="F68" i="111" s="1"/>
  <c r="J61" i="111"/>
  <c r="J69" i="111" s="1"/>
  <c r="E91" i="111"/>
  <c r="I92" i="111"/>
  <c r="I99" i="111" s="1"/>
  <c r="D123" i="111"/>
  <c r="D130" i="111" s="1"/>
  <c r="H27" i="111"/>
  <c r="B29" i="111"/>
  <c r="B37" i="111" s="1"/>
  <c r="F32" i="111"/>
  <c r="C59" i="111"/>
  <c r="G60" i="111"/>
  <c r="G68" i="111" s="1"/>
  <c r="K61" i="111"/>
  <c r="K69" i="111" s="1"/>
  <c r="F91" i="111"/>
  <c r="J92" i="111"/>
  <c r="J99" i="111" s="1"/>
  <c r="E123" i="111"/>
  <c r="E130" i="111" s="1"/>
  <c r="N263" i="110"/>
  <c r="C60" i="100"/>
  <c r="H269" i="110"/>
  <c r="C59" i="100"/>
  <c r="C58" i="100"/>
  <c r="H249" i="110"/>
  <c r="F53" i="89"/>
  <c r="G59" i="93"/>
  <c r="G59" i="115"/>
  <c r="G1668" i="123" s="1"/>
  <c r="I1668" i="123" s="1"/>
  <c r="G60" i="115"/>
  <c r="G1669" i="123" s="1"/>
  <c r="I1669" i="123" s="1"/>
  <c r="G60" i="93"/>
  <c r="G62" i="93"/>
  <c r="G63" i="115"/>
  <c r="G1672" i="123" s="1"/>
  <c r="I1672" i="123" s="1"/>
  <c r="G62" i="115"/>
  <c r="G1671" i="123" s="1"/>
  <c r="I1671" i="123" s="1"/>
  <c r="G63" i="93"/>
  <c r="G61" i="93"/>
  <c r="G61" i="115"/>
  <c r="O30" i="105"/>
  <c r="E18" i="89"/>
  <c r="A2" i="105"/>
  <c r="C44" i="90"/>
  <c r="G58" i="93"/>
  <c r="G58" i="115"/>
  <c r="J20" i="115"/>
  <c r="J48" i="115" s="1"/>
  <c r="X26" i="112"/>
  <c r="L40" i="110"/>
  <c r="M40" i="110" s="1"/>
  <c r="L21" i="110"/>
  <c r="M21" i="110" s="1"/>
  <c r="L38" i="110"/>
  <c r="M38" i="110" s="1"/>
  <c r="X366" i="112"/>
  <c r="L1594" i="123" s="1"/>
  <c r="T354" i="112"/>
  <c r="K1582" i="123" s="1"/>
  <c r="X325" i="112"/>
  <c r="AC26" i="112"/>
  <c r="X344" i="112"/>
  <c r="AC89" i="112"/>
  <c r="P1221" i="123"/>
  <c r="AA199" i="112"/>
  <c r="O1416" i="123" s="1"/>
  <c r="X62" i="112"/>
  <c r="BO398" i="112"/>
  <c r="BH399" i="112"/>
  <c r="BM399" i="112"/>
  <c r="AB305" i="112"/>
  <c r="P1534" i="123" s="1"/>
  <c r="AA351" i="112"/>
  <c r="AB351" i="112"/>
  <c r="O1231" i="123"/>
  <c r="L25" i="110"/>
  <c r="M25" i="110" s="1"/>
  <c r="L45" i="110"/>
  <c r="M45" i="110" s="1"/>
  <c r="L33" i="110"/>
  <c r="M33" i="110" s="1"/>
  <c r="L18" i="110"/>
  <c r="M18" i="110" s="1"/>
  <c r="L34" i="110"/>
  <c r="M34" i="110" s="1"/>
  <c r="L36" i="110"/>
  <c r="M36" i="110" s="1"/>
  <c r="L39" i="110"/>
  <c r="M39" i="110" s="1"/>
  <c r="L23" i="110"/>
  <c r="M23" i="110" s="1"/>
  <c r="L37" i="110"/>
  <c r="M37" i="110" s="1"/>
  <c r="L41" i="110"/>
  <c r="M41" i="110" s="1"/>
  <c r="L43" i="110"/>
  <c r="M43" i="110" s="1"/>
  <c r="L42" i="110"/>
  <c r="M42" i="110" s="1"/>
  <c r="L44" i="110"/>
  <c r="M44" i="110" s="1"/>
  <c r="L31" i="110"/>
  <c r="M31" i="110" s="1"/>
  <c r="L46" i="110"/>
  <c r="M46" i="110" s="1"/>
  <c r="L57" i="110"/>
  <c r="M57" i="110" s="1"/>
  <c r="L19" i="110"/>
  <c r="M19" i="110" s="1"/>
  <c r="L47" i="110"/>
  <c r="M47" i="110" s="1"/>
  <c r="L30" i="110"/>
  <c r="M30" i="110" s="1"/>
  <c r="L35" i="110"/>
  <c r="M35" i="110" s="1"/>
  <c r="D31" i="111"/>
  <c r="D769" i="123" s="1"/>
  <c r="C53" i="82"/>
  <c r="E12" i="86"/>
  <c r="D52" i="86"/>
  <c r="E52" i="86"/>
  <c r="G12" i="86"/>
  <c r="F52" i="86"/>
  <c r="H12" i="86"/>
  <c r="G52" i="86"/>
  <c r="F12" i="86"/>
  <c r="I12" i="86"/>
  <c r="H52" i="86"/>
  <c r="D32" i="86"/>
  <c r="E32" i="86"/>
  <c r="F32" i="86"/>
  <c r="G32" i="86"/>
  <c r="H32" i="86"/>
  <c r="I32" i="86"/>
  <c r="C32" i="86"/>
  <c r="E28" i="87"/>
  <c r="B53" i="82"/>
  <c r="D12" i="86"/>
  <c r="C12" i="86"/>
  <c r="C52" i="86"/>
  <c r="K44" i="87"/>
  <c r="BH403" i="112"/>
  <c r="BL404" i="112"/>
  <c r="O1221" i="123"/>
  <c r="Q1221" i="123" s="1"/>
  <c r="BI400" i="112"/>
  <c r="I60" i="115"/>
  <c r="AA120" i="112"/>
  <c r="O1337" i="123" s="1"/>
  <c r="AD136" i="112"/>
  <c r="AD145" i="112"/>
  <c r="P1231" i="123"/>
  <c r="U343" i="112"/>
  <c r="X343" i="112"/>
  <c r="AC205" i="112"/>
  <c r="BI399" i="112"/>
  <c r="BL400" i="112"/>
  <c r="BI403" i="112"/>
  <c r="BL399" i="112"/>
  <c r="BM400" i="112"/>
  <c r="Y58" i="110"/>
  <c r="L65" i="110" s="1"/>
  <c r="AC58" i="110"/>
  <c r="K66" i="110" s="1"/>
  <c r="AG58" i="110"/>
  <c r="O66" i="110" s="1"/>
  <c r="AK58" i="110"/>
  <c r="N67" i="110" s="1"/>
  <c r="AO58" i="110"/>
  <c r="M68" i="110" s="1"/>
  <c r="AS58" i="110"/>
  <c r="L69" i="110" s="1"/>
  <c r="AW58" i="110"/>
  <c r="K70" i="110" s="1"/>
  <c r="BA58" i="110"/>
  <c r="O70" i="110" s="1"/>
  <c r="BE58" i="110"/>
  <c r="N71" i="110" s="1"/>
  <c r="BI58" i="110"/>
  <c r="M73" i="110" s="1"/>
  <c r="BM58" i="110"/>
  <c r="L108" i="110" s="1"/>
  <c r="BQ58" i="110"/>
  <c r="K107" i="110" s="1"/>
  <c r="BU58" i="110"/>
  <c r="O107" i="110" s="1"/>
  <c r="BY58" i="110"/>
  <c r="N106" i="110" s="1"/>
  <c r="CC58" i="110"/>
  <c r="M105" i="110" s="1"/>
  <c r="CG58" i="110"/>
  <c r="L104" i="110" s="1"/>
  <c r="CK58" i="110"/>
  <c r="K103" i="110" s="1"/>
  <c r="CO58" i="110"/>
  <c r="O103" i="110" s="1"/>
  <c r="CS58" i="110"/>
  <c r="N102" i="110" s="1"/>
  <c r="CW58" i="110"/>
  <c r="M119" i="110" s="1"/>
  <c r="DA58" i="110"/>
  <c r="L118" i="110" s="1"/>
  <c r="DE58" i="110"/>
  <c r="K117" i="110" s="1"/>
  <c r="DI58" i="110"/>
  <c r="O117" i="110" s="1"/>
  <c r="DM58" i="110"/>
  <c r="N116" i="110" s="1"/>
  <c r="DQ58" i="110"/>
  <c r="M115" i="110" s="1"/>
  <c r="DU58" i="110"/>
  <c r="L114" i="110" s="1"/>
  <c r="DY58" i="110"/>
  <c r="K113" i="110" s="1"/>
  <c r="GK58" i="110"/>
  <c r="O182" i="110" s="1"/>
  <c r="HA58" i="110"/>
  <c r="K187" i="110" s="1"/>
  <c r="HQ58" i="110"/>
  <c r="L131" i="110" s="1"/>
  <c r="EC58" i="110"/>
  <c r="O113" i="110" s="1"/>
  <c r="FP58" i="110"/>
  <c r="N75" i="110" s="1"/>
  <c r="FT58" i="110"/>
  <c r="M179" i="110" s="1"/>
  <c r="FX58" i="110"/>
  <c r="L180" i="110" s="1"/>
  <c r="GB58" i="110"/>
  <c r="K181" i="110" s="1"/>
  <c r="GF58" i="110"/>
  <c r="O181" i="110" s="1"/>
  <c r="GJ58" i="110"/>
  <c r="N182" i="110" s="1"/>
  <c r="GN58" i="110"/>
  <c r="M183" i="110" s="1"/>
  <c r="GR58" i="110"/>
  <c r="L184" i="110" s="1"/>
  <c r="GV58" i="110"/>
  <c r="K185" i="110" s="1"/>
  <c r="GZ58" i="110"/>
  <c r="O185" i="110" s="1"/>
  <c r="HD58" i="110"/>
  <c r="N187" i="110" s="1"/>
  <c r="HH58" i="110"/>
  <c r="HL58" i="110"/>
  <c r="L189" i="110" s="1"/>
  <c r="HP58" i="110"/>
  <c r="K131" i="110" s="1"/>
  <c r="HT58" i="110"/>
  <c r="O131" i="110" s="1"/>
  <c r="HX58" i="110"/>
  <c r="N132" i="110" s="1"/>
  <c r="IB58" i="110"/>
  <c r="IF58" i="110"/>
  <c r="L134" i="110" s="1"/>
  <c r="IJ58" i="110"/>
  <c r="K135" i="110" s="1"/>
  <c r="IN58" i="110"/>
  <c r="O135" i="110" s="1"/>
  <c r="IR58" i="110"/>
  <c r="IV58" i="110"/>
  <c r="M137" i="110" s="1"/>
  <c r="IZ58" i="110"/>
  <c r="L138" i="110" s="1"/>
  <c r="JD58" i="110"/>
  <c r="JH58" i="110"/>
  <c r="JL58" i="110"/>
  <c r="JP58" i="110"/>
  <c r="M159" i="110" s="1"/>
  <c r="JT58" i="110"/>
  <c r="L160" i="110" s="1"/>
  <c r="JX58" i="110"/>
  <c r="K165" i="110" s="1"/>
  <c r="KB58" i="110"/>
  <c r="O165" i="110" s="1"/>
  <c r="KF58" i="110"/>
  <c r="N166" i="110" s="1"/>
  <c r="KJ58" i="110"/>
  <c r="M163" i="110" s="1"/>
  <c r="KN58" i="110"/>
  <c r="L164" i="110" s="1"/>
  <c r="KR58" i="110"/>
  <c r="K161" i="110" s="1"/>
  <c r="K171" i="110" s="1"/>
  <c r="KV58" i="110"/>
  <c r="O161" i="110" s="1"/>
  <c r="O171" i="110" s="1"/>
  <c r="KZ58" i="110"/>
  <c r="N162" i="110" s="1"/>
  <c r="N172" i="110" s="1"/>
  <c r="LD58" i="110"/>
  <c r="M151" i="110" s="1"/>
  <c r="LH58" i="110"/>
  <c r="L153" i="110" s="1"/>
  <c r="LL58" i="110"/>
  <c r="K152" i="110" s="1"/>
  <c r="LP58" i="110"/>
  <c r="O152" i="110" s="1"/>
  <c r="LT58" i="110"/>
  <c r="N154" i="110" s="1"/>
  <c r="LX58" i="110"/>
  <c r="M155" i="110" s="1"/>
  <c r="MB58" i="110"/>
  <c r="L157" i="110" s="1"/>
  <c r="MF58" i="110"/>
  <c r="K156" i="110" s="1"/>
  <c r="MJ58" i="110"/>
  <c r="O156" i="110" s="1"/>
  <c r="MN58" i="110"/>
  <c r="N158" i="110" s="1"/>
  <c r="MR58" i="110"/>
  <c r="MV58" i="110"/>
  <c r="MZ58" i="110"/>
  <c r="ND58" i="110"/>
  <c r="NH58" i="110"/>
  <c r="NL58" i="110"/>
  <c r="NP58" i="110"/>
  <c r="NT58" i="110"/>
  <c r="NX58" i="110"/>
  <c r="OB58" i="110"/>
  <c r="X58" i="110"/>
  <c r="K65" i="110" s="1"/>
  <c r="AB58" i="110"/>
  <c r="O65" i="110" s="1"/>
  <c r="AF58" i="110"/>
  <c r="N66" i="110" s="1"/>
  <c r="AN58" i="110"/>
  <c r="L68" i="110" s="1"/>
  <c r="AR58" i="110"/>
  <c r="K69" i="110" s="1"/>
  <c r="AV58" i="110"/>
  <c r="O69" i="110" s="1"/>
  <c r="BD58" i="110"/>
  <c r="M71" i="110" s="1"/>
  <c r="BH58" i="110"/>
  <c r="L73" i="110" s="1"/>
  <c r="BL58" i="110"/>
  <c r="K108" i="110" s="1"/>
  <c r="BT58" i="110"/>
  <c r="N107" i="110" s="1"/>
  <c r="BX58" i="110"/>
  <c r="M106" i="110" s="1"/>
  <c r="AJ58" i="110"/>
  <c r="M67" i="110" s="1"/>
  <c r="AZ58" i="110"/>
  <c r="N70" i="110" s="1"/>
  <c r="BP58" i="110"/>
  <c r="O108" i="110" s="1"/>
  <c r="CF58" i="110"/>
  <c r="K104" i="110" s="1"/>
  <c r="CV58" i="110"/>
  <c r="L119" i="110" s="1"/>
  <c r="DL58" i="110"/>
  <c r="M116" i="110" s="1"/>
  <c r="EB58" i="110"/>
  <c r="N113" i="110" s="1"/>
  <c r="GA58" i="110"/>
  <c r="O180" i="110" s="1"/>
  <c r="IQ58" i="110"/>
  <c r="JW58" i="110"/>
  <c r="O160" i="110" s="1"/>
  <c r="LC58" i="110"/>
  <c r="L151" i="110" s="1"/>
  <c r="MI58" i="110"/>
  <c r="N156" i="110" s="1"/>
  <c r="NO58" i="110"/>
  <c r="CB58" i="110"/>
  <c r="L105" i="110" s="1"/>
  <c r="CJ58" i="110"/>
  <c r="O104" i="110" s="1"/>
  <c r="CN58" i="110"/>
  <c r="N103" i="110" s="1"/>
  <c r="CR58" i="110"/>
  <c r="M102" i="110" s="1"/>
  <c r="CZ58" i="110"/>
  <c r="K118" i="110" s="1"/>
  <c r="DD58" i="110"/>
  <c r="O118" i="110" s="1"/>
  <c r="DH58" i="110"/>
  <c r="N117" i="110" s="1"/>
  <c r="DP58" i="110"/>
  <c r="L115" i="110" s="1"/>
  <c r="DT58" i="110"/>
  <c r="K114" i="110" s="1"/>
  <c r="DX58" i="110"/>
  <c r="O114" i="110" s="1"/>
  <c r="FO58" i="110"/>
  <c r="M75" i="110" s="1"/>
  <c r="FS58" i="110"/>
  <c r="L179" i="110" s="1"/>
  <c r="FW58" i="110"/>
  <c r="K180" i="110" s="1"/>
  <c r="GQ58" i="110"/>
  <c r="K184" i="110" s="1"/>
  <c r="HG58" i="110"/>
  <c r="HW58" i="110"/>
  <c r="M132" i="110" s="1"/>
  <c r="II58" i="110"/>
  <c r="O134" i="110" s="1"/>
  <c r="IY58" i="110"/>
  <c r="K138" i="110" s="1"/>
  <c r="JG58" i="110"/>
  <c r="JO58" i="110"/>
  <c r="L159" i="110" s="1"/>
  <c r="KE58" i="110"/>
  <c r="M166" i="110" s="1"/>
  <c r="KM58" i="110"/>
  <c r="K164" i="110" s="1"/>
  <c r="KU58" i="110"/>
  <c r="N161" i="110" s="1"/>
  <c r="N171" i="110" s="1"/>
  <c r="LK58" i="110"/>
  <c r="O153" i="110" s="1"/>
  <c r="LS58" i="110"/>
  <c r="M154" i="110" s="1"/>
  <c r="MA58" i="110"/>
  <c r="K157" i="110" s="1"/>
  <c r="MQ58" i="110"/>
  <c r="MY58" i="110"/>
  <c r="NG58" i="110"/>
  <c r="NW58" i="110"/>
  <c r="C55" i="100"/>
  <c r="D41" i="107"/>
  <c r="A2" i="107"/>
  <c r="W2" i="107" s="1"/>
  <c r="A3" i="118"/>
  <c r="A2" i="111"/>
  <c r="N2" i="111" s="1"/>
  <c r="A1" i="114"/>
  <c r="A2" i="110"/>
  <c r="T2" i="110" s="1"/>
  <c r="N30" i="105"/>
  <c r="A1" i="120"/>
  <c r="A1" i="113"/>
  <c r="A1" i="112"/>
  <c r="BM404" i="112"/>
  <c r="G51" i="115"/>
  <c r="H51" i="115" s="1"/>
  <c r="G50" i="115"/>
  <c r="H50" i="115" s="1"/>
  <c r="G49" i="115"/>
  <c r="H49" i="115" s="1"/>
  <c r="G48" i="115"/>
  <c r="H48" i="115" s="1"/>
  <c r="G47" i="115"/>
  <c r="H47" i="115" s="1"/>
  <c r="G46" i="115"/>
  <c r="H46" i="115" s="1"/>
  <c r="G45" i="115"/>
  <c r="H45" i="115" s="1"/>
  <c r="G44" i="115"/>
  <c r="H44" i="115" s="1"/>
  <c r="G43" i="115"/>
  <c r="H43" i="115" s="1"/>
  <c r="G42" i="115"/>
  <c r="H42" i="115" s="1"/>
  <c r="G41" i="115"/>
  <c r="H41" i="115" s="1"/>
  <c r="G40" i="115"/>
  <c r="H40" i="115" s="1"/>
  <c r="G39" i="115"/>
  <c r="H39" i="115" s="1"/>
  <c r="G38" i="115"/>
  <c r="H38" i="115" s="1"/>
  <c r="G37" i="115"/>
  <c r="H37" i="115" s="1"/>
  <c r="G36" i="115"/>
  <c r="H36" i="115" s="1"/>
  <c r="G35" i="115"/>
  <c r="H35" i="115" s="1"/>
  <c r="G34" i="115"/>
  <c r="H34" i="115" s="1"/>
  <c r="G33" i="115"/>
  <c r="H33" i="115" s="1"/>
  <c r="H52" i="115" s="1"/>
  <c r="D64" i="115"/>
  <c r="B64" i="115"/>
  <c r="AA81" i="112"/>
  <c r="O1294" i="123" s="1"/>
  <c r="BJ398" i="112"/>
  <c r="BI398" i="112"/>
  <c r="BH398" i="112"/>
  <c r="X247" i="112"/>
  <c r="BI404" i="112"/>
  <c r="BH404" i="112"/>
  <c r="AB316" i="112"/>
  <c r="P1545" i="123" s="1"/>
  <c r="AA305" i="112"/>
  <c r="AD166" i="112"/>
  <c r="H256" i="112"/>
  <c r="AA316" i="112"/>
  <c r="O1545" i="123" s="1"/>
  <c r="AD119" i="112"/>
  <c r="AB81" i="112"/>
  <c r="P1294" i="123" s="1"/>
  <c r="AB120" i="112"/>
  <c r="P1337" i="123" s="1"/>
  <c r="BN398" i="112"/>
  <c r="BM398" i="112"/>
  <c r="BL398" i="112"/>
  <c r="AV424" i="112"/>
  <c r="BL403" i="112"/>
  <c r="BM403" i="112"/>
  <c r="AV416" i="112"/>
  <c r="BK398" i="112"/>
  <c r="AU425" i="112"/>
  <c r="X215" i="112"/>
  <c r="U344" i="112"/>
  <c r="K1573" i="123" s="1"/>
  <c r="BH400" i="112"/>
  <c r="AU424" i="112"/>
  <c r="AV425" i="112"/>
  <c r="F14" i="111"/>
  <c r="AL58" i="110"/>
  <c r="O67" i="110" s="1"/>
  <c r="AX58" i="110"/>
  <c r="L70" i="110" s="1"/>
  <c r="BJ58" i="110"/>
  <c r="N73" i="110" s="1"/>
  <c r="BV58" i="110"/>
  <c r="K106" i="110" s="1"/>
  <c r="CL58" i="110"/>
  <c r="L103" i="110" s="1"/>
  <c r="CX58" i="110"/>
  <c r="N119" i="110" s="1"/>
  <c r="DF58" i="110"/>
  <c r="L117" i="110" s="1"/>
  <c r="DR58" i="110"/>
  <c r="N115" i="110" s="1"/>
  <c r="FM58" i="110"/>
  <c r="K75" i="110" s="1"/>
  <c r="GC58" i="110"/>
  <c r="L181" i="110" s="1"/>
  <c r="GS58" i="110"/>
  <c r="M184" i="110" s="1"/>
  <c r="HM58" i="110"/>
  <c r="M189" i="110" s="1"/>
  <c r="HY58" i="110"/>
  <c r="O132" i="110" s="1"/>
  <c r="Z58" i="110"/>
  <c r="M65" i="110" s="1"/>
  <c r="AH58" i="110"/>
  <c r="K67" i="110" s="1"/>
  <c r="AT58" i="110"/>
  <c r="M69" i="110" s="1"/>
  <c r="BF58" i="110"/>
  <c r="O71" i="110" s="1"/>
  <c r="BR58" i="110"/>
  <c r="L107" i="110" s="1"/>
  <c r="CD58" i="110"/>
  <c r="N105" i="110" s="1"/>
  <c r="CP58" i="110"/>
  <c r="K102" i="110" s="1"/>
  <c r="DB58" i="110"/>
  <c r="M118" i="110" s="1"/>
  <c r="DN58" i="110"/>
  <c r="O116" i="110" s="1"/>
  <c r="DZ58" i="110"/>
  <c r="L113" i="110" s="1"/>
  <c r="FU58" i="110"/>
  <c r="N179" i="110" s="1"/>
  <c r="GG58" i="110"/>
  <c r="K182" i="110" s="1"/>
  <c r="GW58" i="110"/>
  <c r="L185" i="110" s="1"/>
  <c r="HI58" i="110"/>
  <c r="IC58" i="110"/>
  <c r="AA58" i="110"/>
  <c r="N65" i="110" s="1"/>
  <c r="AE58" i="110"/>
  <c r="M66" i="110" s="1"/>
  <c r="AI58" i="110"/>
  <c r="L67" i="110" s="1"/>
  <c r="AM58" i="110"/>
  <c r="K68" i="110" s="1"/>
  <c r="AQ58" i="110"/>
  <c r="O68" i="110" s="1"/>
  <c r="AU58" i="110"/>
  <c r="N69" i="110" s="1"/>
  <c r="AY58" i="110"/>
  <c r="M70" i="110" s="1"/>
  <c r="BC58" i="110"/>
  <c r="L71" i="110" s="1"/>
  <c r="BG58" i="110"/>
  <c r="K73" i="110" s="1"/>
  <c r="BK58" i="110"/>
  <c r="O73" i="110" s="1"/>
  <c r="BO58" i="110"/>
  <c r="N108" i="110" s="1"/>
  <c r="BS58" i="110"/>
  <c r="M107" i="110" s="1"/>
  <c r="BW58" i="110"/>
  <c r="L106" i="110" s="1"/>
  <c r="CA58" i="110"/>
  <c r="K105" i="110" s="1"/>
  <c r="CE58" i="110"/>
  <c r="O105" i="110" s="1"/>
  <c r="CI58" i="110"/>
  <c r="N104" i="110" s="1"/>
  <c r="CM58" i="110"/>
  <c r="M103" i="110" s="1"/>
  <c r="CQ58" i="110"/>
  <c r="L102" i="110" s="1"/>
  <c r="CU58" i="110"/>
  <c r="K119" i="110" s="1"/>
  <c r="CY58" i="110"/>
  <c r="O119" i="110" s="1"/>
  <c r="DC58" i="110"/>
  <c r="N118" i="110" s="1"/>
  <c r="DG58" i="110"/>
  <c r="M117" i="110" s="1"/>
  <c r="DK58" i="110"/>
  <c r="L116" i="110" s="1"/>
  <c r="DO58" i="110"/>
  <c r="K115" i="110" s="1"/>
  <c r="DS58" i="110"/>
  <c r="O115" i="110" s="1"/>
  <c r="DW58" i="110"/>
  <c r="N114" i="110" s="1"/>
  <c r="EA58" i="110"/>
  <c r="M113" i="110" s="1"/>
  <c r="FN58" i="110"/>
  <c r="L75" i="110" s="1"/>
  <c r="FR58" i="110"/>
  <c r="K179" i="110" s="1"/>
  <c r="FV58" i="110"/>
  <c r="O179" i="110" s="1"/>
  <c r="FZ58" i="110"/>
  <c r="N180" i="110" s="1"/>
  <c r="AD58" i="110"/>
  <c r="L66" i="110" s="1"/>
  <c r="AP58" i="110"/>
  <c r="N68" i="110" s="1"/>
  <c r="BB58" i="110"/>
  <c r="K71" i="110" s="1"/>
  <c r="BN58" i="110"/>
  <c r="M108" i="110" s="1"/>
  <c r="BZ58" i="110"/>
  <c r="O106" i="110" s="1"/>
  <c r="CH58" i="110"/>
  <c r="M104" i="110" s="1"/>
  <c r="CT58" i="110"/>
  <c r="O102" i="110" s="1"/>
  <c r="DJ58" i="110"/>
  <c r="K116" i="110" s="1"/>
  <c r="DV58" i="110"/>
  <c r="M114" i="110" s="1"/>
  <c r="FQ58" i="110"/>
  <c r="O75" i="110" s="1"/>
  <c r="FY58" i="110"/>
  <c r="M180" i="110" s="1"/>
  <c r="GO58" i="110"/>
  <c r="N183" i="110" s="1"/>
  <c r="HE58" i="110"/>
  <c r="O187" i="110" s="1"/>
  <c r="HU58" i="110"/>
  <c r="K132" i="110" s="1"/>
  <c r="GE58" i="110"/>
  <c r="N181" i="110" s="1"/>
  <c r="GI58" i="110"/>
  <c r="M182" i="110" s="1"/>
  <c r="GM58" i="110"/>
  <c r="L183" i="110" s="1"/>
  <c r="GU58" i="110"/>
  <c r="O184" i="110" s="1"/>
  <c r="GY58" i="110"/>
  <c r="N185" i="110" s="1"/>
  <c r="HC58" i="110"/>
  <c r="M187" i="110" s="1"/>
  <c r="HK58" i="110"/>
  <c r="K189" i="110" s="1"/>
  <c r="HO58" i="110"/>
  <c r="O189" i="110" s="1"/>
  <c r="HS58" i="110"/>
  <c r="N131" i="110" s="1"/>
  <c r="IA58" i="110"/>
  <c r="IE58" i="110"/>
  <c r="K134" i="110" s="1"/>
  <c r="IM58" i="110"/>
  <c r="N135" i="110" s="1"/>
  <c r="IU58" i="110"/>
  <c r="L137" i="110" s="1"/>
  <c r="JC58" i="110"/>
  <c r="O138" i="110" s="1"/>
  <c r="JK58" i="110"/>
  <c r="JS58" i="110"/>
  <c r="K160" i="110" s="1"/>
  <c r="KA58" i="110"/>
  <c r="N165" i="110" s="1"/>
  <c r="KI58" i="110"/>
  <c r="L163" i="110" s="1"/>
  <c r="KQ58" i="110"/>
  <c r="O164" i="110" s="1"/>
  <c r="KY58" i="110"/>
  <c r="M162" i="110" s="1"/>
  <c r="M172" i="110" s="1"/>
  <c r="LG58" i="110"/>
  <c r="K153" i="110" s="1"/>
  <c r="LO58" i="110"/>
  <c r="N152" i="110" s="1"/>
  <c r="LW58" i="110"/>
  <c r="L155" i="110" s="1"/>
  <c r="ME58" i="110"/>
  <c r="O157" i="110" s="1"/>
  <c r="MM58" i="110"/>
  <c r="M158" i="110" s="1"/>
  <c r="MU58" i="110"/>
  <c r="NC58" i="110"/>
  <c r="NK58" i="110"/>
  <c r="NS58" i="110"/>
  <c r="OA58" i="110"/>
  <c r="IG58" i="110"/>
  <c r="M134" i="110" s="1"/>
  <c r="IW58" i="110"/>
  <c r="N137" i="110" s="1"/>
  <c r="JI58" i="110"/>
  <c r="JY58" i="110"/>
  <c r="L165" i="110" s="1"/>
  <c r="KK58" i="110"/>
  <c r="N163" i="110" s="1"/>
  <c r="KW58" i="110"/>
  <c r="K162" i="110" s="1"/>
  <c r="LI58" i="110"/>
  <c r="M153" i="110" s="1"/>
  <c r="LU58" i="110"/>
  <c r="O154" i="110" s="1"/>
  <c r="MK58" i="110"/>
  <c r="K158" i="110" s="1"/>
  <c r="MW58" i="110"/>
  <c r="NI58" i="110"/>
  <c r="OC58" i="110"/>
  <c r="IO58" i="110"/>
  <c r="JA58" i="110"/>
  <c r="M138" i="110" s="1"/>
  <c r="JM58" i="110"/>
  <c r="JU58" i="110"/>
  <c r="M160" i="110" s="1"/>
  <c r="KG58" i="110"/>
  <c r="O166" i="110" s="1"/>
  <c r="KS58" i="110"/>
  <c r="L161" i="110" s="1"/>
  <c r="L171" i="110" s="1"/>
  <c r="LE58" i="110"/>
  <c r="N151" i="110" s="1"/>
  <c r="LQ58" i="110"/>
  <c r="K154" i="110" s="1"/>
  <c r="MC58" i="110"/>
  <c r="M157" i="110" s="1"/>
  <c r="MS58" i="110"/>
  <c r="NE58" i="110"/>
  <c r="NQ58" i="110"/>
  <c r="NU58" i="110"/>
  <c r="GD58" i="110"/>
  <c r="M181" i="110" s="1"/>
  <c r="GH58" i="110"/>
  <c r="L182" i="110" s="1"/>
  <c r="GL58" i="110"/>
  <c r="K183" i="110" s="1"/>
  <c r="GP58" i="110"/>
  <c r="O183" i="110" s="1"/>
  <c r="GT58" i="110"/>
  <c r="N184" i="110" s="1"/>
  <c r="GX58" i="110"/>
  <c r="M185" i="110" s="1"/>
  <c r="HB58" i="110"/>
  <c r="L187" i="110" s="1"/>
  <c r="HF58" i="110"/>
  <c r="HJ58" i="110"/>
  <c r="HN58" i="110"/>
  <c r="N189" i="110" s="1"/>
  <c r="HR58" i="110"/>
  <c r="M131" i="110" s="1"/>
  <c r="HV58" i="110"/>
  <c r="L132" i="110" s="1"/>
  <c r="HZ58" i="110"/>
  <c r="ID58" i="110"/>
  <c r="IH58" i="110"/>
  <c r="N134" i="110" s="1"/>
  <c r="IL58" i="110"/>
  <c r="M135" i="110" s="1"/>
  <c r="IP58" i="110"/>
  <c r="IT58" i="110"/>
  <c r="K137" i="110" s="1"/>
  <c r="IX58" i="110"/>
  <c r="O137" i="110" s="1"/>
  <c r="JB58" i="110"/>
  <c r="N138" i="110" s="1"/>
  <c r="JF58" i="110"/>
  <c r="JJ58" i="110"/>
  <c r="JN58" i="110"/>
  <c r="K159" i="110" s="1"/>
  <c r="JR58" i="110"/>
  <c r="O159" i="110" s="1"/>
  <c r="JV58" i="110"/>
  <c r="N160" i="110" s="1"/>
  <c r="JZ58" i="110"/>
  <c r="M165" i="110" s="1"/>
  <c r="KD58" i="110"/>
  <c r="L166" i="110" s="1"/>
  <c r="KH58" i="110"/>
  <c r="K163" i="110" s="1"/>
  <c r="KL58" i="110"/>
  <c r="O163" i="110" s="1"/>
  <c r="KP58" i="110"/>
  <c r="N164" i="110" s="1"/>
  <c r="KT58" i="110"/>
  <c r="M161" i="110" s="1"/>
  <c r="M171" i="110" s="1"/>
  <c r="KX58" i="110"/>
  <c r="L162" i="110" s="1"/>
  <c r="L172" i="110" s="1"/>
  <c r="LB58" i="110"/>
  <c r="K151" i="110" s="1"/>
  <c r="LF58" i="110"/>
  <c r="O151" i="110" s="1"/>
  <c r="LJ58" i="110"/>
  <c r="N153" i="110" s="1"/>
  <c r="LN58" i="110"/>
  <c r="M152" i="110" s="1"/>
  <c r="LR58" i="110"/>
  <c r="L154" i="110" s="1"/>
  <c r="LV58" i="110"/>
  <c r="K155" i="110" s="1"/>
  <c r="LZ58" i="110"/>
  <c r="O155" i="110" s="1"/>
  <c r="MD58" i="110"/>
  <c r="N157" i="110" s="1"/>
  <c r="MH58" i="110"/>
  <c r="M156" i="110" s="1"/>
  <c r="ML58" i="110"/>
  <c r="L158" i="110" s="1"/>
  <c r="MP58" i="110"/>
  <c r="MT58" i="110"/>
  <c r="MX58" i="110"/>
  <c r="NB58" i="110"/>
  <c r="NF58" i="110"/>
  <c r="NJ58" i="110"/>
  <c r="NN58" i="110"/>
  <c r="NR58" i="110"/>
  <c r="NV58" i="110"/>
  <c r="NZ58" i="110"/>
  <c r="IK58" i="110"/>
  <c r="L135" i="110" s="1"/>
  <c r="IS58" i="110"/>
  <c r="JE58" i="110"/>
  <c r="JQ58" i="110"/>
  <c r="N159" i="110" s="1"/>
  <c r="KC58" i="110"/>
  <c r="K166" i="110" s="1"/>
  <c r="KO58" i="110"/>
  <c r="M164" i="110" s="1"/>
  <c r="LA58" i="110"/>
  <c r="O162" i="110" s="1"/>
  <c r="O172" i="110" s="1"/>
  <c r="LM58" i="110"/>
  <c r="L152" i="110" s="1"/>
  <c r="LY58" i="110"/>
  <c r="N155" i="110" s="1"/>
  <c r="MG58" i="110"/>
  <c r="L156" i="110" s="1"/>
  <c r="MO58" i="110"/>
  <c r="O158" i="110" s="1"/>
  <c r="NA58" i="110"/>
  <c r="NM58" i="110"/>
  <c r="NY58" i="110"/>
  <c r="E39" i="107"/>
  <c r="P39" i="107" s="1"/>
  <c r="B765" i="123" l="1"/>
  <c r="B41" i="111"/>
  <c r="F797" i="123"/>
  <c r="G829" i="123"/>
  <c r="E797" i="123"/>
  <c r="D797" i="123"/>
  <c r="E859" i="123"/>
  <c r="J797" i="123"/>
  <c r="C859" i="123"/>
  <c r="J829" i="123"/>
  <c r="I829" i="123"/>
  <c r="K829" i="123"/>
  <c r="E19" i="87"/>
  <c r="K765" i="123"/>
  <c r="E26" i="87"/>
  <c r="H797" i="123"/>
  <c r="E829" i="123"/>
  <c r="I765" i="123"/>
  <c r="D859" i="123"/>
  <c r="F859" i="123"/>
  <c r="H765" i="123"/>
  <c r="D765" i="123"/>
  <c r="C829" i="123"/>
  <c r="G765" i="123"/>
  <c r="G797" i="123"/>
  <c r="K797" i="123"/>
  <c r="J765" i="123"/>
  <c r="F829" i="123"/>
  <c r="E27" i="87"/>
  <c r="I797" i="123"/>
  <c r="E32" i="87"/>
  <c r="D829" i="123"/>
  <c r="E11" i="87"/>
  <c r="C765" i="123"/>
  <c r="C41" i="111"/>
  <c r="D41" i="111" s="1"/>
  <c r="C797" i="123"/>
  <c r="B829" i="123"/>
  <c r="F765" i="123"/>
  <c r="H829" i="123"/>
  <c r="B797" i="123"/>
  <c r="E765" i="123"/>
  <c r="B859" i="123"/>
  <c r="L27" i="110"/>
  <c r="L22" i="110"/>
  <c r="M22" i="110" s="1"/>
  <c r="L26" i="110"/>
  <c r="L28" i="110"/>
  <c r="M28" i="110" s="1"/>
  <c r="L32" i="110"/>
  <c r="M32" i="110" s="1"/>
  <c r="L20" i="110"/>
  <c r="M20" i="110" s="1"/>
  <c r="L24" i="110"/>
  <c r="M24" i="110" s="1"/>
  <c r="R21" i="111"/>
  <c r="B770" i="123"/>
  <c r="B44" i="111"/>
  <c r="B782" i="123" s="1"/>
  <c r="H14" i="86"/>
  <c r="G770" i="123"/>
  <c r="F34" i="86"/>
  <c r="B802" i="123"/>
  <c r="I770" i="123"/>
  <c r="G34" i="86"/>
  <c r="C802" i="123"/>
  <c r="G14" i="86"/>
  <c r="F770" i="123"/>
  <c r="K770" i="123"/>
  <c r="I34" i="86"/>
  <c r="E802" i="123"/>
  <c r="D770" i="123"/>
  <c r="H770" i="123"/>
  <c r="E770" i="123"/>
  <c r="D14" i="86"/>
  <c r="C770" i="123"/>
  <c r="F802" i="123"/>
  <c r="J770" i="123"/>
  <c r="H34" i="86"/>
  <c r="D802" i="123"/>
  <c r="G40" i="107"/>
  <c r="P154" i="123"/>
  <c r="G38" i="107"/>
  <c r="P152" i="123"/>
  <c r="P41" i="107"/>
  <c r="G39" i="107"/>
  <c r="P153" i="123"/>
  <c r="P1409" i="123"/>
  <c r="I63" i="115"/>
  <c r="I62" i="115"/>
  <c r="K48" i="115"/>
  <c r="J51" i="115"/>
  <c r="K51" i="115" s="1"/>
  <c r="J49" i="115"/>
  <c r="K49" i="115" s="1"/>
  <c r="J47" i="115"/>
  <c r="K47" i="115" s="1"/>
  <c r="J50" i="115"/>
  <c r="K50" i="115" s="1"/>
  <c r="I61" i="115"/>
  <c r="G1670" i="123"/>
  <c r="I1670" i="123" s="1"/>
  <c r="I59" i="115"/>
  <c r="I58" i="115"/>
  <c r="G1667" i="123"/>
  <c r="I1667" i="123" s="1"/>
  <c r="N28" i="123"/>
  <c r="Q705" i="123"/>
  <c r="P457" i="123"/>
  <c r="O28" i="123"/>
  <c r="T237" i="112"/>
  <c r="J1502" i="123" s="1"/>
  <c r="AA190" i="112"/>
  <c r="O1409" i="123"/>
  <c r="L1219" i="123"/>
  <c r="G1468" i="123"/>
  <c r="AA256" i="112"/>
  <c r="AA268" i="112" s="1"/>
  <c r="P1579" i="123"/>
  <c r="O1579" i="123"/>
  <c r="K1579" i="123" s="1"/>
  <c r="K1572" i="123"/>
  <c r="A594" i="123"/>
  <c r="O1534" i="123"/>
  <c r="R1534" i="123" s="1"/>
  <c r="I784" i="123"/>
  <c r="K31" i="87"/>
  <c r="K13" i="87"/>
  <c r="E41" i="107"/>
  <c r="H39" i="87"/>
  <c r="E17" i="87"/>
  <c r="K11" i="87"/>
  <c r="E29" i="87"/>
  <c r="K26" i="87"/>
  <c r="H37" i="87"/>
  <c r="C14" i="86"/>
  <c r="E39" i="87"/>
  <c r="C99" i="111"/>
  <c r="H31" i="87"/>
  <c r="G69" i="111"/>
  <c r="E33" i="87"/>
  <c r="E24" i="87"/>
  <c r="R22" i="111"/>
  <c r="K19" i="87"/>
  <c r="K100" i="111"/>
  <c r="E40" i="87"/>
  <c r="K27" i="87"/>
  <c r="H100" i="111"/>
  <c r="H28" i="87"/>
  <c r="G100" i="111"/>
  <c r="J46" i="115"/>
  <c r="K46" i="115" s="1"/>
  <c r="J45" i="115"/>
  <c r="K45" i="115" s="1"/>
  <c r="J165" i="107"/>
  <c r="J167" i="107" s="1"/>
  <c r="J43" i="115"/>
  <c r="K43" i="115" s="1"/>
  <c r="J44" i="115"/>
  <c r="K44" i="115" s="1"/>
  <c r="J42" i="115"/>
  <c r="K42" i="115" s="1"/>
  <c r="J41" i="115"/>
  <c r="K41" i="115" s="1"/>
  <c r="J40" i="115"/>
  <c r="K40" i="115" s="1"/>
  <c r="J38" i="115"/>
  <c r="K38" i="115" s="1"/>
  <c r="J39" i="115"/>
  <c r="K39" i="115" s="1"/>
  <c r="J37" i="115"/>
  <c r="K37" i="115" s="1"/>
  <c r="J36" i="115"/>
  <c r="K36" i="115" s="1"/>
  <c r="J35" i="115"/>
  <c r="K35" i="115" s="1"/>
  <c r="J34" i="115"/>
  <c r="K34" i="115" s="1"/>
  <c r="J33" i="115"/>
  <c r="K33" i="115" s="1"/>
  <c r="K52" i="115" s="1"/>
  <c r="K54" i="115" s="1"/>
  <c r="K68" i="115" s="1"/>
  <c r="K70" i="115" s="1"/>
  <c r="H26" i="87"/>
  <c r="H42" i="87"/>
  <c r="H30" i="87"/>
  <c r="K30" i="87"/>
  <c r="E23" i="87"/>
  <c r="I14" i="86"/>
  <c r="K12" i="87"/>
  <c r="H37" i="111"/>
  <c r="H34" i="87"/>
  <c r="R38" i="111"/>
  <c r="H32" i="87"/>
  <c r="K23" i="87"/>
  <c r="K41" i="87"/>
  <c r="H36" i="87"/>
  <c r="H11" i="87"/>
  <c r="E31" i="87"/>
  <c r="R37" i="111"/>
  <c r="K34" i="87"/>
  <c r="E16" i="87"/>
  <c r="E14" i="86"/>
  <c r="K42" i="87"/>
  <c r="E43" i="87"/>
  <c r="H17" i="87"/>
  <c r="E38" i="87"/>
  <c r="K21" i="87"/>
  <c r="R27" i="111"/>
  <c r="R25" i="111"/>
  <c r="R24" i="111"/>
  <c r="E37" i="87"/>
  <c r="R34" i="111"/>
  <c r="E22" i="87"/>
  <c r="K14" i="87"/>
  <c r="R28" i="111"/>
  <c r="E20" i="87"/>
  <c r="K40" i="87"/>
  <c r="K15" i="87"/>
  <c r="K29" i="87"/>
  <c r="F14" i="86"/>
  <c r="R35" i="111"/>
  <c r="I49" i="106" s="1"/>
  <c r="I93" i="123" s="1"/>
  <c r="R32" i="111"/>
  <c r="H13" i="87"/>
  <c r="H40" i="87"/>
  <c r="F69" i="111"/>
  <c r="H33" i="87"/>
  <c r="E14" i="87"/>
  <c r="H44" i="87"/>
  <c r="R26" i="111"/>
  <c r="K10" i="87"/>
  <c r="H12" i="87"/>
  <c r="H24" i="87"/>
  <c r="H10" i="87"/>
  <c r="R39" i="111"/>
  <c r="I37" i="111"/>
  <c r="E13" i="87"/>
  <c r="E30" i="87"/>
  <c r="C54" i="86"/>
  <c r="E18" i="87"/>
  <c r="K36" i="87"/>
  <c r="K20" i="87"/>
  <c r="H18" i="87"/>
  <c r="E35" i="87"/>
  <c r="K33" i="87"/>
  <c r="E25" i="87"/>
  <c r="H27" i="87"/>
  <c r="R31" i="111"/>
  <c r="H23" i="87"/>
  <c r="E68" i="111"/>
  <c r="K24" i="87"/>
  <c r="E21" i="87"/>
  <c r="E36" i="87"/>
  <c r="R36" i="111"/>
  <c r="R30" i="111"/>
  <c r="I100" i="111"/>
  <c r="H19" i="87"/>
  <c r="H38" i="87"/>
  <c r="K18" i="87"/>
  <c r="H20" i="87"/>
  <c r="K38" i="87"/>
  <c r="H43" i="87"/>
  <c r="E10" i="87"/>
  <c r="E12" i="87"/>
  <c r="G37" i="111"/>
  <c r="R40" i="111"/>
  <c r="R23" i="111"/>
  <c r="E34" i="87"/>
  <c r="H14" i="87"/>
  <c r="R29" i="111"/>
  <c r="K28" i="87"/>
  <c r="E15" i="87"/>
  <c r="D100" i="111"/>
  <c r="C34" i="86"/>
  <c r="E34" i="86"/>
  <c r="D34" i="86"/>
  <c r="K17" i="87"/>
  <c r="K22" i="87"/>
  <c r="E42" i="87"/>
  <c r="H21" i="87"/>
  <c r="H35" i="87"/>
  <c r="E41" i="87"/>
  <c r="K43" i="87"/>
  <c r="H15" i="87"/>
  <c r="H41" i="87"/>
  <c r="H29" i="87"/>
  <c r="K32" i="87"/>
  <c r="H25" i="87"/>
  <c r="H22" i="87"/>
  <c r="E44" i="87"/>
  <c r="R117" i="111"/>
  <c r="S117" i="111" s="1"/>
  <c r="R33" i="111"/>
  <c r="H16" i="87"/>
  <c r="P4" i="110"/>
  <c r="M173" i="110"/>
  <c r="BI396" i="112"/>
  <c r="BJ396" i="112"/>
  <c r="BH396" i="112"/>
  <c r="AA119" i="112"/>
  <c r="AB119" i="112"/>
  <c r="BH394" i="112"/>
  <c r="X348" i="112"/>
  <c r="BL394" i="112"/>
  <c r="BJ394" i="112"/>
  <c r="BM394" i="112"/>
  <c r="AB38" i="112"/>
  <c r="P1249" i="123" s="1"/>
  <c r="BO396" i="112"/>
  <c r="O1214" i="123"/>
  <c r="A141" i="110"/>
  <c r="T351" i="112"/>
  <c r="BL409" i="112"/>
  <c r="AB183" i="112"/>
  <c r="E12" i="112" s="1"/>
  <c r="A10" i="112" s="1"/>
  <c r="BL396" i="112"/>
  <c r="P1214" i="123"/>
  <c r="BL410" i="112"/>
  <c r="BK394" i="112"/>
  <c r="BN394" i="112"/>
  <c r="AA38" i="112"/>
  <c r="O1249" i="123" s="1"/>
  <c r="BM396" i="112"/>
  <c r="BN396" i="112"/>
  <c r="BO394" i="112"/>
  <c r="BI394" i="112"/>
  <c r="U237" i="112"/>
  <c r="K1502" i="123" s="1"/>
  <c r="O174" i="110"/>
  <c r="U348" i="112"/>
  <c r="K1577" i="123" s="1"/>
  <c r="K174" i="110"/>
  <c r="M176" i="110"/>
  <c r="L170" i="110"/>
  <c r="K133" i="110"/>
  <c r="O175" i="110"/>
  <c r="M139" i="110"/>
  <c r="E31" i="111"/>
  <c r="E769" i="123" s="1"/>
  <c r="D53" i="82"/>
  <c r="BK396" i="112"/>
  <c r="M133" i="110"/>
  <c r="P103" i="110"/>
  <c r="O139" i="110"/>
  <c r="O136" i="110"/>
  <c r="P185" i="110"/>
  <c r="P65" i="110"/>
  <c r="J25" i="95" s="1"/>
  <c r="N109" i="110"/>
  <c r="P180" i="110"/>
  <c r="P117" i="110"/>
  <c r="N139" i="110"/>
  <c r="N136" i="110"/>
  <c r="P132" i="110"/>
  <c r="M169" i="110"/>
  <c r="AC28" i="112"/>
  <c r="B572" i="91"/>
  <c r="I25" i="95"/>
  <c r="P166" i="110"/>
  <c r="P135" i="110"/>
  <c r="L176" i="110"/>
  <c r="N170" i="110"/>
  <c r="P184" i="110"/>
  <c r="M186" i="110"/>
  <c r="M188" i="110" s="1"/>
  <c r="M190" i="110" s="1"/>
  <c r="P138" i="110"/>
  <c r="P104" i="110"/>
  <c r="H28" i="95"/>
  <c r="B317" i="91"/>
  <c r="B142" i="91"/>
  <c r="G30" i="95"/>
  <c r="B363" i="91"/>
  <c r="F27" i="95"/>
  <c r="G29" i="95"/>
  <c r="B221" i="91"/>
  <c r="L186" i="110"/>
  <c r="L188" i="110" s="1"/>
  <c r="L190" i="110" s="1"/>
  <c r="F30" i="95"/>
  <c r="B125" i="91"/>
  <c r="H30" i="95"/>
  <c r="B159" i="91"/>
  <c r="B187" i="91"/>
  <c r="E29" i="95"/>
  <c r="B504" i="91"/>
  <c r="E25" i="95"/>
  <c r="Q262" i="110"/>
  <c r="P262" i="110"/>
  <c r="L175" i="110"/>
  <c r="F29" i="95"/>
  <c r="B204" i="91"/>
  <c r="E26" i="95"/>
  <c r="B425" i="91"/>
  <c r="P263" i="110"/>
  <c r="Q263" i="110"/>
  <c r="E28" i="95"/>
  <c r="B266" i="91"/>
  <c r="B97" i="91"/>
  <c r="I31" i="95"/>
  <c r="E30" i="95"/>
  <c r="B108" i="91"/>
  <c r="P156" i="110"/>
  <c r="P152" i="110"/>
  <c r="N169" i="110"/>
  <c r="M150" i="110"/>
  <c r="P157" i="110"/>
  <c r="K136" i="110"/>
  <c r="P158" i="110"/>
  <c r="M136" i="110"/>
  <c r="L173" i="110"/>
  <c r="P164" i="110"/>
  <c r="P66" i="110"/>
  <c r="J26" i="95" s="1"/>
  <c r="F26" i="95"/>
  <c r="B442" i="91"/>
  <c r="N120" i="110"/>
  <c r="L109" i="110"/>
  <c r="P105" i="110"/>
  <c r="P69" i="110"/>
  <c r="J29" i="95" s="1"/>
  <c r="B238" i="91"/>
  <c r="H29" i="95"/>
  <c r="G26" i="95"/>
  <c r="B459" i="91"/>
  <c r="L120" i="110"/>
  <c r="B346" i="91"/>
  <c r="E27" i="95"/>
  <c r="B414" i="91"/>
  <c r="I27" i="95"/>
  <c r="P70" i="110"/>
  <c r="J30" i="95" s="1"/>
  <c r="O170" i="110"/>
  <c r="P261" i="110"/>
  <c r="Q261" i="110"/>
  <c r="G27" i="95"/>
  <c r="B380" i="91"/>
  <c r="B283" i="91"/>
  <c r="F28" i="95"/>
  <c r="N176" i="110"/>
  <c r="H31" i="95"/>
  <c r="B80" i="91"/>
  <c r="B300" i="91"/>
  <c r="G28" i="95"/>
  <c r="F25" i="95"/>
  <c r="B521" i="91"/>
  <c r="B29" i="91"/>
  <c r="E31" i="95"/>
  <c r="B46" i="91"/>
  <c r="F31" i="95"/>
  <c r="B255" i="91"/>
  <c r="I29" i="95"/>
  <c r="I26" i="95"/>
  <c r="B493" i="91"/>
  <c r="L139" i="110"/>
  <c r="P187" i="110"/>
  <c r="M170" i="110"/>
  <c r="P165" i="110"/>
  <c r="L169" i="110"/>
  <c r="P108" i="110"/>
  <c r="O120" i="110"/>
  <c r="P118" i="110"/>
  <c r="M109" i="110"/>
  <c r="I28" i="95"/>
  <c r="B334" i="91"/>
  <c r="B555" i="91"/>
  <c r="H25" i="95"/>
  <c r="P107" i="110"/>
  <c r="G25" i="95"/>
  <c r="B538" i="91"/>
  <c r="G31" i="95"/>
  <c r="B63" i="91"/>
  <c r="H26" i="95"/>
  <c r="B476" i="91"/>
  <c r="I30" i="95"/>
  <c r="B176" i="91"/>
  <c r="H27" i="95"/>
  <c r="B397" i="91"/>
  <c r="AT416" i="112"/>
  <c r="BH409" i="112"/>
  <c r="AD297" i="112"/>
  <c r="BJ395" i="112"/>
  <c r="BI395" i="112"/>
  <c r="BH395" i="112"/>
  <c r="BK395" i="112"/>
  <c r="BN395" i="112"/>
  <c r="BL395" i="112"/>
  <c r="BM395" i="112"/>
  <c r="BO395" i="112"/>
  <c r="P1468" i="123"/>
  <c r="BH410" i="112"/>
  <c r="AD305" i="112"/>
  <c r="BH411" i="112"/>
  <c r="BJ411" i="112"/>
  <c r="AU416" i="112"/>
  <c r="BL411" i="112"/>
  <c r="BN411" i="112"/>
  <c r="G14" i="111"/>
  <c r="P160" i="110"/>
  <c r="K170" i="110"/>
  <c r="P189" i="110"/>
  <c r="P179" i="110"/>
  <c r="K186" i="110"/>
  <c r="M72" i="110"/>
  <c r="P171" i="110"/>
  <c r="P106" i="110"/>
  <c r="K173" i="110"/>
  <c r="K150" i="110"/>
  <c r="P151" i="110"/>
  <c r="P162" i="110"/>
  <c r="K172" i="110"/>
  <c r="P172" i="110" s="1"/>
  <c r="P181" i="110"/>
  <c r="P75" i="110"/>
  <c r="P163" i="110"/>
  <c r="P113" i="110"/>
  <c r="P73" i="110"/>
  <c r="Q187" i="110" s="1"/>
  <c r="N72" i="110"/>
  <c r="N175" i="110"/>
  <c r="P154" i="110"/>
  <c r="K176" i="110"/>
  <c r="L136" i="110"/>
  <c r="O186" i="110"/>
  <c r="O188" i="110" s="1"/>
  <c r="O190" i="110" s="1"/>
  <c r="P67" i="110"/>
  <c r="J27" i="95" s="1"/>
  <c r="P161" i="110"/>
  <c r="K143" i="110"/>
  <c r="P114" i="110"/>
  <c r="L143" i="110"/>
  <c r="L174" i="110"/>
  <c r="M174" i="110"/>
  <c r="M143" i="110"/>
  <c r="O169" i="110"/>
  <c r="P134" i="110"/>
  <c r="K169" i="110"/>
  <c r="P159" i="110"/>
  <c r="P183" i="110"/>
  <c r="O176" i="110"/>
  <c r="N174" i="110"/>
  <c r="N143" i="110"/>
  <c r="L133" i="110"/>
  <c r="P116" i="110"/>
  <c r="K120" i="110"/>
  <c r="P115" i="110"/>
  <c r="P68" i="110"/>
  <c r="J28" i="95" s="1"/>
  <c r="P182" i="110"/>
  <c r="K72" i="110"/>
  <c r="E32" i="95" s="1"/>
  <c r="L150" i="110"/>
  <c r="P155" i="110"/>
  <c r="O173" i="110"/>
  <c r="O150" i="110"/>
  <c r="P137" i="110"/>
  <c r="O133" i="110"/>
  <c r="N173" i="110"/>
  <c r="N150" i="110"/>
  <c r="M175" i="110"/>
  <c r="K175" i="110"/>
  <c r="P153" i="110"/>
  <c r="O109" i="110"/>
  <c r="P71" i="110"/>
  <c r="J31" i="95" s="1"/>
  <c r="M120" i="110"/>
  <c r="P119" i="110"/>
  <c r="N133" i="110"/>
  <c r="N186" i="110"/>
  <c r="N188" i="110" s="1"/>
  <c r="N190" i="110" s="1"/>
  <c r="K109" i="110"/>
  <c r="P102" i="110"/>
  <c r="O143" i="110"/>
  <c r="P131" i="110"/>
  <c r="K139" i="110"/>
  <c r="L72" i="110"/>
  <c r="O72" i="110"/>
  <c r="AD224" i="123" l="1"/>
  <c r="AF224" i="123" s="1"/>
  <c r="D779" i="123"/>
  <c r="C779" i="123"/>
  <c r="E11" i="86"/>
  <c r="B779" i="123"/>
  <c r="D11" i="86"/>
  <c r="C11" i="86"/>
  <c r="E41" i="111"/>
  <c r="F11" i="86" s="1"/>
  <c r="M27" i="110"/>
  <c r="M26" i="110"/>
  <c r="A17" i="110"/>
  <c r="C44" i="111"/>
  <c r="C782" i="123" s="1"/>
  <c r="R769" i="123"/>
  <c r="R762" i="123"/>
  <c r="R761" i="123"/>
  <c r="R772" i="123"/>
  <c r="R760" i="123"/>
  <c r="R766" i="123"/>
  <c r="R768" i="123"/>
  <c r="R773" i="123"/>
  <c r="R763" i="123"/>
  <c r="R778" i="123"/>
  <c r="R774" i="123"/>
  <c r="R764" i="123"/>
  <c r="R775" i="123"/>
  <c r="R765" i="123"/>
  <c r="R759" i="123"/>
  <c r="R777" i="123"/>
  <c r="R776" i="123"/>
  <c r="R770" i="123"/>
  <c r="R767" i="123"/>
  <c r="R771" i="123"/>
  <c r="G153" i="123"/>
  <c r="F39" i="107"/>
  <c r="P155" i="123"/>
  <c r="G152" i="123"/>
  <c r="G41" i="107"/>
  <c r="F38" i="107"/>
  <c r="G154" i="123"/>
  <c r="F40" i="107"/>
  <c r="H468" i="123"/>
  <c r="L15" i="110"/>
  <c r="M15" i="110" s="1"/>
  <c r="A15" i="110"/>
  <c r="H469" i="123"/>
  <c r="L16" i="110"/>
  <c r="M16" i="110" s="1"/>
  <c r="A16" i="110"/>
  <c r="K1673" i="123"/>
  <c r="K1678" i="123" s="1"/>
  <c r="K64" i="115"/>
  <c r="K69" i="115" s="1"/>
  <c r="K240" i="112"/>
  <c r="O1468" i="123"/>
  <c r="E1468" i="123" s="1"/>
  <c r="O1480" i="123"/>
  <c r="X347" i="112"/>
  <c r="AB240" i="112"/>
  <c r="AB233" i="112" s="1"/>
  <c r="X350" i="112" s="1"/>
  <c r="AA240" i="112"/>
  <c r="O1400" i="123"/>
  <c r="U347" i="112"/>
  <c r="O1406" i="123"/>
  <c r="O1401" i="123" s="1"/>
  <c r="BH402" i="112"/>
  <c r="BI402" i="112"/>
  <c r="AU423" i="112"/>
  <c r="P1400" i="123"/>
  <c r="BM402" i="112"/>
  <c r="BL402" i="112"/>
  <c r="AV423" i="112"/>
  <c r="P1406" i="123"/>
  <c r="P1401" i="123" s="1"/>
  <c r="L1576" i="123" s="1"/>
  <c r="L1575" i="123" s="1"/>
  <c r="BM397" i="112"/>
  <c r="P1335" i="123"/>
  <c r="BK397" i="112"/>
  <c r="O1335" i="123"/>
  <c r="T236" i="112"/>
  <c r="J1501" i="123" s="1"/>
  <c r="AD228" i="123"/>
  <c r="AF228" i="123" s="1"/>
  <c r="J784" i="123"/>
  <c r="AD223" i="123"/>
  <c r="AF223" i="123" s="1"/>
  <c r="AF225" i="123" s="1"/>
  <c r="BL391" i="112"/>
  <c r="BO397" i="112"/>
  <c r="BM391" i="112"/>
  <c r="BH393" i="112"/>
  <c r="BN397" i="112"/>
  <c r="BL397" i="112"/>
  <c r="BJ397" i="112"/>
  <c r="BH397" i="112"/>
  <c r="BI397" i="112"/>
  <c r="BN391" i="112"/>
  <c r="BK393" i="112"/>
  <c r="BO391" i="112"/>
  <c r="BI393" i="112"/>
  <c r="BJ393" i="112"/>
  <c r="U236" i="112"/>
  <c r="K1501" i="123" s="1"/>
  <c r="BH391" i="112"/>
  <c r="BI391" i="112"/>
  <c r="BL393" i="112"/>
  <c r="BO393" i="112"/>
  <c r="BN393" i="112"/>
  <c r="BM393" i="112"/>
  <c r="BK391" i="112"/>
  <c r="BJ391" i="112"/>
  <c r="Q183" i="110"/>
  <c r="AD108" i="107"/>
  <c r="AF108" i="107" s="1"/>
  <c r="P170" i="110"/>
  <c r="Q179" i="110"/>
  <c r="F31" i="111"/>
  <c r="F769" i="123" s="1"/>
  <c r="E53" i="82"/>
  <c r="Q184" i="110"/>
  <c r="P139" i="110"/>
  <c r="Q189" i="110"/>
  <c r="F57" i="89"/>
  <c r="P136" i="110"/>
  <c r="AD110" i="107"/>
  <c r="AF110" i="107" s="1"/>
  <c r="P169" i="110"/>
  <c r="L74" i="110"/>
  <c r="L76" i="110" s="1"/>
  <c r="L79" i="110" s="1"/>
  <c r="F32" i="95"/>
  <c r="P174" i="110"/>
  <c r="O74" i="110"/>
  <c r="O76" i="110" s="1"/>
  <c r="O82" i="110" s="1"/>
  <c r="I32" i="95"/>
  <c r="P109" i="110"/>
  <c r="P133" i="110"/>
  <c r="AD114" i="107"/>
  <c r="AF114" i="107" s="1"/>
  <c r="N74" i="110"/>
  <c r="N76" i="110" s="1"/>
  <c r="N94" i="110" s="1"/>
  <c r="H32" i="95"/>
  <c r="AD109" i="107"/>
  <c r="AF109" i="107" s="1"/>
  <c r="M74" i="110"/>
  <c r="M76" i="110" s="1"/>
  <c r="M192" i="110" s="1"/>
  <c r="G32" i="95"/>
  <c r="Q180" i="110"/>
  <c r="BM405" i="112"/>
  <c r="BL405" i="112"/>
  <c r="P1480" i="123"/>
  <c r="BH405" i="112"/>
  <c r="J268" i="112"/>
  <c r="BI405" i="112"/>
  <c r="F256" i="112"/>
  <c r="H14" i="111"/>
  <c r="Q185" i="110"/>
  <c r="P175" i="110"/>
  <c r="K74" i="110"/>
  <c r="P72" i="110"/>
  <c r="Q182" i="110"/>
  <c r="K188" i="110"/>
  <c r="P186" i="110"/>
  <c r="Q181" i="110"/>
  <c r="P143" i="110"/>
  <c r="P150" i="110"/>
  <c r="AD227" i="123" s="1"/>
  <c r="AF227" i="123" s="1"/>
  <c r="P173" i="110"/>
  <c r="P120" i="110"/>
  <c r="P176" i="110"/>
  <c r="E779" i="123" l="1"/>
  <c r="F41" i="111"/>
  <c r="G11" i="86" s="1"/>
  <c r="D44" i="111"/>
  <c r="D782" i="123" s="1"/>
  <c r="L17" i="110"/>
  <c r="M17" i="110" s="1"/>
  <c r="H470" i="123"/>
  <c r="A470" i="123" s="1"/>
  <c r="C49" i="107"/>
  <c r="G43" i="107"/>
  <c r="G37" i="107"/>
  <c r="F37" i="107"/>
  <c r="G155" i="123"/>
  <c r="G151" i="123" s="1"/>
  <c r="L469" i="123"/>
  <c r="M469" i="123" s="1"/>
  <c r="A469" i="123"/>
  <c r="M58" i="110"/>
  <c r="M59" i="110" s="1"/>
  <c r="L468" i="123"/>
  <c r="M468" i="123" s="1"/>
  <c r="A468" i="123"/>
  <c r="A58" i="110"/>
  <c r="A6" i="110" s="1"/>
  <c r="X346" i="112"/>
  <c r="AB341" i="112" s="1"/>
  <c r="AD225" i="123"/>
  <c r="K784" i="123"/>
  <c r="AD229" i="123"/>
  <c r="AF229" i="123"/>
  <c r="E223" i="123" s="1"/>
  <c r="P1505" i="123"/>
  <c r="O1505" i="123"/>
  <c r="L1505" i="123" s="1"/>
  <c r="BM416" i="112"/>
  <c r="BL406" i="112"/>
  <c r="K1576" i="123"/>
  <c r="K1575" i="123" s="1"/>
  <c r="J1505" i="123"/>
  <c r="BI416" i="112"/>
  <c r="M85" i="110"/>
  <c r="G31" i="111"/>
  <c r="G769" i="123" s="1"/>
  <c r="F53" i="82"/>
  <c r="BH406" i="112"/>
  <c r="M88" i="110"/>
  <c r="H7" i="100"/>
  <c r="M97" i="110"/>
  <c r="O94" i="110"/>
  <c r="N85" i="110"/>
  <c r="L82" i="110"/>
  <c r="N192" i="110"/>
  <c r="N88" i="110"/>
  <c r="N97" i="110"/>
  <c r="N82" i="110"/>
  <c r="L91" i="110"/>
  <c r="L192" i="110"/>
  <c r="O91" i="110"/>
  <c r="O88" i="110"/>
  <c r="Q264" i="110"/>
  <c r="Q265" i="110" s="1"/>
  <c r="P264" i="110"/>
  <c r="O85" i="110"/>
  <c r="E13" i="100"/>
  <c r="J32" i="95"/>
  <c r="O79" i="110"/>
  <c r="O192" i="110"/>
  <c r="M94" i="110"/>
  <c r="M82" i="110"/>
  <c r="M91" i="110"/>
  <c r="M79" i="110"/>
  <c r="N91" i="110"/>
  <c r="N79" i="110"/>
  <c r="AD111" i="107"/>
  <c r="AD113" i="107"/>
  <c r="O97" i="110"/>
  <c r="L85" i="110"/>
  <c r="L94" i="110"/>
  <c r="L97" i="110"/>
  <c r="L88" i="110"/>
  <c r="AF111" i="107"/>
  <c r="I14" i="111"/>
  <c r="K190" i="110"/>
  <c r="P190" i="110" s="1"/>
  <c r="P188" i="110"/>
  <c r="P265" i="110"/>
  <c r="K76" i="110"/>
  <c r="P74" i="110"/>
  <c r="V123" i="112" s="1"/>
  <c r="L470" i="123" l="1"/>
  <c r="M470" i="123" s="1"/>
  <c r="E44" i="111"/>
  <c r="F779" i="123"/>
  <c r="G41" i="111"/>
  <c r="P1570" i="123"/>
  <c r="AB334" i="112"/>
  <c r="E782" i="123"/>
  <c r="F44" i="111"/>
  <c r="C163" i="123"/>
  <c r="G157" i="123"/>
  <c r="P88" i="107"/>
  <c r="P126" i="107"/>
  <c r="P70" i="107"/>
  <c r="P76" i="107"/>
  <c r="S55" i="107"/>
  <c r="S169" i="123" s="1"/>
  <c r="P75" i="107"/>
  <c r="P55" i="107"/>
  <c r="AE125" i="107"/>
  <c r="AF125" i="107" s="1"/>
  <c r="AJ125" i="107" s="1"/>
  <c r="H18" i="100"/>
  <c r="AE123" i="107"/>
  <c r="AF123" i="107" s="1"/>
  <c r="AJ123" i="107" s="1"/>
  <c r="A511" i="123"/>
  <c r="A459" i="123" s="1"/>
  <c r="M511" i="123"/>
  <c r="M512" i="123" s="1"/>
  <c r="H201" i="110"/>
  <c r="H654" i="123" s="1"/>
  <c r="B15" i="111"/>
  <c r="Q256" i="110"/>
  <c r="Q709" i="123" s="1"/>
  <c r="Q710" i="123" s="1"/>
  <c r="P282" i="123"/>
  <c r="M282" i="123"/>
  <c r="M283" i="123" s="1"/>
  <c r="M285" i="123" s="1"/>
  <c r="J282" i="123"/>
  <c r="J283" i="123" s="1"/>
  <c r="J285" i="123" s="1"/>
  <c r="B816" i="123"/>
  <c r="K1341" i="123"/>
  <c r="F162" i="123"/>
  <c r="F163" i="123"/>
  <c r="K197" i="110"/>
  <c r="J163" i="123"/>
  <c r="P1498" i="123"/>
  <c r="AA233" i="112"/>
  <c r="X240" i="112"/>
  <c r="H31" i="111"/>
  <c r="H769" i="123" s="1"/>
  <c r="G53" i="82"/>
  <c r="M168" i="107"/>
  <c r="M169" i="107" s="1"/>
  <c r="M171" i="107" s="1"/>
  <c r="F49" i="107"/>
  <c r="J49" i="107"/>
  <c r="AF113" i="107"/>
  <c r="AF115" i="107" s="1"/>
  <c r="E109" i="107" s="1"/>
  <c r="AD115" i="107"/>
  <c r="P168" i="107"/>
  <c r="F48" i="107"/>
  <c r="J168" i="107"/>
  <c r="J169" i="107" s="1"/>
  <c r="J14" i="111"/>
  <c r="P76" i="110"/>
  <c r="K192" i="110"/>
  <c r="K94" i="110"/>
  <c r="K82" i="110"/>
  <c r="K91" i="110"/>
  <c r="K79" i="110"/>
  <c r="K85" i="110"/>
  <c r="K88" i="110"/>
  <c r="K97" i="110"/>
  <c r="G779" i="123" l="1"/>
  <c r="H41" i="111"/>
  <c r="H11" i="86"/>
  <c r="BN413" i="112"/>
  <c r="BN416" i="112" s="1"/>
  <c r="P1563" i="123"/>
  <c r="BO413" i="112"/>
  <c r="BO416" i="112" s="1"/>
  <c r="P201" i="110"/>
  <c r="I15" i="111"/>
  <c r="F782" i="123"/>
  <c r="G44" i="111"/>
  <c r="G75" i="107"/>
  <c r="P189" i="123"/>
  <c r="P86" i="107"/>
  <c r="G70" i="107"/>
  <c r="P184" i="123"/>
  <c r="P187" i="123" s="1"/>
  <c r="P73" i="107"/>
  <c r="P147" i="107" s="1"/>
  <c r="P163" i="107" s="1"/>
  <c r="G126" i="107"/>
  <c r="P240" i="123"/>
  <c r="P241" i="123" s="1"/>
  <c r="P127" i="107"/>
  <c r="G55" i="107"/>
  <c r="P169" i="123"/>
  <c r="G76" i="107"/>
  <c r="G190" i="123" s="1"/>
  <c r="P190" i="123"/>
  <c r="L1574" i="123" s="1"/>
  <c r="G88" i="107"/>
  <c r="P202" i="123"/>
  <c r="P206" i="123" s="1"/>
  <c r="P92" i="107"/>
  <c r="C52" i="100"/>
  <c r="H15" i="111"/>
  <c r="F15" i="111"/>
  <c r="B753" i="123"/>
  <c r="C15" i="111"/>
  <c r="B16" i="111"/>
  <c r="G15" i="111"/>
  <c r="E15" i="111"/>
  <c r="D15" i="111"/>
  <c r="T86" i="112"/>
  <c r="Q252" i="110"/>
  <c r="S109" i="107"/>
  <c r="Q257" i="110"/>
  <c r="E174" i="90"/>
  <c r="B23" i="111"/>
  <c r="B761" i="123" s="1"/>
  <c r="R257" i="110"/>
  <c r="R710" i="123"/>
  <c r="T55" i="112"/>
  <c r="T56" i="112" s="1"/>
  <c r="T58" i="112" s="1"/>
  <c r="J139" i="110"/>
  <c r="J136" i="110"/>
  <c r="J133" i="110"/>
  <c r="F247" i="112"/>
  <c r="G183" i="112"/>
  <c r="F215" i="112"/>
  <c r="O1498" i="123"/>
  <c r="K1498" i="123" s="1"/>
  <c r="U350" i="112"/>
  <c r="U346" i="112" s="1"/>
  <c r="AA341" i="112" s="1"/>
  <c r="AA334" i="112" s="1"/>
  <c r="C816" i="123"/>
  <c r="AD220" i="123"/>
  <c r="E169" i="123"/>
  <c r="J1267" i="123"/>
  <c r="AE236" i="123"/>
  <c r="F248" i="123"/>
  <c r="AE237" i="123"/>
  <c r="H1527" i="123"/>
  <c r="AE239" i="123"/>
  <c r="AE240" i="123"/>
  <c r="AE241" i="123"/>
  <c r="AE238" i="123"/>
  <c r="J162" i="123"/>
  <c r="P162" i="123"/>
  <c r="BH407" i="112"/>
  <c r="BH416" i="112" s="1"/>
  <c r="U233" i="112"/>
  <c r="AU426" i="112"/>
  <c r="BL407" i="112"/>
  <c r="BL416" i="112" s="1"/>
  <c r="AV426" i="112"/>
  <c r="I31" i="111"/>
  <c r="I769" i="123" s="1"/>
  <c r="H53" i="82"/>
  <c r="J1299" i="123"/>
  <c r="J171" i="107"/>
  <c r="G15" i="82"/>
  <c r="K13" i="100"/>
  <c r="P48" i="107"/>
  <c r="O298" i="112"/>
  <c r="L191" i="113"/>
  <c r="L1063" i="123" s="1"/>
  <c r="L193" i="113"/>
  <c r="F134" i="107"/>
  <c r="AD106" i="107"/>
  <c r="J48" i="107"/>
  <c r="C13" i="100"/>
  <c r="E55" i="107"/>
  <c r="G54" i="107" s="1"/>
  <c r="K14" i="111"/>
  <c r="J15" i="111"/>
  <c r="K261" i="110"/>
  <c r="K262" i="110"/>
  <c r="K260" i="110"/>
  <c r="K259" i="110"/>
  <c r="K257" i="110"/>
  <c r="K258" i="110"/>
  <c r="J59" i="110"/>
  <c r="J58" i="110"/>
  <c r="P79" i="110"/>
  <c r="P82" i="110"/>
  <c r="P94" i="110"/>
  <c r="P91" i="110"/>
  <c r="P88" i="110"/>
  <c r="P97" i="110"/>
  <c r="P85" i="110"/>
  <c r="D33" i="90"/>
  <c r="D35" i="90"/>
  <c r="D34" i="90" s="1"/>
  <c r="H16" i="85"/>
  <c r="H779" i="123" l="1"/>
  <c r="I41" i="111"/>
  <c r="I11" i="86"/>
  <c r="AB374" i="112"/>
  <c r="O1563" i="123"/>
  <c r="I1563" i="123" s="1"/>
  <c r="BK413" i="112"/>
  <c r="BK416" i="112" s="1"/>
  <c r="J334" i="112"/>
  <c r="BJ413" i="112"/>
  <c r="BJ416" i="112" s="1"/>
  <c r="AA374" i="112" s="1"/>
  <c r="G753" i="123"/>
  <c r="H753" i="123"/>
  <c r="D753" i="123"/>
  <c r="C753" i="123"/>
  <c r="J16" i="111"/>
  <c r="J754" i="123" s="1"/>
  <c r="J753" i="123"/>
  <c r="I753" i="123"/>
  <c r="E753" i="123"/>
  <c r="F753" i="123"/>
  <c r="G782" i="123"/>
  <c r="H44" i="111"/>
  <c r="G202" i="123"/>
  <c r="G206" i="123" s="1"/>
  <c r="E201" i="123" s="1"/>
  <c r="G92" i="107"/>
  <c r="E87" i="107" s="1"/>
  <c r="P200" i="123"/>
  <c r="P261" i="123" s="1"/>
  <c r="P277" i="123" s="1"/>
  <c r="P279" i="123" s="1"/>
  <c r="P281" i="123" s="1"/>
  <c r="P283" i="123" s="1"/>
  <c r="P285" i="123" s="1"/>
  <c r="J286" i="123" s="1"/>
  <c r="G189" i="123"/>
  <c r="G200" i="123" s="1"/>
  <c r="G86" i="107"/>
  <c r="P165" i="107"/>
  <c r="P167" i="107" s="1"/>
  <c r="P169" i="107" s="1"/>
  <c r="P171" i="107" s="1"/>
  <c r="J172" i="107" s="1"/>
  <c r="E3" i="86"/>
  <c r="G169" i="123"/>
  <c r="G168" i="123" s="1"/>
  <c r="F55" i="107"/>
  <c r="B58" i="107"/>
  <c r="G240" i="123"/>
  <c r="G127" i="107"/>
  <c r="G184" i="123"/>
  <c r="G187" i="123" s="1"/>
  <c r="G73" i="107"/>
  <c r="B754" i="123"/>
  <c r="I16" i="111"/>
  <c r="F16" i="111"/>
  <c r="H16" i="111"/>
  <c r="C53" i="100"/>
  <c r="B17" i="111"/>
  <c r="B22" i="111" s="1"/>
  <c r="C16" i="111"/>
  <c r="D16" i="111"/>
  <c r="D754" i="123" s="1"/>
  <c r="G16" i="111"/>
  <c r="E16" i="111"/>
  <c r="E754" i="123" s="1"/>
  <c r="J23" i="111"/>
  <c r="J761" i="123" s="1"/>
  <c r="G109" i="107"/>
  <c r="S223" i="123"/>
  <c r="S228" i="123" s="1"/>
  <c r="S114" i="107"/>
  <c r="I23" i="111"/>
  <c r="I761" i="123" s="1"/>
  <c r="O1570" i="123"/>
  <c r="K1570" i="123" s="1"/>
  <c r="U341" i="112"/>
  <c r="H23" i="111"/>
  <c r="H761" i="123" s="1"/>
  <c r="G23" i="111"/>
  <c r="G761" i="123" s="1"/>
  <c r="E23" i="111"/>
  <c r="E761" i="123" s="1"/>
  <c r="D23" i="111"/>
  <c r="D761" i="123" s="1"/>
  <c r="C23" i="111"/>
  <c r="C761" i="123" s="1"/>
  <c r="F23" i="111"/>
  <c r="F761" i="123" s="1"/>
  <c r="C13" i="86"/>
  <c r="P1602" i="123"/>
  <c r="P1200" i="123" s="1"/>
  <c r="AB6" i="112"/>
  <c r="T299" i="112"/>
  <c r="T298" i="112"/>
  <c r="R193" i="113"/>
  <c r="L1065" i="123"/>
  <c r="D816" i="123"/>
  <c r="M1268" i="123"/>
  <c r="J1268" i="123"/>
  <c r="AF236" i="123"/>
  <c r="AF239" i="123"/>
  <c r="AH239" i="123" s="1"/>
  <c r="L192" i="113"/>
  <c r="R191" i="113"/>
  <c r="J31" i="111"/>
  <c r="J769" i="123" s="1"/>
  <c r="I53" i="82"/>
  <c r="H13" i="86"/>
  <c r="Y56" i="112"/>
  <c r="Y58" i="112" s="1"/>
  <c r="AA58" i="112"/>
  <c r="J1270" i="123"/>
  <c r="B46" i="111"/>
  <c r="K15" i="111"/>
  <c r="K23" i="111"/>
  <c r="K761" i="123" s="1"/>
  <c r="K16" i="111"/>
  <c r="K754" i="123" s="1"/>
  <c r="P95" i="110"/>
  <c r="P96" i="110" s="1"/>
  <c r="K95" i="110"/>
  <c r="K96" i="110" s="1"/>
  <c r="N95" i="110"/>
  <c r="N96" i="110" s="1"/>
  <c r="O95" i="110"/>
  <c r="O96" i="110" s="1"/>
  <c r="M95" i="110"/>
  <c r="M96" i="110" s="1"/>
  <c r="L95" i="110"/>
  <c r="L96" i="110" s="1"/>
  <c r="P89" i="110"/>
  <c r="P90" i="110" s="1"/>
  <c r="M89" i="110"/>
  <c r="M90" i="110" s="1"/>
  <c r="L89" i="110"/>
  <c r="L90" i="110" s="1"/>
  <c r="K89" i="110"/>
  <c r="K90" i="110" s="1"/>
  <c r="N89" i="110"/>
  <c r="N90" i="110" s="1"/>
  <c r="O89" i="110"/>
  <c r="O90" i="110" s="1"/>
  <c r="P83" i="110"/>
  <c r="P84" i="110" s="1"/>
  <c r="K83" i="110"/>
  <c r="K84" i="110" s="1"/>
  <c r="O83" i="110"/>
  <c r="O84" i="110" s="1"/>
  <c r="N83" i="110"/>
  <c r="N84" i="110" s="1"/>
  <c r="M83" i="110"/>
  <c r="M84" i="110" s="1"/>
  <c r="L83" i="110"/>
  <c r="L84" i="110" s="1"/>
  <c r="P98" i="110"/>
  <c r="P99" i="110" s="1"/>
  <c r="N98" i="110"/>
  <c r="N99" i="110" s="1"/>
  <c r="M98" i="110"/>
  <c r="M99" i="110" s="1"/>
  <c r="L98" i="110"/>
  <c r="L99" i="110" s="1"/>
  <c r="O98" i="110"/>
  <c r="O99" i="110" s="1"/>
  <c r="K98" i="110"/>
  <c r="K99" i="110" s="1"/>
  <c r="P92" i="110"/>
  <c r="P93" i="110" s="1"/>
  <c r="L92" i="110"/>
  <c r="L93" i="110" s="1"/>
  <c r="O92" i="110"/>
  <c r="O93" i="110" s="1"/>
  <c r="K92" i="110"/>
  <c r="K93" i="110" s="1"/>
  <c r="M92" i="110"/>
  <c r="M93" i="110" s="1"/>
  <c r="N92" i="110"/>
  <c r="N93" i="110" s="1"/>
  <c r="P80" i="110"/>
  <c r="P81" i="110" s="1"/>
  <c r="K80" i="110"/>
  <c r="K81" i="110" s="1"/>
  <c r="O80" i="110"/>
  <c r="O81" i="110" s="1"/>
  <c r="L80" i="110"/>
  <c r="L81" i="110" s="1"/>
  <c r="M80" i="110"/>
  <c r="M81" i="110" s="1"/>
  <c r="N80" i="110"/>
  <c r="N81" i="110" s="1"/>
  <c r="P86" i="110"/>
  <c r="P87" i="110" s="1"/>
  <c r="M86" i="110"/>
  <c r="M87" i="110" s="1"/>
  <c r="N86" i="110"/>
  <c r="N87" i="110" s="1"/>
  <c r="L86" i="110"/>
  <c r="L87" i="110" s="1"/>
  <c r="K86" i="110"/>
  <c r="K87" i="110" s="1"/>
  <c r="O86" i="110"/>
  <c r="O87" i="110" s="1"/>
  <c r="C33" i="86" l="1"/>
  <c r="I779" i="123"/>
  <c r="J41" i="111"/>
  <c r="C31" i="86"/>
  <c r="AA6" i="112"/>
  <c r="O1602" i="123"/>
  <c r="O1200" i="123" s="1"/>
  <c r="Q242" i="110"/>
  <c r="Q695" i="123"/>
  <c r="B760" i="123"/>
  <c r="E17" i="111"/>
  <c r="E20" i="111" s="1"/>
  <c r="E758" i="123" s="1"/>
  <c r="K753" i="123"/>
  <c r="J17" i="111"/>
  <c r="J20" i="111" s="1"/>
  <c r="J758" i="123" s="1"/>
  <c r="H782" i="123"/>
  <c r="I44" i="111"/>
  <c r="F126" i="107"/>
  <c r="F125" i="107"/>
  <c r="D47" i="106"/>
  <c r="D91" i="123" s="1"/>
  <c r="C135" i="90"/>
  <c r="F122" i="107"/>
  <c r="F124" i="107"/>
  <c r="G241" i="123"/>
  <c r="F240" i="123"/>
  <c r="F169" i="123"/>
  <c r="B172" i="123"/>
  <c r="F57" i="107"/>
  <c r="F58" i="107"/>
  <c r="J58" i="107"/>
  <c r="J57" i="107"/>
  <c r="P57" i="107"/>
  <c r="D17" i="111"/>
  <c r="D22" i="111" s="1"/>
  <c r="G754" i="123"/>
  <c r="G17" i="111"/>
  <c r="G22" i="111" s="1"/>
  <c r="C754" i="123"/>
  <c r="C17" i="111"/>
  <c r="C22" i="111" s="1"/>
  <c r="D33" i="86"/>
  <c r="C54" i="100"/>
  <c r="K6" i="111"/>
  <c r="B755" i="123"/>
  <c r="K8" i="111"/>
  <c r="B20" i="111"/>
  <c r="L4" i="95"/>
  <c r="J4" i="91"/>
  <c r="H754" i="123"/>
  <c r="H17" i="111"/>
  <c r="H22" i="111" s="1"/>
  <c r="F754" i="123"/>
  <c r="F17" i="111"/>
  <c r="F22" i="111" s="1"/>
  <c r="I754" i="123"/>
  <c r="I17" i="111"/>
  <c r="I22" i="111" s="1"/>
  <c r="I13" i="86"/>
  <c r="G223" i="123"/>
  <c r="E5" i="86"/>
  <c r="G114" i="107"/>
  <c r="I109" i="107"/>
  <c r="G13" i="86"/>
  <c r="E13" i="86"/>
  <c r="D13" i="86"/>
  <c r="F13" i="86"/>
  <c r="R192" i="113"/>
  <c r="L1064" i="123"/>
  <c r="E816" i="123"/>
  <c r="AH236" i="123"/>
  <c r="E241" i="123"/>
  <c r="E33" i="86"/>
  <c r="K31" i="111"/>
  <c r="K769" i="123" s="1"/>
  <c r="J53" i="82"/>
  <c r="C46" i="111"/>
  <c r="B55" i="111"/>
  <c r="B793" i="123" s="1"/>
  <c r="B47" i="111"/>
  <c r="B48" i="111"/>
  <c r="B786" i="123" s="1"/>
  <c r="K17" i="111"/>
  <c r="K755" i="123" s="1"/>
  <c r="J779" i="123" l="1"/>
  <c r="K41" i="111"/>
  <c r="D31" i="86"/>
  <c r="C760" i="123"/>
  <c r="H760" i="123"/>
  <c r="B785" i="123"/>
  <c r="D760" i="123"/>
  <c r="J755" i="123"/>
  <c r="J22" i="111"/>
  <c r="G760" i="123"/>
  <c r="F760" i="123"/>
  <c r="Q250" i="110"/>
  <c r="O244" i="110"/>
  <c r="O243" i="110"/>
  <c r="K22" i="111"/>
  <c r="E755" i="123"/>
  <c r="E22" i="111"/>
  <c r="I760" i="123"/>
  <c r="Q703" i="123"/>
  <c r="O697" i="123"/>
  <c r="O696" i="123"/>
  <c r="I782" i="123"/>
  <c r="J44" i="111"/>
  <c r="J172" i="123"/>
  <c r="F172" i="123"/>
  <c r="F171" i="123"/>
  <c r="P171" i="123"/>
  <c r="J171" i="123"/>
  <c r="A241" i="123"/>
  <c r="H20" i="111"/>
  <c r="H755" i="123"/>
  <c r="I755" i="123"/>
  <c r="I20" i="111"/>
  <c r="C755" i="123"/>
  <c r="C20" i="111"/>
  <c r="G755" i="123"/>
  <c r="G20" i="111"/>
  <c r="B758" i="123"/>
  <c r="F755" i="123"/>
  <c r="F20" i="111"/>
  <c r="D755" i="123"/>
  <c r="D20" i="111"/>
  <c r="AG124" i="107"/>
  <c r="AH124" i="107" s="1"/>
  <c r="AJ124" i="107" s="1"/>
  <c r="AG122" i="107"/>
  <c r="AH122" i="107" s="1"/>
  <c r="G228" i="123"/>
  <c r="I223" i="123"/>
  <c r="F816" i="123"/>
  <c r="K20" i="111"/>
  <c r="K758" i="123" s="1"/>
  <c r="F33" i="86"/>
  <c r="B63" i="111"/>
  <c r="B801" i="123" s="1"/>
  <c r="K53" i="82"/>
  <c r="B49" i="111"/>
  <c r="B787" i="123" s="1"/>
  <c r="D46" i="111"/>
  <c r="C47" i="111"/>
  <c r="C55" i="111"/>
  <c r="C793" i="123" s="1"/>
  <c r="C48" i="111"/>
  <c r="C786" i="123" s="1"/>
  <c r="K779" i="123" l="1"/>
  <c r="B73" i="111"/>
  <c r="E31" i="86"/>
  <c r="B54" i="111"/>
  <c r="J760" i="123"/>
  <c r="P704" i="123"/>
  <c r="Q722" i="123"/>
  <c r="K760" i="123"/>
  <c r="E760" i="123"/>
  <c r="C785" i="123"/>
  <c r="F244" i="123"/>
  <c r="B21" i="111"/>
  <c r="D53" i="111" s="1"/>
  <c r="F130" i="107"/>
  <c r="S130" i="107" s="1"/>
  <c r="Q269" i="110"/>
  <c r="P251" i="110"/>
  <c r="J782" i="123"/>
  <c r="K44" i="111"/>
  <c r="AJ122" i="107"/>
  <c r="E127" i="107"/>
  <c r="A127" i="107" s="1"/>
  <c r="D758" i="123"/>
  <c r="I758" i="123"/>
  <c r="F758" i="123"/>
  <c r="G758" i="123"/>
  <c r="C758" i="123"/>
  <c r="H758" i="123"/>
  <c r="G816" i="123"/>
  <c r="B52" i="111"/>
  <c r="B790" i="123" s="1"/>
  <c r="G33" i="86"/>
  <c r="C63" i="111"/>
  <c r="C801" i="123" s="1"/>
  <c r="B73" i="82"/>
  <c r="C49" i="111"/>
  <c r="C787" i="123" s="1"/>
  <c r="E46" i="111"/>
  <c r="D47" i="111"/>
  <c r="D55" i="111"/>
  <c r="D793" i="123" s="1"/>
  <c r="D48" i="111"/>
  <c r="D786" i="123" s="1"/>
  <c r="B811" i="123" l="1"/>
  <c r="C73" i="111"/>
  <c r="F31" i="86"/>
  <c r="C54" i="111"/>
  <c r="C792" i="123" s="1"/>
  <c r="S244" i="123"/>
  <c r="G130" i="107"/>
  <c r="B39" i="111"/>
  <c r="G21" i="111"/>
  <c r="E21" i="111"/>
  <c r="H21" i="111"/>
  <c r="B759" i="123"/>
  <c r="F21" i="111"/>
  <c r="D21" i="111"/>
  <c r="C21" i="111"/>
  <c r="I21" i="111"/>
  <c r="J21" i="111"/>
  <c r="K21" i="111"/>
  <c r="B53" i="111"/>
  <c r="B791" i="123" s="1"/>
  <c r="C53" i="111"/>
  <c r="C791" i="123" s="1"/>
  <c r="B25" i="111"/>
  <c r="B26" i="111" s="1"/>
  <c r="D785" i="123"/>
  <c r="B792" i="123"/>
  <c r="K782" i="123"/>
  <c r="B76" i="111"/>
  <c r="D791" i="123"/>
  <c r="H816" i="123"/>
  <c r="H33" i="86"/>
  <c r="C52" i="111"/>
  <c r="C790" i="123" s="1"/>
  <c r="D63" i="111"/>
  <c r="D801" i="123" s="1"/>
  <c r="C73" i="82"/>
  <c r="D49" i="111"/>
  <c r="D787" i="123" s="1"/>
  <c r="F46" i="111"/>
  <c r="E47" i="111"/>
  <c r="E55" i="111"/>
  <c r="E793" i="123" s="1"/>
  <c r="E53" i="111"/>
  <c r="E48" i="111"/>
  <c r="E786" i="123" s="1"/>
  <c r="C809" i="123" l="1"/>
  <c r="C811" i="123"/>
  <c r="D73" i="111"/>
  <c r="H31" i="86" s="1"/>
  <c r="G31" i="86"/>
  <c r="C795" i="123"/>
  <c r="B795" i="123"/>
  <c r="B57" i="111"/>
  <c r="C71" i="111"/>
  <c r="B71" i="111"/>
  <c r="C759" i="123"/>
  <c r="C39" i="111"/>
  <c r="C25" i="111"/>
  <c r="H759" i="123"/>
  <c r="H39" i="111"/>
  <c r="H25" i="111"/>
  <c r="H44" i="82" s="1"/>
  <c r="J759" i="123"/>
  <c r="J25" i="111"/>
  <c r="J44" i="82" s="1"/>
  <c r="J39" i="111"/>
  <c r="E785" i="123"/>
  <c r="K759" i="123"/>
  <c r="K39" i="111"/>
  <c r="K25" i="111"/>
  <c r="K44" i="82" s="1"/>
  <c r="G759" i="123"/>
  <c r="G39" i="111"/>
  <c r="G25" i="111"/>
  <c r="G44" i="82" s="1"/>
  <c r="F759" i="123"/>
  <c r="F39" i="111"/>
  <c r="F25" i="111"/>
  <c r="F44" i="82" s="1"/>
  <c r="B777" i="123"/>
  <c r="B763" i="123"/>
  <c r="I759" i="123"/>
  <c r="I39" i="111"/>
  <c r="I25" i="111"/>
  <c r="I44" i="82" s="1"/>
  <c r="D54" i="111"/>
  <c r="F78" i="89"/>
  <c r="G244" i="123"/>
  <c r="J244" i="123" s="1"/>
  <c r="J130" i="107"/>
  <c r="D759" i="123"/>
  <c r="D39" i="111"/>
  <c r="D25" i="111"/>
  <c r="E759" i="123"/>
  <c r="E25" i="111"/>
  <c r="E44" i="82" s="1"/>
  <c r="E39" i="111"/>
  <c r="B44" i="82"/>
  <c r="B35" i="111"/>
  <c r="B809" i="123"/>
  <c r="B814" i="123"/>
  <c r="C76" i="111"/>
  <c r="E791" i="123"/>
  <c r="I816" i="123"/>
  <c r="D52" i="111"/>
  <c r="D790" i="123" s="1"/>
  <c r="I33" i="86"/>
  <c r="C57" i="111"/>
  <c r="E63" i="111"/>
  <c r="E801" i="123" s="1"/>
  <c r="D73" i="82"/>
  <c r="G46" i="111"/>
  <c r="F55" i="111"/>
  <c r="F793" i="123" s="1"/>
  <c r="F47" i="111"/>
  <c r="F53" i="111"/>
  <c r="F48" i="111"/>
  <c r="F786" i="123" s="1"/>
  <c r="E49" i="111"/>
  <c r="E787" i="123" s="1"/>
  <c r="V176" i="72"/>
  <c r="V177" i="72"/>
  <c r="C44" i="82" l="1"/>
  <c r="B64" i="82"/>
  <c r="E54" i="111"/>
  <c r="E792" i="123" s="1"/>
  <c r="D44" i="82"/>
  <c r="D811" i="123"/>
  <c r="E73" i="111"/>
  <c r="E71" i="111"/>
  <c r="K777" i="123"/>
  <c r="K763" i="123"/>
  <c r="D792" i="123"/>
  <c r="D809" i="123" s="1"/>
  <c r="D71" i="111"/>
  <c r="I777" i="123"/>
  <c r="I763" i="123"/>
  <c r="F777" i="123"/>
  <c r="F763" i="123"/>
  <c r="J777" i="123"/>
  <c r="J763" i="123"/>
  <c r="F785" i="123"/>
  <c r="F54" i="111"/>
  <c r="F792" i="123" s="1"/>
  <c r="E777" i="123"/>
  <c r="E763" i="123"/>
  <c r="D777" i="123"/>
  <c r="D763" i="123"/>
  <c r="G777" i="123"/>
  <c r="G763" i="123"/>
  <c r="E809" i="123"/>
  <c r="H777" i="123"/>
  <c r="H763" i="123"/>
  <c r="C777" i="123"/>
  <c r="C763" i="123"/>
  <c r="C814" i="123"/>
  <c r="D76" i="111"/>
  <c r="F791" i="123"/>
  <c r="J816" i="123"/>
  <c r="C64" i="82"/>
  <c r="C53" i="86"/>
  <c r="E52" i="111"/>
  <c r="E790" i="123" s="1"/>
  <c r="E795" i="123" s="1"/>
  <c r="D57" i="111"/>
  <c r="F63" i="111"/>
  <c r="F801" i="123" s="1"/>
  <c r="E73" i="82"/>
  <c r="H46" i="111"/>
  <c r="G47" i="111"/>
  <c r="G53" i="111"/>
  <c r="G55" i="111"/>
  <c r="G793" i="123" s="1"/>
  <c r="G48" i="111"/>
  <c r="G786" i="123" s="1"/>
  <c r="F49" i="111"/>
  <c r="F787" i="123" s="1"/>
  <c r="E811" i="123" l="1"/>
  <c r="F73" i="111"/>
  <c r="C51" i="86" s="1"/>
  <c r="I31" i="86"/>
  <c r="F71" i="111"/>
  <c r="F809" i="123"/>
  <c r="G785" i="123"/>
  <c r="D795" i="123"/>
  <c r="D814" i="123"/>
  <c r="E76" i="111"/>
  <c r="G791" i="123"/>
  <c r="K816" i="123"/>
  <c r="D64" i="82"/>
  <c r="D53" i="86"/>
  <c r="F52" i="111"/>
  <c r="F790" i="123" s="1"/>
  <c r="F795" i="123" s="1"/>
  <c r="E57" i="111"/>
  <c r="G63" i="111"/>
  <c r="G801" i="123" s="1"/>
  <c r="F73" i="82"/>
  <c r="I46" i="111"/>
  <c r="H55" i="111"/>
  <c r="H793" i="123" s="1"/>
  <c r="H47" i="111"/>
  <c r="H53" i="111"/>
  <c r="H48" i="111"/>
  <c r="H786" i="123" s="1"/>
  <c r="G49" i="111"/>
  <c r="G787" i="123" s="1"/>
  <c r="F811" i="123" l="1"/>
  <c r="G73" i="111"/>
  <c r="G54" i="111"/>
  <c r="H785" i="123"/>
  <c r="E814" i="123"/>
  <c r="F76" i="111"/>
  <c r="H791" i="123"/>
  <c r="B846" i="123"/>
  <c r="E64" i="82"/>
  <c r="G52" i="111"/>
  <c r="G790" i="123" s="1"/>
  <c r="E53" i="86"/>
  <c r="F57" i="111"/>
  <c r="H63" i="111"/>
  <c r="H801" i="123" s="1"/>
  <c r="G73" i="82"/>
  <c r="J46" i="111"/>
  <c r="I47" i="111"/>
  <c r="I53" i="111"/>
  <c r="I55" i="111"/>
  <c r="I793" i="123" s="1"/>
  <c r="I48" i="111"/>
  <c r="I786" i="123" s="1"/>
  <c r="H49" i="111"/>
  <c r="H787" i="123" s="1"/>
  <c r="G811" i="123" l="1"/>
  <c r="H73" i="111"/>
  <c r="D51" i="86"/>
  <c r="H54" i="111"/>
  <c r="H792" i="123" s="1"/>
  <c r="H809" i="123" s="1"/>
  <c r="I785" i="123"/>
  <c r="G792" i="123"/>
  <c r="G809" i="123" s="1"/>
  <c r="G71" i="111"/>
  <c r="F814" i="123"/>
  <c r="G76" i="111"/>
  <c r="G814" i="123" s="1"/>
  <c r="I791" i="123"/>
  <c r="C846" i="123"/>
  <c r="H52" i="111"/>
  <c r="H790" i="123" s="1"/>
  <c r="H795" i="123" s="1"/>
  <c r="F53" i="86"/>
  <c r="G57" i="111"/>
  <c r="F64" i="82"/>
  <c r="I63" i="111"/>
  <c r="I801" i="123" s="1"/>
  <c r="H73" i="82"/>
  <c r="K46" i="111"/>
  <c r="J55" i="111"/>
  <c r="J793" i="123" s="1"/>
  <c r="J53" i="111"/>
  <c r="J47" i="111"/>
  <c r="J48" i="111"/>
  <c r="J786" i="123" s="1"/>
  <c r="I49" i="111"/>
  <c r="I787" i="123" s="1"/>
  <c r="H71" i="111" l="1"/>
  <c r="H811" i="123"/>
  <c r="I73" i="111"/>
  <c r="F51" i="86" s="1"/>
  <c r="E51" i="86"/>
  <c r="J785" i="123"/>
  <c r="G795" i="123"/>
  <c r="I54" i="111"/>
  <c r="J791" i="123"/>
  <c r="D846" i="123"/>
  <c r="I52" i="111"/>
  <c r="I790" i="123" s="1"/>
  <c r="H57" i="111"/>
  <c r="G53" i="86"/>
  <c r="G64" i="82"/>
  <c r="J63" i="111"/>
  <c r="J801" i="123" s="1"/>
  <c r="I73" i="82"/>
  <c r="J49" i="111"/>
  <c r="J787" i="123" s="1"/>
  <c r="B78" i="111"/>
  <c r="K53" i="111"/>
  <c r="K55" i="111"/>
  <c r="K793" i="123" s="1"/>
  <c r="K47" i="111"/>
  <c r="K48" i="111"/>
  <c r="K786" i="123" s="1"/>
  <c r="I133" i="73"/>
  <c r="O138" i="72"/>
  <c r="I811" i="123" l="1"/>
  <c r="J73" i="111"/>
  <c r="I792" i="123"/>
  <c r="I809" i="123" s="1"/>
  <c r="I71" i="111"/>
  <c r="K785" i="123"/>
  <c r="J54" i="111"/>
  <c r="K791" i="123"/>
  <c r="E846" i="123"/>
  <c r="H53" i="86"/>
  <c r="J52" i="111"/>
  <c r="J790" i="123" s="1"/>
  <c r="H64" i="82"/>
  <c r="I57" i="111"/>
  <c r="K63" i="111"/>
  <c r="K801" i="123" s="1"/>
  <c r="J73" i="82"/>
  <c r="K49" i="111"/>
  <c r="K787" i="123" s="1"/>
  <c r="C78" i="111"/>
  <c r="B85" i="111"/>
  <c r="B87" i="111"/>
  <c r="B825" i="123" s="1"/>
  <c r="B79" i="111"/>
  <c r="B80" i="111"/>
  <c r="B818" i="123" s="1"/>
  <c r="P47" i="72"/>
  <c r="P46" i="72"/>
  <c r="P45" i="72"/>
  <c r="J811" i="123" l="1"/>
  <c r="K73" i="111"/>
  <c r="G51" i="86"/>
  <c r="I795" i="123"/>
  <c r="K54" i="111"/>
  <c r="J792" i="123"/>
  <c r="J809" i="123" s="1"/>
  <c r="J71" i="111"/>
  <c r="B817" i="123"/>
  <c r="B823" i="123"/>
  <c r="F846" i="123"/>
  <c r="I64" i="82"/>
  <c r="K52" i="111"/>
  <c r="K790" i="123" s="1"/>
  <c r="J57" i="111"/>
  <c r="B95" i="111"/>
  <c r="B833" i="123" s="1"/>
  <c r="K73" i="82"/>
  <c r="B81" i="111"/>
  <c r="B819" i="123" s="1"/>
  <c r="D78" i="111"/>
  <c r="C79" i="111"/>
  <c r="C87" i="111"/>
  <c r="C825" i="123" s="1"/>
  <c r="C85" i="111"/>
  <c r="C80" i="111"/>
  <c r="C818" i="123" s="1"/>
  <c r="AB57" i="72"/>
  <c r="AB58" i="72"/>
  <c r="AB59" i="72"/>
  <c r="AB60" i="72"/>
  <c r="AB61" i="72"/>
  <c r="Z56" i="72"/>
  <c r="AI35" i="72"/>
  <c r="AH35" i="72"/>
  <c r="AG35" i="72"/>
  <c r="AF35" i="72"/>
  <c r="AE35" i="72"/>
  <c r="AD35" i="72"/>
  <c r="K811" i="123" l="1"/>
  <c r="B104" i="111"/>
  <c r="H51" i="86"/>
  <c r="J795" i="123"/>
  <c r="K792" i="123"/>
  <c r="K809" i="123" s="1"/>
  <c r="K71" i="111"/>
  <c r="B86" i="111"/>
  <c r="C817" i="123"/>
  <c r="C823" i="123"/>
  <c r="J64" i="82"/>
  <c r="K57" i="111"/>
  <c r="B84" i="111"/>
  <c r="B822" i="123" s="1"/>
  <c r="C95" i="111"/>
  <c r="C833" i="123" s="1"/>
  <c r="E78" i="111"/>
  <c r="D79" i="111"/>
  <c r="D85" i="111"/>
  <c r="D87" i="111"/>
  <c r="D825" i="123" s="1"/>
  <c r="D80" i="111"/>
  <c r="D818" i="123" s="1"/>
  <c r="C81" i="111"/>
  <c r="C819" i="123" s="1"/>
  <c r="R344" i="72"/>
  <c r="D4" i="93"/>
  <c r="B842" i="123" l="1"/>
  <c r="C104" i="111"/>
  <c r="K795" i="123"/>
  <c r="D817" i="123"/>
  <c r="C86" i="111"/>
  <c r="B824" i="123"/>
  <c r="B840" i="123" s="1"/>
  <c r="B102" i="111"/>
  <c r="D823" i="123"/>
  <c r="P42" i="106"/>
  <c r="I62" i="106"/>
  <c r="I86" i="123"/>
  <c r="I106" i="123" s="1"/>
  <c r="B24" i="82"/>
  <c r="C25" i="100"/>
  <c r="F15" i="85" s="1"/>
  <c r="B89" i="111"/>
  <c r="C84" i="111"/>
  <c r="C822" i="123" s="1"/>
  <c r="K64" i="82"/>
  <c r="D95" i="111"/>
  <c r="D833" i="123" s="1"/>
  <c r="F78" i="111"/>
  <c r="E79" i="111"/>
  <c r="E85" i="111"/>
  <c r="E87" i="111"/>
  <c r="E825" i="123" s="1"/>
  <c r="E80" i="111"/>
  <c r="E818" i="123" s="1"/>
  <c r="D81" i="111"/>
  <c r="D819" i="123" s="1"/>
  <c r="D14" i="100"/>
  <c r="C148" i="90"/>
  <c r="C146" i="90"/>
  <c r="G132" i="90"/>
  <c r="D132" i="90"/>
  <c r="C132" i="90"/>
  <c r="E58" i="90"/>
  <c r="C58" i="90"/>
  <c r="C56" i="90"/>
  <c r="C8" i="90"/>
  <c r="E68" i="89"/>
  <c r="E29" i="89"/>
  <c r="E5" i="89"/>
  <c r="O6" i="86"/>
  <c r="C90" i="111" l="1"/>
  <c r="D90" i="111"/>
  <c r="F90" i="111"/>
  <c r="G90" i="111"/>
  <c r="H90" i="111"/>
  <c r="I90" i="111"/>
  <c r="J90" i="111"/>
  <c r="K90" i="111"/>
  <c r="E90" i="111"/>
  <c r="C842" i="123"/>
  <c r="D104" i="111"/>
  <c r="C824" i="123"/>
  <c r="C840" i="123" s="1"/>
  <c r="C102" i="111"/>
  <c r="E817" i="123"/>
  <c r="D86" i="111"/>
  <c r="B827" i="123"/>
  <c r="D16" i="83"/>
  <c r="E823" i="123"/>
  <c r="J292" i="123"/>
  <c r="J178" i="107"/>
  <c r="P86" i="123"/>
  <c r="F120" i="111"/>
  <c r="E120" i="111"/>
  <c r="D120" i="111"/>
  <c r="C120" i="111"/>
  <c r="D84" i="111"/>
  <c r="D822" i="123" s="1"/>
  <c r="C89" i="111"/>
  <c r="C98" i="111" s="1"/>
  <c r="E95" i="111"/>
  <c r="E833" i="123" s="1"/>
  <c r="E81" i="111"/>
  <c r="E819" i="123" s="1"/>
  <c r="G78" i="111"/>
  <c r="F85" i="111"/>
  <c r="F87" i="111"/>
  <c r="F825" i="123" s="1"/>
  <c r="F79" i="111"/>
  <c r="F80" i="111"/>
  <c r="F818" i="123" s="1"/>
  <c r="E16" i="100"/>
  <c r="F19" i="85" s="1"/>
  <c r="C16" i="100"/>
  <c r="C14" i="100"/>
  <c r="F17" i="85" s="1"/>
  <c r="I69" i="100"/>
  <c r="G69" i="100"/>
  <c r="E69" i="100"/>
  <c r="K69" i="100"/>
  <c r="I67" i="100"/>
  <c r="G67" i="100"/>
  <c r="E67" i="100"/>
  <c r="I61" i="100"/>
  <c r="G61" i="100"/>
  <c r="E61" i="100"/>
  <c r="K61" i="100"/>
  <c r="I60" i="100"/>
  <c r="G60" i="100"/>
  <c r="E60" i="100"/>
  <c r="I59" i="100"/>
  <c r="G59" i="100"/>
  <c r="I58" i="100"/>
  <c r="C34" i="100"/>
  <c r="C29" i="100"/>
  <c r="K33" i="100" s="1"/>
  <c r="D842" i="123" l="1"/>
  <c r="E104" i="111"/>
  <c r="D824" i="123"/>
  <c r="D840" i="123" s="1"/>
  <c r="D102" i="111"/>
  <c r="F817" i="123"/>
  <c r="F86" i="111"/>
  <c r="F824" i="123" s="1"/>
  <c r="E86" i="111"/>
  <c r="C827" i="123"/>
  <c r="F823" i="123"/>
  <c r="F102" i="111"/>
  <c r="B31" i="87"/>
  <c r="C101" i="111"/>
  <c r="C828" i="123"/>
  <c r="C97" i="111"/>
  <c r="F858" i="123"/>
  <c r="B44" i="87"/>
  <c r="D858" i="123"/>
  <c r="B42" i="87"/>
  <c r="E828" i="123"/>
  <c r="B33" i="87"/>
  <c r="B10" i="87"/>
  <c r="B764" i="123"/>
  <c r="B773" i="123" s="1"/>
  <c r="B34" i="111"/>
  <c r="B45" i="82"/>
  <c r="C76" i="100"/>
  <c r="B38" i="111"/>
  <c r="F131" i="107"/>
  <c r="S131" i="107" s="1"/>
  <c r="F245" i="123"/>
  <c r="B33" i="111"/>
  <c r="B40" i="111"/>
  <c r="C26" i="111" s="1"/>
  <c r="B32" i="87"/>
  <c r="D828" i="123"/>
  <c r="B36" i="87"/>
  <c r="H828" i="123"/>
  <c r="B41" i="87"/>
  <c r="C858" i="123"/>
  <c r="I828" i="123"/>
  <c r="B37" i="87"/>
  <c r="B35" i="87"/>
  <c r="G828" i="123"/>
  <c r="F828" i="123"/>
  <c r="B34" i="87"/>
  <c r="B38" i="87"/>
  <c r="J828" i="123"/>
  <c r="E858" i="123"/>
  <c r="B43" i="87"/>
  <c r="K828" i="123"/>
  <c r="B39" i="87"/>
  <c r="C96" i="111"/>
  <c r="C834" i="123" s="1"/>
  <c r="E84" i="111"/>
  <c r="E822" i="123" s="1"/>
  <c r="D89" i="111"/>
  <c r="F95" i="111"/>
  <c r="F833" i="123" s="1"/>
  <c r="F81" i="111"/>
  <c r="F819" i="123" s="1"/>
  <c r="H78" i="111"/>
  <c r="G79" i="111"/>
  <c r="G87" i="111"/>
  <c r="G825" i="123" s="1"/>
  <c r="G85" i="111"/>
  <c r="G80" i="111"/>
  <c r="G818" i="123" s="1"/>
  <c r="A2" i="100"/>
  <c r="H1" i="95"/>
  <c r="A1" i="87"/>
  <c r="A2" i="83"/>
  <c r="E15" i="89"/>
  <c r="C1" i="86"/>
  <c r="F12" i="85"/>
  <c r="H1" i="91"/>
  <c r="C28" i="90"/>
  <c r="A47" i="100"/>
  <c r="H2" i="95"/>
  <c r="H2" i="91"/>
  <c r="A2" i="90"/>
  <c r="F13" i="85"/>
  <c r="A1" i="89"/>
  <c r="I63" i="100"/>
  <c r="K26" i="100"/>
  <c r="K58" i="100"/>
  <c r="C63" i="100"/>
  <c r="J18" i="100"/>
  <c r="C36" i="100"/>
  <c r="E58" i="100"/>
  <c r="K59" i="100"/>
  <c r="K29" i="100"/>
  <c r="G58" i="100"/>
  <c r="G63" i="100" s="1"/>
  <c r="E59" i="100"/>
  <c r="K60" i="100"/>
  <c r="K67" i="100"/>
  <c r="D101" i="111" l="1"/>
  <c r="D98" i="111"/>
  <c r="F840" i="123"/>
  <c r="C836" i="123"/>
  <c r="E842" i="123"/>
  <c r="F104" i="111"/>
  <c r="G817" i="123"/>
  <c r="E824" i="123"/>
  <c r="E840" i="123" s="1"/>
  <c r="E102" i="111"/>
  <c r="D827" i="123"/>
  <c r="D835" i="123" s="1"/>
  <c r="G823" i="123"/>
  <c r="D97" i="111"/>
  <c r="G76" i="100"/>
  <c r="G78" i="100" s="1"/>
  <c r="C78" i="100"/>
  <c r="I76" i="100"/>
  <c r="I78" i="100" s="1"/>
  <c r="K76" i="100"/>
  <c r="K78" i="100" s="1"/>
  <c r="E76" i="100"/>
  <c r="E78" i="100" s="1"/>
  <c r="B776" i="123"/>
  <c r="B772" i="123"/>
  <c r="B771" i="123"/>
  <c r="S21" i="111"/>
  <c r="C9" i="86"/>
  <c r="C839" i="123"/>
  <c r="C835" i="123"/>
  <c r="B778" i="123"/>
  <c r="C10" i="86"/>
  <c r="G131" i="107"/>
  <c r="S245" i="123"/>
  <c r="S250" i="123" s="1"/>
  <c r="S261" i="123" s="1"/>
  <c r="S136" i="107"/>
  <c r="S147" i="107" s="1"/>
  <c r="F84" i="111"/>
  <c r="F822" i="123" s="1"/>
  <c r="F827" i="123" s="1"/>
  <c r="F835" i="123" s="1"/>
  <c r="D96" i="111"/>
  <c r="D834" i="123" s="1"/>
  <c r="E89" i="111"/>
  <c r="E98" i="111" s="1"/>
  <c r="G95" i="111"/>
  <c r="G833" i="123" s="1"/>
  <c r="G81" i="111"/>
  <c r="G819" i="123" s="1"/>
  <c r="I78" i="111"/>
  <c r="H79" i="111"/>
  <c r="H85" i="111"/>
  <c r="H87" i="111"/>
  <c r="H825" i="123" s="1"/>
  <c r="H80" i="111"/>
  <c r="H818" i="123" s="1"/>
  <c r="E63" i="100"/>
  <c r="K37" i="100"/>
  <c r="C40" i="100"/>
  <c r="K35" i="100"/>
  <c r="K63" i="100"/>
  <c r="D836" i="123" l="1"/>
  <c r="F836" i="123"/>
  <c r="C38" i="111"/>
  <c r="C35" i="111"/>
  <c r="F842" i="123"/>
  <c r="G104" i="111"/>
  <c r="C40" i="111"/>
  <c r="E827" i="123"/>
  <c r="E836" i="123" s="1"/>
  <c r="G86" i="111"/>
  <c r="H817" i="123"/>
  <c r="D839" i="123"/>
  <c r="C45" i="82"/>
  <c r="C33" i="111"/>
  <c r="C34" i="111"/>
  <c r="B11" i="87"/>
  <c r="C764" i="123"/>
  <c r="C773" i="123" s="1"/>
  <c r="H823" i="123"/>
  <c r="F839" i="123"/>
  <c r="E97" i="111"/>
  <c r="E101" i="111"/>
  <c r="C82" i="100"/>
  <c r="C81" i="100"/>
  <c r="S759" i="123"/>
  <c r="G245" i="123"/>
  <c r="F74" i="89"/>
  <c r="J131" i="107"/>
  <c r="G136" i="107"/>
  <c r="G147" i="107" s="1"/>
  <c r="J15" i="115"/>
  <c r="J1624" i="123" s="1"/>
  <c r="G84" i="111"/>
  <c r="G822" i="123" s="1"/>
  <c r="E96" i="111"/>
  <c r="E834" i="123" s="1"/>
  <c r="F89" i="111"/>
  <c r="F98" i="111" s="1"/>
  <c r="H95" i="111"/>
  <c r="H833" i="123" s="1"/>
  <c r="J78" i="111"/>
  <c r="I79" i="111"/>
  <c r="I85" i="111"/>
  <c r="I87" i="111"/>
  <c r="I825" i="123" s="1"/>
  <c r="I80" i="111"/>
  <c r="I818" i="123" s="1"/>
  <c r="H81" i="111"/>
  <c r="H819" i="123" s="1"/>
  <c r="N412" i="73"/>
  <c r="N411" i="73"/>
  <c r="N409" i="73"/>
  <c r="N408" i="73"/>
  <c r="N406" i="73"/>
  <c r="N405" i="73"/>
  <c r="O434" i="72"/>
  <c r="P410" i="72"/>
  <c r="O410" i="72"/>
  <c r="O405" i="72" s="1"/>
  <c r="O397" i="72"/>
  <c r="O378" i="72"/>
  <c r="O342" i="72"/>
  <c r="P318" i="72"/>
  <c r="O310" i="72"/>
  <c r="O285" i="72"/>
  <c r="O266" i="72"/>
  <c r="O262" i="72"/>
  <c r="O268" i="72" s="1"/>
  <c r="O252" i="72"/>
  <c r="O225" i="72"/>
  <c r="O205" i="72"/>
  <c r="O103" i="72"/>
  <c r="D26" i="111" l="1"/>
  <c r="D40" i="111" s="1"/>
  <c r="D10" i="86"/>
  <c r="C778" i="123"/>
  <c r="D764" i="123"/>
  <c r="D34" i="111"/>
  <c r="D33" i="111"/>
  <c r="E9" i="86" s="1"/>
  <c r="G842" i="123"/>
  <c r="H104" i="111"/>
  <c r="E839" i="123"/>
  <c r="E835" i="123"/>
  <c r="H86" i="111"/>
  <c r="I817" i="123"/>
  <c r="G824" i="123"/>
  <c r="G840" i="123" s="1"/>
  <c r="G102" i="111"/>
  <c r="G827" i="123"/>
  <c r="G836" i="123" s="1"/>
  <c r="D9" i="86"/>
  <c r="S22" i="111"/>
  <c r="C776" i="123"/>
  <c r="C772" i="123"/>
  <c r="C771" i="123"/>
  <c r="S760" i="123" s="1"/>
  <c r="D772" i="123"/>
  <c r="D776" i="123"/>
  <c r="I823" i="123"/>
  <c r="D149" i="107"/>
  <c r="G149" i="107"/>
  <c r="F97" i="111"/>
  <c r="F101" i="111"/>
  <c r="G835" i="123"/>
  <c r="J245" i="123"/>
  <c r="G250" i="123"/>
  <c r="G261" i="123" s="1"/>
  <c r="I63" i="106"/>
  <c r="I107" i="123"/>
  <c r="L36" i="106"/>
  <c r="J177" i="107"/>
  <c r="J179" i="107" s="1"/>
  <c r="J181" i="107" s="1"/>
  <c r="B4" i="82"/>
  <c r="C18" i="100"/>
  <c r="H84" i="111"/>
  <c r="H822" i="123" s="1"/>
  <c r="F96" i="111"/>
  <c r="F834" i="123" s="1"/>
  <c r="G89" i="111"/>
  <c r="G98" i="111" s="1"/>
  <c r="I95" i="111"/>
  <c r="I833" i="123" s="1"/>
  <c r="I81" i="111"/>
  <c r="I819" i="123" s="1"/>
  <c r="K78" i="111"/>
  <c r="J87" i="111"/>
  <c r="J825" i="123" s="1"/>
  <c r="J85" i="111"/>
  <c r="J79" i="111"/>
  <c r="J80" i="111"/>
  <c r="J818" i="123" s="1"/>
  <c r="D38" i="111" l="1"/>
  <c r="D45" i="82"/>
  <c r="S23" i="111"/>
  <c r="B12" i="87"/>
  <c r="D35" i="111"/>
  <c r="E26" i="111"/>
  <c r="B13" i="87" s="1"/>
  <c r="D778" i="123"/>
  <c r="E10" i="86"/>
  <c r="G839" i="123"/>
  <c r="D773" i="123"/>
  <c r="D771" i="123"/>
  <c r="E40" i="111"/>
  <c r="F26" i="111" s="1"/>
  <c r="E35" i="111"/>
  <c r="H842" i="123"/>
  <c r="I104" i="111"/>
  <c r="S761" i="123"/>
  <c r="J817" i="123"/>
  <c r="I86" i="111"/>
  <c r="H824" i="123"/>
  <c r="H840" i="123" s="1"/>
  <c r="H102" i="111"/>
  <c r="J823" i="123"/>
  <c r="G101" i="111"/>
  <c r="G97" i="111"/>
  <c r="J291" i="123"/>
  <c r="J293" i="123" s="1"/>
  <c r="J295" i="123" s="1"/>
  <c r="J298" i="123" s="1"/>
  <c r="G263" i="123"/>
  <c r="D263" i="123"/>
  <c r="B15" i="82"/>
  <c r="J184" i="107"/>
  <c r="J188" i="107" s="1"/>
  <c r="P98" i="123"/>
  <c r="P97" i="123"/>
  <c r="I108" i="123"/>
  <c r="P53" i="106"/>
  <c r="P54" i="106"/>
  <c r="I64" i="106"/>
  <c r="P49" i="106" s="1"/>
  <c r="P93" i="123" s="1"/>
  <c r="L37" i="106"/>
  <c r="L80" i="123"/>
  <c r="L81" i="123" s="1"/>
  <c r="G96" i="111"/>
  <c r="G834" i="123" s="1"/>
  <c r="I84" i="111"/>
  <c r="I822" i="123" s="1"/>
  <c r="H89" i="111"/>
  <c r="H98" i="111" s="1"/>
  <c r="J95" i="111"/>
  <c r="J833" i="123" s="1"/>
  <c r="J81" i="111"/>
  <c r="J819" i="123" s="1"/>
  <c r="B108" i="111"/>
  <c r="K85" i="111"/>
  <c r="K87" i="111"/>
  <c r="K825" i="123" s="1"/>
  <c r="K79" i="111"/>
  <c r="K80" i="111"/>
  <c r="K818" i="123" s="1"/>
  <c r="F18" i="85"/>
  <c r="E34" i="111" l="1"/>
  <c r="E45" i="82"/>
  <c r="E33" i="111"/>
  <c r="F9" i="86" s="1"/>
  <c r="E38" i="111"/>
  <c r="E764" i="123"/>
  <c r="E773" i="123" s="1"/>
  <c r="F10" i="86"/>
  <c r="E778" i="123"/>
  <c r="F40" i="111"/>
  <c r="F35" i="111"/>
  <c r="I842" i="123"/>
  <c r="J104" i="111"/>
  <c r="I824" i="123"/>
  <c r="I840" i="123" s="1"/>
  <c r="I102" i="111"/>
  <c r="K817" i="123"/>
  <c r="J86" i="111"/>
  <c r="I827" i="123"/>
  <c r="I836" i="123" s="1"/>
  <c r="H827" i="123"/>
  <c r="H836" i="123" s="1"/>
  <c r="F34" i="111"/>
  <c r="F38" i="111"/>
  <c r="F45" i="82"/>
  <c r="F764" i="123"/>
  <c r="F773" i="123" s="1"/>
  <c r="B14" i="87"/>
  <c r="F33" i="111"/>
  <c r="G9" i="86" s="1"/>
  <c r="K823" i="123"/>
  <c r="P99" i="123"/>
  <c r="J190" i="107"/>
  <c r="M190" i="107" s="1"/>
  <c r="J302" i="123"/>
  <c r="H101" i="111"/>
  <c r="H97" i="111"/>
  <c r="I835" i="123"/>
  <c r="I839" i="123"/>
  <c r="P55" i="106"/>
  <c r="J84" i="111"/>
  <c r="J822" i="123" s="1"/>
  <c r="H96" i="111"/>
  <c r="H834" i="123" s="1"/>
  <c r="I89" i="111"/>
  <c r="I98" i="111" s="1"/>
  <c r="K95" i="111"/>
  <c r="K833" i="123" s="1"/>
  <c r="C108" i="111"/>
  <c r="B109" i="111"/>
  <c r="B117" i="111"/>
  <c r="B855" i="123" s="1"/>
  <c r="B115" i="111"/>
  <c r="B110" i="111"/>
  <c r="B848" i="123" s="1"/>
  <c r="K81" i="111"/>
  <c r="K819" i="123" s="1"/>
  <c r="E242" i="72"/>
  <c r="E776" i="123" l="1"/>
  <c r="E772" i="123"/>
  <c r="S24" i="111"/>
  <c r="E771" i="123"/>
  <c r="F778" i="123"/>
  <c r="G26" i="111"/>
  <c r="G10" i="86"/>
  <c r="G35" i="111"/>
  <c r="G40" i="111"/>
  <c r="H26" i="111" s="1"/>
  <c r="J842" i="123"/>
  <c r="K104" i="111"/>
  <c r="B847" i="123"/>
  <c r="H835" i="123"/>
  <c r="H839" i="123"/>
  <c r="K86" i="111"/>
  <c r="J824" i="123"/>
  <c r="J840" i="123" s="1"/>
  <c r="J102" i="111"/>
  <c r="J827" i="123"/>
  <c r="J836" i="123" s="1"/>
  <c r="S25" i="111"/>
  <c r="F776" i="123"/>
  <c r="F771" i="123"/>
  <c r="S763" i="123" s="1"/>
  <c r="F772" i="123"/>
  <c r="S762" i="123"/>
  <c r="G45" i="82"/>
  <c r="G38" i="111"/>
  <c r="G34" i="111"/>
  <c r="G33" i="111"/>
  <c r="S26" i="111" s="1"/>
  <c r="B15" i="87"/>
  <c r="G764" i="123"/>
  <c r="G773" i="123" s="1"/>
  <c r="B853" i="123"/>
  <c r="I97" i="111"/>
  <c r="I101" i="111"/>
  <c r="J304" i="123"/>
  <c r="J306" i="123" s="1"/>
  <c r="E222" i="123" s="1"/>
  <c r="J222" i="123" s="1"/>
  <c r="J192" i="107"/>
  <c r="K84" i="111"/>
  <c r="K822" i="123" s="1"/>
  <c r="I96" i="111"/>
  <c r="I834" i="123" s="1"/>
  <c r="J89" i="111"/>
  <c r="J98" i="111" s="1"/>
  <c r="B125" i="111"/>
  <c r="B863" i="123" s="1"/>
  <c r="B111" i="111"/>
  <c r="B849" i="123" s="1"/>
  <c r="D108" i="111"/>
  <c r="C109" i="111"/>
  <c r="C117" i="111"/>
  <c r="C855" i="123" s="1"/>
  <c r="C115" i="111"/>
  <c r="C110" i="111"/>
  <c r="C848" i="123" s="1"/>
  <c r="Q295" i="72"/>
  <c r="Q298" i="72"/>
  <c r="Q94" i="72"/>
  <c r="Q312" i="72"/>
  <c r="Q311" i="72"/>
  <c r="J835" i="123" l="1"/>
  <c r="J839" i="123"/>
  <c r="H40" i="111"/>
  <c r="I26" i="111" s="1"/>
  <c r="H10" i="86"/>
  <c r="H35" i="111"/>
  <c r="B16" i="87"/>
  <c r="H34" i="111"/>
  <c r="H33" i="111"/>
  <c r="I9" i="86" s="1"/>
  <c r="H38" i="111"/>
  <c r="G778" i="123"/>
  <c r="H764" i="123"/>
  <c r="H45" i="82"/>
  <c r="K842" i="123"/>
  <c r="B134" i="111"/>
  <c r="C847" i="123"/>
  <c r="B116" i="111"/>
  <c r="K824" i="123"/>
  <c r="K840" i="123" s="1"/>
  <c r="K102" i="111"/>
  <c r="H9" i="86"/>
  <c r="G772" i="123"/>
  <c r="G771" i="123"/>
  <c r="G776" i="123"/>
  <c r="C853" i="123"/>
  <c r="I9" i="123"/>
  <c r="L53" i="106"/>
  <c r="L97" i="123"/>
  <c r="N97" i="123" s="1"/>
  <c r="C21" i="86"/>
  <c r="D21" i="86" s="1"/>
  <c r="E21" i="86" s="1"/>
  <c r="F21" i="86" s="1"/>
  <c r="G21" i="86" s="1"/>
  <c r="H21" i="86" s="1"/>
  <c r="I21" i="86" s="1"/>
  <c r="I10" i="105"/>
  <c r="M67" i="85"/>
  <c r="L54" i="106"/>
  <c r="N54" i="106" s="1"/>
  <c r="L98" i="123"/>
  <c r="N98" i="123" s="1"/>
  <c r="E108" i="107"/>
  <c r="J108" i="107" s="1"/>
  <c r="J97" i="111"/>
  <c r="J101" i="111"/>
  <c r="M304" i="123"/>
  <c r="B114" i="111"/>
  <c r="B852" i="123" s="1"/>
  <c r="J96" i="111"/>
  <c r="J834" i="123" s="1"/>
  <c r="K89" i="111"/>
  <c r="K98" i="111" s="1"/>
  <c r="C125" i="111"/>
  <c r="C863" i="123" s="1"/>
  <c r="E108" i="111"/>
  <c r="D115" i="111"/>
  <c r="D109" i="111"/>
  <c r="D117" i="111"/>
  <c r="D855" i="123" s="1"/>
  <c r="D110" i="111"/>
  <c r="D848" i="123" s="1"/>
  <c r="C111" i="111"/>
  <c r="C849" i="123" s="1"/>
  <c r="I91" i="72"/>
  <c r="S27" i="111" l="1"/>
  <c r="I33" i="111"/>
  <c r="I38" i="111"/>
  <c r="I45" i="82"/>
  <c r="B17" i="87"/>
  <c r="I34" i="111"/>
  <c r="I764" i="123"/>
  <c r="I772" i="123" s="1"/>
  <c r="I10" i="86"/>
  <c r="H778" i="123"/>
  <c r="S28" i="111"/>
  <c r="H773" i="123"/>
  <c r="H771" i="123"/>
  <c r="S765" i="123" s="1"/>
  <c r="H776" i="123"/>
  <c r="H772" i="123"/>
  <c r="B872" i="123"/>
  <c r="C134" i="111"/>
  <c r="K827" i="123"/>
  <c r="K836" i="123" s="1"/>
  <c r="D847" i="123"/>
  <c r="C116" i="111"/>
  <c r="B854" i="123"/>
  <c r="B870" i="123" s="1"/>
  <c r="B132" i="111"/>
  <c r="C29" i="86"/>
  <c r="S764" i="123"/>
  <c r="D853" i="123"/>
  <c r="K101" i="111"/>
  <c r="K97" i="111"/>
  <c r="N53" i="106"/>
  <c r="B14" i="82"/>
  <c r="C114" i="111"/>
  <c r="C852" i="123" s="1"/>
  <c r="K96" i="111"/>
  <c r="K834" i="123" s="1"/>
  <c r="B119" i="111"/>
  <c r="D125" i="111"/>
  <c r="D863" i="123" s="1"/>
  <c r="D111" i="111"/>
  <c r="D849" i="123" s="1"/>
  <c r="F108" i="111"/>
  <c r="E109" i="111"/>
  <c r="E115" i="111"/>
  <c r="E117" i="111"/>
  <c r="E855" i="123" s="1"/>
  <c r="E110" i="111"/>
  <c r="E848" i="123" s="1"/>
  <c r="L285" i="72"/>
  <c r="I776" i="123" l="1"/>
  <c r="I773" i="123"/>
  <c r="I771" i="123"/>
  <c r="S766" i="123" s="1"/>
  <c r="I40" i="111"/>
  <c r="J26" i="111" s="1"/>
  <c r="I35" i="111"/>
  <c r="C872" i="123"/>
  <c r="D134" i="111"/>
  <c r="D116" i="111"/>
  <c r="C854" i="123"/>
  <c r="C870" i="123" s="1"/>
  <c r="C132" i="111"/>
  <c r="C857" i="123"/>
  <c r="C866" i="123" s="1"/>
  <c r="E847" i="123"/>
  <c r="E116" i="111"/>
  <c r="E854" i="123" s="1"/>
  <c r="K839" i="123"/>
  <c r="K835" i="123"/>
  <c r="B857" i="123"/>
  <c r="E853" i="123"/>
  <c r="D114" i="111"/>
  <c r="D852" i="123" s="1"/>
  <c r="C119" i="111"/>
  <c r="C128" i="111" s="1"/>
  <c r="E125" i="111"/>
  <c r="E863" i="123" s="1"/>
  <c r="F109" i="111"/>
  <c r="F117" i="111"/>
  <c r="F855" i="123" s="1"/>
  <c r="F115" i="111"/>
  <c r="F110" i="111"/>
  <c r="F848" i="123" s="1"/>
  <c r="E111" i="111"/>
  <c r="E849" i="123" s="1"/>
  <c r="Q339" i="73"/>
  <c r="H152" i="72"/>
  <c r="C869" i="123" l="1"/>
  <c r="C865" i="123"/>
  <c r="I778" i="123"/>
  <c r="C30" i="86"/>
  <c r="D872" i="123"/>
  <c r="E134" i="111"/>
  <c r="D854" i="123"/>
  <c r="D870" i="123" s="1"/>
  <c r="D132" i="111"/>
  <c r="F847" i="123"/>
  <c r="E132" i="111"/>
  <c r="E870" i="123"/>
  <c r="F853" i="123"/>
  <c r="C131" i="111"/>
  <c r="C127" i="111"/>
  <c r="E114" i="111"/>
  <c r="E852" i="123" s="1"/>
  <c r="E857" i="123" s="1"/>
  <c r="E866" i="123" s="1"/>
  <c r="C126" i="111"/>
  <c r="C864" i="123" s="1"/>
  <c r="D119" i="111"/>
  <c r="D128" i="111" s="1"/>
  <c r="F125" i="111"/>
  <c r="F863" i="123" s="1"/>
  <c r="F111" i="111"/>
  <c r="F849" i="123" s="1"/>
  <c r="L184" i="72"/>
  <c r="B18" i="87" l="1"/>
  <c r="J45" i="82"/>
  <c r="J40" i="111"/>
  <c r="K26" i="111" s="1"/>
  <c r="J38" i="111"/>
  <c r="J764" i="123"/>
  <c r="J33" i="111"/>
  <c r="J34" i="111"/>
  <c r="J35" i="111"/>
  <c r="E872" i="123"/>
  <c r="F134" i="111"/>
  <c r="F872" i="123" s="1"/>
  <c r="D857" i="123"/>
  <c r="D866" i="123" s="1"/>
  <c r="F116" i="111"/>
  <c r="E869" i="123"/>
  <c r="E865" i="123"/>
  <c r="D127" i="111"/>
  <c r="D131" i="111"/>
  <c r="F114" i="111"/>
  <c r="F852" i="123" s="1"/>
  <c r="D126" i="111"/>
  <c r="D864" i="123" s="1"/>
  <c r="E119" i="111"/>
  <c r="E128" i="111" s="1"/>
  <c r="L242" i="72"/>
  <c r="P225" i="72"/>
  <c r="R225" i="72"/>
  <c r="Q18" i="72"/>
  <c r="D30" i="86" l="1"/>
  <c r="J778" i="123"/>
  <c r="J771" i="123"/>
  <c r="J776" i="123"/>
  <c r="J772" i="123"/>
  <c r="J773" i="123"/>
  <c r="S29" i="111"/>
  <c r="D29" i="86"/>
  <c r="D869" i="123"/>
  <c r="D865" i="123"/>
  <c r="F854" i="123"/>
  <c r="F870" i="123" s="1"/>
  <c r="F132" i="111"/>
  <c r="E127" i="111"/>
  <c r="E131" i="111"/>
  <c r="E126" i="111"/>
  <c r="E864" i="123" s="1"/>
  <c r="F119" i="111"/>
  <c r="F128" i="111" s="1"/>
  <c r="F31" i="72"/>
  <c r="F30" i="72"/>
  <c r="E30" i="72"/>
  <c r="F29" i="72"/>
  <c r="E29" i="72"/>
  <c r="F28" i="72"/>
  <c r="F27" i="72"/>
  <c r="F26" i="72"/>
  <c r="N210" i="73"/>
  <c r="J274" i="72"/>
  <c r="K226" i="72"/>
  <c r="J113" i="72"/>
  <c r="M56" i="73"/>
  <c r="F24" i="72"/>
  <c r="F23" i="72"/>
  <c r="F22" i="72"/>
  <c r="P310" i="72"/>
  <c r="E24" i="72"/>
  <c r="K40" i="111" l="1"/>
  <c r="B58" i="111" s="1"/>
  <c r="K45" i="82"/>
  <c r="K33" i="111"/>
  <c r="K764" i="123"/>
  <c r="K38" i="111"/>
  <c r="K34" i="111"/>
  <c r="B19" i="87"/>
  <c r="K35" i="111"/>
  <c r="S767" i="123"/>
  <c r="F857" i="123"/>
  <c r="F866" i="123" s="1"/>
  <c r="F127" i="111"/>
  <c r="F131" i="111"/>
  <c r="F126" i="111"/>
  <c r="F864" i="123" s="1"/>
  <c r="L274" i="72"/>
  <c r="O274" i="72"/>
  <c r="O131" i="72"/>
  <c r="P131" i="72"/>
  <c r="P274" i="72"/>
  <c r="P138" i="72"/>
  <c r="AI60" i="72"/>
  <c r="AH60" i="72"/>
  <c r="AG60" i="72"/>
  <c r="AF60" i="72"/>
  <c r="AC60" i="72"/>
  <c r="AA60" i="72"/>
  <c r="Z60" i="72"/>
  <c r="AI59" i="72"/>
  <c r="AH59" i="72"/>
  <c r="AG59" i="72"/>
  <c r="AF59" i="72"/>
  <c r="AC59" i="72"/>
  <c r="AA59" i="72"/>
  <c r="Z59" i="72"/>
  <c r="AI58" i="72"/>
  <c r="AH58" i="72"/>
  <c r="AG58" i="72"/>
  <c r="AF58" i="72"/>
  <c r="AC58" i="72"/>
  <c r="AA58" i="72"/>
  <c r="Z58" i="72"/>
  <c r="AI53" i="72"/>
  <c r="AH53" i="72"/>
  <c r="AG53" i="72"/>
  <c r="AD53" i="72"/>
  <c r="AC53" i="72"/>
  <c r="AB53" i="72"/>
  <c r="AA53" i="72"/>
  <c r="X53" i="72"/>
  <c r="AI51" i="72"/>
  <c r="AH51" i="72"/>
  <c r="AG51" i="72"/>
  <c r="AD51" i="72"/>
  <c r="AC51" i="72"/>
  <c r="AB51" i="72"/>
  <c r="AA51" i="72"/>
  <c r="X51" i="72"/>
  <c r="A3" i="73"/>
  <c r="H3" i="73" s="1"/>
  <c r="P205" i="72"/>
  <c r="E30" i="86" l="1"/>
  <c r="K778" i="123"/>
  <c r="S30" i="111"/>
  <c r="E29" i="86"/>
  <c r="K772" i="123"/>
  <c r="K776" i="123"/>
  <c r="K771" i="123"/>
  <c r="K773" i="123"/>
  <c r="F865" i="123"/>
  <c r="F869" i="123"/>
  <c r="O113" i="72"/>
  <c r="P113" i="72"/>
  <c r="Q436" i="72"/>
  <c r="Q435" i="72"/>
  <c r="P434" i="72"/>
  <c r="E31" i="72"/>
  <c r="L424" i="72"/>
  <c r="Q410" i="72"/>
  <c r="Q409" i="72"/>
  <c r="Q408" i="72"/>
  <c r="Q407" i="72"/>
  <c r="P405" i="72"/>
  <c r="E28" i="72"/>
  <c r="B72" i="111" l="1"/>
  <c r="C58" i="111" s="1"/>
  <c r="B66" i="111"/>
  <c r="B65" i="82"/>
  <c r="B20" i="87"/>
  <c r="B796" i="123"/>
  <c r="B65" i="111"/>
  <c r="B70" i="111"/>
  <c r="B67" i="111"/>
  <c r="S768" i="123"/>
  <c r="AF57" i="72"/>
  <c r="AI57" i="72"/>
  <c r="AE57" i="72"/>
  <c r="AH57" i="72"/>
  <c r="AD57" i="72"/>
  <c r="AG57" i="72"/>
  <c r="AF61" i="72"/>
  <c r="AI61" i="72"/>
  <c r="AH61" i="72"/>
  <c r="AG61" i="72"/>
  <c r="L434" i="72"/>
  <c r="Z61" i="72"/>
  <c r="AC61" i="72"/>
  <c r="AA61" i="72"/>
  <c r="X57" i="72"/>
  <c r="AA57" i="72"/>
  <c r="Z57" i="72"/>
  <c r="AC57" i="72"/>
  <c r="Y57" i="72"/>
  <c r="P285" i="72"/>
  <c r="E23" i="72"/>
  <c r="F30" i="86" l="1"/>
  <c r="B810" i="123"/>
  <c r="B808" i="123"/>
  <c r="B804" i="123"/>
  <c r="B803" i="123"/>
  <c r="B805" i="123"/>
  <c r="S31" i="111"/>
  <c r="F29" i="86"/>
  <c r="AH50" i="72"/>
  <c r="AD50" i="72"/>
  <c r="AG50" i="72"/>
  <c r="AF50" i="72"/>
  <c r="AI50" i="72"/>
  <c r="AE50" i="72"/>
  <c r="Z50" i="72"/>
  <c r="AC50" i="72"/>
  <c r="Y50" i="72"/>
  <c r="AB50" i="72"/>
  <c r="X50" i="72"/>
  <c r="AA50" i="72"/>
  <c r="E22" i="72"/>
  <c r="M235" i="72"/>
  <c r="Q277" i="72"/>
  <c r="Q276" i="72"/>
  <c r="C796" i="123" l="1"/>
  <c r="C65" i="111"/>
  <c r="B21" i="87"/>
  <c r="C72" i="111"/>
  <c r="D58" i="111" s="1"/>
  <c r="C66" i="111"/>
  <c r="C70" i="111"/>
  <c r="C65" i="82"/>
  <c r="C67" i="111"/>
  <c r="S769" i="123"/>
  <c r="AC49" i="72"/>
  <c r="AC63" i="72" s="1"/>
  <c r="Y49" i="72"/>
  <c r="AB49" i="72"/>
  <c r="AB63" i="72" s="1"/>
  <c r="X49" i="72"/>
  <c r="Z49" i="72"/>
  <c r="Z63" i="72" s="1"/>
  <c r="AA49" i="72"/>
  <c r="AA63" i="72" s="1"/>
  <c r="AG49" i="72"/>
  <c r="AG63" i="72" s="1"/>
  <c r="AD49" i="72"/>
  <c r="AF49" i="72"/>
  <c r="AF63" i="72" s="1"/>
  <c r="AI49" i="72"/>
  <c r="AI63" i="72" s="1"/>
  <c r="AE49" i="72"/>
  <c r="AH49" i="72"/>
  <c r="AH63" i="72" s="1"/>
  <c r="Z36" i="72"/>
  <c r="Y36" i="72"/>
  <c r="AA36" i="72"/>
  <c r="L63" i="72"/>
  <c r="AC36" i="72"/>
  <c r="N338" i="73"/>
  <c r="M5" i="73"/>
  <c r="E5" i="73"/>
  <c r="R39" i="98"/>
  <c r="Q39" i="98"/>
  <c r="P39" i="98"/>
  <c r="O39" i="98"/>
  <c r="N39" i="98"/>
  <c r="R38" i="98"/>
  <c r="Q38" i="98"/>
  <c r="P38" i="98"/>
  <c r="O38" i="98"/>
  <c r="N38" i="98"/>
  <c r="R37" i="98"/>
  <c r="Q37" i="98"/>
  <c r="P37" i="98"/>
  <c r="O37" i="98"/>
  <c r="N37" i="98"/>
  <c r="R36" i="98"/>
  <c r="Q36" i="98"/>
  <c r="P36" i="98"/>
  <c r="O36" i="98"/>
  <c r="N36" i="98"/>
  <c r="R35" i="98"/>
  <c r="Q35" i="98"/>
  <c r="P35" i="98"/>
  <c r="O35" i="98"/>
  <c r="N35" i="98"/>
  <c r="R34" i="98"/>
  <c r="Q34" i="98"/>
  <c r="P34" i="98"/>
  <c r="O34" i="98"/>
  <c r="N34" i="98"/>
  <c r="R33" i="98"/>
  <c r="Q33" i="98"/>
  <c r="P33" i="98"/>
  <c r="O33" i="98"/>
  <c r="N33" i="98"/>
  <c r="R32" i="98"/>
  <c r="Q32" i="98"/>
  <c r="P32" i="98"/>
  <c r="O32" i="98"/>
  <c r="N32" i="98"/>
  <c r="R31" i="98"/>
  <c r="Q31" i="98"/>
  <c r="P31" i="98"/>
  <c r="O31" i="98"/>
  <c r="N31" i="98"/>
  <c r="R30" i="98"/>
  <c r="Q30" i="98"/>
  <c r="P30" i="98"/>
  <c r="O30" i="98"/>
  <c r="N30" i="98"/>
  <c r="R29" i="98"/>
  <c r="Q29" i="98"/>
  <c r="P29" i="98"/>
  <c r="O29" i="98"/>
  <c r="N29" i="98"/>
  <c r="R28" i="98"/>
  <c r="Q28" i="98"/>
  <c r="P28" i="98"/>
  <c r="O28" i="98"/>
  <c r="N28" i="98"/>
  <c r="R27" i="98"/>
  <c r="Q27" i="98"/>
  <c r="P27" i="98"/>
  <c r="O27" i="98"/>
  <c r="N27" i="98"/>
  <c r="R26" i="98"/>
  <c r="Q26" i="98"/>
  <c r="P26" i="98"/>
  <c r="O26" i="98"/>
  <c r="N26" i="98"/>
  <c r="R25" i="98"/>
  <c r="Q25" i="98"/>
  <c r="P25" i="98"/>
  <c r="O25" i="98"/>
  <c r="N25" i="98"/>
  <c r="R24" i="98"/>
  <c r="Q24" i="98"/>
  <c r="P24" i="98"/>
  <c r="O24" i="98"/>
  <c r="N24" i="98"/>
  <c r="R23" i="98"/>
  <c r="Q23" i="98"/>
  <c r="P23" i="98"/>
  <c r="O23" i="98"/>
  <c r="N23" i="98"/>
  <c r="R22" i="98"/>
  <c r="Q22" i="98"/>
  <c r="P22" i="98"/>
  <c r="O22" i="98"/>
  <c r="N22" i="98"/>
  <c r="R21" i="98"/>
  <c r="Q21" i="98"/>
  <c r="P21" i="98"/>
  <c r="O21" i="98"/>
  <c r="N21" i="98"/>
  <c r="R20" i="98"/>
  <c r="Q20" i="98"/>
  <c r="P20" i="98"/>
  <c r="O20" i="98"/>
  <c r="N20" i="98"/>
  <c r="R19" i="98"/>
  <c r="Q19" i="98"/>
  <c r="P19" i="98"/>
  <c r="O19" i="98"/>
  <c r="N19" i="98"/>
  <c r="R18" i="98"/>
  <c r="Q18" i="98"/>
  <c r="P18" i="98"/>
  <c r="O18" i="98"/>
  <c r="N18" i="98"/>
  <c r="R17" i="98"/>
  <c r="Q17" i="98"/>
  <c r="P17" i="98"/>
  <c r="O17" i="98"/>
  <c r="N17" i="98"/>
  <c r="R16" i="98"/>
  <c r="Q16" i="98"/>
  <c r="P16" i="98"/>
  <c r="O16" i="98"/>
  <c r="N16" i="98"/>
  <c r="R15" i="98"/>
  <c r="Q15" i="98"/>
  <c r="P15" i="98"/>
  <c r="O15" i="98"/>
  <c r="N15" i="98"/>
  <c r="R14" i="98"/>
  <c r="Q14" i="98"/>
  <c r="P14" i="98"/>
  <c r="O14" i="98"/>
  <c r="N14" i="98"/>
  <c r="R13" i="98"/>
  <c r="Q13" i="98"/>
  <c r="P13" i="98"/>
  <c r="O13" i="98"/>
  <c r="N13" i="98"/>
  <c r="R12" i="98"/>
  <c r="Q12" i="98"/>
  <c r="P12" i="98"/>
  <c r="O12" i="98"/>
  <c r="N12" i="98"/>
  <c r="R11" i="98"/>
  <c r="Q11" i="98"/>
  <c r="P11" i="98"/>
  <c r="O11" i="98"/>
  <c r="N11" i="98"/>
  <c r="R10" i="98"/>
  <c r="Q10" i="98"/>
  <c r="P10" i="98"/>
  <c r="O10" i="98"/>
  <c r="N10" i="98"/>
  <c r="R9" i="98"/>
  <c r="Q9" i="98"/>
  <c r="P9" i="98"/>
  <c r="O9" i="98"/>
  <c r="N9" i="98"/>
  <c r="R8" i="98"/>
  <c r="Q8" i="98"/>
  <c r="P8" i="98"/>
  <c r="O8" i="98"/>
  <c r="N8" i="98"/>
  <c r="R7" i="98"/>
  <c r="Q7" i="98"/>
  <c r="P7" i="98"/>
  <c r="O7" i="98"/>
  <c r="N7" i="98"/>
  <c r="R6" i="98"/>
  <c r="Q6" i="98"/>
  <c r="P6" i="98"/>
  <c r="O6" i="98"/>
  <c r="N6" i="98"/>
  <c r="R5" i="98"/>
  <c r="Q5" i="98"/>
  <c r="P5" i="98"/>
  <c r="O5" i="98"/>
  <c r="N5" i="98"/>
  <c r="R4" i="98"/>
  <c r="Q4" i="98"/>
  <c r="P4" i="98"/>
  <c r="O4" i="98"/>
  <c r="N4" i="98"/>
  <c r="C808" i="123" l="1"/>
  <c r="C803" i="123"/>
  <c r="C804" i="123"/>
  <c r="C805" i="123"/>
  <c r="G29" i="86"/>
  <c r="S32" i="111"/>
  <c r="G30" i="86"/>
  <c r="C810" i="123"/>
  <c r="I408" i="73"/>
  <c r="I411" i="73"/>
  <c r="I405" i="73"/>
  <c r="S770" i="123" l="1"/>
  <c r="D65" i="111"/>
  <c r="B22" i="87"/>
  <c r="D66" i="111"/>
  <c r="D796" i="123"/>
  <c r="D72" i="111"/>
  <c r="E58" i="111" s="1"/>
  <c r="D70" i="111"/>
  <c r="D65" i="82"/>
  <c r="D67" i="111"/>
  <c r="AB36" i="72"/>
  <c r="AE40" i="72"/>
  <c r="Y40" i="72"/>
  <c r="AD42" i="72"/>
  <c r="AD46" i="72"/>
  <c r="AD40" i="72"/>
  <c r="X46" i="72"/>
  <c r="X40" i="72"/>
  <c r="X36" i="72"/>
  <c r="S33" i="111" l="1"/>
  <c r="H29" i="86"/>
  <c r="D803" i="123"/>
  <c r="D808" i="123"/>
  <c r="D804" i="123"/>
  <c r="D805" i="123"/>
  <c r="H30" i="86"/>
  <c r="D810" i="123"/>
  <c r="N354" i="73"/>
  <c r="N371" i="73"/>
  <c r="S771" i="123" l="1"/>
  <c r="E72" i="111"/>
  <c r="F58" i="111" s="1"/>
  <c r="E66" i="111"/>
  <c r="E796" i="123"/>
  <c r="E65" i="111"/>
  <c r="E65" i="82"/>
  <c r="B23" i="87"/>
  <c r="E70" i="111"/>
  <c r="E67" i="111"/>
  <c r="F73" i="98"/>
  <c r="K73" i="98"/>
  <c r="F74" i="98"/>
  <c r="F70" i="98"/>
  <c r="K74" i="98"/>
  <c r="F71" i="98"/>
  <c r="K70" i="98"/>
  <c r="F72" i="98"/>
  <c r="K71" i="98"/>
  <c r="K72" i="98"/>
  <c r="I30" i="86" l="1"/>
  <c r="E810" i="123"/>
  <c r="E803" i="123"/>
  <c r="S772" i="123" s="1"/>
  <c r="E808" i="123"/>
  <c r="E804" i="123"/>
  <c r="E805" i="123"/>
  <c r="S34" i="111"/>
  <c r="I29" i="86"/>
  <c r="N72" i="98"/>
  <c r="M72" i="98"/>
  <c r="I72" i="98"/>
  <c r="H72" i="98"/>
  <c r="H71" i="98"/>
  <c r="I71" i="98"/>
  <c r="H70" i="98"/>
  <c r="I70" i="98"/>
  <c r="F75" i="98"/>
  <c r="M73" i="98"/>
  <c r="N73" i="98"/>
  <c r="M71" i="98"/>
  <c r="N71" i="98"/>
  <c r="M70" i="98"/>
  <c r="N70" i="98"/>
  <c r="K75" i="98"/>
  <c r="N74" i="98"/>
  <c r="M74" i="98"/>
  <c r="I74" i="98"/>
  <c r="H74" i="98"/>
  <c r="I73" i="98"/>
  <c r="H73" i="98"/>
  <c r="L252" i="72"/>
  <c r="P252" i="72"/>
  <c r="Q254" i="72"/>
  <c r="Q255" i="72"/>
  <c r="Q253" i="72"/>
  <c r="Q207" i="72"/>
  <c r="L205" i="72"/>
  <c r="F72" i="111" l="1"/>
  <c r="G58" i="111" s="1"/>
  <c r="F65" i="82"/>
  <c r="F65" i="111"/>
  <c r="F796" i="123"/>
  <c r="F70" i="111"/>
  <c r="B24" i="87"/>
  <c r="F66" i="111"/>
  <c r="F67" i="111"/>
  <c r="N75" i="98"/>
  <c r="I75" i="98"/>
  <c r="AD43" i="72"/>
  <c r="AE43" i="72"/>
  <c r="Y43" i="72"/>
  <c r="X43" i="72"/>
  <c r="AD47" i="72"/>
  <c r="X47" i="72"/>
  <c r="O171" i="72"/>
  <c r="C50" i="86" l="1"/>
  <c r="F810" i="123"/>
  <c r="S35" i="111"/>
  <c r="F49" i="106" s="1"/>
  <c r="C49" i="86"/>
  <c r="F803" i="123"/>
  <c r="S773" i="123" s="1"/>
  <c r="F804" i="123"/>
  <c r="F808" i="123"/>
  <c r="F805" i="123"/>
  <c r="Q152" i="72"/>
  <c r="G70" i="111" l="1"/>
  <c r="G72" i="111"/>
  <c r="H58" i="111" s="1"/>
  <c r="G65" i="82"/>
  <c r="B25" i="87"/>
  <c r="G66" i="111"/>
  <c r="G65" i="111"/>
  <c r="S36" i="111" s="1"/>
  <c r="G796" i="123"/>
  <c r="G67" i="111"/>
  <c r="F93" i="123"/>
  <c r="L49" i="106"/>
  <c r="L93" i="123" s="1"/>
  <c r="Q172" i="72"/>
  <c r="P171" i="72"/>
  <c r="L171" i="72"/>
  <c r="D50" i="86" l="1"/>
  <c r="G810" i="123"/>
  <c r="G808" i="123"/>
  <c r="G803" i="123"/>
  <c r="S774" i="123" s="1"/>
  <c r="G804" i="123"/>
  <c r="G805" i="123"/>
  <c r="P169" i="72"/>
  <c r="Q171" i="72"/>
  <c r="O169" i="72"/>
  <c r="H70" i="111" l="1"/>
  <c r="H65" i="82"/>
  <c r="H66" i="111"/>
  <c r="H65" i="111"/>
  <c r="S37" i="111" s="1"/>
  <c r="B26" i="87"/>
  <c r="H72" i="111"/>
  <c r="I58" i="111" s="1"/>
  <c r="H796" i="123"/>
  <c r="H67" i="111"/>
  <c r="R169" i="72"/>
  <c r="O233" i="72"/>
  <c r="L169" i="72"/>
  <c r="X41" i="72"/>
  <c r="Y41" i="72"/>
  <c r="AD41" i="72"/>
  <c r="AE41" i="72"/>
  <c r="E50" i="86" l="1"/>
  <c r="H810" i="123"/>
  <c r="H808" i="123"/>
  <c r="H803" i="123"/>
  <c r="S775" i="123" s="1"/>
  <c r="H804" i="123"/>
  <c r="H805" i="123"/>
  <c r="P50" i="72"/>
  <c r="I796" i="123" l="1"/>
  <c r="I65" i="82"/>
  <c r="I72" i="111"/>
  <c r="J58" i="111" s="1"/>
  <c r="I66" i="111"/>
  <c r="I65" i="111"/>
  <c r="S38" i="111" s="1"/>
  <c r="B27" i="87"/>
  <c r="I70" i="111"/>
  <c r="I67" i="111"/>
  <c r="H63" i="72"/>
  <c r="J63" i="72"/>
  <c r="I63" i="72"/>
  <c r="K63" i="72"/>
  <c r="G63" i="72"/>
  <c r="I804" i="123" l="1"/>
  <c r="I803" i="123"/>
  <c r="S776" i="123" s="1"/>
  <c r="I808" i="123"/>
  <c r="I805" i="123"/>
  <c r="F50" i="86"/>
  <c r="I810" i="123"/>
  <c r="N214" i="72"/>
  <c r="AG409" i="73" l="1"/>
  <c r="AF409" i="73" s="1"/>
  <c r="AE409" i="73" s="1"/>
  <c r="AD409" i="73" s="1"/>
  <c r="AC409" i="73" s="1"/>
  <c r="AB409" i="73" s="1"/>
  <c r="AA409" i="73" s="1"/>
  <c r="Z409" i="73" s="1"/>
  <c r="AG407" i="73"/>
  <c r="AF407" i="73" s="1"/>
  <c r="AE407" i="73" s="1"/>
  <c r="AD407" i="73" s="1"/>
  <c r="AC407" i="73" s="1"/>
  <c r="AB407" i="73" s="1"/>
  <c r="AA407" i="73" s="1"/>
  <c r="Z407" i="73" s="1"/>
  <c r="Q180" i="72" l="1"/>
  <c r="Q181" i="72"/>
  <c r="Q182" i="72" l="1"/>
  <c r="A216" i="90" l="1"/>
  <c r="A217" i="90"/>
  <c r="A218" i="90"/>
  <c r="A219" i="90"/>
  <c r="A220" i="90"/>
  <c r="A221" i="90"/>
  <c r="A222" i="90"/>
  <c r="A215" i="90"/>
  <c r="A205" i="90"/>
  <c r="C39" i="90"/>
  <c r="C40" i="90"/>
  <c r="F59" i="89" l="1"/>
  <c r="C48" i="90" s="1"/>
  <c r="A24" i="83"/>
  <c r="A20" i="83"/>
  <c r="A13" i="83"/>
  <c r="A12" i="83"/>
  <c r="M34" i="72" l="1"/>
  <c r="K342" i="72" l="1"/>
  <c r="H225" i="72"/>
  <c r="J318" i="72"/>
  <c r="J378" i="72"/>
  <c r="P37" i="72"/>
  <c r="M103" i="72" s="1"/>
  <c r="J89" i="72"/>
  <c r="O93" i="72" s="1"/>
  <c r="P93" i="72" l="1"/>
  <c r="L114" i="72" l="1"/>
  <c r="L217" i="73"/>
  <c r="P66" i="98" l="1"/>
  <c r="X39" i="72"/>
  <c r="Y39" i="72"/>
  <c r="Q211" i="72" l="1"/>
  <c r="K320" i="72" l="1"/>
  <c r="L349" i="72" l="1"/>
  <c r="Q349" i="72"/>
  <c r="Q228" i="72" l="1"/>
  <c r="Q227" i="72"/>
  <c r="F21" i="72" l="1"/>
  <c r="F18" i="72"/>
  <c r="F14" i="72"/>
  <c r="F15" i="72"/>
  <c r="K56" i="73" l="1"/>
  <c r="K67" i="93" l="1"/>
  <c r="C63" i="93"/>
  <c r="D63" i="93" s="1"/>
  <c r="I63" i="93" s="1"/>
  <c r="C62" i="93"/>
  <c r="D62" i="93" s="1"/>
  <c r="I62" i="93" s="1"/>
  <c r="C61" i="93"/>
  <c r="D61" i="93" s="1"/>
  <c r="I61" i="93" s="1"/>
  <c r="C60" i="93"/>
  <c r="D60" i="93" s="1"/>
  <c r="I60" i="93" s="1"/>
  <c r="C59" i="93"/>
  <c r="D59" i="93" s="1"/>
  <c r="I59" i="93" s="1"/>
  <c r="C58" i="93"/>
  <c r="D58" i="93" s="1"/>
  <c r="K53" i="93"/>
  <c r="J19" i="93"/>
  <c r="J22" i="93" s="1"/>
  <c r="I58" i="93" l="1"/>
  <c r="D64" i="93"/>
  <c r="G48" i="93"/>
  <c r="H48" i="93" s="1"/>
  <c r="G45" i="93"/>
  <c r="H45" i="93" s="1"/>
  <c r="G44" i="93"/>
  <c r="H44" i="93" s="1"/>
  <c r="G43" i="93"/>
  <c r="H43" i="93" s="1"/>
  <c r="G51" i="93"/>
  <c r="H51" i="93" s="1"/>
  <c r="G42" i="93"/>
  <c r="H42" i="93" s="1"/>
  <c r="B64" i="93"/>
  <c r="G50" i="93"/>
  <c r="H50" i="93" s="1"/>
  <c r="G39" i="93"/>
  <c r="H39" i="93" s="1"/>
  <c r="G37" i="93"/>
  <c r="H37" i="93" s="1"/>
  <c r="G49" i="93"/>
  <c r="H49" i="93" s="1"/>
  <c r="G46" i="93"/>
  <c r="H46" i="93" s="1"/>
  <c r="G40" i="93"/>
  <c r="H40" i="93" s="1"/>
  <c r="G38" i="93"/>
  <c r="H38" i="93" s="1"/>
  <c r="G36" i="93"/>
  <c r="H36" i="93" s="1"/>
  <c r="G34" i="93"/>
  <c r="H34" i="93" s="1"/>
  <c r="G47" i="93"/>
  <c r="H47" i="93" s="1"/>
  <c r="G35" i="93"/>
  <c r="H35" i="93" s="1"/>
  <c r="G41" i="93"/>
  <c r="H41" i="93" s="1"/>
  <c r="G33" i="93"/>
  <c r="J20" i="93"/>
  <c r="H33" i="93" l="1"/>
  <c r="H52" i="93" s="1"/>
  <c r="J48" i="93"/>
  <c r="K48" i="93" s="1"/>
  <c r="J45" i="93"/>
  <c r="K45" i="93" s="1"/>
  <c r="J44" i="93"/>
  <c r="K44" i="93" s="1"/>
  <c r="J43" i="93"/>
  <c r="K43" i="93" s="1"/>
  <c r="J42" i="93"/>
  <c r="K42" i="93" s="1"/>
  <c r="K64" i="93"/>
  <c r="K69" i="93" s="1"/>
  <c r="J51" i="93"/>
  <c r="K51" i="93" s="1"/>
  <c r="J49" i="93"/>
  <c r="K49" i="93" s="1"/>
  <c r="J46" i="93"/>
  <c r="K46" i="93" s="1"/>
  <c r="J40" i="93"/>
  <c r="K40" i="93" s="1"/>
  <c r="J38" i="93"/>
  <c r="K38" i="93" s="1"/>
  <c r="J36" i="93"/>
  <c r="K36" i="93" s="1"/>
  <c r="J34" i="93"/>
  <c r="K34" i="93" s="1"/>
  <c r="J50" i="93"/>
  <c r="K50" i="93" s="1"/>
  <c r="J41" i="93"/>
  <c r="K41" i="93" s="1"/>
  <c r="J39" i="93"/>
  <c r="K39" i="93" s="1"/>
  <c r="J37" i="93"/>
  <c r="K37" i="93" s="1"/>
  <c r="J33" i="93"/>
  <c r="J47" i="93"/>
  <c r="K47" i="93" s="1"/>
  <c r="J35" i="93"/>
  <c r="K35" i="93" s="1"/>
  <c r="K33" i="93" l="1"/>
  <c r="K52" i="93" s="1"/>
  <c r="K54" i="93" s="1"/>
  <c r="K68" i="93" s="1"/>
  <c r="K70" i="93" s="1"/>
  <c r="Q176" i="72"/>
  <c r="Q177" i="72"/>
  <c r="X44" i="72" l="1"/>
  <c r="AD44" i="72"/>
  <c r="L184" i="67" l="1"/>
  <c r="F14" i="85" l="1"/>
  <c r="P50" i="98"/>
  <c r="G74" i="98" s="1"/>
  <c r="L74" i="98" s="1"/>
  <c r="A1" i="72"/>
  <c r="A1" i="73"/>
  <c r="M135" i="72"/>
  <c r="H133" i="73"/>
  <c r="K133" i="73"/>
  <c r="J133" i="73"/>
  <c r="F133" i="73"/>
  <c r="Q95" i="72"/>
  <c r="L94" i="72"/>
  <c r="B6" i="72"/>
  <c r="O4" i="67"/>
  <c r="E25" i="72"/>
  <c r="P262" i="72"/>
  <c r="P266" i="72"/>
  <c r="F25" i="72"/>
  <c r="F20" i="72"/>
  <c r="F19" i="72"/>
  <c r="F17" i="72"/>
  <c r="F16" i="72"/>
  <c r="F13" i="72"/>
  <c r="P12" i="72"/>
  <c r="P10" i="72" s="1"/>
  <c r="A210" i="85"/>
  <c r="A11" i="83"/>
  <c r="F199" i="90"/>
  <c r="D102" i="90"/>
  <c r="E165" i="90"/>
  <c r="C16" i="90"/>
  <c r="A202" i="90"/>
  <c r="C5" i="90"/>
  <c r="D63" i="90"/>
  <c r="C31" i="90"/>
  <c r="C30" i="90"/>
  <c r="C25" i="90"/>
  <c r="C139" i="90"/>
  <c r="C23" i="90"/>
  <c r="C15" i="90"/>
  <c r="C19" i="90"/>
  <c r="C144" i="90" s="1"/>
  <c r="C18" i="90"/>
  <c r="C143" i="90" s="1"/>
  <c r="K5" i="86"/>
  <c r="E185" i="90"/>
  <c r="E173" i="90"/>
  <c r="E168" i="90"/>
  <c r="D80" i="90"/>
  <c r="D56" i="86"/>
  <c r="E186" i="90"/>
  <c r="E82" i="90"/>
  <c r="B48" i="82"/>
  <c r="C48" i="82" s="1"/>
  <c r="D48" i="82" s="1"/>
  <c r="E48" i="82" s="1"/>
  <c r="F48" i="82" s="1"/>
  <c r="G48" i="82" s="1"/>
  <c r="H48" i="82" s="1"/>
  <c r="I48" i="82" s="1"/>
  <c r="J48" i="82" s="1"/>
  <c r="K48" i="82" s="1"/>
  <c r="B68" i="82" s="1"/>
  <c r="C68" i="82" s="1"/>
  <c r="D68" i="82" s="1"/>
  <c r="E68" i="82" s="1"/>
  <c r="F68" i="82" s="1"/>
  <c r="G68" i="82" s="1"/>
  <c r="H68" i="82" s="1"/>
  <c r="I68" i="82" s="1"/>
  <c r="J68" i="82" s="1"/>
  <c r="K68" i="82" s="1"/>
  <c r="C59" i="82"/>
  <c r="D59" i="82"/>
  <c r="E59" i="82"/>
  <c r="F59" i="82"/>
  <c r="G59" i="82"/>
  <c r="H59" i="82"/>
  <c r="I59" i="82"/>
  <c r="J59" i="82"/>
  <c r="K59" i="82"/>
  <c r="L59" i="82"/>
  <c r="M59" i="82"/>
  <c r="N59" i="82"/>
  <c r="O59" i="82"/>
  <c r="P59" i="82"/>
  <c r="P342" i="72"/>
  <c r="E26" i="72"/>
  <c r="Q389" i="72"/>
  <c r="Q382" i="72"/>
  <c r="L369" i="72"/>
  <c r="Q139" i="72"/>
  <c r="Q184" i="72"/>
  <c r="M363" i="72"/>
  <c r="J363" i="72"/>
  <c r="L344" i="72"/>
  <c r="J367" i="72" s="1"/>
  <c r="P103" i="72"/>
  <c r="P104" i="72"/>
  <c r="N293" i="73"/>
  <c r="N291" i="73"/>
  <c r="M291" i="73" s="1"/>
  <c r="L291" i="73" s="1"/>
  <c r="N290" i="73"/>
  <c r="L380" i="72"/>
  <c r="M374" i="73"/>
  <c r="P397" i="72"/>
  <c r="P378" i="72"/>
  <c r="R378" i="72"/>
  <c r="S344" i="72"/>
  <c r="O75" i="72"/>
  <c r="P72" i="72" s="1"/>
  <c r="J75" i="72"/>
  <c r="P68" i="72" s="1"/>
  <c r="F75" i="72"/>
  <c r="AG295" i="73"/>
  <c r="AF295" i="73" s="1"/>
  <c r="AE295" i="73" s="1"/>
  <c r="AD295" i="73" s="1"/>
  <c r="AC295" i="73" s="1"/>
  <c r="AB295" i="73" s="1"/>
  <c r="AA295" i="73" s="1"/>
  <c r="Z295" i="73" s="1"/>
  <c r="AG292" i="73"/>
  <c r="AF292" i="73" s="1"/>
  <c r="AE292" i="73" s="1"/>
  <c r="AD292" i="73" s="1"/>
  <c r="AC292" i="73" s="1"/>
  <c r="AB292" i="73" s="1"/>
  <c r="AA292" i="73" s="1"/>
  <c r="Z292" i="73" s="1"/>
  <c r="AG290" i="73"/>
  <c r="AF290" i="73" s="1"/>
  <c r="AE290" i="73" s="1"/>
  <c r="AD290" i="73" s="1"/>
  <c r="AC290" i="73" s="1"/>
  <c r="AB290" i="73" s="1"/>
  <c r="AA290" i="73" s="1"/>
  <c r="Z290" i="73" s="1"/>
  <c r="A2" i="67"/>
  <c r="B59" i="82"/>
  <c r="D10" i="25"/>
  <c r="D18" i="25" s="1"/>
  <c r="D20" i="25" s="1"/>
  <c r="D5" i="26"/>
  <c r="D11" i="26" s="1"/>
  <c r="D12" i="26" s="1"/>
  <c r="E63" i="26"/>
  <c r="C11" i="26"/>
  <c r="C12" i="26" s="1"/>
  <c r="B64" i="26"/>
  <c r="C64" i="26"/>
  <c r="D64" i="26"/>
  <c r="E64" i="26"/>
  <c r="B65" i="26"/>
  <c r="C65" i="26"/>
  <c r="D65" i="26"/>
  <c r="E65" i="26"/>
  <c r="B66" i="26"/>
  <c r="C66" i="26"/>
  <c r="D66" i="26"/>
  <c r="E66" i="26"/>
  <c r="B67" i="26"/>
  <c r="C67" i="26"/>
  <c r="D67" i="26"/>
  <c r="E67" i="26"/>
  <c r="B68" i="26"/>
  <c r="C68" i="26"/>
  <c r="D68" i="26"/>
  <c r="E68" i="26"/>
  <c r="B69" i="26"/>
  <c r="C69" i="26"/>
  <c r="D69" i="26"/>
  <c r="E69" i="26"/>
  <c r="B70" i="26"/>
  <c r="C70" i="26"/>
  <c r="D70" i="26"/>
  <c r="E70" i="26"/>
  <c r="B71" i="26"/>
  <c r="C71" i="26"/>
  <c r="D71" i="26"/>
  <c r="E71" i="26"/>
  <c r="B72" i="26"/>
  <c r="C72" i="26"/>
  <c r="D72" i="26"/>
  <c r="E72" i="26"/>
  <c r="B73" i="26"/>
  <c r="C73" i="26"/>
  <c r="D73" i="26"/>
  <c r="E73" i="26"/>
  <c r="B74" i="26"/>
  <c r="C74" i="26"/>
  <c r="D74" i="26"/>
  <c r="E74" i="26"/>
  <c r="B75" i="26"/>
  <c r="C75" i="26"/>
  <c r="D75" i="26"/>
  <c r="E75" i="26"/>
  <c r="B76" i="26"/>
  <c r="C76" i="26"/>
  <c r="D76" i="26"/>
  <c r="E76" i="26"/>
  <c r="B77" i="26"/>
  <c r="C77" i="26"/>
  <c r="D77" i="26"/>
  <c r="E77" i="26"/>
  <c r="B78" i="26"/>
  <c r="C78" i="26"/>
  <c r="D78" i="26"/>
  <c r="E78" i="26"/>
  <c r="B79" i="26"/>
  <c r="C79" i="26"/>
  <c r="D79" i="26"/>
  <c r="E79" i="26"/>
  <c r="B80" i="26"/>
  <c r="C80" i="26"/>
  <c r="D80" i="26"/>
  <c r="E80" i="26"/>
  <c r="B81" i="26"/>
  <c r="C81" i="26"/>
  <c r="D81" i="26"/>
  <c r="E81" i="26"/>
  <c r="B82" i="26"/>
  <c r="C82" i="26"/>
  <c r="D82" i="26"/>
  <c r="E82" i="26"/>
  <c r="B83" i="26"/>
  <c r="C83" i="26"/>
  <c r="D83" i="26"/>
  <c r="E83" i="26"/>
  <c r="B84" i="26"/>
  <c r="C84" i="26"/>
  <c r="D84" i="26"/>
  <c r="E84" i="26"/>
  <c r="B85" i="26"/>
  <c r="C85" i="26"/>
  <c r="D85" i="26"/>
  <c r="E85" i="26"/>
  <c r="B86" i="26"/>
  <c r="C86" i="26"/>
  <c r="D86" i="26"/>
  <c r="E86" i="26"/>
  <c r="B87" i="26"/>
  <c r="C87" i="26"/>
  <c r="D87" i="26"/>
  <c r="E87" i="26"/>
  <c r="B88" i="26"/>
  <c r="C88" i="26"/>
  <c r="D88" i="26"/>
  <c r="E88" i="26"/>
  <c r="B89" i="26"/>
  <c r="C89" i="26"/>
  <c r="D89" i="26"/>
  <c r="E89" i="26"/>
  <c r="B90" i="26"/>
  <c r="C90" i="26"/>
  <c r="D90" i="26"/>
  <c r="E90" i="26"/>
  <c r="B91" i="26"/>
  <c r="C91" i="26"/>
  <c r="D91" i="26"/>
  <c r="E91" i="26"/>
  <c r="B92" i="26"/>
  <c r="C92" i="26"/>
  <c r="D92" i="26"/>
  <c r="E92" i="26"/>
  <c r="B93" i="26"/>
  <c r="C93" i="26"/>
  <c r="D93" i="26"/>
  <c r="E93" i="26"/>
  <c r="B94" i="26"/>
  <c r="C94" i="26"/>
  <c r="D94" i="26"/>
  <c r="E94" i="26"/>
  <c r="B95" i="26"/>
  <c r="C95" i="26"/>
  <c r="D95" i="26"/>
  <c r="E95" i="26"/>
  <c r="B96" i="26"/>
  <c r="C96" i="26"/>
  <c r="D96" i="26"/>
  <c r="E96" i="26"/>
  <c r="B97" i="26"/>
  <c r="C97" i="26"/>
  <c r="D97" i="26"/>
  <c r="E97" i="26"/>
  <c r="B98" i="26"/>
  <c r="C98" i="26"/>
  <c r="D98" i="26"/>
  <c r="E98" i="26"/>
  <c r="B99" i="26"/>
  <c r="C99" i="26"/>
  <c r="D99" i="26"/>
  <c r="E99" i="26"/>
  <c r="B100" i="26"/>
  <c r="C100" i="26"/>
  <c r="D100" i="26"/>
  <c r="E100" i="26"/>
  <c r="B101" i="26"/>
  <c r="C101" i="26"/>
  <c r="D101" i="26"/>
  <c r="E101" i="26"/>
  <c r="B102" i="26"/>
  <c r="C102" i="26"/>
  <c r="D102" i="26"/>
  <c r="E102" i="26"/>
  <c r="B103" i="26"/>
  <c r="C103" i="26"/>
  <c r="D103" i="26"/>
  <c r="E103" i="26"/>
  <c r="B104" i="26"/>
  <c r="C104" i="26"/>
  <c r="D104" i="26"/>
  <c r="E104" i="26"/>
  <c r="B105" i="26"/>
  <c r="C105" i="26"/>
  <c r="D105" i="26"/>
  <c r="E105" i="26"/>
  <c r="B106" i="26"/>
  <c r="C106" i="26"/>
  <c r="D106" i="26"/>
  <c r="E106" i="26"/>
  <c r="B107" i="26"/>
  <c r="C107" i="26"/>
  <c r="D107" i="26"/>
  <c r="E107" i="26"/>
  <c r="B108" i="26"/>
  <c r="C108" i="26"/>
  <c r="D108" i="26"/>
  <c r="E108" i="26"/>
  <c r="B109" i="26"/>
  <c r="C109" i="26"/>
  <c r="D109" i="26"/>
  <c r="E109" i="26"/>
  <c r="B110" i="26"/>
  <c r="C110" i="26"/>
  <c r="D110" i="26"/>
  <c r="E110" i="26"/>
  <c r="B111" i="26"/>
  <c r="C111" i="26"/>
  <c r="D111" i="26"/>
  <c r="E111" i="26"/>
  <c r="E5" i="26"/>
  <c r="E11" i="26" s="1"/>
  <c r="E12" i="26" s="1"/>
  <c r="K63" i="26"/>
  <c r="H64" i="26"/>
  <c r="I64" i="26"/>
  <c r="J64" i="26"/>
  <c r="K64" i="26"/>
  <c r="H65" i="26"/>
  <c r="I65" i="26"/>
  <c r="J65" i="26"/>
  <c r="K65" i="26"/>
  <c r="H66" i="26"/>
  <c r="I66" i="26"/>
  <c r="J66" i="26"/>
  <c r="K66" i="26"/>
  <c r="H67" i="26"/>
  <c r="I67" i="26"/>
  <c r="J67" i="26"/>
  <c r="K67" i="26"/>
  <c r="H68" i="26"/>
  <c r="I68" i="26"/>
  <c r="J68" i="26"/>
  <c r="K68" i="26"/>
  <c r="H69" i="26"/>
  <c r="I69" i="26"/>
  <c r="J69" i="26"/>
  <c r="K69" i="26"/>
  <c r="H70" i="26"/>
  <c r="I70" i="26"/>
  <c r="J70" i="26"/>
  <c r="K70" i="26"/>
  <c r="H71" i="26"/>
  <c r="I71" i="26"/>
  <c r="J71" i="26"/>
  <c r="K71" i="26"/>
  <c r="H72" i="26"/>
  <c r="I72" i="26"/>
  <c r="J72" i="26"/>
  <c r="K72" i="26"/>
  <c r="H73" i="26"/>
  <c r="I73" i="26"/>
  <c r="J73" i="26"/>
  <c r="K73" i="26"/>
  <c r="H74" i="26"/>
  <c r="I74" i="26"/>
  <c r="J74" i="26"/>
  <c r="K74" i="26"/>
  <c r="H75" i="26"/>
  <c r="I75" i="26"/>
  <c r="J75" i="26"/>
  <c r="K75" i="26"/>
  <c r="H76" i="26"/>
  <c r="I76" i="26"/>
  <c r="J76" i="26"/>
  <c r="K76" i="26"/>
  <c r="H77" i="26"/>
  <c r="I77" i="26"/>
  <c r="J77" i="26"/>
  <c r="K77" i="26"/>
  <c r="H78" i="26"/>
  <c r="I78" i="26"/>
  <c r="J78" i="26"/>
  <c r="K78" i="26"/>
  <c r="H79" i="26"/>
  <c r="I79" i="26"/>
  <c r="J79" i="26"/>
  <c r="K79" i="26"/>
  <c r="H80" i="26"/>
  <c r="I80" i="26"/>
  <c r="J80" i="26"/>
  <c r="K80" i="26"/>
  <c r="H81" i="26"/>
  <c r="I81" i="26"/>
  <c r="J81" i="26"/>
  <c r="K81" i="26"/>
  <c r="H82" i="26"/>
  <c r="I82" i="26"/>
  <c r="J82" i="26"/>
  <c r="K82" i="26"/>
  <c r="H83" i="26"/>
  <c r="I83" i="26"/>
  <c r="J83" i="26"/>
  <c r="K83" i="26"/>
  <c r="H84" i="26"/>
  <c r="I84" i="26"/>
  <c r="J84" i="26"/>
  <c r="K84" i="26"/>
  <c r="H85" i="26"/>
  <c r="I85" i="26"/>
  <c r="J85" i="26"/>
  <c r="K85" i="26"/>
  <c r="H86" i="26"/>
  <c r="I86" i="26"/>
  <c r="J86" i="26"/>
  <c r="K86" i="26"/>
  <c r="H87" i="26"/>
  <c r="I87" i="26"/>
  <c r="J87" i="26"/>
  <c r="K87" i="26"/>
  <c r="H88" i="26"/>
  <c r="I88" i="26"/>
  <c r="J88" i="26"/>
  <c r="K88" i="26"/>
  <c r="H89" i="26"/>
  <c r="I89" i="26"/>
  <c r="J89" i="26"/>
  <c r="K89" i="26"/>
  <c r="H90" i="26"/>
  <c r="I90" i="26"/>
  <c r="J90" i="26"/>
  <c r="K90" i="26"/>
  <c r="H91" i="26"/>
  <c r="I91" i="26"/>
  <c r="J91" i="26"/>
  <c r="K91" i="26"/>
  <c r="H92" i="26"/>
  <c r="I92" i="26"/>
  <c r="J92" i="26"/>
  <c r="K92" i="26"/>
  <c r="H93" i="26"/>
  <c r="I93" i="26"/>
  <c r="J93" i="26"/>
  <c r="K93" i="26"/>
  <c r="H94" i="26"/>
  <c r="I94" i="26"/>
  <c r="J94" i="26"/>
  <c r="K94" i="26"/>
  <c r="H95" i="26"/>
  <c r="I95" i="26"/>
  <c r="J95" i="26"/>
  <c r="K95" i="26"/>
  <c r="H96" i="26"/>
  <c r="I96" i="26"/>
  <c r="J96" i="26"/>
  <c r="K96" i="26"/>
  <c r="H97" i="26"/>
  <c r="I97" i="26"/>
  <c r="J97" i="26"/>
  <c r="K97" i="26"/>
  <c r="H98" i="26"/>
  <c r="I98" i="26"/>
  <c r="J98" i="26"/>
  <c r="K98" i="26"/>
  <c r="H99" i="26"/>
  <c r="I99" i="26"/>
  <c r="J99" i="26"/>
  <c r="K99" i="26"/>
  <c r="H100" i="26"/>
  <c r="I100" i="26"/>
  <c r="J100" i="26"/>
  <c r="K100" i="26"/>
  <c r="H101" i="26"/>
  <c r="I101" i="26"/>
  <c r="J101" i="26"/>
  <c r="K101" i="26"/>
  <c r="H102" i="26"/>
  <c r="I102" i="26"/>
  <c r="J102" i="26"/>
  <c r="K102" i="26"/>
  <c r="H103" i="26"/>
  <c r="I103" i="26"/>
  <c r="J103" i="26"/>
  <c r="K103" i="26"/>
  <c r="H104" i="26"/>
  <c r="I104" i="26"/>
  <c r="J104" i="26"/>
  <c r="K104" i="26"/>
  <c r="H105" i="26"/>
  <c r="I105" i="26"/>
  <c r="J105" i="26"/>
  <c r="K105" i="26"/>
  <c r="H106" i="26"/>
  <c r="I106" i="26"/>
  <c r="J106" i="26"/>
  <c r="K106" i="26"/>
  <c r="H107" i="26"/>
  <c r="I107" i="26"/>
  <c r="J107" i="26"/>
  <c r="K107" i="26"/>
  <c r="H108" i="26"/>
  <c r="I108" i="26"/>
  <c r="J108" i="26"/>
  <c r="K108" i="26"/>
  <c r="H109" i="26"/>
  <c r="I109" i="26"/>
  <c r="J109" i="26"/>
  <c r="K109" i="26"/>
  <c r="H110" i="26"/>
  <c r="I110" i="26"/>
  <c r="J110" i="26"/>
  <c r="K110" i="26"/>
  <c r="H111" i="26"/>
  <c r="I111" i="26"/>
  <c r="J111" i="26"/>
  <c r="K111" i="26"/>
  <c r="C21" i="26"/>
  <c r="C56" i="26"/>
  <c r="C55" i="26"/>
  <c r="C54" i="26"/>
  <c r="C53" i="26"/>
  <c r="C52" i="26"/>
  <c r="C51" i="26"/>
  <c r="C50" i="26"/>
  <c r="C49" i="26"/>
  <c r="C48" i="26"/>
  <c r="C47" i="26"/>
  <c r="B112" i="26"/>
  <c r="C112" i="26"/>
  <c r="D112" i="26"/>
  <c r="E112" i="26"/>
  <c r="B113" i="26"/>
  <c r="C113" i="26"/>
  <c r="D113" i="26"/>
  <c r="E113" i="26"/>
  <c r="B114" i="26"/>
  <c r="C114" i="26"/>
  <c r="D114" i="26"/>
  <c r="E114" i="26"/>
  <c r="B115" i="26"/>
  <c r="C115" i="26"/>
  <c r="D115" i="26"/>
  <c r="E115" i="26"/>
  <c r="B116" i="26"/>
  <c r="C116" i="26"/>
  <c r="D116" i="26"/>
  <c r="E116" i="26"/>
  <c r="B117" i="26"/>
  <c r="C117" i="26"/>
  <c r="D117" i="26"/>
  <c r="E117" i="26"/>
  <c r="B118" i="26"/>
  <c r="C118" i="26"/>
  <c r="D118" i="26"/>
  <c r="E118" i="26"/>
  <c r="B119" i="26"/>
  <c r="C119" i="26"/>
  <c r="D119" i="26"/>
  <c r="E119" i="26"/>
  <c r="B120" i="26"/>
  <c r="C120" i="26"/>
  <c r="D120" i="26"/>
  <c r="E120" i="26"/>
  <c r="B121" i="26"/>
  <c r="C121" i="26"/>
  <c r="D121" i="26"/>
  <c r="E121" i="26"/>
  <c r="B122" i="26"/>
  <c r="C122" i="26"/>
  <c r="D122" i="26"/>
  <c r="E122" i="26"/>
  <c r="B123" i="26"/>
  <c r="C123" i="26"/>
  <c r="D123" i="26"/>
  <c r="E123" i="26"/>
  <c r="B124" i="26"/>
  <c r="C124" i="26"/>
  <c r="D124" i="26"/>
  <c r="E124" i="26"/>
  <c r="B125" i="26"/>
  <c r="C125" i="26"/>
  <c r="D125" i="26"/>
  <c r="E125" i="26"/>
  <c r="B126" i="26"/>
  <c r="C126" i="26"/>
  <c r="D126" i="26"/>
  <c r="E126" i="26"/>
  <c r="B127" i="26"/>
  <c r="C127" i="26"/>
  <c r="D127" i="26"/>
  <c r="E127" i="26"/>
  <c r="B128" i="26"/>
  <c r="C128" i="26"/>
  <c r="D128" i="26"/>
  <c r="E128" i="26"/>
  <c r="B129" i="26"/>
  <c r="C129" i="26"/>
  <c r="D129" i="26"/>
  <c r="E129" i="26"/>
  <c r="B130" i="26"/>
  <c r="C130" i="26"/>
  <c r="D130" i="26"/>
  <c r="E130" i="26"/>
  <c r="B131" i="26"/>
  <c r="C131" i="26"/>
  <c r="D131" i="26"/>
  <c r="E131" i="26"/>
  <c r="B132" i="26"/>
  <c r="C132" i="26"/>
  <c r="D132" i="26"/>
  <c r="E132" i="26"/>
  <c r="B133" i="26"/>
  <c r="C133" i="26"/>
  <c r="D133" i="26"/>
  <c r="E133" i="26"/>
  <c r="B134" i="26"/>
  <c r="C134" i="26"/>
  <c r="D134" i="26"/>
  <c r="E134" i="26"/>
  <c r="B135" i="26"/>
  <c r="C135" i="26"/>
  <c r="D135" i="26"/>
  <c r="E135" i="26"/>
  <c r="B136" i="26"/>
  <c r="C136" i="26"/>
  <c r="D136" i="26"/>
  <c r="E136" i="26"/>
  <c r="B137" i="26"/>
  <c r="C137" i="26"/>
  <c r="D137" i="26"/>
  <c r="E137" i="26"/>
  <c r="B138" i="26"/>
  <c r="C138" i="26"/>
  <c r="D138" i="26"/>
  <c r="E138" i="26"/>
  <c r="B139" i="26"/>
  <c r="C139" i="26"/>
  <c r="D139" i="26"/>
  <c r="E139" i="26"/>
  <c r="B140" i="26"/>
  <c r="C140" i="26"/>
  <c r="D140" i="26"/>
  <c r="E140" i="26"/>
  <c r="B141" i="26"/>
  <c r="C141" i="26"/>
  <c r="D141" i="26"/>
  <c r="E141" i="26"/>
  <c r="B142" i="26"/>
  <c r="C142" i="26"/>
  <c r="D142" i="26"/>
  <c r="E142" i="26"/>
  <c r="B143" i="26"/>
  <c r="C143" i="26"/>
  <c r="D143" i="26"/>
  <c r="E143" i="26"/>
  <c r="B144" i="26"/>
  <c r="C144" i="26"/>
  <c r="D144" i="26"/>
  <c r="E144" i="26"/>
  <c r="B145" i="26"/>
  <c r="C145" i="26"/>
  <c r="D145" i="26"/>
  <c r="E145" i="26"/>
  <c r="B146" i="26"/>
  <c r="C146" i="26"/>
  <c r="D146" i="26"/>
  <c r="E146" i="26"/>
  <c r="B147" i="26"/>
  <c r="C147" i="26"/>
  <c r="D147" i="26"/>
  <c r="E147" i="26"/>
  <c r="B148" i="26"/>
  <c r="C148" i="26"/>
  <c r="D148" i="26"/>
  <c r="E148" i="26"/>
  <c r="B149" i="26"/>
  <c r="C149" i="26"/>
  <c r="D149" i="26"/>
  <c r="E149" i="26"/>
  <c r="B150" i="26"/>
  <c r="C150" i="26"/>
  <c r="D150" i="26"/>
  <c r="E150" i="26"/>
  <c r="B151" i="26"/>
  <c r="C151" i="26"/>
  <c r="D151" i="26"/>
  <c r="E151" i="26"/>
  <c r="B152" i="26"/>
  <c r="C152" i="26"/>
  <c r="D152" i="26"/>
  <c r="E152" i="26"/>
  <c r="B153" i="26"/>
  <c r="C153" i="26"/>
  <c r="D153" i="26"/>
  <c r="E153" i="26"/>
  <c r="B154" i="26"/>
  <c r="C154" i="26"/>
  <c r="D154" i="26"/>
  <c r="E154" i="26"/>
  <c r="B155" i="26"/>
  <c r="C155" i="26"/>
  <c r="D155" i="26"/>
  <c r="E155" i="26"/>
  <c r="B156" i="26"/>
  <c r="C156" i="26"/>
  <c r="D156" i="26"/>
  <c r="E156" i="26"/>
  <c r="B157" i="26"/>
  <c r="C157" i="26"/>
  <c r="D157" i="26"/>
  <c r="E157" i="26"/>
  <c r="B158" i="26"/>
  <c r="C158" i="26"/>
  <c r="D158" i="26"/>
  <c r="E158" i="26"/>
  <c r="B159" i="26"/>
  <c r="C159" i="26"/>
  <c r="D159" i="26"/>
  <c r="E159" i="26"/>
  <c r="B160" i="26"/>
  <c r="C160" i="26"/>
  <c r="D160" i="26"/>
  <c r="E160" i="26"/>
  <c r="B161" i="26"/>
  <c r="C161" i="26"/>
  <c r="D161" i="26"/>
  <c r="E161" i="26"/>
  <c r="B162" i="26"/>
  <c r="C162" i="26"/>
  <c r="D162" i="26"/>
  <c r="E162" i="26"/>
  <c r="B163" i="26"/>
  <c r="C163" i="26"/>
  <c r="D163" i="26"/>
  <c r="E163" i="26"/>
  <c r="B164" i="26"/>
  <c r="C164" i="26"/>
  <c r="D164" i="26"/>
  <c r="E164" i="26"/>
  <c r="B165" i="26"/>
  <c r="C165" i="26"/>
  <c r="D165" i="26"/>
  <c r="E165" i="26"/>
  <c r="B166" i="26"/>
  <c r="C166" i="26"/>
  <c r="D166" i="26"/>
  <c r="E166" i="26"/>
  <c r="B167" i="26"/>
  <c r="C167" i="26"/>
  <c r="D167" i="26"/>
  <c r="E167" i="26"/>
  <c r="B168" i="26"/>
  <c r="C168" i="26"/>
  <c r="D168" i="26"/>
  <c r="E168" i="26"/>
  <c r="B169" i="26"/>
  <c r="C169" i="26"/>
  <c r="D169" i="26"/>
  <c r="E169" i="26"/>
  <c r="B170" i="26"/>
  <c r="C170" i="26"/>
  <c r="D170" i="26"/>
  <c r="E170" i="26"/>
  <c r="B171" i="26"/>
  <c r="C171" i="26"/>
  <c r="D171" i="26"/>
  <c r="E171" i="26"/>
  <c r="B172" i="26"/>
  <c r="C172" i="26"/>
  <c r="D172" i="26"/>
  <c r="E172" i="26"/>
  <c r="B173" i="26"/>
  <c r="C173" i="26"/>
  <c r="D173" i="26"/>
  <c r="E173" i="26"/>
  <c r="B174" i="26"/>
  <c r="C174" i="26"/>
  <c r="D174" i="26"/>
  <c r="E174" i="26"/>
  <c r="B175" i="26"/>
  <c r="C175" i="26"/>
  <c r="D175" i="26"/>
  <c r="E175" i="26"/>
  <c r="B176" i="26"/>
  <c r="C176" i="26"/>
  <c r="D176" i="26"/>
  <c r="E176" i="26"/>
  <c r="B177" i="26"/>
  <c r="C177" i="26"/>
  <c r="D177" i="26"/>
  <c r="E177" i="26"/>
  <c r="B178" i="26"/>
  <c r="C178" i="26"/>
  <c r="D178" i="26"/>
  <c r="E178" i="26"/>
  <c r="B179" i="26"/>
  <c r="C179" i="26"/>
  <c r="D179" i="26"/>
  <c r="E179" i="26"/>
  <c r="B180" i="26"/>
  <c r="C180" i="26"/>
  <c r="D180" i="26"/>
  <c r="E180" i="26"/>
  <c r="B181" i="26"/>
  <c r="C181" i="26"/>
  <c r="D181" i="26"/>
  <c r="E181" i="26"/>
  <c r="B182" i="26"/>
  <c r="C182" i="26"/>
  <c r="D182" i="26"/>
  <c r="E182" i="26"/>
  <c r="B183" i="26"/>
  <c r="C183" i="26"/>
  <c r="D183" i="26"/>
  <c r="E183" i="26"/>
  <c r="B184" i="26"/>
  <c r="C184" i="26"/>
  <c r="D184" i="26"/>
  <c r="E184" i="26"/>
  <c r="B185" i="26"/>
  <c r="C185" i="26"/>
  <c r="D185" i="26"/>
  <c r="E185" i="26"/>
  <c r="B186" i="26"/>
  <c r="C186" i="26"/>
  <c r="D186" i="26"/>
  <c r="E186" i="26"/>
  <c r="B187" i="26"/>
  <c r="C187" i="26"/>
  <c r="D187" i="26"/>
  <c r="E187" i="26"/>
  <c r="B188" i="26"/>
  <c r="C188" i="26"/>
  <c r="D188" i="26"/>
  <c r="E188" i="26"/>
  <c r="B189" i="26"/>
  <c r="C189" i="26"/>
  <c r="D189" i="26"/>
  <c r="E189" i="26"/>
  <c r="B190" i="26"/>
  <c r="C190" i="26"/>
  <c r="D190" i="26"/>
  <c r="E190" i="26"/>
  <c r="B191" i="26"/>
  <c r="C191" i="26"/>
  <c r="D191" i="26"/>
  <c r="E191" i="26"/>
  <c r="B192" i="26"/>
  <c r="C192" i="26"/>
  <c r="D192" i="26"/>
  <c r="E192" i="26"/>
  <c r="B193" i="26"/>
  <c r="C193" i="26"/>
  <c r="D193" i="26"/>
  <c r="E193" i="26"/>
  <c r="B194" i="26"/>
  <c r="C194" i="26"/>
  <c r="D194" i="26"/>
  <c r="E194" i="26"/>
  <c r="B195" i="26"/>
  <c r="C195" i="26"/>
  <c r="D195" i="26"/>
  <c r="E195" i="26"/>
  <c r="B196" i="26"/>
  <c r="C196" i="26"/>
  <c r="D196" i="26"/>
  <c r="E196" i="26"/>
  <c r="B197" i="26"/>
  <c r="C197" i="26"/>
  <c r="D197" i="26"/>
  <c r="E197" i="26"/>
  <c r="B198" i="26"/>
  <c r="C198" i="26"/>
  <c r="D198" i="26"/>
  <c r="E198" i="26"/>
  <c r="B199" i="26"/>
  <c r="C199" i="26"/>
  <c r="D199" i="26"/>
  <c r="E199" i="26"/>
  <c r="B200" i="26"/>
  <c r="C200" i="26"/>
  <c r="D200" i="26"/>
  <c r="E200" i="26"/>
  <c r="B201" i="26"/>
  <c r="C201" i="26"/>
  <c r="D201" i="26"/>
  <c r="E201" i="26"/>
  <c r="B202" i="26"/>
  <c r="C202" i="26"/>
  <c r="D202" i="26"/>
  <c r="E202" i="26"/>
  <c r="B203" i="26"/>
  <c r="C203" i="26"/>
  <c r="D203" i="26"/>
  <c r="E203" i="26"/>
  <c r="B204" i="26"/>
  <c r="C204" i="26"/>
  <c r="D204" i="26"/>
  <c r="E204" i="26"/>
  <c r="B205" i="26"/>
  <c r="C205" i="26"/>
  <c r="D205" i="26"/>
  <c r="E205" i="26"/>
  <c r="B206" i="26"/>
  <c r="C206" i="26"/>
  <c r="D206" i="26"/>
  <c r="E206" i="26"/>
  <c r="B207" i="26"/>
  <c r="C207" i="26"/>
  <c r="D207" i="26"/>
  <c r="E207" i="26"/>
  <c r="B208" i="26"/>
  <c r="C208" i="26"/>
  <c r="D208" i="26"/>
  <c r="E208" i="26"/>
  <c r="B209" i="26"/>
  <c r="C209" i="26"/>
  <c r="D209" i="26"/>
  <c r="E209" i="26"/>
  <c r="B210" i="26"/>
  <c r="C210" i="26"/>
  <c r="D210" i="26"/>
  <c r="E210" i="26"/>
  <c r="B211" i="26"/>
  <c r="C211" i="26"/>
  <c r="D211" i="26"/>
  <c r="E211" i="26"/>
  <c r="B212" i="26"/>
  <c r="C212" i="26"/>
  <c r="D212" i="26"/>
  <c r="E212" i="26"/>
  <c r="B213" i="26"/>
  <c r="C213" i="26"/>
  <c r="D213" i="26"/>
  <c r="E213" i="26"/>
  <c r="B214" i="26"/>
  <c r="C214" i="26"/>
  <c r="D214" i="26"/>
  <c r="E214" i="26"/>
  <c r="B215" i="26"/>
  <c r="C215" i="26"/>
  <c r="D215" i="26"/>
  <c r="E215" i="26"/>
  <c r="B216" i="26"/>
  <c r="C216" i="26"/>
  <c r="D216" i="26"/>
  <c r="E216" i="26"/>
  <c r="B217" i="26"/>
  <c r="C217" i="26"/>
  <c r="D217" i="26"/>
  <c r="E217" i="26"/>
  <c r="B218" i="26"/>
  <c r="C218" i="26"/>
  <c r="D218" i="26"/>
  <c r="E218" i="26"/>
  <c r="B219" i="26"/>
  <c r="C219" i="26"/>
  <c r="D219" i="26"/>
  <c r="E219" i="26"/>
  <c r="B220" i="26"/>
  <c r="C220" i="26"/>
  <c r="D220" i="26"/>
  <c r="E220" i="26"/>
  <c r="B221" i="26"/>
  <c r="C221" i="26"/>
  <c r="D221" i="26"/>
  <c r="E221" i="26"/>
  <c r="B222" i="26"/>
  <c r="C222" i="26"/>
  <c r="D222" i="26"/>
  <c r="E222" i="26"/>
  <c r="B223" i="26"/>
  <c r="C223" i="26"/>
  <c r="D223" i="26"/>
  <c r="E223" i="26"/>
  <c r="B224" i="26"/>
  <c r="C224" i="26"/>
  <c r="D224" i="26"/>
  <c r="E224" i="26"/>
  <c r="B225" i="26"/>
  <c r="C225" i="26"/>
  <c r="D225" i="26"/>
  <c r="E225" i="26"/>
  <c r="B226" i="26"/>
  <c r="C226" i="26"/>
  <c r="D226" i="26"/>
  <c r="E226" i="26"/>
  <c r="B227" i="26"/>
  <c r="C227" i="26"/>
  <c r="D227" i="26"/>
  <c r="E227" i="26"/>
  <c r="B228" i="26"/>
  <c r="C228" i="26"/>
  <c r="D228" i="26"/>
  <c r="E228" i="26"/>
  <c r="B229" i="26"/>
  <c r="C229" i="26"/>
  <c r="D229" i="26"/>
  <c r="E229" i="26"/>
  <c r="B230" i="26"/>
  <c r="C230" i="26"/>
  <c r="D230" i="26"/>
  <c r="E230" i="26"/>
  <c r="B231" i="26"/>
  <c r="C231" i="26"/>
  <c r="D231" i="26"/>
  <c r="E231" i="26"/>
  <c r="B232" i="26"/>
  <c r="C232" i="26"/>
  <c r="D232" i="26"/>
  <c r="E232" i="26"/>
  <c r="B233" i="26"/>
  <c r="C233" i="26"/>
  <c r="D233" i="26"/>
  <c r="E233" i="26"/>
  <c r="B234" i="26"/>
  <c r="C234" i="26"/>
  <c r="D234" i="26"/>
  <c r="E234" i="26"/>
  <c r="B235" i="26"/>
  <c r="C235" i="26"/>
  <c r="D235" i="26"/>
  <c r="E235" i="26"/>
  <c r="B236" i="26"/>
  <c r="C236" i="26"/>
  <c r="D236" i="26"/>
  <c r="E236" i="26"/>
  <c r="B237" i="26"/>
  <c r="C237" i="26"/>
  <c r="D237" i="26"/>
  <c r="E237" i="26"/>
  <c r="B238" i="26"/>
  <c r="C238" i="26"/>
  <c r="D238" i="26"/>
  <c r="E238" i="26"/>
  <c r="B239" i="26"/>
  <c r="C239" i="26"/>
  <c r="D239" i="26"/>
  <c r="E239" i="26"/>
  <c r="B240" i="26"/>
  <c r="C240" i="26"/>
  <c r="D240" i="26"/>
  <c r="E240" i="26"/>
  <c r="B241" i="26"/>
  <c r="C241" i="26"/>
  <c r="D241" i="26"/>
  <c r="E241" i="26"/>
  <c r="B242" i="26"/>
  <c r="C242" i="26"/>
  <c r="D242" i="26"/>
  <c r="E242" i="26"/>
  <c r="B243" i="26"/>
  <c r="C243" i="26"/>
  <c r="D243" i="26"/>
  <c r="E243" i="26"/>
  <c r="B244" i="26"/>
  <c r="C244" i="26"/>
  <c r="D244" i="26"/>
  <c r="E244" i="26"/>
  <c r="B245" i="26"/>
  <c r="C245" i="26"/>
  <c r="D245" i="26"/>
  <c r="E245" i="26"/>
  <c r="B246" i="26"/>
  <c r="C246" i="26"/>
  <c r="D246" i="26"/>
  <c r="E246" i="26"/>
  <c r="B247" i="26"/>
  <c r="C247" i="26"/>
  <c r="D247" i="26"/>
  <c r="E247" i="26"/>
  <c r="B248" i="26"/>
  <c r="C248" i="26"/>
  <c r="D248" i="26"/>
  <c r="E248" i="26"/>
  <c r="B249" i="26"/>
  <c r="C249" i="26"/>
  <c r="D249" i="26"/>
  <c r="E249" i="26"/>
  <c r="B250" i="26"/>
  <c r="C250" i="26"/>
  <c r="D250" i="26"/>
  <c r="E250" i="26"/>
  <c r="B251" i="26"/>
  <c r="C251" i="26"/>
  <c r="D251" i="26"/>
  <c r="E251" i="26"/>
  <c r="B252" i="26"/>
  <c r="C252" i="26"/>
  <c r="D252" i="26"/>
  <c r="E252" i="26"/>
  <c r="B253" i="26"/>
  <c r="C253" i="26"/>
  <c r="D253" i="26"/>
  <c r="E253" i="26"/>
  <c r="B254" i="26"/>
  <c r="C254" i="26"/>
  <c r="D254" i="26"/>
  <c r="E254" i="26"/>
  <c r="B255" i="26"/>
  <c r="C255" i="26"/>
  <c r="D255" i="26"/>
  <c r="E255" i="26"/>
  <c r="B256" i="26"/>
  <c r="C256" i="26"/>
  <c r="D256" i="26"/>
  <c r="E256" i="26"/>
  <c r="B257" i="26"/>
  <c r="C257" i="26"/>
  <c r="D257" i="26"/>
  <c r="E257" i="26"/>
  <c r="B258" i="26"/>
  <c r="C258" i="26"/>
  <c r="D258" i="26"/>
  <c r="E258" i="26"/>
  <c r="B259" i="26"/>
  <c r="C259" i="26"/>
  <c r="D259" i="26"/>
  <c r="E259" i="26"/>
  <c r="B260" i="26"/>
  <c r="C260" i="26"/>
  <c r="D260" i="26"/>
  <c r="E260" i="26"/>
  <c r="B261" i="26"/>
  <c r="C261" i="26"/>
  <c r="D261" i="26"/>
  <c r="E261" i="26"/>
  <c r="B262" i="26"/>
  <c r="C262" i="26"/>
  <c r="D262" i="26"/>
  <c r="E262" i="26"/>
  <c r="B263" i="26"/>
  <c r="C263" i="26"/>
  <c r="D263" i="26"/>
  <c r="E263" i="26"/>
  <c r="B264" i="26"/>
  <c r="C264" i="26"/>
  <c r="D264" i="26"/>
  <c r="E264" i="26"/>
  <c r="B265" i="26"/>
  <c r="C265" i="26"/>
  <c r="D265" i="26"/>
  <c r="E265" i="26"/>
  <c r="B266" i="26"/>
  <c r="C266" i="26"/>
  <c r="D266" i="26"/>
  <c r="E266" i="26"/>
  <c r="B267" i="26"/>
  <c r="C267" i="26"/>
  <c r="D267" i="26"/>
  <c r="E267" i="26"/>
  <c r="B268" i="26"/>
  <c r="C268" i="26"/>
  <c r="D268" i="26"/>
  <c r="E268" i="26"/>
  <c r="B269" i="26"/>
  <c r="C269" i="26"/>
  <c r="D269" i="26"/>
  <c r="E269" i="26"/>
  <c r="B270" i="26"/>
  <c r="C270" i="26"/>
  <c r="D270" i="26"/>
  <c r="E270" i="26"/>
  <c r="B271" i="26"/>
  <c r="C271" i="26"/>
  <c r="D271" i="26"/>
  <c r="E271" i="26"/>
  <c r="B272" i="26"/>
  <c r="C272" i="26"/>
  <c r="D272" i="26"/>
  <c r="E272" i="26"/>
  <c r="B273" i="26"/>
  <c r="C273" i="26"/>
  <c r="D273" i="26"/>
  <c r="E273" i="26"/>
  <c r="B274" i="26"/>
  <c r="C274" i="26"/>
  <c r="D274" i="26"/>
  <c r="E274" i="26"/>
  <c r="B275" i="26"/>
  <c r="C275" i="26"/>
  <c r="D275" i="26"/>
  <c r="E275" i="26"/>
  <c r="B276" i="26"/>
  <c r="C276" i="26"/>
  <c r="D276" i="26"/>
  <c r="E276" i="26"/>
  <c r="B277" i="26"/>
  <c r="C277" i="26"/>
  <c r="D277" i="26"/>
  <c r="E277" i="26"/>
  <c r="B278" i="26"/>
  <c r="C278" i="26"/>
  <c r="D278" i="26"/>
  <c r="E278" i="26"/>
  <c r="B279" i="26"/>
  <c r="C279" i="26"/>
  <c r="D279" i="26"/>
  <c r="E279" i="26"/>
  <c r="B280" i="26"/>
  <c r="C280" i="26"/>
  <c r="D280" i="26"/>
  <c r="E280" i="26"/>
  <c r="B281" i="26"/>
  <c r="C281" i="26"/>
  <c r="D281" i="26"/>
  <c r="E281" i="26"/>
  <c r="B282" i="26"/>
  <c r="C282" i="26"/>
  <c r="D282" i="26"/>
  <c r="E282" i="26"/>
  <c r="B283" i="26"/>
  <c r="C283" i="26"/>
  <c r="D283" i="26"/>
  <c r="E283" i="26"/>
  <c r="B284" i="26"/>
  <c r="C284" i="26"/>
  <c r="D284" i="26"/>
  <c r="E284" i="26"/>
  <c r="B285" i="26"/>
  <c r="C285" i="26"/>
  <c r="D285" i="26"/>
  <c r="E285" i="26"/>
  <c r="B286" i="26"/>
  <c r="C286" i="26"/>
  <c r="D286" i="26"/>
  <c r="E286" i="26"/>
  <c r="B287" i="26"/>
  <c r="C287" i="26"/>
  <c r="D287" i="26"/>
  <c r="E287" i="26"/>
  <c r="B288" i="26"/>
  <c r="C288" i="26"/>
  <c r="D288" i="26"/>
  <c r="E288" i="26"/>
  <c r="B289" i="26"/>
  <c r="C289" i="26"/>
  <c r="D289" i="26"/>
  <c r="E289" i="26"/>
  <c r="B290" i="26"/>
  <c r="C290" i="26"/>
  <c r="D290" i="26"/>
  <c r="E290" i="26"/>
  <c r="B291" i="26"/>
  <c r="C291" i="26"/>
  <c r="D291" i="26"/>
  <c r="E291" i="26"/>
  <c r="B292" i="26"/>
  <c r="C292" i="26"/>
  <c r="D292" i="26"/>
  <c r="E292" i="26"/>
  <c r="B293" i="26"/>
  <c r="C293" i="26"/>
  <c r="D293" i="26"/>
  <c r="E293" i="26"/>
  <c r="B294" i="26"/>
  <c r="C294" i="26"/>
  <c r="D294" i="26"/>
  <c r="E294" i="26"/>
  <c r="B295" i="26"/>
  <c r="C295" i="26"/>
  <c r="D295" i="26"/>
  <c r="E295" i="26"/>
  <c r="B296" i="26"/>
  <c r="C296" i="26"/>
  <c r="D296" i="26"/>
  <c r="E296" i="26"/>
  <c r="B297" i="26"/>
  <c r="C297" i="26"/>
  <c r="D297" i="26"/>
  <c r="E297" i="26"/>
  <c r="B298" i="26"/>
  <c r="C298" i="26"/>
  <c r="D298" i="26"/>
  <c r="E298" i="26"/>
  <c r="B299" i="26"/>
  <c r="C299" i="26"/>
  <c r="D299" i="26"/>
  <c r="E299" i="26"/>
  <c r="B300" i="26"/>
  <c r="C300" i="26"/>
  <c r="D300" i="26"/>
  <c r="E300" i="26"/>
  <c r="B301" i="26"/>
  <c r="C301" i="26"/>
  <c r="D301" i="26"/>
  <c r="E301" i="26"/>
  <c r="B302" i="26"/>
  <c r="C302" i="26"/>
  <c r="D302" i="26"/>
  <c r="E302" i="26"/>
  <c r="B303" i="26"/>
  <c r="C303" i="26"/>
  <c r="D303" i="26"/>
  <c r="E303" i="26"/>
  <c r="B304" i="26"/>
  <c r="C304" i="26"/>
  <c r="D304" i="26"/>
  <c r="E304" i="26"/>
  <c r="B305" i="26"/>
  <c r="C305" i="26"/>
  <c r="D305" i="26"/>
  <c r="E305" i="26"/>
  <c r="B306" i="26"/>
  <c r="C306" i="26"/>
  <c r="D306" i="26"/>
  <c r="E306" i="26"/>
  <c r="B307" i="26"/>
  <c r="C307" i="26"/>
  <c r="D307" i="26"/>
  <c r="E307" i="26"/>
  <c r="B308" i="26"/>
  <c r="C308" i="26"/>
  <c r="D308" i="26"/>
  <c r="E308" i="26"/>
  <c r="B309" i="26"/>
  <c r="C309" i="26"/>
  <c r="D309" i="26"/>
  <c r="E309" i="26"/>
  <c r="B310" i="26"/>
  <c r="C310" i="26"/>
  <c r="D310" i="26"/>
  <c r="E310" i="26"/>
  <c r="B311" i="26"/>
  <c r="C311" i="26"/>
  <c r="D311" i="26"/>
  <c r="E311" i="26"/>
  <c r="B312" i="26"/>
  <c r="C312" i="26"/>
  <c r="D312" i="26"/>
  <c r="E312" i="26"/>
  <c r="B313" i="26"/>
  <c r="C313" i="26"/>
  <c r="D313" i="26"/>
  <c r="E313" i="26"/>
  <c r="B314" i="26"/>
  <c r="C314" i="26"/>
  <c r="D314" i="26"/>
  <c r="E314" i="26"/>
  <c r="B315" i="26"/>
  <c r="C315" i="26"/>
  <c r="D315" i="26"/>
  <c r="E315" i="26"/>
  <c r="B316" i="26"/>
  <c r="C316" i="26"/>
  <c r="D316" i="26"/>
  <c r="E316" i="26"/>
  <c r="B317" i="26"/>
  <c r="C317" i="26"/>
  <c r="D317" i="26"/>
  <c r="E317" i="26"/>
  <c r="B318" i="26"/>
  <c r="C318" i="26"/>
  <c r="D318" i="26"/>
  <c r="E318" i="26"/>
  <c r="B319" i="26"/>
  <c r="C319" i="26"/>
  <c r="D319" i="26"/>
  <c r="E319" i="26"/>
  <c r="B320" i="26"/>
  <c r="C320" i="26"/>
  <c r="D320" i="26"/>
  <c r="E320" i="26"/>
  <c r="B321" i="26"/>
  <c r="C321" i="26"/>
  <c r="D321" i="26"/>
  <c r="E321" i="26"/>
  <c r="B322" i="26"/>
  <c r="C322" i="26"/>
  <c r="D322" i="26"/>
  <c r="E322" i="26"/>
  <c r="B323" i="26"/>
  <c r="C323" i="26"/>
  <c r="D323" i="26"/>
  <c r="E323" i="26"/>
  <c r="B324" i="26"/>
  <c r="C324" i="26"/>
  <c r="D324" i="26"/>
  <c r="E324" i="26"/>
  <c r="B325" i="26"/>
  <c r="C325" i="26"/>
  <c r="D325" i="26"/>
  <c r="E325" i="26"/>
  <c r="B326" i="26"/>
  <c r="C326" i="26"/>
  <c r="D326" i="26"/>
  <c r="E326" i="26"/>
  <c r="B327" i="26"/>
  <c r="C327" i="26"/>
  <c r="D327" i="26"/>
  <c r="E327" i="26"/>
  <c r="B328" i="26"/>
  <c r="C328" i="26"/>
  <c r="D328" i="26"/>
  <c r="E328" i="26"/>
  <c r="B329" i="26"/>
  <c r="C329" i="26"/>
  <c r="D329" i="26"/>
  <c r="E329" i="26"/>
  <c r="B330" i="26"/>
  <c r="C330" i="26"/>
  <c r="D330" i="26"/>
  <c r="E330" i="26"/>
  <c r="B331" i="26"/>
  <c r="C331" i="26"/>
  <c r="D331" i="26"/>
  <c r="E331" i="26"/>
  <c r="B332" i="26"/>
  <c r="C332" i="26"/>
  <c r="D332" i="26"/>
  <c r="E332" i="26"/>
  <c r="B333" i="26"/>
  <c r="C333" i="26"/>
  <c r="D333" i="26"/>
  <c r="E333" i="26"/>
  <c r="B334" i="26"/>
  <c r="C334" i="26"/>
  <c r="D334" i="26"/>
  <c r="E334" i="26"/>
  <c r="B335" i="26"/>
  <c r="C335" i="26"/>
  <c r="D335" i="26"/>
  <c r="E335" i="26"/>
  <c r="B336" i="26"/>
  <c r="C336" i="26"/>
  <c r="D336" i="26"/>
  <c r="E336" i="26"/>
  <c r="B337" i="26"/>
  <c r="C337" i="26"/>
  <c r="D337" i="26"/>
  <c r="E337" i="26"/>
  <c r="B338" i="26"/>
  <c r="C338" i="26"/>
  <c r="D338" i="26"/>
  <c r="E338" i="26"/>
  <c r="B339" i="26"/>
  <c r="C339" i="26"/>
  <c r="D339" i="26"/>
  <c r="E339" i="26"/>
  <c r="B340" i="26"/>
  <c r="C340" i="26"/>
  <c r="D340" i="26"/>
  <c r="E340" i="26"/>
  <c r="B341" i="26"/>
  <c r="C341" i="26"/>
  <c r="D341" i="26"/>
  <c r="E341" i="26"/>
  <c r="B342" i="26"/>
  <c r="C342" i="26"/>
  <c r="D342" i="26"/>
  <c r="E342" i="26"/>
  <c r="B343" i="26"/>
  <c r="C343" i="26"/>
  <c r="D343" i="26"/>
  <c r="E343" i="26"/>
  <c r="B344" i="26"/>
  <c r="C344" i="26"/>
  <c r="D344" i="26"/>
  <c r="E344" i="26"/>
  <c r="B345" i="26"/>
  <c r="C345" i="26"/>
  <c r="D345" i="26"/>
  <c r="E345" i="26"/>
  <c r="B346" i="26"/>
  <c r="C346" i="26"/>
  <c r="D346" i="26"/>
  <c r="E346" i="26"/>
  <c r="B347" i="26"/>
  <c r="C347" i="26"/>
  <c r="D347" i="26"/>
  <c r="E347" i="26"/>
  <c r="B348" i="26"/>
  <c r="C348" i="26"/>
  <c r="D348" i="26"/>
  <c r="E348" i="26"/>
  <c r="B349" i="26"/>
  <c r="C349" i="26"/>
  <c r="D349" i="26"/>
  <c r="E349" i="26"/>
  <c r="B350" i="26"/>
  <c r="C350" i="26"/>
  <c r="D350" i="26"/>
  <c r="E350" i="26"/>
  <c r="B351" i="26"/>
  <c r="C351" i="26"/>
  <c r="D351" i="26"/>
  <c r="E351" i="26"/>
  <c r="B352" i="26"/>
  <c r="C352" i="26"/>
  <c r="D352" i="26"/>
  <c r="E352" i="26"/>
  <c r="B353" i="26"/>
  <c r="C353" i="26"/>
  <c r="D353" i="26"/>
  <c r="E353" i="26"/>
  <c r="B354" i="26"/>
  <c r="C354" i="26"/>
  <c r="D354" i="26"/>
  <c r="E354" i="26"/>
  <c r="B355" i="26"/>
  <c r="C355" i="26"/>
  <c r="D355" i="26"/>
  <c r="E355" i="26"/>
  <c r="B356" i="26"/>
  <c r="C356" i="26"/>
  <c r="D356" i="26"/>
  <c r="E356" i="26"/>
  <c r="B357" i="26"/>
  <c r="C357" i="26"/>
  <c r="D357" i="26"/>
  <c r="E357" i="26"/>
  <c r="B358" i="26"/>
  <c r="C358" i="26"/>
  <c r="D358" i="26"/>
  <c r="E358" i="26"/>
  <c r="B359" i="26"/>
  <c r="C359" i="26"/>
  <c r="D359" i="26"/>
  <c r="E359" i="26"/>
  <c r="B360" i="26"/>
  <c r="C360" i="26"/>
  <c r="D360" i="26"/>
  <c r="E360" i="26"/>
  <c r="B361" i="26"/>
  <c r="C361" i="26"/>
  <c r="D361" i="26"/>
  <c r="E361" i="26"/>
  <c r="B362" i="26"/>
  <c r="C362" i="26"/>
  <c r="D362" i="26"/>
  <c r="E362" i="26"/>
  <c r="B363" i="26"/>
  <c r="C363" i="26"/>
  <c r="D363" i="26"/>
  <c r="E363" i="26"/>
  <c r="B364" i="26"/>
  <c r="C364" i="26"/>
  <c r="D364" i="26"/>
  <c r="E364" i="26"/>
  <c r="B365" i="26"/>
  <c r="C365" i="26"/>
  <c r="D365" i="26"/>
  <c r="E365" i="26"/>
  <c r="B366" i="26"/>
  <c r="C366" i="26"/>
  <c r="D366" i="26"/>
  <c r="E366" i="26"/>
  <c r="B367" i="26"/>
  <c r="C367" i="26"/>
  <c r="D367" i="26"/>
  <c r="E367" i="26"/>
  <c r="B368" i="26"/>
  <c r="C368" i="26"/>
  <c r="D368" i="26"/>
  <c r="E368" i="26"/>
  <c r="B369" i="26"/>
  <c r="C369" i="26"/>
  <c r="D369" i="26"/>
  <c r="E369" i="26"/>
  <c r="B370" i="26"/>
  <c r="C370" i="26"/>
  <c r="D370" i="26"/>
  <c r="E370" i="26"/>
  <c r="B371" i="26"/>
  <c r="C371" i="26"/>
  <c r="D371" i="26"/>
  <c r="E371" i="26"/>
  <c r="B372" i="26"/>
  <c r="C372" i="26"/>
  <c r="D372" i="26"/>
  <c r="E372" i="26"/>
  <c r="B373" i="26"/>
  <c r="C373" i="26"/>
  <c r="D373" i="26"/>
  <c r="E373" i="26"/>
  <c r="B374" i="26"/>
  <c r="C374" i="26"/>
  <c r="D374" i="26"/>
  <c r="E374" i="26"/>
  <c r="B375" i="26"/>
  <c r="C375" i="26"/>
  <c r="D375" i="26"/>
  <c r="E375" i="26"/>
  <c r="B376" i="26"/>
  <c r="C376" i="26"/>
  <c r="D376" i="26"/>
  <c r="E376" i="26"/>
  <c r="B377" i="26"/>
  <c r="C377" i="26"/>
  <c r="D377" i="26"/>
  <c r="E377" i="26"/>
  <c r="B378" i="26"/>
  <c r="C378" i="26"/>
  <c r="D378" i="26"/>
  <c r="E378" i="26"/>
  <c r="B379" i="26"/>
  <c r="C379" i="26"/>
  <c r="D379" i="26"/>
  <c r="E379" i="26"/>
  <c r="B380" i="26"/>
  <c r="C380" i="26"/>
  <c r="D380" i="26"/>
  <c r="E380" i="26"/>
  <c r="B381" i="26"/>
  <c r="C381" i="26"/>
  <c r="D381" i="26"/>
  <c r="E381" i="26"/>
  <c r="B382" i="26"/>
  <c r="C382" i="26"/>
  <c r="D382" i="26"/>
  <c r="E382" i="26"/>
  <c r="B383" i="26"/>
  <c r="C383" i="26"/>
  <c r="D383" i="26"/>
  <c r="E383" i="26"/>
  <c r="B384" i="26"/>
  <c r="C384" i="26"/>
  <c r="D384" i="26"/>
  <c r="E384" i="26"/>
  <c r="B385" i="26"/>
  <c r="C385" i="26"/>
  <c r="D385" i="26"/>
  <c r="E385" i="26"/>
  <c r="B386" i="26"/>
  <c r="C386" i="26"/>
  <c r="D386" i="26"/>
  <c r="E386" i="26"/>
  <c r="B387" i="26"/>
  <c r="C387" i="26"/>
  <c r="D387" i="26"/>
  <c r="E387" i="26"/>
  <c r="B388" i="26"/>
  <c r="C388" i="26"/>
  <c r="D388" i="26"/>
  <c r="E388" i="26"/>
  <c r="B389" i="26"/>
  <c r="C389" i="26"/>
  <c r="D389" i="26"/>
  <c r="E389" i="26"/>
  <c r="B390" i="26"/>
  <c r="C390" i="26"/>
  <c r="D390" i="26"/>
  <c r="E390" i="26"/>
  <c r="B391" i="26"/>
  <c r="C391" i="26"/>
  <c r="D391" i="26"/>
  <c r="E391" i="26"/>
  <c r="B392" i="26"/>
  <c r="C392" i="26"/>
  <c r="D392" i="26"/>
  <c r="E392" i="26"/>
  <c r="B393" i="26"/>
  <c r="C393" i="26"/>
  <c r="D393" i="26"/>
  <c r="E393" i="26"/>
  <c r="B394" i="26"/>
  <c r="C394" i="26"/>
  <c r="D394" i="26"/>
  <c r="E394" i="26"/>
  <c r="B395" i="26"/>
  <c r="C395" i="26"/>
  <c r="D395" i="26"/>
  <c r="E395" i="26"/>
  <c r="B396" i="26"/>
  <c r="C396" i="26"/>
  <c r="D396" i="26"/>
  <c r="E396" i="26"/>
  <c r="B397" i="26"/>
  <c r="C397" i="26"/>
  <c r="D397" i="26"/>
  <c r="E397" i="26"/>
  <c r="B398" i="26"/>
  <c r="C398" i="26"/>
  <c r="D398" i="26"/>
  <c r="E398" i="26"/>
  <c r="B399" i="26"/>
  <c r="C399" i="26"/>
  <c r="D399" i="26"/>
  <c r="E399" i="26"/>
  <c r="B400" i="26"/>
  <c r="C400" i="26"/>
  <c r="D400" i="26"/>
  <c r="E400" i="26"/>
  <c r="B401" i="26"/>
  <c r="C401" i="26"/>
  <c r="D401" i="26"/>
  <c r="E401" i="26"/>
  <c r="B402" i="26"/>
  <c r="C402" i="26"/>
  <c r="D402" i="26"/>
  <c r="E402" i="26"/>
  <c r="B403" i="26"/>
  <c r="C403" i="26"/>
  <c r="D403" i="26"/>
  <c r="E403" i="26"/>
  <c r="B404" i="26"/>
  <c r="C404" i="26"/>
  <c r="D404" i="26"/>
  <c r="E404" i="26"/>
  <c r="B405" i="26"/>
  <c r="C405" i="26"/>
  <c r="D405" i="26"/>
  <c r="E405" i="26"/>
  <c r="B406" i="26"/>
  <c r="C406" i="26"/>
  <c r="D406" i="26"/>
  <c r="E406" i="26"/>
  <c r="B407" i="26"/>
  <c r="C407" i="26"/>
  <c r="D407" i="26"/>
  <c r="E407" i="26"/>
  <c r="B408" i="26"/>
  <c r="C408" i="26"/>
  <c r="D408" i="26"/>
  <c r="E408" i="26"/>
  <c r="B409" i="26"/>
  <c r="C409" i="26"/>
  <c r="D409" i="26"/>
  <c r="E409" i="26"/>
  <c r="B410" i="26"/>
  <c r="C410" i="26"/>
  <c r="D410" i="26"/>
  <c r="E410" i="26"/>
  <c r="B411" i="26"/>
  <c r="C411" i="26"/>
  <c r="D411" i="26"/>
  <c r="E411" i="26"/>
  <c r="B412" i="26"/>
  <c r="C412" i="26"/>
  <c r="D412" i="26"/>
  <c r="E412" i="26"/>
  <c r="B413" i="26"/>
  <c r="C413" i="26"/>
  <c r="D413" i="26"/>
  <c r="E413" i="26"/>
  <c r="B414" i="26"/>
  <c r="C414" i="26"/>
  <c r="D414" i="26"/>
  <c r="E414" i="26"/>
  <c r="B415" i="26"/>
  <c r="C415" i="26"/>
  <c r="D415" i="26"/>
  <c r="E415" i="26"/>
  <c r="B416" i="26"/>
  <c r="C416" i="26"/>
  <c r="D416" i="26"/>
  <c r="E416" i="26"/>
  <c r="B417" i="26"/>
  <c r="C417" i="26"/>
  <c r="D417" i="26"/>
  <c r="E417" i="26"/>
  <c r="B418" i="26"/>
  <c r="C418" i="26"/>
  <c r="D418" i="26"/>
  <c r="E418" i="26"/>
  <c r="B419" i="26"/>
  <c r="C419" i="26"/>
  <c r="D419" i="26"/>
  <c r="E419" i="26"/>
  <c r="B420" i="26"/>
  <c r="C420" i="26"/>
  <c r="D420" i="26"/>
  <c r="E420" i="26"/>
  <c r="B421" i="26"/>
  <c r="C421" i="26"/>
  <c r="D421" i="26"/>
  <c r="E421" i="26"/>
  <c r="B422" i="26"/>
  <c r="C422" i="26"/>
  <c r="D422" i="26"/>
  <c r="E422" i="26"/>
  <c r="B423" i="26"/>
  <c r="C423" i="26"/>
  <c r="D423" i="26"/>
  <c r="E423" i="26"/>
  <c r="H112" i="26"/>
  <c r="I112" i="26"/>
  <c r="J112" i="26"/>
  <c r="K112" i="26"/>
  <c r="H113" i="26"/>
  <c r="I113" i="26"/>
  <c r="J113" i="26"/>
  <c r="K113" i="26"/>
  <c r="H114" i="26"/>
  <c r="I114" i="26"/>
  <c r="J114" i="26"/>
  <c r="K114" i="26"/>
  <c r="H115" i="26"/>
  <c r="I115" i="26"/>
  <c r="J115" i="26"/>
  <c r="K115" i="26"/>
  <c r="H116" i="26"/>
  <c r="I116" i="26"/>
  <c r="J116" i="26"/>
  <c r="K116" i="26"/>
  <c r="H117" i="26"/>
  <c r="I117" i="26"/>
  <c r="J117" i="26"/>
  <c r="K117" i="26"/>
  <c r="H118" i="26"/>
  <c r="I118" i="26"/>
  <c r="J118" i="26"/>
  <c r="K118" i="26"/>
  <c r="H119" i="26"/>
  <c r="I119" i="26"/>
  <c r="J119" i="26"/>
  <c r="K119" i="26"/>
  <c r="H120" i="26"/>
  <c r="I120" i="26"/>
  <c r="J120" i="26"/>
  <c r="K120" i="26"/>
  <c r="H121" i="26"/>
  <c r="I121" i="26"/>
  <c r="J121" i="26"/>
  <c r="K121" i="26"/>
  <c r="H122" i="26"/>
  <c r="I122" i="26"/>
  <c r="J122" i="26"/>
  <c r="K122" i="26"/>
  <c r="H123" i="26"/>
  <c r="I123" i="26"/>
  <c r="J123" i="26"/>
  <c r="K123" i="26"/>
  <c r="H124" i="26"/>
  <c r="I124" i="26"/>
  <c r="J124" i="26"/>
  <c r="K124" i="26"/>
  <c r="H125" i="26"/>
  <c r="I125" i="26"/>
  <c r="J125" i="26"/>
  <c r="K125" i="26"/>
  <c r="H126" i="26"/>
  <c r="I126" i="26"/>
  <c r="J126" i="26"/>
  <c r="K126" i="26"/>
  <c r="H127" i="26"/>
  <c r="I127" i="26"/>
  <c r="J127" i="26"/>
  <c r="K127" i="26"/>
  <c r="H128" i="26"/>
  <c r="I128" i="26"/>
  <c r="J128" i="26"/>
  <c r="K128" i="26"/>
  <c r="H129" i="26"/>
  <c r="I129" i="26"/>
  <c r="J129" i="26"/>
  <c r="K129" i="26"/>
  <c r="H130" i="26"/>
  <c r="I130" i="26"/>
  <c r="J130" i="26"/>
  <c r="K130" i="26"/>
  <c r="H131" i="26"/>
  <c r="I131" i="26"/>
  <c r="J131" i="26"/>
  <c r="K131" i="26"/>
  <c r="H132" i="26"/>
  <c r="I132" i="26"/>
  <c r="J132" i="26"/>
  <c r="K132" i="26"/>
  <c r="H133" i="26"/>
  <c r="I133" i="26"/>
  <c r="J133" i="26"/>
  <c r="K133" i="26"/>
  <c r="H134" i="26"/>
  <c r="I134" i="26"/>
  <c r="J134" i="26"/>
  <c r="K134" i="26"/>
  <c r="H135" i="26"/>
  <c r="I135" i="26"/>
  <c r="J135" i="26"/>
  <c r="K135" i="26"/>
  <c r="H136" i="26"/>
  <c r="I136" i="26"/>
  <c r="J136" i="26"/>
  <c r="K136" i="26"/>
  <c r="H137" i="26"/>
  <c r="I137" i="26"/>
  <c r="J137" i="26"/>
  <c r="K137" i="26"/>
  <c r="H138" i="26"/>
  <c r="I138" i="26"/>
  <c r="J138" i="26"/>
  <c r="K138" i="26"/>
  <c r="H139" i="26"/>
  <c r="I139" i="26"/>
  <c r="J139" i="26"/>
  <c r="K139" i="26"/>
  <c r="H140" i="26"/>
  <c r="I140" i="26"/>
  <c r="J140" i="26"/>
  <c r="K140" i="26"/>
  <c r="H141" i="26"/>
  <c r="I141" i="26"/>
  <c r="J141" i="26"/>
  <c r="K141" i="26"/>
  <c r="H142" i="26"/>
  <c r="I142" i="26"/>
  <c r="J142" i="26"/>
  <c r="K142" i="26"/>
  <c r="H143" i="26"/>
  <c r="I143" i="26"/>
  <c r="J143" i="26"/>
  <c r="K143" i="26"/>
  <c r="H144" i="26"/>
  <c r="I144" i="26"/>
  <c r="J144" i="26"/>
  <c r="K144" i="26"/>
  <c r="H145" i="26"/>
  <c r="I145" i="26"/>
  <c r="J145" i="26"/>
  <c r="K145" i="26"/>
  <c r="H146" i="26"/>
  <c r="I146" i="26"/>
  <c r="J146" i="26"/>
  <c r="K146" i="26"/>
  <c r="H147" i="26"/>
  <c r="I147" i="26"/>
  <c r="J147" i="26"/>
  <c r="K147" i="26"/>
  <c r="H148" i="26"/>
  <c r="I148" i="26"/>
  <c r="J148" i="26"/>
  <c r="K148" i="26"/>
  <c r="H149" i="26"/>
  <c r="I149" i="26"/>
  <c r="J149" i="26"/>
  <c r="K149" i="26"/>
  <c r="H150" i="26"/>
  <c r="I150" i="26"/>
  <c r="J150" i="26"/>
  <c r="K150" i="26"/>
  <c r="H151" i="26"/>
  <c r="I151" i="26"/>
  <c r="J151" i="26"/>
  <c r="K151" i="26"/>
  <c r="H152" i="26"/>
  <c r="I152" i="26"/>
  <c r="J152" i="26"/>
  <c r="K152" i="26"/>
  <c r="H153" i="26"/>
  <c r="I153" i="26"/>
  <c r="J153" i="26"/>
  <c r="K153" i="26"/>
  <c r="H154" i="26"/>
  <c r="I154" i="26"/>
  <c r="J154" i="26"/>
  <c r="K154" i="26"/>
  <c r="H155" i="26"/>
  <c r="I155" i="26"/>
  <c r="J155" i="26"/>
  <c r="K155" i="26"/>
  <c r="H156" i="26"/>
  <c r="I156" i="26"/>
  <c r="J156" i="26"/>
  <c r="K156" i="26"/>
  <c r="H157" i="26"/>
  <c r="I157" i="26"/>
  <c r="J157" i="26"/>
  <c r="K157" i="26"/>
  <c r="H158" i="26"/>
  <c r="I158" i="26"/>
  <c r="J158" i="26"/>
  <c r="K158" i="26"/>
  <c r="H159" i="26"/>
  <c r="I159" i="26"/>
  <c r="J159" i="26"/>
  <c r="K159" i="26"/>
  <c r="H160" i="26"/>
  <c r="I160" i="26"/>
  <c r="J160" i="26"/>
  <c r="K160" i="26"/>
  <c r="H161" i="26"/>
  <c r="I161" i="26"/>
  <c r="J161" i="26"/>
  <c r="K161" i="26"/>
  <c r="H162" i="26"/>
  <c r="I162" i="26"/>
  <c r="J162" i="26"/>
  <c r="K162" i="26"/>
  <c r="H163" i="26"/>
  <c r="I163" i="26"/>
  <c r="J163" i="26"/>
  <c r="K163" i="26"/>
  <c r="H164" i="26"/>
  <c r="I164" i="26"/>
  <c r="J164" i="26"/>
  <c r="K164" i="26"/>
  <c r="H165" i="26"/>
  <c r="I165" i="26"/>
  <c r="J165" i="26"/>
  <c r="K165" i="26"/>
  <c r="H166" i="26"/>
  <c r="I166" i="26"/>
  <c r="J166" i="26"/>
  <c r="K166" i="26"/>
  <c r="H167" i="26"/>
  <c r="I167" i="26"/>
  <c r="J167" i="26"/>
  <c r="K167" i="26"/>
  <c r="H168" i="26"/>
  <c r="I168" i="26"/>
  <c r="J168" i="26"/>
  <c r="K168" i="26"/>
  <c r="H169" i="26"/>
  <c r="I169" i="26"/>
  <c r="J169" i="26"/>
  <c r="K169" i="26"/>
  <c r="H170" i="26"/>
  <c r="I170" i="26"/>
  <c r="J170" i="26"/>
  <c r="K170" i="26"/>
  <c r="H171" i="26"/>
  <c r="I171" i="26"/>
  <c r="J171" i="26"/>
  <c r="K171" i="26"/>
  <c r="H172" i="26"/>
  <c r="I172" i="26"/>
  <c r="J172" i="26"/>
  <c r="K172" i="26"/>
  <c r="H173" i="26"/>
  <c r="I173" i="26"/>
  <c r="J173" i="26"/>
  <c r="K173" i="26"/>
  <c r="H174" i="26"/>
  <c r="I174" i="26"/>
  <c r="J174" i="26"/>
  <c r="K174" i="26"/>
  <c r="H175" i="26"/>
  <c r="I175" i="26"/>
  <c r="J175" i="26"/>
  <c r="K175" i="26"/>
  <c r="H176" i="26"/>
  <c r="I176" i="26"/>
  <c r="J176" i="26"/>
  <c r="K176" i="26"/>
  <c r="H177" i="26"/>
  <c r="I177" i="26"/>
  <c r="J177" i="26"/>
  <c r="K177" i="26"/>
  <c r="H178" i="26"/>
  <c r="I178" i="26"/>
  <c r="J178" i="26"/>
  <c r="K178" i="26"/>
  <c r="H179" i="26"/>
  <c r="I179" i="26"/>
  <c r="J179" i="26"/>
  <c r="K179" i="26"/>
  <c r="H180" i="26"/>
  <c r="I180" i="26"/>
  <c r="J180" i="26"/>
  <c r="K180" i="26"/>
  <c r="H181" i="26"/>
  <c r="I181" i="26"/>
  <c r="J181" i="26"/>
  <c r="K181" i="26"/>
  <c r="H182" i="26"/>
  <c r="I182" i="26"/>
  <c r="J182" i="26"/>
  <c r="K182" i="26"/>
  <c r="H183" i="26"/>
  <c r="I183" i="26"/>
  <c r="J183" i="26"/>
  <c r="K183" i="26"/>
  <c r="H184" i="26"/>
  <c r="I184" i="26"/>
  <c r="J184" i="26"/>
  <c r="K184" i="26"/>
  <c r="H185" i="26"/>
  <c r="I185" i="26"/>
  <c r="J185" i="26"/>
  <c r="K185" i="26"/>
  <c r="H186" i="26"/>
  <c r="I186" i="26"/>
  <c r="J186" i="26"/>
  <c r="K186" i="26"/>
  <c r="H187" i="26"/>
  <c r="I187" i="26"/>
  <c r="J187" i="26"/>
  <c r="K187" i="26"/>
  <c r="H188" i="26"/>
  <c r="I188" i="26"/>
  <c r="J188" i="26"/>
  <c r="K188" i="26"/>
  <c r="H189" i="26"/>
  <c r="I189" i="26"/>
  <c r="J189" i="26"/>
  <c r="K189" i="26"/>
  <c r="H190" i="26"/>
  <c r="I190" i="26"/>
  <c r="J190" i="26"/>
  <c r="K190" i="26"/>
  <c r="H191" i="26"/>
  <c r="I191" i="26"/>
  <c r="J191" i="26"/>
  <c r="K191" i="26"/>
  <c r="H192" i="26"/>
  <c r="I192" i="26"/>
  <c r="J192" i="26"/>
  <c r="K192" i="26"/>
  <c r="H193" i="26"/>
  <c r="I193" i="26"/>
  <c r="J193" i="26"/>
  <c r="K193" i="26"/>
  <c r="H194" i="26"/>
  <c r="I194" i="26"/>
  <c r="J194" i="26"/>
  <c r="K194" i="26"/>
  <c r="H195" i="26"/>
  <c r="I195" i="26"/>
  <c r="J195" i="26"/>
  <c r="K195" i="26"/>
  <c r="H196" i="26"/>
  <c r="I196" i="26"/>
  <c r="J196" i="26"/>
  <c r="K196" i="26"/>
  <c r="H197" i="26"/>
  <c r="I197" i="26"/>
  <c r="J197" i="26"/>
  <c r="K197" i="26"/>
  <c r="H198" i="26"/>
  <c r="I198" i="26"/>
  <c r="J198" i="26"/>
  <c r="K198" i="26"/>
  <c r="H199" i="26"/>
  <c r="I199" i="26"/>
  <c r="J199" i="26"/>
  <c r="K199" i="26"/>
  <c r="H200" i="26"/>
  <c r="I200" i="26"/>
  <c r="J200" i="26"/>
  <c r="K200" i="26"/>
  <c r="H201" i="26"/>
  <c r="I201" i="26"/>
  <c r="J201" i="26"/>
  <c r="K201" i="26"/>
  <c r="H202" i="26"/>
  <c r="I202" i="26"/>
  <c r="J202" i="26"/>
  <c r="K202" i="26"/>
  <c r="H203" i="26"/>
  <c r="I203" i="26"/>
  <c r="J203" i="26"/>
  <c r="K203" i="26"/>
  <c r="H204" i="26"/>
  <c r="I204" i="26"/>
  <c r="J204" i="26"/>
  <c r="K204" i="26"/>
  <c r="H205" i="26"/>
  <c r="I205" i="26"/>
  <c r="J205" i="26"/>
  <c r="K205" i="26"/>
  <c r="H206" i="26"/>
  <c r="I206" i="26"/>
  <c r="J206" i="26"/>
  <c r="K206" i="26"/>
  <c r="H207" i="26"/>
  <c r="I207" i="26"/>
  <c r="J207" i="26"/>
  <c r="K207" i="26"/>
  <c r="H208" i="26"/>
  <c r="I208" i="26"/>
  <c r="J208" i="26"/>
  <c r="K208" i="26"/>
  <c r="H209" i="26"/>
  <c r="I209" i="26"/>
  <c r="J209" i="26"/>
  <c r="K209" i="26"/>
  <c r="H210" i="26"/>
  <c r="I210" i="26"/>
  <c r="J210" i="26"/>
  <c r="K210" i="26"/>
  <c r="H211" i="26"/>
  <c r="I211" i="26"/>
  <c r="J211" i="26"/>
  <c r="K211" i="26"/>
  <c r="H212" i="26"/>
  <c r="I212" i="26"/>
  <c r="J212" i="26"/>
  <c r="K212" i="26"/>
  <c r="H213" i="26"/>
  <c r="I213" i="26"/>
  <c r="J213" i="26"/>
  <c r="K213" i="26"/>
  <c r="H214" i="26"/>
  <c r="I214" i="26"/>
  <c r="J214" i="26"/>
  <c r="K214" i="26"/>
  <c r="H215" i="26"/>
  <c r="I215" i="26"/>
  <c r="J215" i="26"/>
  <c r="K215" i="26"/>
  <c r="H216" i="26"/>
  <c r="I216" i="26"/>
  <c r="J216" i="26"/>
  <c r="K216" i="26"/>
  <c r="H217" i="26"/>
  <c r="I217" i="26"/>
  <c r="J217" i="26"/>
  <c r="K217" i="26"/>
  <c r="H218" i="26"/>
  <c r="I218" i="26"/>
  <c r="J218" i="26"/>
  <c r="K218" i="26"/>
  <c r="H219" i="26"/>
  <c r="I219" i="26"/>
  <c r="J219" i="26"/>
  <c r="K219" i="26"/>
  <c r="H220" i="26"/>
  <c r="I220" i="26"/>
  <c r="J220" i="26"/>
  <c r="K220" i="26"/>
  <c r="H221" i="26"/>
  <c r="I221" i="26"/>
  <c r="J221" i="26"/>
  <c r="K221" i="26"/>
  <c r="H222" i="26"/>
  <c r="I222" i="26"/>
  <c r="J222" i="26"/>
  <c r="K222" i="26"/>
  <c r="H223" i="26"/>
  <c r="I223" i="26"/>
  <c r="J223" i="26"/>
  <c r="K223" i="26"/>
  <c r="H224" i="26"/>
  <c r="I224" i="26"/>
  <c r="J224" i="26"/>
  <c r="K224" i="26"/>
  <c r="H225" i="26"/>
  <c r="I225" i="26"/>
  <c r="J225" i="26"/>
  <c r="K225" i="26"/>
  <c r="H226" i="26"/>
  <c r="I226" i="26"/>
  <c r="J226" i="26"/>
  <c r="K226" i="26"/>
  <c r="H227" i="26"/>
  <c r="I227" i="26"/>
  <c r="J227" i="26"/>
  <c r="K227" i="26"/>
  <c r="H228" i="26"/>
  <c r="I228" i="26"/>
  <c r="J228" i="26"/>
  <c r="K228" i="26"/>
  <c r="H229" i="26"/>
  <c r="I229" i="26"/>
  <c r="J229" i="26"/>
  <c r="K229" i="26"/>
  <c r="H230" i="26"/>
  <c r="I230" i="26"/>
  <c r="J230" i="26"/>
  <c r="K230" i="26"/>
  <c r="H231" i="26"/>
  <c r="I231" i="26"/>
  <c r="J231" i="26"/>
  <c r="K231" i="26"/>
  <c r="H232" i="26"/>
  <c r="I232" i="26"/>
  <c r="J232" i="26"/>
  <c r="K232" i="26"/>
  <c r="H233" i="26"/>
  <c r="I233" i="26"/>
  <c r="J233" i="26"/>
  <c r="K233" i="26"/>
  <c r="H234" i="26"/>
  <c r="I234" i="26"/>
  <c r="J234" i="26"/>
  <c r="K234" i="26"/>
  <c r="H235" i="26"/>
  <c r="I235" i="26"/>
  <c r="J235" i="26"/>
  <c r="K235" i="26"/>
  <c r="H236" i="26"/>
  <c r="I236" i="26"/>
  <c r="J236" i="26"/>
  <c r="K236" i="26"/>
  <c r="H237" i="26"/>
  <c r="I237" i="26"/>
  <c r="J237" i="26"/>
  <c r="K237" i="26"/>
  <c r="H238" i="26"/>
  <c r="I238" i="26"/>
  <c r="J238" i="26"/>
  <c r="K238" i="26"/>
  <c r="H239" i="26"/>
  <c r="I239" i="26"/>
  <c r="J239" i="26"/>
  <c r="K239" i="26"/>
  <c r="H240" i="26"/>
  <c r="I240" i="26"/>
  <c r="J240" i="26"/>
  <c r="K240" i="26"/>
  <c r="H241" i="26"/>
  <c r="I241" i="26"/>
  <c r="J241" i="26"/>
  <c r="K241" i="26"/>
  <c r="H242" i="26"/>
  <c r="I242" i="26"/>
  <c r="J242" i="26"/>
  <c r="K242" i="26"/>
  <c r="H243" i="26"/>
  <c r="I243" i="26"/>
  <c r="J243" i="26"/>
  <c r="K243" i="26"/>
  <c r="H244" i="26"/>
  <c r="I244" i="26"/>
  <c r="J244" i="26"/>
  <c r="K244" i="26"/>
  <c r="H245" i="26"/>
  <c r="I245" i="26"/>
  <c r="J245" i="26"/>
  <c r="K245" i="26"/>
  <c r="H246" i="26"/>
  <c r="I246" i="26"/>
  <c r="J246" i="26"/>
  <c r="K246" i="26"/>
  <c r="H247" i="26"/>
  <c r="I247" i="26"/>
  <c r="J247" i="26"/>
  <c r="K247" i="26"/>
  <c r="H248" i="26"/>
  <c r="I248" i="26"/>
  <c r="J248" i="26"/>
  <c r="K248" i="26"/>
  <c r="H249" i="26"/>
  <c r="I249" i="26"/>
  <c r="J249" i="26"/>
  <c r="K249" i="26"/>
  <c r="H250" i="26"/>
  <c r="I250" i="26"/>
  <c r="J250" i="26"/>
  <c r="K250" i="26"/>
  <c r="H251" i="26"/>
  <c r="I251" i="26"/>
  <c r="J251" i="26"/>
  <c r="K251" i="26"/>
  <c r="H252" i="26"/>
  <c r="I252" i="26"/>
  <c r="J252" i="26"/>
  <c r="K252" i="26"/>
  <c r="H253" i="26"/>
  <c r="I253" i="26"/>
  <c r="J253" i="26"/>
  <c r="K253" i="26"/>
  <c r="H254" i="26"/>
  <c r="I254" i="26"/>
  <c r="J254" i="26"/>
  <c r="K254" i="26"/>
  <c r="H255" i="26"/>
  <c r="I255" i="26"/>
  <c r="J255" i="26"/>
  <c r="K255" i="26"/>
  <c r="H256" i="26"/>
  <c r="I256" i="26"/>
  <c r="J256" i="26"/>
  <c r="K256" i="26"/>
  <c r="H257" i="26"/>
  <c r="I257" i="26"/>
  <c r="J257" i="26"/>
  <c r="K257" i="26"/>
  <c r="H258" i="26"/>
  <c r="I258" i="26"/>
  <c r="J258" i="26"/>
  <c r="K258" i="26"/>
  <c r="H259" i="26"/>
  <c r="I259" i="26"/>
  <c r="J259" i="26"/>
  <c r="K259" i="26"/>
  <c r="H260" i="26"/>
  <c r="I260" i="26"/>
  <c r="J260" i="26"/>
  <c r="K260" i="26"/>
  <c r="H261" i="26"/>
  <c r="I261" i="26"/>
  <c r="J261" i="26"/>
  <c r="K261" i="26"/>
  <c r="H262" i="26"/>
  <c r="I262" i="26"/>
  <c r="J262" i="26"/>
  <c r="K262" i="26"/>
  <c r="H263" i="26"/>
  <c r="I263" i="26"/>
  <c r="J263" i="26"/>
  <c r="K263" i="26"/>
  <c r="H264" i="26"/>
  <c r="I264" i="26"/>
  <c r="J264" i="26"/>
  <c r="K264" i="26"/>
  <c r="H265" i="26"/>
  <c r="I265" i="26"/>
  <c r="J265" i="26"/>
  <c r="K265" i="26"/>
  <c r="H266" i="26"/>
  <c r="I266" i="26"/>
  <c r="J266" i="26"/>
  <c r="K266" i="26"/>
  <c r="H267" i="26"/>
  <c r="I267" i="26"/>
  <c r="J267" i="26"/>
  <c r="K267" i="26"/>
  <c r="H268" i="26"/>
  <c r="I268" i="26"/>
  <c r="J268" i="26"/>
  <c r="K268" i="26"/>
  <c r="H269" i="26"/>
  <c r="I269" i="26"/>
  <c r="J269" i="26"/>
  <c r="K269" i="26"/>
  <c r="H270" i="26"/>
  <c r="I270" i="26"/>
  <c r="J270" i="26"/>
  <c r="K270" i="26"/>
  <c r="H271" i="26"/>
  <c r="I271" i="26"/>
  <c r="J271" i="26"/>
  <c r="K271" i="26"/>
  <c r="H272" i="26"/>
  <c r="I272" i="26"/>
  <c r="J272" i="26"/>
  <c r="K272" i="26"/>
  <c r="H273" i="26"/>
  <c r="I273" i="26"/>
  <c r="J273" i="26"/>
  <c r="K273" i="26"/>
  <c r="H274" i="26"/>
  <c r="I274" i="26"/>
  <c r="J274" i="26"/>
  <c r="K274" i="26"/>
  <c r="H275" i="26"/>
  <c r="I275" i="26"/>
  <c r="J275" i="26"/>
  <c r="K275" i="26"/>
  <c r="H276" i="26"/>
  <c r="I276" i="26"/>
  <c r="J276" i="26"/>
  <c r="K276" i="26"/>
  <c r="H277" i="26"/>
  <c r="I277" i="26"/>
  <c r="J277" i="26"/>
  <c r="K277" i="26"/>
  <c r="H278" i="26"/>
  <c r="I278" i="26"/>
  <c r="J278" i="26"/>
  <c r="K278" i="26"/>
  <c r="H279" i="26"/>
  <c r="I279" i="26"/>
  <c r="J279" i="26"/>
  <c r="K279" i="26"/>
  <c r="H280" i="26"/>
  <c r="I280" i="26"/>
  <c r="J280" i="26"/>
  <c r="K280" i="26"/>
  <c r="H281" i="26"/>
  <c r="I281" i="26"/>
  <c r="J281" i="26"/>
  <c r="K281" i="26"/>
  <c r="H282" i="26"/>
  <c r="I282" i="26"/>
  <c r="J282" i="26"/>
  <c r="K282" i="26"/>
  <c r="H283" i="26"/>
  <c r="I283" i="26"/>
  <c r="J283" i="26"/>
  <c r="K283" i="26"/>
  <c r="H284" i="26"/>
  <c r="I284" i="26"/>
  <c r="J284" i="26"/>
  <c r="K284" i="26"/>
  <c r="H285" i="26"/>
  <c r="I285" i="26"/>
  <c r="J285" i="26"/>
  <c r="K285" i="26"/>
  <c r="H286" i="26"/>
  <c r="I286" i="26"/>
  <c r="J286" i="26"/>
  <c r="K286" i="26"/>
  <c r="H287" i="26"/>
  <c r="I287" i="26"/>
  <c r="J287" i="26"/>
  <c r="K287" i="26"/>
  <c r="H288" i="26"/>
  <c r="I288" i="26"/>
  <c r="J288" i="26"/>
  <c r="K288" i="26"/>
  <c r="H289" i="26"/>
  <c r="I289" i="26"/>
  <c r="J289" i="26"/>
  <c r="K289" i="26"/>
  <c r="H290" i="26"/>
  <c r="I290" i="26"/>
  <c r="J290" i="26"/>
  <c r="K290" i="26"/>
  <c r="H291" i="26"/>
  <c r="I291" i="26"/>
  <c r="J291" i="26"/>
  <c r="K291" i="26"/>
  <c r="H292" i="26"/>
  <c r="I292" i="26"/>
  <c r="J292" i="26"/>
  <c r="K292" i="26"/>
  <c r="H293" i="26"/>
  <c r="I293" i="26"/>
  <c r="J293" i="26"/>
  <c r="K293" i="26"/>
  <c r="H294" i="26"/>
  <c r="I294" i="26"/>
  <c r="J294" i="26"/>
  <c r="K294" i="26"/>
  <c r="H295" i="26"/>
  <c r="I295" i="26"/>
  <c r="J295" i="26"/>
  <c r="K295" i="26"/>
  <c r="H296" i="26"/>
  <c r="I296" i="26"/>
  <c r="J296" i="26"/>
  <c r="K296" i="26"/>
  <c r="H297" i="26"/>
  <c r="I297" i="26"/>
  <c r="J297" i="26"/>
  <c r="K297" i="26"/>
  <c r="H298" i="26"/>
  <c r="I298" i="26"/>
  <c r="J298" i="26"/>
  <c r="K298" i="26"/>
  <c r="H299" i="26"/>
  <c r="I299" i="26"/>
  <c r="J299" i="26"/>
  <c r="K299" i="26"/>
  <c r="H300" i="26"/>
  <c r="I300" i="26"/>
  <c r="J300" i="26"/>
  <c r="K300" i="26"/>
  <c r="H301" i="26"/>
  <c r="I301" i="26"/>
  <c r="J301" i="26"/>
  <c r="K301" i="26"/>
  <c r="H302" i="26"/>
  <c r="I302" i="26"/>
  <c r="J302" i="26"/>
  <c r="K302" i="26"/>
  <c r="H303" i="26"/>
  <c r="I303" i="26"/>
  <c r="J303" i="26"/>
  <c r="K303" i="26"/>
  <c r="H304" i="26"/>
  <c r="I304" i="26"/>
  <c r="J304" i="26"/>
  <c r="K304" i="26"/>
  <c r="H305" i="26"/>
  <c r="I305" i="26"/>
  <c r="J305" i="26"/>
  <c r="K305" i="26"/>
  <c r="H306" i="26"/>
  <c r="I306" i="26"/>
  <c r="J306" i="26"/>
  <c r="K306" i="26"/>
  <c r="H307" i="26"/>
  <c r="I307" i="26"/>
  <c r="J307" i="26"/>
  <c r="K307" i="26"/>
  <c r="H308" i="26"/>
  <c r="I308" i="26"/>
  <c r="J308" i="26"/>
  <c r="K308" i="26"/>
  <c r="H309" i="26"/>
  <c r="I309" i="26"/>
  <c r="J309" i="26"/>
  <c r="K309" i="26"/>
  <c r="H310" i="26"/>
  <c r="I310" i="26"/>
  <c r="J310" i="26"/>
  <c r="K310" i="26"/>
  <c r="H311" i="26"/>
  <c r="I311" i="26"/>
  <c r="J311" i="26"/>
  <c r="K311" i="26"/>
  <c r="H312" i="26"/>
  <c r="I312" i="26"/>
  <c r="J312" i="26"/>
  <c r="K312" i="26"/>
  <c r="H313" i="26"/>
  <c r="I313" i="26"/>
  <c r="J313" i="26"/>
  <c r="K313" i="26"/>
  <c r="H314" i="26"/>
  <c r="I314" i="26"/>
  <c r="J314" i="26"/>
  <c r="K314" i="26"/>
  <c r="H315" i="26"/>
  <c r="I315" i="26"/>
  <c r="J315" i="26"/>
  <c r="K315" i="26"/>
  <c r="H316" i="26"/>
  <c r="I316" i="26"/>
  <c r="J316" i="26"/>
  <c r="K316" i="26"/>
  <c r="H317" i="26"/>
  <c r="I317" i="26"/>
  <c r="J317" i="26"/>
  <c r="K317" i="26"/>
  <c r="H318" i="26"/>
  <c r="I318" i="26"/>
  <c r="J318" i="26"/>
  <c r="K318" i="26"/>
  <c r="H319" i="26"/>
  <c r="I319" i="26"/>
  <c r="J319" i="26"/>
  <c r="K319" i="26"/>
  <c r="H320" i="26"/>
  <c r="I320" i="26"/>
  <c r="J320" i="26"/>
  <c r="K320" i="26"/>
  <c r="H321" i="26"/>
  <c r="I321" i="26"/>
  <c r="J321" i="26"/>
  <c r="K321" i="26"/>
  <c r="H322" i="26"/>
  <c r="I322" i="26"/>
  <c r="J322" i="26"/>
  <c r="K322" i="26"/>
  <c r="H323" i="26"/>
  <c r="I323" i="26"/>
  <c r="J323" i="26"/>
  <c r="K323" i="26"/>
  <c r="H324" i="26"/>
  <c r="I324" i="26"/>
  <c r="J324" i="26"/>
  <c r="K324" i="26"/>
  <c r="H325" i="26"/>
  <c r="I325" i="26"/>
  <c r="J325" i="26"/>
  <c r="K325" i="26"/>
  <c r="H326" i="26"/>
  <c r="I326" i="26"/>
  <c r="J326" i="26"/>
  <c r="K326" i="26"/>
  <c r="H327" i="26"/>
  <c r="I327" i="26"/>
  <c r="J327" i="26"/>
  <c r="K327" i="26"/>
  <c r="H328" i="26"/>
  <c r="I328" i="26"/>
  <c r="J328" i="26"/>
  <c r="K328" i="26"/>
  <c r="H329" i="26"/>
  <c r="I329" i="26"/>
  <c r="J329" i="26"/>
  <c r="K329" i="26"/>
  <c r="H330" i="26"/>
  <c r="I330" i="26"/>
  <c r="J330" i="26"/>
  <c r="K330" i="26"/>
  <c r="H331" i="26"/>
  <c r="I331" i="26"/>
  <c r="J331" i="26"/>
  <c r="K331" i="26"/>
  <c r="H332" i="26"/>
  <c r="I332" i="26"/>
  <c r="J332" i="26"/>
  <c r="K332" i="26"/>
  <c r="H333" i="26"/>
  <c r="I333" i="26"/>
  <c r="J333" i="26"/>
  <c r="K333" i="26"/>
  <c r="H334" i="26"/>
  <c r="I334" i="26"/>
  <c r="J334" i="26"/>
  <c r="K334" i="26"/>
  <c r="H335" i="26"/>
  <c r="I335" i="26"/>
  <c r="J335" i="26"/>
  <c r="K335" i="26"/>
  <c r="H336" i="26"/>
  <c r="I336" i="26"/>
  <c r="J336" i="26"/>
  <c r="K336" i="26"/>
  <c r="H337" i="26"/>
  <c r="I337" i="26"/>
  <c r="J337" i="26"/>
  <c r="K337" i="26"/>
  <c r="H338" i="26"/>
  <c r="I338" i="26"/>
  <c r="J338" i="26"/>
  <c r="K338" i="26"/>
  <c r="H339" i="26"/>
  <c r="I339" i="26"/>
  <c r="J339" i="26"/>
  <c r="K339" i="26"/>
  <c r="H340" i="26"/>
  <c r="I340" i="26"/>
  <c r="J340" i="26"/>
  <c r="K340" i="26"/>
  <c r="H341" i="26"/>
  <c r="I341" i="26"/>
  <c r="J341" i="26"/>
  <c r="K341" i="26"/>
  <c r="H342" i="26"/>
  <c r="I342" i="26"/>
  <c r="J342" i="26"/>
  <c r="K342" i="26"/>
  <c r="H343" i="26"/>
  <c r="I343" i="26"/>
  <c r="J343" i="26"/>
  <c r="K343" i="26"/>
  <c r="H344" i="26"/>
  <c r="I344" i="26"/>
  <c r="J344" i="26"/>
  <c r="K344" i="26"/>
  <c r="H345" i="26"/>
  <c r="I345" i="26"/>
  <c r="J345" i="26"/>
  <c r="K345" i="26"/>
  <c r="H346" i="26"/>
  <c r="I346" i="26"/>
  <c r="J346" i="26"/>
  <c r="K346" i="26"/>
  <c r="H347" i="26"/>
  <c r="I347" i="26"/>
  <c r="J347" i="26"/>
  <c r="K347" i="26"/>
  <c r="H348" i="26"/>
  <c r="I348" i="26"/>
  <c r="J348" i="26"/>
  <c r="K348" i="26"/>
  <c r="H349" i="26"/>
  <c r="I349" i="26"/>
  <c r="J349" i="26"/>
  <c r="K349" i="26"/>
  <c r="H350" i="26"/>
  <c r="I350" i="26"/>
  <c r="J350" i="26"/>
  <c r="K350" i="26"/>
  <c r="H351" i="26"/>
  <c r="I351" i="26"/>
  <c r="J351" i="26"/>
  <c r="K351" i="26"/>
  <c r="H352" i="26"/>
  <c r="I352" i="26"/>
  <c r="J352" i="26"/>
  <c r="K352" i="26"/>
  <c r="H353" i="26"/>
  <c r="I353" i="26"/>
  <c r="J353" i="26"/>
  <c r="K353" i="26"/>
  <c r="H354" i="26"/>
  <c r="I354" i="26"/>
  <c r="J354" i="26"/>
  <c r="K354" i="26"/>
  <c r="H355" i="26"/>
  <c r="I355" i="26"/>
  <c r="J355" i="26"/>
  <c r="K355" i="26"/>
  <c r="H356" i="26"/>
  <c r="I356" i="26"/>
  <c r="J356" i="26"/>
  <c r="K356" i="26"/>
  <c r="H357" i="26"/>
  <c r="I357" i="26"/>
  <c r="J357" i="26"/>
  <c r="K357" i="26"/>
  <c r="H358" i="26"/>
  <c r="I358" i="26"/>
  <c r="J358" i="26"/>
  <c r="K358" i="26"/>
  <c r="H359" i="26"/>
  <c r="I359" i="26"/>
  <c r="J359" i="26"/>
  <c r="K359" i="26"/>
  <c r="H360" i="26"/>
  <c r="I360" i="26"/>
  <c r="J360" i="26"/>
  <c r="K360" i="26"/>
  <c r="H361" i="26"/>
  <c r="I361" i="26"/>
  <c r="J361" i="26"/>
  <c r="K361" i="26"/>
  <c r="H362" i="26"/>
  <c r="I362" i="26"/>
  <c r="J362" i="26"/>
  <c r="K362" i="26"/>
  <c r="H363" i="26"/>
  <c r="I363" i="26"/>
  <c r="J363" i="26"/>
  <c r="K363" i="26"/>
  <c r="H364" i="26"/>
  <c r="I364" i="26"/>
  <c r="J364" i="26"/>
  <c r="K364" i="26"/>
  <c r="H365" i="26"/>
  <c r="I365" i="26"/>
  <c r="J365" i="26"/>
  <c r="K365" i="26"/>
  <c r="H366" i="26"/>
  <c r="I366" i="26"/>
  <c r="J366" i="26"/>
  <c r="K366" i="26"/>
  <c r="H367" i="26"/>
  <c r="I367" i="26"/>
  <c r="J367" i="26"/>
  <c r="K367" i="26"/>
  <c r="H368" i="26"/>
  <c r="I368" i="26"/>
  <c r="J368" i="26"/>
  <c r="K368" i="26"/>
  <c r="H369" i="26"/>
  <c r="I369" i="26"/>
  <c r="J369" i="26"/>
  <c r="K369" i="26"/>
  <c r="H370" i="26"/>
  <c r="I370" i="26"/>
  <c r="J370" i="26"/>
  <c r="K370" i="26"/>
  <c r="H371" i="26"/>
  <c r="I371" i="26"/>
  <c r="J371" i="26"/>
  <c r="K371" i="26"/>
  <c r="H372" i="26"/>
  <c r="I372" i="26"/>
  <c r="J372" i="26"/>
  <c r="K372" i="26"/>
  <c r="H373" i="26"/>
  <c r="I373" i="26"/>
  <c r="J373" i="26"/>
  <c r="K373" i="26"/>
  <c r="H374" i="26"/>
  <c r="I374" i="26"/>
  <c r="J374" i="26"/>
  <c r="K374" i="26"/>
  <c r="H375" i="26"/>
  <c r="I375" i="26"/>
  <c r="J375" i="26"/>
  <c r="K375" i="26"/>
  <c r="H376" i="26"/>
  <c r="I376" i="26"/>
  <c r="J376" i="26"/>
  <c r="K376" i="26"/>
  <c r="H377" i="26"/>
  <c r="I377" i="26"/>
  <c r="J377" i="26"/>
  <c r="K377" i="26"/>
  <c r="H378" i="26"/>
  <c r="I378" i="26"/>
  <c r="J378" i="26"/>
  <c r="K378" i="26"/>
  <c r="H379" i="26"/>
  <c r="I379" i="26"/>
  <c r="J379" i="26"/>
  <c r="K379" i="26"/>
  <c r="H380" i="26"/>
  <c r="I380" i="26"/>
  <c r="J380" i="26"/>
  <c r="K380" i="26"/>
  <c r="H381" i="26"/>
  <c r="I381" i="26"/>
  <c r="J381" i="26"/>
  <c r="K381" i="26"/>
  <c r="H382" i="26"/>
  <c r="I382" i="26"/>
  <c r="J382" i="26"/>
  <c r="K382" i="26"/>
  <c r="H383" i="26"/>
  <c r="I383" i="26"/>
  <c r="J383" i="26"/>
  <c r="K383" i="26"/>
  <c r="H384" i="26"/>
  <c r="I384" i="26"/>
  <c r="J384" i="26"/>
  <c r="K384" i="26"/>
  <c r="H385" i="26"/>
  <c r="I385" i="26"/>
  <c r="J385" i="26"/>
  <c r="K385" i="26"/>
  <c r="H386" i="26"/>
  <c r="I386" i="26"/>
  <c r="J386" i="26"/>
  <c r="K386" i="26"/>
  <c r="H387" i="26"/>
  <c r="I387" i="26"/>
  <c r="J387" i="26"/>
  <c r="K387" i="26"/>
  <c r="H388" i="26"/>
  <c r="I388" i="26"/>
  <c r="J388" i="26"/>
  <c r="K388" i="26"/>
  <c r="H389" i="26"/>
  <c r="I389" i="26"/>
  <c r="J389" i="26"/>
  <c r="K389" i="26"/>
  <c r="H390" i="26"/>
  <c r="I390" i="26"/>
  <c r="J390" i="26"/>
  <c r="K390" i="26"/>
  <c r="H391" i="26"/>
  <c r="I391" i="26"/>
  <c r="J391" i="26"/>
  <c r="K391" i="26"/>
  <c r="H392" i="26"/>
  <c r="I392" i="26"/>
  <c r="J392" i="26"/>
  <c r="K392" i="26"/>
  <c r="H393" i="26"/>
  <c r="I393" i="26"/>
  <c r="J393" i="26"/>
  <c r="K393" i="26"/>
  <c r="H394" i="26"/>
  <c r="I394" i="26"/>
  <c r="J394" i="26"/>
  <c r="K394" i="26"/>
  <c r="H395" i="26"/>
  <c r="I395" i="26"/>
  <c r="J395" i="26"/>
  <c r="K395" i="26"/>
  <c r="H396" i="26"/>
  <c r="I396" i="26"/>
  <c r="J396" i="26"/>
  <c r="K396" i="26"/>
  <c r="H397" i="26"/>
  <c r="I397" i="26"/>
  <c r="J397" i="26"/>
  <c r="K397" i="26"/>
  <c r="H398" i="26"/>
  <c r="I398" i="26"/>
  <c r="J398" i="26"/>
  <c r="K398" i="26"/>
  <c r="H399" i="26"/>
  <c r="I399" i="26"/>
  <c r="J399" i="26"/>
  <c r="K399" i="26"/>
  <c r="H400" i="26"/>
  <c r="I400" i="26"/>
  <c r="J400" i="26"/>
  <c r="K400" i="26"/>
  <c r="H401" i="26"/>
  <c r="I401" i="26"/>
  <c r="J401" i="26"/>
  <c r="K401" i="26"/>
  <c r="H402" i="26"/>
  <c r="I402" i="26"/>
  <c r="J402" i="26"/>
  <c r="K402" i="26"/>
  <c r="H403" i="26"/>
  <c r="I403" i="26"/>
  <c r="J403" i="26"/>
  <c r="K403" i="26"/>
  <c r="H404" i="26"/>
  <c r="I404" i="26"/>
  <c r="J404" i="26"/>
  <c r="K404" i="26"/>
  <c r="H405" i="26"/>
  <c r="I405" i="26"/>
  <c r="J405" i="26"/>
  <c r="K405" i="26"/>
  <c r="H406" i="26"/>
  <c r="I406" i="26"/>
  <c r="J406" i="26"/>
  <c r="K406" i="26"/>
  <c r="H407" i="26"/>
  <c r="I407" i="26"/>
  <c r="J407" i="26"/>
  <c r="K407" i="26"/>
  <c r="H408" i="26"/>
  <c r="I408" i="26"/>
  <c r="J408" i="26"/>
  <c r="K408" i="26"/>
  <c r="H409" i="26"/>
  <c r="I409" i="26"/>
  <c r="J409" i="26"/>
  <c r="K409" i="26"/>
  <c r="H410" i="26"/>
  <c r="I410" i="26"/>
  <c r="J410" i="26"/>
  <c r="K410" i="26"/>
  <c r="H411" i="26"/>
  <c r="I411" i="26"/>
  <c r="J411" i="26"/>
  <c r="K411" i="26"/>
  <c r="H412" i="26"/>
  <c r="I412" i="26"/>
  <c r="J412" i="26"/>
  <c r="K412" i="26"/>
  <c r="H413" i="26"/>
  <c r="I413" i="26"/>
  <c r="J413" i="26"/>
  <c r="K413" i="26"/>
  <c r="H414" i="26"/>
  <c r="I414" i="26"/>
  <c r="J414" i="26"/>
  <c r="K414" i="26"/>
  <c r="H415" i="26"/>
  <c r="I415" i="26"/>
  <c r="J415" i="26"/>
  <c r="K415" i="26"/>
  <c r="H416" i="26"/>
  <c r="I416" i="26"/>
  <c r="J416" i="26"/>
  <c r="K416" i="26"/>
  <c r="H417" i="26"/>
  <c r="I417" i="26"/>
  <c r="J417" i="26"/>
  <c r="K417" i="26"/>
  <c r="H418" i="26"/>
  <c r="I418" i="26"/>
  <c r="J418" i="26"/>
  <c r="K418" i="26"/>
  <c r="H419" i="26"/>
  <c r="I419" i="26"/>
  <c r="J419" i="26"/>
  <c r="K419" i="26"/>
  <c r="H420" i="26"/>
  <c r="I420" i="26"/>
  <c r="J420" i="26"/>
  <c r="K420" i="26"/>
  <c r="H421" i="26"/>
  <c r="I421" i="26"/>
  <c r="J421" i="26"/>
  <c r="K421" i="26"/>
  <c r="H422" i="26"/>
  <c r="I422" i="26"/>
  <c r="J422" i="26"/>
  <c r="K422" i="26"/>
  <c r="H423" i="26"/>
  <c r="I423" i="26"/>
  <c r="J423" i="26"/>
  <c r="K423" i="26"/>
  <c r="C46" i="26"/>
  <c r="C45" i="26"/>
  <c r="C44" i="26"/>
  <c r="C43" i="26"/>
  <c r="C42" i="26"/>
  <c r="C41" i="26"/>
  <c r="C40" i="26"/>
  <c r="C39" i="26"/>
  <c r="C38" i="26"/>
  <c r="C37" i="26"/>
  <c r="C36" i="26"/>
  <c r="C35" i="26"/>
  <c r="C34" i="26"/>
  <c r="C33" i="26"/>
  <c r="C32" i="26"/>
  <c r="C31" i="26"/>
  <c r="C30" i="26"/>
  <c r="C29" i="26"/>
  <c r="C28" i="26"/>
  <c r="C27" i="26"/>
  <c r="C26" i="26"/>
  <c r="C25" i="26"/>
  <c r="C24" i="26"/>
  <c r="C23" i="26"/>
  <c r="C22" i="26"/>
  <c r="C20" i="26"/>
  <c r="C19" i="26"/>
  <c r="C18" i="26"/>
  <c r="C17" i="26"/>
  <c r="H424" i="26"/>
  <c r="H425" i="26"/>
  <c r="H426" i="26"/>
  <c r="H427" i="26"/>
  <c r="H428" i="26"/>
  <c r="H429" i="26"/>
  <c r="H430" i="26"/>
  <c r="H431" i="26"/>
  <c r="H432" i="26"/>
  <c r="H433" i="26"/>
  <c r="H434" i="26"/>
  <c r="H435" i="26"/>
  <c r="H436" i="26"/>
  <c r="H437" i="26"/>
  <c r="H438" i="26"/>
  <c r="H439" i="26"/>
  <c r="H440" i="26"/>
  <c r="H441" i="26"/>
  <c r="H442" i="26"/>
  <c r="H443" i="26"/>
  <c r="H444" i="26"/>
  <c r="H445" i="26"/>
  <c r="H446" i="26"/>
  <c r="H447" i="26"/>
  <c r="H448" i="26"/>
  <c r="H449" i="26"/>
  <c r="H450" i="26"/>
  <c r="H451" i="26"/>
  <c r="H452" i="26"/>
  <c r="H453" i="26"/>
  <c r="H454" i="26"/>
  <c r="H455" i="26"/>
  <c r="H456" i="26"/>
  <c r="H457" i="26"/>
  <c r="H458" i="26"/>
  <c r="H459" i="26"/>
  <c r="H460" i="26"/>
  <c r="H461" i="26"/>
  <c r="H462" i="26"/>
  <c r="H463" i="26"/>
  <c r="H464" i="26"/>
  <c r="H465" i="26"/>
  <c r="H466" i="26"/>
  <c r="H467" i="26"/>
  <c r="H468" i="26"/>
  <c r="H469" i="26"/>
  <c r="H470" i="26"/>
  <c r="H471" i="26"/>
  <c r="H472" i="26"/>
  <c r="H473" i="26"/>
  <c r="H474" i="26"/>
  <c r="H475" i="26"/>
  <c r="H476" i="26"/>
  <c r="H477" i="26"/>
  <c r="H478" i="26"/>
  <c r="H479" i="26"/>
  <c r="H480" i="26"/>
  <c r="H481" i="26"/>
  <c r="H482" i="26"/>
  <c r="H483" i="26"/>
  <c r="H484" i="26"/>
  <c r="H485" i="26"/>
  <c r="H486" i="26"/>
  <c r="H487" i="26"/>
  <c r="H488" i="26"/>
  <c r="H489" i="26"/>
  <c r="H490" i="26"/>
  <c r="H491" i="26"/>
  <c r="H492" i="26"/>
  <c r="H493" i="26"/>
  <c r="H494" i="26"/>
  <c r="H495" i="26"/>
  <c r="H496" i="26"/>
  <c r="H497" i="26"/>
  <c r="H498" i="26"/>
  <c r="H499" i="26"/>
  <c r="H500" i="26"/>
  <c r="H501" i="26"/>
  <c r="H502" i="26"/>
  <c r="H503" i="26"/>
  <c r="H504" i="26"/>
  <c r="H505" i="26"/>
  <c r="H506" i="26"/>
  <c r="H507" i="26"/>
  <c r="H508" i="26"/>
  <c r="H509" i="26"/>
  <c r="H510" i="26"/>
  <c r="H511" i="26"/>
  <c r="H512" i="26"/>
  <c r="H513" i="26"/>
  <c r="H514" i="26"/>
  <c r="H515" i="26"/>
  <c r="H516" i="26"/>
  <c r="H517" i="26"/>
  <c r="H518" i="26"/>
  <c r="H519" i="26"/>
  <c r="H520" i="26"/>
  <c r="H521" i="26"/>
  <c r="H522" i="26"/>
  <c r="H523" i="26"/>
  <c r="H524" i="26"/>
  <c r="H525" i="26"/>
  <c r="H526" i="26"/>
  <c r="H527" i="26"/>
  <c r="H528" i="26"/>
  <c r="H529" i="26"/>
  <c r="H530" i="26"/>
  <c r="H531" i="26"/>
  <c r="H532" i="26"/>
  <c r="H533" i="26"/>
  <c r="H534" i="26"/>
  <c r="H535" i="26"/>
  <c r="H536" i="26"/>
  <c r="H537" i="26"/>
  <c r="H538" i="26"/>
  <c r="H539" i="26"/>
  <c r="H540" i="26"/>
  <c r="H541" i="26"/>
  <c r="H542" i="26"/>
  <c r="H543" i="26"/>
  <c r="B424" i="26"/>
  <c r="B425" i="26"/>
  <c r="B426" i="26"/>
  <c r="B427" i="26"/>
  <c r="B428" i="26"/>
  <c r="B429" i="26"/>
  <c r="B430" i="26"/>
  <c r="B431" i="26"/>
  <c r="B432" i="26"/>
  <c r="B433" i="26"/>
  <c r="B434" i="26"/>
  <c r="B435" i="26"/>
  <c r="B436" i="26"/>
  <c r="B437" i="26"/>
  <c r="B438" i="26"/>
  <c r="B439" i="26"/>
  <c r="B440" i="26"/>
  <c r="B441" i="26"/>
  <c r="B442" i="26"/>
  <c r="B443" i="26"/>
  <c r="B444" i="26"/>
  <c r="B445" i="26"/>
  <c r="B446" i="26"/>
  <c r="B447" i="26"/>
  <c r="B448" i="26"/>
  <c r="B449" i="26"/>
  <c r="B450" i="26"/>
  <c r="B451" i="26"/>
  <c r="B452" i="26"/>
  <c r="B453" i="26"/>
  <c r="B454" i="26"/>
  <c r="B455" i="26"/>
  <c r="B456" i="26"/>
  <c r="B457" i="26"/>
  <c r="B458" i="26"/>
  <c r="B459" i="26"/>
  <c r="B460" i="26"/>
  <c r="B461" i="26"/>
  <c r="B462" i="26"/>
  <c r="B463" i="26"/>
  <c r="B464" i="26"/>
  <c r="B465" i="26"/>
  <c r="B466" i="26"/>
  <c r="B467" i="26"/>
  <c r="B468" i="26"/>
  <c r="B469" i="26"/>
  <c r="B470" i="26"/>
  <c r="B471" i="26"/>
  <c r="B472" i="26"/>
  <c r="B473" i="26"/>
  <c r="B474" i="26"/>
  <c r="B475" i="26"/>
  <c r="B476" i="26"/>
  <c r="B477" i="26"/>
  <c r="B478" i="26"/>
  <c r="B479" i="26"/>
  <c r="B480" i="26"/>
  <c r="B481" i="26"/>
  <c r="B482" i="26"/>
  <c r="B483" i="26"/>
  <c r="B484" i="26"/>
  <c r="B485" i="26"/>
  <c r="B486" i="26"/>
  <c r="B487" i="26"/>
  <c r="B488" i="26"/>
  <c r="B489" i="26"/>
  <c r="B490" i="26"/>
  <c r="B491" i="26"/>
  <c r="B492" i="26"/>
  <c r="B493" i="26"/>
  <c r="B494" i="26"/>
  <c r="B495" i="26"/>
  <c r="B496" i="26"/>
  <c r="B497" i="26"/>
  <c r="B498" i="26"/>
  <c r="B499" i="26"/>
  <c r="B500" i="26"/>
  <c r="B501" i="26"/>
  <c r="B502" i="26"/>
  <c r="B503" i="26"/>
  <c r="B504" i="26"/>
  <c r="B505" i="26"/>
  <c r="B506" i="26"/>
  <c r="B507" i="26"/>
  <c r="B508" i="26"/>
  <c r="B509" i="26"/>
  <c r="B510" i="26"/>
  <c r="B511" i="26"/>
  <c r="B512" i="26"/>
  <c r="B513" i="26"/>
  <c r="B514" i="26"/>
  <c r="B515" i="26"/>
  <c r="B516" i="26"/>
  <c r="B517" i="26"/>
  <c r="B518" i="26"/>
  <c r="B519" i="26"/>
  <c r="B520" i="26"/>
  <c r="B521" i="26"/>
  <c r="B522" i="26"/>
  <c r="B523" i="26"/>
  <c r="B524" i="26"/>
  <c r="B525" i="26"/>
  <c r="B526" i="26"/>
  <c r="B527" i="26"/>
  <c r="B528" i="26"/>
  <c r="B529" i="26"/>
  <c r="B530" i="26"/>
  <c r="B531" i="26"/>
  <c r="B532" i="26"/>
  <c r="B533" i="26"/>
  <c r="B534" i="26"/>
  <c r="B535" i="26"/>
  <c r="B536" i="26"/>
  <c r="B537" i="26"/>
  <c r="B538" i="26"/>
  <c r="B539" i="26"/>
  <c r="B540" i="26"/>
  <c r="B541" i="26"/>
  <c r="B542" i="26"/>
  <c r="B543" i="26"/>
  <c r="I424" i="26"/>
  <c r="J424" i="26"/>
  <c r="K424" i="26"/>
  <c r="I425" i="26"/>
  <c r="J425" i="26"/>
  <c r="K425" i="26"/>
  <c r="I426" i="26"/>
  <c r="J426" i="26"/>
  <c r="K426" i="26"/>
  <c r="I427" i="26"/>
  <c r="J427" i="26"/>
  <c r="K427" i="26"/>
  <c r="I428" i="26"/>
  <c r="J428" i="26"/>
  <c r="K428" i="26"/>
  <c r="I429" i="26"/>
  <c r="J429" i="26"/>
  <c r="K429" i="26"/>
  <c r="I430" i="26"/>
  <c r="J430" i="26"/>
  <c r="K430" i="26"/>
  <c r="I431" i="26"/>
  <c r="J431" i="26"/>
  <c r="K431" i="26"/>
  <c r="I432" i="26"/>
  <c r="J432" i="26"/>
  <c r="K432" i="26"/>
  <c r="I433" i="26"/>
  <c r="J433" i="26"/>
  <c r="K433" i="26"/>
  <c r="I434" i="26"/>
  <c r="J434" i="26"/>
  <c r="K434" i="26"/>
  <c r="I435" i="26"/>
  <c r="J435" i="26"/>
  <c r="K435" i="26"/>
  <c r="I436" i="26"/>
  <c r="J436" i="26"/>
  <c r="K436" i="26"/>
  <c r="I437" i="26"/>
  <c r="J437" i="26"/>
  <c r="K437" i="26"/>
  <c r="I438" i="26"/>
  <c r="J438" i="26"/>
  <c r="K438" i="26"/>
  <c r="I439" i="26"/>
  <c r="J439" i="26"/>
  <c r="K439" i="26"/>
  <c r="I440" i="26"/>
  <c r="J440" i="26"/>
  <c r="K440" i="26"/>
  <c r="I441" i="26"/>
  <c r="J441" i="26"/>
  <c r="K441" i="26"/>
  <c r="I442" i="26"/>
  <c r="J442" i="26"/>
  <c r="K442" i="26"/>
  <c r="I443" i="26"/>
  <c r="J443" i="26"/>
  <c r="K443" i="26"/>
  <c r="I444" i="26"/>
  <c r="J444" i="26"/>
  <c r="K444" i="26"/>
  <c r="I445" i="26"/>
  <c r="J445" i="26"/>
  <c r="K445" i="26"/>
  <c r="I446" i="26"/>
  <c r="J446" i="26"/>
  <c r="K446" i="26"/>
  <c r="I447" i="26"/>
  <c r="J447" i="26"/>
  <c r="K447" i="26"/>
  <c r="I448" i="26"/>
  <c r="J448" i="26"/>
  <c r="K448" i="26"/>
  <c r="I449" i="26"/>
  <c r="J449" i="26"/>
  <c r="K449" i="26"/>
  <c r="I450" i="26"/>
  <c r="J450" i="26"/>
  <c r="K450" i="26"/>
  <c r="I451" i="26"/>
  <c r="J451" i="26"/>
  <c r="K451" i="26"/>
  <c r="I452" i="26"/>
  <c r="J452" i="26"/>
  <c r="K452" i="26"/>
  <c r="I453" i="26"/>
  <c r="J453" i="26"/>
  <c r="K453" i="26"/>
  <c r="I454" i="26"/>
  <c r="J454" i="26"/>
  <c r="K454" i="26"/>
  <c r="I455" i="26"/>
  <c r="J455" i="26"/>
  <c r="K455" i="26"/>
  <c r="I456" i="26"/>
  <c r="J456" i="26"/>
  <c r="K456" i="26"/>
  <c r="I457" i="26"/>
  <c r="J457" i="26"/>
  <c r="K457" i="26"/>
  <c r="I458" i="26"/>
  <c r="J458" i="26"/>
  <c r="K458" i="26"/>
  <c r="I459" i="26"/>
  <c r="J459" i="26"/>
  <c r="K459" i="26"/>
  <c r="I460" i="26"/>
  <c r="J460" i="26"/>
  <c r="K460" i="26"/>
  <c r="I461" i="26"/>
  <c r="J461" i="26"/>
  <c r="K461" i="26"/>
  <c r="I462" i="26"/>
  <c r="J462" i="26"/>
  <c r="K462" i="26"/>
  <c r="I463" i="26"/>
  <c r="J463" i="26"/>
  <c r="K463" i="26"/>
  <c r="I464" i="26"/>
  <c r="J464" i="26"/>
  <c r="K464" i="26"/>
  <c r="I465" i="26"/>
  <c r="J465" i="26"/>
  <c r="K465" i="26"/>
  <c r="I466" i="26"/>
  <c r="J466" i="26"/>
  <c r="K466" i="26"/>
  <c r="I467" i="26"/>
  <c r="J467" i="26"/>
  <c r="K467" i="26"/>
  <c r="I468" i="26"/>
  <c r="J468" i="26"/>
  <c r="K468" i="26"/>
  <c r="I469" i="26"/>
  <c r="J469" i="26"/>
  <c r="K469" i="26"/>
  <c r="I470" i="26"/>
  <c r="J470" i="26"/>
  <c r="K470" i="26"/>
  <c r="I471" i="26"/>
  <c r="J471" i="26"/>
  <c r="K471" i="26"/>
  <c r="I472" i="26"/>
  <c r="J472" i="26"/>
  <c r="K472" i="26"/>
  <c r="I473" i="26"/>
  <c r="J473" i="26"/>
  <c r="K473" i="26"/>
  <c r="I474" i="26"/>
  <c r="J474" i="26"/>
  <c r="K474" i="26"/>
  <c r="I475" i="26"/>
  <c r="J475" i="26"/>
  <c r="K475" i="26"/>
  <c r="I476" i="26"/>
  <c r="J476" i="26"/>
  <c r="K476" i="26"/>
  <c r="I477" i="26"/>
  <c r="J477" i="26"/>
  <c r="K477" i="26"/>
  <c r="I478" i="26"/>
  <c r="J478" i="26"/>
  <c r="K478" i="26"/>
  <c r="I479" i="26"/>
  <c r="J479" i="26"/>
  <c r="K479" i="26"/>
  <c r="I480" i="26"/>
  <c r="J480" i="26"/>
  <c r="K480" i="26"/>
  <c r="I481" i="26"/>
  <c r="J481" i="26"/>
  <c r="K481" i="26"/>
  <c r="I482" i="26"/>
  <c r="J482" i="26"/>
  <c r="K482" i="26"/>
  <c r="I483" i="26"/>
  <c r="J483" i="26"/>
  <c r="K483" i="26"/>
  <c r="I484" i="26"/>
  <c r="J484" i="26"/>
  <c r="K484" i="26"/>
  <c r="I485" i="26"/>
  <c r="J485" i="26"/>
  <c r="K485" i="26"/>
  <c r="I486" i="26"/>
  <c r="J486" i="26"/>
  <c r="K486" i="26"/>
  <c r="I487" i="26"/>
  <c r="J487" i="26"/>
  <c r="K487" i="26"/>
  <c r="I488" i="26"/>
  <c r="J488" i="26"/>
  <c r="K488" i="26"/>
  <c r="I489" i="26"/>
  <c r="J489" i="26"/>
  <c r="K489" i="26"/>
  <c r="I490" i="26"/>
  <c r="J490" i="26"/>
  <c r="K490" i="26"/>
  <c r="I491" i="26"/>
  <c r="J491" i="26"/>
  <c r="K491" i="26"/>
  <c r="I492" i="26"/>
  <c r="J492" i="26"/>
  <c r="K492" i="26"/>
  <c r="I493" i="26"/>
  <c r="J493" i="26"/>
  <c r="K493" i="26"/>
  <c r="I494" i="26"/>
  <c r="J494" i="26"/>
  <c r="K494" i="26"/>
  <c r="I495" i="26"/>
  <c r="J495" i="26"/>
  <c r="K495" i="26"/>
  <c r="I496" i="26"/>
  <c r="J496" i="26"/>
  <c r="K496" i="26"/>
  <c r="I497" i="26"/>
  <c r="J497" i="26"/>
  <c r="K497" i="26"/>
  <c r="I498" i="26"/>
  <c r="J498" i="26"/>
  <c r="K498" i="26"/>
  <c r="I499" i="26"/>
  <c r="J499" i="26"/>
  <c r="K499" i="26"/>
  <c r="I500" i="26"/>
  <c r="J500" i="26"/>
  <c r="K500" i="26"/>
  <c r="I501" i="26"/>
  <c r="J501" i="26"/>
  <c r="K501" i="26"/>
  <c r="I502" i="26"/>
  <c r="J502" i="26"/>
  <c r="K502" i="26"/>
  <c r="I503" i="26"/>
  <c r="J503" i="26"/>
  <c r="K503" i="26"/>
  <c r="I504" i="26"/>
  <c r="J504" i="26"/>
  <c r="K504" i="26"/>
  <c r="I505" i="26"/>
  <c r="J505" i="26"/>
  <c r="K505" i="26"/>
  <c r="I506" i="26"/>
  <c r="J506" i="26"/>
  <c r="K506" i="26"/>
  <c r="I507" i="26"/>
  <c r="J507" i="26"/>
  <c r="K507" i="26"/>
  <c r="I508" i="26"/>
  <c r="J508" i="26"/>
  <c r="K508" i="26"/>
  <c r="I509" i="26"/>
  <c r="J509" i="26"/>
  <c r="K509" i="26"/>
  <c r="I510" i="26"/>
  <c r="J510" i="26"/>
  <c r="K510" i="26"/>
  <c r="I511" i="26"/>
  <c r="J511" i="26"/>
  <c r="K511" i="26"/>
  <c r="I512" i="26"/>
  <c r="J512" i="26"/>
  <c r="K512" i="26"/>
  <c r="I513" i="26"/>
  <c r="J513" i="26"/>
  <c r="K513" i="26"/>
  <c r="I514" i="26"/>
  <c r="J514" i="26"/>
  <c r="K514" i="26"/>
  <c r="I515" i="26"/>
  <c r="J515" i="26"/>
  <c r="K515" i="26"/>
  <c r="I516" i="26"/>
  <c r="J516" i="26"/>
  <c r="K516" i="26"/>
  <c r="I517" i="26"/>
  <c r="J517" i="26"/>
  <c r="K517" i="26"/>
  <c r="I518" i="26"/>
  <c r="J518" i="26"/>
  <c r="K518" i="26"/>
  <c r="I519" i="26"/>
  <c r="J519" i="26"/>
  <c r="K519" i="26"/>
  <c r="I520" i="26"/>
  <c r="J520" i="26"/>
  <c r="K520" i="26"/>
  <c r="I521" i="26"/>
  <c r="J521" i="26"/>
  <c r="K521" i="26"/>
  <c r="I522" i="26"/>
  <c r="J522" i="26"/>
  <c r="K522" i="26"/>
  <c r="I523" i="26"/>
  <c r="J523" i="26"/>
  <c r="K523" i="26"/>
  <c r="I524" i="26"/>
  <c r="J524" i="26"/>
  <c r="K524" i="26"/>
  <c r="I525" i="26"/>
  <c r="J525" i="26"/>
  <c r="K525" i="26"/>
  <c r="I526" i="26"/>
  <c r="J526" i="26"/>
  <c r="K526" i="26"/>
  <c r="I527" i="26"/>
  <c r="J527" i="26"/>
  <c r="K527" i="26"/>
  <c r="I528" i="26"/>
  <c r="J528" i="26"/>
  <c r="K528" i="26"/>
  <c r="I529" i="26"/>
  <c r="J529" i="26"/>
  <c r="K529" i="26"/>
  <c r="I530" i="26"/>
  <c r="J530" i="26"/>
  <c r="K530" i="26"/>
  <c r="I531" i="26"/>
  <c r="J531" i="26"/>
  <c r="K531" i="26"/>
  <c r="I532" i="26"/>
  <c r="J532" i="26"/>
  <c r="K532" i="26"/>
  <c r="I533" i="26"/>
  <c r="J533" i="26"/>
  <c r="K533" i="26"/>
  <c r="I534" i="26"/>
  <c r="J534" i="26"/>
  <c r="K534" i="26"/>
  <c r="I535" i="26"/>
  <c r="J535" i="26"/>
  <c r="K535" i="26"/>
  <c r="I536" i="26"/>
  <c r="J536" i="26"/>
  <c r="K536" i="26"/>
  <c r="I537" i="26"/>
  <c r="J537" i="26"/>
  <c r="K537" i="26"/>
  <c r="I538" i="26"/>
  <c r="J538" i="26"/>
  <c r="K538" i="26"/>
  <c r="I539" i="26"/>
  <c r="J539" i="26"/>
  <c r="K539" i="26"/>
  <c r="I540" i="26"/>
  <c r="J540" i="26"/>
  <c r="K540" i="26"/>
  <c r="I541" i="26"/>
  <c r="J541" i="26"/>
  <c r="K541" i="26"/>
  <c r="I542" i="26"/>
  <c r="J542" i="26"/>
  <c r="K542" i="26"/>
  <c r="I543" i="26"/>
  <c r="J543" i="26"/>
  <c r="K543" i="26"/>
  <c r="B56" i="25"/>
  <c r="E55" i="25"/>
  <c r="C56" i="25"/>
  <c r="D56" i="25"/>
  <c r="E56" i="25"/>
  <c r="B57" i="25"/>
  <c r="C57" i="25"/>
  <c r="D57" i="25"/>
  <c r="E57" i="25"/>
  <c r="B58" i="25"/>
  <c r="C58" i="25"/>
  <c r="D58" i="25"/>
  <c r="E58" i="25"/>
  <c r="B59" i="25"/>
  <c r="C59" i="25"/>
  <c r="D59" i="25"/>
  <c r="E59" i="25"/>
  <c r="B60" i="25"/>
  <c r="C60" i="25"/>
  <c r="D60" i="25"/>
  <c r="E60" i="25"/>
  <c r="B61" i="25"/>
  <c r="C61" i="25"/>
  <c r="D61" i="25"/>
  <c r="E61" i="25"/>
  <c r="B62" i="25"/>
  <c r="C62" i="25"/>
  <c r="D62" i="25"/>
  <c r="E62" i="25"/>
  <c r="B63" i="25"/>
  <c r="C63" i="25"/>
  <c r="D63" i="25"/>
  <c r="E63" i="25"/>
  <c r="B64" i="25"/>
  <c r="C64" i="25"/>
  <c r="D64" i="25"/>
  <c r="E64" i="25"/>
  <c r="B65" i="25"/>
  <c r="C65" i="25"/>
  <c r="D65" i="25"/>
  <c r="E65" i="25"/>
  <c r="B66" i="25"/>
  <c r="C66" i="25"/>
  <c r="D66" i="25"/>
  <c r="E66" i="25"/>
  <c r="B67" i="25"/>
  <c r="C67" i="25"/>
  <c r="D67" i="25"/>
  <c r="E67" i="25"/>
  <c r="B68" i="25"/>
  <c r="C68" i="25"/>
  <c r="D68" i="25"/>
  <c r="E68" i="25"/>
  <c r="B69" i="25"/>
  <c r="C69" i="25"/>
  <c r="D69" i="25"/>
  <c r="E69" i="25"/>
  <c r="B70" i="25"/>
  <c r="C70" i="25"/>
  <c r="D70" i="25"/>
  <c r="E70" i="25"/>
  <c r="B71" i="25"/>
  <c r="C71" i="25"/>
  <c r="D71" i="25"/>
  <c r="E71" i="25"/>
  <c r="B72" i="25"/>
  <c r="C72" i="25"/>
  <c r="D72" i="25"/>
  <c r="E72" i="25"/>
  <c r="B73" i="25"/>
  <c r="C73" i="25"/>
  <c r="D73" i="25"/>
  <c r="E73" i="25"/>
  <c r="B74" i="25"/>
  <c r="C74" i="25"/>
  <c r="D74" i="25"/>
  <c r="E74" i="25"/>
  <c r="B75" i="25"/>
  <c r="C75" i="25"/>
  <c r="D75" i="25"/>
  <c r="E75" i="25"/>
  <c r="B76" i="25"/>
  <c r="C76" i="25"/>
  <c r="D76" i="25"/>
  <c r="E76" i="25"/>
  <c r="B77" i="25"/>
  <c r="C77" i="25"/>
  <c r="D77" i="25"/>
  <c r="E77" i="25"/>
  <c r="B78" i="25"/>
  <c r="C78" i="25"/>
  <c r="D78" i="25"/>
  <c r="E78" i="25"/>
  <c r="B79" i="25"/>
  <c r="C79" i="25"/>
  <c r="D79" i="25"/>
  <c r="E79" i="25"/>
  <c r="B80" i="25"/>
  <c r="C80" i="25"/>
  <c r="D80" i="25"/>
  <c r="E80" i="25"/>
  <c r="B81" i="25"/>
  <c r="C81" i="25"/>
  <c r="D81" i="25"/>
  <c r="E81" i="25"/>
  <c r="B82" i="25"/>
  <c r="C82" i="25"/>
  <c r="D82" i="25"/>
  <c r="E82" i="25"/>
  <c r="B83" i="25"/>
  <c r="C83" i="25"/>
  <c r="D83" i="25"/>
  <c r="E83" i="25"/>
  <c r="B84" i="25"/>
  <c r="C84" i="25"/>
  <c r="D84" i="25"/>
  <c r="E84" i="25"/>
  <c r="B85" i="25"/>
  <c r="C85" i="25"/>
  <c r="D85" i="25"/>
  <c r="E85" i="25"/>
  <c r="B86" i="25"/>
  <c r="C86" i="25"/>
  <c r="D86" i="25"/>
  <c r="E86" i="25"/>
  <c r="B87" i="25"/>
  <c r="C87" i="25"/>
  <c r="D87" i="25"/>
  <c r="E87" i="25"/>
  <c r="B88" i="25"/>
  <c r="C88" i="25"/>
  <c r="D88" i="25"/>
  <c r="E88" i="25"/>
  <c r="B89" i="25"/>
  <c r="C89" i="25"/>
  <c r="D89" i="25"/>
  <c r="E89" i="25"/>
  <c r="B90" i="25"/>
  <c r="C90" i="25"/>
  <c r="D90" i="25"/>
  <c r="E90" i="25"/>
  <c r="B91" i="25"/>
  <c r="C91" i="25"/>
  <c r="D91" i="25"/>
  <c r="E91" i="25"/>
  <c r="B92" i="25"/>
  <c r="C92" i="25"/>
  <c r="D92" i="25"/>
  <c r="E92" i="25"/>
  <c r="B93" i="25"/>
  <c r="C93" i="25"/>
  <c r="D93" i="25"/>
  <c r="E93" i="25"/>
  <c r="B94" i="25"/>
  <c r="C94" i="25"/>
  <c r="D94" i="25"/>
  <c r="E94" i="25"/>
  <c r="B95" i="25"/>
  <c r="C95" i="25"/>
  <c r="D95" i="25"/>
  <c r="E95" i="25"/>
  <c r="B96" i="25"/>
  <c r="C96" i="25"/>
  <c r="D96" i="25"/>
  <c r="E96" i="25"/>
  <c r="B97" i="25"/>
  <c r="C97" i="25"/>
  <c r="D97" i="25"/>
  <c r="E97" i="25"/>
  <c r="B98" i="25"/>
  <c r="C98" i="25"/>
  <c r="D98" i="25"/>
  <c r="E98" i="25"/>
  <c r="B99" i="25"/>
  <c r="C99" i="25"/>
  <c r="D99" i="25"/>
  <c r="E99" i="25"/>
  <c r="B100" i="25"/>
  <c r="C100" i="25"/>
  <c r="D100" i="25"/>
  <c r="E100" i="25"/>
  <c r="B101" i="25"/>
  <c r="C101" i="25"/>
  <c r="D101" i="25"/>
  <c r="E101" i="25"/>
  <c r="B102" i="25"/>
  <c r="C102" i="25"/>
  <c r="D102" i="25"/>
  <c r="E102" i="25"/>
  <c r="B103" i="25"/>
  <c r="C103" i="25"/>
  <c r="D103" i="25"/>
  <c r="E103" i="25"/>
  <c r="B104" i="25"/>
  <c r="C104" i="25"/>
  <c r="D104" i="25"/>
  <c r="E104" i="25"/>
  <c r="B105" i="25"/>
  <c r="C105" i="25"/>
  <c r="D105" i="25"/>
  <c r="E105" i="25"/>
  <c r="B106" i="25"/>
  <c r="C106" i="25"/>
  <c r="D106" i="25"/>
  <c r="E106" i="25"/>
  <c r="B107" i="25"/>
  <c r="C107" i="25"/>
  <c r="D107" i="25"/>
  <c r="E107" i="25"/>
  <c r="B108" i="25"/>
  <c r="C108" i="25"/>
  <c r="D108" i="25"/>
  <c r="E108" i="25"/>
  <c r="B109" i="25"/>
  <c r="C109" i="25"/>
  <c r="D109" i="25"/>
  <c r="E109" i="25"/>
  <c r="B110" i="25"/>
  <c r="C110" i="25"/>
  <c r="D110" i="25"/>
  <c r="E110" i="25"/>
  <c r="B111" i="25"/>
  <c r="C111" i="25"/>
  <c r="D111" i="25"/>
  <c r="E111" i="25"/>
  <c r="B112" i="25"/>
  <c r="C112" i="25"/>
  <c r="D112" i="25"/>
  <c r="E112" i="25"/>
  <c r="B113" i="25"/>
  <c r="C113" i="25"/>
  <c r="D113" i="25"/>
  <c r="E113" i="25"/>
  <c r="B114" i="25"/>
  <c r="C114" i="25"/>
  <c r="D114" i="25"/>
  <c r="E114" i="25"/>
  <c r="B115" i="25"/>
  <c r="C115" i="25"/>
  <c r="D115" i="25"/>
  <c r="E115" i="25"/>
  <c r="B116" i="25"/>
  <c r="C116" i="25"/>
  <c r="D116" i="25"/>
  <c r="E116" i="25"/>
  <c r="B117" i="25"/>
  <c r="C117" i="25"/>
  <c r="D117" i="25"/>
  <c r="E117" i="25"/>
  <c r="B118" i="25"/>
  <c r="C118" i="25"/>
  <c r="D118" i="25"/>
  <c r="E118" i="25"/>
  <c r="B119" i="25"/>
  <c r="C119" i="25"/>
  <c r="D119" i="25"/>
  <c r="E119" i="25"/>
  <c r="B120" i="25"/>
  <c r="C120" i="25"/>
  <c r="D120" i="25"/>
  <c r="E120" i="25"/>
  <c r="B121" i="25"/>
  <c r="C121" i="25"/>
  <c r="D121" i="25"/>
  <c r="E121" i="25"/>
  <c r="B122" i="25"/>
  <c r="C122" i="25"/>
  <c r="D122" i="25"/>
  <c r="E122" i="25"/>
  <c r="B123" i="25"/>
  <c r="C123" i="25"/>
  <c r="D123" i="25"/>
  <c r="E123" i="25"/>
  <c r="B124" i="25"/>
  <c r="C124" i="25"/>
  <c r="D124" i="25"/>
  <c r="E124" i="25"/>
  <c r="B125" i="25"/>
  <c r="C125" i="25"/>
  <c r="D125" i="25"/>
  <c r="E125" i="25"/>
  <c r="B126" i="25"/>
  <c r="C126" i="25"/>
  <c r="D126" i="25"/>
  <c r="E126" i="25"/>
  <c r="B127" i="25"/>
  <c r="C127" i="25"/>
  <c r="D127" i="25"/>
  <c r="E127" i="25"/>
  <c r="B128" i="25"/>
  <c r="C128" i="25"/>
  <c r="D128" i="25"/>
  <c r="E128" i="25"/>
  <c r="B129" i="25"/>
  <c r="C129" i="25"/>
  <c r="D129" i="25"/>
  <c r="E129" i="25"/>
  <c r="B130" i="25"/>
  <c r="C130" i="25"/>
  <c r="D130" i="25"/>
  <c r="E130" i="25"/>
  <c r="B131" i="25"/>
  <c r="C131" i="25"/>
  <c r="D131" i="25"/>
  <c r="E131" i="25"/>
  <c r="B132" i="25"/>
  <c r="C132" i="25"/>
  <c r="D132" i="25"/>
  <c r="E132" i="25"/>
  <c r="B133" i="25"/>
  <c r="C133" i="25"/>
  <c r="D133" i="25"/>
  <c r="E133" i="25"/>
  <c r="B134" i="25"/>
  <c r="C134" i="25"/>
  <c r="D134" i="25"/>
  <c r="E134" i="25"/>
  <c r="B135" i="25"/>
  <c r="C135" i="25"/>
  <c r="D135" i="25"/>
  <c r="E135" i="25"/>
  <c r="B136" i="25"/>
  <c r="C136" i="25"/>
  <c r="D136" i="25"/>
  <c r="E136" i="25"/>
  <c r="B137" i="25"/>
  <c r="C137" i="25"/>
  <c r="D137" i="25"/>
  <c r="E137" i="25"/>
  <c r="B138" i="25"/>
  <c r="C138" i="25"/>
  <c r="D138" i="25"/>
  <c r="E138" i="25"/>
  <c r="B139" i="25"/>
  <c r="C139" i="25"/>
  <c r="D139" i="25"/>
  <c r="E139" i="25"/>
  <c r="B140" i="25"/>
  <c r="C140" i="25"/>
  <c r="D140" i="25"/>
  <c r="E140" i="25"/>
  <c r="B141" i="25"/>
  <c r="C141" i="25"/>
  <c r="D141" i="25"/>
  <c r="E141" i="25"/>
  <c r="B142" i="25"/>
  <c r="C142" i="25"/>
  <c r="D142" i="25"/>
  <c r="E142" i="25"/>
  <c r="B143" i="25"/>
  <c r="C143" i="25"/>
  <c r="D143" i="25"/>
  <c r="E143" i="25"/>
  <c r="B144" i="25"/>
  <c r="C144" i="25"/>
  <c r="D144" i="25"/>
  <c r="E144" i="25"/>
  <c r="B145" i="25"/>
  <c r="C145" i="25"/>
  <c r="D145" i="25"/>
  <c r="E145" i="25"/>
  <c r="B146" i="25"/>
  <c r="C146" i="25"/>
  <c r="D146" i="25"/>
  <c r="E146" i="25"/>
  <c r="B147" i="25"/>
  <c r="C147" i="25"/>
  <c r="D147" i="25"/>
  <c r="E147" i="25"/>
  <c r="B148" i="25"/>
  <c r="C148" i="25"/>
  <c r="D148" i="25"/>
  <c r="E148" i="25"/>
  <c r="B149" i="25"/>
  <c r="C149" i="25"/>
  <c r="D149" i="25"/>
  <c r="E149" i="25"/>
  <c r="B150" i="25"/>
  <c r="C150" i="25"/>
  <c r="D150" i="25"/>
  <c r="E150" i="25"/>
  <c r="B151" i="25"/>
  <c r="C151" i="25"/>
  <c r="D151" i="25"/>
  <c r="E151" i="25"/>
  <c r="B152" i="25"/>
  <c r="C152" i="25"/>
  <c r="D152" i="25"/>
  <c r="E152" i="25"/>
  <c r="B153" i="25"/>
  <c r="C153" i="25"/>
  <c r="D153" i="25"/>
  <c r="E153" i="25"/>
  <c r="B154" i="25"/>
  <c r="C154" i="25"/>
  <c r="D154" i="25"/>
  <c r="E154" i="25"/>
  <c r="B155" i="25"/>
  <c r="C155" i="25"/>
  <c r="D155" i="25"/>
  <c r="E155" i="25"/>
  <c r="B156" i="25"/>
  <c r="C156" i="25"/>
  <c r="D156" i="25"/>
  <c r="E156" i="25"/>
  <c r="B157" i="25"/>
  <c r="C157" i="25"/>
  <c r="D157" i="25"/>
  <c r="E157" i="25"/>
  <c r="B158" i="25"/>
  <c r="C158" i="25"/>
  <c r="D158" i="25"/>
  <c r="E158" i="25"/>
  <c r="B159" i="25"/>
  <c r="C159" i="25"/>
  <c r="D159" i="25"/>
  <c r="E159" i="25"/>
  <c r="B160" i="25"/>
  <c r="C160" i="25"/>
  <c r="D160" i="25"/>
  <c r="E160" i="25"/>
  <c r="B161" i="25"/>
  <c r="C161" i="25"/>
  <c r="D161" i="25"/>
  <c r="E161" i="25"/>
  <c r="B162" i="25"/>
  <c r="C162" i="25"/>
  <c r="D162" i="25"/>
  <c r="E162" i="25"/>
  <c r="B163" i="25"/>
  <c r="C163" i="25"/>
  <c r="D163" i="25"/>
  <c r="E163" i="25"/>
  <c r="B164" i="25"/>
  <c r="C164" i="25"/>
  <c r="D164" i="25"/>
  <c r="E164" i="25"/>
  <c r="B165" i="25"/>
  <c r="C165" i="25"/>
  <c r="D165" i="25"/>
  <c r="E165" i="25"/>
  <c r="B166" i="25"/>
  <c r="C166" i="25"/>
  <c r="D166" i="25"/>
  <c r="E166" i="25"/>
  <c r="B167" i="25"/>
  <c r="C167" i="25"/>
  <c r="D167" i="25"/>
  <c r="E167" i="25"/>
  <c r="B168" i="25"/>
  <c r="C168" i="25"/>
  <c r="D168" i="25"/>
  <c r="E168" i="25"/>
  <c r="B169" i="25"/>
  <c r="C169" i="25"/>
  <c r="D169" i="25"/>
  <c r="E169" i="25"/>
  <c r="B170" i="25"/>
  <c r="C170" i="25"/>
  <c r="D170" i="25"/>
  <c r="E170" i="25"/>
  <c r="B171" i="25"/>
  <c r="C171" i="25"/>
  <c r="D171" i="25"/>
  <c r="E171" i="25"/>
  <c r="B172" i="25"/>
  <c r="C172" i="25"/>
  <c r="D172" i="25"/>
  <c r="E172" i="25"/>
  <c r="B173" i="25"/>
  <c r="C173" i="25"/>
  <c r="D173" i="25"/>
  <c r="E173" i="25"/>
  <c r="B174" i="25"/>
  <c r="C174" i="25"/>
  <c r="D174" i="25"/>
  <c r="E174" i="25"/>
  <c r="B175" i="25"/>
  <c r="C175" i="25"/>
  <c r="D175" i="25"/>
  <c r="E175" i="25"/>
  <c r="B176" i="25"/>
  <c r="C176" i="25"/>
  <c r="D176" i="25"/>
  <c r="E176" i="25"/>
  <c r="B177" i="25"/>
  <c r="C177" i="25"/>
  <c r="D177" i="25"/>
  <c r="E177" i="25"/>
  <c r="B178" i="25"/>
  <c r="C178" i="25"/>
  <c r="D178" i="25"/>
  <c r="E178" i="25"/>
  <c r="B179" i="25"/>
  <c r="C179" i="25"/>
  <c r="D179" i="25"/>
  <c r="E179" i="25"/>
  <c r="B180" i="25"/>
  <c r="C180" i="25"/>
  <c r="D180" i="25"/>
  <c r="E180" i="25"/>
  <c r="B181" i="25"/>
  <c r="C181" i="25"/>
  <c r="D181" i="25"/>
  <c r="E181" i="25"/>
  <c r="B182" i="25"/>
  <c r="C182" i="25"/>
  <c r="D182" i="25"/>
  <c r="E182" i="25"/>
  <c r="B183" i="25"/>
  <c r="C183" i="25"/>
  <c r="D183" i="25"/>
  <c r="E183" i="25"/>
  <c r="B184" i="25"/>
  <c r="C184" i="25"/>
  <c r="D184" i="25"/>
  <c r="E184" i="25"/>
  <c r="B185" i="25"/>
  <c r="C185" i="25"/>
  <c r="D185" i="25"/>
  <c r="E185" i="25"/>
  <c r="B186" i="25"/>
  <c r="C186" i="25"/>
  <c r="D186" i="25"/>
  <c r="E186" i="25"/>
  <c r="B187" i="25"/>
  <c r="C187" i="25"/>
  <c r="D187" i="25"/>
  <c r="E187" i="25"/>
  <c r="B188" i="25"/>
  <c r="C188" i="25"/>
  <c r="D188" i="25"/>
  <c r="E188" i="25"/>
  <c r="B189" i="25"/>
  <c r="C189" i="25"/>
  <c r="D189" i="25"/>
  <c r="E189" i="25"/>
  <c r="B190" i="25"/>
  <c r="C190" i="25"/>
  <c r="D190" i="25"/>
  <c r="E190" i="25"/>
  <c r="B191" i="25"/>
  <c r="C191" i="25"/>
  <c r="D191" i="25"/>
  <c r="E191" i="25"/>
  <c r="B192" i="25"/>
  <c r="C192" i="25"/>
  <c r="D192" i="25"/>
  <c r="E192" i="25"/>
  <c r="B193" i="25"/>
  <c r="C193" i="25"/>
  <c r="D193" i="25"/>
  <c r="E193" i="25"/>
  <c r="B194" i="25"/>
  <c r="C194" i="25"/>
  <c r="D194" i="25"/>
  <c r="E194" i="25"/>
  <c r="B195" i="25"/>
  <c r="C195" i="25"/>
  <c r="D195" i="25"/>
  <c r="E195" i="25"/>
  <c r="B196" i="25"/>
  <c r="C196" i="25"/>
  <c r="D196" i="25"/>
  <c r="E196" i="25"/>
  <c r="B197" i="25"/>
  <c r="C197" i="25"/>
  <c r="D197" i="25"/>
  <c r="E197" i="25"/>
  <c r="B198" i="25"/>
  <c r="C198" i="25"/>
  <c r="D198" i="25"/>
  <c r="E198" i="25"/>
  <c r="B199" i="25"/>
  <c r="C199" i="25"/>
  <c r="D199" i="25"/>
  <c r="E199" i="25"/>
  <c r="B200" i="25"/>
  <c r="C200" i="25"/>
  <c r="D200" i="25"/>
  <c r="E200" i="25"/>
  <c r="B201" i="25"/>
  <c r="C201" i="25"/>
  <c r="D201" i="25"/>
  <c r="E201" i="25"/>
  <c r="B202" i="25"/>
  <c r="C202" i="25"/>
  <c r="D202" i="25"/>
  <c r="E202" i="25"/>
  <c r="B203" i="25"/>
  <c r="C203" i="25"/>
  <c r="D203" i="25"/>
  <c r="E203" i="25"/>
  <c r="B204" i="25"/>
  <c r="C204" i="25"/>
  <c r="D204" i="25"/>
  <c r="E204" i="25"/>
  <c r="B205" i="25"/>
  <c r="C205" i="25"/>
  <c r="D205" i="25"/>
  <c r="E205" i="25"/>
  <c r="B206" i="25"/>
  <c r="C206" i="25"/>
  <c r="D206" i="25"/>
  <c r="E206" i="25"/>
  <c r="B207" i="25"/>
  <c r="C207" i="25"/>
  <c r="D207" i="25"/>
  <c r="E207" i="25"/>
  <c r="B208" i="25"/>
  <c r="C208" i="25"/>
  <c r="D208" i="25"/>
  <c r="E208" i="25"/>
  <c r="B209" i="25"/>
  <c r="C209" i="25"/>
  <c r="D209" i="25"/>
  <c r="E209" i="25"/>
  <c r="B210" i="25"/>
  <c r="C210" i="25"/>
  <c r="D210" i="25"/>
  <c r="E210" i="25"/>
  <c r="B211" i="25"/>
  <c r="C211" i="25"/>
  <c r="D211" i="25"/>
  <c r="E211" i="25"/>
  <c r="B212" i="25"/>
  <c r="C212" i="25"/>
  <c r="D212" i="25"/>
  <c r="E212" i="25"/>
  <c r="B213" i="25"/>
  <c r="C213" i="25"/>
  <c r="D213" i="25"/>
  <c r="E213" i="25"/>
  <c r="B214" i="25"/>
  <c r="C214" i="25"/>
  <c r="D214" i="25"/>
  <c r="E214" i="25"/>
  <c r="B215" i="25"/>
  <c r="C215" i="25"/>
  <c r="D215" i="25"/>
  <c r="E215" i="25"/>
  <c r="B216" i="25"/>
  <c r="C216" i="25"/>
  <c r="D216" i="25"/>
  <c r="E216" i="25"/>
  <c r="B217" i="25"/>
  <c r="C217" i="25"/>
  <c r="D217" i="25"/>
  <c r="E217" i="25"/>
  <c r="B218" i="25"/>
  <c r="C218" i="25"/>
  <c r="D218" i="25"/>
  <c r="E218" i="25"/>
  <c r="B219" i="25"/>
  <c r="C219" i="25"/>
  <c r="D219" i="25"/>
  <c r="E219" i="25"/>
  <c r="B220" i="25"/>
  <c r="C220" i="25"/>
  <c r="D220" i="25"/>
  <c r="E220" i="25"/>
  <c r="B221" i="25"/>
  <c r="C221" i="25"/>
  <c r="D221" i="25"/>
  <c r="E221" i="25"/>
  <c r="B222" i="25"/>
  <c r="C222" i="25"/>
  <c r="D222" i="25"/>
  <c r="E222" i="25"/>
  <c r="B223" i="25"/>
  <c r="C223" i="25"/>
  <c r="D223" i="25"/>
  <c r="E223" i="25"/>
  <c r="B224" i="25"/>
  <c r="C224" i="25"/>
  <c r="D224" i="25"/>
  <c r="E224" i="25"/>
  <c r="B225" i="25"/>
  <c r="C225" i="25"/>
  <c r="D225" i="25"/>
  <c r="E225" i="25"/>
  <c r="B226" i="25"/>
  <c r="C226" i="25"/>
  <c r="D226" i="25"/>
  <c r="E226" i="25"/>
  <c r="B227" i="25"/>
  <c r="C227" i="25"/>
  <c r="D227" i="25"/>
  <c r="E227" i="25"/>
  <c r="B228" i="25"/>
  <c r="C228" i="25"/>
  <c r="D228" i="25"/>
  <c r="E228" i="25"/>
  <c r="B229" i="25"/>
  <c r="C229" i="25"/>
  <c r="D229" i="25"/>
  <c r="E229" i="25"/>
  <c r="B230" i="25"/>
  <c r="C230" i="25"/>
  <c r="D230" i="25"/>
  <c r="E230" i="25"/>
  <c r="B231" i="25"/>
  <c r="C231" i="25"/>
  <c r="D231" i="25"/>
  <c r="E231" i="25"/>
  <c r="B232" i="25"/>
  <c r="C232" i="25"/>
  <c r="D232" i="25"/>
  <c r="E232" i="25"/>
  <c r="B233" i="25"/>
  <c r="C233" i="25"/>
  <c r="D233" i="25"/>
  <c r="E233" i="25"/>
  <c r="B234" i="25"/>
  <c r="C234" i="25"/>
  <c r="D234" i="25"/>
  <c r="E234" i="25"/>
  <c r="B235" i="25"/>
  <c r="C235" i="25"/>
  <c r="D235" i="25"/>
  <c r="E235" i="25"/>
  <c r="B236" i="25"/>
  <c r="C236" i="25"/>
  <c r="D236" i="25"/>
  <c r="E236" i="25"/>
  <c r="B237" i="25"/>
  <c r="C237" i="25"/>
  <c r="D237" i="25"/>
  <c r="E237" i="25"/>
  <c r="B238" i="25"/>
  <c r="C238" i="25"/>
  <c r="D238" i="25"/>
  <c r="E238" i="25"/>
  <c r="B239" i="25"/>
  <c r="C239" i="25"/>
  <c r="D239" i="25"/>
  <c r="E239" i="25"/>
  <c r="B240" i="25"/>
  <c r="C240" i="25"/>
  <c r="D240" i="25"/>
  <c r="E240" i="25"/>
  <c r="B241" i="25"/>
  <c r="C241" i="25"/>
  <c r="D241" i="25"/>
  <c r="E241" i="25"/>
  <c r="B242" i="25"/>
  <c r="C242" i="25"/>
  <c r="D242" i="25"/>
  <c r="E242" i="25"/>
  <c r="B243" i="25"/>
  <c r="C243" i="25"/>
  <c r="D243" i="25"/>
  <c r="E243" i="25"/>
  <c r="B244" i="25"/>
  <c r="C244" i="25"/>
  <c r="D244" i="25"/>
  <c r="E244" i="25"/>
  <c r="B245" i="25"/>
  <c r="C245" i="25"/>
  <c r="D245" i="25"/>
  <c r="E245" i="25"/>
  <c r="B246" i="25"/>
  <c r="C246" i="25"/>
  <c r="D246" i="25"/>
  <c r="E246" i="25"/>
  <c r="B247" i="25"/>
  <c r="C247" i="25"/>
  <c r="D247" i="25"/>
  <c r="E247" i="25"/>
  <c r="B248" i="25"/>
  <c r="C248" i="25"/>
  <c r="D248" i="25"/>
  <c r="E248" i="25"/>
  <c r="B249" i="25"/>
  <c r="C249" i="25"/>
  <c r="D249" i="25"/>
  <c r="E249" i="25"/>
  <c r="B250" i="25"/>
  <c r="C250" i="25"/>
  <c r="D250" i="25"/>
  <c r="E250" i="25"/>
  <c r="B251" i="25"/>
  <c r="C251" i="25"/>
  <c r="D251" i="25"/>
  <c r="E251" i="25"/>
  <c r="B252" i="25"/>
  <c r="C252" i="25"/>
  <c r="D252" i="25"/>
  <c r="E252" i="25"/>
  <c r="B253" i="25"/>
  <c r="C253" i="25"/>
  <c r="D253" i="25"/>
  <c r="E253" i="25"/>
  <c r="B254" i="25"/>
  <c r="C254" i="25"/>
  <c r="D254" i="25"/>
  <c r="E254" i="25"/>
  <c r="B255" i="25"/>
  <c r="C255" i="25"/>
  <c r="D255" i="25"/>
  <c r="E255" i="25"/>
  <c r="B256" i="25"/>
  <c r="C256" i="25"/>
  <c r="D256" i="25"/>
  <c r="E256" i="25"/>
  <c r="B257" i="25"/>
  <c r="C257" i="25"/>
  <c r="D257" i="25"/>
  <c r="E257" i="25"/>
  <c r="B258" i="25"/>
  <c r="C258" i="25"/>
  <c r="D258" i="25"/>
  <c r="E258" i="25"/>
  <c r="B259" i="25"/>
  <c r="C259" i="25"/>
  <c r="D259" i="25"/>
  <c r="E259" i="25"/>
  <c r="B260" i="25"/>
  <c r="C260" i="25"/>
  <c r="D260" i="25"/>
  <c r="E260" i="25"/>
  <c r="B261" i="25"/>
  <c r="C261" i="25"/>
  <c r="D261" i="25"/>
  <c r="E261" i="25"/>
  <c r="B262" i="25"/>
  <c r="C262" i="25"/>
  <c r="D262" i="25"/>
  <c r="E262" i="25"/>
  <c r="B263" i="25"/>
  <c r="C263" i="25"/>
  <c r="D263" i="25"/>
  <c r="E263" i="25"/>
  <c r="B264" i="25"/>
  <c r="C264" i="25"/>
  <c r="D264" i="25"/>
  <c r="E264" i="25"/>
  <c r="B265" i="25"/>
  <c r="C265" i="25"/>
  <c r="D265" i="25"/>
  <c r="E265" i="25"/>
  <c r="B266" i="25"/>
  <c r="C266" i="25"/>
  <c r="D266" i="25"/>
  <c r="E266" i="25"/>
  <c r="B267" i="25"/>
  <c r="C267" i="25"/>
  <c r="D267" i="25"/>
  <c r="E267" i="25"/>
  <c r="B268" i="25"/>
  <c r="C268" i="25"/>
  <c r="D268" i="25"/>
  <c r="E268" i="25"/>
  <c r="B269" i="25"/>
  <c r="C269" i="25"/>
  <c r="D269" i="25"/>
  <c r="E269" i="25"/>
  <c r="B270" i="25"/>
  <c r="C270" i="25"/>
  <c r="D270" i="25"/>
  <c r="E270" i="25"/>
  <c r="B271" i="25"/>
  <c r="C271" i="25"/>
  <c r="D271" i="25"/>
  <c r="E271" i="25"/>
  <c r="B272" i="25"/>
  <c r="C272" i="25"/>
  <c r="D272" i="25"/>
  <c r="E272" i="25"/>
  <c r="B273" i="25"/>
  <c r="C273" i="25"/>
  <c r="D273" i="25"/>
  <c r="E273" i="25"/>
  <c r="B274" i="25"/>
  <c r="C274" i="25"/>
  <c r="D274" i="25"/>
  <c r="E274" i="25"/>
  <c r="B275" i="25"/>
  <c r="C275" i="25"/>
  <c r="D275" i="25"/>
  <c r="E275" i="25"/>
  <c r="B276" i="25"/>
  <c r="C276" i="25"/>
  <c r="D276" i="25"/>
  <c r="E276" i="25"/>
  <c r="B277" i="25"/>
  <c r="C277" i="25"/>
  <c r="D277" i="25"/>
  <c r="E277" i="25"/>
  <c r="B278" i="25"/>
  <c r="C278" i="25"/>
  <c r="D278" i="25"/>
  <c r="E278" i="25"/>
  <c r="B279" i="25"/>
  <c r="C279" i="25"/>
  <c r="D279" i="25"/>
  <c r="E279" i="25"/>
  <c r="B280" i="25"/>
  <c r="C280" i="25"/>
  <c r="D280" i="25"/>
  <c r="E280" i="25"/>
  <c r="B281" i="25"/>
  <c r="C281" i="25"/>
  <c r="D281" i="25"/>
  <c r="E281" i="25"/>
  <c r="B282" i="25"/>
  <c r="C282" i="25"/>
  <c r="D282" i="25"/>
  <c r="E282" i="25"/>
  <c r="B283" i="25"/>
  <c r="C283" i="25"/>
  <c r="D283" i="25"/>
  <c r="E283" i="25"/>
  <c r="B284" i="25"/>
  <c r="C284" i="25"/>
  <c r="D284" i="25"/>
  <c r="E284" i="25"/>
  <c r="B285" i="25"/>
  <c r="C285" i="25"/>
  <c r="D285" i="25"/>
  <c r="E285" i="25"/>
  <c r="B286" i="25"/>
  <c r="C286" i="25"/>
  <c r="D286" i="25"/>
  <c r="E286" i="25"/>
  <c r="B287" i="25"/>
  <c r="C287" i="25"/>
  <c r="D287" i="25"/>
  <c r="E287" i="25"/>
  <c r="B288" i="25"/>
  <c r="C288" i="25"/>
  <c r="D288" i="25"/>
  <c r="E288" i="25"/>
  <c r="B289" i="25"/>
  <c r="C289" i="25"/>
  <c r="D289" i="25"/>
  <c r="E289" i="25"/>
  <c r="B290" i="25"/>
  <c r="C290" i="25"/>
  <c r="D290" i="25"/>
  <c r="E290" i="25"/>
  <c r="B291" i="25"/>
  <c r="C291" i="25"/>
  <c r="D291" i="25"/>
  <c r="E291" i="25"/>
  <c r="B292" i="25"/>
  <c r="C292" i="25"/>
  <c r="D292" i="25"/>
  <c r="E292" i="25"/>
  <c r="B293" i="25"/>
  <c r="C293" i="25"/>
  <c r="D293" i="25"/>
  <c r="E293" i="25"/>
  <c r="B294" i="25"/>
  <c r="C294" i="25"/>
  <c r="D294" i="25"/>
  <c r="E294" i="25"/>
  <c r="B295" i="25"/>
  <c r="C295" i="25"/>
  <c r="D295" i="25"/>
  <c r="E295" i="25"/>
  <c r="B296" i="25"/>
  <c r="C296" i="25"/>
  <c r="D296" i="25"/>
  <c r="E296" i="25"/>
  <c r="B297" i="25"/>
  <c r="C297" i="25"/>
  <c r="D297" i="25"/>
  <c r="E297" i="25"/>
  <c r="B298" i="25"/>
  <c r="C298" i="25"/>
  <c r="D298" i="25"/>
  <c r="E298" i="25"/>
  <c r="B299" i="25"/>
  <c r="C299" i="25"/>
  <c r="D299" i="25"/>
  <c r="E299" i="25"/>
  <c r="B300" i="25"/>
  <c r="C300" i="25"/>
  <c r="D300" i="25"/>
  <c r="E300" i="25"/>
  <c r="B301" i="25"/>
  <c r="C301" i="25"/>
  <c r="D301" i="25"/>
  <c r="E301" i="25"/>
  <c r="B302" i="25"/>
  <c r="C302" i="25"/>
  <c r="D302" i="25"/>
  <c r="E302" i="25"/>
  <c r="B303" i="25"/>
  <c r="C303" i="25"/>
  <c r="D303" i="25"/>
  <c r="E303" i="25"/>
  <c r="B304" i="25"/>
  <c r="C304" i="25"/>
  <c r="D304" i="25"/>
  <c r="E304" i="25"/>
  <c r="B305" i="25"/>
  <c r="C305" i="25"/>
  <c r="D305" i="25"/>
  <c r="E305" i="25"/>
  <c r="B306" i="25"/>
  <c r="C306" i="25"/>
  <c r="D306" i="25"/>
  <c r="E306" i="25"/>
  <c r="B307" i="25"/>
  <c r="C307" i="25"/>
  <c r="D307" i="25"/>
  <c r="E307" i="25"/>
  <c r="B308" i="25"/>
  <c r="C308" i="25"/>
  <c r="D308" i="25"/>
  <c r="E308" i="25"/>
  <c r="B309" i="25"/>
  <c r="C309" i="25"/>
  <c r="D309" i="25"/>
  <c r="E309" i="25"/>
  <c r="B310" i="25"/>
  <c r="C310" i="25"/>
  <c r="D310" i="25"/>
  <c r="E310" i="25"/>
  <c r="B311" i="25"/>
  <c r="C311" i="25"/>
  <c r="D311" i="25"/>
  <c r="E311" i="25"/>
  <c r="B312" i="25"/>
  <c r="C312" i="25"/>
  <c r="D312" i="25"/>
  <c r="E312" i="25"/>
  <c r="B313" i="25"/>
  <c r="C313" i="25"/>
  <c r="D313" i="25"/>
  <c r="E313" i="25"/>
  <c r="B314" i="25"/>
  <c r="C314" i="25"/>
  <c r="D314" i="25"/>
  <c r="E314" i="25"/>
  <c r="B315" i="25"/>
  <c r="C315" i="25"/>
  <c r="D315" i="25"/>
  <c r="E315" i="25"/>
  <c r="B316" i="25"/>
  <c r="C316" i="25"/>
  <c r="D316" i="25"/>
  <c r="E316" i="25"/>
  <c r="B317" i="25"/>
  <c r="C317" i="25"/>
  <c r="D317" i="25"/>
  <c r="E317" i="25"/>
  <c r="B318" i="25"/>
  <c r="C318" i="25"/>
  <c r="D318" i="25"/>
  <c r="E318" i="25"/>
  <c r="B319" i="25"/>
  <c r="C319" i="25"/>
  <c r="D319" i="25"/>
  <c r="E319" i="25"/>
  <c r="B320" i="25"/>
  <c r="C320" i="25"/>
  <c r="D320" i="25"/>
  <c r="E320" i="25"/>
  <c r="B321" i="25"/>
  <c r="C321" i="25"/>
  <c r="D321" i="25"/>
  <c r="E321" i="25"/>
  <c r="B322" i="25"/>
  <c r="C322" i="25"/>
  <c r="D322" i="25"/>
  <c r="E322" i="25"/>
  <c r="B323" i="25"/>
  <c r="C323" i="25"/>
  <c r="D323" i="25"/>
  <c r="E323" i="25"/>
  <c r="B324" i="25"/>
  <c r="C324" i="25"/>
  <c r="D324" i="25"/>
  <c r="E324" i="25"/>
  <c r="B325" i="25"/>
  <c r="C325" i="25"/>
  <c r="D325" i="25"/>
  <c r="E325" i="25"/>
  <c r="B326" i="25"/>
  <c r="C326" i="25"/>
  <c r="D326" i="25"/>
  <c r="E326" i="25"/>
  <c r="B327" i="25"/>
  <c r="C327" i="25"/>
  <c r="D327" i="25"/>
  <c r="E327" i="25"/>
  <c r="B328" i="25"/>
  <c r="C328" i="25"/>
  <c r="D328" i="25"/>
  <c r="E328" i="25"/>
  <c r="B329" i="25"/>
  <c r="C329" i="25"/>
  <c r="D329" i="25"/>
  <c r="E329" i="25"/>
  <c r="B330" i="25"/>
  <c r="C330" i="25"/>
  <c r="D330" i="25"/>
  <c r="E330" i="25"/>
  <c r="B331" i="25"/>
  <c r="C331" i="25"/>
  <c r="D331" i="25"/>
  <c r="E331" i="25"/>
  <c r="B332" i="25"/>
  <c r="C332" i="25"/>
  <c r="D332" i="25"/>
  <c r="E332" i="25"/>
  <c r="B333" i="25"/>
  <c r="C333" i="25"/>
  <c r="D333" i="25"/>
  <c r="E333" i="25"/>
  <c r="B334" i="25"/>
  <c r="C334" i="25"/>
  <c r="D334" i="25"/>
  <c r="E334" i="25"/>
  <c r="B335" i="25"/>
  <c r="C335" i="25"/>
  <c r="D335" i="25"/>
  <c r="E335" i="25"/>
  <c r="B336" i="25"/>
  <c r="C336" i="25"/>
  <c r="D336" i="25"/>
  <c r="E336" i="25"/>
  <c r="B337" i="25"/>
  <c r="C337" i="25"/>
  <c r="D337" i="25"/>
  <c r="E337" i="25"/>
  <c r="B338" i="25"/>
  <c r="C338" i="25"/>
  <c r="D338" i="25"/>
  <c r="E338" i="25"/>
  <c r="B339" i="25"/>
  <c r="C339" i="25"/>
  <c r="D339" i="25"/>
  <c r="E339" i="25"/>
  <c r="B340" i="25"/>
  <c r="C340" i="25"/>
  <c r="D340" i="25"/>
  <c r="E340" i="25"/>
  <c r="B341" i="25"/>
  <c r="C341" i="25"/>
  <c r="D341" i="25"/>
  <c r="E341" i="25"/>
  <c r="B342" i="25"/>
  <c r="C342" i="25"/>
  <c r="D342" i="25"/>
  <c r="E342" i="25"/>
  <c r="B343" i="25"/>
  <c r="C343" i="25"/>
  <c r="D343" i="25"/>
  <c r="E343" i="25"/>
  <c r="B344" i="25"/>
  <c r="C344" i="25"/>
  <c r="D344" i="25"/>
  <c r="E344" i="25"/>
  <c r="B345" i="25"/>
  <c r="C345" i="25"/>
  <c r="D345" i="25"/>
  <c r="E345" i="25"/>
  <c r="B346" i="25"/>
  <c r="C346" i="25"/>
  <c r="D346" i="25"/>
  <c r="E346" i="25"/>
  <c r="B347" i="25"/>
  <c r="C347" i="25"/>
  <c r="D347" i="25"/>
  <c r="E347" i="25"/>
  <c r="B348" i="25"/>
  <c r="C348" i="25"/>
  <c r="D348" i="25"/>
  <c r="E348" i="25"/>
  <c r="B349" i="25"/>
  <c r="C349" i="25"/>
  <c r="D349" i="25"/>
  <c r="E349" i="25"/>
  <c r="B350" i="25"/>
  <c r="C350" i="25"/>
  <c r="D350" i="25"/>
  <c r="E350" i="25"/>
  <c r="B351" i="25"/>
  <c r="C351" i="25"/>
  <c r="D351" i="25"/>
  <c r="E351" i="25"/>
  <c r="B352" i="25"/>
  <c r="C352" i="25"/>
  <c r="D352" i="25"/>
  <c r="E352" i="25"/>
  <c r="B353" i="25"/>
  <c r="C353" i="25"/>
  <c r="D353" i="25"/>
  <c r="E353" i="25"/>
  <c r="B354" i="25"/>
  <c r="C354" i="25"/>
  <c r="D354" i="25"/>
  <c r="E354" i="25"/>
  <c r="B355" i="25"/>
  <c r="C355" i="25"/>
  <c r="D355" i="25"/>
  <c r="E355" i="25"/>
  <c r="B356" i="25"/>
  <c r="C356" i="25"/>
  <c r="D356" i="25"/>
  <c r="E356" i="25"/>
  <c r="B357" i="25"/>
  <c r="C357" i="25"/>
  <c r="D357" i="25"/>
  <c r="E357" i="25"/>
  <c r="B358" i="25"/>
  <c r="C358" i="25"/>
  <c r="D358" i="25"/>
  <c r="E358" i="25"/>
  <c r="B359" i="25"/>
  <c r="C359" i="25"/>
  <c r="D359" i="25"/>
  <c r="E359" i="25"/>
  <c r="B360" i="25"/>
  <c r="C360" i="25"/>
  <c r="D360" i="25"/>
  <c r="E360" i="25"/>
  <c r="B361" i="25"/>
  <c r="C361" i="25"/>
  <c r="D361" i="25"/>
  <c r="E361" i="25"/>
  <c r="B362" i="25"/>
  <c r="C362" i="25"/>
  <c r="D362" i="25"/>
  <c r="E362" i="25"/>
  <c r="B363" i="25"/>
  <c r="C363" i="25"/>
  <c r="D363" i="25"/>
  <c r="E363" i="25"/>
  <c r="B364" i="25"/>
  <c r="C364" i="25"/>
  <c r="D364" i="25"/>
  <c r="E364" i="25"/>
  <c r="B365" i="25"/>
  <c r="C365" i="25"/>
  <c r="D365" i="25"/>
  <c r="E365" i="25"/>
  <c r="B366" i="25"/>
  <c r="C366" i="25"/>
  <c r="D366" i="25"/>
  <c r="E366" i="25"/>
  <c r="B367" i="25"/>
  <c r="C367" i="25"/>
  <c r="D367" i="25"/>
  <c r="E367" i="25"/>
  <c r="B368" i="25"/>
  <c r="C368" i="25"/>
  <c r="D368" i="25"/>
  <c r="E368" i="25"/>
  <c r="B369" i="25"/>
  <c r="C369" i="25"/>
  <c r="D369" i="25"/>
  <c r="E369" i="25"/>
  <c r="B370" i="25"/>
  <c r="C370" i="25"/>
  <c r="D370" i="25"/>
  <c r="E370" i="25"/>
  <c r="B371" i="25"/>
  <c r="C371" i="25"/>
  <c r="D371" i="25"/>
  <c r="E371" i="25"/>
  <c r="B372" i="25"/>
  <c r="C372" i="25"/>
  <c r="D372" i="25"/>
  <c r="E372" i="25"/>
  <c r="B373" i="25"/>
  <c r="C373" i="25"/>
  <c r="D373" i="25"/>
  <c r="E373" i="25"/>
  <c r="B374" i="25"/>
  <c r="C374" i="25"/>
  <c r="D374" i="25"/>
  <c r="E374" i="25"/>
  <c r="B375" i="25"/>
  <c r="C375" i="25"/>
  <c r="D375" i="25"/>
  <c r="E375" i="25"/>
  <c r="B376" i="25"/>
  <c r="C376" i="25"/>
  <c r="D376" i="25"/>
  <c r="E376" i="25"/>
  <c r="B377" i="25"/>
  <c r="C377" i="25"/>
  <c r="D377" i="25"/>
  <c r="E377" i="25"/>
  <c r="B378" i="25"/>
  <c r="C378" i="25"/>
  <c r="D378" i="25"/>
  <c r="E378" i="25"/>
  <c r="B379" i="25"/>
  <c r="C379" i="25"/>
  <c r="D379" i="25"/>
  <c r="E379" i="25"/>
  <c r="B380" i="25"/>
  <c r="C380" i="25"/>
  <c r="D380" i="25"/>
  <c r="E380" i="25"/>
  <c r="B381" i="25"/>
  <c r="C381" i="25"/>
  <c r="D381" i="25"/>
  <c r="E381" i="25"/>
  <c r="B382" i="25"/>
  <c r="C382" i="25"/>
  <c r="D382" i="25"/>
  <c r="E382" i="25"/>
  <c r="B383" i="25"/>
  <c r="C383" i="25"/>
  <c r="D383" i="25"/>
  <c r="E383" i="25"/>
  <c r="B384" i="25"/>
  <c r="C384" i="25"/>
  <c r="D384" i="25"/>
  <c r="E384" i="25"/>
  <c r="B385" i="25"/>
  <c r="C385" i="25"/>
  <c r="D385" i="25"/>
  <c r="E385" i="25"/>
  <c r="B386" i="25"/>
  <c r="C386" i="25"/>
  <c r="D386" i="25"/>
  <c r="E386" i="25"/>
  <c r="B387" i="25"/>
  <c r="C387" i="25"/>
  <c r="D387" i="25"/>
  <c r="E387" i="25"/>
  <c r="B388" i="25"/>
  <c r="C388" i="25"/>
  <c r="D388" i="25"/>
  <c r="E388" i="25"/>
  <c r="B389" i="25"/>
  <c r="C389" i="25"/>
  <c r="D389" i="25"/>
  <c r="E389" i="25"/>
  <c r="B390" i="25"/>
  <c r="C390" i="25"/>
  <c r="D390" i="25"/>
  <c r="E390" i="25"/>
  <c r="B391" i="25"/>
  <c r="C391" i="25"/>
  <c r="D391" i="25"/>
  <c r="E391" i="25"/>
  <c r="B392" i="25"/>
  <c r="C392" i="25"/>
  <c r="D392" i="25"/>
  <c r="E392" i="25"/>
  <c r="B393" i="25"/>
  <c r="C393" i="25"/>
  <c r="D393" i="25"/>
  <c r="E393" i="25"/>
  <c r="B394" i="25"/>
  <c r="C394" i="25"/>
  <c r="D394" i="25"/>
  <c r="E394" i="25"/>
  <c r="B395" i="25"/>
  <c r="C395" i="25"/>
  <c r="D395" i="25"/>
  <c r="E395" i="25"/>
  <c r="B396" i="25"/>
  <c r="C396" i="25"/>
  <c r="D396" i="25"/>
  <c r="E396" i="25"/>
  <c r="B397" i="25"/>
  <c r="C397" i="25"/>
  <c r="D397" i="25"/>
  <c r="E397" i="25"/>
  <c r="B398" i="25"/>
  <c r="C398" i="25"/>
  <c r="D398" i="25"/>
  <c r="E398" i="25"/>
  <c r="B399" i="25"/>
  <c r="C399" i="25"/>
  <c r="D399" i="25"/>
  <c r="E399" i="25"/>
  <c r="B400" i="25"/>
  <c r="C400" i="25"/>
  <c r="D400" i="25"/>
  <c r="E400" i="25"/>
  <c r="B401" i="25"/>
  <c r="C401" i="25"/>
  <c r="D401" i="25"/>
  <c r="E401" i="25"/>
  <c r="B402" i="25"/>
  <c r="C402" i="25"/>
  <c r="D402" i="25"/>
  <c r="E402" i="25"/>
  <c r="B403" i="25"/>
  <c r="C403" i="25"/>
  <c r="D403" i="25"/>
  <c r="E403" i="25"/>
  <c r="B404" i="25"/>
  <c r="C404" i="25"/>
  <c r="D404" i="25"/>
  <c r="E404" i="25"/>
  <c r="B405" i="25"/>
  <c r="C405" i="25"/>
  <c r="D405" i="25"/>
  <c r="E405" i="25"/>
  <c r="B406" i="25"/>
  <c r="C406" i="25"/>
  <c r="D406" i="25"/>
  <c r="E406" i="25"/>
  <c r="B407" i="25"/>
  <c r="C407" i="25"/>
  <c r="D407" i="25"/>
  <c r="E407" i="25"/>
  <c r="B408" i="25"/>
  <c r="C408" i="25"/>
  <c r="D408" i="25"/>
  <c r="E408" i="25"/>
  <c r="B409" i="25"/>
  <c r="C409" i="25"/>
  <c r="D409" i="25"/>
  <c r="E409" i="25"/>
  <c r="B410" i="25"/>
  <c r="C410" i="25"/>
  <c r="D410" i="25"/>
  <c r="E410" i="25"/>
  <c r="B411" i="25"/>
  <c r="C411" i="25"/>
  <c r="D411" i="25"/>
  <c r="E411" i="25"/>
  <c r="B412" i="25"/>
  <c r="C412" i="25"/>
  <c r="D412" i="25"/>
  <c r="E412" i="25"/>
  <c r="B413" i="25"/>
  <c r="C413" i="25"/>
  <c r="D413" i="25"/>
  <c r="E413" i="25"/>
  <c r="B414" i="25"/>
  <c r="C414" i="25"/>
  <c r="D414" i="25"/>
  <c r="E414" i="25"/>
  <c r="B415" i="25"/>
  <c r="C415" i="25"/>
  <c r="D415" i="25"/>
  <c r="E415" i="25"/>
  <c r="B416" i="25"/>
  <c r="C416" i="25"/>
  <c r="D416" i="25"/>
  <c r="E416" i="25"/>
  <c r="B417" i="25"/>
  <c r="C417" i="25"/>
  <c r="D417" i="25"/>
  <c r="E417" i="25"/>
  <c r="B418" i="25"/>
  <c r="C418" i="25"/>
  <c r="D418" i="25"/>
  <c r="E418" i="25"/>
  <c r="B419" i="25"/>
  <c r="C419" i="25"/>
  <c r="D419" i="25"/>
  <c r="E419" i="25"/>
  <c r="B420" i="25"/>
  <c r="C420" i="25"/>
  <c r="D420" i="25"/>
  <c r="E420" i="25"/>
  <c r="B421" i="25"/>
  <c r="C421" i="25"/>
  <c r="D421" i="25"/>
  <c r="E421" i="25"/>
  <c r="B422" i="25"/>
  <c r="C422" i="25"/>
  <c r="D422" i="25"/>
  <c r="E422" i="25"/>
  <c r="B423" i="25"/>
  <c r="C423" i="25"/>
  <c r="D423" i="25"/>
  <c r="E423" i="25"/>
  <c r="B424" i="25"/>
  <c r="C424" i="25"/>
  <c r="D424" i="25"/>
  <c r="E424" i="25"/>
  <c r="B425" i="25"/>
  <c r="C425" i="25"/>
  <c r="D425" i="25"/>
  <c r="E425" i="25"/>
  <c r="B426" i="25"/>
  <c r="C426" i="25"/>
  <c r="D426" i="25"/>
  <c r="E426" i="25"/>
  <c r="B427" i="25"/>
  <c r="C427" i="25"/>
  <c r="D427" i="25"/>
  <c r="E427" i="25"/>
  <c r="B428" i="25"/>
  <c r="C428" i="25"/>
  <c r="D428" i="25"/>
  <c r="E428" i="25"/>
  <c r="B429" i="25"/>
  <c r="C429" i="25"/>
  <c r="D429" i="25"/>
  <c r="E429" i="25"/>
  <c r="B430" i="25"/>
  <c r="C430" i="25"/>
  <c r="D430" i="25"/>
  <c r="E430" i="25"/>
  <c r="B431" i="25"/>
  <c r="C431" i="25"/>
  <c r="D431" i="25"/>
  <c r="E431" i="25"/>
  <c r="B432" i="25"/>
  <c r="C432" i="25"/>
  <c r="D432" i="25"/>
  <c r="E432" i="25"/>
  <c r="B433" i="25"/>
  <c r="C433" i="25"/>
  <c r="D433" i="25"/>
  <c r="E433" i="25"/>
  <c r="B434" i="25"/>
  <c r="C434" i="25"/>
  <c r="D434" i="25"/>
  <c r="E434" i="25"/>
  <c r="B435" i="25"/>
  <c r="C435" i="25"/>
  <c r="D435" i="25"/>
  <c r="E435" i="25"/>
  <c r="B436" i="25"/>
  <c r="C436" i="25"/>
  <c r="D436" i="25"/>
  <c r="E436" i="25"/>
  <c r="B437" i="25"/>
  <c r="C437" i="25"/>
  <c r="D437" i="25"/>
  <c r="E437" i="25"/>
  <c r="B438" i="25"/>
  <c r="C438" i="25"/>
  <c r="D438" i="25"/>
  <c r="E438" i="25"/>
  <c r="B439" i="25"/>
  <c r="C439" i="25"/>
  <c r="D439" i="25"/>
  <c r="E439" i="25"/>
  <c r="B440" i="25"/>
  <c r="C440" i="25"/>
  <c r="D440" i="25"/>
  <c r="E440" i="25"/>
  <c r="B441" i="25"/>
  <c r="C441" i="25"/>
  <c r="D441" i="25"/>
  <c r="E441" i="25"/>
  <c r="B442" i="25"/>
  <c r="C442" i="25"/>
  <c r="D442" i="25"/>
  <c r="E442" i="25"/>
  <c r="B443" i="25"/>
  <c r="C443" i="25"/>
  <c r="D443" i="25"/>
  <c r="E443" i="25"/>
  <c r="B444" i="25"/>
  <c r="C444" i="25"/>
  <c r="D444" i="25"/>
  <c r="E444" i="25"/>
  <c r="B445" i="25"/>
  <c r="C445" i="25"/>
  <c r="D445" i="25"/>
  <c r="E445" i="25"/>
  <c r="B446" i="25"/>
  <c r="C446" i="25"/>
  <c r="D446" i="25"/>
  <c r="E446" i="25"/>
  <c r="B447" i="25"/>
  <c r="C447" i="25"/>
  <c r="D447" i="25"/>
  <c r="E447" i="25"/>
  <c r="B448" i="25"/>
  <c r="C448" i="25"/>
  <c r="D448" i="25"/>
  <c r="E448" i="25"/>
  <c r="B449" i="25"/>
  <c r="C449" i="25"/>
  <c r="D449" i="25"/>
  <c r="E449" i="25"/>
  <c r="B450" i="25"/>
  <c r="C450" i="25"/>
  <c r="D450" i="25"/>
  <c r="E450" i="25"/>
  <c r="B451" i="25"/>
  <c r="C451" i="25"/>
  <c r="D451" i="25"/>
  <c r="E451" i="25"/>
  <c r="B452" i="25"/>
  <c r="C452" i="25"/>
  <c r="D452" i="25"/>
  <c r="E452" i="25"/>
  <c r="B453" i="25"/>
  <c r="C453" i="25"/>
  <c r="D453" i="25"/>
  <c r="E453" i="25"/>
  <c r="B454" i="25"/>
  <c r="C454" i="25"/>
  <c r="D454" i="25"/>
  <c r="E454" i="25"/>
  <c r="B455" i="25"/>
  <c r="C455" i="25"/>
  <c r="D455" i="25"/>
  <c r="E455" i="25"/>
  <c r="B456" i="25"/>
  <c r="C456" i="25"/>
  <c r="D456" i="25"/>
  <c r="E456" i="25"/>
  <c r="B457" i="25"/>
  <c r="C457" i="25"/>
  <c r="D457" i="25"/>
  <c r="E457" i="25"/>
  <c r="B458" i="25"/>
  <c r="C458" i="25"/>
  <c r="D458" i="25"/>
  <c r="E458" i="25"/>
  <c r="B459" i="25"/>
  <c r="C459" i="25"/>
  <c r="D459" i="25"/>
  <c r="E459" i="25"/>
  <c r="B460" i="25"/>
  <c r="C460" i="25"/>
  <c r="D460" i="25"/>
  <c r="E460" i="25"/>
  <c r="B461" i="25"/>
  <c r="C461" i="25"/>
  <c r="D461" i="25"/>
  <c r="E461" i="25"/>
  <c r="B462" i="25"/>
  <c r="C462" i="25"/>
  <c r="D462" i="25"/>
  <c r="E462" i="25"/>
  <c r="B463" i="25"/>
  <c r="C463" i="25"/>
  <c r="D463" i="25"/>
  <c r="E463" i="25"/>
  <c r="B464" i="25"/>
  <c r="C464" i="25"/>
  <c r="D464" i="25"/>
  <c r="E464" i="25"/>
  <c r="B465" i="25"/>
  <c r="C465" i="25"/>
  <c r="D465" i="25"/>
  <c r="E465" i="25"/>
  <c r="B466" i="25"/>
  <c r="C466" i="25"/>
  <c r="D466" i="25"/>
  <c r="E466" i="25"/>
  <c r="B467" i="25"/>
  <c r="C467" i="25"/>
  <c r="D467" i="25"/>
  <c r="E467" i="25"/>
  <c r="B468" i="25"/>
  <c r="C468" i="25"/>
  <c r="D468" i="25"/>
  <c r="E468" i="25"/>
  <c r="B469" i="25"/>
  <c r="C469" i="25"/>
  <c r="D469" i="25"/>
  <c r="E469" i="25"/>
  <c r="B470" i="25"/>
  <c r="C470" i="25"/>
  <c r="D470" i="25"/>
  <c r="E470" i="25"/>
  <c r="B471" i="25"/>
  <c r="C471" i="25"/>
  <c r="D471" i="25"/>
  <c r="E471" i="25"/>
  <c r="B472" i="25"/>
  <c r="C472" i="25"/>
  <c r="D472" i="25"/>
  <c r="E472" i="25"/>
  <c r="B473" i="25"/>
  <c r="C473" i="25"/>
  <c r="D473" i="25"/>
  <c r="E473" i="25"/>
  <c r="B474" i="25"/>
  <c r="C474" i="25"/>
  <c r="D474" i="25"/>
  <c r="E474" i="25"/>
  <c r="B475" i="25"/>
  <c r="C475" i="25"/>
  <c r="D475" i="25"/>
  <c r="E475" i="25"/>
  <c r="B476" i="25"/>
  <c r="C476" i="25"/>
  <c r="D476" i="25"/>
  <c r="E476" i="25"/>
  <c r="B477" i="25"/>
  <c r="C477" i="25"/>
  <c r="D477" i="25"/>
  <c r="E477" i="25"/>
  <c r="B478" i="25"/>
  <c r="C478" i="25"/>
  <c r="D478" i="25"/>
  <c r="E478" i="25"/>
  <c r="B479" i="25"/>
  <c r="C479" i="25"/>
  <c r="D479" i="25"/>
  <c r="E479" i="25"/>
  <c r="B480" i="25"/>
  <c r="C480" i="25"/>
  <c r="D480" i="25"/>
  <c r="E480" i="25"/>
  <c r="B481" i="25"/>
  <c r="C481" i="25"/>
  <c r="D481" i="25"/>
  <c r="E481" i="25"/>
  <c r="B482" i="25"/>
  <c r="C482" i="25"/>
  <c r="D482" i="25"/>
  <c r="E482" i="25"/>
  <c r="B483" i="25"/>
  <c r="C483" i="25"/>
  <c r="D483" i="25"/>
  <c r="E483" i="25"/>
  <c r="B484" i="25"/>
  <c r="C484" i="25"/>
  <c r="D484" i="25"/>
  <c r="E484" i="25"/>
  <c r="B485" i="25"/>
  <c r="C485" i="25"/>
  <c r="D485" i="25"/>
  <c r="E485" i="25"/>
  <c r="B486" i="25"/>
  <c r="C486" i="25"/>
  <c r="D486" i="25"/>
  <c r="E486" i="25"/>
  <c r="B487" i="25"/>
  <c r="C487" i="25"/>
  <c r="D487" i="25"/>
  <c r="E487" i="25"/>
  <c r="B488" i="25"/>
  <c r="C488" i="25"/>
  <c r="D488" i="25"/>
  <c r="E488" i="25"/>
  <c r="B489" i="25"/>
  <c r="C489" i="25"/>
  <c r="D489" i="25"/>
  <c r="E489" i="25"/>
  <c r="B490" i="25"/>
  <c r="C490" i="25"/>
  <c r="D490" i="25"/>
  <c r="E490" i="25"/>
  <c r="B491" i="25"/>
  <c r="C491" i="25"/>
  <c r="D491" i="25"/>
  <c r="E491" i="25"/>
  <c r="B492" i="25"/>
  <c r="C492" i="25"/>
  <c r="D492" i="25"/>
  <c r="E492" i="25"/>
  <c r="B493" i="25"/>
  <c r="C493" i="25"/>
  <c r="D493" i="25"/>
  <c r="E493" i="25"/>
  <c r="B494" i="25"/>
  <c r="C494" i="25"/>
  <c r="D494" i="25"/>
  <c r="E494" i="25"/>
  <c r="B495" i="25"/>
  <c r="C495" i="25"/>
  <c r="D495" i="25"/>
  <c r="E495" i="25"/>
  <c r="B496" i="25"/>
  <c r="C496" i="25"/>
  <c r="D496" i="25"/>
  <c r="E496" i="25"/>
  <c r="B497" i="25"/>
  <c r="C497" i="25"/>
  <c r="D497" i="25"/>
  <c r="E497" i="25"/>
  <c r="B498" i="25"/>
  <c r="C498" i="25"/>
  <c r="D498" i="25"/>
  <c r="E498" i="25"/>
  <c r="B499" i="25"/>
  <c r="C499" i="25"/>
  <c r="D499" i="25"/>
  <c r="E499" i="25"/>
  <c r="B500" i="25"/>
  <c r="C500" i="25"/>
  <c r="D500" i="25"/>
  <c r="E500" i="25"/>
  <c r="B501" i="25"/>
  <c r="C501" i="25"/>
  <c r="D501" i="25"/>
  <c r="E501" i="25"/>
  <c r="B502" i="25"/>
  <c r="C502" i="25"/>
  <c r="D502" i="25"/>
  <c r="E502" i="25"/>
  <c r="B503" i="25"/>
  <c r="C503" i="25"/>
  <c r="D503" i="25"/>
  <c r="E503" i="25"/>
  <c r="B504" i="25"/>
  <c r="C504" i="25"/>
  <c r="D504" i="25"/>
  <c r="E504" i="25"/>
  <c r="B505" i="25"/>
  <c r="C505" i="25"/>
  <c r="D505" i="25"/>
  <c r="E505" i="25"/>
  <c r="B506" i="25"/>
  <c r="C506" i="25"/>
  <c r="D506" i="25"/>
  <c r="E506" i="25"/>
  <c r="B507" i="25"/>
  <c r="C507" i="25"/>
  <c r="D507" i="25"/>
  <c r="E507" i="25"/>
  <c r="B508" i="25"/>
  <c r="C508" i="25"/>
  <c r="D508" i="25"/>
  <c r="E508" i="25"/>
  <c r="B509" i="25"/>
  <c r="C509" i="25"/>
  <c r="D509" i="25"/>
  <c r="E509" i="25"/>
  <c r="B510" i="25"/>
  <c r="C510" i="25"/>
  <c r="D510" i="25"/>
  <c r="E510" i="25"/>
  <c r="B511" i="25"/>
  <c r="C511" i="25"/>
  <c r="D511" i="25"/>
  <c r="E511" i="25"/>
  <c r="B512" i="25"/>
  <c r="C512" i="25"/>
  <c r="D512" i="25"/>
  <c r="E512" i="25"/>
  <c r="B513" i="25"/>
  <c r="C513" i="25"/>
  <c r="D513" i="25"/>
  <c r="E513" i="25"/>
  <c r="B514" i="25"/>
  <c r="C514" i="25"/>
  <c r="D514" i="25"/>
  <c r="E514" i="25"/>
  <c r="B515" i="25"/>
  <c r="C515" i="25"/>
  <c r="D515" i="25"/>
  <c r="E515" i="25"/>
  <c r="B516" i="25"/>
  <c r="C516" i="25"/>
  <c r="D516" i="25"/>
  <c r="E516" i="25"/>
  <c r="B517" i="25"/>
  <c r="C517" i="25"/>
  <c r="D517" i="25"/>
  <c r="E517" i="25"/>
  <c r="B518" i="25"/>
  <c r="C518" i="25"/>
  <c r="D518" i="25"/>
  <c r="E518" i="25"/>
  <c r="B519" i="25"/>
  <c r="C519" i="25"/>
  <c r="D519" i="25"/>
  <c r="E519" i="25"/>
  <c r="B520" i="25"/>
  <c r="C520" i="25"/>
  <c r="D520" i="25"/>
  <c r="E520" i="25"/>
  <c r="B521" i="25"/>
  <c r="C521" i="25"/>
  <c r="D521" i="25"/>
  <c r="E521" i="25"/>
  <c r="B522" i="25"/>
  <c r="C522" i="25"/>
  <c r="D522" i="25"/>
  <c r="E522" i="25"/>
  <c r="B523" i="25"/>
  <c r="C523" i="25"/>
  <c r="D523" i="25"/>
  <c r="E523" i="25"/>
  <c r="E47" i="25"/>
  <c r="F47" i="25"/>
  <c r="E46" i="25"/>
  <c r="F46" i="25"/>
  <c r="E45" i="25"/>
  <c r="F45" i="25"/>
  <c r="E44" i="25"/>
  <c r="F44" i="25"/>
  <c r="E43" i="25"/>
  <c r="F43" i="25"/>
  <c r="E42" i="25"/>
  <c r="F42" i="25"/>
  <c r="E41" i="25"/>
  <c r="F41" i="25"/>
  <c r="E40" i="25"/>
  <c r="F40" i="25"/>
  <c r="E39" i="25"/>
  <c r="F39" i="25"/>
  <c r="E38" i="25"/>
  <c r="F38" i="25"/>
  <c r="E37" i="25"/>
  <c r="F37" i="25"/>
  <c r="E36" i="25"/>
  <c r="F36" i="25"/>
  <c r="E35" i="25"/>
  <c r="F35" i="25"/>
  <c r="E34" i="25"/>
  <c r="F34" i="25"/>
  <c r="E33" i="25"/>
  <c r="F33" i="25"/>
  <c r="E32" i="25"/>
  <c r="F32" i="25"/>
  <c r="E31" i="25"/>
  <c r="F31" i="25"/>
  <c r="E30" i="25"/>
  <c r="F30" i="25"/>
  <c r="E29" i="25"/>
  <c r="F29" i="25"/>
  <c r="E28" i="25"/>
  <c r="F28" i="25"/>
  <c r="B29" i="25"/>
  <c r="C29" i="25"/>
  <c r="B30" i="25"/>
  <c r="C30" i="25"/>
  <c r="B31" i="25"/>
  <c r="C31" i="25"/>
  <c r="B32" i="25"/>
  <c r="C32" i="25"/>
  <c r="B33" i="25"/>
  <c r="C33" i="25"/>
  <c r="B34" i="25"/>
  <c r="C34" i="25"/>
  <c r="B35" i="25"/>
  <c r="C35" i="25"/>
  <c r="B36" i="25"/>
  <c r="C36" i="25"/>
  <c r="B37" i="25"/>
  <c r="C37" i="25"/>
  <c r="B38" i="25"/>
  <c r="C38" i="25"/>
  <c r="B39" i="25"/>
  <c r="C39" i="25"/>
  <c r="B40" i="25"/>
  <c r="C40" i="25"/>
  <c r="B41" i="25"/>
  <c r="C41" i="25"/>
  <c r="B42" i="25"/>
  <c r="C42" i="25"/>
  <c r="B43" i="25"/>
  <c r="C43" i="25"/>
  <c r="B44" i="25"/>
  <c r="C44" i="25"/>
  <c r="B45" i="25"/>
  <c r="C45" i="25"/>
  <c r="B46" i="25"/>
  <c r="C46" i="25"/>
  <c r="B47" i="25"/>
  <c r="C47" i="25"/>
  <c r="B28" i="25"/>
  <c r="C28" i="25"/>
  <c r="B38" i="26"/>
  <c r="B39" i="26"/>
  <c r="B40" i="26"/>
  <c r="B41" i="26"/>
  <c r="B42" i="26"/>
  <c r="B43" i="26"/>
  <c r="B44" i="26"/>
  <c r="B45" i="26"/>
  <c r="B46" i="26"/>
  <c r="B37" i="26"/>
  <c r="B28" i="26"/>
  <c r="B29" i="26"/>
  <c r="B30" i="26"/>
  <c r="B31" i="26"/>
  <c r="B32" i="26"/>
  <c r="B33" i="26"/>
  <c r="B34" i="26"/>
  <c r="B35" i="26"/>
  <c r="B36" i="26"/>
  <c r="B27" i="26"/>
  <c r="B18" i="26"/>
  <c r="B19" i="26"/>
  <c r="B20" i="26"/>
  <c r="B21" i="26"/>
  <c r="B22" i="26"/>
  <c r="B23" i="26"/>
  <c r="B24" i="26"/>
  <c r="B25" i="26"/>
  <c r="B26" i="26"/>
  <c r="B17" i="26"/>
  <c r="C424" i="26"/>
  <c r="D424" i="26"/>
  <c r="E424" i="26"/>
  <c r="C425" i="26"/>
  <c r="D425" i="26"/>
  <c r="E425" i="26"/>
  <c r="C426" i="26"/>
  <c r="D426" i="26"/>
  <c r="E426" i="26"/>
  <c r="C427" i="26"/>
  <c r="D427" i="26"/>
  <c r="E427" i="26"/>
  <c r="C428" i="26"/>
  <c r="D428" i="26"/>
  <c r="E428" i="26"/>
  <c r="C429" i="26"/>
  <c r="D429" i="26"/>
  <c r="E429" i="26"/>
  <c r="C430" i="26"/>
  <c r="D430" i="26"/>
  <c r="E430" i="26"/>
  <c r="C431" i="26"/>
  <c r="D431" i="26"/>
  <c r="E431" i="26"/>
  <c r="C432" i="26"/>
  <c r="D432" i="26"/>
  <c r="E432" i="26"/>
  <c r="C433" i="26"/>
  <c r="D433" i="26"/>
  <c r="E433" i="26"/>
  <c r="C434" i="26"/>
  <c r="D434" i="26"/>
  <c r="E434" i="26"/>
  <c r="C435" i="26"/>
  <c r="D435" i="26"/>
  <c r="E435" i="26"/>
  <c r="C436" i="26"/>
  <c r="D436" i="26"/>
  <c r="E436" i="26"/>
  <c r="C437" i="26"/>
  <c r="D437" i="26"/>
  <c r="E437" i="26"/>
  <c r="C438" i="26"/>
  <c r="D438" i="26"/>
  <c r="E438" i="26"/>
  <c r="C439" i="26"/>
  <c r="D439" i="26"/>
  <c r="E439" i="26"/>
  <c r="C440" i="26"/>
  <c r="D440" i="26"/>
  <c r="E440" i="26"/>
  <c r="C441" i="26"/>
  <c r="D441" i="26"/>
  <c r="E441" i="26"/>
  <c r="C442" i="26"/>
  <c r="D442" i="26"/>
  <c r="E442" i="26"/>
  <c r="C443" i="26"/>
  <c r="D443" i="26"/>
  <c r="E443" i="26"/>
  <c r="C444" i="26"/>
  <c r="D444" i="26"/>
  <c r="E444" i="26"/>
  <c r="C445" i="26"/>
  <c r="D445" i="26"/>
  <c r="E445" i="26"/>
  <c r="C446" i="26"/>
  <c r="D446" i="26"/>
  <c r="E446" i="26"/>
  <c r="C447" i="26"/>
  <c r="D447" i="26"/>
  <c r="E447" i="26"/>
  <c r="C448" i="26"/>
  <c r="D448" i="26"/>
  <c r="E448" i="26"/>
  <c r="C449" i="26"/>
  <c r="D449" i="26"/>
  <c r="E449" i="26"/>
  <c r="C450" i="26"/>
  <c r="D450" i="26"/>
  <c r="E450" i="26"/>
  <c r="C451" i="26"/>
  <c r="D451" i="26"/>
  <c r="E451" i="26"/>
  <c r="C452" i="26"/>
  <c r="D452" i="26"/>
  <c r="E452" i="26"/>
  <c r="C453" i="26"/>
  <c r="D453" i="26"/>
  <c r="E453" i="26"/>
  <c r="C454" i="26"/>
  <c r="D454" i="26"/>
  <c r="E454" i="26"/>
  <c r="C455" i="26"/>
  <c r="D455" i="26"/>
  <c r="E455" i="26"/>
  <c r="C456" i="26"/>
  <c r="D456" i="26"/>
  <c r="E456" i="26"/>
  <c r="C457" i="26"/>
  <c r="D457" i="26"/>
  <c r="E457" i="26"/>
  <c r="C458" i="26"/>
  <c r="D458" i="26"/>
  <c r="E458" i="26"/>
  <c r="C459" i="26"/>
  <c r="D459" i="26"/>
  <c r="E459" i="26"/>
  <c r="C460" i="26"/>
  <c r="D460" i="26"/>
  <c r="E460" i="26"/>
  <c r="C461" i="26"/>
  <c r="D461" i="26"/>
  <c r="E461" i="26"/>
  <c r="C462" i="26"/>
  <c r="D462" i="26"/>
  <c r="E462" i="26"/>
  <c r="C463" i="26"/>
  <c r="D463" i="26"/>
  <c r="E463" i="26"/>
  <c r="C464" i="26"/>
  <c r="D464" i="26"/>
  <c r="E464" i="26"/>
  <c r="C465" i="26"/>
  <c r="D465" i="26"/>
  <c r="E465" i="26"/>
  <c r="C466" i="26"/>
  <c r="D466" i="26"/>
  <c r="E466" i="26"/>
  <c r="C467" i="26"/>
  <c r="D467" i="26"/>
  <c r="E467" i="26"/>
  <c r="C468" i="26"/>
  <c r="D468" i="26"/>
  <c r="E468" i="26"/>
  <c r="C469" i="26"/>
  <c r="D469" i="26"/>
  <c r="E469" i="26"/>
  <c r="C470" i="26"/>
  <c r="D470" i="26"/>
  <c r="E470" i="26"/>
  <c r="C471" i="26"/>
  <c r="D471" i="26"/>
  <c r="E471" i="26"/>
  <c r="C472" i="26"/>
  <c r="D472" i="26"/>
  <c r="E472" i="26"/>
  <c r="C473" i="26"/>
  <c r="D473" i="26"/>
  <c r="E473" i="26"/>
  <c r="C474" i="26"/>
  <c r="D474" i="26"/>
  <c r="E474" i="26"/>
  <c r="C475" i="26"/>
  <c r="D475" i="26"/>
  <c r="E475" i="26"/>
  <c r="C476" i="26"/>
  <c r="D476" i="26"/>
  <c r="E476" i="26"/>
  <c r="C477" i="26"/>
  <c r="D477" i="26"/>
  <c r="E477" i="26"/>
  <c r="C478" i="26"/>
  <c r="D478" i="26"/>
  <c r="E478" i="26"/>
  <c r="C479" i="26"/>
  <c r="D479" i="26"/>
  <c r="E479" i="26"/>
  <c r="C480" i="26"/>
  <c r="D480" i="26"/>
  <c r="E480" i="26"/>
  <c r="C481" i="26"/>
  <c r="D481" i="26"/>
  <c r="E481" i="26"/>
  <c r="C482" i="26"/>
  <c r="D482" i="26"/>
  <c r="E482" i="26"/>
  <c r="C483" i="26"/>
  <c r="D483" i="26"/>
  <c r="E483" i="26"/>
  <c r="C484" i="26"/>
  <c r="D484" i="26"/>
  <c r="E484" i="26"/>
  <c r="C485" i="26"/>
  <c r="D485" i="26"/>
  <c r="E485" i="26"/>
  <c r="C486" i="26"/>
  <c r="D486" i="26"/>
  <c r="E486" i="26"/>
  <c r="C487" i="26"/>
  <c r="D487" i="26"/>
  <c r="E487" i="26"/>
  <c r="C488" i="26"/>
  <c r="D488" i="26"/>
  <c r="E488" i="26"/>
  <c r="C489" i="26"/>
  <c r="D489" i="26"/>
  <c r="E489" i="26"/>
  <c r="C490" i="26"/>
  <c r="D490" i="26"/>
  <c r="E490" i="26"/>
  <c r="C491" i="26"/>
  <c r="D491" i="26"/>
  <c r="E491" i="26"/>
  <c r="C492" i="26"/>
  <c r="D492" i="26"/>
  <c r="E492" i="26"/>
  <c r="C493" i="26"/>
  <c r="D493" i="26"/>
  <c r="E493" i="26"/>
  <c r="C494" i="26"/>
  <c r="D494" i="26"/>
  <c r="E494" i="26"/>
  <c r="C495" i="26"/>
  <c r="D495" i="26"/>
  <c r="E495" i="26"/>
  <c r="C496" i="26"/>
  <c r="D496" i="26"/>
  <c r="E496" i="26"/>
  <c r="C497" i="26"/>
  <c r="D497" i="26"/>
  <c r="E497" i="26"/>
  <c r="C498" i="26"/>
  <c r="D498" i="26"/>
  <c r="E498" i="26"/>
  <c r="C499" i="26"/>
  <c r="D499" i="26"/>
  <c r="E499" i="26"/>
  <c r="C500" i="26"/>
  <c r="D500" i="26"/>
  <c r="E500" i="26"/>
  <c r="C501" i="26"/>
  <c r="D501" i="26"/>
  <c r="E501" i="26"/>
  <c r="C502" i="26"/>
  <c r="D502" i="26"/>
  <c r="E502" i="26"/>
  <c r="C503" i="26"/>
  <c r="D503" i="26"/>
  <c r="E503" i="26"/>
  <c r="C504" i="26"/>
  <c r="D504" i="26"/>
  <c r="E504" i="26"/>
  <c r="C505" i="26"/>
  <c r="D505" i="26"/>
  <c r="E505" i="26"/>
  <c r="C506" i="26"/>
  <c r="D506" i="26"/>
  <c r="E506" i="26"/>
  <c r="C507" i="26"/>
  <c r="D507" i="26"/>
  <c r="E507" i="26"/>
  <c r="C508" i="26"/>
  <c r="D508" i="26"/>
  <c r="E508" i="26"/>
  <c r="C509" i="26"/>
  <c r="D509" i="26"/>
  <c r="E509" i="26"/>
  <c r="C510" i="26"/>
  <c r="D510" i="26"/>
  <c r="E510" i="26"/>
  <c r="C511" i="26"/>
  <c r="D511" i="26"/>
  <c r="E511" i="26"/>
  <c r="C512" i="26"/>
  <c r="D512" i="26"/>
  <c r="E512" i="26"/>
  <c r="C513" i="26"/>
  <c r="D513" i="26"/>
  <c r="E513" i="26"/>
  <c r="C514" i="26"/>
  <c r="D514" i="26"/>
  <c r="E514" i="26"/>
  <c r="C515" i="26"/>
  <c r="D515" i="26"/>
  <c r="E515" i="26"/>
  <c r="C516" i="26"/>
  <c r="D516" i="26"/>
  <c r="E516" i="26"/>
  <c r="C517" i="26"/>
  <c r="D517" i="26"/>
  <c r="E517" i="26"/>
  <c r="C518" i="26"/>
  <c r="D518" i="26"/>
  <c r="E518" i="26"/>
  <c r="C519" i="26"/>
  <c r="D519" i="26"/>
  <c r="E519" i="26"/>
  <c r="C520" i="26"/>
  <c r="D520" i="26"/>
  <c r="E520" i="26"/>
  <c r="C521" i="26"/>
  <c r="D521" i="26"/>
  <c r="E521" i="26"/>
  <c r="C522" i="26"/>
  <c r="D522" i="26"/>
  <c r="E522" i="26"/>
  <c r="C523" i="26"/>
  <c r="D523" i="26"/>
  <c r="E523" i="26"/>
  <c r="C524" i="26"/>
  <c r="D524" i="26"/>
  <c r="E524" i="26"/>
  <c r="C525" i="26"/>
  <c r="D525" i="26"/>
  <c r="E525" i="26"/>
  <c r="C526" i="26"/>
  <c r="D526" i="26"/>
  <c r="E526" i="26"/>
  <c r="C527" i="26"/>
  <c r="D527" i="26"/>
  <c r="E527" i="26"/>
  <c r="C528" i="26"/>
  <c r="D528" i="26"/>
  <c r="E528" i="26"/>
  <c r="C529" i="26"/>
  <c r="D529" i="26"/>
  <c r="E529" i="26"/>
  <c r="C530" i="26"/>
  <c r="D530" i="26"/>
  <c r="E530" i="26"/>
  <c r="C531" i="26"/>
  <c r="D531" i="26"/>
  <c r="E531" i="26"/>
  <c r="C532" i="26"/>
  <c r="D532" i="26"/>
  <c r="E532" i="26"/>
  <c r="C533" i="26"/>
  <c r="D533" i="26"/>
  <c r="E533" i="26"/>
  <c r="C534" i="26"/>
  <c r="D534" i="26"/>
  <c r="E534" i="26"/>
  <c r="C535" i="26"/>
  <c r="D535" i="26"/>
  <c r="E535" i="26"/>
  <c r="C536" i="26"/>
  <c r="D536" i="26"/>
  <c r="E536" i="26"/>
  <c r="C537" i="26"/>
  <c r="D537" i="26"/>
  <c r="E537" i="26"/>
  <c r="C538" i="26"/>
  <c r="D538" i="26"/>
  <c r="E538" i="26"/>
  <c r="C539" i="26"/>
  <c r="D539" i="26"/>
  <c r="E539" i="26"/>
  <c r="C540" i="26"/>
  <c r="D540" i="26"/>
  <c r="E540" i="26"/>
  <c r="C541" i="26"/>
  <c r="D541" i="26"/>
  <c r="E541" i="26"/>
  <c r="C542" i="26"/>
  <c r="D542" i="26"/>
  <c r="E542" i="26"/>
  <c r="C543" i="26"/>
  <c r="D543" i="26"/>
  <c r="E543" i="26"/>
  <c r="D56" i="26"/>
  <c r="B56" i="26"/>
  <c r="D55" i="26"/>
  <c r="B55" i="26"/>
  <c r="D54" i="26"/>
  <c r="B54" i="26"/>
  <c r="D53" i="26"/>
  <c r="B53" i="26"/>
  <c r="D52" i="26"/>
  <c r="B52" i="26"/>
  <c r="D51" i="26"/>
  <c r="B51" i="26"/>
  <c r="D50" i="26"/>
  <c r="B50" i="26"/>
  <c r="D49" i="26"/>
  <c r="B49" i="26"/>
  <c r="D48" i="26"/>
  <c r="B48" i="26"/>
  <c r="D47" i="26"/>
  <c r="B47" i="26"/>
  <c r="D46" i="26"/>
  <c r="D45" i="26"/>
  <c r="D44" i="26"/>
  <c r="D43" i="26"/>
  <c r="D42" i="26"/>
  <c r="D41" i="26"/>
  <c r="D40" i="26"/>
  <c r="D39" i="26"/>
  <c r="D38" i="26"/>
  <c r="D37" i="26"/>
  <c r="D36" i="26"/>
  <c r="D35" i="26"/>
  <c r="D34" i="26"/>
  <c r="D33" i="26"/>
  <c r="D32" i="26"/>
  <c r="D31" i="26"/>
  <c r="D30" i="26"/>
  <c r="D29" i="26"/>
  <c r="D28" i="26"/>
  <c r="D27" i="26"/>
  <c r="D26" i="26"/>
  <c r="D25" i="26"/>
  <c r="D24" i="26"/>
  <c r="D23" i="26"/>
  <c r="D22" i="26"/>
  <c r="D21" i="26"/>
  <c r="D20" i="26"/>
  <c r="D19" i="26"/>
  <c r="D18" i="26"/>
  <c r="D17" i="26"/>
  <c r="B524" i="25"/>
  <c r="C524" i="25"/>
  <c r="D524" i="25"/>
  <c r="E524" i="25"/>
  <c r="B525" i="25"/>
  <c r="C525" i="25"/>
  <c r="D525" i="25"/>
  <c r="E525" i="25"/>
  <c r="B526" i="25"/>
  <c r="C526" i="25"/>
  <c r="D526" i="25"/>
  <c r="E526" i="25"/>
  <c r="B527" i="25"/>
  <c r="C527" i="25"/>
  <c r="D527" i="25"/>
  <c r="E527" i="25"/>
  <c r="B528" i="25"/>
  <c r="C528" i="25"/>
  <c r="D528" i="25"/>
  <c r="E528" i="25"/>
  <c r="B529" i="25"/>
  <c r="C529" i="25"/>
  <c r="D529" i="25"/>
  <c r="E529" i="25"/>
  <c r="B530" i="25"/>
  <c r="C530" i="25"/>
  <c r="D530" i="25"/>
  <c r="E530" i="25"/>
  <c r="B531" i="25"/>
  <c r="C531" i="25"/>
  <c r="D531" i="25"/>
  <c r="E531" i="25"/>
  <c r="B532" i="25"/>
  <c r="C532" i="25"/>
  <c r="D532" i="25"/>
  <c r="E532" i="25"/>
  <c r="B533" i="25"/>
  <c r="C533" i="25"/>
  <c r="D533" i="25"/>
  <c r="E533" i="25"/>
  <c r="B534" i="25"/>
  <c r="C534" i="25"/>
  <c r="D534" i="25"/>
  <c r="E534" i="25"/>
  <c r="B535" i="25"/>
  <c r="C535" i="25"/>
  <c r="D535" i="25"/>
  <c r="E535" i="25"/>
  <c r="A58" i="26"/>
  <c r="G58" i="26"/>
  <c r="A1" i="25"/>
  <c r="A50" i="25"/>
  <c r="A1" i="26"/>
  <c r="B35" i="82"/>
  <c r="B36" i="82" s="1"/>
  <c r="J94" i="72" l="1"/>
  <c r="A3" i="83"/>
  <c r="G49" i="98"/>
  <c r="L49" i="98" s="1"/>
  <c r="G50" i="98"/>
  <c r="L50" i="98" s="1"/>
  <c r="G60" i="98"/>
  <c r="L60" i="98" s="1"/>
  <c r="G59" i="98"/>
  <c r="L59" i="98" s="1"/>
  <c r="G67" i="98"/>
  <c r="L67" i="98" s="1"/>
  <c r="G70" i="98"/>
  <c r="L70" i="98" s="1"/>
  <c r="G64" i="98"/>
  <c r="L64" i="98" s="1"/>
  <c r="G71" i="98"/>
  <c r="L71" i="98" s="1"/>
  <c r="G73" i="98"/>
  <c r="L73" i="98" s="1"/>
  <c r="G65" i="98"/>
  <c r="L65" i="98" s="1"/>
  <c r="G52" i="98"/>
  <c r="L52" i="98" s="1"/>
  <c r="G58" i="98"/>
  <c r="L58" i="98" s="1"/>
  <c r="G57" i="98"/>
  <c r="L57" i="98" s="1"/>
  <c r="G72" i="98"/>
  <c r="L72" i="98" s="1"/>
  <c r="G51" i="98"/>
  <c r="L51" i="98" s="1"/>
  <c r="G63" i="98"/>
  <c r="L63" i="98" s="1"/>
  <c r="G66" i="98"/>
  <c r="L66" i="98" s="1"/>
  <c r="G56" i="98"/>
  <c r="L56" i="98" s="1"/>
  <c r="AD55" i="72"/>
  <c r="G53" i="98"/>
  <c r="L53" i="98" s="1"/>
  <c r="X55" i="72"/>
  <c r="E27" i="72"/>
  <c r="AH52" i="72"/>
  <c r="AG52" i="72"/>
  <c r="AD52" i="72"/>
  <c r="AI52" i="72"/>
  <c r="AB56" i="72"/>
  <c r="X56" i="72"/>
  <c r="AA56" i="72"/>
  <c r="AC56" i="72"/>
  <c r="Y56" i="72"/>
  <c r="Z54" i="72"/>
  <c r="AC54" i="72"/>
  <c r="Y54" i="72"/>
  <c r="AB54" i="72"/>
  <c r="X54" i="72"/>
  <c r="AA54" i="72"/>
  <c r="AF56" i="72"/>
  <c r="AI56" i="72"/>
  <c r="AE56" i="72"/>
  <c r="AH56" i="72"/>
  <c r="AD56" i="72"/>
  <c r="AG56" i="72"/>
  <c r="AH54" i="72"/>
  <c r="AD54" i="72"/>
  <c r="AG54" i="72"/>
  <c r="AF54" i="72"/>
  <c r="AI54" i="72"/>
  <c r="AE54" i="72"/>
  <c r="Q63" i="98"/>
  <c r="P63" i="98"/>
  <c r="AD38" i="72"/>
  <c r="AE38" i="72"/>
  <c r="Y38" i="72"/>
  <c r="X38" i="72"/>
  <c r="O384" i="72"/>
  <c r="P67" i="72"/>
  <c r="P66" i="72" s="1"/>
  <c r="A68" i="85"/>
  <c r="A22" i="83" s="1"/>
  <c r="L266" i="72"/>
  <c r="Q266" i="72"/>
  <c r="C21" i="90"/>
  <c r="F16" i="86"/>
  <c r="L65" i="85"/>
  <c r="G16" i="86"/>
  <c r="C16" i="86"/>
  <c r="E172" i="90"/>
  <c r="E16" i="86"/>
  <c r="C41" i="86"/>
  <c r="D41" i="86" s="1"/>
  <c r="E41" i="86" s="1"/>
  <c r="D16" i="86"/>
  <c r="G56" i="86"/>
  <c r="F56" i="86"/>
  <c r="F36" i="86"/>
  <c r="E36" i="86"/>
  <c r="E56" i="86"/>
  <c r="I36" i="86"/>
  <c r="G36" i="86"/>
  <c r="H56" i="86"/>
  <c r="C56" i="86"/>
  <c r="C36" i="86"/>
  <c r="H36" i="86"/>
  <c r="D36" i="86"/>
  <c r="H16" i="86"/>
  <c r="I16" i="86"/>
  <c r="O22" i="86"/>
  <c r="O12" i="86"/>
  <c r="L397" i="72"/>
  <c r="E13" i="72"/>
  <c r="P268" i="72"/>
  <c r="E55" i="100" l="1"/>
  <c r="I55" i="100"/>
  <c r="G55" i="100"/>
  <c r="K55" i="100"/>
  <c r="O261" i="72"/>
  <c r="P56" i="98"/>
  <c r="P53" i="98"/>
  <c r="F58" i="98"/>
  <c r="F60" i="98"/>
  <c r="F56" i="98"/>
  <c r="K57" i="98"/>
  <c r="F59" i="98"/>
  <c r="K60" i="98"/>
  <c r="K59" i="98"/>
  <c r="K58" i="98"/>
  <c r="K56" i="98"/>
  <c r="F57" i="98"/>
  <c r="P64" i="72"/>
  <c r="C141" i="90"/>
  <c r="Q66" i="98"/>
  <c r="P67" i="85"/>
  <c r="H56" i="73"/>
  <c r="K129" i="72"/>
  <c r="I129" i="72"/>
  <c r="AC48" i="72"/>
  <c r="Q268" i="72"/>
  <c r="P261" i="72"/>
  <c r="F52" i="98"/>
  <c r="F53" i="98"/>
  <c r="K52" i="98"/>
  <c r="K50" i="98"/>
  <c r="C22" i="86"/>
  <c r="C42" i="86" s="1"/>
  <c r="D42" i="86" s="1"/>
  <c r="E42" i="86" s="1"/>
  <c r="B20" i="82"/>
  <c r="B21" i="82" s="1"/>
  <c r="A67" i="85" l="1"/>
  <c r="A21" i="83" s="1"/>
  <c r="AI48" i="72"/>
  <c r="K40" i="100"/>
  <c r="D18" i="100"/>
  <c r="C38" i="100"/>
  <c r="AH36" i="72"/>
  <c r="F51" i="98"/>
  <c r="K49" i="98"/>
  <c r="K51" i="98"/>
  <c r="M52" i="98"/>
  <c r="N52" i="98"/>
  <c r="I52" i="98"/>
  <c r="H52" i="98"/>
  <c r="H57" i="98"/>
  <c r="I57" i="98"/>
  <c r="M58" i="98"/>
  <c r="N58" i="98"/>
  <c r="I56" i="98"/>
  <c r="F61" i="98"/>
  <c r="H56" i="98"/>
  <c r="N50" i="98"/>
  <c r="M50" i="98"/>
  <c r="I53" i="98"/>
  <c r="H53" i="98"/>
  <c r="F50" i="98"/>
  <c r="F49" i="98"/>
  <c r="M56" i="98"/>
  <c r="N56" i="98"/>
  <c r="K61" i="98"/>
  <c r="M59" i="98"/>
  <c r="N59" i="98"/>
  <c r="M60" i="98"/>
  <c r="N60" i="98"/>
  <c r="M57" i="98"/>
  <c r="N57" i="98"/>
  <c r="H60" i="98"/>
  <c r="I60" i="98"/>
  <c r="K53" i="98"/>
  <c r="H59" i="98"/>
  <c r="I59" i="98"/>
  <c r="H58" i="98"/>
  <c r="I58" i="98"/>
  <c r="AG36" i="72"/>
  <c r="AI36" i="72"/>
  <c r="AD36" i="72"/>
  <c r="AF36" i="72"/>
  <c r="AE36" i="72"/>
  <c r="AE39" i="72"/>
  <c r="AD39" i="72"/>
  <c r="AA48" i="72"/>
  <c r="Z48" i="72"/>
  <c r="AB48" i="72"/>
  <c r="Y48" i="72"/>
  <c r="X48" i="72"/>
  <c r="AD48" i="72"/>
  <c r="AF48" i="72"/>
  <c r="AG48" i="72"/>
  <c r="AE48" i="72"/>
  <c r="AH48" i="72"/>
  <c r="K66" i="98"/>
  <c r="K65" i="98"/>
  <c r="F67" i="98"/>
  <c r="F63" i="98"/>
  <c r="F65" i="98"/>
  <c r="F66" i="98"/>
  <c r="K63" i="98"/>
  <c r="K64" i="98"/>
  <c r="G102" i="90"/>
  <c r="E18" i="72"/>
  <c r="E14" i="72"/>
  <c r="D37" i="90"/>
  <c r="L348" i="73"/>
  <c r="D22" i="86"/>
  <c r="C55" i="86"/>
  <c r="E55" i="86"/>
  <c r="F15" i="86"/>
  <c r="G55" i="86"/>
  <c r="E15" i="86"/>
  <c r="E35" i="86"/>
  <c r="D55" i="86"/>
  <c r="H15" i="86"/>
  <c r="G15" i="86"/>
  <c r="C15" i="86"/>
  <c r="D35" i="86"/>
  <c r="F35" i="86"/>
  <c r="C35" i="86"/>
  <c r="F55" i="86"/>
  <c r="I35" i="86"/>
  <c r="H55" i="86"/>
  <c r="O17" i="86"/>
  <c r="O16" i="86"/>
  <c r="H35" i="86"/>
  <c r="G35" i="86"/>
  <c r="I15" i="86"/>
  <c r="D15" i="86"/>
  <c r="E22" i="86"/>
  <c r="E27" i="89" l="1"/>
  <c r="G16" i="85"/>
  <c r="N61" i="98"/>
  <c r="K67" i="98"/>
  <c r="K68" i="98" s="1"/>
  <c r="H63" i="98"/>
  <c r="I63" i="98"/>
  <c r="N65" i="98"/>
  <c r="M65" i="98"/>
  <c r="N53" i="98"/>
  <c r="M53" i="98"/>
  <c r="M49" i="98"/>
  <c r="K54" i="98"/>
  <c r="N49" i="98"/>
  <c r="N64" i="98"/>
  <c r="M64" i="98"/>
  <c r="I65" i="98"/>
  <c r="H65" i="98"/>
  <c r="N66" i="98"/>
  <c r="M66" i="98"/>
  <c r="H50" i="98"/>
  <c r="I50" i="98"/>
  <c r="F64" i="98"/>
  <c r="F68" i="98" s="1"/>
  <c r="N51" i="98"/>
  <c r="M51" i="98"/>
  <c r="I51" i="98"/>
  <c r="H51" i="98"/>
  <c r="G348" i="73"/>
  <c r="G343" i="73"/>
  <c r="N63" i="98"/>
  <c r="M63" i="98"/>
  <c r="H66" i="98"/>
  <c r="I66" i="98"/>
  <c r="H67" i="98"/>
  <c r="I67" i="98"/>
  <c r="F54" i="98"/>
  <c r="H49" i="98"/>
  <c r="I49" i="98"/>
  <c r="I61" i="98"/>
  <c r="L343" i="73"/>
  <c r="AT50" i="72"/>
  <c r="AT49" i="72"/>
  <c r="O19" i="86"/>
  <c r="O23" i="86" s="1"/>
  <c r="O25" i="86" s="1"/>
  <c r="O31" i="86" s="1"/>
  <c r="F22" i="86"/>
  <c r="J98" i="72" l="1"/>
  <c r="H391" i="72"/>
  <c r="N54" i="98"/>
  <c r="F77" i="98"/>
  <c r="K77" i="98"/>
  <c r="I54" i="98"/>
  <c r="H64" i="98"/>
  <c r="I64" i="98"/>
  <c r="I68" i="98" s="1"/>
  <c r="M67" i="98"/>
  <c r="N67" i="98"/>
  <c r="N68" i="98" s="1"/>
  <c r="L98" i="72"/>
  <c r="K98" i="72"/>
  <c r="G22" i="86"/>
  <c r="M290" i="73" l="1"/>
  <c r="L290" i="73" s="1"/>
  <c r="M293" i="73"/>
  <c r="L293" i="73" s="1"/>
  <c r="E52" i="100"/>
  <c r="I52" i="100"/>
  <c r="G52" i="100"/>
  <c r="K52" i="100"/>
  <c r="M77" i="98"/>
  <c r="H77" i="98"/>
  <c r="P71" i="98" s="1"/>
  <c r="E345" i="73"/>
  <c r="N345" i="73" s="1"/>
  <c r="E348" i="73"/>
  <c r="N348" i="73" s="1"/>
  <c r="L103" i="72"/>
  <c r="L113" i="72"/>
  <c r="L378" i="72"/>
  <c r="K225" i="72"/>
  <c r="J365" i="72"/>
  <c r="J366" i="72" s="1"/>
  <c r="M442" i="72"/>
  <c r="E343" i="73"/>
  <c r="N343" i="73" s="1"/>
  <c r="L89" i="72"/>
  <c r="P98" i="72"/>
  <c r="O98" i="72"/>
  <c r="O97" i="72" s="1"/>
  <c r="J391" i="72"/>
  <c r="L391" i="72" s="1"/>
  <c r="O197" i="73"/>
  <c r="O385" i="72"/>
  <c r="O386" i="72" s="1"/>
  <c r="H226" i="72"/>
  <c r="G19" i="82"/>
  <c r="G20" i="82" s="1"/>
  <c r="I22" i="86"/>
  <c r="H22" i="86"/>
  <c r="E175" i="90" l="1"/>
  <c r="H20" i="100"/>
  <c r="C20" i="100"/>
  <c r="H19" i="100"/>
  <c r="D17" i="83"/>
  <c r="F16" i="85"/>
  <c r="A9" i="83"/>
  <c r="C19" i="100"/>
  <c r="C56" i="100"/>
  <c r="C65" i="100" s="1"/>
  <c r="C71" i="100" s="1"/>
  <c r="I53" i="100"/>
  <c r="I54" i="100" s="1"/>
  <c r="E53" i="100"/>
  <c r="E54" i="100" s="1"/>
  <c r="G53" i="100"/>
  <c r="G54" i="100" s="1"/>
  <c r="K53" i="100"/>
  <c r="K54" i="100" s="1"/>
  <c r="M366" i="72"/>
  <c r="M367" i="72" s="1"/>
  <c r="P97" i="72"/>
  <c r="E56" i="100" l="1"/>
  <c r="E65" i="100" s="1"/>
  <c r="E71" i="100" s="1"/>
  <c r="K56" i="100"/>
  <c r="K65" i="100" s="1"/>
  <c r="K71" i="100" s="1"/>
  <c r="I56" i="100"/>
  <c r="I65" i="100" s="1"/>
  <c r="I71" i="100" s="1"/>
  <c r="C77" i="100"/>
  <c r="C74" i="100" s="1"/>
  <c r="C73" i="100"/>
  <c r="G56" i="100"/>
  <c r="G65" i="100" s="1"/>
  <c r="G71" i="100" s="1"/>
  <c r="P89" i="72"/>
  <c r="O89" i="72"/>
  <c r="G51" i="82" l="1"/>
  <c r="B51" i="82"/>
  <c r="I73" i="100"/>
  <c r="I77" i="100"/>
  <c r="I74" i="100" s="1"/>
  <c r="G73" i="100"/>
  <c r="G77" i="100"/>
  <c r="G74" i="100" s="1"/>
  <c r="K73" i="100"/>
  <c r="K77" i="100"/>
  <c r="K74" i="100" s="1"/>
  <c r="E73" i="100"/>
  <c r="E77" i="100"/>
  <c r="E74" i="100" s="1"/>
  <c r="P91" i="72"/>
  <c r="O442" i="72"/>
  <c r="Y37" i="72"/>
  <c r="X37" i="72"/>
  <c r="AD37" i="72"/>
  <c r="AE37" i="72"/>
  <c r="C17" i="86"/>
  <c r="C18" i="86" s="1"/>
  <c r="C20" i="86" s="1"/>
  <c r="C24" i="86" s="1"/>
  <c r="K6" i="86" s="1"/>
  <c r="G66" i="86" s="1"/>
  <c r="N92" i="85" s="1"/>
  <c r="C46" i="82" l="1"/>
  <c r="B46" i="82"/>
  <c r="F17" i="86"/>
  <c r="F18" i="86" s="1"/>
  <c r="F20" i="86" s="1"/>
  <c r="F24" i="86" s="1"/>
  <c r="K9" i="86" s="1"/>
  <c r="D46" i="82"/>
  <c r="E46" i="82"/>
  <c r="D17" i="86"/>
  <c r="D18" i="86" s="1"/>
  <c r="D20" i="86" s="1"/>
  <c r="D24" i="86" s="1"/>
  <c r="K7" i="86" s="1"/>
  <c r="G46" i="82"/>
  <c r="H17" i="86"/>
  <c r="H18" i="86" s="1"/>
  <c r="H20" i="86" s="1"/>
  <c r="H24" i="86" s="1"/>
  <c r="K11" i="86" s="1"/>
  <c r="C51" i="82" l="1"/>
  <c r="D51" i="82"/>
  <c r="E51" i="82"/>
  <c r="E17" i="86"/>
  <c r="E18" i="86" s="1"/>
  <c r="E20" i="86" s="1"/>
  <c r="E24" i="86" s="1"/>
  <c r="K8" i="86" s="1"/>
  <c r="G17" i="86"/>
  <c r="G18" i="86" s="1"/>
  <c r="G20" i="86" s="1"/>
  <c r="G24" i="86" s="1"/>
  <c r="K10" i="86" s="1"/>
  <c r="F46" i="82"/>
  <c r="F51" i="82"/>
  <c r="I51" i="82"/>
  <c r="H51" i="82"/>
  <c r="H46" i="82"/>
  <c r="I46" i="82" l="1"/>
  <c r="J46" i="82"/>
  <c r="C37" i="86"/>
  <c r="C38" i="86" s="1"/>
  <c r="C40" i="86" s="1"/>
  <c r="C44" i="86" s="1"/>
  <c r="K13" i="86" s="1"/>
  <c r="I17" i="86"/>
  <c r="I18" i="86" s="1"/>
  <c r="I20" i="86" s="1"/>
  <c r="I24" i="86" s="1"/>
  <c r="K12" i="86" s="1"/>
  <c r="J51" i="82" l="1"/>
  <c r="D37" i="86"/>
  <c r="D38" i="86" s="1"/>
  <c r="D40" i="86" s="1"/>
  <c r="D44" i="86" s="1"/>
  <c r="K14" i="86" s="1"/>
  <c r="K51" i="82" l="1"/>
  <c r="K46" i="82"/>
  <c r="B25" i="82" s="1"/>
  <c r="B26" i="82" s="1"/>
  <c r="C66" i="82" l="1"/>
  <c r="C52" i="82"/>
  <c r="C54" i="82" s="1"/>
  <c r="G72" i="82"/>
  <c r="G78" i="82" s="1"/>
  <c r="E72" i="82"/>
  <c r="E78" i="82" s="1"/>
  <c r="F72" i="82"/>
  <c r="F78" i="82" s="1"/>
  <c r="I72" i="82"/>
  <c r="I78" i="82" s="1"/>
  <c r="B52" i="82"/>
  <c r="B54" i="82" s="1"/>
  <c r="C72" i="82"/>
  <c r="C78" i="82" s="1"/>
  <c r="B72" i="82"/>
  <c r="H52" i="82"/>
  <c r="H54" i="82" s="1"/>
  <c r="H72" i="82"/>
  <c r="H78" i="82" s="1"/>
  <c r="E52" i="82"/>
  <c r="E54" i="82" s="1"/>
  <c r="G52" i="82"/>
  <c r="G54" i="82" s="1"/>
  <c r="J52" i="82"/>
  <c r="J54" i="82" s="1"/>
  <c r="D72" i="82"/>
  <c r="D78" i="82" s="1"/>
  <c r="D52" i="82"/>
  <c r="D54" i="82" s="1"/>
  <c r="K52" i="82"/>
  <c r="K54" i="82" s="1"/>
  <c r="F52" i="82"/>
  <c r="F54" i="82" s="1"/>
  <c r="I52" i="82"/>
  <c r="I54" i="82" s="1"/>
  <c r="E37" i="86"/>
  <c r="E38" i="86" s="1"/>
  <c r="E40" i="86" s="1"/>
  <c r="E44" i="86" s="1"/>
  <c r="K15" i="86" s="1"/>
  <c r="B66" i="82"/>
  <c r="B71" i="82"/>
  <c r="K58" i="82" l="1"/>
  <c r="B78" i="82" s="1"/>
  <c r="J58" i="82"/>
  <c r="C58" i="82"/>
  <c r="F58" i="82"/>
  <c r="I58" i="82"/>
  <c r="B58" i="82"/>
  <c r="E58" i="82"/>
  <c r="H58" i="82"/>
  <c r="D58" i="82"/>
  <c r="G58" i="82"/>
  <c r="G37" i="86"/>
  <c r="G38" i="86" s="1"/>
  <c r="G40" i="86" s="1"/>
  <c r="G44" i="86" s="1"/>
  <c r="K17" i="86" s="1"/>
  <c r="C71" i="82"/>
  <c r="C74" i="82" s="1"/>
  <c r="C75" i="82" s="1"/>
  <c r="C76" i="82" s="1"/>
  <c r="B74" i="82"/>
  <c r="B75" i="82" s="1"/>
  <c r="B55" i="82"/>
  <c r="B56" i="82" s="1"/>
  <c r="B5" i="82"/>
  <c r="B6" i="82" s="1"/>
  <c r="B7" i="82" s="1"/>
  <c r="B28" i="82"/>
  <c r="B9" i="82"/>
  <c r="B10" i="82" s="1"/>
  <c r="B11" i="82" s="1"/>
  <c r="J55" i="82"/>
  <c r="J56" i="82" s="1"/>
  <c r="K55" i="82"/>
  <c r="K56" i="82" s="1"/>
  <c r="I55" i="82"/>
  <c r="I56" i="82" s="1"/>
  <c r="G55" i="82"/>
  <c r="G56" i="82" s="1"/>
  <c r="F55" i="82"/>
  <c r="F56" i="82" s="1"/>
  <c r="D55" i="82"/>
  <c r="D56" i="82" s="1"/>
  <c r="H55" i="82"/>
  <c r="H56" i="82" s="1"/>
  <c r="C55" i="82"/>
  <c r="C56" i="82" s="1"/>
  <c r="F37" i="86"/>
  <c r="F38" i="86" s="1"/>
  <c r="F40" i="86" s="1"/>
  <c r="F44" i="86" s="1"/>
  <c r="K16" i="86" s="1"/>
  <c r="E55" i="82"/>
  <c r="E56" i="82" s="1"/>
  <c r="D57" i="86" l="1"/>
  <c r="D58" i="86" s="1"/>
  <c r="D60" i="86" s="1"/>
  <c r="D64" i="86" s="1"/>
  <c r="K21" i="86" s="1"/>
  <c r="E71" i="82"/>
  <c r="E74" i="82" s="1"/>
  <c r="B76" i="82"/>
  <c r="D71" i="82"/>
  <c r="D74" i="82" s="1"/>
  <c r="D66" i="82"/>
  <c r="B29" i="82"/>
  <c r="G21" i="82"/>
  <c r="E57" i="86" l="1"/>
  <c r="E58" i="86" s="1"/>
  <c r="E60" i="86" s="1"/>
  <c r="E64" i="86" s="1"/>
  <c r="K22" i="86" s="1"/>
  <c r="E66" i="82"/>
  <c r="I37" i="86"/>
  <c r="I38" i="86" s="1"/>
  <c r="I40" i="86" s="1"/>
  <c r="I44" i="86" s="1"/>
  <c r="K19" i="86" s="1"/>
  <c r="H37" i="86"/>
  <c r="H38" i="86" s="1"/>
  <c r="H40" i="86" s="1"/>
  <c r="H44" i="86" s="1"/>
  <c r="K18" i="86" s="1"/>
  <c r="D75" i="82"/>
  <c r="D76" i="82" s="1"/>
  <c r="E75" i="82"/>
  <c r="E76" i="82" s="1"/>
  <c r="F57" i="86" l="1"/>
  <c r="F58" i="86" s="1"/>
  <c r="F60" i="86" s="1"/>
  <c r="F64" i="86" s="1"/>
  <c r="K23" i="86" s="1"/>
  <c r="F66" i="82"/>
  <c r="F71" i="82"/>
  <c r="F74" i="82" s="1"/>
  <c r="O8" i="86" l="1"/>
  <c r="O14" i="86" s="1"/>
  <c r="O33" i="86" s="1"/>
  <c r="H63" i="86" s="1"/>
  <c r="C57" i="86"/>
  <c r="C58" i="86" s="1"/>
  <c r="C60" i="86" s="1"/>
  <c r="C64" i="86" s="1"/>
  <c r="K20" i="86" s="1"/>
  <c r="F75" i="82"/>
  <c r="F76" i="82" s="1"/>
  <c r="G66" i="82"/>
  <c r="G71" i="82"/>
  <c r="G74" i="82" s="1"/>
  <c r="I66" i="82" l="1"/>
  <c r="H66" i="82"/>
  <c r="H71" i="82"/>
  <c r="H74" i="82" s="1"/>
  <c r="G75" i="82"/>
  <c r="G76" i="82" s="1"/>
  <c r="I71" i="82" l="1"/>
  <c r="I74" i="82" s="1"/>
  <c r="I75" i="82" s="1"/>
  <c r="I76" i="82" s="1"/>
  <c r="H75" i="82"/>
  <c r="H76" i="82" s="1"/>
  <c r="J71" i="82" l="1"/>
  <c r="K71" i="82" l="1"/>
  <c r="E15" i="72" l="1"/>
  <c r="E20" i="72" l="1"/>
  <c r="E21" i="72" l="1"/>
  <c r="E16" i="72" l="1"/>
  <c r="P233" i="72"/>
  <c r="P442" i="72" s="1"/>
  <c r="O6" i="72" l="1"/>
  <c r="L233" i="72"/>
  <c r="L191" i="72"/>
  <c r="AE45" i="72"/>
  <c r="AE63" i="72" s="1"/>
  <c r="AD45" i="72"/>
  <c r="AD63" i="72" s="1"/>
  <c r="Y45" i="72"/>
  <c r="Y63" i="72" s="1"/>
  <c r="X45" i="72"/>
  <c r="X63" i="72" s="1"/>
  <c r="P6" i="72"/>
  <c r="E19" i="72"/>
  <c r="J65" i="111" l="1"/>
  <c r="S39" i="111" s="1"/>
  <c r="J67" i="111"/>
  <c r="J65" i="82"/>
  <c r="J66" i="82" s="1"/>
  <c r="J72" i="111"/>
  <c r="B28" i="87"/>
  <c r="J796" i="123"/>
  <c r="J808" i="123" s="1"/>
  <c r="J66" i="111"/>
  <c r="J70" i="111"/>
  <c r="J72" i="82" l="1"/>
  <c r="J810" i="123"/>
  <c r="K58" i="111"/>
  <c r="J74" i="82"/>
  <c r="J78" i="82"/>
  <c r="J75" i="82"/>
  <c r="J76" i="82" s="1"/>
  <c r="G50" i="86"/>
  <c r="G57" i="86" s="1"/>
  <c r="G58" i="86" s="1"/>
  <c r="G60" i="86" s="1"/>
  <c r="G64" i="86" s="1"/>
  <c r="K24" i="86" s="1"/>
  <c r="J804" i="123"/>
  <c r="J805" i="123"/>
  <c r="J803" i="123"/>
  <c r="K72" i="111" l="1"/>
  <c r="B90" i="111" s="1"/>
  <c r="K67" i="111"/>
  <c r="K65" i="82"/>
  <c r="K796" i="123"/>
  <c r="K66" i="111"/>
  <c r="K70" i="111"/>
  <c r="B29" i="87"/>
  <c r="K65" i="111"/>
  <c r="S40" i="111" s="1"/>
  <c r="S777" i="123"/>
  <c r="H50" i="86" l="1"/>
  <c r="H57" i="86" s="1"/>
  <c r="H58" i="86" s="1"/>
  <c r="H60" i="86" s="1"/>
  <c r="H64" i="86" s="1"/>
  <c r="K25" i="86" s="1"/>
  <c r="K810" i="123"/>
  <c r="L100" i="85"/>
  <c r="L70" i="85"/>
  <c r="K72" i="82"/>
  <c r="K66" i="82"/>
  <c r="K803" i="123"/>
  <c r="S778" i="123" s="1"/>
  <c r="K804" i="123"/>
  <c r="K808" i="123"/>
  <c r="K805" i="123"/>
  <c r="B828" i="123" l="1"/>
  <c r="B101" i="111"/>
  <c r="B97" i="111"/>
  <c r="B30" i="87"/>
  <c r="B96" i="111"/>
  <c r="B834" i="123" s="1"/>
  <c r="B103" i="111"/>
  <c r="B98" i="111"/>
  <c r="C86" i="90"/>
  <c r="F61" i="89"/>
  <c r="K74" i="82"/>
  <c r="K75" i="82" s="1"/>
  <c r="K76" i="82" s="1"/>
  <c r="K78" i="82"/>
  <c r="B839" i="123" l="1"/>
  <c r="B836" i="123"/>
  <c r="B835" i="123"/>
  <c r="C103" i="111"/>
  <c r="B841" i="123"/>
  <c r="C841" i="123" l="1"/>
  <c r="D103" i="111"/>
  <c r="E103" i="111" l="1"/>
  <c r="D841" i="123"/>
  <c r="F103" i="111" l="1"/>
  <c r="E841" i="123"/>
  <c r="G103" i="111" l="1"/>
  <c r="F841" i="123"/>
  <c r="H103" i="111" l="1"/>
  <c r="G841" i="123"/>
  <c r="I103" i="111" l="1"/>
  <c r="H841" i="123"/>
  <c r="I841" i="123" l="1"/>
  <c r="J103" i="111"/>
  <c r="J841" i="123" l="1"/>
  <c r="K103" i="111"/>
  <c r="K841" i="123" l="1"/>
  <c r="B120" i="111"/>
  <c r="B858" i="123" l="1"/>
  <c r="B40" i="87"/>
  <c r="B133" i="111"/>
  <c r="B126" i="111"/>
  <c r="B864" i="123" s="1"/>
  <c r="B131" i="111"/>
  <c r="B127" i="111"/>
  <c r="B128" i="111"/>
  <c r="B869" i="123" l="1"/>
  <c r="B865" i="123"/>
  <c r="B866" i="123"/>
  <c r="B871" i="123"/>
  <c r="C133" i="111"/>
  <c r="D133" i="111" l="1"/>
  <c r="C871" i="123"/>
  <c r="E133" i="111" l="1"/>
  <c r="D871" i="123"/>
  <c r="F133" i="111" l="1"/>
  <c r="F871" i="123" s="1"/>
  <c r="E871" i="1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36" authorId="0" shapeId="0" xr:uid="{9B65EA4D-346E-4EC7-AB69-B882C189084B}">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DB6F6196-AF94-4175-95AD-23FEE3F92A11}">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B6201FE1-A258-44D4-9740-05451128FF5C}">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AE13D59B-3A59-400D-8AE2-016EF64CE33F}">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A27" authorId="0" shapeId="0" xr:uid="{00000000-0006-0000-1100-000001000000}">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Josh Marx</author>
  </authors>
  <commentList>
    <comment ref="B17" authorId="0" shapeId="0" xr:uid="{00000000-0006-0000-0E00-000001000000}">
      <text>
        <r>
          <rPr>
            <b/>
            <sz val="9"/>
            <color indexed="81"/>
            <rFont val="Tahoma"/>
            <family val="2"/>
          </rPr>
          <t>Josh Marx:</t>
        </r>
        <r>
          <rPr>
            <sz val="9"/>
            <color indexed="81"/>
            <rFont val="Tahoma"/>
            <family val="2"/>
          </rPr>
          <t xml:space="preserve">
Hard coded conservatively based on recent firm commitments received.</t>
        </r>
      </text>
    </comment>
    <comment ref="A28" authorId="0" shapeId="0" xr:uid="{00000000-0006-0000-0E00-000002000000}">
      <text>
        <r>
          <rPr>
            <b/>
            <sz val="9"/>
            <color indexed="81"/>
            <rFont val="Tahoma"/>
            <family val="2"/>
          </rPr>
          <t>Josh Marx:</t>
        </r>
        <r>
          <rPr>
            <sz val="9"/>
            <color indexed="81"/>
            <rFont val="Tahoma"/>
            <family val="2"/>
          </rPr>
          <t xml:space="preserve">
Assumes same interest rate and term as first mortgage. Loan fees not included.</t>
        </r>
      </text>
    </comment>
    <comment ref="B33" authorId="0" shapeId="0" xr:uid="{00000000-0006-0000-0E00-000003000000}">
      <text>
        <r>
          <rPr>
            <b/>
            <sz val="9"/>
            <color indexed="81"/>
            <rFont val="Tahoma"/>
            <family val="2"/>
          </rPr>
          <t>Josh Marx:</t>
        </r>
        <r>
          <rPr>
            <sz val="9"/>
            <color indexed="81"/>
            <rFont val="Tahoma"/>
            <family val="2"/>
          </rPr>
          <t xml:space="preserve">
Back into the figure that gets the year fifteen figure to zero.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Charles B. Clark</author>
  </authors>
  <commentList>
    <comment ref="E3" authorId="0" shapeId="0" xr:uid="{00000000-0006-0000-1200-000001000000}">
      <text>
        <r>
          <rPr>
            <b/>
            <sz val="8"/>
            <color indexed="81"/>
            <rFont val="Tahoma"/>
            <family val="2"/>
          </rPr>
          <t>Charles B. Clark:</t>
        </r>
        <r>
          <rPr>
            <sz val="8"/>
            <color indexed="81"/>
            <rFont val="Tahoma"/>
            <family val="2"/>
          </rPr>
          <t xml:space="preserve">
This is following;
 Construction cost less: Contingency
 Contractor Services
 Government Fees
 Professional Services
 Services
 Dev Fee
What about Dev Overhead.
Also, this assumes Contingency not used … if contingency used it becomes depreciable cost.</t>
        </r>
      </text>
    </comment>
    <comment ref="E4" authorId="0" shapeId="0" xr:uid="{00000000-0006-0000-1200-000002000000}">
      <text>
        <r>
          <rPr>
            <b/>
            <sz val="8"/>
            <color indexed="81"/>
            <rFont val="Tahoma"/>
            <family val="2"/>
          </rPr>
          <t>Charles B. Clark:</t>
        </r>
        <r>
          <rPr>
            <sz val="8"/>
            <color indexed="81"/>
            <rFont val="Tahoma"/>
            <family val="2"/>
          </rPr>
          <t xml:space="preserve">
This is Financing cost less:
(1) Tax credit compliance fee.
(2) Tax Credit Application fee.
What about 
(1) Tax Credit Reservation fee (-)
(2) FF&amp;E/Decoration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E9" authorId="0" shapeId="0" xr:uid="{00000000-0006-0000-1500-000001000000}">
      <text>
        <r>
          <rPr>
            <b/>
            <sz val="9"/>
            <color indexed="81"/>
            <rFont val="Tahoma"/>
            <family val="2"/>
          </rPr>
          <t>marie.palena:</t>
        </r>
        <r>
          <rPr>
            <sz val="9"/>
            <color indexed="81"/>
            <rFont val="Tahoma"/>
            <family val="2"/>
          </rPr>
          <t xml:space="preserve">
see Carryover or Irregular Payment Stream (IPS) confirmation
</t>
        </r>
      </text>
    </comment>
    <comment ref="F36" authorId="0" shapeId="0" xr:uid="{00000000-0006-0000-1500-000002000000}">
      <text>
        <r>
          <rPr>
            <b/>
            <sz val="9"/>
            <color indexed="81"/>
            <rFont val="Tahoma"/>
            <family val="2"/>
          </rPr>
          <t>marie.palena:</t>
        </r>
        <r>
          <rPr>
            <sz val="9"/>
            <color indexed="81"/>
            <rFont val="Tahoma"/>
            <family val="2"/>
          </rPr>
          <t xml:space="preserve">
revise if using Rural step-down interest</t>
        </r>
      </text>
    </comment>
    <comment ref="F61" authorId="0" shapeId="0" xr:uid="{00000000-0006-0000-1500-000003000000}">
      <text>
        <r>
          <rPr>
            <b/>
            <sz val="9"/>
            <color indexed="81"/>
            <rFont val="Tahoma"/>
            <family val="2"/>
          </rPr>
          <t>marie.palena:</t>
        </r>
        <r>
          <rPr>
            <sz val="9"/>
            <color indexed="81"/>
            <rFont val="Tahoma"/>
            <family val="2"/>
          </rPr>
          <t xml:space="preserve">
Only if IPS, otherwise NA</t>
        </r>
      </text>
    </comment>
    <comment ref="G64" authorId="0" shapeId="0" xr:uid="{00000000-0006-0000-1500-000004000000}">
      <text>
        <r>
          <rPr>
            <b/>
            <sz val="9"/>
            <color indexed="81"/>
            <rFont val="Tahoma"/>
            <family val="2"/>
          </rPr>
          <t>marie.palena:</t>
        </r>
        <r>
          <rPr>
            <sz val="9"/>
            <color indexed="81"/>
            <rFont val="Tahoma"/>
            <family val="2"/>
          </rPr>
          <t xml:space="preserve">
construction loan? 1 mortgage?</t>
        </r>
      </text>
    </comment>
    <comment ref="G65" authorId="0" shapeId="0" xr:uid="{73E03E57-8EC8-408E-9440-74799B872805}">
      <text>
        <r>
          <rPr>
            <b/>
            <sz val="9"/>
            <color indexed="81"/>
            <rFont val="Tahoma"/>
            <family val="2"/>
          </rPr>
          <t>marie.palena:</t>
        </r>
        <r>
          <rPr>
            <sz val="9"/>
            <color indexed="81"/>
            <rFont val="Tahoma"/>
            <family val="2"/>
          </rPr>
          <t xml:space="preserve">
construction loan? 1 mortgage?</t>
        </r>
      </text>
    </comment>
    <comment ref="G66" authorId="0" shapeId="0" xr:uid="{4667230D-91DF-443B-A9CC-69836E71F2F9}">
      <text>
        <r>
          <rPr>
            <b/>
            <sz val="9"/>
            <color indexed="81"/>
            <rFont val="Tahoma"/>
            <family val="2"/>
          </rPr>
          <t>marie.palena:</t>
        </r>
        <r>
          <rPr>
            <sz val="9"/>
            <color indexed="81"/>
            <rFont val="Tahoma"/>
            <family val="2"/>
          </rPr>
          <t xml:space="preserve">
construction loan? 1 mortgage?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marie.palena</author>
    <author>stephen.barrett</author>
  </authors>
  <commentList>
    <comment ref="C48" authorId="0" shapeId="0" xr:uid="{00000000-0006-0000-1600-000001000000}">
      <text>
        <r>
          <rPr>
            <b/>
            <sz val="9"/>
            <color indexed="81"/>
            <rFont val="Tahoma"/>
            <family val="2"/>
          </rPr>
          <t>marie.palena:</t>
        </r>
        <r>
          <rPr>
            <sz val="9"/>
            <color indexed="81"/>
            <rFont val="Tahoma"/>
            <family val="2"/>
          </rPr>
          <t xml:space="preserve">
see threshold</t>
        </r>
      </text>
    </comment>
    <comment ref="C50" authorId="0" shapeId="0" xr:uid="{00000000-0006-0000-1600-000002000000}">
      <text>
        <r>
          <rPr>
            <b/>
            <sz val="9"/>
            <color indexed="81"/>
            <rFont val="Tahoma"/>
            <family val="2"/>
          </rPr>
          <t>marie.palena:</t>
        </r>
        <r>
          <rPr>
            <sz val="9"/>
            <color indexed="81"/>
            <rFont val="Tahoma"/>
            <family val="2"/>
          </rPr>
          <t xml:space="preserve">
confirm with threshold
</t>
        </r>
      </text>
    </comment>
    <comment ref="D76" authorId="0" shapeId="0" xr:uid="{00000000-0006-0000-1600-000003000000}">
      <text>
        <r>
          <rPr>
            <b/>
            <sz val="9"/>
            <color indexed="81"/>
            <rFont val="Tahoma"/>
            <family val="2"/>
          </rPr>
          <t>marie.palena:</t>
        </r>
        <r>
          <rPr>
            <sz val="9"/>
            <color indexed="81"/>
            <rFont val="Tahoma"/>
            <family val="2"/>
          </rPr>
          <t xml:space="preserve">
may need to reference additional Preview Term Sheet cells if Rural step-down</t>
        </r>
      </text>
    </comment>
    <comment ref="D82" authorId="0" shapeId="0" xr:uid="{00000000-0006-0000-1600-000004000000}">
      <text>
        <r>
          <rPr>
            <b/>
            <sz val="9"/>
            <color indexed="81"/>
            <rFont val="Tahoma"/>
            <family val="2"/>
          </rPr>
          <t>marie.palena:</t>
        </r>
        <r>
          <rPr>
            <sz val="9"/>
            <color indexed="81"/>
            <rFont val="Tahoma"/>
            <family val="2"/>
          </rPr>
          <t xml:space="preserve">
If IPS, use NA</t>
        </r>
      </text>
    </comment>
    <comment ref="D84" authorId="0" shapeId="0" xr:uid="{00000000-0006-0000-1600-000005000000}">
      <text>
        <r>
          <rPr>
            <b/>
            <sz val="9"/>
            <color indexed="81"/>
            <rFont val="Tahoma"/>
            <family val="2"/>
          </rPr>
          <t>marie.palena:</t>
        </r>
        <r>
          <rPr>
            <sz val="9"/>
            <color indexed="81"/>
            <rFont val="Tahoma"/>
            <family val="2"/>
          </rPr>
          <t xml:space="preserve">
for fully am, use NA</t>
        </r>
      </text>
    </comment>
    <comment ref="D86" authorId="0" shapeId="0" xr:uid="{00000000-0006-0000-1600-000006000000}">
      <text>
        <r>
          <rPr>
            <b/>
            <sz val="8"/>
            <color indexed="81"/>
            <rFont val="Tahoma"/>
            <family val="2"/>
          </rPr>
          <t>marie.palena:</t>
        </r>
        <r>
          <rPr>
            <sz val="8"/>
            <color indexed="81"/>
            <rFont val="Tahoma"/>
            <family val="2"/>
          </rPr>
          <t xml:space="preserve">
delete if fully amortizing</t>
        </r>
      </text>
    </comment>
    <comment ref="B88" authorId="0" shapeId="0" xr:uid="{00000000-0006-0000-1600-000007000000}">
      <text>
        <r>
          <rPr>
            <b/>
            <sz val="8"/>
            <color indexed="81"/>
            <rFont val="Tahoma"/>
            <family val="2"/>
          </rPr>
          <t>marie.palena:</t>
        </r>
        <r>
          <rPr>
            <sz val="8"/>
            <color indexed="81"/>
            <rFont val="Tahoma"/>
            <family val="2"/>
          </rPr>
          <t xml:space="preserve">
delete if fully amortizing</t>
        </r>
      </text>
    </comment>
    <comment ref="C88" authorId="1" shapeId="0" xr:uid="{00000000-0006-0000-1600-000008000000}">
      <text>
        <r>
          <rPr>
            <b/>
            <sz val="9"/>
            <color indexed="81"/>
            <rFont val="Tahoma"/>
            <family val="2"/>
          </rPr>
          <t>marie.palena:</t>
        </r>
        <r>
          <rPr>
            <sz val="9"/>
            <color indexed="81"/>
            <rFont val="Tahoma"/>
            <family val="2"/>
          </rPr>
          <t xml:space="preserve">
will only change if Permanent Supportive Housing HOME loan</t>
        </r>
      </text>
    </comment>
    <comment ref="D102" authorId="1" shapeId="0" xr:uid="{00000000-0006-0000-1600-000009000000}">
      <text>
        <r>
          <rPr>
            <b/>
            <sz val="9"/>
            <color indexed="81"/>
            <rFont val="Tahoma"/>
            <family val="2"/>
          </rPr>
          <t>Marie Palena:</t>
        </r>
        <r>
          <rPr>
            <sz val="9"/>
            <color indexed="81"/>
            <rFont val="Tahoma"/>
            <family val="2"/>
          </rPr>
          <t xml:space="preserve">
See Scoring</t>
        </r>
      </text>
    </comment>
    <comment ref="D104" authorId="0" shapeId="0" xr:uid="{00000000-0006-0000-1600-00000A000000}">
      <text>
        <r>
          <rPr>
            <b/>
            <sz val="9"/>
            <color indexed="81"/>
            <rFont val="Tahoma"/>
            <family val="2"/>
          </rPr>
          <t>marie.palena:</t>
        </r>
        <r>
          <rPr>
            <sz val="9"/>
            <color indexed="81"/>
            <rFont val="Tahoma"/>
            <family val="2"/>
          </rPr>
          <t xml:space="preserve">
Expand this to include name, contact name and # and email, amount, and adjust A105 if it will be a Superior Lien (1st mtg)</t>
        </r>
      </text>
    </comment>
    <comment ref="D158" authorId="0" shapeId="0" xr:uid="{00000000-0006-0000-1600-00000B000000}">
      <text>
        <r>
          <rPr>
            <b/>
            <sz val="9"/>
            <color indexed="81"/>
            <rFont val="Tahoma"/>
            <family val="2"/>
          </rPr>
          <t>marie.palena:</t>
        </r>
        <r>
          <rPr>
            <sz val="9"/>
            <color indexed="81"/>
            <rFont val="Tahoma"/>
            <family val="2"/>
          </rPr>
          <t xml:space="preserve">
new const= max of 20 or term of loan; rehab= term of loan min</t>
        </r>
      </text>
    </comment>
    <comment ref="E165" authorId="0" shapeId="0" xr:uid="{00000000-0006-0000-1600-00000C000000}">
      <text>
        <r>
          <rPr>
            <b/>
            <sz val="9"/>
            <color indexed="81"/>
            <rFont val="Tahoma"/>
            <family val="2"/>
          </rPr>
          <t>marie.palena:</t>
        </r>
        <r>
          <rPr>
            <sz val="9"/>
            <color indexed="81"/>
            <rFont val="Tahoma"/>
            <family val="2"/>
          </rPr>
          <t xml:space="preserve">
check Uses</t>
        </r>
      </text>
    </comment>
    <comment ref="E180" authorId="1" shapeId="0" xr:uid="{00000000-0006-0000-1600-00000D000000}">
      <text>
        <r>
          <rPr>
            <b/>
            <sz val="9"/>
            <color indexed="81"/>
            <rFont val="Tahoma"/>
            <family val="2"/>
          </rPr>
          <t>marie.palena:</t>
        </r>
        <r>
          <rPr>
            <sz val="9"/>
            <color indexed="81"/>
            <rFont val="Tahoma"/>
            <family val="2"/>
          </rPr>
          <t xml:space="preserve">
Yes - only if IPS
No - only if fully amortized</t>
        </r>
      </text>
    </comment>
    <comment ref="E181" authorId="1" shapeId="0" xr:uid="{00000000-0006-0000-1600-00000E000000}">
      <text>
        <r>
          <rPr>
            <b/>
            <sz val="9"/>
            <color indexed="81"/>
            <rFont val="Tahoma"/>
            <family val="2"/>
          </rPr>
          <t xml:space="preserve">marie.palena:
</t>
        </r>
        <r>
          <rPr>
            <sz val="9"/>
            <color indexed="81"/>
            <rFont val="Tahoma"/>
            <family val="2"/>
          </rPr>
          <t xml:space="preserve">must show on proforma, only for IPS
</t>
        </r>
      </text>
    </comment>
    <comment ref="C197" authorId="1" shapeId="0" xr:uid="{00000000-0006-0000-1600-00000F000000}">
      <text>
        <r>
          <rPr>
            <b/>
            <sz val="9"/>
            <color indexed="81"/>
            <rFont val="Tahoma"/>
            <family val="2"/>
          </rPr>
          <t>marie.palena:</t>
        </r>
        <r>
          <rPr>
            <sz val="9"/>
            <color indexed="81"/>
            <rFont val="Tahoma"/>
            <family val="2"/>
          </rPr>
          <t xml:space="preserve">
If Yes - Federal and State</t>
        </r>
      </text>
    </comment>
    <comment ref="A202" authorId="0" shapeId="0" xr:uid="{00000000-0006-0000-1600-000010000000}">
      <text>
        <r>
          <rPr>
            <b/>
            <sz val="9"/>
            <color indexed="81"/>
            <rFont val="Tahoma"/>
            <family val="2"/>
          </rPr>
          <t>marie.palena:</t>
        </r>
        <r>
          <rPr>
            <sz val="9"/>
            <color indexed="81"/>
            <rFont val="Tahoma"/>
            <family val="2"/>
          </rPr>
          <t xml:space="preserve">
should be able to reference cell A98 in Loan Memo if UNUSUAL circumstance</t>
        </r>
      </text>
    </comment>
    <comment ref="A205" authorId="0" shapeId="0" xr:uid="{19B54FA2-5935-4051-B51D-57A78F2D95CC}">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8C6AB78C-259E-4378-B2BB-63FE5F1B5277}">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44A8F6E0-EABF-41FA-BA7A-414686F29A3D}">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6983B845-3FA5-448E-A3FE-599884F25CB9}">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G13" authorId="0" shapeId="0" xr:uid="{00000000-0006-0000-1700-000001000000}">
      <text>
        <r>
          <rPr>
            <b/>
            <sz val="9"/>
            <color indexed="81"/>
            <rFont val="Tahoma"/>
            <family val="2"/>
          </rPr>
          <t>marie.palena:</t>
        </r>
        <r>
          <rPr>
            <sz val="9"/>
            <color indexed="81"/>
            <rFont val="Tahoma"/>
            <family val="2"/>
          </rPr>
          <t xml:space="preserve">
generally rehabs only</t>
        </r>
      </text>
    </comment>
    <comment ref="G16" authorId="0" shapeId="0" xr:uid="{00000000-0006-0000-1700-000002000000}">
      <text>
        <r>
          <rPr>
            <b/>
            <sz val="9"/>
            <color indexed="81"/>
            <rFont val="Tahoma"/>
            <family val="2"/>
          </rPr>
          <t>marie.palena:</t>
        </r>
        <r>
          <rPr>
            <sz val="9"/>
            <color indexed="81"/>
            <rFont val="Tahoma"/>
            <family val="2"/>
          </rPr>
          <t xml:space="preserve">
check Carryover funding conditions AND confirm with DCA Envir staff</t>
        </r>
      </text>
    </comment>
    <comment ref="G18" authorId="0" shapeId="0" xr:uid="{00000000-0006-0000-1700-000003000000}">
      <text>
        <r>
          <rPr>
            <b/>
            <sz val="8"/>
            <color indexed="81"/>
            <rFont val="Tahoma"/>
            <family val="2"/>
          </rPr>
          <t>marie.palena:</t>
        </r>
        <r>
          <rPr>
            <sz val="8"/>
            <color indexed="81"/>
            <rFont val="Tahoma"/>
            <family val="2"/>
          </rPr>
          <t xml:space="preserve">
check Carryover and HOME Preliminary Commitment</t>
        </r>
      </text>
    </comment>
    <comment ref="E31" authorId="0" shapeId="0" xr:uid="{C8958801-96E4-4B05-84CB-B87CF5BEAF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 authorId="0" shapeId="0" xr:uid="{F6AAFBD7-82CC-46D2-B059-C3445DC0B22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 authorId="0" shapeId="0" xr:uid="{57B3EC3A-42EE-43AA-B826-924FE9E2FFF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 authorId="0" shapeId="0" xr:uid="{00000000-0006-0000-1700-0000040000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 authorId="0" shapeId="0" xr:uid="{2F3FFD8F-9380-4C45-B1AE-80F83C34CD2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8" authorId="0" shapeId="0" xr:uid="{BE3B7854-AE56-4787-9E23-3AD8CF004CF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65" authorId="0" shapeId="0" xr:uid="{D8DF114C-7565-44B3-9C00-43F22208F2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0" authorId="0" shapeId="0" xr:uid="{7ADA8A18-E73C-4E3B-8E0A-E5F8F8915CD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5" authorId="0" shapeId="0" xr:uid="{DCF06458-31F6-4D0A-A777-F8D6F8CB9EC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2" authorId="0" shapeId="0" xr:uid="{9EF63F11-5902-4CE1-A5EC-2E2C1AC01D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7" authorId="0" shapeId="0" xr:uid="{5ACCCB29-12CA-4343-8355-38D5ACCABE3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2" authorId="0" shapeId="0" xr:uid="{5E7C3F17-0CE4-4ED7-B06B-0F991C78453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9" authorId="0" shapeId="0" xr:uid="{93854B36-D91A-439B-BB2E-5C10E6F2E50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0" authorId="0" shapeId="0" xr:uid="{D326CEFE-AB74-4764-8E5D-A2E2D47856E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5" authorId="0" shapeId="0" xr:uid="{6DBD711D-9C51-4246-9D7B-3B06E7045E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0" authorId="0" shapeId="0" xr:uid="{06376F03-09CF-4F09-A119-AD7096D108A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7" authorId="0" shapeId="0" xr:uid="{3510CE11-DE9B-4A71-81C6-1C1B62B8944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2" authorId="0" shapeId="0" xr:uid="{C355D973-7D58-4857-AB08-85AC0194253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7" authorId="0" shapeId="0" xr:uid="{711942EA-9379-4DD6-95D3-84711FCE5D8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4" authorId="0" shapeId="0" xr:uid="{92315E97-55DB-484E-AC40-50B1FDCF7D9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9" authorId="0" shapeId="0" xr:uid="{00FADA1D-68CE-4E8E-A5C1-F6AC020BFD0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54" authorId="0" shapeId="0" xr:uid="{D190B1B4-45BD-43AC-AB60-4F18178BC4F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1" authorId="0" shapeId="0" xr:uid="{B4ED5B30-9551-4768-BE6F-B1D34CEE93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6" authorId="0" shapeId="0" xr:uid="{23E658BE-A96A-4311-BF9F-DCD2D957B14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1" authorId="0" shapeId="0" xr:uid="{9E13C419-CF70-4069-A4F8-FEFBF37789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8" authorId="0" shapeId="0" xr:uid="{F132794F-FD5D-4E7F-A369-F54FAC40E0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89" authorId="0" shapeId="0" xr:uid="{F0CC77D5-0193-4CB1-B687-3EECE6B2C8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4" authorId="0" shapeId="0" xr:uid="{58B6D1AA-D5D1-410C-A0BA-8A3F8529837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9" authorId="0" shapeId="0" xr:uid="{0103677E-249B-4B07-BD1B-E773E7306AF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06" authorId="0" shapeId="0" xr:uid="{92BE624F-DA1D-4776-941B-FC5713ECA4A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1" authorId="0" shapeId="0" xr:uid="{FDC55138-D270-446A-B70E-70B5B89242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6" authorId="0" shapeId="0" xr:uid="{7AC5A9C1-667C-4458-BF53-B71059F8501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3" authorId="0" shapeId="0" xr:uid="{4AFD0688-66EC-4DA2-8DFE-85558F3CDF4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8" authorId="0" shapeId="0" xr:uid="{230A5B3F-DABA-454A-8C1D-FEC8731DA3A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33" authorId="0" shapeId="0" xr:uid="{4278698C-3348-4A9A-929B-711BFD1EAF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0" authorId="0" shapeId="0" xr:uid="{3C5A9916-1BBB-459F-8F74-AC814C49E48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5" authorId="0" shapeId="0" xr:uid="{DDCF7FA9-1AC8-4BC2-BD81-BBB5A1C7949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0" authorId="0" shapeId="0" xr:uid="{AB4ACC7C-616A-4B07-B1BD-C4E8C8C9D2A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7" authorId="0" shapeId="0" xr:uid="{C687C904-E62D-421C-9625-224EBC6F3D0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68" authorId="0" shapeId="0" xr:uid="{2A86EAC0-A0F2-4B37-93E2-C3F7BF45B43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3" authorId="0" shapeId="0" xr:uid="{39D2CE5C-70EA-4A08-B79F-E5EFA1CEA9F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8" authorId="0" shapeId="0" xr:uid="{251CC7E7-2459-4F51-9851-8243D4FB81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85" authorId="0" shapeId="0" xr:uid="{11EF4A3F-6129-4BA7-A75B-E632BE517D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0" authorId="0" shapeId="0" xr:uid="{8DD68ED9-23D8-4370-A8BC-A2DEAE5171E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5" authorId="0" shapeId="0" xr:uid="{5B9BD3FD-4BD0-4332-A4B8-C0FA37E8DF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2" authorId="0" shapeId="0" xr:uid="{3C2C3C53-2372-4436-981A-51C735E32EC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7" authorId="0" shapeId="0" xr:uid="{B179546E-3CFF-482D-9439-03CE7103EF5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2" authorId="0" shapeId="0" xr:uid="{6B47A291-F1E8-4F1F-95F9-6C16AA0A797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9" authorId="0" shapeId="0" xr:uid="{F430B28F-38FA-4186-AAF3-7C08F233834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4" authorId="0" shapeId="0" xr:uid="{52839287-37DB-4354-AAB9-D9CDAB107FA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9" authorId="0" shapeId="0" xr:uid="{0379C1F2-B7F1-4700-8735-EBC9B1AF1B6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36" authorId="0" shapeId="0" xr:uid="{0F9845DD-E5BA-4E8A-90F7-2DBDFF3035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48" authorId="0" shapeId="0" xr:uid="{0CF2A2E9-F0B8-46CE-9F82-0FD849098A8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3" authorId="0" shapeId="0" xr:uid="{E762B518-EE05-4ECF-AD45-102A1ED4FDF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8" authorId="0" shapeId="0" xr:uid="{C6A39956-9220-4133-A51E-27834BEFD7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5" authorId="0" shapeId="0" xr:uid="{3D020E98-C4FC-4ACD-A107-789C4325D71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0" authorId="0" shapeId="0" xr:uid="{1958002C-5C09-4834-9094-FFA6A8A3D05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5" authorId="0" shapeId="0" xr:uid="{558C509F-84A8-4A2F-869F-C7ACCEB1CE8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2" authorId="0" shapeId="0" xr:uid="{88442B0B-8607-4AD8-92C3-C9C8857859D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7" authorId="0" shapeId="0" xr:uid="{BE93F431-16CD-4CFF-8127-C75CAFD0773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2" authorId="0" shapeId="0" xr:uid="{4996936E-285C-43DA-9B25-C6F765403FA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9" authorId="0" shapeId="0" xr:uid="{87C87D78-845D-4486-9395-8011640A99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4" authorId="0" shapeId="0" xr:uid="{B7C9EEA4-0456-4426-888C-E9DCCC2A05D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9" authorId="0" shapeId="0" xr:uid="{EFB9C796-52D8-4BB3-856F-FB914A78339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6" authorId="0" shapeId="0" xr:uid="{60EC9A6F-DFB5-4F43-97BA-C57E8635A1E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27" authorId="0" shapeId="0" xr:uid="{1BB15D32-5C85-4566-B620-04EA55C5E98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2" authorId="0" shapeId="0" xr:uid="{69ECA035-8E25-4F71-9D32-9A213767A76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7" authorId="0" shapeId="0" xr:uid="{7FDB8980-F62A-48C4-B9EB-A93426CB4C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4" authorId="0" shapeId="0" xr:uid="{2AF54455-9082-4766-9EC6-99E2B0FBF7D3}">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9" authorId="0" shapeId="0" xr:uid="{10AF4828-BC19-4777-B11B-9BDECBFD6E1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54" authorId="0" shapeId="0" xr:uid="{2640E375-7B1E-49FB-BF9D-2CA874F979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1" authorId="0" shapeId="0" xr:uid="{EF44B581-38B6-462A-9C41-57B84EC94DE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6" authorId="0" shapeId="0" xr:uid="{6C596376-F611-4B8D-B70A-B7FEAB0F766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1" authorId="0" shapeId="0" xr:uid="{AC5E4AEF-1BE4-4840-AFF1-73E4E94CC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8" authorId="0" shapeId="0" xr:uid="{1E8386D8-1189-45EB-BDB9-B32529A00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3" authorId="0" shapeId="0" xr:uid="{BEB916DE-C5FD-42FB-83B9-9568543395C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8" authorId="0" shapeId="0" xr:uid="{536F41BF-5605-47C0-A40E-0DC409FF90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95" authorId="0" shapeId="0" xr:uid="{DD0E7EE1-C443-4AC7-A7E7-E99559F4887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06" authorId="0" shapeId="0" xr:uid="{563E69ED-FB43-4548-AD4B-AE3E135A107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1" authorId="0" shapeId="0" xr:uid="{71A99D84-3EBA-4B68-963D-12CF715ED39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6" authorId="0" shapeId="0" xr:uid="{51F816B7-608D-410A-80ED-FC8E8E30BF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3" authorId="0" shapeId="0" xr:uid="{A9F56D16-6402-4D82-8984-AD8B2AF354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8" authorId="0" shapeId="0" xr:uid="{4E6A91D3-B102-4578-B790-0F64C7BCB5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3" authorId="0" shapeId="0" xr:uid="{75F0B07A-DAE8-45CB-AF06-FBA373510E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0" authorId="0" shapeId="0" xr:uid="{F15C5E47-0024-4341-8F2C-77D4D2385D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5" authorId="0" shapeId="0" xr:uid="{002582D8-9E76-4B24-AB34-05A790CAB3A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0" authorId="0" shapeId="0" xr:uid="{F0AE5B5D-9536-4E2A-90DF-ADE9C3F3FA5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7" authorId="0" shapeId="0" xr:uid="{C7DC38C7-7A1C-447E-8CE1-B173DFC823A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2" authorId="0" shapeId="0" xr:uid="{2D20F7FB-0405-4143-AA48-B5F61A3EC6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7" authorId="0" shapeId="0" xr:uid="{CB2AE26A-C8F0-4EC1-8E11-1B57AFEADAE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74" authorId="0" shapeId="0" xr:uid="{705C77B6-EFDD-4FE4-8540-74A159C3A5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L13" authorId="0" shapeId="0" xr:uid="{C7186E0F-B603-479C-9A21-390227DE47BB}">
      <text>
        <r>
          <rPr>
            <b/>
            <sz val="9"/>
            <color indexed="81"/>
            <rFont val="Tahoma"/>
            <family val="2"/>
          </rPr>
          <t>marie.palena:</t>
        </r>
        <r>
          <rPr>
            <sz val="9"/>
            <color indexed="81"/>
            <rFont val="Tahoma"/>
            <family val="2"/>
          </rPr>
          <t xml:space="preserve">
generally rehabs only</t>
        </r>
      </text>
    </comment>
    <comment ref="L16" authorId="0" shapeId="0" xr:uid="{E7535CE1-F32B-4B5E-9E0C-3CFE981A7324}">
      <text>
        <r>
          <rPr>
            <b/>
            <sz val="9"/>
            <color indexed="81"/>
            <rFont val="Tahoma"/>
            <family val="2"/>
          </rPr>
          <t>marie.palena:</t>
        </r>
        <r>
          <rPr>
            <sz val="9"/>
            <color indexed="81"/>
            <rFont val="Tahoma"/>
            <family val="2"/>
          </rPr>
          <t xml:space="preserve">
check Carryover funding conditions AND confirm with DCA Envir staff</t>
        </r>
      </text>
    </comment>
    <comment ref="L18" authorId="0" shapeId="0" xr:uid="{693A51FC-AC23-4507-BA8E-A0569FD9D8BB}">
      <text>
        <r>
          <rPr>
            <b/>
            <sz val="8"/>
            <color indexed="81"/>
            <rFont val="Tahoma"/>
            <family val="2"/>
          </rPr>
          <t>marie.palena:</t>
        </r>
        <r>
          <rPr>
            <sz val="8"/>
            <color indexed="81"/>
            <rFont val="Tahoma"/>
            <family val="2"/>
          </rPr>
          <t xml:space="preserve">
check Carryover and HOME Preliminary Commitment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80" authorId="0" shapeId="0" xr:uid="{5E030960-6AC3-4E34-9992-C2494238ECDF}">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sharedStrings.xml><?xml version="1.0" encoding="utf-8"?>
<sst xmlns="http://schemas.openxmlformats.org/spreadsheetml/2006/main" count="21457" uniqueCount="7756">
  <si>
    <t>Project Narrative</t>
  </si>
  <si>
    <t xml:space="preserve">&lt;&lt; Enter paragraphs here.  Press and hold Alt-Enter to start new paragraphs. Please do NOT use space lines between paragraphs - use indentation instead.&gt;&gt; </t>
  </si>
  <si>
    <t>NOTE: Row size may be increased or decreased as needed.  Press and hold Alt-Enter to start new paragraphs in the same box.
Please do NOT insert blank lines between paragraphs.  Use outline numbering, bullet points, and/or indentation instead.</t>
  </si>
  <si>
    <t>Labels</t>
  </si>
  <si>
    <t>LocationValues1</t>
  </si>
  <si>
    <t>Latitude</t>
  </si>
  <si>
    <t>Unit Count/Tenancy/Pool</t>
  </si>
  <si>
    <t>LocationLabels2</t>
  </si>
  <si>
    <t>Longitude/LocationValues2</t>
  </si>
  <si>
    <t>TC Election</t>
  </si>
  <si>
    <t>QCT</t>
  </si>
  <si>
    <t>Tract/MSA</t>
  </si>
  <si>
    <t>DDA/Unit Area</t>
  </si>
  <si>
    <r>
      <rPr>
        <b/>
        <sz val="10"/>
        <color rgb="FFFF0000"/>
        <rFont val="Arial Narrow"/>
      </rP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rgb="FFFF0000"/>
        <rFont val="Arial Narrow"/>
      </rPr>
      <t>For the best operability of this workbook, fill out both the blue cells and the Tabs/Parts in order of appearance.</t>
    </r>
    <r>
      <rPr>
        <b/>
        <i/>
        <sz val="11"/>
        <color rgb="FFFF0000"/>
        <rFont val="Arial Narrow"/>
      </rPr>
      <t xml:space="preserve"> </t>
    </r>
    <r>
      <rPr>
        <b/>
        <i/>
        <sz val="10"/>
        <color rgb="FFFF0000"/>
        <rFont val="Arial Narrow"/>
      </rPr>
      <t xml:space="preserve"> </t>
    </r>
    <r>
      <rPr>
        <b/>
        <sz val="10"/>
        <color rgb="FFFF0000"/>
        <rFont val="Arial Narrow"/>
      </rPr>
      <t>If you encounter issues with this workbook's operation, simply email allocation@dca.ga.gov with a detailed description of the problem and attach a copy of your core application.  Please include the Tab / Part Number and Name and the cell reference (column letter, row number) where the issue occurs.</t>
    </r>
  </si>
  <si>
    <t>May XX, 2026</t>
  </si>
  <si>
    <r>
      <t>Blue-shaded cells are unlocked for Applicant use and</t>
    </r>
    <r>
      <rPr>
        <b/>
        <sz val="9"/>
        <rFont val="Arial Narrow"/>
        <family val="2"/>
      </rPr>
      <t xml:space="preserve"> do </t>
    </r>
    <r>
      <rPr>
        <b/>
        <i/>
        <sz val="9"/>
        <rFont val="Arial Narrow"/>
        <family val="2"/>
      </rPr>
      <t>not</t>
    </r>
    <r>
      <rPr>
        <b/>
        <sz val="9"/>
        <rFont val="Arial Narrow"/>
        <family val="2"/>
      </rPr>
      <t xml:space="preserve"> contain</t>
    </r>
    <r>
      <rPr>
        <sz val="9"/>
        <rFont val="Arial Narrow"/>
        <family val="2"/>
      </rPr>
      <t xml:space="preserve"> references/formulas.</t>
    </r>
  </si>
  <si>
    <t>DCA Use ONLY - Project Nbr:</t>
  </si>
  <si>
    <r>
      <t>Green-shaded cells unlocked for Applicant use but</t>
    </r>
    <r>
      <rPr>
        <b/>
        <sz val="9"/>
        <rFont val="Arial Narrow"/>
        <family val="2"/>
      </rPr>
      <t xml:space="preserve"> </t>
    </r>
    <r>
      <rPr>
        <b/>
        <i/>
        <sz val="9"/>
        <rFont val="Arial Narrow"/>
        <family val="2"/>
      </rPr>
      <t>do</t>
    </r>
    <r>
      <rPr>
        <b/>
        <sz val="9"/>
        <rFont val="Arial Narrow"/>
        <family val="2"/>
      </rPr>
      <t xml:space="preserve"> contain</t>
    </r>
    <r>
      <rPr>
        <sz val="9"/>
        <rFont val="Arial Narrow"/>
        <family val="2"/>
      </rPr>
      <t xml:space="preserve"> default references/formulas able to be overwritten.</t>
    </r>
  </si>
  <si>
    <t>2026-0xx</t>
  </si>
  <si>
    <t>Please note:  Any questions asked in this Excel core application workbook that are necessarily replicated in the Emphasys System core application must have identical answers in both places.</t>
  </si>
  <si>
    <t>Yellow cells - DCA Use ONLY</t>
  </si>
  <si>
    <t>I.</t>
  </si>
  <si>
    <t>DCA RESOURCES</t>
  </si>
  <si>
    <t>LIHTC (auto-filled from later entries)</t>
  </si>
  <si>
    <t>DCA HOME (from Consent Form)</t>
  </si>
  <si>
    <t>II.</t>
  </si>
  <si>
    <t>TYPE OF APPLICATION</t>
  </si>
  <si>
    <t>--&gt; REQUIRED:</t>
  </si>
  <si>
    <r>
      <rPr>
        <b/>
        <sz val="9"/>
        <color rgb="FFFF0000"/>
        <rFont val="Arial Narrow"/>
      </rPr>
      <t>Determination Number</t>
    </r>
    <r>
      <rPr>
        <sz val="9"/>
        <color rgb="FFFF0000"/>
        <rFont val="Arial Narrow"/>
      </rPr>
      <t xml:space="preserve"> (if applies) - </t>
    </r>
    <r>
      <rPr>
        <b/>
        <u/>
        <sz val="9"/>
        <color rgb="FFFF0000"/>
        <rFont val="Arial Narrow"/>
      </rPr>
      <t>use format 2026PA-###</t>
    </r>
  </si>
  <si>
    <t>&lt;&lt;Enter Pre-App Nbr&gt;&gt;</t>
  </si>
  <si>
    <t>If 4% Credit, does Owner or Developer have a 4% Credits/Bonds property that received an LOD from DCA in 2022 or earlier?</t>
  </si>
  <si>
    <t>Is this project New Construction?</t>
  </si>
  <si>
    <t>III.</t>
  </si>
  <si>
    <t>APPLICANT CONTACT FOR APPLICATION SUBMISSION AND REVIEW</t>
  </si>
  <si>
    <t>(Enter all phone numbers without using hyphens, parentheses, decimals, etc - for example: 1234567890)</t>
  </si>
  <si>
    <t>Organization Name</t>
  </si>
  <si>
    <t>Contact</t>
  </si>
  <si>
    <t>Title</t>
  </si>
  <si>
    <t>Office Phone</t>
  </si>
  <si>
    <t>Ext.</t>
  </si>
  <si>
    <t>Direct Line</t>
  </si>
  <si>
    <t>E-mail</t>
  </si>
  <si>
    <t>Cellular</t>
  </si>
  <si>
    <t>Alternate Contact</t>
  </si>
  <si>
    <t>IV.</t>
  </si>
  <si>
    <t>PROJECT LOCATION</t>
  </si>
  <si>
    <t>Project Name</t>
  </si>
  <si>
    <t>QCT?</t>
  </si>
  <si>
    <t>City</t>
  </si>
  <si>
    <t>&lt;&lt; Select from list &gt;&gt;</t>
  </si>
  <si>
    <t>County</t>
  </si>
  <si>
    <t>DDA?</t>
  </si>
  <si>
    <t>Site is predominantly located within:</t>
  </si>
  <si>
    <t>(Adjust County if needed)</t>
  </si>
  <si>
    <t>Site Acreage</t>
  </si>
  <si>
    <t>In USDA Rural Area?</t>
  </si>
  <si>
    <t>Overall:</t>
  </si>
  <si>
    <t>HUD SA:</t>
  </si>
  <si>
    <t>V.</t>
  </si>
  <si>
    <t xml:space="preserve">WAIVERS AND/OR PRE-APPROVALS </t>
  </si>
  <si>
    <t>Have the following waivers and/or pre-approvals been approved by DCA?</t>
  </si>
  <si>
    <t>HOME Consent?</t>
  </si>
  <si>
    <t>State Basis Boost (extraordinary circumstances)</t>
  </si>
  <si>
    <t>Cost Limit?</t>
  </si>
  <si>
    <t xml:space="preserve">   If Yes, new Limit is --------------------------------------------&gt;:</t>
  </si>
  <si>
    <t>Operating Expense?</t>
  </si>
  <si>
    <t>Credit Award Limitation (extraordinary circumstances)?</t>
  </si>
  <si>
    <t>VI.</t>
  </si>
  <si>
    <t>APPLICANT COMMENTS AND CLARIFICATIONS</t>
  </si>
  <si>
    <t>VII.</t>
  </si>
  <si>
    <t>DCA COMMENTS - DCA USE ONLY</t>
  </si>
  <si>
    <t>&lt;&lt; Select Designation &gt;&gt;</t>
  </si>
  <si>
    <t>Qualified w/out Conditions</t>
  </si>
  <si>
    <t>Qualified w/ Conditions (i)</t>
  </si>
  <si>
    <t>Qualified w/ Conditions (ii)</t>
  </si>
  <si>
    <t>Qualified w/ Conditions (iii)</t>
  </si>
  <si>
    <t>Qualified w/ Conditions (iv)</t>
  </si>
  <si>
    <t>Ineligible - Signif Adverse Events</t>
  </si>
  <si>
    <t>NQ - Partnering w/ Qualified Entity</t>
  </si>
  <si>
    <t>NQ - Probationary Participation</t>
  </si>
  <si>
    <t>Other - explain in Comments</t>
  </si>
  <si>
    <t>CDP Name</t>
  </si>
  <si>
    <t>CDP County</t>
  </si>
  <si>
    <t>CDP</t>
  </si>
  <si>
    <t>Belvedere Park</t>
  </si>
  <si>
    <t>DeKalb</t>
  </si>
  <si>
    <t>Census Designated Place</t>
  </si>
  <si>
    <t>Blacksville</t>
  </si>
  <si>
    <t>Henry</t>
  </si>
  <si>
    <t>Bonanza</t>
  </si>
  <si>
    <t>Clayton</t>
  </si>
  <si>
    <t>Candler-McAfee</t>
  </si>
  <si>
    <t>Chattanooga Valley</t>
  </si>
  <si>
    <t>Walker</t>
  </si>
  <si>
    <t>Conley</t>
  </si>
  <si>
    <t>Country Club Estates</t>
  </si>
  <si>
    <t>Bulloch</t>
  </si>
  <si>
    <t>Deenwood</t>
  </si>
  <si>
    <t>Ware</t>
  </si>
  <si>
    <t>Dock Junction</t>
  </si>
  <si>
    <t>Glynn</t>
  </si>
  <si>
    <t>Druid Hills</t>
  </si>
  <si>
    <t>East Griffin</t>
  </si>
  <si>
    <t>Spalding</t>
  </si>
  <si>
    <t>East Newnan</t>
  </si>
  <si>
    <t>Coweta</t>
  </si>
  <si>
    <t>Evans</t>
  </si>
  <si>
    <t>Columbia</t>
  </si>
  <si>
    <t>Experiment</t>
  </si>
  <si>
    <t>Fair Oaks</t>
  </si>
  <si>
    <t>Cobb</t>
  </si>
  <si>
    <t>Fairview</t>
  </si>
  <si>
    <t>Fort Stewart</t>
  </si>
  <si>
    <t>Liberty</t>
  </si>
  <si>
    <t>Georgetown</t>
  </si>
  <si>
    <t>Quitman</t>
  </si>
  <si>
    <t>Gresham Park</t>
  </si>
  <si>
    <t>Gumlog</t>
  </si>
  <si>
    <t>Towns</t>
  </si>
  <si>
    <t>Hannahs Mill</t>
  </si>
  <si>
    <t>Upson</t>
  </si>
  <si>
    <t>Hilltop</t>
  </si>
  <si>
    <t>Pike</t>
  </si>
  <si>
    <t>Indian Springs</t>
  </si>
  <si>
    <t>Catoosa</t>
  </si>
  <si>
    <t>Irondale</t>
  </si>
  <si>
    <t>Isle of Hope</t>
  </si>
  <si>
    <t>Chatham</t>
  </si>
  <si>
    <t>Kings Bay Base</t>
  </si>
  <si>
    <t>Camden</t>
  </si>
  <si>
    <t>Lakeview</t>
  </si>
  <si>
    <t>Lakeview Estates</t>
  </si>
  <si>
    <t>Rockdale</t>
  </si>
  <si>
    <t>Lincoln Park</t>
  </si>
  <si>
    <t>Lithia Springs</t>
  </si>
  <si>
    <t>Douglas</t>
  </si>
  <si>
    <t>Mableton</t>
  </si>
  <si>
    <t>Martinez</t>
  </si>
  <si>
    <t>Midway-Hardwick</t>
  </si>
  <si>
    <t>Montgomery</t>
  </si>
  <si>
    <t>Moody AFB</t>
  </si>
  <si>
    <t>Lowndes</t>
  </si>
  <si>
    <t>Mountain Park</t>
  </si>
  <si>
    <t>Fulton</t>
  </si>
  <si>
    <t>North Atlanta</t>
  </si>
  <si>
    <t>North Decatur</t>
  </si>
  <si>
    <t>North Druid Hills</t>
  </si>
  <si>
    <t>Panthersville</t>
  </si>
  <si>
    <t>Phillipsburg</t>
  </si>
  <si>
    <t>Tift</t>
  </si>
  <si>
    <t>Putney</t>
  </si>
  <si>
    <t>Dougherty</t>
  </si>
  <si>
    <t>Raoul</t>
  </si>
  <si>
    <t>Habersham</t>
  </si>
  <si>
    <t>Redan</t>
  </si>
  <si>
    <t>Reed Creek</t>
  </si>
  <si>
    <t>Hart</t>
  </si>
  <si>
    <t>Robins AFB</t>
  </si>
  <si>
    <t>Houston</t>
  </si>
  <si>
    <t>Russell</t>
  </si>
  <si>
    <t>Barrow</t>
  </si>
  <si>
    <t>St. Simons</t>
  </si>
  <si>
    <t>Salem</t>
  </si>
  <si>
    <t>Scottdale</t>
  </si>
  <si>
    <t>Shannon</t>
  </si>
  <si>
    <t>Floyd</t>
  </si>
  <si>
    <t>Skidaway Island</t>
  </si>
  <si>
    <t>Sunnyside</t>
  </si>
  <si>
    <t>Sunset Village</t>
  </si>
  <si>
    <t>Tucker</t>
  </si>
  <si>
    <t>Unionville</t>
  </si>
  <si>
    <t>Vinings</t>
  </si>
  <si>
    <t>Whitemarsh Island</t>
  </si>
  <si>
    <t>Wilmington Island</t>
  </si>
  <si>
    <t>IOI Labels</t>
  </si>
  <si>
    <t>IOI Values</t>
  </si>
  <si>
    <t>Values1</t>
  </si>
  <si>
    <t>OwnerZip</t>
  </si>
  <si>
    <t>Labels2</t>
  </si>
  <si>
    <t>Values2</t>
  </si>
  <si>
    <t>OwnerOrgType</t>
  </si>
  <si>
    <t>Labels3</t>
  </si>
  <si>
    <t>Values3</t>
  </si>
  <si>
    <t>Do NOT delete this tab from this workbook.  Do NOT Copy from another workbook to "Paste" here - use "Paste Special", select "Values" instead, only on contiguous blue cells.</t>
  </si>
  <si>
    <t>OWNERSHIP INFORMATION</t>
  </si>
  <si>
    <t>(Enter 10-Digit phone nbrs w/out using hyphens, parentheses, etc - ex: 1234567890)</t>
  </si>
  <si>
    <t>A.</t>
  </si>
  <si>
    <t>OWNERSHIP ENTITY</t>
  </si>
  <si>
    <t>(Enter name as it will appear on all legal documents)</t>
  </si>
  <si>
    <t>Name of Principal</t>
  </si>
  <si>
    <t>Office Street Address</t>
  </si>
  <si>
    <t>Title of Principal</t>
  </si>
  <si>
    <t>Fed Tax ID:</t>
  </si>
  <si>
    <t>State</t>
  </si>
  <si>
    <t>Zip+4</t>
  </si>
  <si>
    <t>Org Type:</t>
  </si>
  <si>
    <t>10-digit Entity Office Phone / Ext.</t>
  </si>
  <si>
    <r>
      <t>*</t>
    </r>
    <r>
      <rPr>
        <b/>
        <sz val="10"/>
        <rFont val="Arial Narrow"/>
        <family val="2"/>
      </rPr>
      <t xml:space="preserve"> Must be verified by applicant using following website:</t>
    </r>
  </si>
  <si>
    <t>B.</t>
  </si>
  <si>
    <t>PROPOSED PARTNERSHIP INFORMATION</t>
  </si>
  <si>
    <t>http://zip4.usps.com/zip4/welcome.jsp</t>
  </si>
  <si>
    <t>1.</t>
  </si>
  <si>
    <t>GENERAL PARTNER(S)</t>
  </si>
  <si>
    <t>a.</t>
  </si>
  <si>
    <t>Managing Gen'l Partner</t>
  </si>
  <si>
    <t>Website</t>
  </si>
  <si>
    <t>b.</t>
  </si>
  <si>
    <t>Other General Partner</t>
  </si>
  <si>
    <t>c.</t>
  </si>
  <si>
    <t>2.</t>
  </si>
  <si>
    <t>LIMITED PARTNERS (PROPOSED OR ACTUAL)</t>
  </si>
  <si>
    <t>Federal Limited Partner</t>
  </si>
  <si>
    <t>State Limited Partner</t>
  </si>
  <si>
    <t>3.</t>
  </si>
  <si>
    <t>NONPROFIT SPONSOR</t>
  </si>
  <si>
    <t>Nonprofit Sponsor</t>
  </si>
  <si>
    <t>DEVELOPER(S)</t>
  </si>
  <si>
    <t>DEVELOPER</t>
  </si>
  <si>
    <t>CO-DEVELOPER 1</t>
  </si>
  <si>
    <t>C.</t>
  </si>
  <si>
    <t>CO-DEVELOPER 2</t>
  </si>
  <si>
    <t>D.</t>
  </si>
  <si>
    <t>DEVELOPMENT CONSULTANT</t>
  </si>
  <si>
    <t>OTHER PROJECT TEAM MEMBERS</t>
  </si>
  <si>
    <t>OWNERSHIP CONSULTANT</t>
  </si>
  <si>
    <t>GENERAL CONTRACTOR</t>
  </si>
  <si>
    <t>MANAGEMENT COMPANY</t>
  </si>
  <si>
    <t>ATTORNEY</t>
  </si>
  <si>
    <t>E.</t>
  </si>
  <si>
    <t>ACCOUNTANT</t>
  </si>
  <si>
    <t>F.</t>
  </si>
  <si>
    <t>ARCHITECT</t>
  </si>
  <si>
    <t>OTHER REQUIRED INFORMATION  (Answer each of the questions below for each participant listed below.)</t>
  </si>
  <si>
    <r>
      <t>PROPERTY TRANSFER</t>
    </r>
    <r>
      <rPr>
        <sz val="10"/>
        <rFont val="Arial Narrow"/>
        <family val="2"/>
      </rPr>
      <t xml:space="preserve"> (If applicable)</t>
    </r>
  </si>
  <si>
    <r>
      <t xml:space="preserve">LAND SELLER </t>
    </r>
    <r>
      <rPr>
        <b/>
        <sz val="10"/>
        <color rgb="FFFF0000"/>
        <rFont val="Arial Narrow"/>
        <family val="2"/>
      </rPr>
      <t>1</t>
    </r>
    <r>
      <rPr>
        <sz val="8"/>
        <rFont val="Arial Narrow"/>
        <family val="2"/>
      </rPr>
      <t xml:space="preserve"> (If applicable)</t>
    </r>
  </si>
  <si>
    <t>10-Digit Phone / Ext.</t>
  </si>
  <si>
    <t>Street Address</t>
  </si>
  <si>
    <r>
      <t xml:space="preserve">LAND SELLER </t>
    </r>
    <r>
      <rPr>
        <b/>
        <sz val="10"/>
        <color rgb="FFFF0000"/>
        <rFont val="Arial Narrow"/>
        <family val="2"/>
      </rPr>
      <t>2</t>
    </r>
    <r>
      <rPr>
        <sz val="8"/>
        <rFont val="Arial Narrow"/>
        <family val="2"/>
      </rPr>
      <t xml:space="preserve"> (If applicable)</t>
    </r>
  </si>
  <si>
    <r>
      <t xml:space="preserve">LAND SELLER </t>
    </r>
    <r>
      <rPr>
        <b/>
        <sz val="10"/>
        <color rgb="FFFF0000"/>
        <rFont val="Arial Narrow"/>
        <family val="2"/>
      </rPr>
      <t>3</t>
    </r>
    <r>
      <rPr>
        <sz val="10"/>
        <rFont val="Arial Narrow"/>
        <family val="2"/>
      </rPr>
      <t xml:space="preserve"> (If applicable)</t>
    </r>
  </si>
  <si>
    <r>
      <t xml:space="preserve">LAND SELLER </t>
    </r>
    <r>
      <rPr>
        <b/>
        <sz val="10"/>
        <color rgb="FFFF0000"/>
        <rFont val="Arial Narrow"/>
        <family val="2"/>
      </rPr>
      <t>4</t>
    </r>
    <r>
      <rPr>
        <sz val="8"/>
        <rFont val="Arial Narrow"/>
        <family val="2"/>
      </rPr>
      <t xml:space="preserve"> (If applicable)</t>
    </r>
  </si>
  <si>
    <r>
      <t xml:space="preserve">LAND SELLER </t>
    </r>
    <r>
      <rPr>
        <b/>
        <sz val="10"/>
        <color rgb="FFFF0000"/>
        <rFont val="Arial Narrow"/>
        <family val="2"/>
      </rPr>
      <t>5</t>
    </r>
    <r>
      <rPr>
        <sz val="10"/>
        <rFont val="Arial Narrow"/>
        <family val="2"/>
      </rPr>
      <t xml:space="preserve"> (If applicable)</t>
    </r>
  </si>
  <si>
    <r>
      <t xml:space="preserve">LAND SELLER </t>
    </r>
    <r>
      <rPr>
        <b/>
        <sz val="10"/>
        <color rgb="FFFF0000"/>
        <rFont val="Arial Narrow"/>
        <family val="2"/>
      </rPr>
      <t>6</t>
    </r>
    <r>
      <rPr>
        <sz val="8"/>
        <rFont val="Arial Narrow"/>
        <family val="2"/>
      </rPr>
      <t xml:space="preserve"> (If applicable)</t>
    </r>
  </si>
  <si>
    <r>
      <rPr>
        <b/>
        <sz val="10"/>
        <rFont val="Arial Narrow"/>
        <family val="2"/>
      </rPr>
      <t xml:space="preserve">LAND </t>
    </r>
    <r>
      <rPr>
        <b/>
        <sz val="10"/>
        <color rgb="FFFF0000"/>
        <rFont val="Arial Narrow"/>
        <family val="2"/>
      </rPr>
      <t>LESSOR</t>
    </r>
    <r>
      <rPr>
        <sz val="10"/>
        <rFont val="Arial Narrow"/>
        <family val="2"/>
      </rPr>
      <t xml:space="preserve"> (If applicable)</t>
    </r>
  </si>
  <si>
    <r>
      <rPr>
        <b/>
        <sz val="10"/>
        <color rgb="FFFF0000"/>
        <rFont val="Arial Narrow"/>
        <family val="2"/>
      </rPr>
      <t>BUILDING(S)</t>
    </r>
    <r>
      <rPr>
        <b/>
        <sz val="10"/>
        <rFont val="Arial Narrow"/>
        <family val="2"/>
      </rPr>
      <t xml:space="preserve"> SELLER</t>
    </r>
    <r>
      <rPr>
        <sz val="10"/>
        <rFont val="Arial Narrow"/>
        <family val="2"/>
      </rPr>
      <t xml:space="preserve"> (If applicable)</t>
    </r>
  </si>
  <si>
    <r>
      <t xml:space="preserve">IDENTITY OF INTEREST  </t>
    </r>
    <r>
      <rPr>
        <b/>
        <sz val="10"/>
        <color rgb="FFFF0000"/>
        <rFont val="Arial Narrow"/>
        <family val="2"/>
      </rPr>
      <t>(Applicant MUST answer all questions.  Answer "No" for "N/A" situations.)</t>
    </r>
  </si>
  <si>
    <t>Is there ID of interest between:</t>
  </si>
  <si>
    <t>Yes/No</t>
  </si>
  <si>
    <t>If Yes, explain relationship in boxes provided below.  Use Comment box at bottom of this tab / attach pages as needed:</t>
  </si>
  <si>
    <t>Developer and Contractor?</t>
  </si>
  <si>
    <t>Select</t>
  </si>
  <si>
    <t>Please increase or decrease row size as needed.</t>
  </si>
  <si>
    <t>Buyer and Seller(s) of Land/Property?</t>
  </si>
  <si>
    <t>Owner and Contractor?</t>
  </si>
  <si>
    <t>4.</t>
  </si>
  <si>
    <t>Owner and Consultant?</t>
  </si>
  <si>
    <t>5.</t>
  </si>
  <si>
    <t>Syndicator and Developer?</t>
  </si>
  <si>
    <t>6.</t>
  </si>
  <si>
    <t>Syndicator and Contractor?</t>
  </si>
  <si>
    <t>7.</t>
  </si>
  <si>
    <t>Developer and Consultant?</t>
  </si>
  <si>
    <t>8.</t>
  </si>
  <si>
    <t>Owner (or Developer) and Lender?</t>
  </si>
  <si>
    <t>9.</t>
  </si>
  <si>
    <t>Other (Indicate the 2 roles involved)</t>
  </si>
  <si>
    <r>
      <t xml:space="preserve">OTHER REQUIRED INFORMATION  -  </t>
    </r>
    <r>
      <rPr>
        <i/>
        <sz val="10"/>
        <rFont val="Arial Narrow"/>
        <family val="2"/>
      </rPr>
      <t>Continued</t>
    </r>
    <r>
      <rPr>
        <b/>
        <sz val="10"/>
        <rFont val="Arial Narrow"/>
        <family val="2"/>
      </rPr>
      <t xml:space="preserve"> (Answer each of the questions below for each participant listed below.)</t>
    </r>
  </si>
  <si>
    <r>
      <t xml:space="preserve">ADDITIONAL INFORMATION </t>
    </r>
    <r>
      <rPr>
        <b/>
        <sz val="10"/>
        <color rgb="FFFF0000"/>
        <rFont val="Arial Narrow"/>
        <family val="2"/>
      </rPr>
      <t xml:space="preserve"> (Applicant MUST answer all questions. Answer "No" for "N/A" situations.)</t>
    </r>
  </si>
  <si>
    <t>Participant</t>
  </si>
  <si>
    <t>1.  Has any person, principal, or agent for this entity ever been convicted of a felony (Yes or No)?</t>
  </si>
  <si>
    <t>2. Is entity a MBE/ WBE?</t>
  </si>
  <si>
    <r>
      <t>3.</t>
    </r>
    <r>
      <rPr>
        <sz val="10"/>
        <rFont val="Arial Narrow"/>
        <family val="2"/>
      </rPr>
      <t xml:space="preserve"> Org Type (FP,NP, CHDO)</t>
    </r>
  </si>
  <si>
    <r>
      <t xml:space="preserve">4. </t>
    </r>
    <r>
      <rPr>
        <sz val="10"/>
        <rFont val="Arial Narrow"/>
        <family val="2"/>
      </rPr>
      <t xml:space="preserve"> Project Ownership Percentage</t>
    </r>
  </si>
  <si>
    <r>
      <t xml:space="preserve">5. </t>
    </r>
    <r>
      <rPr>
        <sz val="8"/>
        <rFont val="Arial Narrow"/>
        <family val="2"/>
      </rPr>
      <t xml:space="preserve"> Does this entity or a member of this entity have a conflict of interest with any member, officer, or employee of an entity that partners or contracts with the Applicant?  </t>
    </r>
    <r>
      <rPr>
        <b/>
        <sz val="8"/>
        <rFont val="Arial Narrow"/>
        <family val="2"/>
      </rPr>
      <t>If yes, explain briefly in boxes below and use Comment box at the bottom of this tab or attach explanation.</t>
    </r>
  </si>
  <si>
    <r>
      <rPr>
        <b/>
        <u/>
        <sz val="8"/>
        <color rgb="FFFF0000"/>
        <rFont val="Arial Narrow"/>
        <family val="2"/>
      </rPr>
      <t>If yes</t>
    </r>
    <r>
      <rPr>
        <sz val="8"/>
        <rFont val="Arial Narrow"/>
        <family val="2"/>
      </rPr>
      <t xml:space="preserve">, </t>
    </r>
    <r>
      <rPr>
        <b/>
        <u/>
        <sz val="8"/>
        <color rgb="FFFF0000"/>
        <rFont val="Arial Narrow"/>
        <family val="2"/>
      </rPr>
      <t>explain</t>
    </r>
    <r>
      <rPr>
        <sz val="8"/>
        <rFont val="Arial Narrow"/>
        <family val="2"/>
      </rPr>
      <t xml:space="preserve"> briefly in boxes below and either use Comment box or attach explanation.</t>
    </r>
  </si>
  <si>
    <t>Brief Explanation</t>
  </si>
  <si>
    <t>Managing Genrl Prtnr</t>
  </si>
  <si>
    <t>Other Genrl Prtnr 1</t>
  </si>
  <si>
    <t>Other Genrl Prtnr 2</t>
  </si>
  <si>
    <t>Federal Ltd Partner</t>
  </si>
  <si>
    <t>State Ltd Partner</t>
  </si>
  <si>
    <t>NonProfit Sponsor</t>
  </si>
  <si>
    <t>Developer</t>
  </si>
  <si>
    <t>Co-Developer 1</t>
  </si>
  <si>
    <t>Co-Developer 2</t>
  </si>
  <si>
    <t>Owner Consultant</t>
  </si>
  <si>
    <t>Developer Consultant</t>
  </si>
  <si>
    <t>Contractor</t>
  </si>
  <si>
    <t>Management Company</t>
  </si>
  <si>
    <t>Total</t>
  </si>
  <si>
    <t>NOTE: Row size may be increased or decreased as needed.  Press and hold Alt-Enter to start new paragraphs in the same box.</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</si>
  <si>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</si>
  <si>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</si>
  <si>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</si>
  <si>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</si>
  <si>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</si>
  <si>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</si>
  <si>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</si>
  <si>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</si>
  <si>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</si>
  <si>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</si>
  <si>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</si>
  <si>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</si>
  <si>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</si>
  <si>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</si>
  <si>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</si>
  <si>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</si>
  <si>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</si>
  <si>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</si>
  <si>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</si>
  <si>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</si>
  <si>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</si>
  <si>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</si>
  <si>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</si>
  <si>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</si>
  <si>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</si>
  <si>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</si>
  <si>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</si>
  <si>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</si>
  <si>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</si>
  <si>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</si>
  <si>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</si>
  <si>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</si>
  <si>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</si>
  <si>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</si>
  <si>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</si>
  <si>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</si>
  <si>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</si>
  <si>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</si>
  <si>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</si>
  <si>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</si>
  <si>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</si>
  <si>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</si>
  <si>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</si>
  <si>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</si>
  <si>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</si>
  <si>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</si>
  <si>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</si>
  <si>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</si>
  <si>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</si>
  <si>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</si>
  <si>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</si>
  <si>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PermName</t>
  </si>
  <si>
    <t>ConstEntity</t>
  </si>
  <si>
    <t>PermAmt</t>
  </si>
  <si>
    <t>PermInt</t>
  </si>
  <si>
    <t>ConstAmt/PermTerm</t>
  </si>
  <si>
    <t>PermAmort</t>
  </si>
  <si>
    <t>ConstInt/PermType</t>
  </si>
  <si>
    <t>ConstTerm/PermDebtServ</t>
  </si>
  <si>
    <t>GOVERNMENT FUNDING SOURCES  (check all that apply)</t>
  </si>
  <si>
    <t>DCA COMMENTS - DCA Use Only</t>
  </si>
  <si>
    <t>Tax Credits</t>
  </si>
  <si>
    <t>DCA HOME* - Amt $</t>
  </si>
  <si>
    <t>SLFRF</t>
  </si>
  <si>
    <t>TCAP thru CDFI</t>
  </si>
  <si>
    <t>Historic Rehab Credit</t>
  </si>
  <si>
    <t>Other HOME* - Amt $</t>
  </si>
  <si>
    <t>ERA2</t>
  </si>
  <si>
    <t>CDBG *</t>
  </si>
  <si>
    <t>Other HOME*- Source</t>
  </si>
  <si>
    <t>FHA Risk Share</t>
  </si>
  <si>
    <t>Kresge Foundation</t>
  </si>
  <si>
    <t>HOME-ARP* - Amt $</t>
  </si>
  <si>
    <t>FHA Insured Mortgage</t>
  </si>
  <si>
    <t>USDA 515</t>
  </si>
  <si>
    <t>National Housing Trust Fund *</t>
  </si>
  <si>
    <t>USDA 538</t>
  </si>
  <si>
    <r>
      <t xml:space="preserve">Other </t>
    </r>
    <r>
      <rPr>
        <sz val="9"/>
        <color rgb="FFFF0000"/>
        <rFont val="Arial Narrow"/>
        <family val="2"/>
      </rPr>
      <t>Type</t>
    </r>
    <r>
      <rPr>
        <sz val="9"/>
        <rFont val="Arial Narrow"/>
        <family val="2"/>
      </rPr>
      <t xml:space="preserve"> of FEDERAL Funding * - describe </t>
    </r>
    <r>
      <rPr>
        <i/>
        <sz val="9"/>
        <rFont val="Arial Narrow"/>
        <family val="2"/>
      </rPr>
      <t>type/program</t>
    </r>
    <r>
      <rPr>
        <sz val="9"/>
        <rFont val="Arial Narrow"/>
        <family val="2"/>
      </rPr>
      <t xml:space="preserve"> here</t>
    </r>
  </si>
  <si>
    <t>State Housing Trust Fund</t>
  </si>
  <si>
    <t>USDA PBRA</t>
  </si>
  <si>
    <r>
      <t xml:space="preserve">Specify </t>
    </r>
    <r>
      <rPr>
        <i/>
        <sz val="9"/>
        <color rgb="FFFF0000"/>
        <rFont val="Arial Narrow"/>
        <family val="2"/>
      </rPr>
      <t>Source/Administrator</t>
    </r>
    <r>
      <rPr>
        <sz val="9"/>
        <rFont val="Arial Narrow"/>
        <family val="2"/>
      </rPr>
      <t xml:space="preserve"> of Other FEDERAL Funding here</t>
    </r>
  </si>
  <si>
    <t>Replacement Housing Funds</t>
  </si>
  <si>
    <t>Section 8 PBRA *</t>
  </si>
  <si>
    <r>
      <t xml:space="preserve">Other </t>
    </r>
    <r>
      <rPr>
        <sz val="9"/>
        <color rgb="FFFF0000"/>
        <rFont val="Arial Narrow"/>
        <family val="2"/>
      </rPr>
      <t>Type</t>
    </r>
    <r>
      <rPr>
        <sz val="9"/>
        <rFont val="Arial Narrow"/>
        <family val="2"/>
      </rPr>
      <t xml:space="preserve"> of STATE/LOCAL Funding * - describe </t>
    </r>
    <r>
      <rPr>
        <i/>
        <sz val="9"/>
        <rFont val="Arial Narrow"/>
        <family val="2"/>
      </rPr>
      <t>type/program</t>
    </r>
    <r>
      <rPr>
        <sz val="9"/>
        <rFont val="Arial Narrow"/>
        <family val="2"/>
      </rPr>
      <t xml:space="preserve"> here</t>
    </r>
  </si>
  <si>
    <t>McKinney-Vento Homeless</t>
  </si>
  <si>
    <t>FHLB / AHP *</t>
  </si>
  <si>
    <r>
      <t xml:space="preserve">Specify </t>
    </r>
    <r>
      <rPr>
        <i/>
        <sz val="9"/>
        <color rgb="FFFF0000"/>
        <rFont val="Arial Narrow"/>
        <family val="2"/>
      </rPr>
      <t>Source/Administrator</t>
    </r>
    <r>
      <rPr>
        <sz val="9"/>
        <rFont val="Arial Narrow"/>
        <family val="2"/>
      </rPr>
      <t xml:space="preserve"> of Other STATE/LOCAL Funding here</t>
    </r>
  </si>
  <si>
    <t>Neigborhood Stabilization Program *</t>
  </si>
  <si>
    <t>NAHASDA</t>
  </si>
  <si>
    <t>Other PBRA*- Source:</t>
  </si>
  <si>
    <t>Specify Other PBRA Source here</t>
  </si>
  <si>
    <t>HUD CHOICE Neighborhoods (HOPE VI)</t>
  </si>
  <si>
    <t>Taxable Bonds</t>
  </si>
  <si>
    <t>HUD Sect 202 Supportive Housing for Elderly</t>
  </si>
  <si>
    <t>HUD Rental Assistance Deonstration (RAD) *</t>
  </si>
  <si>
    <t>Tax Exempt Bond Allocation</t>
  </si>
  <si>
    <t>HUD Sect 811 Supportive Housing for Persons w/ Disabilities</t>
  </si>
  <si>
    <t>CDFI Capital Magnet Fund (Treasury Dept)</t>
  </si>
  <si>
    <t>TE Bond Allocation - Amt $</t>
  </si>
  <si>
    <t>Veterans Affairs Supportive Housing (VASH)</t>
  </si>
  <si>
    <t>*This source may possibly trigger Uniform Relocation Act and/or HUD 104(d) reqmts.  Check with source.  For DCA HOME, refer to Relocation Manual. DCA HOME amount must be from DCA Consent Letter.</t>
  </si>
  <si>
    <t>CONSTRUCTION FINANCING</t>
  </si>
  <si>
    <t>Financing Type</t>
  </si>
  <si>
    <t xml:space="preserve"> Name of Financing Entity</t>
  </si>
  <si>
    <t>Amount ($)</t>
  </si>
  <si>
    <t>Effective Interest Rate</t>
  </si>
  <si>
    <t>Term (In Months)</t>
  </si>
  <si>
    <t>ConstA</t>
  </si>
  <si>
    <t>Mortgage A</t>
  </si>
  <si>
    <t>ConstB</t>
  </si>
  <si>
    <t>Mortgage B</t>
  </si>
  <si>
    <t>ConstC</t>
  </si>
  <si>
    <t>Mortgage C</t>
  </si>
  <si>
    <t>Const_FedGrant</t>
  </si>
  <si>
    <t>Federal Grant</t>
  </si>
  <si>
    <t>Const_StateLocalGrant</t>
  </si>
  <si>
    <t>State, Local, or Private Grant</t>
  </si>
  <si>
    <t>Const_DDF</t>
  </si>
  <si>
    <t>Deferred Developer Fees</t>
  </si>
  <si>
    <t>Const_FedEquity</t>
  </si>
  <si>
    <t>Federal Housing Credit Equity</t>
  </si>
  <si>
    <t>Const_StateEquity</t>
  </si>
  <si>
    <t>State Housing Credit Equity</t>
  </si>
  <si>
    <t>Const_Other1</t>
  </si>
  <si>
    <t>Other Type (specify)</t>
  </si>
  <si>
    <t>Const_Other2</t>
  </si>
  <si>
    <t>Const_Other3</t>
  </si>
  <si>
    <t>Total Construction Financing:</t>
  </si>
  <si>
    <t>Total Construction Period Costs from Development Budget:</t>
  </si>
  <si>
    <t>Surplus / (Shortage) of Construction funds to Construction costs:</t>
  </si>
  <si>
    <t>PERMANENT FINANCING</t>
  </si>
  <si>
    <t>Effective</t>
  </si>
  <si>
    <t>Term</t>
  </si>
  <si>
    <t>Amort.</t>
  </si>
  <si>
    <t>Annual Debt Service in Year One</t>
  </si>
  <si>
    <t>Principal Amount ($)</t>
  </si>
  <si>
    <t>Int Rate</t>
  </si>
  <si>
    <t>(Years)</t>
  </si>
  <si>
    <t>Loan Type</t>
  </si>
  <si>
    <t>PermA</t>
  </si>
  <si>
    <t>Mortgage A (Lien Position 1)</t>
  </si>
  <si>
    <t>PermB</t>
  </si>
  <si>
    <t>Mortgage B (Lien Position 2)</t>
  </si>
  <si>
    <t>PermC</t>
  </si>
  <si>
    <t>Mortgage C (Lien Position 3)</t>
  </si>
  <si>
    <t>Perm_Other</t>
  </si>
  <si>
    <t>Other:</t>
  </si>
  <si>
    <t>Perm_FoundCharityGovt</t>
  </si>
  <si>
    <t>Foundation, charity or other govt*</t>
  </si>
  <si>
    <t>Perm_DDF</t>
  </si>
  <si>
    <t>Deferred Devlpr Fee</t>
  </si>
  <si>
    <t>Proforma Totals over DDF Term ------&gt;</t>
  </si>
  <si>
    <t>Cash Flow:</t>
  </si>
  <si>
    <t>DDF Paid:</t>
  </si>
  <si>
    <t xml:space="preserve">Actual %: </t>
  </si>
  <si>
    <t>Additional DDF Need:</t>
  </si>
  <si>
    <t>Perm_FedGrant</t>
  </si>
  <si>
    <t>TC Equity</t>
  </si>
  <si>
    <t>Perm_StateLocalGrant</t>
  </si>
  <si>
    <t>Equity Check</t>
  </si>
  <si>
    <t>+ / -</t>
  </si>
  <si>
    <t>% of TDC</t>
  </si>
  <si>
    <t>Perm_FedEquity</t>
  </si>
  <si>
    <t>Perm_StateEquity</t>
  </si>
  <si>
    <t>Perm_HistoricCredEquity</t>
  </si>
  <si>
    <t>Historic Credit Equity</t>
  </si>
  <si>
    <t>Invstmt Earnings: T-E Bonds</t>
  </si>
  <si>
    <t>Invstmt Earnings: Taxable Bonds</t>
  </si>
  <si>
    <t>Income from Operations</t>
  </si>
  <si>
    <t>Perm_Other1</t>
  </si>
  <si>
    <t>Perm_Other2</t>
  </si>
  <si>
    <t>Perm_Other3</t>
  </si>
  <si>
    <t>Total Permanent Financing:</t>
  </si>
  <si>
    <t>Total Development Costs from Development Budget:</t>
  </si>
  <si>
    <t>Surplus/(Shortage) of Permanent funds to development costs:</t>
  </si>
  <si>
    <t>*Foundation, charity or other government funding to cover costs exceeding DCA cost limit (see Appendix I, Section II).</t>
  </si>
  <si>
    <t>I. Data Input</t>
  </si>
  <si>
    <t>Loan Amount:</t>
  </si>
  <si>
    <t>Interest Rate:</t>
  </si>
  <si>
    <t>USDA Spread</t>
  </si>
  <si>
    <t>(aka Interest Assistance Rate in USDA Handbook)</t>
  </si>
  <si>
    <t>Effective Rate</t>
  </si>
  <si>
    <t>(Effective Interest Assistance Rate in USDA Handbook)</t>
  </si>
  <si>
    <t>USDA Annual Fee</t>
  </si>
  <si>
    <t>(per annum)</t>
  </si>
  <si>
    <t>Loan Term (yrs)</t>
  </si>
  <si>
    <t>Amortization Pd (yrs)</t>
  </si>
  <si>
    <t>Annual P &amp; I</t>
  </si>
  <si>
    <t>Monthly P &amp; I</t>
  </si>
  <si>
    <t>II. Interest Credit / USDA Annual Guaranty Fee</t>
  </si>
  <si>
    <t>Year</t>
  </si>
  <si>
    <t>Interest Credit</t>
  </si>
  <si>
    <t>Guarantee Fee</t>
  </si>
  <si>
    <t>Annual Debt Svc</t>
  </si>
  <si>
    <t>III. Amortization Schedule</t>
  </si>
  <si>
    <t>Month</t>
  </si>
  <si>
    <t>P&amp;I Payment</t>
  </si>
  <si>
    <t>Interest</t>
  </si>
  <si>
    <t>Principal</t>
  </si>
  <si>
    <t>Balance</t>
  </si>
  <si>
    <t>Close</t>
  </si>
  <si>
    <t>NOTE:  If this section is completed, then Applicant must also complete the "Additional HUD Requirements" section in the Threshold Criteria tab.</t>
  </si>
  <si>
    <t>Investor Rate</t>
  </si>
  <si>
    <t>Servicing Fee</t>
  </si>
  <si>
    <t>GNMA Gty Fee</t>
  </si>
  <si>
    <t>HUD Mortgage Insurance Premium</t>
  </si>
  <si>
    <t>per annum</t>
  </si>
  <si>
    <t>Loan Term</t>
  </si>
  <si>
    <t>years</t>
  </si>
  <si>
    <t>Amortization Period</t>
  </si>
  <si>
    <t>Annual Debt Service at Effective Rate</t>
  </si>
  <si>
    <t>(Excluding MIP)</t>
  </si>
  <si>
    <t>Monthly Debt Service at Effective Rate</t>
  </si>
  <si>
    <t>II. HUD Mortgage Insurance Premium / Debt Service</t>
  </si>
  <si>
    <t>MIP</t>
  </si>
  <si>
    <t>TotalCost</t>
  </si>
  <si>
    <t>NCBasis</t>
  </si>
  <si>
    <t>AcqBasis</t>
  </si>
  <si>
    <t>FedEquityFactor</t>
  </si>
  <si>
    <t>RehabBasis</t>
  </si>
  <si>
    <t>StateEquityFactor</t>
  </si>
  <si>
    <t>AmortizableBasis</t>
  </si>
  <si>
    <t>DEVELOPMENT BUDGET</t>
  </si>
  <si>
    <t>New Construction Basis</t>
  </si>
  <si>
    <t>Acquisition Basis</t>
  </si>
  <si>
    <t>Rehabilitation Basis</t>
  </si>
  <si>
    <t>Amortizable or Non-Depreciable Basis</t>
  </si>
  <si>
    <t>TOTAL COST</t>
  </si>
  <si>
    <t>PRE-DEVELOPMENT COSTS</t>
  </si>
  <si>
    <t>Property Appraisal</t>
  </si>
  <si>
    <t>Market Study</t>
  </si>
  <si>
    <t>Environmental Report(s)</t>
  </si>
  <si>
    <t>Soil Borings</t>
  </si>
  <si>
    <t>Boundary and Topographical Survey</t>
  </si>
  <si>
    <t>Zoning/Site Plan Fees</t>
  </si>
  <si>
    <t>Othr PD1</t>
  </si>
  <si>
    <t>&lt;&lt; Enter description here; provide detail &amp; justification in tab Part III-b &gt;&gt;</t>
  </si>
  <si>
    <t>Pre-Dev_Other1</t>
  </si>
  <si>
    <t>Othr PD2</t>
  </si>
  <si>
    <t>Pre-Dev_Other2</t>
  </si>
  <si>
    <t>Othr PD3</t>
  </si>
  <si>
    <t>Pre-Dev_Other3</t>
  </si>
  <si>
    <t>Subtotal</t>
  </si>
  <si>
    <t>Pre-Dev_Subtotal</t>
  </si>
  <si>
    <t>ACQUISITION</t>
  </si>
  <si>
    <t>Land</t>
  </si>
  <si>
    <t>Per acre:</t>
  </si>
  <si>
    <t>Site Demolition</t>
  </si>
  <si>
    <t>Acquisition Legal Fees (if existing structures)</t>
  </si>
  <si>
    <t>Existing Structures</t>
  </si>
  <si>
    <t>Acq_Subtotal</t>
  </si>
  <si>
    <t>LAND IMPROVEMENTS</t>
  </si>
  <si>
    <t>Site Construction (On-site)</t>
  </si>
  <si>
    <t>Site Construction (Off-site)</t>
  </si>
  <si>
    <t>LandImp_Subtotal</t>
  </si>
  <si>
    <t>STRUCTURES</t>
  </si>
  <si>
    <t>Residential Structures - New Construction</t>
  </si>
  <si>
    <t>Residential Structures - Rehab</t>
  </si>
  <si>
    <t>Accessory Structures (community bldg, maintenance bldg, etc.) - New Constr</t>
  </si>
  <si>
    <t>Accessory Structures (Community Service Facility) - New Constr</t>
  </si>
  <si>
    <t>Accessory Structures (ie. community bldg, maintenance bldg, etc.) - Rehab</t>
  </si>
  <si>
    <t>Accessory Structures (Community Service Facility) - Rehab</t>
  </si>
  <si>
    <t>Structures_Subtotal</t>
  </si>
  <si>
    <t>CONTRACTOR SERVICES</t>
  </si>
  <si>
    <t>DCA Limit</t>
  </si>
  <si>
    <t>Builder Profit:</t>
  </si>
  <si>
    <t>Builder Overhead</t>
  </si>
  <si>
    <t>General Requirements*</t>
  </si>
  <si>
    <t>*See QAP: General Requirements policy</t>
  </si>
  <si>
    <t>Contractor_Subtotal</t>
  </si>
  <si>
    <t>Total General Contractor (GC) Construction Hard Costs</t>
  </si>
  <si>
    <t>OtherConstHardCosts</t>
  </si>
  <si>
    <r>
      <t xml:space="preserve">OTHER CONSTRUCTION HARD COSTS </t>
    </r>
    <r>
      <rPr>
        <sz val="8"/>
        <rFont val="Arial Narrow"/>
        <family val="2"/>
      </rPr>
      <t>(Non-GC work scope items done by Owner)</t>
    </r>
  </si>
  <si>
    <t>OthrCHC1</t>
  </si>
  <si>
    <t>TotalConstHardCosts</t>
  </si>
  <si>
    <r>
      <rPr>
        <b/>
        <i/>
        <u/>
        <sz val="10"/>
        <rFont val="Arial Narrow"/>
        <family val="2"/>
      </rPr>
      <t>T</t>
    </r>
    <r>
      <rPr>
        <i/>
        <sz val="10"/>
        <rFont val="Arial Narrow"/>
        <family val="2"/>
      </rPr>
      <t xml:space="preserve">otal </t>
    </r>
    <r>
      <rPr>
        <b/>
        <i/>
        <u/>
        <sz val="10"/>
        <rFont val="Arial Narrow"/>
        <family val="2"/>
      </rPr>
      <t>C</t>
    </r>
    <r>
      <rPr>
        <i/>
        <sz val="10"/>
        <rFont val="Arial Narrow"/>
        <family val="2"/>
      </rPr>
      <t xml:space="preserve">onstruction </t>
    </r>
    <r>
      <rPr>
        <b/>
        <i/>
        <u/>
        <sz val="10"/>
        <rFont val="Arial Narrow"/>
        <family val="2"/>
      </rPr>
      <t>H</t>
    </r>
    <r>
      <rPr>
        <i/>
        <sz val="10"/>
        <rFont val="Arial Narrow"/>
        <family val="2"/>
      </rPr>
      <t xml:space="preserve">ard </t>
    </r>
    <r>
      <rPr>
        <b/>
        <i/>
        <u/>
        <sz val="10"/>
        <rFont val="Arial Narrow"/>
        <family val="2"/>
      </rPr>
      <t>C</t>
    </r>
    <r>
      <rPr>
        <i/>
        <sz val="10"/>
        <rFont val="Arial Narrow"/>
        <family val="2"/>
      </rPr>
      <t>osts</t>
    </r>
  </si>
  <si>
    <t>Average TCHC:</t>
  </si>
  <si>
    <r>
      <t xml:space="preserve">per </t>
    </r>
    <r>
      <rPr>
        <i/>
        <u/>
        <sz val="8"/>
        <rFont val="Arial Narrow"/>
        <family val="2"/>
      </rPr>
      <t>Res'l</t>
    </r>
    <r>
      <rPr>
        <i/>
        <sz val="8"/>
        <rFont val="Arial Narrow"/>
        <family val="2"/>
      </rPr>
      <t xml:space="preserve"> unit</t>
    </r>
  </si>
  <si>
    <t>per (total) unit</t>
  </si>
  <si>
    <t>per (total) sq ft</t>
  </si>
  <si>
    <t>(TCHC)</t>
  </si>
  <si>
    <r>
      <t xml:space="preserve">per </t>
    </r>
    <r>
      <rPr>
        <i/>
        <u/>
        <sz val="8"/>
        <rFont val="Arial Narrow"/>
        <family val="2"/>
      </rPr>
      <t>Res'l</t>
    </r>
    <r>
      <rPr>
        <i/>
        <sz val="8"/>
        <rFont val="Arial Narrow"/>
        <family val="2"/>
      </rPr>
      <t xml:space="preserve"> unit SF</t>
    </r>
  </si>
  <si>
    <t>per (total) unit sq ft</t>
  </si>
  <si>
    <r>
      <t xml:space="preserve">DEVELOPMENT BUDGET </t>
    </r>
    <r>
      <rPr>
        <i/>
        <sz val="8"/>
        <rFont val="Arial Narrow"/>
        <family val="2"/>
      </rPr>
      <t>(cont'd)</t>
    </r>
  </si>
  <si>
    <t>CONSTRUCTION CONTINGENCY (CC)</t>
  </si>
  <si>
    <t>Actual %</t>
  </si>
  <si>
    <t>Construction Contingency</t>
  </si>
  <si>
    <t>$ Limit:</t>
  </si>
  <si>
    <t>TCHC + CC</t>
  </si>
  <si>
    <t>Average 
TCHC + CC:</t>
  </si>
  <si>
    <t>CONSTRUCTION PERIOD FINANCING</t>
  </si>
  <si>
    <t>Bridge Loan Fee</t>
  </si>
  <si>
    <t>Bridge Loan Interest</t>
  </si>
  <si>
    <t>Construction Loan Fee</t>
  </si>
  <si>
    <t>Construction Loan Interest</t>
  </si>
  <si>
    <t>Construction Legal Fees</t>
  </si>
  <si>
    <t>ConstFin_Other1</t>
  </si>
  <si>
    <t>Construction Period Inspection Fees</t>
  </si>
  <si>
    <t>ConstFin_Other2</t>
  </si>
  <si>
    <t>Construction Period Real Estate Tax</t>
  </si>
  <si>
    <t>ConstFin_Subtotal</t>
  </si>
  <si>
    <t>Construction Insurance</t>
  </si>
  <si>
    <t>Title and Recording Fees</t>
  </si>
  <si>
    <t>Payment and Performance bonds</t>
  </si>
  <si>
    <t>OthrCPF1</t>
  </si>
  <si>
    <t>OthrCPF2</t>
  </si>
  <si>
    <t>PROFESSIONAL SERVICES</t>
  </si>
  <si>
    <t>Architectural Fee - Design</t>
  </si>
  <si>
    <t>Architectural Fee - Supervision</t>
  </si>
  <si>
    <t>Green Building Consultant Fee</t>
  </si>
  <si>
    <t>Green Building Program Certification Fee (LEED or Earthcraft)</t>
  </si>
  <si>
    <t>Accessibility Inspections and Plan Review</t>
  </si>
  <si>
    <t>ProfServ_Other</t>
  </si>
  <si>
    <t>Construction Materials Testing</t>
  </si>
  <si>
    <t>ProfServ_Subtotal</t>
  </si>
  <si>
    <t>Engineering</t>
  </si>
  <si>
    <t>Real Estate Attorney</t>
  </si>
  <si>
    <t>Accounting</t>
  </si>
  <si>
    <t>As-Built Survey</t>
  </si>
  <si>
    <t>Othr PS1</t>
  </si>
  <si>
    <t>LocalGovt_Subtotal</t>
  </si>
  <si>
    <t>LOCAL GOVERNMENT FEES</t>
  </si>
  <si>
    <t>Avg per unit:</t>
  </si>
  <si>
    <t>Building Permits</t>
  </si>
  <si>
    <t>Impact Fees</t>
  </si>
  <si>
    <t>Water Tap Fees</t>
  </si>
  <si>
    <t>waived?</t>
  </si>
  <si>
    <t>Sewer Tap Fees</t>
  </si>
  <si>
    <r>
      <t xml:space="preserve">DEVELOPMENT BUDGET </t>
    </r>
    <r>
      <rPr>
        <i/>
        <sz val="8"/>
        <rFont val="Arial Narrow"/>
        <family val="2"/>
      </rPr>
      <t xml:space="preserve"> (cont'd)</t>
    </r>
  </si>
  <si>
    <t>PERMANENT FINANCING FEES</t>
  </si>
  <si>
    <t>PermFin_Other</t>
  </si>
  <si>
    <t>Permanent Loan Fees</t>
  </si>
  <si>
    <t>PermFin_Subtotal</t>
  </si>
  <si>
    <t>Permanent Loan Legal Fees</t>
  </si>
  <si>
    <t>Bond Issuance Premium</t>
  </si>
  <si>
    <t>Cost of Issuance / Underwriter's Discount</t>
  </si>
  <si>
    <t>OthrPFF1</t>
  </si>
  <si>
    <t>DCA-RELATED COSTS</t>
  </si>
  <si>
    <t>Credit Type:</t>
  </si>
  <si>
    <t>DCA HOME Loan Consent Pre-Application Fee</t>
  </si>
  <si>
    <t>LIHTC Compliance Monitoring Fee Calculation</t>
  </si>
  <si>
    <t>LIHTC Election:</t>
  </si>
  <si>
    <t>Total Units:</t>
  </si>
  <si>
    <t>DCA_Other1</t>
  </si>
  <si>
    <t>DCA Waiver &amp; Pre-approval Fees (AS&amp;DO/OptAm/OE-$2500 ea, QD-$2000)</t>
  </si>
  <si>
    <t>Nbr SF Detached or Duplex Units:</t>
  </si>
  <si>
    <t>LIHTC CMF Fee Total per Unit Type</t>
  </si>
  <si>
    <t>DCA_Other2</t>
  </si>
  <si>
    <t>LIHTC Allocation Processing Fee</t>
  </si>
  <si>
    <t>Single Family</t>
  </si>
  <si>
    <t>DCA_Subtotal</t>
  </si>
  <si>
    <t>LIHTC Compliance Monitoring Fee</t>
  </si>
  <si>
    <t>Semi-Detached</t>
  </si>
  <si>
    <t>Front End Analysis Fee</t>
  </si>
  <si>
    <t>Manufactured Home</t>
  </si>
  <si>
    <t>Construction Monitoring Inspection Fee (TC only - no HOME)</t>
  </si>
  <si>
    <t>Subtotal:</t>
  </si>
  <si>
    <t xml:space="preserve">Othr </t>
  </si>
  <si>
    <t>Nbr Other Units:</t>
  </si>
  <si>
    <t>Multifamily</t>
  </si>
  <si>
    <t>Equity_Other</t>
  </si>
  <si>
    <t>Row House / Town Homes</t>
  </si>
  <si>
    <t>Equity_Subtotal</t>
  </si>
  <si>
    <t>EQUITY COSTS</t>
  </si>
  <si>
    <t>Partnership Organization Fees</t>
  </si>
  <si>
    <t>Tax Credit Legal Opinion</t>
  </si>
  <si>
    <t>Syndicator Legal Fees</t>
  </si>
  <si>
    <t xml:space="preserve">Dev Fee as %TDC* </t>
  </si>
  <si>
    <t>Unit Count</t>
  </si>
  <si>
    <t>Dev Fee as Per Unit Calc</t>
  </si>
  <si>
    <t xml:space="preserve">Dev Fee as %TCHC </t>
  </si>
  <si>
    <t>Maximum Developer Fee:</t>
  </si>
  <si>
    <t>Lesser of Project Total DF(s) and Maximum DF</t>
  </si>
  <si>
    <t>DEVELOPER'S FEE</t>
  </si>
  <si>
    <t>Development type</t>
  </si>
  <si>
    <t>Construction Type</t>
  </si>
  <si>
    <t>TCHC</t>
  </si>
  <si>
    <t>TDC*</t>
  </si>
  <si>
    <t>DevFee_Subtotal</t>
  </si>
  <si>
    <t>Developer's Overhead</t>
  </si>
  <si>
    <t>New Construction</t>
  </si>
  <si>
    <t>N/A</t>
  </si>
  <si>
    <t xml:space="preserve">     Developer’s Fee earned during Construction Period    $</t>
  </si>
  <si>
    <t>(should also be included in Developer's Overhead line above)</t>
  </si>
  <si>
    <t>Rehabilitation/Adaptive Reuse</t>
  </si>
  <si>
    <t>Consultant's Fee</t>
  </si>
  <si>
    <t>Guarantor Fees</t>
  </si>
  <si>
    <t>Developer's Profit</t>
  </si>
  <si>
    <t>*excluding developer fee and all reserves</t>
  </si>
  <si>
    <t>Limit:</t>
  </si>
  <si>
    <t>Per Unit</t>
  </si>
  <si>
    <t>START-UP AND RESERVES</t>
  </si>
  <si>
    <t>%TCHC</t>
  </si>
  <si>
    <t>%TDC*</t>
  </si>
  <si>
    <t>Start-up_Other</t>
  </si>
  <si>
    <t>Marketing</t>
  </si>
  <si>
    <t>Dev Fee may not exceed:</t>
  </si>
  <si>
    <t>Start-up_Subtotal</t>
  </si>
  <si>
    <t>Rent-Up Reserves</t>
  </si>
  <si>
    <t>Operating Deficit Reserve:</t>
  </si>
  <si>
    <t>Real Estate Tax and Insurance Reserve</t>
  </si>
  <si>
    <t>From Operating Budget</t>
  </si>
  <si>
    <t>Replacement Reserve</t>
  </si>
  <si>
    <t>OtherCosts_Other</t>
  </si>
  <si>
    <t>Furniture, Fixtures and Equipment</t>
  </si>
  <si>
    <t>Proposed Avg Per Unit:</t>
  </si>
  <si>
    <t>OtherCosts_Subtotal</t>
  </si>
  <si>
    <t>OTHER COSTS</t>
  </si>
  <si>
    <t>Relocation</t>
  </si>
  <si>
    <r>
      <rPr>
        <b/>
        <u/>
        <sz val="11"/>
        <rFont val="Arial Narrow"/>
        <family val="2"/>
      </rPr>
      <t>T</t>
    </r>
    <r>
      <rPr>
        <b/>
        <sz val="11"/>
        <rFont val="Arial Narrow"/>
        <family val="2"/>
      </rPr>
      <t xml:space="preserve">OTAL </t>
    </r>
    <r>
      <rPr>
        <b/>
        <u/>
        <sz val="11"/>
        <rFont val="Arial Narrow"/>
        <family val="2"/>
      </rPr>
      <t>D</t>
    </r>
    <r>
      <rPr>
        <b/>
        <sz val="11"/>
        <rFont val="Arial Narrow"/>
        <family val="2"/>
      </rPr>
      <t xml:space="preserve">EVELOPMENT </t>
    </r>
    <r>
      <rPr>
        <b/>
        <u/>
        <sz val="11"/>
        <rFont val="Arial Narrow"/>
        <family val="2"/>
      </rPr>
      <t>C</t>
    </r>
    <r>
      <rPr>
        <b/>
        <sz val="11"/>
        <rFont val="Arial Narrow"/>
        <family val="2"/>
      </rPr>
      <t>OST  (TDC)</t>
    </r>
  </si>
  <si>
    <r>
      <t xml:space="preserve">Average TDC Per:            </t>
    </r>
    <r>
      <rPr>
        <i/>
        <sz val="10"/>
        <rFont val="Arial Narrow"/>
        <family val="2"/>
      </rPr>
      <t xml:space="preserve"> Unit:</t>
    </r>
  </si>
  <si>
    <t>Square Foot:</t>
  </si>
  <si>
    <t>TAX CREDIT CALCULATION - BASIS METHOD</t>
  </si>
  <si>
    <t>4% Acquisition Basis</t>
  </si>
  <si>
    <t>Subtractions From Eligible Basis</t>
  </si>
  <si>
    <t>Amount of federal grant(s) used to finance qualifying development costs</t>
  </si>
  <si>
    <t>Amount of nonqualified nonrecourse financing</t>
  </si>
  <si>
    <t>Costs of Nonqualifying units of higher quality</t>
  </si>
  <si>
    <t>Nonqualifying excess portion of higher quality units</t>
  </si>
  <si>
    <t>Historic Tax Credits (Residential Portion Only)</t>
  </si>
  <si>
    <t>Other</t>
  </si>
  <si>
    <t>&lt;Enter detailed description here; use Comments section if needed&gt;</t>
  </si>
  <si>
    <t>Total Subtractions From Basis:</t>
  </si>
  <si>
    <t>Eligible Basis Calculation</t>
  </si>
  <si>
    <t>Total Basis</t>
  </si>
  <si>
    <t>If State Designated Boost Selected, indicate :</t>
  </si>
  <si>
    <t>Less Total Subtractions From Basis (see above)</t>
  </si>
  <si>
    <t>Total Eligible Basis</t>
  </si>
  <si>
    <t>&lt;&lt; Select Category of Eligibility&gt;&gt;</t>
  </si>
  <si>
    <t>Eligible Basis Adjustment (DDA/QCT Location or State Designated Boost)</t>
  </si>
  <si>
    <t>Type:</t>
  </si>
  <si>
    <t>&lt;&lt;Select&gt;&gt;</t>
  </si>
  <si>
    <t>Adjusted Eligible Basis</t>
  </si>
  <si>
    <t>Multiply Adjusted Eligible Basis by Applicable Fraction</t>
  </si>
  <si>
    <t>&lt;&lt;Select % of Eligible Basis&gt;&gt;</t>
  </si>
  <si>
    <t>Qualified Basis</t>
  </si>
  <si>
    <r>
      <t>Multiply Qualified Basis by Applicable Credit Percentage</t>
    </r>
    <r>
      <rPr>
        <sz val="8"/>
        <rFont val="Arial"/>
        <family val="2"/>
      </rPr>
      <t/>
    </r>
  </si>
  <si>
    <t>Maximum Tax Credit Amount</t>
  </si>
  <si>
    <t>Total Basis Method Tax Credit Calculation</t>
  </si>
  <si>
    <t>TAX CREDIT CALCULATION - GAP METHOD</t>
  </si>
  <si>
    <t>Equity Gap Calculation</t>
  </si>
  <si>
    <r>
      <rPr>
        <b/>
        <u/>
        <sz val="10"/>
        <rFont val="Arial Narrow"/>
        <family val="2"/>
      </rPr>
      <t>T</t>
    </r>
    <r>
      <rPr>
        <sz val="10"/>
        <rFont val="Arial Narrow"/>
        <family val="2"/>
      </rPr>
      <t xml:space="preserve">otal </t>
    </r>
    <r>
      <rPr>
        <b/>
        <u/>
        <sz val="10"/>
        <rFont val="Arial Narrow"/>
        <family val="2"/>
      </rPr>
      <t>D</t>
    </r>
    <r>
      <rPr>
        <sz val="10"/>
        <rFont val="Arial Narrow"/>
        <family val="2"/>
      </rPr>
      <t xml:space="preserve">evelopment </t>
    </r>
    <r>
      <rPr>
        <b/>
        <u/>
        <sz val="10"/>
        <rFont val="Arial Narrow"/>
        <family val="2"/>
      </rPr>
      <t>C</t>
    </r>
    <r>
      <rPr>
        <sz val="10"/>
        <rFont val="Arial Narrow"/>
        <family val="2"/>
      </rPr>
      <t>ost (TDC)</t>
    </r>
  </si>
  <si>
    <t xml:space="preserve"> Funding amount from foundation, unrelated not-for-profit charitable organization or governmental entity (not DCA):</t>
  </si>
  <si>
    <t>If proposed project has Historic Designation, indicate below (Y/N):</t>
  </si>
  <si>
    <t>Subtract Non-LIHTC (excluding deferred fee) Source of Funds</t>
  </si>
  <si>
    <t>Equity Gap</t>
  </si>
  <si>
    <t>Divide Equity Gap by 10</t>
  </si>
  <si>
    <t>Hist Desig</t>
  </si>
  <si>
    <t xml:space="preserve">Annual Equity Required </t>
  </si>
  <si>
    <t>Federal</t>
  </si>
  <si>
    <r>
      <t>Enter Final Federal and State Equity Factors (</t>
    </r>
    <r>
      <rPr>
        <b/>
        <sz val="10"/>
        <rFont val="Arial Narrow"/>
        <family val="2"/>
      </rPr>
      <t>not</t>
    </r>
    <r>
      <rPr>
        <sz val="10"/>
        <rFont val="Arial Narrow"/>
        <family val="2"/>
      </rPr>
      <t xml:space="preserve"> </t>
    </r>
    <r>
      <rPr>
        <b/>
        <sz val="10"/>
        <rFont val="Arial Narrow"/>
        <family val="2"/>
      </rPr>
      <t>including GP contribution</t>
    </r>
    <r>
      <rPr>
        <sz val="10"/>
        <rFont val="Arial Narrow"/>
        <family val="2"/>
      </rPr>
      <t>)</t>
    </r>
  </si>
  <si>
    <t>=</t>
  </si>
  <si>
    <t>+</t>
  </si>
  <si>
    <t>Total Gap Method Tax Credit Calculation</t>
  </si>
  <si>
    <t>TAX CREDIT ALLOCATION</t>
  </si>
  <si>
    <r>
      <t xml:space="preserve">Tax Credit PROJECT MAXIMUM - </t>
    </r>
    <r>
      <rPr>
        <sz val="10"/>
        <rFont val="Arial Narrow"/>
        <family val="2"/>
      </rPr>
      <t>Lower of Basis Method, Gap Method or DCA Limit:</t>
    </r>
    <r>
      <rPr>
        <sz val="7"/>
        <rFont val="Arial Narrow"/>
        <family val="2"/>
      </rPr>
      <t xml:space="preserve"> (round down)</t>
    </r>
  </si>
  <si>
    <t>Geog Pool</t>
  </si>
  <si>
    <r>
      <t xml:space="preserve">Tax Credit REQUEST - </t>
    </r>
    <r>
      <rPr>
        <sz val="10"/>
        <rFont val="Arial Narrow"/>
        <family val="2"/>
      </rPr>
      <t>Cannot exceed Tax Credit Project Maximum, but may be lower:</t>
    </r>
  </si>
  <si>
    <t>Activity/Scoring</t>
  </si>
  <si>
    <r>
      <t>Tax Credit ALLOCATION -</t>
    </r>
    <r>
      <rPr>
        <b/>
        <sz val="10"/>
        <rFont val="Arial Narrow"/>
        <family val="2"/>
      </rPr>
      <t xml:space="preserve"> </t>
    </r>
    <r>
      <rPr>
        <sz val="10"/>
        <rFont val="Arial Narrow"/>
        <family val="2"/>
      </rPr>
      <t>Lower of Tax Credit Request and Tax Credit Project Maximum</t>
    </r>
  </si>
  <si>
    <t>* To all applicants: in addition to your other comments, please provide methodology for determining applicable construction hard costs.</t>
  </si>
  <si>
    <t>DCA requires the Applicant provide a narrative for all "Other" development costs listed on Part IV-Uses of Funds.  For any amounts shown below the Applicant needs to provide an explanation of the cost incurred by the development.  The narrative should be a brief description for DCA intended to justify its inclusion as a valid development cost.  Further, if the "Other" cost is included into eligible basis, a second narrative is required describing its justification into tax credit basis.  Expand row size as needed to show text.</t>
  </si>
  <si>
    <r>
      <t xml:space="preserve">DEVELOPMENT COST SCHEDULE
Section Name
</t>
    </r>
    <r>
      <rPr>
        <sz val="10"/>
        <rFont val="Arial"/>
        <family val="2"/>
      </rPr>
      <t>Section's Other Line Item</t>
    </r>
  </si>
  <si>
    <t>Description/Nature of Cost</t>
  </si>
  <si>
    <t>Basis Justification</t>
  </si>
  <si>
    <t>Total Cost</t>
  </si>
  <si>
    <t>OTHER CONSTRUCTION HARD COSTS</t>
  </si>
  <si>
    <r>
      <t>DCA-RELATED COSTS</t>
    </r>
    <r>
      <rPr>
        <sz val="10"/>
        <rFont val="Arial"/>
        <family val="2"/>
      </rPr>
      <t xml:space="preserve"> </t>
    </r>
  </si>
  <si>
    <r>
      <t>EQUITY COSTS</t>
    </r>
    <r>
      <rPr>
        <sz val="10"/>
        <rFont val="Arial"/>
        <family val="2"/>
      </rPr>
      <t xml:space="preserve"> </t>
    </r>
  </si>
  <si>
    <r>
      <t>OTHER COSTS</t>
    </r>
    <r>
      <rPr>
        <sz val="10"/>
        <rFont val="Arial"/>
        <family val="2"/>
      </rPr>
      <t xml:space="preserve"> </t>
    </r>
  </si>
  <si>
    <t>DCA Utility Region:</t>
  </si>
  <si>
    <r>
      <rPr>
        <b/>
        <u/>
        <sz val="9"/>
        <rFont val="Arial"/>
        <family val="2"/>
      </rPr>
      <t>Note</t>
    </r>
    <r>
      <rPr>
        <i/>
        <sz val="9"/>
        <rFont val="Arial"/>
        <family val="2"/>
      </rPr>
      <t>: Elderly allowances cannot be used except at properties that have 100% HUD PBRA and satisfy the DCA definition of "Elderly".</t>
    </r>
  </si>
  <si>
    <t>UTILITY ALLOWANCE SCHEDULE #1</t>
  </si>
  <si>
    <t>Source of Utility Allowances</t>
  </si>
  <si>
    <t>Date of Utility Allowances</t>
  </si>
  <si>
    <t>Structure</t>
  </si>
  <si>
    <t>Paid By (check one)</t>
  </si>
  <si>
    <t>Tenant-Paid Utility Allowances by Unit Size (# Bdrms)</t>
  </si>
  <si>
    <t>Utility</t>
  </si>
  <si>
    <t>Fuel</t>
  </si>
  <si>
    <t>Tenant</t>
  </si>
  <si>
    <t>Owner</t>
  </si>
  <si>
    <t>Efficiency</t>
  </si>
  <si>
    <t>Heat</t>
  </si>
  <si>
    <t>Cooking</t>
  </si>
  <si>
    <r>
      <t xml:space="preserve">Show </t>
    </r>
    <r>
      <rPr>
        <b/>
        <sz val="14"/>
        <color rgb="FFFF0000"/>
        <rFont val="Arial"/>
        <family val="2"/>
      </rPr>
      <t>Owner-paid</t>
    </r>
    <r>
      <rPr>
        <sz val="14"/>
        <color rgb="FFFF0000"/>
        <rFont val="Arial"/>
        <family val="2"/>
      </rPr>
      <t xml:space="preserve"> utility amounts in the Operating Expense Budget in the Part VI tab.  
</t>
    </r>
    <r>
      <rPr>
        <b/>
        <sz val="14"/>
        <color rgb="FFFF0000"/>
        <rFont val="Arial"/>
        <family val="2"/>
      </rPr>
      <t xml:space="preserve">Do not enter </t>
    </r>
    <r>
      <rPr>
        <sz val="14"/>
        <color rgb="FFFF0000"/>
        <rFont val="Arial"/>
        <family val="2"/>
      </rPr>
      <t>Owner-paid utility amounts here in this chart.</t>
    </r>
  </si>
  <si>
    <t>Hot Water</t>
  </si>
  <si>
    <t>Air Conditioning</t>
  </si>
  <si>
    <t>Electric</t>
  </si>
  <si>
    <t>Range/Microwave</t>
  </si>
  <si>
    <t>Refrigerator</t>
  </si>
  <si>
    <t>Other Electric</t>
  </si>
  <si>
    <t>Water &amp; Sewer</t>
  </si>
  <si>
    <r>
      <t>Submetered</t>
    </r>
    <r>
      <rPr>
        <sz val="10"/>
        <color rgb="FFFF0000"/>
        <rFont val="Arial"/>
        <family val="2"/>
      </rPr>
      <t>*</t>
    </r>
    <r>
      <rPr>
        <sz val="10"/>
        <rFont val="Arial"/>
        <family val="2"/>
      </rPr>
      <t>?</t>
    </r>
  </si>
  <si>
    <t>Refuse Collection</t>
  </si>
  <si>
    <t>Other: Mthly Base Rate</t>
  </si>
  <si>
    <t>Mthly Gas Baseline Fee</t>
  </si>
  <si>
    <t>Gas</t>
  </si>
  <si>
    <t>Monthly Electric BL Fee</t>
  </si>
  <si>
    <t>Total Utility Allowance by Unit Size</t>
  </si>
  <si>
    <t>UTILITY ALLOWANCE SCHEDULE #2</t>
  </si>
  <si>
    <t>Monthly Gas BL Fee</t>
  </si>
  <si>
    <r>
      <rPr>
        <sz val="8"/>
        <color rgb="FFFF0000"/>
        <rFont val="Arial"/>
        <family val="2"/>
      </rPr>
      <t>*</t>
    </r>
    <r>
      <rPr>
        <sz val="8"/>
        <rFont val="Arial"/>
        <family val="2"/>
      </rPr>
      <t>New Construction units MUST be sub-metered.</t>
    </r>
  </si>
  <si>
    <t>DCA COMMENTS</t>
  </si>
  <si>
    <t>RentType</t>
  </si>
  <si>
    <t>Bdrms</t>
  </si>
  <si>
    <t>Baths</t>
  </si>
  <si>
    <t>Units</t>
  </si>
  <si>
    <t>Area/Expenses1</t>
  </si>
  <si>
    <t>MaxGrossRent</t>
  </si>
  <si>
    <t>PropGrossRent</t>
  </si>
  <si>
    <t>Feed</t>
  </si>
  <si>
    <t>UA</t>
  </si>
  <si>
    <t>PBRA</t>
  </si>
  <si>
    <t>UnitMthlyRent/Expenses2</t>
  </si>
  <si>
    <t>TotalMthlyRent</t>
  </si>
  <si>
    <t>EmployeeUnit</t>
  </si>
  <si>
    <t>UABuildDesignType</t>
  </si>
  <si>
    <t>Activity</t>
  </si>
  <si>
    <t>Historic/Expenses3</t>
  </si>
  <si>
    <t>RENT SCHEDULE</t>
  </si>
  <si>
    <t xml:space="preserve">Do NOT cut/copy/paste cells in this tab. Complete ALL columns. For Common Space (CS) units, select "N/A-CS" for Rent Type and "Common Space" for Employee Unit.  </t>
  </si>
  <si>
    <t>MSA/NonMSA:</t>
  </si>
  <si>
    <t>0 BR</t>
  </si>
  <si>
    <t>1 BR</t>
  </si>
  <si>
    <t>2 BR</t>
  </si>
  <si>
    <t>3 BR</t>
  </si>
  <si>
    <t>4 BR</t>
  </si>
  <si>
    <t>Efficiency Nonhistoric Multifamily Rehab or Acq/Rehab Units</t>
  </si>
  <si>
    <t>1 BR NonhistoricMultifamily Rehab or Acq/Rehab Units</t>
  </si>
  <si>
    <t>2 BR NonhistoricMultifamily Rehab or Acq/Rehab Units</t>
  </si>
  <si>
    <t>3 BR NonhistoricMultifamily Rehab or Acq/Rehab Units</t>
  </si>
  <si>
    <t>4 BR Nonhistoric Multifamily Rehab or Acq/Rehab Units</t>
  </si>
  <si>
    <r>
      <t xml:space="preserve">Certified Historic/ Deemed Historic? 
</t>
    </r>
    <r>
      <rPr>
        <sz val="8"/>
        <color rgb="FFFF0000"/>
        <rFont val="Arial"/>
        <family val="2"/>
      </rPr>
      <t>(See QAP)</t>
    </r>
  </si>
  <si>
    <t>Efficiency 80% Units</t>
  </si>
  <si>
    <t>1 BR 80% Units</t>
  </si>
  <si>
    <t>2 BR 80% Units</t>
  </si>
  <si>
    <t>3 BR 80% Units</t>
  </si>
  <si>
    <t>4 BR 80% Units</t>
  </si>
  <si>
    <t>Efficiency 70% Units</t>
  </si>
  <si>
    <t>1 BR 70% Units</t>
  </si>
  <si>
    <t>2 BR 70% Units</t>
  </si>
  <si>
    <t>3 BR 70% Units</t>
  </si>
  <si>
    <t>4 BR 70% Units</t>
  </si>
  <si>
    <t>Efficiency 60% Units</t>
  </si>
  <si>
    <t>1 BR 60% Units</t>
  </si>
  <si>
    <t>2 BR 60% Units</t>
  </si>
  <si>
    <t>3 BR 60% Units</t>
  </si>
  <si>
    <t>4 BR 60% Units</t>
  </si>
  <si>
    <t>Efficiency 50% Units</t>
  </si>
  <si>
    <t>1 BR 50% Units</t>
  </si>
  <si>
    <t>2 BR 50% Units</t>
  </si>
  <si>
    <t>3 BR 50% Units</t>
  </si>
  <si>
    <t>4 BR 50% Units</t>
  </si>
  <si>
    <t>Efficiency 40% Units</t>
  </si>
  <si>
    <t>1 BR 40% Units</t>
  </si>
  <si>
    <t>2 BR 40% Units</t>
  </si>
  <si>
    <t>3 BR 40% Units</t>
  </si>
  <si>
    <t>4 BR 40% Units</t>
  </si>
  <si>
    <t>Efficiency 30% Units</t>
  </si>
  <si>
    <t>1 BR 30% Units</t>
  </si>
  <si>
    <t>2 BR 30% Units</t>
  </si>
  <si>
    <t>3 BR 30% Units</t>
  </si>
  <si>
    <t>4 BR 30% Units</t>
  </si>
  <si>
    <t>Efficiency 20% Units</t>
  </si>
  <si>
    <t>1 BR 20% Units</t>
  </si>
  <si>
    <t>2 BR 20% Units</t>
  </si>
  <si>
    <t>3 BR 20% Units</t>
  </si>
  <si>
    <t>4 BR 20% Units</t>
  </si>
  <si>
    <t>Efficiency Mkt Units</t>
  </si>
  <si>
    <t>1 BR Mkt Units</t>
  </si>
  <si>
    <t>2 BR Mkt Units</t>
  </si>
  <si>
    <t>3 BR Mkt Units</t>
  </si>
  <si>
    <t>4 BR Mkt Units</t>
  </si>
  <si>
    <t>Efficiency PBRA 20% Units</t>
  </si>
  <si>
    <t>1 BR PBRA 20% Units</t>
  </si>
  <si>
    <t>2 BR PBRA 20% Units</t>
  </si>
  <si>
    <t>3 BR PBRA 20% Units</t>
  </si>
  <si>
    <t>4 BR PBRA 20% Units</t>
  </si>
  <si>
    <t>Efficiency PBRA 30% Units</t>
  </si>
  <si>
    <t>1 BR PBRA 30% Units</t>
  </si>
  <si>
    <t>2 BR PBRA 30% Units</t>
  </si>
  <si>
    <t>3 BR PBRA 30% Units</t>
  </si>
  <si>
    <t>4 BR PBRA 30% Units</t>
  </si>
  <si>
    <t>Efficiency PBRA 40% Units</t>
  </si>
  <si>
    <t>1 BR PBRA 40% Units</t>
  </si>
  <si>
    <t>2 BR PBRA 40% Units</t>
  </si>
  <si>
    <t>3 BR PBRA 40% Units</t>
  </si>
  <si>
    <t>4 BR PBRA 40% Units</t>
  </si>
  <si>
    <t>Efficiency PBRA 50% Units</t>
  </si>
  <si>
    <t>1 BR PBRA 50% Units</t>
  </si>
  <si>
    <t>2 BR PBRA 50% Units</t>
  </si>
  <si>
    <t>3 BR PBRA 50% Units</t>
  </si>
  <si>
    <t>4 BR PBRA 50% Units</t>
  </si>
  <si>
    <t>Efficiency PBRA 60% Units</t>
  </si>
  <si>
    <t>1 BR PBRA 60% Units</t>
  </si>
  <si>
    <t>2 BR PBRA 60% Units</t>
  </si>
  <si>
    <t>3 BR PBRA 60% Units</t>
  </si>
  <si>
    <t>4 BR PBRA 60% Units</t>
  </si>
  <si>
    <t>Efficiency PBRA 70% Units</t>
  </si>
  <si>
    <t>1 BR PBRA 70% Units</t>
  </si>
  <si>
    <t>2 BR PBRA 70% Units</t>
  </si>
  <si>
    <t>3 BR PBRA 70% Units</t>
  </si>
  <si>
    <t>4 BR PBRA 70% Units</t>
  </si>
  <si>
    <t>Efficiency PBRA 80% Units</t>
  </si>
  <si>
    <t>1 BR PBRA 80% Units</t>
  </si>
  <si>
    <t>2 BR PBRA 80% Units</t>
  </si>
  <si>
    <t>3 BR PBRA 80% Units</t>
  </si>
  <si>
    <t>4 BR PBRA 80% Units</t>
  </si>
  <si>
    <t>Efficiency PHA Oper Sub 20% Units</t>
  </si>
  <si>
    <t>1 BR PHA Oper Sub 20% Units</t>
  </si>
  <si>
    <t>2 BR PHA Oper Sub 20% Units</t>
  </si>
  <si>
    <t>3 BR PHA Oper Sub 20% Units</t>
  </si>
  <si>
    <t>4 BR PHA Oper Sub 20% Units</t>
  </si>
  <si>
    <t>Efficiency PHA Oper Sub 30% Units</t>
  </si>
  <si>
    <t>1 BR PHA Oper Sub 30% Units</t>
  </si>
  <si>
    <t>2 BR PHA Oper Sub 30% Units</t>
  </si>
  <si>
    <t>3 BR PHA Oper Sub 30% Units</t>
  </si>
  <si>
    <t>4 BR PHA Oper Sub 30% Units</t>
  </si>
  <si>
    <t>Efficiency PHA Oper Sub 40% Units</t>
  </si>
  <si>
    <t>1 BR PHA Oper Sub 40% Units</t>
  </si>
  <si>
    <t>2 BR PHA Oper Sub 40% Units</t>
  </si>
  <si>
    <t>3 BR PHA Oper Sub 40% Units</t>
  </si>
  <si>
    <t>4 BR PHA Oper Sub 40% Units</t>
  </si>
  <si>
    <t>Efficiency PHA Oper Sub 50% Units</t>
  </si>
  <si>
    <t>1 BR PHA Oper Sub 50% Units</t>
  </si>
  <si>
    <t>2 BR PHA Oper Sub 50% Units</t>
  </si>
  <si>
    <t>3 BR PHA Oper Sub 50% Units</t>
  </si>
  <si>
    <t>4 BR PHA Oper Sub 50% Units</t>
  </si>
  <si>
    <t>Efficiency PHA Oper Sub 60% Units</t>
  </si>
  <si>
    <t>1 BR PHA Oper Sub 60% Units</t>
  </si>
  <si>
    <t>2 BR PHA Oper Sub 60% Units</t>
  </si>
  <si>
    <t>3 BR PHA Oper Sub 60% Units</t>
  </si>
  <si>
    <t>4 BR PHA Oper Sub 60% Units</t>
  </si>
  <si>
    <t>Efficiency PHA Oper Sub 70% Units</t>
  </si>
  <si>
    <t>1 BR PHA Oper Sub 70% Units</t>
  </si>
  <si>
    <t>2 BR PHA Oper Sub 70% Units</t>
  </si>
  <si>
    <t>3 BR PHA Oper Sub 70% Units</t>
  </si>
  <si>
    <t>4 BR PHA Oper Sub 70% Units</t>
  </si>
  <si>
    <t>Efficiency PHA Oper Sub 80% Units</t>
  </si>
  <si>
    <t>1 BR PHA Oper Sub 80% Units</t>
  </si>
  <si>
    <t>2 BR PHA Oper Sub 80% Units</t>
  </si>
  <si>
    <t>3 BR PHA Oper Sub 80% Units</t>
  </si>
  <si>
    <t>4 BR PHA Oper Sub 80% Units</t>
  </si>
  <si>
    <t>Efficiency PBV 20% Units</t>
  </si>
  <si>
    <t>1 BR PBV 20% Units</t>
  </si>
  <si>
    <t>2 BR PBV 20% Units</t>
  </si>
  <si>
    <t>3 BR PBV 20% Units</t>
  </si>
  <si>
    <t>4 BR PBV 20% Units</t>
  </si>
  <si>
    <t>Efficiency PBV 30% Units</t>
  </si>
  <si>
    <t>1 BR PBV 30% Units</t>
  </si>
  <si>
    <t>2 BR PBV 30% Units</t>
  </si>
  <si>
    <t>3 BR PBV 30% Units</t>
  </si>
  <si>
    <t>4 BR PBV 30% Units</t>
  </si>
  <si>
    <t>Efficiency PBV 40% Units</t>
  </si>
  <si>
    <t>1 BR PBV 40% Units</t>
  </si>
  <si>
    <t>2 BR PBV 40% Units</t>
  </si>
  <si>
    <t>3 BR PBV 40% Units</t>
  </si>
  <si>
    <t>4 BR PBV 40% Units</t>
  </si>
  <si>
    <t>Efficiency PBV 50% Units</t>
  </si>
  <si>
    <t>1 BR PBV 50% Units</t>
  </si>
  <si>
    <t>2 BR PBV 50% Units</t>
  </si>
  <si>
    <t>3 BR PBV 50% Units</t>
  </si>
  <si>
    <t>4 BR PBV 50% Units</t>
  </si>
  <si>
    <t>Efficiency PBV 60% Units</t>
  </si>
  <si>
    <t>1 BR PBV 60% Units</t>
  </si>
  <si>
    <t>2 BR PBV 60% Units</t>
  </si>
  <si>
    <t>3 BR PBV 60% Units</t>
  </si>
  <si>
    <t>4 BR PBV 60% Units</t>
  </si>
  <si>
    <t>Efficiency PBV 70% Units</t>
  </si>
  <si>
    <t>1 BR PBV 70% Units</t>
  </si>
  <si>
    <t>2 BR PBV 70% Units</t>
  </si>
  <si>
    <t>3 BR PBV 70% Units</t>
  </si>
  <si>
    <t>4 BR PBV 70% Units</t>
  </si>
  <si>
    <t>Efficiency PBV 80% Units</t>
  </si>
  <si>
    <t>1 BR PBV 80% Units</t>
  </si>
  <si>
    <t>2 BR PBV 80% Units</t>
  </si>
  <si>
    <t>3 BR PBV 80% Units</t>
  </si>
  <si>
    <t>4 BR PBV 80% Units</t>
  </si>
  <si>
    <t>Efficiency Common Space Units</t>
  </si>
  <si>
    <t>1 BR Common Space Units</t>
  </si>
  <si>
    <t>2 BR Common Space Units</t>
  </si>
  <si>
    <t>3 BR Common Space Units</t>
  </si>
  <si>
    <t>4 BR Common Space Units</t>
  </si>
  <si>
    <t>Efficiency 80% SF</t>
  </si>
  <si>
    <t>1 BR 80% SF</t>
  </si>
  <si>
    <t>2 BR 80% SF</t>
  </si>
  <si>
    <t>3 BR 80% SF</t>
  </si>
  <si>
    <t>4 BR 80% SF</t>
  </si>
  <si>
    <t>Efficiency 70% SF</t>
  </si>
  <si>
    <t>1 BR 70% SF</t>
  </si>
  <si>
    <t>2 BR 70% SF</t>
  </si>
  <si>
    <t>3 BR 70% SF</t>
  </si>
  <si>
    <t>4 BR 70% SF</t>
  </si>
  <si>
    <t>Efficiency 60% SF</t>
  </si>
  <si>
    <t>1 BR 60% SF</t>
  </si>
  <si>
    <t>2 BR 60% SF</t>
  </si>
  <si>
    <t>3 BR 60% SF</t>
  </si>
  <si>
    <t>4 BR 60% SF</t>
  </si>
  <si>
    <t>Efficiency 50% SF</t>
  </si>
  <si>
    <t>1 BR 50% SF</t>
  </si>
  <si>
    <t>2 BR 50% SF</t>
  </si>
  <si>
    <t>3 BR 50% SF</t>
  </si>
  <si>
    <t>4 BR 50% SF</t>
  </si>
  <si>
    <t>Efficiency 40% SF</t>
  </si>
  <si>
    <t>1 BR 40% SF</t>
  </si>
  <si>
    <t>2 BR 40% SF</t>
  </si>
  <si>
    <t>3 BR 40% SF</t>
  </si>
  <si>
    <t>4 BR 40% SF</t>
  </si>
  <si>
    <t>Efficiency 30% SF</t>
  </si>
  <si>
    <t>1 BR 30% SF</t>
  </si>
  <si>
    <t>2 BR 30% SF</t>
  </si>
  <si>
    <t>3 BR 30% SF</t>
  </si>
  <si>
    <t>4 BR 30% SF</t>
  </si>
  <si>
    <t>Efficiency 20% SF</t>
  </si>
  <si>
    <t>1 BR 20% SF</t>
  </si>
  <si>
    <t>2 BR 20% SF</t>
  </si>
  <si>
    <t>3 BR 20% SF</t>
  </si>
  <si>
    <t>4 BR 20% SF</t>
  </si>
  <si>
    <t>Efficiency Mkt SF</t>
  </si>
  <si>
    <t>1 BR Mkt SF</t>
  </si>
  <si>
    <t>2 BR Mkt SF</t>
  </si>
  <si>
    <t>3 BR Mkt SF</t>
  </si>
  <si>
    <t>4 BR Mkt SF</t>
  </si>
  <si>
    <t>Efficiency PBRA SF</t>
  </si>
  <si>
    <t>1 BR PBRA SF</t>
  </si>
  <si>
    <t>2 BR PBRA SF</t>
  </si>
  <si>
    <t>3 BR PBRA SF</t>
  </si>
  <si>
    <t>4 BR PBRA SF</t>
  </si>
  <si>
    <t>Efficiency Common Space SF</t>
  </si>
  <si>
    <t>1 BR Common Space SF</t>
  </si>
  <si>
    <t>2 BR Common Space SF</t>
  </si>
  <si>
    <t>3 BR Common Space SF</t>
  </si>
  <si>
    <t>4 BR Common Space SF</t>
  </si>
  <si>
    <t>Efficiency New Construction LI Units</t>
  </si>
  <si>
    <t>1 BR New Construction LI Units</t>
  </si>
  <si>
    <t>2 BR New Construction LI Units</t>
  </si>
  <si>
    <t>3 BR New Construction LI Units</t>
  </si>
  <si>
    <t>4 BR New Construction LI Units</t>
  </si>
  <si>
    <t>Efficiency New Construction Mkt Units</t>
  </si>
  <si>
    <t>1 BR New Construction Mkt Units</t>
  </si>
  <si>
    <t>2 BR New Construction Mkt Units</t>
  </si>
  <si>
    <t>3 BR New Construction Mkt Units</t>
  </si>
  <si>
    <t>4 BR New Construction Mkt Units</t>
  </si>
  <si>
    <t>Efficiency New Construction CS Units</t>
  </si>
  <si>
    <t>1 BR New Construction CS Units</t>
  </si>
  <si>
    <t>2 BR New Construction CS Units</t>
  </si>
  <si>
    <t>3 BR New Construction CS Units</t>
  </si>
  <si>
    <t>4 BR New Construction CS Units</t>
  </si>
  <si>
    <t>Efficiency LI Acq/Rhb Units</t>
  </si>
  <si>
    <t>1 BR Acq/Rhb LI Units</t>
  </si>
  <si>
    <t>2 BR Acq/Rhb LI Units</t>
  </si>
  <si>
    <t>3 BR Acq/Rhb LI Units</t>
  </si>
  <si>
    <t>4 BR Acq/Rhb LI Units</t>
  </si>
  <si>
    <t>Efficiency Acq/Rhb Mkt Units</t>
  </si>
  <si>
    <t>1 BR Acq/Rhb Mkt Units</t>
  </si>
  <si>
    <t>2 BR Acq/Rhb Mkt Units</t>
  </si>
  <si>
    <t>3 BR Acq/Rhb Mkt Units</t>
  </si>
  <si>
    <t>4 BR Acq/Rhb Mkt Units</t>
  </si>
  <si>
    <t>Efficiency CS Acq/Rhb Units</t>
  </si>
  <si>
    <t>1 BR Acq/Rhb CS Units</t>
  </si>
  <si>
    <t>2 BR Acq/Rhb CS Units</t>
  </si>
  <si>
    <t>3 BR Acq/Rhb CS Units</t>
  </si>
  <si>
    <t>4 BR Acq/Rhb CS Units</t>
  </si>
  <si>
    <t>Efficiency Rehab LI Units</t>
  </si>
  <si>
    <t>1 BR Rehab LI Units</t>
  </si>
  <si>
    <t>2 BR Rehab LI Units</t>
  </si>
  <si>
    <t>3 BR Rehab LI Units</t>
  </si>
  <si>
    <t>4 BR Rehab LI Units</t>
  </si>
  <si>
    <t>Efficiency Rehab Mkt Units</t>
  </si>
  <si>
    <t>1 BR Rehab Mkt Units</t>
  </si>
  <si>
    <t>2 BR Rehab Mkt Units</t>
  </si>
  <si>
    <t>3 BR Rehab Mkt Units</t>
  </si>
  <si>
    <t>4 BR Rehab Mkt Units</t>
  </si>
  <si>
    <t>Efficiency Rehab CS Units</t>
  </si>
  <si>
    <t>1 BR Rehab CS Units</t>
  </si>
  <si>
    <t>2 BR Rehab CS Units</t>
  </si>
  <si>
    <t>3 BR Rehab CS Units</t>
  </si>
  <si>
    <t>4 BR Rehab CS Units</t>
  </si>
  <si>
    <t>Effic 120% NSP Units</t>
  </si>
  <si>
    <t>1 BR 120% NSP Units</t>
  </si>
  <si>
    <t>2 BR 120% NSP Units</t>
  </si>
  <si>
    <t>3 BR 120% NSP Units</t>
  </si>
  <si>
    <t>4 BR 120% NSP Units</t>
  </si>
  <si>
    <t>Effic 120% NSP SF</t>
  </si>
  <si>
    <t>1 BR 120% NSP SF</t>
  </si>
  <si>
    <t>2 BR 120% NSP SF</t>
  </si>
  <si>
    <t>3 BR 120% NSP SF</t>
  </si>
  <si>
    <t>4 BR 120% NSP SF</t>
  </si>
  <si>
    <t>Efficiency New Construction NSP 120% Units</t>
  </si>
  <si>
    <t>1 BR New Construction NSP 120% Units</t>
  </si>
  <si>
    <t>2 BR New Construction NSP 120% Units</t>
  </si>
  <si>
    <t>3 BR New Construction NSP 120% Units</t>
  </si>
  <si>
    <t>4 BR New Construction NSP 120% Units</t>
  </si>
  <si>
    <t>Efficiency NSP 120% Acq/Rhb Units</t>
  </si>
  <si>
    <t>1 BR Acq/Rhb NSP 120% Units</t>
  </si>
  <si>
    <t>2 BR Acq/Rhb NSP 120% Units</t>
  </si>
  <si>
    <t>3 BR Acq/Rhb NSP 120% Units</t>
  </si>
  <si>
    <t>4 BR Acq/Rhb NSP 120% Units</t>
  </si>
  <si>
    <t>Efficiency Rehab NSP 120% Units</t>
  </si>
  <si>
    <t>1 BR Rehab NSP 120% Units</t>
  </si>
  <si>
    <t>2 BR Rehab NSP 120% Units</t>
  </si>
  <si>
    <t>3 BR Rehab NSP 120% Units</t>
  </si>
  <si>
    <t>4 BR Rehab NSP 120% Units</t>
  </si>
  <si>
    <r>
      <rPr>
        <b/>
        <sz val="10"/>
        <rFont val="Arial"/>
        <family val="2"/>
      </rPr>
      <t xml:space="preserve">A. HOME </t>
    </r>
    <r>
      <rPr>
        <sz val="10"/>
        <rFont val="Arial"/>
        <family val="2"/>
      </rPr>
      <t>Projects</t>
    </r>
    <r>
      <rPr>
        <b/>
        <sz val="9"/>
        <rFont val="Arial"/>
        <family val="2"/>
      </rPr>
      <t xml:space="preserve">:  Fixed </t>
    </r>
    <r>
      <rPr>
        <sz val="9"/>
        <rFont val="Arial"/>
        <family val="2"/>
      </rPr>
      <t>or</t>
    </r>
    <r>
      <rPr>
        <b/>
        <sz val="9"/>
        <rFont val="Arial"/>
        <family val="2"/>
      </rPr>
      <t xml:space="preserve"> Floating </t>
    </r>
    <r>
      <rPr>
        <sz val="9"/>
        <rFont val="Arial"/>
        <family val="2"/>
      </rPr>
      <t>units?</t>
    </r>
  </si>
  <si>
    <t>(Note: CS units are non-income-producing units)</t>
  </si>
  <si>
    <r>
      <t>AMI</t>
    </r>
    <r>
      <rPr>
        <sz val="8"/>
        <rFont val="Arial"/>
        <family val="2"/>
      </rPr>
      <t xml:space="preserve"> (MTSP)</t>
    </r>
    <r>
      <rPr>
        <b/>
        <sz val="8"/>
        <rFont val="Arial"/>
        <family val="2"/>
      </rPr>
      <t>:</t>
    </r>
  </si>
  <si>
    <t>Efficiency Multifamily New Construction Units</t>
  </si>
  <si>
    <t>1 BR Multifamily New Construction Units</t>
  </si>
  <si>
    <t>2 BR Multifamily New Construction Units</t>
  </si>
  <si>
    <t>3 BR Multifamily New Construction Units</t>
  </si>
  <si>
    <t>4 BR Multifamily New Construction Units</t>
  </si>
  <si>
    <t>Efficiency SF or Semi-Detached Nonhistoric Units</t>
  </si>
  <si>
    <t>1 BR SF or Semi-Detached Nonhistoric Units</t>
  </si>
  <si>
    <t>2 BR SF or Semi-Detached Nonhistoric Units</t>
  </si>
  <si>
    <t>3 BR SF or Semi-Detached Nonhistoric Units</t>
  </si>
  <si>
    <t>4 BR SF or Semi-Detached Nonhistoric Units</t>
  </si>
  <si>
    <t>B. Are 100% of units HUD PBRA?</t>
  </si>
  <si>
    <t>Mandatory Fees Paid By Residents</t>
  </si>
  <si>
    <t>Provider or</t>
  </si>
  <si>
    <t>Effective Date:</t>
  </si>
  <si>
    <t>Rehabs Only:</t>
  </si>
  <si>
    <t>Rent Type</t>
  </si>
  <si>
    <t>Allowance</t>
  </si>
  <si>
    <t>Operating</t>
  </si>
  <si>
    <t>AMI Source:</t>
  </si>
  <si>
    <t>Rental</t>
  </si>
  <si>
    <t>(Select)</t>
  </si>
  <si>
    <t>Nbr of</t>
  </si>
  <si>
    <t>No. of</t>
  </si>
  <si>
    <t>Unit</t>
  </si>
  <si>
    <t>Max Gross Rent Limit</t>
  </si>
  <si>
    <t>Proposed</t>
  </si>
  <si>
    <t>(UA Schedule 1 UA, 
so over-write if UA Schedule 2 used)</t>
  </si>
  <si>
    <r>
      <t xml:space="preserve">Subsidy </t>
    </r>
    <r>
      <rPr>
        <b/>
        <sz val="10"/>
        <color indexed="10"/>
        <rFont val="Arial"/>
        <family val="2"/>
      </rPr>
      <t>***</t>
    </r>
  </si>
  <si>
    <t>Monthly Net Rent</t>
  </si>
  <si>
    <t>Employee</t>
  </si>
  <si>
    <t>UA Structure</t>
  </si>
  <si>
    <r>
      <t xml:space="preserve">Type of Activity
</t>
    </r>
    <r>
      <rPr>
        <b/>
        <sz val="6"/>
        <color rgb="FFFF0000"/>
        <rFont val="Arial"/>
        <family val="2"/>
      </rPr>
      <t xml:space="preserve">(INCL </t>
    </r>
    <r>
      <rPr>
        <sz val="6"/>
        <color rgb="FFFF0000"/>
        <rFont val="Arial"/>
        <family val="2"/>
      </rPr>
      <t>Adapative Reuse</t>
    </r>
    <r>
      <rPr>
        <b/>
        <sz val="6"/>
        <color rgb="FFFF0000"/>
        <rFont val="Arial"/>
        <family val="2"/>
      </rPr>
      <t>)</t>
    </r>
  </si>
  <si>
    <t>Current</t>
  </si>
  <si>
    <t>Percent</t>
  </si>
  <si>
    <t>0 BR MF Units</t>
  </si>
  <si>
    <t>SF Det'd Units</t>
  </si>
  <si>
    <t>SF Det'd Hist Units</t>
  </si>
  <si>
    <t>Semi-Detached Units</t>
  </si>
  <si>
    <t>Semi-Detached Hist Units</t>
  </si>
  <si>
    <t>Row House/TH Units</t>
  </si>
  <si>
    <t>Row House/TH Hist Units</t>
  </si>
  <si>
    <t>Low-Rise Apt Units</t>
  </si>
  <si>
    <t>Low-Rise Elevator Units</t>
  </si>
  <si>
    <r>
      <t xml:space="preserve">Low-Rise Apt </t>
    </r>
    <r>
      <rPr>
        <b/>
        <sz val="9"/>
        <color theme="0"/>
        <rFont val="Arial"/>
        <family val="2"/>
      </rPr>
      <t>Hist</t>
    </r>
    <r>
      <rPr>
        <sz val="9"/>
        <color theme="0"/>
        <rFont val="Arial"/>
        <family val="2"/>
      </rPr>
      <t xml:space="preserve"> Units</t>
    </r>
  </si>
  <si>
    <r>
      <t xml:space="preserve">Low-Rise Elevator </t>
    </r>
    <r>
      <rPr>
        <b/>
        <sz val="9"/>
        <color theme="0"/>
        <rFont val="Arial"/>
        <family val="2"/>
      </rPr>
      <t>Hist</t>
    </r>
    <r>
      <rPr>
        <sz val="9"/>
        <color theme="0"/>
        <rFont val="Arial"/>
        <family val="2"/>
      </rPr>
      <t xml:space="preserve"> Units</t>
    </r>
  </si>
  <si>
    <t>High-Rise Apt Units</t>
  </si>
  <si>
    <t>High-Rise Elevator Units</t>
  </si>
  <si>
    <r>
      <t xml:space="preserve">High-Rise Apt </t>
    </r>
    <r>
      <rPr>
        <b/>
        <sz val="9"/>
        <color theme="0"/>
        <rFont val="Arial"/>
        <family val="2"/>
      </rPr>
      <t>Hist</t>
    </r>
    <r>
      <rPr>
        <sz val="9"/>
        <color theme="0"/>
        <rFont val="Arial"/>
        <family val="2"/>
      </rPr>
      <t xml:space="preserve"> Units</t>
    </r>
  </si>
  <si>
    <r>
      <t xml:space="preserve">High-Rise Elevator </t>
    </r>
    <r>
      <rPr>
        <b/>
        <sz val="9"/>
        <color theme="0"/>
        <rFont val="Arial"/>
        <family val="2"/>
      </rPr>
      <t>Hist</t>
    </r>
    <r>
      <rPr>
        <sz val="9"/>
        <color theme="0"/>
        <rFont val="Arial"/>
        <family val="2"/>
      </rPr>
      <t xml:space="preserve"> Units</t>
    </r>
  </si>
  <si>
    <t>Put AMIs Below Line</t>
  </si>
  <si>
    <t>Count</t>
  </si>
  <si>
    <t>Area</t>
  </si>
  <si>
    <t>Gross Rent</t>
  </si>
  <si>
    <t>(See note below)</t>
  </si>
  <si>
    <t>(Building Type)</t>
  </si>
  <si>
    <t>Rent</t>
  </si>
  <si>
    <t>Diff</t>
  </si>
  <si>
    <t>MF Units</t>
  </si>
  <si>
    <t>MH Units</t>
  </si>
  <si>
    <t>MH Hist Units</t>
  </si>
  <si>
    <t>N/A-CS</t>
  </si>
  <si>
    <t>Units1</t>
  </si>
  <si>
    <t>Units2</t>
  </si>
  <si>
    <t>Unrestricted</t>
  </si>
  <si>
    <t>Units3</t>
  </si>
  <si>
    <t>Units4</t>
  </si>
  <si>
    <t>Units5</t>
  </si>
  <si>
    <t>Units6</t>
  </si>
  <si>
    <t>Units7</t>
  </si>
  <si>
    <t>Units8</t>
  </si>
  <si>
    <t>Units9</t>
  </si>
  <si>
    <t>Units10</t>
  </si>
  <si>
    <t>Units11</t>
  </si>
  <si>
    <t>Units12</t>
  </si>
  <si>
    <t>Units13</t>
  </si>
  <si>
    <t>Units14</t>
  </si>
  <si>
    <t>Units15</t>
  </si>
  <si>
    <t>Units16</t>
  </si>
  <si>
    <t>Units17</t>
  </si>
  <si>
    <t>Units18</t>
  </si>
  <si>
    <t>Units19</t>
  </si>
  <si>
    <t>Units20</t>
  </si>
  <si>
    <t>Units21</t>
  </si>
  <si>
    <t>Units22</t>
  </si>
  <si>
    <t>Units23</t>
  </si>
  <si>
    <t>Units24</t>
  </si>
  <si>
    <t>Units25</t>
  </si>
  <si>
    <t>Units26</t>
  </si>
  <si>
    <t>Units27</t>
  </si>
  <si>
    <t>Units28</t>
  </si>
  <si>
    <t>Units29</t>
  </si>
  <si>
    <t>Units30</t>
  </si>
  <si>
    <t>Units31</t>
  </si>
  <si>
    <t>Units32</t>
  </si>
  <si>
    <t>Units33</t>
  </si>
  <si>
    <t>Units34</t>
  </si>
  <si>
    <t>Units35</t>
  </si>
  <si>
    <t>Units36</t>
  </si>
  <si>
    <t>Units37</t>
  </si>
  <si>
    <t>Units38</t>
  </si>
  <si>
    <t>LI Income Average %</t>
  </si>
  <si>
    <t>TOTAL</t>
  </si>
  <si>
    <t>4% / T-E Bonds:</t>
  </si>
  <si>
    <t>40/60 Test</t>
  </si>
  <si>
    <t>MONTHLY TOTAL</t>
  </si>
  <si>
    <t>MonthlyRev</t>
  </si>
  <si>
    <t>LI</t>
  </si>
  <si>
    <t>20/50 Test</t>
  </si>
  <si>
    <t>ANNUAL TOTAL</t>
  </si>
  <si>
    <t>AnnualRev</t>
  </si>
  <si>
    <r>
      <t xml:space="preserve">*NOTE: When selecting "PHA Operating Subsidy" in "PBRA Provider or Operating Subsidy" column,  also enter zero in "Proposed Gross Rent" column above </t>
    </r>
    <r>
      <rPr>
        <b/>
        <i/>
        <sz val="8"/>
        <color indexed="10"/>
        <rFont val="Arial Narrow"/>
        <family val="2"/>
      </rPr>
      <t>AND</t>
    </r>
    <r>
      <rPr>
        <b/>
        <sz val="8"/>
        <color indexed="10"/>
        <rFont val="Arial Narrow"/>
        <family val="2"/>
      </rPr>
      <t xml:space="preserve"> include PHA operating subsidy amount in "III. Ancillary and Other Income" section below.</t>
    </r>
  </si>
  <si>
    <t>UNIT SUMMARY</t>
  </si>
  <si>
    <t>Tax Credit Election:</t>
  </si>
  <si>
    <t>DCA HOME Projects Min Set-Aside Rqmt (Rent &amp; Income):</t>
  </si>
  <si>
    <t>&lt;&lt; Select &gt;&gt;</t>
  </si>
  <si>
    <t>UNITS:</t>
  </si>
  <si>
    <t>% of AMI</t>
  </si>
  <si>
    <t>1BR</t>
  </si>
  <si>
    <t>2BR</t>
  </si>
  <si>
    <t>3BR</t>
  </si>
  <si>
    <t>4BR</t>
  </si>
  <si>
    <t xml:space="preserve">
NOTE TO APPLICANTS: 
If the numbers compiled in this Summary do not appear to match what was entered in the Rent Chart above, please verify that all applicable columns were completed in the rows used in the Rent Chart above.</t>
  </si>
  <si>
    <t>Low-Income</t>
  </si>
  <si>
    <t>80% AMI</t>
  </si>
  <si>
    <t>(Includes inc-restr mgr units)</t>
  </si>
  <si>
    <t>70% AMI</t>
  </si>
  <si>
    <t>60% AMI</t>
  </si>
  <si>
    <t>50% AMI</t>
  </si>
  <si>
    <t>40% AMI</t>
  </si>
  <si>
    <t>30% AMI</t>
  </si>
  <si>
    <t>20% AMI</t>
  </si>
  <si>
    <t>Total Low Income</t>
  </si>
  <si>
    <t>Total Residential</t>
  </si>
  <si>
    <t>Common Space</t>
  </si>
  <si>
    <t>(no rent charged)</t>
  </si>
  <si>
    <t>Total Units</t>
  </si>
  <si>
    <t xml:space="preserve">Income Limit Distribution among Bedroom Sizes </t>
  </si>
  <si>
    <t>(% of BR config Unit Total)</t>
  </si>
  <si>
    <r>
      <rPr>
        <b/>
        <i/>
        <sz val="9"/>
        <rFont val="Arial"/>
        <family val="2"/>
      </rPr>
      <t xml:space="preserve">          </t>
    </r>
    <r>
      <rPr>
        <i/>
        <u/>
        <sz val="9"/>
        <rFont val="Arial"/>
        <family val="2"/>
      </rPr>
      <t>Exact</t>
    </r>
    <r>
      <rPr>
        <sz val="9"/>
        <rFont val="Arial"/>
        <family val="2"/>
      </rPr>
      <t xml:space="preserve"> units needed for equal %</t>
    </r>
  </si>
  <si>
    <r>
      <t xml:space="preserve">          Diff between Proposed &amp; </t>
    </r>
    <r>
      <rPr>
        <i/>
        <u/>
        <sz val="9"/>
        <color theme="9" tint="-0.499984740745262"/>
        <rFont val="Arial"/>
        <family val="2"/>
      </rPr>
      <t>Exact</t>
    </r>
  </si>
  <si>
    <r>
      <rPr>
        <sz val="9"/>
        <rFont val="Arial"/>
        <family val="2"/>
      </rPr>
      <t>Equal distribution means the</t>
    </r>
    <r>
      <rPr>
        <sz val="10"/>
        <rFont val="Arial"/>
        <family val="2"/>
      </rPr>
      <t xml:space="preserve"> </t>
    </r>
    <r>
      <rPr>
        <sz val="9"/>
        <color theme="9" tint="-0.499984740745262"/>
        <rFont val="Arial"/>
        <family val="2"/>
      </rPr>
      <t xml:space="preserve">Difference between the Proposed and Exact </t>
    </r>
    <r>
      <rPr>
        <sz val="9"/>
        <rFont val="Arial"/>
        <family val="2"/>
      </rPr>
      <t>units is within 2 units - unless Pre-Approved otherwise by DCA</t>
    </r>
  </si>
  <si>
    <t> </t>
  </si>
  <si>
    <t>PBRA-Assisted</t>
  </si>
  <si>
    <t>(included in LI above)</t>
  </si>
  <si>
    <r>
      <t xml:space="preserve">UNIT SUMMARY </t>
    </r>
    <r>
      <rPr>
        <i/>
        <sz val="9"/>
        <rFont val="Arial"/>
        <family val="2"/>
      </rPr>
      <t>(Continued)</t>
    </r>
  </si>
  <si>
    <t>PHA Operating Subsidy-Assisted</t>
  </si>
  <si>
    <t>PBV</t>
  </si>
  <si>
    <t>Type of Construction Activity</t>
  </si>
  <si>
    <t>New Construction (NC)</t>
  </si>
  <si>
    <t>Low Inc</t>
  </si>
  <si>
    <t>Total + CS</t>
  </si>
  <si>
    <t>% of Total Units:</t>
  </si>
  <si>
    <t>Acq/Rehab</t>
  </si>
  <si>
    <t>Substantial Rehab Only</t>
  </si>
  <si>
    <t>Adaptive Reuse (AR)</t>
  </si>
  <si>
    <r>
      <t xml:space="preserve">Historic </t>
    </r>
    <r>
      <rPr>
        <sz val="9"/>
        <rFont val="Arial"/>
        <family val="2"/>
      </rPr>
      <t>Adaptive Reuse</t>
    </r>
  </si>
  <si>
    <t>Historic</t>
  </si>
  <si>
    <t>Type of Development Activity</t>
  </si>
  <si>
    <t>New Affordability</t>
  </si>
  <si>
    <t>≥ 50% of proposed units are NC or AR</t>
  </si>
  <si>
    <t>≥ 50% of proposed units are rehab of units not currently associated with a LIHTC rent restriction, HUD RA contract, or USDA 515 RA contract.</t>
  </si>
  <si>
    <r>
      <t xml:space="preserve">Building Type: (for </t>
    </r>
    <r>
      <rPr>
        <b/>
        <i/>
        <sz val="10"/>
        <rFont val="Arial"/>
        <family val="2"/>
      </rPr>
      <t>Utility Allowance, Monitoring Fees, etc</t>
    </r>
    <r>
      <rPr>
        <sz val="10"/>
        <rFont val="Arial"/>
        <family val="2"/>
      </rPr>
      <t xml:space="preserve">)
</t>
    </r>
  </si>
  <si>
    <t>Low-Rise Apt</t>
  </si>
  <si>
    <t>Low-Rise Elevator Apt</t>
  </si>
  <si>
    <t>High-Rise Apt</t>
  </si>
  <si>
    <t>High-Rise Elevator Apt</t>
  </si>
  <si>
    <t>Single Family Detached</t>
  </si>
  <si>
    <t>Manufactured home</t>
  </si>
  <si>
    <r>
      <t xml:space="preserve">Building Type:
(for </t>
    </r>
    <r>
      <rPr>
        <b/>
        <i/>
        <sz val="10"/>
        <rFont val="Arial"/>
        <family val="2"/>
      </rPr>
      <t>Cost Limit</t>
    </r>
    <r>
      <rPr>
        <sz val="10"/>
        <rFont val="Arial"/>
        <family val="2"/>
      </rPr>
      <t xml:space="preserve"> </t>
    </r>
    <r>
      <rPr>
        <b/>
        <sz val="10"/>
        <rFont val="Arial"/>
        <family val="2"/>
      </rPr>
      <t>purposes only</t>
    </r>
    <r>
      <rPr>
        <sz val="10"/>
        <rFont val="Arial"/>
        <family val="2"/>
      </rPr>
      <t xml:space="preserve"> - </t>
    </r>
    <r>
      <rPr>
        <sz val="8"/>
        <rFont val="Arial"/>
        <family val="2"/>
      </rPr>
      <t>see Application Instructions for further detail</t>
    </r>
    <r>
      <rPr>
        <sz val="10"/>
        <rFont val="Arial"/>
        <family val="2"/>
      </rPr>
      <t>)</t>
    </r>
  </si>
  <si>
    <t>Detached / SemiDetached</t>
  </si>
  <si>
    <t>Row House</t>
  </si>
  <si>
    <t>Walkup</t>
  </si>
  <si>
    <t>Elevator</t>
  </si>
  <si>
    <r>
      <t xml:space="preserve">Average Unit Sq Ft by </t>
    </r>
    <r>
      <rPr>
        <b/>
        <sz val="10"/>
        <rFont val="Arial"/>
        <family val="2"/>
      </rPr>
      <t>AMI% Level</t>
    </r>
  </si>
  <si>
    <t>UNIT SQUARE FOOTAGE</t>
  </si>
  <si>
    <t>Low Income</t>
  </si>
  <si>
    <t>LI Total SF</t>
  </si>
  <si>
    <r>
      <t xml:space="preserve">Average Unit Square Footage by </t>
    </r>
    <r>
      <rPr>
        <b/>
        <sz val="10"/>
        <rFont val="Arial"/>
        <family val="2"/>
      </rPr>
      <t>Unit Configuration</t>
    </r>
    <r>
      <rPr>
        <sz val="10"/>
        <rFont val="Arial"/>
        <family val="2"/>
      </rPr>
      <t xml:space="preserve"> </t>
    </r>
    <r>
      <rPr>
        <sz val="8"/>
        <rFont val="Arial"/>
        <family val="2"/>
      </rPr>
      <t>(Nbr of Bedrooms)</t>
    </r>
  </si>
  <si>
    <t>BUILDING SQUARE FOOTAGE</t>
  </si>
  <si>
    <r>
      <t>Total Common Area Sq Ft</t>
    </r>
    <r>
      <rPr>
        <b/>
        <sz val="9"/>
        <rFont val="Arial"/>
        <family val="2"/>
      </rPr>
      <t xml:space="preserve">   </t>
    </r>
    <r>
      <rPr>
        <sz val="9"/>
        <rFont val="Arial Narrow"/>
        <family val="2"/>
      </rPr>
      <t>(from Nonresidential areas)</t>
    </r>
  </si>
  <si>
    <t>Commercial</t>
  </si>
  <si>
    <t>Non-commercial</t>
  </si>
  <si>
    <t>Total Square Footage</t>
  </si>
  <si>
    <r>
      <t xml:space="preserve">ANCILLARY AND OTHER INCOME  </t>
    </r>
    <r>
      <rPr>
        <i/>
        <sz val="10"/>
        <rFont val="Arial"/>
        <family val="2"/>
      </rPr>
      <t>(annual amounts)</t>
    </r>
  </si>
  <si>
    <t>Ancillary Income</t>
  </si>
  <si>
    <r>
      <t xml:space="preserve">          Laundry, vending, app fees, etc.  </t>
    </r>
    <r>
      <rPr>
        <b/>
        <sz val="9"/>
        <rFont val="Arial"/>
        <family val="2"/>
      </rPr>
      <t>Actual pct of Gross Potential Rents (GPR):</t>
    </r>
  </si>
  <si>
    <t>Other Income (OI) by Year:</t>
  </si>
  <si>
    <t>Included in Mgt Fee:</t>
  </si>
  <si>
    <t>Operating Subsidy</t>
  </si>
  <si>
    <t>Total OI in Mgt Fee</t>
  </si>
  <si>
    <r>
      <t>NOT</t>
    </r>
    <r>
      <rPr>
        <i/>
        <sz val="9"/>
        <color indexed="10"/>
        <rFont val="Arial"/>
        <family val="2"/>
      </rPr>
      <t xml:space="preserve"> Included in Mgt Fee:</t>
    </r>
  </si>
  <si>
    <t>Property Tax Abatement</t>
  </si>
  <si>
    <r>
      <t xml:space="preserve">Total OI </t>
    </r>
    <r>
      <rPr>
        <b/>
        <sz val="9"/>
        <rFont val="Arial"/>
        <family val="2"/>
      </rPr>
      <t>NOT</t>
    </r>
    <r>
      <rPr>
        <sz val="9"/>
        <rFont val="Arial"/>
        <family val="2"/>
      </rPr>
      <t xml:space="preserve"> in Mgt Fee</t>
    </r>
  </si>
  <si>
    <t>Years 11 - 20</t>
  </si>
  <si>
    <t>Years 21 - 30</t>
  </si>
  <si>
    <t>ANNUAL OPERATING EXPENSE BUDGET</t>
  </si>
  <si>
    <t>On-Site Staff Costs</t>
  </si>
  <si>
    <t>On-Site Security</t>
  </si>
  <si>
    <r>
      <t>Management Fee:</t>
    </r>
    <r>
      <rPr>
        <sz val="9"/>
        <color indexed="10"/>
        <rFont val="Arial"/>
        <family val="2"/>
      </rPr>
      <t/>
    </r>
  </si>
  <si>
    <t>Management Salaries &amp; Benefits</t>
  </si>
  <si>
    <t>Contracted Guard</t>
  </si>
  <si>
    <t>Average per unit per year</t>
  </si>
  <si>
    <t>Maintenance Salaries &amp; Benefits</t>
  </si>
  <si>
    <t>Electronic Alarm System</t>
  </si>
  <si>
    <t>Average per unit per month</t>
  </si>
  <si>
    <t>Support Services Salaries &amp; Benefits</t>
  </si>
  <si>
    <t>(Mgt Fee - see Pro Forma, Sect 1, Operating Assumptions)</t>
  </si>
  <si>
    <t xml:space="preserve">   Resident Services (if applicable)</t>
  </si>
  <si>
    <t xml:space="preserve">   Activities Manager</t>
  </si>
  <si>
    <t>Other (describe here)</t>
  </si>
  <si>
    <t>Professional Services</t>
  </si>
  <si>
    <t>Legal</t>
  </si>
  <si>
    <t>TOTAL OPERATING EXPENSES</t>
  </si>
  <si>
    <t>On-Site Office Costs</t>
  </si>
  <si>
    <t>Advertising</t>
  </si>
  <si>
    <t>Average per unit</t>
  </si>
  <si>
    <t>Security_Subtotal</t>
  </si>
  <si>
    <t>Office Supplies &amp; Postage</t>
  </si>
  <si>
    <t>Total OE Required</t>
  </si>
  <si>
    <t>Telephone</t>
  </si>
  <si>
    <t>DCA will determine the reasonableness of the budgeted operating expenses for developments that include 515 USDA 515 loans on a deal by deal basis.</t>
  </si>
  <si>
    <t>Travel</t>
  </si>
  <si>
    <t>Leased Furniture / Equipment</t>
  </si>
  <si>
    <t>Staff_Subtotal</t>
  </si>
  <si>
    <t>Activities Supplies / Overhead Cost</t>
  </si>
  <si>
    <t>Utilities</t>
  </si>
  <si>
    <t>Avg $/mth/unit</t>
  </si>
  <si>
    <t>Replacement Reserve (RR)</t>
  </si>
  <si>
    <t>Electricity</t>
  </si>
  <si>
    <t>Proposed average RR/unit amount:</t>
  </si>
  <si>
    <t>Natural Gas</t>
  </si>
  <si>
    <t>Minimum Replacement Reserve Calculation</t>
  </si>
  <si>
    <t>Water &amp; Swr</t>
  </si>
  <si>
    <t>Unit Type</t>
  </si>
  <si>
    <t>Units x RR Min</t>
  </si>
  <si>
    <t>Total by Type</t>
  </si>
  <si>
    <t>Maintenance Expenses</t>
  </si>
  <si>
    <t>Trash Collection</t>
  </si>
  <si>
    <t>Contracted Repairs</t>
  </si>
  <si>
    <r>
      <t>High-Speed Interne</t>
    </r>
    <r>
      <rPr>
        <sz val="8"/>
        <rFont val="Arial Narrow"/>
        <family val="2"/>
      </rPr>
      <t>t (if applic)</t>
    </r>
  </si>
  <si>
    <t xml:space="preserve">   Rehab</t>
  </si>
  <si>
    <t>General Repairs</t>
  </si>
  <si>
    <t xml:space="preserve">   New Constr</t>
  </si>
  <si>
    <t>Grounds Maintenance</t>
  </si>
  <si>
    <t>SF/Semi-Detached</t>
  </si>
  <si>
    <t>Extermination</t>
  </si>
  <si>
    <t>Historic Rhb</t>
  </si>
  <si>
    <t>Office_Subtotal</t>
  </si>
  <si>
    <t>Maintenance Supplies</t>
  </si>
  <si>
    <t>Taxes and Insurance</t>
  </si>
  <si>
    <t>Totals</t>
  </si>
  <si>
    <t>Elevator Maintenance</t>
  </si>
  <si>
    <r>
      <t xml:space="preserve">Real Estate Taxes </t>
    </r>
    <r>
      <rPr>
        <sz val="8"/>
        <rFont val="Arial"/>
        <family val="2"/>
      </rPr>
      <t>(Gross)*</t>
    </r>
  </si>
  <si>
    <t>Redecorating</t>
  </si>
  <si>
    <t>Insurance**</t>
  </si>
  <si>
    <t>Utilities_Subtotal</t>
  </si>
  <si>
    <t>TOTAL ANNUAL EXPENSES</t>
  </si>
  <si>
    <t>VI.  DCA COMMENTS</t>
  </si>
  <si>
    <t>GROUND LEASE PAYMENT</t>
  </si>
  <si>
    <t>Annual Payment</t>
  </si>
  <si>
    <t>Nbr of Yrs</t>
  </si>
  <si>
    <t>Total Payments</t>
  </si>
  <si>
    <t>Does lease have a Graduated Lease Payment / Step-Up provision?</t>
  </si>
  <si>
    <t>Maint_Subtotal</t>
  </si>
  <si>
    <t>Is it periodic?</t>
  </si>
  <si>
    <t>If Yes, Years in period:</t>
  </si>
  <si>
    <t>If constant increase, amount:</t>
  </si>
  <si>
    <t>VII.  DCA COMMENTS</t>
  </si>
  <si>
    <t>VIII.  DCA COMMENTS</t>
  </si>
  <si>
    <t>*To all Applicants: Real estate taxes shown in Operating Budget should be prior to any tax abatement.  In addition to your other comments, please provide methodology for determining real estate tax calculation. 
**To all Applicants: in addition to your other comments, please provide methodology for insurance calculation.</t>
  </si>
  <si>
    <t>NOTE: 
Row size may be increased or decreased as needed.  
Press and hold Alt-Enter to start new paragraphs in the same box.</t>
  </si>
  <si>
    <t>Yr1/11/21/31</t>
  </si>
  <si>
    <t>Yr2/12/22/32</t>
  </si>
  <si>
    <t>Yr3/13/23/33</t>
  </si>
  <si>
    <t>Yr4/14/24/34</t>
  </si>
  <si>
    <t>Yr5/15/25/35</t>
  </si>
  <si>
    <t>Yr6/16/26</t>
  </si>
  <si>
    <t>Yr7/17/27</t>
  </si>
  <si>
    <t>Yr8/18/28</t>
  </si>
  <si>
    <t>Yr9/19/29</t>
  </si>
  <si>
    <t>Yr10/20/30</t>
  </si>
  <si>
    <t>I.  OPERATING ASSUMPTIONS</t>
  </si>
  <si>
    <t>Please Note:</t>
  </si>
  <si>
    <r>
      <t>Green-shaded cells are unlocked for your use and</t>
    </r>
    <r>
      <rPr>
        <b/>
        <sz val="9"/>
        <color rgb="FFFF0000"/>
        <rFont val="Arial Narrow"/>
        <family val="2"/>
      </rPr>
      <t xml:space="preserve"> contain</t>
    </r>
    <r>
      <rPr>
        <sz val="9"/>
        <color rgb="FFFF0000"/>
        <rFont val="Arial Narrow"/>
        <family val="2"/>
      </rPr>
      <t xml:space="preserve"> references/formulas that </t>
    </r>
    <r>
      <rPr>
        <b/>
        <sz val="9"/>
        <color rgb="FFFF0000"/>
        <rFont val="Arial Narrow"/>
        <family val="2"/>
      </rPr>
      <t>may</t>
    </r>
    <r>
      <rPr>
        <sz val="9"/>
        <color rgb="FFFF0000"/>
        <rFont val="Arial Narrow"/>
        <family val="2"/>
      </rPr>
      <t xml:space="preserve"> be overwritten if needed.</t>
    </r>
  </si>
  <si>
    <t>Revenue Growth</t>
  </si>
  <si>
    <r>
      <t>Asset Management Fee Amount</t>
    </r>
    <r>
      <rPr>
        <sz val="9"/>
        <rFont val="Arial"/>
        <family val="2"/>
      </rPr>
      <t xml:space="preserve"> </t>
    </r>
    <r>
      <rPr>
        <sz val="8"/>
        <rFont val="Arial"/>
        <family val="2"/>
      </rPr>
      <t xml:space="preserve">(include total charged by </t>
    </r>
    <r>
      <rPr>
        <sz val="8"/>
        <color rgb="FFFF0000"/>
        <rFont val="Arial"/>
        <family val="2"/>
      </rPr>
      <t>all</t>
    </r>
    <r>
      <rPr>
        <sz val="8"/>
        <rFont val="Arial"/>
        <family val="2"/>
      </rPr>
      <t xml:space="preserve"> lenders/investors)</t>
    </r>
    <r>
      <rPr>
        <sz val="7"/>
        <rFont val="Arial"/>
        <family val="2"/>
      </rPr>
      <t xml:space="preserve">. </t>
    </r>
    <r>
      <rPr>
        <sz val="7"/>
        <color rgb="FFFF0000"/>
        <rFont val="Arial"/>
        <family val="2"/>
      </rPr>
      <t>DCA Yrly fee:</t>
    </r>
  </si>
  <si>
    <t xml:space="preserve">      Yr 1 Asset Mgt Fee Percentage of EGI:</t>
  </si>
  <si>
    <t>Expense Growth</t>
  </si>
  <si>
    <t>Reserves Growth</t>
  </si>
  <si>
    <t>Property Mgt Fee Growth Rate (choose one):</t>
  </si>
  <si>
    <t xml:space="preserve">      Yr 1 Prop Mgt Fee Percentage of EGI:</t>
  </si>
  <si>
    <t>Vacancy &amp; Collection Loss</t>
  </si>
  <si>
    <t xml:space="preserve">     Expense Growth Rate (3.00%)</t>
  </si>
  <si>
    <t xml:space="preserve"> --&gt; If Yes, indicate Yr 1 Mgt Fee Amt:</t>
  </si>
  <si>
    <t>Ancillary Income Limit</t>
  </si>
  <si>
    <t xml:space="preserve">     Percent of Effective Gross Income</t>
  </si>
  <si>
    <t xml:space="preserve"> --&gt; If Yes, indicate actual percentage:</t>
  </si>
  <si>
    <t>II.  OPERATING PRO FORMA</t>
  </si>
  <si>
    <t>Years 1 - 10</t>
  </si>
  <si>
    <t>Revenues</t>
  </si>
  <si>
    <t>Total CF Before Any DDF Pymt</t>
  </si>
  <si>
    <t>PF_Yr1-10</t>
  </si>
  <si>
    <t>Vacancy</t>
  </si>
  <si>
    <t>Yrs Thru</t>
  </si>
  <si>
    <t>Total DDF Paid</t>
  </si>
  <si>
    <t>Other Income (OI)</t>
  </si>
  <si>
    <t>OI Not Subject to Mgt Fee</t>
  </si>
  <si>
    <t>EGI</t>
  </si>
  <si>
    <t>Expenses less Mgt Fee</t>
  </si>
  <si>
    <t>Property Mgmt</t>
  </si>
  <si>
    <t>Reserves</t>
  </si>
  <si>
    <t>Ground Lease Pymt</t>
  </si>
  <si>
    <t>NOI</t>
  </si>
  <si>
    <t>D/S Other Source,not DDF</t>
  </si>
  <si>
    <t>DCA HOME Cash Resrv.</t>
  </si>
  <si>
    <t>Asset Mgmt</t>
  </si>
  <si>
    <t>DDF</t>
  </si>
  <si>
    <t>Cash Flow</t>
  </si>
  <si>
    <t>DCR Other Source</t>
  </si>
  <si>
    <t>Total DCR</t>
  </si>
  <si>
    <t>Oper Exp Coverage Ratio</t>
  </si>
  <si>
    <t>Mortgage A Balance</t>
  </si>
  <si>
    <t>Mortgage B Balance</t>
  </si>
  <si>
    <t>Mortgage C Balance</t>
  </si>
  <si>
    <t>Other Source Balance</t>
  </si>
  <si>
    <t>DDF Balance</t>
  </si>
  <si>
    <t>PF_Yr11-20</t>
  </si>
  <si>
    <t>PF_Yr21-30</t>
  </si>
  <si>
    <t>Years 31 - 35</t>
  </si>
  <si>
    <t>PF_Yr31-35</t>
  </si>
  <si>
    <t>III.  Applicant Comments &amp; Clarifications</t>
  </si>
  <si>
    <t>IV.  DCA Comments</t>
  </si>
  <si>
    <t>APPLICANTS: Explain any any debt service payment amounts that deviate from the amount shown in Permanent Sources (Part III)</t>
  </si>
  <si>
    <t>Applicant Response</t>
  </si>
  <si>
    <t>DCA USE ONLY</t>
  </si>
  <si>
    <t>NOTE: This Application does not list all requirements of each Threshold section. 
It is the responsibility of the Applicant to review the QAP and ensure all applicable requirements are met.</t>
  </si>
  <si>
    <r>
      <t>FINAL THRESHOLD DETERMINATION</t>
    </r>
    <r>
      <rPr>
        <sz val="11"/>
        <rFont val="Arial"/>
        <family val="2"/>
      </rPr>
      <t xml:space="preserve"> (DCA Use Only)</t>
    </r>
  </si>
  <si>
    <t>DCA's Overall Comments / Approval Conditions:</t>
  </si>
  <si>
    <t xml:space="preserve">1.) </t>
  </si>
  <si>
    <t>2.)</t>
  </si>
  <si>
    <t>3.)</t>
  </si>
  <si>
    <t>4.)</t>
  </si>
  <si>
    <t>5.)</t>
  </si>
  <si>
    <t>6.)</t>
  </si>
  <si>
    <t>7.)</t>
  </si>
  <si>
    <t xml:space="preserve">8.) </t>
  </si>
  <si>
    <t>9.)</t>
  </si>
  <si>
    <t>10.)</t>
  </si>
  <si>
    <t>11.)</t>
  </si>
  <si>
    <t>12.)</t>
  </si>
  <si>
    <t>13.)</t>
  </si>
  <si>
    <t>14.)</t>
  </si>
  <si>
    <t>15.)</t>
  </si>
  <si>
    <t>PROJECT FEASIBILITY, VIABILITY ANALYSIS AND CONFORMANCE WITH PLAN</t>
  </si>
  <si>
    <t>Pass?</t>
  </si>
  <si>
    <t>Threshold Justification per Applicant:</t>
  </si>
  <si>
    <t>DCA's Comments:</t>
  </si>
  <si>
    <t>COST LIMITS</t>
  </si>
  <si>
    <t>Has this Application received a Waiver from DCA for criteria in this section?</t>
  </si>
  <si>
    <t>Applicant certifies that they will meet all requirements of the 2026-2027 QAP, II. Cost Limits section.</t>
  </si>
  <si>
    <t>Threshold Justification per Applicant</t>
  </si>
  <si>
    <t>TENANCY CHARACTERISTICS</t>
  </si>
  <si>
    <r>
      <t xml:space="preserve">Confirm that the </t>
    </r>
    <r>
      <rPr>
        <b/>
        <i/>
        <sz val="11"/>
        <rFont val="Arial"/>
        <family val="2"/>
      </rPr>
      <t>tenancy</t>
    </r>
    <r>
      <rPr>
        <sz val="11"/>
        <rFont val="Arial"/>
        <family val="2"/>
      </rPr>
      <t xml:space="preserve"> selected in Emphasys is correct: </t>
    </r>
  </si>
  <si>
    <t>SERVICES</t>
  </si>
  <si>
    <t>Applicant certifies that they will meet all requirements of the 2026-2027 QAP, III. Services.</t>
  </si>
  <si>
    <t>MARKET FEASIBILITY (MARKET STUDY)</t>
  </si>
  <si>
    <t>Provide the name of the market study analyst used by applicant:</t>
  </si>
  <si>
    <t>Overall Market Occupancy Rate:</t>
  </si>
  <si>
    <t>Overall Capture Rate for:</t>
  </si>
  <si>
    <t>Tax Credit units</t>
  </si>
  <si>
    <t>Market Rate units</t>
  </si>
  <si>
    <t>APPRAISALS</t>
  </si>
  <si>
    <t>Provide the name of the Appraiser, if an Appraisal is required:</t>
  </si>
  <si>
    <t>Is there is an identity of interest between the buyer and seller of the property?</t>
  </si>
  <si>
    <t>If an identity of interest exists between the buyer and seller, did seller purchase this property within the past five (5) years?</t>
  </si>
  <si>
    <t>ENVIRONMENTAL REQUIREMENTS</t>
  </si>
  <si>
    <t>Name of Company that prepared the Phase I Assessment in accordance with ASTM 1527-21:</t>
  </si>
  <si>
    <t>Is there an Identity of Interest between the Environmental Professional and anyone in Project Team?</t>
  </si>
  <si>
    <t>Is a current (issued within 6 months) Phase II Environmental Report included?</t>
  </si>
  <si>
    <t>Is the subject property located in any of the following:</t>
  </si>
  <si>
    <t>a. Brownfield</t>
  </si>
  <si>
    <t>b. 100 year flood plain / floodway</t>
  </si>
  <si>
    <t>If yes, will any development occur in the floodplain?</t>
  </si>
  <si>
    <t>c. Wetlands or State Waters</t>
  </si>
  <si>
    <t>If the environmental professional has identified any of the conditions describe under the 2026-2027 QAP, VI. Environmental Requirements, I. Additional Standards, please provide an explanation below:</t>
  </si>
  <si>
    <t>VIII.</t>
  </si>
  <si>
    <t>SITE CONTROL</t>
  </si>
  <si>
    <t>Form of site control:</t>
  </si>
  <si>
    <t>Name of Entity with site control:</t>
  </si>
  <si>
    <t>IX.</t>
  </si>
  <si>
    <t>SITE ACCESS</t>
  </si>
  <si>
    <t>X.</t>
  </si>
  <si>
    <t>SITE ZONING</t>
  </si>
  <si>
    <t>XI.</t>
  </si>
  <si>
    <t>OPERATING UTILITIES</t>
  </si>
  <si>
    <t>Enter applicable utility provider name:</t>
  </si>
  <si>
    <t>Gas:</t>
  </si>
  <si>
    <t>&lt;&lt;Enter Provider Name Here&gt;&gt;</t>
  </si>
  <si>
    <t>Electric:</t>
  </si>
  <si>
    <t>XII.</t>
  </si>
  <si>
    <t>PUBLIC WATER/SANITARY SEWER</t>
  </si>
  <si>
    <t>Enter applicable provider name:</t>
  </si>
  <si>
    <t>Public water:</t>
  </si>
  <si>
    <t>Sanitary sewer:</t>
  </si>
  <si>
    <t>XIII.</t>
  </si>
  <si>
    <t>REQUIRED AMENITIES</t>
  </si>
  <si>
    <t>Applicant certifies they will meet the requirements of the 2026-2027 QAP, XII. Required Amenities section and the 2026 Architectural Manual.</t>
  </si>
  <si>
    <r>
      <rPr>
        <b/>
        <sz val="11"/>
        <rFont val="Arial"/>
        <family val="2"/>
      </rPr>
      <t>Standard Site Amenities</t>
    </r>
    <r>
      <rPr>
        <sz val="11"/>
        <rFont val="Arial"/>
        <family val="2"/>
      </rPr>
      <t xml:space="preserve"> </t>
    </r>
    <r>
      <rPr>
        <i/>
        <sz val="11"/>
        <rFont val="Arial"/>
        <family val="2"/>
      </rPr>
      <t>(select type)</t>
    </r>
  </si>
  <si>
    <t>Community area (select either community room or community building):</t>
  </si>
  <si>
    <t>Accesible exterior gathering area (if "Other", explain in box provided below):</t>
  </si>
  <si>
    <t>If "Other Pre-Approved", explain here</t>
  </si>
  <si>
    <t>On site laundry facility type:</t>
  </si>
  <si>
    <r>
      <rPr>
        <b/>
        <sz val="11"/>
        <rFont val="Arial"/>
        <family val="2"/>
      </rPr>
      <t>Additional Site Amenities and Approvals</t>
    </r>
    <r>
      <rPr>
        <sz val="11"/>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</si>
  <si>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rFont val="Arial"/>
        <family val="2"/>
      </rPr>
      <t>Architectural Manual</t>
    </r>
    <r>
      <rPr>
        <sz val="11"/>
        <rFont val="Arial"/>
        <family val="2"/>
      </rPr>
      <t>, describe.</t>
    </r>
  </si>
  <si>
    <t>1)</t>
  </si>
  <si>
    <t>(Select an amenity from options provided here)</t>
  </si>
  <si>
    <t>2)</t>
  </si>
  <si>
    <t>3)</t>
  </si>
  <si>
    <t>4)</t>
  </si>
  <si>
    <t>XIV.</t>
  </si>
  <si>
    <t>REHABILITATION STANDARDS</t>
  </si>
  <si>
    <t>Type of rehab (choose one):</t>
  </si>
  <si>
    <t>Name of consultant preparing PNA:</t>
  </si>
  <si>
    <t>XV.</t>
  </si>
  <si>
    <t>SITE INFORMATION AND CONCEPTUAL SITE DEVELOPMENT PLAN</t>
  </si>
  <si>
    <t>XVI.</t>
  </si>
  <si>
    <t>BUILDING SUSTAINABILITY</t>
  </si>
  <si>
    <t>Sustainability Standards</t>
  </si>
  <si>
    <t>Applicant certifies that, at a minimum, all dwelling units will comply with the requirements of the 2026-2027 QAP, XV. Building Sustainability and the 2026 Architectural Manual.</t>
  </si>
  <si>
    <t>Sustainable Building Certification</t>
  </si>
  <si>
    <t>&lt;&lt; Select a Sustainable Development Certification &gt;&gt;</t>
  </si>
  <si>
    <t>XVII.</t>
  </si>
  <si>
    <t>ACCESSIBILITY STANDARDS</t>
  </si>
  <si>
    <t>Applicant certifies that they will meet all requirements of the 2026-2027 QAP, XVI. Accessibility Standards section and the 2026 Accessibility Manual.</t>
  </si>
  <si>
    <t>Minimum Standards</t>
  </si>
  <si>
    <r>
      <rPr>
        <sz val="11"/>
        <color rgb="FF000000"/>
        <rFont val="Arial"/>
      </rPr>
      <t xml:space="preserve">In accordance with the 2026 Accessibility Manual, the Mobility-Disabled and Hearing and Sight-Impaired Units commited to under XVI. Accessibility Standards, B. Mobility and Sensory-Impairments are </t>
    </r>
    <r>
      <rPr>
        <u/>
        <sz val="11"/>
        <color rgb="FF000000"/>
        <rFont val="Arial"/>
      </rPr>
      <t>in addition to</t>
    </r>
    <r>
      <rPr>
        <sz val="11"/>
        <color rgb="FF000000"/>
        <rFont val="Arial"/>
      </rPr>
      <t xml:space="preserve"> the accessible and adaptable units committed to Scoring VII. Integrated Supportive Housing, A. Supportive Housing Referrals. </t>
    </r>
  </si>
  <si>
    <t>Number of accessible and adaptable units committed to under Scoring VII. Integrated Supportive Housing, A. Supportive Housing Referrals.</t>
  </si>
  <si>
    <t>Minimum Required</t>
  </si>
  <si>
    <t>Mobility and Sensory Impairments</t>
  </si>
  <si>
    <t># of Units</t>
  </si>
  <si>
    <t>%</t>
  </si>
  <si>
    <t>Actual Nbr</t>
  </si>
  <si>
    <t>Number of Mobility Impaired units:</t>
  </si>
  <si>
    <t>of Total Units</t>
  </si>
  <si>
    <t>Number of Mobility Impaired units with curbless showers:</t>
  </si>
  <si>
    <t>of Mobility Impaired Units</t>
  </si>
  <si>
    <t>Number of total units equipped for hearing and sight-impaired residents:</t>
  </si>
  <si>
    <t>Qualified Consultant</t>
  </si>
  <si>
    <t>Name of DCA-qualified Consultant that will monitor the project for accessibility compliance:</t>
  </si>
  <si>
    <t>Is this Consultant a member of the proposed Project Team?</t>
  </si>
  <si>
    <t>Is there an Identity of Interest between this Consultant and anyone in the Project Team?</t>
  </si>
  <si>
    <t>XVIII.</t>
  </si>
  <si>
    <t>ARCHITECTURAL DESIGN &amp; QUALITY STANDARDS</t>
  </si>
  <si>
    <t>Applicant certifies they will meet the standards and requirements of the 2026-2027 QAP, XVIII. Architectural Design &amp; Quality Standards section and the 2026 Architectural Manual.</t>
  </si>
  <si>
    <t>Standard Design Options for All Projects</t>
  </si>
  <si>
    <t>Exterior Wall Finishes 
(Select one):</t>
  </si>
  <si>
    <t>&lt;&lt;Select exterior material /finish upgrade choice from options provided here&gt;&gt;</t>
  </si>
  <si>
    <t>Major Bldg Component Materials &amp; Upgrades (Select):</t>
  </si>
  <si>
    <t>&lt;&lt;Select materials&gt;&gt;</t>
  </si>
  <si>
    <t>Additional Design Options: If the applicant has pre-approval of additional design options not listed above, please indicate below:</t>
  </si>
  <si>
    <t>XIX.</t>
  </si>
  <si>
    <t>PROJECT TEAM QUALIFICATIONS</t>
  </si>
  <si>
    <t xml:space="preserve">Did the Certifying Entity meet the Experience requirements in 2025? </t>
  </si>
  <si>
    <t>Did the Project Team receive a 2026 Project Team Qualification Determination letter from DCA?</t>
  </si>
  <si>
    <t>Has there been any change in the Project Team since this 2026 Qualification Determination submission?</t>
  </si>
  <si>
    <t>Did the Project Team receive a waiver or a waiver renewal for a Significant Adverse Event during the 2026 Qualification Determination review?</t>
  </si>
  <si>
    <t>DCA's 2026 Determination of Project Team's Qualification indicated a status of (select one):</t>
  </si>
  <si>
    <t>DCA Final Determination:</t>
  </si>
  <si>
    <t>XX.</t>
  </si>
  <si>
    <t>ELIGIBILITY FOR CREDIT UNDER THE PRESERVATION SET-ASIDE</t>
  </si>
  <si>
    <t>Applicant certifies that the seller did not, or will not, receive any operating, maintenance, or other reserve funds as a result of or concurrent with the sale of the asset.</t>
  </si>
  <si>
    <t xml:space="preserve">USDA Rural Rental Housing Loan (Section 515) Set Aside: </t>
  </si>
  <si>
    <t>9% Credit Applications:</t>
  </si>
  <si>
    <t>The Application proposes USDA-administered Project-based Rental Assistance that supports at least 50% of units in the proposed development.</t>
  </si>
  <si>
    <t>4% Credit/Bonds
Portfolio Applications:</t>
  </si>
  <si>
    <t>The Application proposes Preservation of at least three hundred (300) units.</t>
  </si>
  <si>
    <r>
      <rPr>
        <b/>
        <sz val="11"/>
        <rFont val="Arial"/>
        <family val="2"/>
      </rPr>
      <t>RAD Set Aside</t>
    </r>
    <r>
      <rPr>
        <sz val="11"/>
        <rFont val="Arial"/>
        <family val="2"/>
      </rPr>
      <t xml:space="preserve">: HUD has provided initial approval for a RAD conversion for the proposed development and at least </t>
    </r>
    <r>
      <rPr>
        <b/>
        <sz val="11"/>
        <color rgb="FFFF0000"/>
        <rFont val="Arial"/>
        <family val="2"/>
      </rPr>
      <t>50%</t>
    </r>
    <r>
      <rPr>
        <sz val="11"/>
        <rFont val="Arial"/>
        <family val="2"/>
      </rPr>
      <t xml:space="preserve"> of units in the proposed development will maintain existing Project-based Rental Assistance or project-based operating subsidies through a program administered by HUD.</t>
    </r>
  </si>
  <si>
    <r>
      <rPr>
        <b/>
        <sz val="11"/>
        <rFont val="Arial"/>
        <family val="2"/>
      </rPr>
      <t>Housing Tax Credit Set Aside</t>
    </r>
    <r>
      <rPr>
        <sz val="11"/>
        <rFont val="Arial"/>
        <family val="2"/>
      </rPr>
      <t>:</t>
    </r>
  </si>
  <si>
    <r>
      <t xml:space="preserve">At least </t>
    </r>
    <r>
      <rPr>
        <b/>
        <sz val="11"/>
        <color rgb="FFFF0000"/>
        <rFont val="Arial"/>
        <family val="2"/>
      </rPr>
      <t>50%</t>
    </r>
    <r>
      <rPr>
        <sz val="11"/>
        <rFont val="Arial"/>
        <family val="2"/>
      </rPr>
      <t xml:space="preserve"> of units in the proposed development are restricted under a LURC.</t>
    </r>
  </si>
  <si>
    <r>
      <rPr>
        <b/>
        <sz val="11"/>
        <rFont val="Arial"/>
        <family val="2"/>
      </rPr>
      <t>HUD Rental Assistance Set Aside</t>
    </r>
    <r>
      <rPr>
        <sz val="11"/>
        <rFont val="Arial"/>
        <family val="2"/>
      </rPr>
      <t xml:space="preserve">: Proposed development is not seeking to undergo a RAD conversion and at least </t>
    </r>
    <r>
      <rPr>
        <b/>
        <sz val="11"/>
        <color rgb="FFFF0000"/>
        <rFont val="Arial"/>
        <family val="2"/>
      </rPr>
      <t>50%</t>
    </r>
    <r>
      <rPr>
        <sz val="11"/>
        <rFont val="Arial"/>
        <family val="2"/>
      </rPr>
      <t xml:space="preserve"> of units in the proposed development will maintain existing project-based rental assistance administered by HUD or a PHA.</t>
    </r>
  </si>
  <si>
    <t>XXI.</t>
  </si>
  <si>
    <t>ELIGIBILITY FOR CREDIT UNDER THE NONPROFIT SET-ASIDE</t>
  </si>
  <si>
    <t>Name of Qualified Nonprofit:</t>
  </si>
  <si>
    <t>Nonprofit's Website:</t>
  </si>
  <si>
    <t>Applicant certifies that the Application meets all requirements listed in the 2026-2027 QAP, XX. Eligibility for Credit Under the Non-Profit Set Aside to be eligible for the non-profit set aside.</t>
  </si>
  <si>
    <t>XXII.</t>
  </si>
  <si>
    <t>REQUIRED LEGAL OPINIONS</t>
  </si>
  <si>
    <t>State legal opinions included in application using boxes provided.</t>
  </si>
  <si>
    <t>Credit Eligibility for Acquisition</t>
  </si>
  <si>
    <t>Credit Eligibility for Assisted Living Facility</t>
  </si>
  <si>
    <t>XXIII.</t>
  </si>
  <si>
    <t>OCCUPIED DEVELOPMENTS</t>
  </si>
  <si>
    <t>Is there an Identity of Interest between the Relocation Specialist and anyone in Project Team?</t>
  </si>
  <si>
    <t>Does the Applicant anticipate displacing or relocating any tenants?</t>
  </si>
  <si>
    <t xml:space="preserve">Are any of the other sources (not DCA HOME or NHTF) considered to be Federal Funding? </t>
  </si>
  <si>
    <t>Has the Application received a waiver or approval of permanent displacement and/or temporary relocation during the 2026 Determination review?</t>
  </si>
  <si>
    <t>XXIV.</t>
  </si>
  <si>
    <t>AFFIRMATIVELY FURTHERING FAIR HOUSING (AFFH)</t>
  </si>
  <si>
    <t>If selected, Applicant agrees to prepare and submit (prior to the start of lease-up) an AFFH Marketing plan that includes all of the items required under the 2026-2027 QAP, XXIII. Affirmatively Furthering Fair Housing.</t>
  </si>
  <si>
    <t>If selected, Applicant agrees to provide reasonable accommodation for these residents in the Property Management’s tenant application.  Leasing criteria will clearly facilitate admission and inclusion of targeted population residents and will not violate federal or state fair housing laws.</t>
  </si>
  <si>
    <t>XXV.</t>
  </si>
  <si>
    <t>SUPPORTIVE HOUSING REQUIREMENTS</t>
  </si>
  <si>
    <t>Housing Opportunities for Persons with Disabilities</t>
  </si>
  <si>
    <t>Applicant agrees that the proposed development meets all requirements under the 2026-2027 QAP, XXIV. Supportive Housing Requirements, A. Housing Opportunities for Persons with Disabilities.</t>
  </si>
  <si>
    <t>Operational Requirements</t>
  </si>
  <si>
    <t>Applicant certifies that Property Management and Owner will comply with all requirements under the 2026-2027 QAP, XXIV. Supportive Housing Requirements, B. Operational Requirements.</t>
  </si>
  <si>
    <t>XXVI.</t>
  </si>
  <si>
    <t>TENANT SELECTION</t>
  </si>
  <si>
    <t>Applicant certifies they will meet the requirements of the 2026-2027 QAP, XXV. Tenant Selection section and the 2026 Compliance Manual.</t>
  </si>
  <si>
    <t>XXVII.</t>
  </si>
  <si>
    <t>DCA PBRA AGREEMENT</t>
  </si>
  <si>
    <t>Applicant certifies they will meet the requirements of the XXVI. DCA PBRA Agreement section.</t>
  </si>
  <si>
    <t>The Applicant commits to accept DCA-administered Project-based Rental Assistance for units at the proposed development if funding is available. The property will not be required to accept rental assistance contracts for more than 20% of property units.</t>
  </si>
  <si>
    <t>XXVIII.</t>
  </si>
  <si>
    <t>WAIVER OF QUALIFIED CONTRACT RIGHT</t>
  </si>
  <si>
    <t>Applicant certifies they will meet the requirements of the XXVIII. Waiver of Qualified Contract Right section.</t>
  </si>
  <si>
    <t>XXIX.</t>
  </si>
  <si>
    <t>OPTIMAL UTILIZATION OF RESOURCES</t>
  </si>
  <si>
    <t>Equipped Computer Center</t>
  </si>
  <si>
    <t>Certifying General Partner</t>
  </si>
  <si>
    <t>Construction of on-site access road req'd for property access</t>
  </si>
  <si>
    <t>Equipped Playground</t>
  </si>
  <si>
    <t>Certifying Developer</t>
  </si>
  <si>
    <t>Construction of off-site access road req'd for property access</t>
  </si>
  <si>
    <t>Equipped soccer field</t>
  </si>
  <si>
    <t>Certifying GP/Developer</t>
  </si>
  <si>
    <t>Development of parks on a master plan development site</t>
  </si>
  <si>
    <t>Equipped walking path w/exercise stations or sitting areas</t>
  </si>
  <si>
    <t>Certifying Principal</t>
  </si>
  <si>
    <t>Development of green space on a master plan development site</t>
  </si>
  <si>
    <t>Furnished Exercise/Fitness Center</t>
  </si>
  <si>
    <t>Incomplete</t>
  </si>
  <si>
    <t>Development of walking trails on a master plan development site</t>
  </si>
  <si>
    <t>Furnished Library</t>
  </si>
  <si>
    <t>Probationary Certifying GP</t>
  </si>
  <si>
    <t>Development of YMCA center</t>
  </si>
  <si>
    <t>Movie Theater</t>
  </si>
  <si>
    <t>Probationary Certifying Developer</t>
  </si>
  <si>
    <t>Development of youth center</t>
  </si>
  <si>
    <t>Putting Green</t>
  </si>
  <si>
    <t>Probationary Certifying GP/Dev</t>
  </si>
  <si>
    <t>Development of senior center</t>
  </si>
  <si>
    <t>Shuffleboard Court</t>
  </si>
  <si>
    <t>Not Qualified Partnering</t>
  </si>
  <si>
    <t>Construction of sidewalks adjacent to the property</t>
  </si>
  <si>
    <t>Swimming Pool</t>
  </si>
  <si>
    <t>Construction of streetscape adjacent to the property</t>
  </si>
  <si>
    <t>Tennis court</t>
  </si>
  <si>
    <t>Construction of sidewalks and streetscape adjacent to the property</t>
  </si>
  <si>
    <t>Wellness Center</t>
  </si>
  <si>
    <t>Qualified</t>
  </si>
  <si>
    <t>Other (See comments)</t>
  </si>
  <si>
    <t>Qualified with Conditions</t>
  </si>
  <si>
    <t>Qualified as Probationary</t>
  </si>
  <si>
    <t>Not Qualified</t>
  </si>
  <si>
    <t>Energy Standards</t>
  </si>
  <si>
    <t>(Select an energy standard from options provided here)</t>
  </si>
  <si>
    <t>EPA Energy Star Program construction and certification:</t>
  </si>
  <si>
    <t>Southface Energy Institute's Earth Craft House construction and certification</t>
  </si>
  <si>
    <t>US Green Building Council's LEED For Homes construction and certification</t>
  </si>
  <si>
    <t>Enterprise Foundation's Green Communities standard of construction and certification</t>
  </si>
  <si>
    <t>Locate HVAC ductwork in conditioned spaces</t>
  </si>
  <si>
    <t>Exterior envelope wall systems, including the rim (band) joist spaces, to be insulated</t>
  </si>
  <si>
    <t>Attic insulation to R-38</t>
  </si>
  <si>
    <t xml:space="preserve">ARI rated furnace (90% AFUE) or heat pump (HSPF 8.0 for both HP 2 ton and HP 1.5 ton units) </t>
  </si>
  <si>
    <t>ARI rated SEER 14 cooling equipment with sensible heat ratio less than 0.75</t>
  </si>
  <si>
    <t>Installation of at least two plumbing fixture types having lower flow rates than NEPA standards</t>
  </si>
  <si>
    <t>Installation of Energy star “Advanced Lighting Package” throughout the property</t>
  </si>
  <si>
    <t>HVAC system designed for controlled introduction of outside air per ASHRAE 62.2</t>
  </si>
  <si>
    <t>Installation of common area lighting with Energy star rating and controlled with either photocells or timers</t>
  </si>
  <si>
    <t>Combustion equipment isolated in a sealed combustion closet that is vented from outside building envelope</t>
  </si>
  <si>
    <t>Kitchen range hood ventilation to be ducted to the exterior and equipped with a damper</t>
  </si>
  <si>
    <t>Major Bldg Component Materials &amp; Upgrades</t>
  </si>
  <si>
    <t>Energy star ceiling fans in living rooms, sunrooms and all bedrooms</t>
  </si>
  <si>
    <t xml:space="preserve">Energy star bath exhaust fan with timer and humidistat control </t>
  </si>
  <si>
    <t xml:space="preserve">Fiber cement siding or other thirty year warranty product installed on all exterior wall surfaces not already required to be brick </t>
  </si>
  <si>
    <t>Front Loading washers in Community Laundry</t>
  </si>
  <si>
    <t>Upgraded "architectural dimensional" shingles, or roofing materials  (warranty 40 years or greater)</t>
  </si>
  <si>
    <t>Landscaping and Site Design Features</t>
  </si>
  <si>
    <t>Exterior Wall Finishes and Major Building Component Materials and Upgrades</t>
  </si>
  <si>
    <t>&lt;&lt;Select landscaping or site design feature&gt;&gt;</t>
  </si>
  <si>
    <t>Preservation of existing trees and vegetation</t>
  </si>
  <si>
    <t>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t>
  </si>
  <si>
    <t>Substantial replanting of trees and integrated vegetation</t>
  </si>
  <si>
    <t>Rehab of bldgs eligible for historic credits will maintain &amp; if necessary replace with matching materials, the existing or original exterior finish surfaces including front wall face, rear wall face and both side wall faces.</t>
  </si>
  <si>
    <t>Site entry w/ permanent, illuminated entry sign and decorative fence</t>
  </si>
  <si>
    <t>Rehab of bldgs w/out existing brick/stone over 30% (&amp; ineligible for historic credits) will replace &amp; upgrade existing exterior finish surfaces on all wall faces (front, back, both side faces) w/brick or product w/ thity yr warranty. N/Ap to interior wall faces of open breezeways.</t>
  </si>
  <si>
    <t>Freestanding shelters</t>
  </si>
  <si>
    <t>For single family units, the total building envelope must have 30% minimum brick coverage; remaining 70% will be fiber cement siding or other forty-year warranty product.</t>
  </si>
  <si>
    <t>Attractive Features</t>
  </si>
  <si>
    <t>&lt;&lt;Select attractive features&gt;&gt;</t>
  </si>
  <si>
    <t>Recreation of existing or missing known historic decorative elements</t>
  </si>
  <si>
    <t>Addition of decorative elements</t>
  </si>
  <si>
    <t>Addition of or the redesign of existing covered entries</t>
  </si>
  <si>
    <t>Addition of new or redesign of existing durable attractive stair and railing elements</t>
  </si>
  <si>
    <t>Unit Amenities</t>
  </si>
  <si>
    <t>Additional Site Amenities</t>
  </si>
  <si>
    <t>Microwave Oven in every unit</t>
  </si>
  <si>
    <t>Fenced community gardens</t>
  </si>
  <si>
    <t>In-sink disposal in every unit</t>
  </si>
  <si>
    <t>Equipped walking path w/sitting areas</t>
  </si>
  <si>
    <t>Built in dishwasher in every unit</t>
  </si>
  <si>
    <t>Equipped playground</t>
  </si>
  <si>
    <t>Washer/dryer hookups in all units in addition to required central laundry</t>
  </si>
  <si>
    <t xml:space="preserve">Covered pavilion with picnic/BBQ facilities </t>
  </si>
  <si>
    <t>Washers and dryers are installed and maintained in every unit at no additional cost to tenants</t>
  </si>
  <si>
    <t xml:space="preserve">Furnished Arts &amp; Craft /Activity Center </t>
  </si>
  <si>
    <t>Installed call system in all units, including a buzzer and light to the exterior (basic amenity for senior projects)</t>
  </si>
  <si>
    <t xml:space="preserve">Equipped Computer Center and WiFi </t>
  </si>
  <si>
    <t>High-speed internet access (see QAP requirements)</t>
  </si>
  <si>
    <t>Furnished Exercise /Fitness Center</t>
  </si>
  <si>
    <t>Other DCA Pre-Approved Amenity</t>
  </si>
  <si>
    <t>Earth Craft House Multifamily</t>
  </si>
  <si>
    <t>Earth Craft House</t>
  </si>
  <si>
    <t>Earth Craft House Single Family</t>
  </si>
  <si>
    <t>Additional Requirements and Amenities for Senior projects</t>
  </si>
  <si>
    <t>Earth Craft House Renovation</t>
  </si>
  <si>
    <t>Earth Craft Sustainable Preservation</t>
  </si>
  <si>
    <t>Enterprise Foundation Green Communities</t>
  </si>
  <si>
    <t>LEED for Homes - Single Family Detached</t>
  </si>
  <si>
    <t>LEED for Homes - Multifamily Low-Rise</t>
  </si>
  <si>
    <t>LEED for Homes - Multifamily Mid-Rise</t>
  </si>
  <si>
    <t>HIRL NGBS - Min Bronze level of ICC-700</t>
  </si>
  <si>
    <t>Green Building Initiative's Green Globes</t>
  </si>
  <si>
    <t>NOTE: This Application does not list all requirements of each Scoring section. The Applicant is responsible for reviewing the QAP to ensure all applicable requirements are met.</t>
  </si>
  <si>
    <t>Max</t>
  </si>
  <si>
    <t>Self</t>
  </si>
  <si>
    <t>DCA</t>
  </si>
  <si>
    <t>Score</t>
  </si>
  <si>
    <t>TOTALS:</t>
  </si>
  <si>
    <t>Problem with Score Total?  See note by Score Total at end.</t>
  </si>
  <si>
    <t>APPLICABILITY OF SCORING CRITERIA</t>
  </si>
  <si>
    <t>IIB. 4% Site Characteristics Points</t>
  </si>
  <si>
    <t>Applicant</t>
  </si>
  <si>
    <t>Activity Type for 
Scoring Purposes</t>
  </si>
  <si>
    <t>&lt;&lt; Select Activity Type &gt;&gt;</t>
  </si>
  <si>
    <t>Geographic Pool</t>
  </si>
  <si>
    <t>&lt;&lt; Select Pool &gt;&gt;</t>
  </si>
  <si>
    <t>Credit Type</t>
  </si>
  <si>
    <t>New Afforability Scoring Track</t>
  </si>
  <si>
    <t>&lt;&lt; Select Scoring Track &gt;&gt;</t>
  </si>
  <si>
    <t>Preservation
Set Aside</t>
  </si>
  <si>
    <t>&lt;&lt; Select Set Aside &gt;&gt;</t>
  </si>
  <si>
    <t>Points Eligibility:</t>
  </si>
  <si>
    <t>If the Preservation or New Affordability Housing Needs Characteristics track is selected, points claimed under the QAP sections listed within Preservation Scoring Criteria, E. Site Characteristics or Housing Needs Characteristics, B. Stable Communities and Revitalization Characteristics, will be applied within the Preservation Scoring Criteria or the Housing Needs Characteristics section rather than the section from which the points derive. Points will be limited to the Maximum Points allowed per the QAP.</t>
  </si>
  <si>
    <t>EXTENDED AFFORDABILITY COMMITMENT</t>
  </si>
  <si>
    <t>Up to:</t>
  </si>
  <si>
    <t>X</t>
  </si>
  <si>
    <t>Previous Qualified Contract Requests</t>
  </si>
  <si>
    <t>Project Team does not contain a Principal who has been a Principal in an ownership entity that has requested a Qualified Contract in Georgia on or after May 20, 2025.</t>
  </si>
  <si>
    <t>Resident Ownership</t>
  </si>
  <si>
    <t>Owner commits to submit a plan for resident ownership at the end of the fifteen-year Compliance Period.</t>
  </si>
  <si>
    <r>
      <t xml:space="preserve">Right of First Refusal </t>
    </r>
    <r>
      <rPr>
        <sz val="11"/>
        <rFont val="Arial"/>
        <family val="2"/>
      </rPr>
      <t>(ROFR)</t>
    </r>
  </si>
  <si>
    <t>Applicant commits to (select one):</t>
  </si>
  <si>
    <t>comply with the ROFR provisions in (Threshold) Eligibility for Credit Under the Non-Profit Set Aside</t>
  </si>
  <si>
    <t>provide a ROFR comparable to the above to a PHA co-owner</t>
  </si>
  <si>
    <t>Name of qualified non-profit general partner or PHA co-owner (if commiting to C1 or C2):</t>
  </si>
  <si>
    <t>abide by the DCA Right of First Refusal Process included as Exhibit A to Scoring Criteria</t>
  </si>
  <si>
    <t>FAVORABLE FINANCING</t>
  </si>
  <si>
    <t>Qualifying Sources for Favorable Financing</t>
  </si>
  <si>
    <t>Applicant certifies that, with the exception of PHAs, no Project Participant or affiliate will guarantee, fund, advance, or otherwise provide direct or indirect funding for the purpose of this Application claiming points in this category.</t>
  </si>
  <si>
    <t>Amount</t>
  </si>
  <si>
    <t>Federal Home Loan Bank Affordable Housing Program (AHP)</t>
  </si>
  <si>
    <t>Replacement Housing Factor Funds or other HUD PHI fund</t>
  </si>
  <si>
    <t>HOME Funds</t>
  </si>
  <si>
    <t>HOME-ARP Funds</t>
  </si>
  <si>
    <t>Beltline Grant/Loan</t>
  </si>
  <si>
    <t>Historic tax credit proceeds</t>
  </si>
  <si>
    <t xml:space="preserve">Community Development Block Grant (CDBG) program funds </t>
  </si>
  <si>
    <t>Special Purpose Local Option Sales Tax (SPLOST) funds</t>
  </si>
  <si>
    <t>National Housing Trust Fund</t>
  </si>
  <si>
    <t>10.</t>
  </si>
  <si>
    <t>Foundation grants, or loans based from grant proceeds</t>
  </si>
  <si>
    <t>11.</t>
  </si>
  <si>
    <t>Other Federal, State, or local grant funds or loans</t>
  </si>
  <si>
    <t>Total Qualifying Sources (TQS):</t>
  </si>
  <si>
    <t>Points by Qualifying Sources Amount</t>
  </si>
  <si>
    <t>Min</t>
  </si>
  <si>
    <t>Point Scale</t>
  </si>
  <si>
    <t xml:space="preserve">     Total Units</t>
  </si>
  <si>
    <t>Total funding amount</t>
  </si>
  <si>
    <t xml:space="preserve">     TQS per Unit</t>
  </si>
  <si>
    <t>Amount per unit</t>
  </si>
  <si>
    <t>Points as suggested by total funding amount:</t>
  </si>
  <si>
    <t>Points if financing is NHTF or HOME-ARP</t>
  </si>
  <si>
    <t xml:space="preserve">     Points as suggested by TQS per Unit:</t>
  </si>
  <si>
    <t>Points for all other qualifying sources</t>
  </si>
  <si>
    <t>Property Cost Reduction</t>
  </si>
  <si>
    <t>Applicants may choose one of the below options.</t>
  </si>
  <si>
    <t>(Up to)</t>
  </si>
  <si>
    <t>Private Enterprise Agreement</t>
  </si>
  <si>
    <t>A Private Enterprise Agreement will reduce property taxes (for this development).</t>
  </si>
  <si>
    <t>Long-term Ground Lease or Land Donation</t>
  </si>
  <si>
    <t>Ground Lease: Application receives a long-term ground lease of no less than forty-five years from a local PHA, government entity, community land trust, or entity that is not a Related Party, for no more than $100 per year and no other land costs.</t>
  </si>
  <si>
    <t>Land Donation: The land that will contain the proposed property is owned by a local PHA, government entity, community land trust, or entity that is not a Related Party as of Competitive Application deadline and shows no more than $5,000 in the cost line-items for land and buildings.</t>
  </si>
  <si>
    <r>
      <t>Applicant Comments/Justification</t>
    </r>
    <r>
      <rPr>
        <i/>
        <sz val="8"/>
        <rFont val="Arial"/>
        <family val="2"/>
      </rPr>
      <t xml:space="preserve"> </t>
    </r>
    <r>
      <rPr>
        <sz val="9"/>
        <rFont val="Arial"/>
        <family val="2"/>
      </rPr>
      <t>(Optional but recommended)</t>
    </r>
  </si>
  <si>
    <t>COMPLIANCE PERFORMANCE</t>
  </si>
  <si>
    <t>Base Score</t>
  </si>
  <si>
    <t>Calculation of Point Deductions</t>
  </si>
  <si>
    <t>Significant Adverse Events (SAE)</t>
  </si>
  <si>
    <t>Adverse Circumstances (AC)</t>
  </si>
  <si>
    <t>Calculation of Point Additions</t>
  </si>
  <si>
    <t>Minimum Documentation missing (explain below)?</t>
  </si>
  <si>
    <t>INTEGRATED SUPPORTIVE HOUSING</t>
  </si>
  <si>
    <t>Applicants may choose either A or B.</t>
  </si>
  <si>
    <t>Supportive Housing Referrals</t>
  </si>
  <si>
    <t>Applicant commits to meet the requirements of VII. Integrated Supportive Housing, A. Supportive Housing Referrals, and claims points under the following option (Applicants may choose either option 1 or option 2):</t>
  </si>
  <si>
    <t>Referrals without Project-based Rental Assistance Contract</t>
  </si>
  <si>
    <t>Referrals with Project-based Rental Assistance Contract</t>
  </si>
  <si>
    <t>% of Total Units</t>
  </si>
  <si>
    <t>Number of units reserved for referrals (applicable to both options 1 and 2 above):</t>
  </si>
  <si>
    <t>Actual Nbr:</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</si>
  <si>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rFont val="Arial"/>
        <family val="2"/>
      </rPr>
      <t>in addition to</t>
    </r>
    <r>
      <rPr>
        <sz val="11"/>
        <rFont val="Arial"/>
        <family val="2"/>
      </rPr>
      <t xml:space="preserve"> the units required underThreshold XVI. Accessibility Standards.</t>
    </r>
  </si>
  <si>
    <t>Tenant Selection Preference</t>
  </si>
  <si>
    <t>DCA PBRA Commitments: Prior Performance</t>
  </si>
  <si>
    <t>Applicants may claim points in C alone or in addition to either A or B.</t>
  </si>
  <si>
    <t>Deductions</t>
  </si>
  <si>
    <t>READINESS TO PROCEED</t>
  </si>
  <si>
    <t>Documents submitted or N/A:</t>
  </si>
  <si>
    <t>Bond inducement resolution (4% Credits/Bonds Applications Only)</t>
  </si>
  <si>
    <t>All Minimum Threshold Documentation listed under the following Threshold sections:</t>
  </si>
  <si>
    <t>Both of the following:</t>
  </si>
  <si>
    <t>Site Control</t>
  </si>
  <si>
    <t>Site Zoning</t>
  </si>
  <si>
    <t>Public Water/Sanitary Sewer</t>
  </si>
  <si>
    <t>Operating Utilities</t>
  </si>
  <si>
    <t>Site Information and Conceptual Site Development Plan</t>
  </si>
  <si>
    <t>The following documents:</t>
  </si>
  <si>
    <t>Preliminary financing commitments</t>
  </si>
  <si>
    <t>Phase 1 Environmental Site Assessment</t>
  </si>
  <si>
    <t>Estimate of development costs from a General Contractor</t>
  </si>
  <si>
    <t>Market study</t>
  </si>
  <si>
    <t>Physical Needs Assessment</t>
  </si>
  <si>
    <t>9% Credit Apps may claim pts under A or B. 
 4% Credits/Bonds Apps only eligible to claim pts under B.</t>
  </si>
  <si>
    <t>DEEPER TARGETING / RENT / INCOME RESTRICTIONS</t>
  </si>
  <si>
    <t>Deeper Targeting through Rent Restrictions</t>
  </si>
  <si>
    <t>Income Averaging</t>
  </si>
  <si>
    <t>Overall Project % of AMI</t>
  </si>
  <si>
    <t>40% at 60% Minimum Set-asides and Targeting Units at Lower Levels</t>
  </si>
  <si>
    <t>Deeper Targeting through PBRA Contracts</t>
  </si>
  <si>
    <t>% of residential units with PBRA:</t>
  </si>
  <si>
    <t>HCV AND PHA NOTICES</t>
  </si>
  <si>
    <t>Applicant commits to meet all requirements listed under this QAP section.</t>
  </si>
  <si>
    <t>DESIRABLE AND UNDESIRABLE ACTIVITIES</t>
  </si>
  <si>
    <t>Desirable Activities</t>
  </si>
  <si>
    <t xml:space="preserve">Undesirable/Inefficient Site Activities/Characteristics   </t>
  </si>
  <si>
    <t>various</t>
  </si>
  <si>
    <t>COMMUNITY TRANSPORTATION OPTIONS</t>
  </si>
  <si>
    <t>Geo Coordinates (##.######) for:</t>
  </si>
  <si>
    <t>Latitude:</t>
  </si>
  <si>
    <t>Longitude:</t>
  </si>
  <si>
    <t>Walking Distance (miles)</t>
  </si>
  <si>
    <t>Pedestrian Site Entrance:</t>
  </si>
  <si>
    <t>Proposed Transit Hub/Stop:</t>
  </si>
  <si>
    <t>Transit Agency/Service:  Name</t>
  </si>
  <si>
    <t>Phone #</t>
  </si>
  <si>
    <t>Email</t>
  </si>
  <si>
    <t>Website URL</t>
  </si>
  <si>
    <t>Transit-Oriented Development</t>
  </si>
  <si>
    <t>Walking dist (mi)</t>
  </si>
  <si>
    <t>Points</t>
  </si>
  <si>
    <r>
      <rPr>
        <b/>
        <i/>
        <sz val="11"/>
        <rFont val="Arial"/>
        <family val="2"/>
      </rPr>
      <t>Metro</t>
    </r>
    <r>
      <rPr>
        <sz val="11"/>
        <rFont val="Arial"/>
        <family val="2"/>
      </rPr>
      <t xml:space="preserve"> Pool Applications proposing a site </t>
    </r>
    <r>
      <rPr>
        <u/>
        <sz val="11"/>
        <rFont val="Arial"/>
        <family val="2"/>
      </rPr>
      <t>owned</t>
    </r>
    <r>
      <rPr>
        <sz val="11"/>
        <rFont val="Arial"/>
        <family val="2"/>
      </rPr>
      <t xml:space="preserve"> by a public or local transit agency which has been strategically targeted by the agency to create housing with on-site or adjacent access to a transit hub.</t>
    </r>
  </si>
  <si>
    <t>A2.</t>
  </si>
  <si>
    <r>
      <rPr>
        <b/>
        <i/>
        <sz val="11"/>
        <rFont val="Arial"/>
        <family val="2"/>
      </rPr>
      <t>Metro</t>
    </r>
    <r>
      <rPr>
        <sz val="11"/>
        <rFont val="Arial"/>
        <family val="2"/>
      </rPr>
      <t xml:space="preserve"> Pool Applications that propose a site within walking distance of a transit hub.</t>
    </r>
  </si>
  <si>
    <t>Access to Public Transportation</t>
  </si>
  <si>
    <r>
      <rPr>
        <b/>
        <i/>
        <sz val="11"/>
        <rFont val="Arial"/>
        <family val="2"/>
      </rPr>
      <t xml:space="preserve">Metro </t>
    </r>
    <r>
      <rPr>
        <sz val="11"/>
        <rFont val="Arial"/>
        <family val="2"/>
      </rPr>
      <t>Pool</t>
    </r>
    <r>
      <rPr>
        <b/>
        <i/>
        <sz val="11"/>
        <rFont val="Arial"/>
        <family val="2"/>
      </rPr>
      <t xml:space="preserve"> </t>
    </r>
    <r>
      <rPr>
        <sz val="11"/>
        <rFont val="Arial"/>
        <family val="2"/>
      </rPr>
      <t>Applications that propose a site within walking distance of a public transportation stop.</t>
    </r>
  </si>
  <si>
    <t>B1.</t>
  </si>
  <si>
    <r>
      <rPr>
        <b/>
        <i/>
        <sz val="11"/>
        <rFont val="Arial"/>
        <family val="2"/>
      </rPr>
      <t xml:space="preserve">Other Metro </t>
    </r>
    <r>
      <rPr>
        <sz val="11"/>
        <rFont val="Arial"/>
        <family val="2"/>
      </rPr>
      <t>Pool</t>
    </r>
    <r>
      <rPr>
        <b/>
        <i/>
        <sz val="11"/>
        <rFont val="Arial"/>
        <family val="2"/>
      </rPr>
      <t xml:space="preserve"> </t>
    </r>
    <r>
      <rPr>
        <sz val="11"/>
        <rFont val="Arial"/>
        <family val="2"/>
      </rPr>
      <t>Applications for which a publicly operated/sponsored on-call transportation service is available on-site.</t>
    </r>
  </si>
  <si>
    <r>
      <rPr>
        <b/>
        <i/>
        <sz val="11"/>
        <rFont val="Arial"/>
        <family val="2"/>
      </rPr>
      <t xml:space="preserve">Rural </t>
    </r>
    <r>
      <rPr>
        <sz val="11"/>
        <rFont val="Arial"/>
        <family val="2"/>
      </rPr>
      <t>Pool Applications demonstrating that a publicly operated/sponsored transit service that exists at the time of Application Submission will provide a reliable and available transportation option to all residents.</t>
    </r>
  </si>
  <si>
    <t>QUALITY EDUCATION AREAS</t>
  </si>
  <si>
    <t># Grades
Served</t>
  </si>
  <si>
    <r>
      <rPr>
        <b/>
        <sz val="10"/>
        <rFont val="Arial"/>
        <family val="2"/>
      </rPr>
      <t>A)</t>
    </r>
    <r>
      <rPr>
        <sz val="10"/>
        <rFont val="Arial"/>
        <family val="2"/>
      </rPr>
      <t xml:space="preserve"> Average of College and Career Readiness Performance Index (CCRPI) scores posted since the 2023 CCRPI update are above 50th percentile?</t>
    </r>
  </si>
  <si>
    <r>
      <rPr>
        <b/>
        <sz val="10"/>
        <rFont val="Arial"/>
        <family val="2"/>
      </rPr>
      <t>B)</t>
    </r>
    <r>
      <rPr>
        <sz val="10"/>
        <rFont val="Arial"/>
        <family val="2"/>
      </rPr>
      <t xml:space="preserve">  School Receives 2024 or later “Beating the Odds” Designation?</t>
    </r>
  </si>
  <si>
    <t>Check All Grades Served</t>
  </si>
  <si>
    <t>Cluster(s)</t>
  </si>
  <si>
    <t>System ID</t>
  </si>
  <si>
    <t>School ID</t>
  </si>
  <si>
    <t>System Name</t>
  </si>
  <si>
    <t>School Name</t>
  </si>
  <si>
    <t>K</t>
  </si>
  <si>
    <t>E</t>
  </si>
  <si>
    <t>M</t>
  </si>
  <si>
    <t>H</t>
  </si>
  <si>
    <t>REVITALIZATION/REDEVELOPMENT PLANS</t>
  </si>
  <si>
    <t>New Affordability Scoring Track Chosen:</t>
  </si>
  <si>
    <r>
      <rPr>
        <b/>
        <sz val="11"/>
        <rFont val="Arial"/>
        <family val="2"/>
      </rPr>
      <t>Requirements</t>
    </r>
    <r>
      <rPr>
        <sz val="11"/>
        <rFont val="Arial"/>
        <family val="2"/>
      </rPr>
      <t xml:space="preserve"> - the Community Revitalization Plan (CRP):</t>
    </r>
  </si>
  <si>
    <t>Clearly delineates one Targeted Area within a Local Government boundary that includes proposed project site but is not solely the proposed site.</t>
  </si>
  <si>
    <t>&lt;Page # from Plan&gt;</t>
  </si>
  <si>
    <t>Discusses housing as a goal of the CRP.</t>
  </si>
  <si>
    <t>Include an assessment of the targeted area’s existing infrastructure.</t>
  </si>
  <si>
    <t>Designate implementation measures.</t>
  </si>
  <si>
    <t>Is officially adopted or re-adopted by a Qualified Local Government which contains the proposed site within ten years of Application Submission.</t>
  </si>
  <si>
    <t>Revitalization Plan/Qualified Census Tract</t>
  </si>
  <si>
    <t>Qualifying CRP</t>
  </si>
  <si>
    <r>
      <rPr>
        <b/>
        <sz val="11"/>
        <rFont val="Arial"/>
        <family val="2"/>
      </rPr>
      <t>Qualified Census Tract</t>
    </r>
    <r>
      <rPr>
        <sz val="11"/>
        <rFont val="Arial"/>
        <family val="2"/>
      </rPr>
      <t xml:space="preserve"> (QCT)</t>
    </r>
  </si>
  <si>
    <t xml:space="preserve">Planning Best Practices </t>
  </si>
  <si>
    <t>Submitted CRP was adopted by a Local Government that has an active designation for any of the following programs:</t>
  </si>
  <si>
    <t>PlanFirst</t>
  </si>
  <si>
    <t>Revitalization Area Strategy</t>
  </si>
  <si>
    <t>Rural Zone</t>
  </si>
  <si>
    <t>The Local Government solicited public input and engagement during CRP creation prior to day of adoption.</t>
  </si>
  <si>
    <t>Community Transformation</t>
  </si>
  <si>
    <t>Applicant commits to comply with all requirements listed under subsection B. Community Transformation.</t>
  </si>
  <si>
    <t>Community Partnerships</t>
  </si>
  <si>
    <t>CBD evidences three or more eligible partnerships</t>
  </si>
  <si>
    <t>The combined number of years for partnerships is five or more</t>
  </si>
  <si>
    <t>The organizations associated with the partnerships engage in services associated with two or more sectors</t>
  </si>
  <si>
    <t>GICH Support for CQB</t>
  </si>
  <si>
    <t>Community Investment</t>
  </si>
  <si>
    <t>Third-Party Capital Investment</t>
  </si>
  <si>
    <t>Financial Commitment</t>
  </si>
  <si>
    <t>STABLE COMMUNITIES</t>
  </si>
  <si>
    <t>Points Eligibility</t>
  </si>
  <si>
    <t>Indicators in Qualifying Range:</t>
  </si>
  <si>
    <r>
      <t xml:space="preserve">Applicant claims points for site being </t>
    </r>
    <r>
      <rPr>
        <b/>
        <sz val="11"/>
        <rFont val="Arial"/>
        <family val="2"/>
      </rPr>
      <t>Near a Census Tract</t>
    </r>
    <r>
      <rPr>
        <sz val="11"/>
        <rFont val="Arial"/>
        <family val="2"/>
      </rPr>
      <t xml:space="preserve"> for one or more indicators:</t>
    </r>
  </si>
  <si>
    <t>Points earned:</t>
  </si>
  <si>
    <r>
      <t xml:space="preserve">Indicators
</t>
    </r>
    <r>
      <rPr>
        <sz val="11"/>
        <rFont val="Arial"/>
        <family val="2"/>
      </rPr>
      <t xml:space="preserve">      </t>
    </r>
    <r>
      <rPr>
        <i/>
        <sz val="11"/>
        <rFont val="Arial"/>
        <family val="2"/>
      </rPr>
      <t>Metric</t>
    </r>
  </si>
  <si>
    <t>In Qualifying Range</t>
  </si>
  <si>
    <t xml:space="preserve">Data Set Used </t>
  </si>
  <si>
    <r>
      <t xml:space="preserve">Applicant claims points for site being </t>
    </r>
    <r>
      <rPr>
        <b/>
        <i/>
        <sz val="11"/>
        <rFont val="Arial"/>
        <family val="2"/>
      </rPr>
      <t>WITHIN a Census Tract</t>
    </r>
    <r>
      <rPr>
        <i/>
        <sz val="11"/>
        <rFont val="Arial"/>
        <family val="2"/>
      </rPr>
      <t xml:space="preserve"> or 
</t>
    </r>
    <r>
      <rPr>
        <b/>
        <i/>
        <sz val="11"/>
        <rFont val="Arial"/>
        <family val="2"/>
      </rPr>
      <t>NEAR a Census Tract</t>
    </r>
    <r>
      <rPr>
        <i/>
        <sz val="11"/>
        <rFont val="Arial"/>
        <family val="2"/>
      </rPr>
      <t xml:space="preserve"> with indicators above the 50th percentile </t>
    </r>
  </si>
  <si>
    <t>Environmental Index</t>
  </si>
  <si>
    <r>
      <t xml:space="preserve">(if </t>
    </r>
    <r>
      <rPr>
        <b/>
        <sz val="11"/>
        <rFont val="Arial"/>
        <family val="2"/>
      </rPr>
      <t>NEAR</t>
    </r>
    <r>
      <rPr>
        <sz val="11"/>
        <rFont val="Arial"/>
        <family val="2"/>
      </rPr>
      <t>, enter near tract #)</t>
    </r>
  </si>
  <si>
    <t>Majority Transit Time</t>
  </si>
  <si>
    <t>Employment Rate</t>
  </si>
  <si>
    <t>Above Poverty Level</t>
  </si>
  <si>
    <t>Median Income</t>
  </si>
  <si>
    <t>HOUSING NEEDS CHARACTERISTICS</t>
  </si>
  <si>
    <t>Points from only one of the following sections will contribute to the Application score:</t>
  </si>
  <si>
    <t>Revitalization/Redevelopment Plans</t>
  </si>
  <si>
    <t>Stable Communities</t>
  </si>
  <si>
    <t>Housing Need and Growth</t>
  </si>
  <si>
    <t>Stable Communities and Revitalization Characteristics</t>
  </si>
  <si>
    <t>COMMUNITY DESIGNATIONS</t>
  </si>
  <si>
    <t>HUD Choice Neighborhood Implementation (CNI) Grant</t>
  </si>
  <si>
    <t>Purpose Built Communities</t>
  </si>
  <si>
    <t>PHASED DEVELOPMENT</t>
  </si>
  <si>
    <t>Proposed project is part of a Phased Development?</t>
  </si>
  <si>
    <t>Construction Commencement Date</t>
  </si>
  <si>
    <t>DCA Project #</t>
  </si>
  <si>
    <t>First phase:</t>
  </si>
  <si>
    <t>If applicable, second phase:</t>
  </si>
  <si>
    <t>PREVIOUS PROJECTS</t>
  </si>
  <si>
    <t>Applicants must select only one option under A or B below.</t>
  </si>
  <si>
    <t>Metro Pool: Recent Awards within a Mile</t>
  </si>
  <si>
    <t>Lookback Period (Number of years with no awards)</t>
  </si>
  <si>
    <t>Site is within a one-mile radius of a transit hub as defined in Community Transportation Options.   CTO Sect A-2 points:</t>
  </si>
  <si>
    <t>Rural Pool: Awards in County</t>
  </si>
  <si>
    <t>Lookback Period (Number of years)</t>
  </si>
  <si>
    <t>Restricted Units Percentage of Population</t>
  </si>
  <si>
    <t>ECONOMIC DEVELOPMENT PROXIMITY</t>
  </si>
  <si>
    <t>Economic Development Project</t>
  </si>
  <si>
    <t>Miles from App Site per Google Maps</t>
  </si>
  <si>
    <t>Net New Jobs Expected</t>
  </si>
  <si>
    <t>Name</t>
  </si>
  <si>
    <t>Zip</t>
  </si>
  <si>
    <t>MIXED INCOME DEVELOPMENTS</t>
  </si>
  <si>
    <t>Unrestricted Unit</t>
  </si>
  <si>
    <t>Mkt Pct of Total:</t>
  </si>
  <si>
    <t>HISTORIC PRESERVATION</t>
  </si>
  <si>
    <t>The property is:</t>
  </si>
  <si>
    <t>&lt;Select applicable status&gt;</t>
  </si>
  <si>
    <t>Historic Tax Credit Proceeds</t>
  </si>
  <si>
    <t>&lt;&lt; Enter here Applicant's Narrative of how building will be reused. Adjust row height as needed. &gt;&gt;</t>
  </si>
  <si>
    <t>Historic Structure</t>
  </si>
  <si>
    <t>ENRICHED PROPERTY SERVICES</t>
  </si>
  <si>
    <t>Owner-provided Services</t>
  </si>
  <si>
    <t>Entity in GP receiving certification from CORES:</t>
  </si>
  <si>
    <t>3rd Party Contractor</t>
  </si>
  <si>
    <t>Resident Services Coordination Contractor Name, if known:</t>
  </si>
  <si>
    <t>DCA COMMUNITY INITIATIVES</t>
  </si>
  <si>
    <t>Georgia Initiative for Community Housing (GICH)</t>
  </si>
  <si>
    <t>Georgia Initiative for Community Housing (GICH) Senior Year</t>
  </si>
  <si>
    <t>PRESERVATION SCORING CRITERIA</t>
  </si>
  <si>
    <t>Occupancy</t>
  </si>
  <si>
    <t>Rent Advantage</t>
  </si>
  <si>
    <r>
      <t>(</t>
    </r>
    <r>
      <rPr>
        <b/>
        <sz val="8"/>
        <rFont val="Arial"/>
        <family val="2"/>
      </rPr>
      <t>Ineligible</t>
    </r>
    <r>
      <rPr>
        <sz val="8"/>
        <rFont val="Arial"/>
        <family val="2"/>
      </rPr>
      <t>: 4% Credits/Bonds USDA Portfolio Set Aside, 9% Credits HUD Rental Assistance Set Aside, 9% Credits HUD RAD Set Aside Applications)</t>
    </r>
  </si>
  <si>
    <t>Is the Applicant claiming points in this section?</t>
  </si>
  <si>
    <t>Property Age</t>
  </si>
  <si>
    <t>Applicants may choose either C or D to claim points, but not both.</t>
  </si>
  <si>
    <t>Tax Credit Restrictions</t>
  </si>
  <si>
    <t>Site Characteristics</t>
  </si>
  <si>
    <r>
      <t>(</t>
    </r>
    <r>
      <rPr>
        <b/>
        <sz val="8"/>
        <rFont val="Arial"/>
        <family val="2"/>
      </rPr>
      <t>Ineligible</t>
    </r>
    <r>
      <rPr>
        <sz val="8"/>
        <rFont val="Arial"/>
        <family val="2"/>
      </rPr>
      <t>: 4% Credits/Bonds USDA Portfolio Set Aside Applications)</t>
    </r>
  </si>
  <si>
    <t>Up to 20 points from the following will contribute to Application score:</t>
  </si>
  <si>
    <t>Desirable/Undesirable Activities</t>
  </si>
  <si>
    <t>Community Transportation Options</t>
  </si>
  <si>
    <t>Quality Education Areas</t>
  </si>
  <si>
    <t>One of the following:</t>
  </si>
  <si>
    <t>Highest of below:</t>
  </si>
  <si>
    <t>Community Designations</t>
  </si>
  <si>
    <t>Housing Needs Characteristics (9% Credits Applications Only)</t>
  </si>
  <si>
    <t>USDA Additional Criteria</t>
  </si>
  <si>
    <t>Pre-Payment Risk</t>
  </si>
  <si>
    <t>% of Properties Eligible for Pre-Payment</t>
  </si>
  <si>
    <t>Mortgage Maturity Risk</t>
  </si>
  <si>
    <t>Year of Last Maturing 515 Loan</t>
  </si>
  <si>
    <t>Geographic Distribution</t>
  </si>
  <si>
    <t>(4% Credits/Bonds Portfolio only)</t>
  </si>
  <si>
    <t>County Name</t>
  </si>
  <si>
    <t>USDA Property Name</t>
  </si>
  <si>
    <t>USDA Project Nbr</t>
  </si>
  <si>
    <t>d.</t>
  </si>
  <si>
    <t>e.</t>
  </si>
  <si>
    <t>f.</t>
  </si>
  <si>
    <t>g.</t>
  </si>
  <si>
    <t>h.</t>
  </si>
  <si>
    <t>i.</t>
  </si>
  <si>
    <t>j.</t>
  </si>
  <si>
    <t>Severe and Critical Need</t>
  </si>
  <si>
    <t>Average County Housing Vacancy Rate</t>
  </si>
  <si>
    <r>
      <rPr>
        <b/>
        <sz val="10"/>
        <color rgb="FFFF0000"/>
        <rFont val="Arial"/>
      </rPr>
      <t xml:space="preserve">Problem with Score Total? </t>
    </r>
    <r>
      <rPr>
        <sz val="10"/>
        <color rgb="FFFF0000"/>
        <rFont val="Arial"/>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allocation@dca.ga.gov along with description of the problem, including cell reference.</t>
    </r>
  </si>
  <si>
    <t>TOTAL POSSIBLE SCORE</t>
  </si>
  <si>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rgb="FFFF0000"/>
        <rFont val="Arial"/>
        <family val="2"/>
      </rPr>
      <t>Please avoid using space lines between paragraphs.  Use 5-space indentation instead</t>
    </r>
    <r>
      <rPr>
        <i/>
        <sz val="11"/>
        <color rgb="FFFF0000"/>
        <rFont val="Arial"/>
        <family val="2"/>
      </rPr>
      <t>.</t>
    </r>
  </si>
  <si>
    <t>Installed call system in all units</t>
  </si>
  <si>
    <t>High-speed internet access No Cost</t>
  </si>
  <si>
    <t>Equipped walking path with exercise stations or sitting areas</t>
  </si>
  <si>
    <t>High-speed internet access Low Cost</t>
  </si>
  <si>
    <t>Retention pond/Fountain</t>
  </si>
  <si>
    <t>Covered pavilion with picnic/barbecue facilities</t>
  </si>
  <si>
    <t>Furnished Children’s Activity center</t>
  </si>
  <si>
    <t>OVERALL SCORING SUMMARY COMPARISON</t>
  </si>
  <si>
    <t>Applicant Scoring Summary</t>
  </si>
  <si>
    <t>DCA Scoring Summary</t>
  </si>
  <si>
    <t>Preservation</t>
  </si>
  <si>
    <t>Type of Application</t>
  </si>
  <si>
    <t>Furnished sitting areas by elevators</t>
  </si>
  <si>
    <t>4%/
Bonds</t>
  </si>
  <si>
    <t>Complete built-in fire sprinkler system</t>
  </si>
  <si>
    <t>Extended Affordability Commitment</t>
  </si>
  <si>
    <t>Off Site Improvements in Master Plan Communities</t>
  </si>
  <si>
    <t>Minority and Women-Owned Business Engagement</t>
  </si>
  <si>
    <t>Type of Credit:</t>
  </si>
  <si>
    <t>Favorable Financing</t>
  </si>
  <si>
    <t>Bonus Desirables</t>
  </si>
  <si>
    <t>Bonus Desirables Point Values</t>
  </si>
  <si>
    <t>Compliance Performance</t>
  </si>
  <si>
    <t>&lt;&lt;Select Desirable Category&gt;&gt;</t>
  </si>
  <si>
    <t>Integrated Supportive Housing</t>
  </si>
  <si>
    <t>Set-Aside Elections</t>
  </si>
  <si>
    <t>National big box general merchandise store</t>
  </si>
  <si>
    <t>Readiness to Proceed</t>
  </si>
  <si>
    <t>Hospital</t>
  </si>
  <si>
    <t>Deeper Targeting / Rent / Income Restrictions</t>
  </si>
  <si>
    <t>NonProfit</t>
  </si>
  <si>
    <t>GICH Communities</t>
  </si>
  <si>
    <t>Traditional town square</t>
  </si>
  <si>
    <t>HCV and PHA Notices</t>
  </si>
  <si>
    <t>General</t>
  </si>
  <si>
    <t>Communities</t>
  </si>
  <si>
    <t>Alumni Cert Yr</t>
  </si>
  <si>
    <t>Current Grad?</t>
  </si>
  <si>
    <t>Grocery store w/meat, dairy, &amp; produce</t>
  </si>
  <si>
    <t>Disaster Recovery</t>
  </si>
  <si>
    <t>&lt; Select applicable GICH &gt;</t>
  </si>
  <si>
    <t xml:space="preserve">Community or Recreational Center </t>
  </si>
  <si>
    <t>Preservation:</t>
  </si>
  <si>
    <t>USDA</t>
  </si>
  <si>
    <t>Adel</t>
  </si>
  <si>
    <t>n/a - Current</t>
  </si>
  <si>
    <t>Elementary, middle, or high school</t>
  </si>
  <si>
    <t>HUD RAD</t>
  </si>
  <si>
    <t>Albany</t>
  </si>
  <si>
    <t>n/a - Alumni</t>
  </si>
  <si>
    <t>Public park/Public community garden</t>
  </si>
  <si>
    <t>HTC</t>
  </si>
  <si>
    <t>Arlington</t>
  </si>
  <si>
    <t>n/a</t>
  </si>
  <si>
    <t>Public library</t>
  </si>
  <si>
    <t>HUD RA</t>
  </si>
  <si>
    <t>Athens-Clarke County</t>
  </si>
  <si>
    <t xml:space="preserve">Medical care provider </t>
  </si>
  <si>
    <t>CHDO</t>
  </si>
  <si>
    <t>Bartow County</t>
  </si>
  <si>
    <t>Day care services</t>
  </si>
  <si>
    <t>Phased Developments</t>
  </si>
  <si>
    <t>NOAH</t>
  </si>
  <si>
    <t>Byron</t>
  </si>
  <si>
    <t>Fire Station or Police Station</t>
  </si>
  <si>
    <t>Previous Projects</t>
  </si>
  <si>
    <t>HUD RAD is also a Source?</t>
  </si>
  <si>
    <t>Cedartown</t>
  </si>
  <si>
    <t>Retail/Clothing/Department store</t>
  </si>
  <si>
    <t>Housing Needs Characteristics</t>
  </si>
  <si>
    <t>Centerville</t>
  </si>
  <si>
    <t>Restaurants</t>
  </si>
  <si>
    <t>Economic Development Proximity</t>
  </si>
  <si>
    <t>Cochran</t>
  </si>
  <si>
    <t>Federally insured banking institutions</t>
  </si>
  <si>
    <t>Mixed Income Developments</t>
  </si>
  <si>
    <t>Commerce</t>
  </si>
  <si>
    <t>Church</t>
  </si>
  <si>
    <t>Historic Preservation</t>
  </si>
  <si>
    <t>COMMUNITY REVITALIZATION PLANS</t>
  </si>
  <si>
    <t>Conyers</t>
  </si>
  <si>
    <t>Post Office</t>
  </si>
  <si>
    <t>Enriched Property Services</t>
  </si>
  <si>
    <t>&lt;Select a Community Revitalization Plan option&gt;</t>
  </si>
  <si>
    <t>Cordele</t>
  </si>
  <si>
    <t>Pharmacy</t>
  </si>
  <si>
    <t>DCA Community Initiatives</t>
  </si>
  <si>
    <t>QCT &amp; Local Govt Adptd Revital Plan</t>
  </si>
  <si>
    <t>Dalton</t>
  </si>
  <si>
    <t>Preservation Scoring Criteria</t>
  </si>
  <si>
    <t>Local Govt Adopted Revitaliztn Plan</t>
  </si>
  <si>
    <t>HUD Choice Nbrhd Implement Grant</t>
  </si>
  <si>
    <t>Dublin</t>
  </si>
  <si>
    <t>Sustainable Development</t>
  </si>
  <si>
    <t>None</t>
  </si>
  <si>
    <t>Fairburn</t>
  </si>
  <si>
    <t>Maximum Point Totals:</t>
  </si>
  <si>
    <t>Greensboro</t>
  </si>
  <si>
    <t>Earth Craft Communities (Urban Development)</t>
  </si>
  <si>
    <t>Griffin</t>
  </si>
  <si>
    <t>Hartwell</t>
  </si>
  <si>
    <t>Earth Craft House Multifamily - Platinum Certification</t>
  </si>
  <si>
    <t>Liberty County</t>
  </si>
  <si>
    <t>Lithonia</t>
  </si>
  <si>
    <t>Earth Craft House Single Family - Platinum Certification</t>
  </si>
  <si>
    <t>Madison</t>
  </si>
  <si>
    <t>McRae-Helena</t>
  </si>
  <si>
    <t>Earth Craft House Renovation - Platinum Certification</t>
  </si>
  <si>
    <t>Millen</t>
  </si>
  <si>
    <t>Newnan</t>
  </si>
  <si>
    <t>Enterprise Foundation Green Communities - 10 Pts &gt; Min</t>
  </si>
  <si>
    <t>Norcross</t>
  </si>
  <si>
    <t>LEED-ND v4</t>
  </si>
  <si>
    <t>Ocilla</t>
  </si>
  <si>
    <t>LEED for Homes</t>
  </si>
  <si>
    <t>Pembroke</t>
  </si>
  <si>
    <t>LEED for Homes - Platinum Certification</t>
  </si>
  <si>
    <t>Perry</t>
  </si>
  <si>
    <t>HIRL National Green Building Standard - Min Bronze</t>
  </si>
  <si>
    <t>Porterdale</t>
  </si>
  <si>
    <t>HIRL National Green Building Standard - Emerald Certification</t>
  </si>
  <si>
    <t>Rockmart</t>
  </si>
  <si>
    <t>EnergyStar v3</t>
  </si>
  <si>
    <t>Rome</t>
  </si>
  <si>
    <t>USDOE Zero Energy Ready Home</t>
  </si>
  <si>
    <t>Rossville/LaFayette</t>
  </si>
  <si>
    <t>Smyrna</t>
  </si>
  <si>
    <t>Social Circle</t>
  </si>
  <si>
    <t>Statesboro</t>
  </si>
  <si>
    <t>Sylvester</t>
  </si>
  <si>
    <t>Thomasville</t>
  </si>
  <si>
    <t>Tifton</t>
  </si>
  <si>
    <t>Troup County/LaGrange/West Point/Hogansville</t>
  </si>
  <si>
    <t>Union City</t>
  </si>
  <si>
    <t>Valdosta</t>
  </si>
  <si>
    <t>Vienna</t>
  </si>
  <si>
    <t>Warner Robins</t>
  </si>
  <si>
    <t>Warrenton</t>
  </si>
  <si>
    <t>Washington</t>
  </si>
  <si>
    <t>Waynesboro</t>
  </si>
  <si>
    <t>Winder</t>
  </si>
  <si>
    <t>9% Preservation Set Asides</t>
  </si>
  <si>
    <t>9% GSA</t>
  </si>
  <si>
    <t>4%/Bonds</t>
  </si>
  <si>
    <t>4% USDA Portfolio</t>
  </si>
  <si>
    <t>9% HTC</t>
  </si>
  <si>
    <t>9% HUD</t>
  </si>
  <si>
    <t>9% RAD</t>
  </si>
  <si>
    <t>9% USDA</t>
  </si>
  <si>
    <t>New</t>
  </si>
  <si>
    <t>Pres</t>
  </si>
  <si>
    <t>Deeper Targeting/Rent/Income Restrictions</t>
  </si>
  <si>
    <t>Phased Development</t>
  </si>
  <si>
    <t>MAX SCORE</t>
  </si>
  <si>
    <t>BTO Designation</t>
  </si>
  <si>
    <t>Appling County</t>
  </si>
  <si>
    <t>Altamaha Elementary School</t>
  </si>
  <si>
    <t>Within Expected Range</t>
  </si>
  <si>
    <t>Appling County Elementary School</t>
  </si>
  <si>
    <t>Appling County High School</t>
  </si>
  <si>
    <t>Below Expected Range</t>
  </si>
  <si>
    <t>Appling County Middle School</t>
  </si>
  <si>
    <t>Fourth District Elementary School</t>
  </si>
  <si>
    <t>Atkinson County</t>
  </si>
  <si>
    <t>Atkinson County High School</t>
  </si>
  <si>
    <t>Beating the Odds</t>
  </si>
  <si>
    <t>Atkinson County Middle School</t>
  </si>
  <si>
    <t>Pearson Elementary School</t>
  </si>
  <si>
    <t>Willacoochee Elementary School</t>
  </si>
  <si>
    <t>Atlanta Public Schools</t>
  </si>
  <si>
    <t>Atlanta Classical Academy</t>
  </si>
  <si>
    <t>Atlanta Neighborhood Charter - Elementary</t>
  </si>
  <si>
    <t>Atlanta Neighborhood Charter - Middle</t>
  </si>
  <si>
    <t>B.E.S.T Academy</t>
  </si>
  <si>
    <t>Barack and Michelle Obama Academy</t>
  </si>
  <si>
    <t>Bazoline E. Usher/Collier Heights Elementary School</t>
  </si>
  <si>
    <t>Beecher Hills Elementary School</t>
  </si>
  <si>
    <t>Benjamin E. Mays High School</t>
  </si>
  <si>
    <t>Benteen Elementary School</t>
  </si>
  <si>
    <t>Bolton Academy Elementary</t>
  </si>
  <si>
    <t>Booker T. Washington High School</t>
  </si>
  <si>
    <t>Burgess-Peterson Elementary School</t>
  </si>
  <si>
    <t>Carver High School</t>
  </si>
  <si>
    <t>Carver High School Early College</t>
  </si>
  <si>
    <t>Cascade Elementary School</t>
  </si>
  <si>
    <t>Centennial Place Academy (Charter)</t>
  </si>
  <si>
    <t>Charles Drew Charter JA/SR Academy</t>
  </si>
  <si>
    <t>Charles L. Gideons Elementary School</t>
  </si>
  <si>
    <t>Charles R. Drew Charter School</t>
  </si>
  <si>
    <t>Cleveland Avenue Elementary School</t>
  </si>
  <si>
    <t>Continental Colony Elementary School</t>
  </si>
  <si>
    <t>Coretta Scott King Young Women's Leadership Academy</t>
  </si>
  <si>
    <t>Crawford Long Middle School</t>
  </si>
  <si>
    <t>D. M. Therrell High School</t>
  </si>
  <si>
    <t>David T Howard Middle School</t>
  </si>
  <si>
    <t>Deerwood Academy</t>
  </si>
  <si>
    <t>E. Rivers Elementary School</t>
  </si>
  <si>
    <t>Emma Hutchinson Elementary School</t>
  </si>
  <si>
    <t>F. L. Stanton Elementary School</t>
  </si>
  <si>
    <t>Finch Elementary</t>
  </si>
  <si>
    <t>Fred A. Toomer Elementary School</t>
  </si>
  <si>
    <t>Frederick Douglass High School</t>
  </si>
  <si>
    <t>Garden Hills Elementary School</t>
  </si>
  <si>
    <t>Hank Aaron New Beginnings Academy</t>
  </si>
  <si>
    <t>Harper-Archer Elementary School</t>
  </si>
  <si>
    <t>Heritage Academy Elementary School</t>
  </si>
  <si>
    <t>Herman J. Russell West End Academy</t>
  </si>
  <si>
    <t>Jackson Elementary School</t>
  </si>
  <si>
    <t>Jean Childs Young Middle School</t>
  </si>
  <si>
    <t>John Lewis Invictus Academy</t>
  </si>
  <si>
    <t>John Wesley Dobbs Elementary School</t>
  </si>
  <si>
    <t>Joseph Humphries Elementary School</t>
  </si>
  <si>
    <t>Judson Price Middle School</t>
  </si>
  <si>
    <t>KIPP Soul Academy</t>
  </si>
  <si>
    <t>KIPP Soul Primary</t>
  </si>
  <si>
    <t>KIPP Strive Primary Charter School</t>
  </si>
  <si>
    <t>KIPP VISION Charter School</t>
  </si>
  <si>
    <t>KIPP Vision Primary Charter School</t>
  </si>
  <si>
    <t>KIPP WAYS Academy Charter School</t>
  </si>
  <si>
    <t>Kindezi Old 4th Ward</t>
  </si>
  <si>
    <t>Kipp Atlanta Collegiate Charter School</t>
  </si>
  <si>
    <t>Kipp Strive Charter School</t>
  </si>
  <si>
    <t>Kipp WAYS Primary Charter School</t>
  </si>
  <si>
    <t>L. O. Kimberly Elementary School</t>
  </si>
  <si>
    <t>M. A. Jones Elementary School</t>
  </si>
  <si>
    <t>Martin L. King Jr. Middle School</t>
  </si>
  <si>
    <t>Mary Lin Elementary School</t>
  </si>
  <si>
    <t>Maynard Jackson High School</t>
  </si>
  <si>
    <t>Michael R. Hollis Innovation Academy</t>
  </si>
  <si>
    <t>Midtown High School</t>
  </si>
  <si>
    <t>Miles Elementary School</t>
  </si>
  <si>
    <t>Morningside Elementary School</t>
  </si>
  <si>
    <t>Morris Brandon Elementary School</t>
  </si>
  <si>
    <t>North Atlanta High School</t>
  </si>
  <si>
    <t>Parkside Elementary School</t>
  </si>
  <si>
    <t>Paul L. Dunbar Elementary School</t>
  </si>
  <si>
    <t>Peyton Forest Elementary School</t>
  </si>
  <si>
    <t>R. N. Fickett Elementary School</t>
  </si>
  <si>
    <t>Ralph Bunche Middle School</t>
  </si>
  <si>
    <t>Sara Rawson Smith Elementary School</t>
  </si>
  <si>
    <t>South Atlanta High School</t>
  </si>
  <si>
    <t>Springdale Park Elementary School</t>
  </si>
  <si>
    <t>Sylvan Hills Middle School</t>
  </si>
  <si>
    <t>T. J. Perkerson Elementary School</t>
  </si>
  <si>
    <t>The John Hope-Charles Walter Hill Elementary Schools</t>
  </si>
  <si>
    <t>The Kindezi School</t>
  </si>
  <si>
    <t>Thomas Heathe Slater Elementary School</t>
  </si>
  <si>
    <t>Tuskegee Airman Global Academy</t>
  </si>
  <si>
    <t>Virginia-Highland Elementary School</t>
  </si>
  <si>
    <t>Wesley International Academy Charter</t>
  </si>
  <si>
    <t>West Manor Elementary School</t>
  </si>
  <si>
    <t>Westside Atlanta Charter School</t>
  </si>
  <si>
    <t>William J. Scott Elementary School</t>
  </si>
  <si>
    <t>William M.Boyd Elementary School</t>
  </si>
  <si>
    <t>Willis A. Sutton Middle School</t>
  </si>
  <si>
    <t>Woodson Park Academy School</t>
  </si>
  <si>
    <t>Bacon County</t>
  </si>
  <si>
    <t>Bacon County Elementary School</t>
  </si>
  <si>
    <t>Bacon County High School</t>
  </si>
  <si>
    <t>Bacon County Middle School</t>
  </si>
  <si>
    <t>Bacon County Primary School</t>
  </si>
  <si>
    <t>Baker County</t>
  </si>
  <si>
    <t>Baker County K12 School</t>
  </si>
  <si>
    <t>Baldwin County</t>
  </si>
  <si>
    <t>Baldwin High School</t>
  </si>
  <si>
    <t>Lakeview Academy</t>
  </si>
  <si>
    <t>Lakeview Primary</t>
  </si>
  <si>
    <t>Midway Hills Academy</t>
  </si>
  <si>
    <t>Midway Hills Primary</t>
  </si>
  <si>
    <t>Oak Hill MS</t>
  </si>
  <si>
    <t>Banks County</t>
  </si>
  <si>
    <t>Banks County Elementary School</t>
  </si>
  <si>
    <t>Banks County High School</t>
  </si>
  <si>
    <t>Banks County Middle School</t>
  </si>
  <si>
    <t>Banks County Primary School</t>
  </si>
  <si>
    <t>Barrow County</t>
  </si>
  <si>
    <t>Apalachee High School</t>
  </si>
  <si>
    <t>Auburn Elementary School</t>
  </si>
  <si>
    <t>Austin Road Elementary School</t>
  </si>
  <si>
    <t>Barrow Arts and Sciences Academy</t>
  </si>
  <si>
    <t>Bear Creek Middle School</t>
  </si>
  <si>
    <t>Bethlehem Elementary School</t>
  </si>
  <si>
    <t>Bramlett Elementary School</t>
  </si>
  <si>
    <t>County Line Elementary School</t>
  </si>
  <si>
    <t>Haymon-Morris Middle School</t>
  </si>
  <si>
    <t>Holsenbeck Elementary School</t>
  </si>
  <si>
    <t>Kennedy Elementary School</t>
  </si>
  <si>
    <t>Russell Middle School</t>
  </si>
  <si>
    <t>Statham Elementary School</t>
  </si>
  <si>
    <t>Westside Middle School</t>
  </si>
  <si>
    <t>Winder Elementary School</t>
  </si>
  <si>
    <t>Winder-Barrow High School</t>
  </si>
  <si>
    <t>Yargo Elementary School</t>
  </si>
  <si>
    <t>Adairsville Elementary School</t>
  </si>
  <si>
    <t>Adairsville High School</t>
  </si>
  <si>
    <t>Adairsville Middle School</t>
  </si>
  <si>
    <t>Allatoona Elementary School</t>
  </si>
  <si>
    <t>Cass High School</t>
  </si>
  <si>
    <t>Cass Middle School</t>
  </si>
  <si>
    <t>Clear Creek Elementary School</t>
  </si>
  <si>
    <t>Cloverleaf Elementary</t>
  </si>
  <si>
    <t>Emerson Elementary School</t>
  </si>
  <si>
    <t>Euharlee Elementary School</t>
  </si>
  <si>
    <t>Hamilton Crossing Elementary School</t>
  </si>
  <si>
    <t>Kingston Elementary School</t>
  </si>
  <si>
    <t>Mission Road Elementary School</t>
  </si>
  <si>
    <t>Pine Log Elementary</t>
  </si>
  <si>
    <t>Red Top Middle School</t>
  </si>
  <si>
    <t>Taylorsville Elementary School</t>
  </si>
  <si>
    <t>White Elementary School</t>
  </si>
  <si>
    <t>Woodland High School</t>
  </si>
  <si>
    <t>Woodland Middle School at Euharlee</t>
  </si>
  <si>
    <t>Ben Hill County</t>
  </si>
  <si>
    <t>Ben Hill County Middle School</t>
  </si>
  <si>
    <t>Ben Hill County Primary School</t>
  </si>
  <si>
    <t>Ben Hill Elementary School</t>
  </si>
  <si>
    <t>Fitzgerald High School School College and Career Academy</t>
  </si>
  <si>
    <t>Hurricane Transition Academy</t>
  </si>
  <si>
    <t>Berrien County</t>
  </si>
  <si>
    <t>Berrien Academy Performance Learning Center</t>
  </si>
  <si>
    <t>Berrien Elementary School</t>
  </si>
  <si>
    <t>Berrien High School</t>
  </si>
  <si>
    <t>Berrien Middle School</t>
  </si>
  <si>
    <t>Berrien Primary School</t>
  </si>
  <si>
    <t>Bibb County</t>
  </si>
  <si>
    <t>Alexander II Magnet School</t>
  </si>
  <si>
    <t>Appling Middle School</t>
  </si>
  <si>
    <t>Ballard Hudson Middle School</t>
  </si>
  <si>
    <t>Bernd Elementary School</t>
  </si>
  <si>
    <t>Bruce Elementary School</t>
  </si>
  <si>
    <t>Burdell Elementary School</t>
  </si>
  <si>
    <t>Carter Elementary School</t>
  </si>
  <si>
    <t>Central High School</t>
  </si>
  <si>
    <t>Hartley Elementary School</t>
  </si>
  <si>
    <t>Heard Elementary School</t>
  </si>
  <si>
    <t>Heritage Elementary School</t>
  </si>
  <si>
    <t>Howard High School</t>
  </si>
  <si>
    <t>Howard Middle School</t>
  </si>
  <si>
    <t>Ingram/Pye Elementary School</t>
  </si>
  <si>
    <t>John Robert Lewis Elementary School</t>
  </si>
  <si>
    <t>Lane Elementary School</t>
  </si>
  <si>
    <t>Martin Luther King Jr Elementary School</t>
  </si>
  <si>
    <t>Miller Magnet Middle School</t>
  </si>
  <si>
    <t>Northeast High School</t>
  </si>
  <si>
    <t>Porter Elementary School</t>
  </si>
  <si>
    <t>Rosa Taylor Elementary School</t>
  </si>
  <si>
    <t>Rutland High School</t>
  </si>
  <si>
    <t>Rutland Middle School</t>
  </si>
  <si>
    <t>Skyview Elementary School</t>
  </si>
  <si>
    <t>Southfield Elementary School</t>
  </si>
  <si>
    <t>Southwest High School</t>
  </si>
  <si>
    <t>Springdale Elementary School</t>
  </si>
  <si>
    <t>Union Elementary School</t>
  </si>
  <si>
    <t>VIP Academy (Virtual)</t>
  </si>
  <si>
    <t>Veterans Elementary School</t>
  </si>
  <si>
    <t>Vineville Academy</t>
  </si>
  <si>
    <t>Weaver Middle School</t>
  </si>
  <si>
    <t>Westside High School</t>
  </si>
  <si>
    <t>Williams Elementary School</t>
  </si>
  <si>
    <t>Bleckley County</t>
  </si>
  <si>
    <t>Bleckley County Elementary School</t>
  </si>
  <si>
    <t>Bleckley County High School</t>
  </si>
  <si>
    <t>Bleckley County Primary School</t>
  </si>
  <si>
    <t>Bleckley County Success Academy</t>
  </si>
  <si>
    <t>Bleckley Middle School</t>
  </si>
  <si>
    <t>Brantley County</t>
  </si>
  <si>
    <t>Atkinson Elementary School</t>
  </si>
  <si>
    <t>Brantley County High School</t>
  </si>
  <si>
    <t>Brantley County Middle School</t>
  </si>
  <si>
    <t>Hoboken Elementary School</t>
  </si>
  <si>
    <t>Nahunta Elementary School</t>
  </si>
  <si>
    <t>Nahunta Primary School</t>
  </si>
  <si>
    <t>Waynesville Primary School</t>
  </si>
  <si>
    <t>Bremen City</t>
  </si>
  <si>
    <t>Bremen 4th &amp; 5th Grade Academy</t>
  </si>
  <si>
    <t>Bremen High School</t>
  </si>
  <si>
    <t>Bremen Middle School</t>
  </si>
  <si>
    <t>Jones Elementary School</t>
  </si>
  <si>
    <t>Brooks County</t>
  </si>
  <si>
    <t>Brooks County High School</t>
  </si>
  <si>
    <t>Brooks County Middle School</t>
  </si>
  <si>
    <t>Delta Innovative School</t>
  </si>
  <si>
    <t>North Brooks Elementary School</t>
  </si>
  <si>
    <t>Quitman Elementary School</t>
  </si>
  <si>
    <t>Bryan County</t>
  </si>
  <si>
    <t>Bryan County Elementary School</t>
  </si>
  <si>
    <t>Bryan County High School</t>
  </si>
  <si>
    <t>Bryan County Middle School</t>
  </si>
  <si>
    <t>Dr. George Washington Carver Elementary School</t>
  </si>
  <si>
    <t>Frances Meeks Elementary School</t>
  </si>
  <si>
    <t>McAllister Elementary School</t>
  </si>
  <si>
    <t>Richmond Hill Elementary School</t>
  </si>
  <si>
    <t>Richmond Hill High School</t>
  </si>
  <si>
    <t>Richmond Hill Middle School</t>
  </si>
  <si>
    <t>Richmond Hill Primary School</t>
  </si>
  <si>
    <t>Buford City</t>
  </si>
  <si>
    <t>Buford Academy</t>
  </si>
  <si>
    <t>Buford High School</t>
  </si>
  <si>
    <t>Buford Middle School</t>
  </si>
  <si>
    <t>Buford Senior Academy</t>
  </si>
  <si>
    <t>Bulloch County</t>
  </si>
  <si>
    <t>Brooklet Elementary School</t>
  </si>
  <si>
    <t>Julia P. Bryant Elementary School</t>
  </si>
  <si>
    <t>Langston Chapel Elementary School</t>
  </si>
  <si>
    <t>Langston Chapel Middle School</t>
  </si>
  <si>
    <t>Mattie Lively Elementary School</t>
  </si>
  <si>
    <t>Mill Creek Elementary School</t>
  </si>
  <si>
    <t>Nevils Elementary School</t>
  </si>
  <si>
    <t>Portal Elementary School</t>
  </si>
  <si>
    <t>Portal Middle/High School</t>
  </si>
  <si>
    <t>Sallie Zetterower Elementary School</t>
  </si>
  <si>
    <t>Southeast Bulloch High School</t>
  </si>
  <si>
    <t>Southeast Bulloch Middle School</t>
  </si>
  <si>
    <t>Statesboro High School</t>
  </si>
  <si>
    <t>Stilson Elementary School</t>
  </si>
  <si>
    <t>William James Middle School</t>
  </si>
  <si>
    <t>Burke County</t>
  </si>
  <si>
    <t>Blakeney Elementary</t>
  </si>
  <si>
    <t>Burke County High School</t>
  </si>
  <si>
    <t>Burke County Middle School</t>
  </si>
  <si>
    <t>S G A Elementary School</t>
  </si>
  <si>
    <t>Waynesboro Primary School</t>
  </si>
  <si>
    <t>Butts County</t>
  </si>
  <si>
    <t>Hampton L. Daughtry Elementary School</t>
  </si>
  <si>
    <t>Henderson Middle School</t>
  </si>
  <si>
    <t>Jackson High School</t>
  </si>
  <si>
    <t>Stark Elementary School</t>
  </si>
  <si>
    <t>Calhoun City</t>
  </si>
  <si>
    <t>Calhoun Elementary School</t>
  </si>
  <si>
    <t>Calhoun High School</t>
  </si>
  <si>
    <t>Calhoun Middle School</t>
  </si>
  <si>
    <t>Calhoun Primary School</t>
  </si>
  <si>
    <t>Calhoun County</t>
  </si>
  <si>
    <t>Calhoun County Elementary School</t>
  </si>
  <si>
    <t>Calhoun County High School</t>
  </si>
  <si>
    <t>Calhoun County Middle School</t>
  </si>
  <si>
    <t>Camden County</t>
  </si>
  <si>
    <t>Camden County High School</t>
  </si>
  <si>
    <t>Camden Middle School</t>
  </si>
  <si>
    <t>Crooked River Elementary School</t>
  </si>
  <si>
    <t>David L Rainer Elementary School</t>
  </si>
  <si>
    <t>Kingsland Elementary School</t>
  </si>
  <si>
    <t>Mamie Lou Gross Elementary School</t>
  </si>
  <si>
    <t>Mary Lee Clark Elementary School</t>
  </si>
  <si>
    <t>Matilda Harris Elementary School</t>
  </si>
  <si>
    <t>Saint Marys Elementary School</t>
  </si>
  <si>
    <t>Saint Marys Middle School</t>
  </si>
  <si>
    <t>Sugarmill Elementary</t>
  </si>
  <si>
    <t>Woodbine Elementary School</t>
  </si>
  <si>
    <t>Candler County</t>
  </si>
  <si>
    <t>Metter College and Career Academy</t>
  </si>
  <si>
    <t>Metter Elementary School</t>
  </si>
  <si>
    <t>Metter High School</t>
  </si>
  <si>
    <t>Metter Middle School</t>
  </si>
  <si>
    <t>Carroll County</t>
  </si>
  <si>
    <t>Bay Springs Middle School</t>
  </si>
  <si>
    <t>Bowdon Elementary School</t>
  </si>
  <si>
    <t>Bowdon High School</t>
  </si>
  <si>
    <t>Bowdon Middle School</t>
  </si>
  <si>
    <t>Central Elementary School</t>
  </si>
  <si>
    <t>Central Middle School</t>
  </si>
  <si>
    <t>Glanton-Hindsman Elementary</t>
  </si>
  <si>
    <t>Ithica Elementary</t>
  </si>
  <si>
    <t>Mount Zion Elementary School</t>
  </si>
  <si>
    <t>Mt. Zion High School</t>
  </si>
  <si>
    <t>Mt. Zion Middle School</t>
  </si>
  <si>
    <t>Providence Elementary School</t>
  </si>
  <si>
    <t>Roopville Elementary School</t>
  </si>
  <si>
    <t>Sand Hill Elementary School</t>
  </si>
  <si>
    <t>Sharp Creek Elementary School</t>
  </si>
  <si>
    <t>Temple Elementary School</t>
  </si>
  <si>
    <t>Temple High School</t>
  </si>
  <si>
    <t>Temple Middle School</t>
  </si>
  <si>
    <t>Villa Rica Elementary School</t>
  </si>
  <si>
    <t>Villa Rica High School</t>
  </si>
  <si>
    <t>Villa Rica Middle</t>
  </si>
  <si>
    <t>Whitesburg Elementary School</t>
  </si>
  <si>
    <t>Carrollton City</t>
  </si>
  <si>
    <t>Carrollton Elementary School</t>
  </si>
  <si>
    <t>Carrollton High School</t>
  </si>
  <si>
    <t>Carrollton Middle School</t>
  </si>
  <si>
    <t>Carrollton Upper Elementary</t>
  </si>
  <si>
    <t>Cartersville City</t>
  </si>
  <si>
    <t>Cartersville Elementary School</t>
  </si>
  <si>
    <t>Cartersville High School</t>
  </si>
  <si>
    <t>Cartersville Middle School</t>
  </si>
  <si>
    <t>Cartersville Primary School</t>
  </si>
  <si>
    <t>Catoosa County</t>
  </si>
  <si>
    <t>Battlefield Elementary School</t>
  </si>
  <si>
    <t>Battlefield Primary</t>
  </si>
  <si>
    <t>Boynton Elementary School</t>
  </si>
  <si>
    <t>Cloud Springs Elementary School</t>
  </si>
  <si>
    <t>Graysville Elementary School</t>
  </si>
  <si>
    <t>Heritage High School</t>
  </si>
  <si>
    <t>Heritage Middle School</t>
  </si>
  <si>
    <t>Lakeview Middle School</t>
  </si>
  <si>
    <t>Lakeview-Fort Oglethorpe High School</t>
  </si>
  <si>
    <t>Ringgold Elementary School</t>
  </si>
  <si>
    <t>Ringgold High School</t>
  </si>
  <si>
    <t>Ringgold Middle School</t>
  </si>
  <si>
    <t>Ringgold Primary School</t>
  </si>
  <si>
    <t>Tiger Creek Elementary School</t>
  </si>
  <si>
    <t>West Side Elementary School</t>
  </si>
  <si>
    <t>Woodstation Elementary School</t>
  </si>
  <si>
    <t>Charlton County</t>
  </si>
  <si>
    <t>Bethune Middle School</t>
  </si>
  <si>
    <t>Charlton County High School</t>
  </si>
  <si>
    <t>Folkston Elementary School</t>
  </si>
  <si>
    <t>St. George Elementary School</t>
  </si>
  <si>
    <t>Chattahoochee County</t>
  </si>
  <si>
    <t>Chattahoochee County Education Center</t>
  </si>
  <si>
    <t>Chattahoochee County High School</t>
  </si>
  <si>
    <t>Chattahoochee County Middle School</t>
  </si>
  <si>
    <t>Chattooga County</t>
  </si>
  <si>
    <t>Chattooga High School</t>
  </si>
  <si>
    <t>Leroy Massey Elementary School</t>
  </si>
  <si>
    <t>Lyerly Elementary School</t>
  </si>
  <si>
    <t>Menlo Elementary School</t>
  </si>
  <si>
    <t>Summerville Middle School</t>
  </si>
  <si>
    <t>Cherokee County</t>
  </si>
  <si>
    <t>Arnold Mill Elementary School</t>
  </si>
  <si>
    <t>Avery Elementary School</t>
  </si>
  <si>
    <t>Ball Ground Elementary School</t>
  </si>
  <si>
    <t>Bascomb Elementary School</t>
  </si>
  <si>
    <t>Boston Elementary School</t>
  </si>
  <si>
    <t>Carmel Elementary School</t>
  </si>
  <si>
    <t>Cherokee High School</t>
  </si>
  <si>
    <t>Clark Creek Elementary School</t>
  </si>
  <si>
    <t>Clayton Elementary School</t>
  </si>
  <si>
    <t>Creekland Middle School</t>
  </si>
  <si>
    <t>Creekview High School</t>
  </si>
  <si>
    <t>Dean Rusk Middle School</t>
  </si>
  <si>
    <t>E. T. Booth Middle School</t>
  </si>
  <si>
    <t>Etowah High School</t>
  </si>
  <si>
    <t>Free Home Elementary School</t>
  </si>
  <si>
    <t>Freedom Middle School</t>
  </si>
  <si>
    <t>Hickory Flat Elementary School</t>
  </si>
  <si>
    <t>Holly Springs Elementary School</t>
  </si>
  <si>
    <t>Indian Knoll Elementary</t>
  </si>
  <si>
    <t>J. Knox Elementary</t>
  </si>
  <si>
    <t>Johnston Elementary School</t>
  </si>
  <si>
    <t>Liberty Elementary School</t>
  </si>
  <si>
    <t>Little River Elem.</t>
  </si>
  <si>
    <t>Macedonia Elementary School</t>
  </si>
  <si>
    <t>Mill Creek Middle School</t>
  </si>
  <si>
    <t>Mountain Road Elementary School</t>
  </si>
  <si>
    <t>Oak Grove Elementary School</t>
  </si>
  <si>
    <t>R. M. Moore Elementary School</t>
  </si>
  <si>
    <t>River Ridge High School</t>
  </si>
  <si>
    <t>Sequoyah High School</t>
  </si>
  <si>
    <t>Sixes Elementary School</t>
  </si>
  <si>
    <t>Teasley Middle School</t>
  </si>
  <si>
    <t>William G. Hasty, Sr. Elementary School</t>
  </si>
  <si>
    <t>Woodstock Elementary School</t>
  </si>
  <si>
    <t>Woodstock High School</t>
  </si>
  <si>
    <t>Woodstock Middle School</t>
  </si>
  <si>
    <t>iGrad Virtual Academy School</t>
  </si>
  <si>
    <t>Chickamauga City</t>
  </si>
  <si>
    <t>Chickamauga Elementary School</t>
  </si>
  <si>
    <t>Gordon Lee High School</t>
  </si>
  <si>
    <t>Gordon Lee Middle School</t>
  </si>
  <si>
    <t>City Schools of Decatur</t>
  </si>
  <si>
    <t>Beacon Hill Middle School</t>
  </si>
  <si>
    <t>Clairemont Elementary School</t>
  </si>
  <si>
    <t>Decatur High School</t>
  </si>
  <si>
    <t>Fifth Avenue Upper Elementary School</t>
  </si>
  <si>
    <t>Glennwood Elementary School</t>
  </si>
  <si>
    <t>Oakhurst Elementary School</t>
  </si>
  <si>
    <t>Talley Street Upper Elementary School</t>
  </si>
  <si>
    <t>Westchester Elementary School</t>
  </si>
  <si>
    <t>Winnona Park Elementary School</t>
  </si>
  <si>
    <t>Clarke County</t>
  </si>
  <si>
    <t>Barnett Shoals Elementary School</t>
  </si>
  <si>
    <t>Barrow Elementary School</t>
  </si>
  <si>
    <t>Bettye Henderson Holston Elementary School</t>
  </si>
  <si>
    <t>Burney-Harris-Lyons Middle School</t>
  </si>
  <si>
    <t>Cedar Shoals High School</t>
  </si>
  <si>
    <t>Clarke Central High School</t>
  </si>
  <si>
    <t>Clarke Middle School</t>
  </si>
  <si>
    <t>Classic City High School</t>
  </si>
  <si>
    <t>Cleveland Road Elementary School</t>
  </si>
  <si>
    <t>Coile Middle School</t>
  </si>
  <si>
    <t>Fowler Drive Elementary School</t>
  </si>
  <si>
    <t>Gaines Elementary School</t>
  </si>
  <si>
    <t>Hilsman Middle School</t>
  </si>
  <si>
    <t>Howard B. Stroud Elementary School</t>
  </si>
  <si>
    <t>Johnnie Lay Burks Elementary School</t>
  </si>
  <si>
    <t>Judia Jackson Harris Elementary</t>
  </si>
  <si>
    <t>Oglethorpe Avenue Elementary School</t>
  </si>
  <si>
    <t>Timothy Elementary School</t>
  </si>
  <si>
    <t>Whit Davis Road Elementary School</t>
  </si>
  <si>
    <t>Whitehead Road Elementary School</t>
  </si>
  <si>
    <t>Winterville Elementary School</t>
  </si>
  <si>
    <t>Clay County</t>
  </si>
  <si>
    <t>Clay County Elementary</t>
  </si>
  <si>
    <t>Clay County Middle School</t>
  </si>
  <si>
    <t>Clayton County</t>
  </si>
  <si>
    <t>7 Pillars Career Academy</t>
  </si>
  <si>
    <t>Adamson Middle School</t>
  </si>
  <si>
    <t>Anderson Elementary School</t>
  </si>
  <si>
    <t>Arnold Elementary School</t>
  </si>
  <si>
    <t>Babb Middle School</t>
  </si>
  <si>
    <t>Brown Elementary School</t>
  </si>
  <si>
    <t>Callaway Elementary School</t>
  </si>
  <si>
    <t>Charles R. Drew High School</t>
  </si>
  <si>
    <t>Church Street Elementary School</t>
  </si>
  <si>
    <t>East Clayton Elementary School</t>
  </si>
  <si>
    <t>Eddie White Middle School</t>
  </si>
  <si>
    <t>Edmonds Elementary School</t>
  </si>
  <si>
    <t>Elite Scholars Academy School</t>
  </si>
  <si>
    <t>Forest Park High School</t>
  </si>
  <si>
    <t>Forest Park Middle School</t>
  </si>
  <si>
    <t>Fountain Elementary School</t>
  </si>
  <si>
    <t>Harper Elementary School</t>
  </si>
  <si>
    <t>Hawthorne Elementary School</t>
  </si>
  <si>
    <t>Haynie Elementary School</t>
  </si>
  <si>
    <t>Huie Elementary School</t>
  </si>
  <si>
    <t>James Jackson Elementary School</t>
  </si>
  <si>
    <t>Jonesboro High School</t>
  </si>
  <si>
    <t>Jonesboro Middle School</t>
  </si>
  <si>
    <t>Kay R Pace Elementary School of the Arts</t>
  </si>
  <si>
    <t>Kemp Elementary School</t>
  </si>
  <si>
    <t>Kemp Primary</t>
  </si>
  <si>
    <t>Kendrick Middle School</t>
  </si>
  <si>
    <t>Kilpatrick Elementary School</t>
  </si>
  <si>
    <t>Lake City Elementary School</t>
  </si>
  <si>
    <t>Lake Ridge Elementary School</t>
  </si>
  <si>
    <t>Lee Street Elementary School</t>
  </si>
  <si>
    <t>Lovejoy High School</t>
  </si>
  <si>
    <t>M. D. Roberts Middle School</t>
  </si>
  <si>
    <t>Martha Ellen Stilwell School for the Performing Arts</t>
  </si>
  <si>
    <t>Martin Luther King, Jr. Elementary School</t>
  </si>
  <si>
    <t>Michelle Obama STEM Elementary Academy</t>
  </si>
  <si>
    <t>Morrow Elementary School</t>
  </si>
  <si>
    <t>Morrow High School</t>
  </si>
  <si>
    <t>Morrow Middle School</t>
  </si>
  <si>
    <t>Mount Zion High School</t>
  </si>
  <si>
    <t>Mount Zion Primary</t>
  </si>
  <si>
    <t>Mundy's Mill High School</t>
  </si>
  <si>
    <t>Mundys Mill Middle School</t>
  </si>
  <si>
    <t>North Clayton High School</t>
  </si>
  <si>
    <t>North Clayton Middle School</t>
  </si>
  <si>
    <t>Northcutt Elementary School</t>
  </si>
  <si>
    <t>Oliver Elementary School</t>
  </si>
  <si>
    <t>Perry Career Academy - Eula Wilburn Ponds Perry Center for Learning</t>
  </si>
  <si>
    <t>Pointe South Elementary School</t>
  </si>
  <si>
    <t>Pointe South Middle School</t>
  </si>
  <si>
    <t>Rex Mill Middle School</t>
  </si>
  <si>
    <t>River's Edge Elementary School</t>
  </si>
  <si>
    <t>Riverdale Elementary School</t>
  </si>
  <si>
    <t>Riverdale High School</t>
  </si>
  <si>
    <t>Riverdale Middle School</t>
  </si>
  <si>
    <t>Roberta T. Smith Elementary School</t>
  </si>
  <si>
    <t>Sequoyah Middle School</t>
  </si>
  <si>
    <t>Suder Elementary School</t>
  </si>
  <si>
    <t>Swint Elementary School</t>
  </si>
  <si>
    <t>Tara Elementary School</t>
  </si>
  <si>
    <t>Thurgood Marshall Elementary School</t>
  </si>
  <si>
    <t>Unidos Dual Language School</t>
  </si>
  <si>
    <t>Utopian Academy for the Arts Elementary School</t>
  </si>
  <si>
    <t>Utopian Academy for the Arts High School</t>
  </si>
  <si>
    <t>West Clayton Elementary School</t>
  </si>
  <si>
    <t>William M. McGarrah Elementary School</t>
  </si>
  <si>
    <t>Clinch County</t>
  </si>
  <si>
    <t>Clinch County Elementary School</t>
  </si>
  <si>
    <t>Clinch County High School</t>
  </si>
  <si>
    <t>Clinch County Middle School</t>
  </si>
  <si>
    <t>Cobb County</t>
  </si>
  <si>
    <t>Acworth Intermediate School</t>
  </si>
  <si>
    <t>Addison Elementary School</t>
  </si>
  <si>
    <t>Allatoona High School</t>
  </si>
  <si>
    <t>Argyle Elementary School</t>
  </si>
  <si>
    <t>Austell Elementary School</t>
  </si>
  <si>
    <t>Awtrey Middle School</t>
  </si>
  <si>
    <t>Baker Elementary School</t>
  </si>
  <si>
    <t>Barber Middle School</t>
  </si>
  <si>
    <t>Bells Ferry Elementary School</t>
  </si>
  <si>
    <t>Belmont Hills Elementary School</t>
  </si>
  <si>
    <t>Betty Gray Middle School</t>
  </si>
  <si>
    <t>Big Shanty Elementary School</t>
  </si>
  <si>
    <t>Birney Elementary School</t>
  </si>
  <si>
    <t>Blackwell Elementary School</t>
  </si>
  <si>
    <t>Brumby Elementary School</t>
  </si>
  <si>
    <t>Bryant Elementary School</t>
  </si>
  <si>
    <t>Bullard Elementary School</t>
  </si>
  <si>
    <t>Campbell High School</t>
  </si>
  <si>
    <t>Campbell Middle School</t>
  </si>
  <si>
    <t>Chalker Elementary School</t>
  </si>
  <si>
    <t>Cheatham Hill Elementary School</t>
  </si>
  <si>
    <t>City View Elementary School</t>
  </si>
  <si>
    <t>Clarkdale Elementary School</t>
  </si>
  <si>
    <t>Clay-Harmony Leland Elementary School</t>
  </si>
  <si>
    <t>Cobb Horizon High School</t>
  </si>
  <si>
    <t>Compton Elementary School</t>
  </si>
  <si>
    <t>Cooper Middle School</t>
  </si>
  <si>
    <t>Daniell Middle School</t>
  </si>
  <si>
    <t>Davis Elementary School</t>
  </si>
  <si>
    <t>Dickerson Middle School</t>
  </si>
  <si>
    <t>Dodgen Middle School</t>
  </si>
  <si>
    <t>Dowell Elementary School</t>
  </si>
  <si>
    <t>Due West Elementary School</t>
  </si>
  <si>
    <t>Durham Middle School</t>
  </si>
  <si>
    <t>East Cobb Middle School</t>
  </si>
  <si>
    <t>East Side Elementary School</t>
  </si>
  <si>
    <t>Eastvalley Elementary School</t>
  </si>
  <si>
    <t>Fair Oaks Elementary School</t>
  </si>
  <si>
    <t>Floyd Middle School</t>
  </si>
  <si>
    <t>Ford Elementary School</t>
  </si>
  <si>
    <t>Frey Elementary School</t>
  </si>
  <si>
    <t>Garrett Middle School</t>
  </si>
  <si>
    <t>Garrison Mill Elementary School</t>
  </si>
  <si>
    <t>Green Acres Elementary School</t>
  </si>
  <si>
    <t>Griffin Middle School</t>
  </si>
  <si>
    <t>Harrison High School</t>
  </si>
  <si>
    <t>Hayes Elementary School</t>
  </si>
  <si>
    <t>Hendricks Elementary School</t>
  </si>
  <si>
    <t>Hightower Trail Middle School</t>
  </si>
  <si>
    <t>Hillgrove High School</t>
  </si>
  <si>
    <t>Hollydale Elementary School</t>
  </si>
  <si>
    <t>Keheley Elementary School</t>
  </si>
  <si>
    <t>Kell High School</t>
  </si>
  <si>
    <t>Kennesaw Elementary School</t>
  </si>
  <si>
    <t>Kennesaw Mountain High School</t>
  </si>
  <si>
    <t>Kincaid Elementary School</t>
  </si>
  <si>
    <t>King Springs Elementary School</t>
  </si>
  <si>
    <t>LaBelle Elementary School</t>
  </si>
  <si>
    <t>Lassiter High School</t>
  </si>
  <si>
    <t>Lewis Elementary School</t>
  </si>
  <si>
    <t>Lindley Middle School</t>
  </si>
  <si>
    <t>Lost Mountain Middle School</t>
  </si>
  <si>
    <t>Lovinggood Middle School</t>
  </si>
  <si>
    <t>Mableton Elementary School</t>
  </si>
  <si>
    <t>Mabry Middle School</t>
  </si>
  <si>
    <t>McCall Primary School</t>
  </si>
  <si>
    <t>McCleskey Middle School</t>
  </si>
  <si>
    <t>McClure Middle School</t>
  </si>
  <si>
    <t>McEachern High School</t>
  </si>
  <si>
    <t>Milford Elementary School</t>
  </si>
  <si>
    <t>Mount Bethel Elementary School</t>
  </si>
  <si>
    <t>Mountain View Elementary School</t>
  </si>
  <si>
    <t>Murdock Elementary School</t>
  </si>
  <si>
    <t>Nicholson Elementary School</t>
  </si>
  <si>
    <t>Nickajack Elementary School</t>
  </si>
  <si>
    <t>North Cobb High School</t>
  </si>
  <si>
    <t>Norton Park Elementary School</t>
  </si>
  <si>
    <t>Osborne High School</t>
  </si>
  <si>
    <t>Palmer Middle School</t>
  </si>
  <si>
    <t>Pearson Middle School</t>
  </si>
  <si>
    <t>Pebblebrook High School</t>
  </si>
  <si>
    <t>Pickett's Mill Elementary School</t>
  </si>
  <si>
    <t>Pine Mountain Middle School</t>
  </si>
  <si>
    <t>Pitner Elementary School</t>
  </si>
  <si>
    <t>Pope High School</t>
  </si>
  <si>
    <t>Powder Springs Elementary School</t>
  </si>
  <si>
    <t>Powers Ferry Elementary School</t>
  </si>
  <si>
    <t>Riverside Elementary School</t>
  </si>
  <si>
    <t>Rocky Mount Elementary School</t>
  </si>
  <si>
    <t>Russell Elementary School</t>
  </si>
  <si>
    <t>Sanders Elementary School</t>
  </si>
  <si>
    <t>Sedalia Park Elementary School</t>
  </si>
  <si>
    <t>Shallowford Falls Elementary School</t>
  </si>
  <si>
    <t>Simpson Middle School</t>
  </si>
  <si>
    <t>Smitha Middle School</t>
  </si>
  <si>
    <t>Smyrna Elementary School</t>
  </si>
  <si>
    <t>Sope Creek Elementary School</t>
  </si>
  <si>
    <t>South Cobb High School</t>
  </si>
  <si>
    <t>Sprayberry High School</t>
  </si>
  <si>
    <t>Still Elementary School</t>
  </si>
  <si>
    <t>Tapp Middle School</t>
  </si>
  <si>
    <t>Teasley Elementary School</t>
  </si>
  <si>
    <t>Timber Ridge Elementary School</t>
  </si>
  <si>
    <t>Tritt Elementary School</t>
  </si>
  <si>
    <t>Varner Elementary School</t>
  </si>
  <si>
    <t>Vaughan Elementary School</t>
  </si>
  <si>
    <t>Walton High School</t>
  </si>
  <si>
    <t>Wheeler High School</t>
  </si>
  <si>
    <t>Coffee County</t>
  </si>
  <si>
    <t>Ambrose Elementary School</t>
  </si>
  <si>
    <t>Broxton-Mary Hayes Elementary</t>
  </si>
  <si>
    <t>Coffee County High School</t>
  </si>
  <si>
    <t>Coffee Middle School</t>
  </si>
  <si>
    <t>Eastside Elementary School</t>
  </si>
  <si>
    <t>George Washington Carver Freshman Campus</t>
  </si>
  <si>
    <t>Indian Creek Elementary</t>
  </si>
  <si>
    <t>Nicholls Elementary School</t>
  </si>
  <si>
    <t>Satilla Elementary School</t>
  </si>
  <si>
    <t>West Green Elementary School</t>
  </si>
  <si>
    <t>Westside Elementary School</t>
  </si>
  <si>
    <t>Wiregrass Regional College and Career Academy</t>
  </si>
  <si>
    <t>Colquitt County</t>
  </si>
  <si>
    <t>CA Gray Junior High School</t>
  </si>
  <si>
    <t>Colquitt County High School</t>
  </si>
  <si>
    <t>Cox Elementary School</t>
  </si>
  <si>
    <t>Doerun Elementary School</t>
  </si>
  <si>
    <t>Funston Elementary School</t>
  </si>
  <si>
    <t>Hamilton Elementary School</t>
  </si>
  <si>
    <t>Norman Park Elementary School</t>
  </si>
  <si>
    <t>Odom Elementary School</t>
  </si>
  <si>
    <t>Okapilco Elementary School</t>
  </si>
  <si>
    <t>Stringfellow Elementary School</t>
  </si>
  <si>
    <t>Sunset Elementary School</t>
  </si>
  <si>
    <t>Willie J. Williams Middle School</t>
  </si>
  <si>
    <t>Wright Elementary School</t>
  </si>
  <si>
    <t>Columbia County</t>
  </si>
  <si>
    <t>Baker Place Elementary</t>
  </si>
  <si>
    <t>Blue Ridge Elementary School</t>
  </si>
  <si>
    <t>Brookwood Elementary School</t>
  </si>
  <si>
    <t>Cedar Ridge Elementary School</t>
  </si>
  <si>
    <t>Columbia Middle School</t>
  </si>
  <si>
    <t>Euchee Creek Elementary School</t>
  </si>
  <si>
    <t>Evans Elementary School</t>
  </si>
  <si>
    <t>Evans High School</t>
  </si>
  <si>
    <t>Evans Middle School</t>
  </si>
  <si>
    <t>Greenbrier Elementary School</t>
  </si>
  <si>
    <t>Greenbrier High School</t>
  </si>
  <si>
    <t>Greenbrier Middle School</t>
  </si>
  <si>
    <t>Grovetown Elementary School</t>
  </si>
  <si>
    <t>Grovetown High School</t>
  </si>
  <si>
    <t>Grovetown Middle School</t>
  </si>
  <si>
    <t>Harlem High School</t>
  </si>
  <si>
    <t>Harlem Middle School</t>
  </si>
  <si>
    <t>Lakeside High School</t>
  </si>
  <si>
    <t>Lakeside Middle School</t>
  </si>
  <si>
    <t>Lewiston Elementary School</t>
  </si>
  <si>
    <t>Martinez Elementary School</t>
  </si>
  <si>
    <t>North Columbia Elementary School</t>
  </si>
  <si>
    <t>North Harlem Elementary School</t>
  </si>
  <si>
    <t>Parkway Elementary School</t>
  </si>
  <si>
    <t>River Ridge Elementary</t>
  </si>
  <si>
    <t>Riverside Middle School</t>
  </si>
  <si>
    <t>South Columbia Elementary School</t>
  </si>
  <si>
    <t>Stallings Island Middle School</t>
  </si>
  <si>
    <t>Stevens Creek Elementary School</t>
  </si>
  <si>
    <t>Commerce City</t>
  </si>
  <si>
    <t>Commerce Elementary School</t>
  </si>
  <si>
    <t>Commerce High School</t>
  </si>
  <si>
    <t>Commerce Middle School</t>
  </si>
  <si>
    <t>Commerce Primary</t>
  </si>
  <si>
    <t>Cook County</t>
  </si>
  <si>
    <t>Cook County Middle School</t>
  </si>
  <si>
    <t>Cook Elementary School</t>
  </si>
  <si>
    <t>Cook High School</t>
  </si>
  <si>
    <t>Cook Primary School</t>
  </si>
  <si>
    <t>Coweta County</t>
  </si>
  <si>
    <t>Arbor Springs Elementary</t>
  </si>
  <si>
    <t>Arnall Middle School</t>
  </si>
  <si>
    <t>Arnco-Sargent Elementary School</t>
  </si>
  <si>
    <t>Blake Bass Middle School</t>
  </si>
  <si>
    <t>Brooks Elementary</t>
  </si>
  <si>
    <t>Canongate Elementary School</t>
  </si>
  <si>
    <t>East Coweta High School</t>
  </si>
  <si>
    <t>East Coweta Middle School</t>
  </si>
  <si>
    <t>Elm Street Elementary School</t>
  </si>
  <si>
    <t>Glanton Elementary</t>
  </si>
  <si>
    <t>Jefferson Parkway Elementary School</t>
  </si>
  <si>
    <t>Lee Middle School</t>
  </si>
  <si>
    <t>Madras Middle School</t>
  </si>
  <si>
    <t>Moreland Elementary School</t>
  </si>
  <si>
    <t>Newnan Crossing Elementary School</t>
  </si>
  <si>
    <t>Newnan High School</t>
  </si>
  <si>
    <t>Northgate High School</t>
  </si>
  <si>
    <t>Northside Elementary School</t>
  </si>
  <si>
    <t>Poplar Road Elementary School</t>
  </si>
  <si>
    <t>Ruth Hill Elementary School</t>
  </si>
  <si>
    <t>Smokey Road Middle School</t>
  </si>
  <si>
    <t>Thomas Crossroads Elementary School</t>
  </si>
  <si>
    <t>Welch Elementary School</t>
  </si>
  <si>
    <t>Western Elementary School</t>
  </si>
  <si>
    <t>White Oak Elementary School</t>
  </si>
  <si>
    <t>Willis Road Elementary</t>
  </si>
  <si>
    <t>Crawford County</t>
  </si>
  <si>
    <t>Crawford County Elementary</t>
  </si>
  <si>
    <t>Crawford County High School</t>
  </si>
  <si>
    <t>Crawford County Middle School</t>
  </si>
  <si>
    <t>Crawford County Primary School</t>
  </si>
  <si>
    <t>Crisp County</t>
  </si>
  <si>
    <t>Crisp County Elementary School</t>
  </si>
  <si>
    <t>Crisp County High School</t>
  </si>
  <si>
    <t>Crisp County Middle School</t>
  </si>
  <si>
    <t>Crisp County Primary School</t>
  </si>
  <si>
    <t>Dade County</t>
  </si>
  <si>
    <t>Dade County High School</t>
  </si>
  <si>
    <t>Dade Elementary School</t>
  </si>
  <si>
    <t>Dade Middle School</t>
  </si>
  <si>
    <t>Dalton Public Schools</t>
  </si>
  <si>
    <t>City Park Elementary School</t>
  </si>
  <si>
    <t>Dalton High School</t>
  </si>
  <si>
    <t>Dalton Jr. High School</t>
  </si>
  <si>
    <t>Hammond Creek Middle School</t>
  </si>
  <si>
    <t>Park Creek Elementary School</t>
  </si>
  <si>
    <t>Roan Elementary School</t>
  </si>
  <si>
    <t>The Dalton Academy</t>
  </si>
  <si>
    <t>Westwood Elementary School</t>
  </si>
  <si>
    <t>Dawson County</t>
  </si>
  <si>
    <t>Black's Mill Elementary School</t>
  </si>
  <si>
    <t>Dawson County High School</t>
  </si>
  <si>
    <t>Dawson County Junior High</t>
  </si>
  <si>
    <t>Dawson County Middle School</t>
  </si>
  <si>
    <t>Kilough Elementary School</t>
  </si>
  <si>
    <t>Riverview Elementary School</t>
  </si>
  <si>
    <t>Robinson Elementary School</t>
  </si>
  <si>
    <t>DeKalb County</t>
  </si>
  <si>
    <t>Allgood Elementary School</t>
  </si>
  <si>
    <t>Arabia Mountain High School - Academy of Engineering, Medicine and Environm</t>
  </si>
  <si>
    <t>Ashford Park Elementary School</t>
  </si>
  <si>
    <t>Austin Elementary School</t>
  </si>
  <si>
    <t>Avondale Elementary School</t>
  </si>
  <si>
    <t>Barack H. Obama Elementary Magnet School of Technology</t>
  </si>
  <si>
    <t>Bob Mathis Elementary School</t>
  </si>
  <si>
    <t>Briar Vista Elementary School</t>
  </si>
  <si>
    <t>Briarlake Elementary School</t>
  </si>
  <si>
    <t>Brockett Elementary School</t>
  </si>
  <si>
    <t>Browns Mill Elementary School</t>
  </si>
  <si>
    <t>Canby Lane Elementary School</t>
  </si>
  <si>
    <t>Cary Reynolds Elementary School</t>
  </si>
  <si>
    <t>Cedar Grove Elementary School</t>
  </si>
  <si>
    <t>Cedar Grove High School</t>
  </si>
  <si>
    <t>Cedar Grove Middle School</t>
  </si>
  <si>
    <t>Chamblee High School</t>
  </si>
  <si>
    <t>Chamblee Middle School</t>
  </si>
  <si>
    <t>Chapel Hill Elementary School</t>
  </si>
  <si>
    <t>Chapel Hill Middle School</t>
  </si>
  <si>
    <t>Chesnut Elementary School</t>
  </si>
  <si>
    <t>Clarkston High School</t>
  </si>
  <si>
    <t>Columbia Elementary School</t>
  </si>
  <si>
    <t>Columbia High School</t>
  </si>
  <si>
    <t>Cross Keys High School</t>
  </si>
  <si>
    <t>DeKalb Agriculture Technology and Environment School</t>
  </si>
  <si>
    <t>DeKalb Alternative School</t>
  </si>
  <si>
    <t>DeKalb Elementary School of the Arts</t>
  </si>
  <si>
    <t>DeKalb PATH Academy Charter School</t>
  </si>
  <si>
    <t>DeKalb Preparatory Academy Charter</t>
  </si>
  <si>
    <t>DeKalb School of the Arts</t>
  </si>
  <si>
    <t>Dekalb Early College Academy</t>
  </si>
  <si>
    <t>Doraville United Elementary School</t>
  </si>
  <si>
    <t>Dresden Elementary School</t>
  </si>
  <si>
    <t>Druid Hills High School</t>
  </si>
  <si>
    <t>Druid Hills Middle School</t>
  </si>
  <si>
    <t>Dunaire Elementary School</t>
  </si>
  <si>
    <t>Dunwoody Elementary School</t>
  </si>
  <si>
    <t>Dunwoody High School</t>
  </si>
  <si>
    <t>Edward L. Bouie, Sr. Elementary School</t>
  </si>
  <si>
    <t>Eldridge L. Miller Elementary School</t>
  </si>
  <si>
    <t>Elizabeth Andrews High School</t>
  </si>
  <si>
    <t>Evansdale Elementary School</t>
  </si>
  <si>
    <t>Fairington Elementary School</t>
  </si>
  <si>
    <t>Fernbank Elementary School</t>
  </si>
  <si>
    <t>Flat Rock Elementary School</t>
  </si>
  <si>
    <t>Flat Shoals Elementary School</t>
  </si>
  <si>
    <t>GLOBE Academy Charter School I</t>
  </si>
  <si>
    <t>Hambrick Elementary School</t>
  </si>
  <si>
    <t>Henderson Mill Elementary School</t>
  </si>
  <si>
    <t>Hightower Elementary School</t>
  </si>
  <si>
    <t>Huntley Hills Elementary School</t>
  </si>
  <si>
    <t>Idlewood Elementary School</t>
  </si>
  <si>
    <t>Indian Creek Elementary School</t>
  </si>
  <si>
    <t>International Community School</t>
  </si>
  <si>
    <t>Jolly Elementary School</t>
  </si>
  <si>
    <t>Kelley Lake Elementary School</t>
  </si>
  <si>
    <t>Kingsley Elementary School</t>
  </si>
  <si>
    <t>Kittredge Magnet School</t>
  </si>
  <si>
    <t>Laurel Ridge Elementary School</t>
  </si>
  <si>
    <t>Leadership Preparatory Academy</t>
  </si>
  <si>
    <t>Lithonia High School</t>
  </si>
  <si>
    <t>Lithonia Middle School</t>
  </si>
  <si>
    <t>Livsey Elementary School</t>
  </si>
  <si>
    <t>Marbut Elementary School</t>
  </si>
  <si>
    <t>Margaret Harris Comprehensive School</t>
  </si>
  <si>
    <t>Martin Luther King, Jr. High School</t>
  </si>
  <si>
    <t>Mary McLeod Bethune Middle School</t>
  </si>
  <si>
    <t>McLendon Elementary School</t>
  </si>
  <si>
    <t>McNair High School</t>
  </si>
  <si>
    <t>McNair Middle School</t>
  </si>
  <si>
    <t>Midvale Elementary School</t>
  </si>
  <si>
    <t>Miller Grove High School</t>
  </si>
  <si>
    <t>Miller Grove Middle School</t>
  </si>
  <si>
    <t>Montclair Elementary School</t>
  </si>
  <si>
    <t>Montgomery Elementary School</t>
  </si>
  <si>
    <t>Murphey Candler Elementary School</t>
  </si>
  <si>
    <t>Museum School Avondale Estates</t>
  </si>
  <si>
    <t>Narvie Harris Elementary School</t>
  </si>
  <si>
    <t>Oak View Elementary</t>
  </si>
  <si>
    <t>Oakcliff Elementary School</t>
  </si>
  <si>
    <t>Panola Way Elementary School</t>
  </si>
  <si>
    <t>Peachcrest Elementary School</t>
  </si>
  <si>
    <t>Peachtree Middle School</t>
  </si>
  <si>
    <t>Pine Ridge Elementary School</t>
  </si>
  <si>
    <t>Pleasantdale Elementary School</t>
  </si>
  <si>
    <t>Princeton Elementary School</t>
  </si>
  <si>
    <t>Rainbow Elementary School</t>
  </si>
  <si>
    <t>Redan Elementary School</t>
  </si>
  <si>
    <t>Redan High School</t>
  </si>
  <si>
    <t>Redan Middle School</t>
  </si>
  <si>
    <t>Robert Shaw Theme School</t>
  </si>
  <si>
    <t>Rock Chapel Elementary School</t>
  </si>
  <si>
    <t>Rockbridge Elementary School</t>
  </si>
  <si>
    <t>Ronald E McNair Discover Learning Academy Elementary School</t>
  </si>
  <si>
    <t>Rowland Elementary School</t>
  </si>
  <si>
    <t>Sagamore Hills Elementary School</t>
  </si>
  <si>
    <t>Salem Middle School</t>
  </si>
  <si>
    <t>Shadow Rock Elementary School</t>
  </si>
  <si>
    <t>Smoke Rise Elementary School</t>
  </si>
  <si>
    <t>Snapfinger Elementary School</t>
  </si>
  <si>
    <t>Southwest DeKalb High School</t>
  </si>
  <si>
    <t>Stephenson High School</t>
  </si>
  <si>
    <t>Stephenson Middle School</t>
  </si>
  <si>
    <t>Stone Mill Elementary School</t>
  </si>
  <si>
    <t>Stone Mountain Elementary School</t>
  </si>
  <si>
    <t>Stone Mountain High School</t>
  </si>
  <si>
    <t>Stone Mountain Middle School</t>
  </si>
  <si>
    <t>Stoneview Elementary School</t>
  </si>
  <si>
    <t>Tapestry Public Charter School</t>
  </si>
  <si>
    <t>The Champion Middle Theme School</t>
  </si>
  <si>
    <t>Toney Elementary School</t>
  </si>
  <si>
    <t>Towers High School</t>
  </si>
  <si>
    <t>Tucker High School</t>
  </si>
  <si>
    <t>Tucker Middle School</t>
  </si>
  <si>
    <t>Vanderlyn Elementary School</t>
  </si>
  <si>
    <t>Wadsworth Magnet School for High Achievers</t>
  </si>
  <si>
    <t>Woodridge Elementary School</t>
  </si>
  <si>
    <t>Woodward Elementary School</t>
  </si>
  <si>
    <t>Wynbrooke Elementary School</t>
  </si>
  <si>
    <t>Decatur County</t>
  </si>
  <si>
    <t>Bainbridge High School</t>
  </si>
  <si>
    <t>Bainbridge Middle School</t>
  </si>
  <si>
    <t>Hutto Elementary School</t>
  </si>
  <si>
    <t>Jones-Wheat Primary School</t>
  </si>
  <si>
    <t>New Beginning Learning Center</t>
  </si>
  <si>
    <t>West Bainbridge Primary School</t>
  </si>
  <si>
    <t>Dodge County</t>
  </si>
  <si>
    <t>Dodge County Elementary School</t>
  </si>
  <si>
    <t>Dodge County High School</t>
  </si>
  <si>
    <t>Dodge County Middle School</t>
  </si>
  <si>
    <t>Dooly County</t>
  </si>
  <si>
    <t>Dooly County Elementary School</t>
  </si>
  <si>
    <t>Dooly County High School</t>
  </si>
  <si>
    <t>Dooly County Middle School</t>
  </si>
  <si>
    <t>Dougherty County</t>
  </si>
  <si>
    <t>Albany Middle School</t>
  </si>
  <si>
    <t>Alice Coachman Elementary School</t>
  </si>
  <si>
    <t>Dougherty Comprehensive High School</t>
  </si>
  <si>
    <t>International Studies Elementary Charter School</t>
  </si>
  <si>
    <t>Lake Park Elementary School</t>
  </si>
  <si>
    <t>Lamar Reese School of the Arts</t>
  </si>
  <si>
    <t>Lincoln Elementary Magnet School</t>
  </si>
  <si>
    <t>Live Oak Elementary School</t>
  </si>
  <si>
    <t>Merry Acres Middle School</t>
  </si>
  <si>
    <t>Monroe High School</t>
  </si>
  <si>
    <t>Radium Springs Elementary School</t>
  </si>
  <si>
    <t>Radium Springs Middle School</t>
  </si>
  <si>
    <t>Robert A. Cross Middle Magnet</t>
  </si>
  <si>
    <t>Robert H Harvey Elementary School</t>
  </si>
  <si>
    <t>Sherwood Acres Elementary School</t>
  </si>
  <si>
    <t>Turner Elementary School</t>
  </si>
  <si>
    <t>West Town Elementary School</t>
  </si>
  <si>
    <t>Westover High School</t>
  </si>
  <si>
    <t>Douglas County</t>
  </si>
  <si>
    <t>Alexander High School</t>
  </si>
  <si>
    <t>Annette Winn Elementary School</t>
  </si>
  <si>
    <t>Arbor Station Elementary School</t>
  </si>
  <si>
    <t>Beulah Elementary School</t>
  </si>
  <si>
    <t>Bill Arp Elementary School</t>
  </si>
  <si>
    <t>Bright Star Elementary School</t>
  </si>
  <si>
    <t>Brighten Academy</t>
  </si>
  <si>
    <t>Burnett Elementary School</t>
  </si>
  <si>
    <t>Chapel Hill High School</t>
  </si>
  <si>
    <t>Chestnut Log Middle School</t>
  </si>
  <si>
    <t>Dorsett Shoals Elementary School</t>
  </si>
  <si>
    <t>Douglas County High School</t>
  </si>
  <si>
    <t>Factory Shoals Elementary School</t>
  </si>
  <si>
    <t>Factory Shoals Middle School</t>
  </si>
  <si>
    <t>Fairplay Middle School</t>
  </si>
  <si>
    <t>Lithia Springs Comprehensive High School</t>
  </si>
  <si>
    <t>Lithia Springs Elementary School</t>
  </si>
  <si>
    <t>Mason Creek Elementary School</t>
  </si>
  <si>
    <t>Mason Creek Middle School</t>
  </si>
  <si>
    <t>Mirror Lake Elementary School</t>
  </si>
  <si>
    <t>Mount Carmel Elementary School</t>
  </si>
  <si>
    <t>New Manchester Elementary School</t>
  </si>
  <si>
    <t>New Manchester High School</t>
  </si>
  <si>
    <t>North Douglas Elementary School</t>
  </si>
  <si>
    <t>South Douglas Elementary School</t>
  </si>
  <si>
    <t>Stewart Middle School</t>
  </si>
  <si>
    <t>Sweetwater Elementary School</t>
  </si>
  <si>
    <t>Turner Middle School</t>
  </si>
  <si>
    <t>Winston Elementary School</t>
  </si>
  <si>
    <t>Yeager Middle School</t>
  </si>
  <si>
    <t>Dublin City</t>
  </si>
  <si>
    <t>Dublin High School</t>
  </si>
  <si>
    <t>Dublin Middle School</t>
  </si>
  <si>
    <t>Hillcrest Elementary</t>
  </si>
  <si>
    <t>Moore Street Facility</t>
  </si>
  <si>
    <t>Susie Dasher</t>
  </si>
  <si>
    <t>Early County</t>
  </si>
  <si>
    <t>Early County Elementary School</t>
  </si>
  <si>
    <t>Early County High School</t>
  </si>
  <si>
    <t>Early County Middle School</t>
  </si>
  <si>
    <t>Echols County</t>
  </si>
  <si>
    <t>Echols County Elementary/Middle School</t>
  </si>
  <si>
    <t>Echols County High School</t>
  </si>
  <si>
    <t>Effingham County</t>
  </si>
  <si>
    <t>Blandford Elementary School</t>
  </si>
  <si>
    <t>Ebenezer Elementary School</t>
  </si>
  <si>
    <t>Ebenezer Middle School</t>
  </si>
  <si>
    <t>Effingham County High School</t>
  </si>
  <si>
    <t>Effingham County Middle School</t>
  </si>
  <si>
    <t>Guyton Elementary School</t>
  </si>
  <si>
    <t>Marlow Elementary School</t>
  </si>
  <si>
    <t>Rincon Elementary School</t>
  </si>
  <si>
    <t>South Effingham Elementary School</t>
  </si>
  <si>
    <t>South Effingham High School</t>
  </si>
  <si>
    <t>South Effingham Middle School</t>
  </si>
  <si>
    <t>Springfield Elementary School</t>
  </si>
  <si>
    <t>Elbert County</t>
  </si>
  <si>
    <t>Elbert County Elementary School</t>
  </si>
  <si>
    <t>Elbert County High School</t>
  </si>
  <si>
    <t>Elbert County Middle School</t>
  </si>
  <si>
    <t>Elbert County Primary School</t>
  </si>
  <si>
    <t>Emanuel County</t>
  </si>
  <si>
    <t>Emanuel County Institute</t>
  </si>
  <si>
    <t>Swainsboro Elementary School</t>
  </si>
  <si>
    <t>Swainsboro High School</t>
  </si>
  <si>
    <t>Swainsboro Middle School</t>
  </si>
  <si>
    <t>Swainsboro Primary School</t>
  </si>
  <si>
    <t>Twin City Elementary School</t>
  </si>
  <si>
    <t>Evans County</t>
  </si>
  <si>
    <t>Claxton Elementary School</t>
  </si>
  <si>
    <t>Claxton High School</t>
  </si>
  <si>
    <t>Claxton Middle School</t>
  </si>
  <si>
    <t>Second Chance</t>
  </si>
  <si>
    <t>Fannin County</t>
  </si>
  <si>
    <t>East Fannin Elementary School</t>
  </si>
  <si>
    <t>Fannin County High School</t>
  </si>
  <si>
    <t>Fannin County Middle School</t>
  </si>
  <si>
    <t>West Fannin Elementary School</t>
  </si>
  <si>
    <t>Fayette County</t>
  </si>
  <si>
    <t>Bennett's Mill Middle School</t>
  </si>
  <si>
    <t>Braelinn Elementary School</t>
  </si>
  <si>
    <t>Cleveland Elementary School</t>
  </si>
  <si>
    <t>Crabapple Lane Elementary School</t>
  </si>
  <si>
    <t>Fayette County High School</t>
  </si>
  <si>
    <t>Fayetteville Elementary School</t>
  </si>
  <si>
    <t>Flat Rock Middle School</t>
  </si>
  <si>
    <t>Huddleston Elementary School</t>
  </si>
  <si>
    <t>Inman Elementary</t>
  </si>
  <si>
    <t>J.C. Booth Middle School</t>
  </si>
  <si>
    <t>Kedron Elementary School</t>
  </si>
  <si>
    <t>McIntosh High School</t>
  </si>
  <si>
    <t>North Fayette Elementary School</t>
  </si>
  <si>
    <t>Peachtree City Elementary School</t>
  </si>
  <si>
    <t>Peeples Elementary School</t>
  </si>
  <si>
    <t>Rising Starr Middle School</t>
  </si>
  <si>
    <t>Robert J. Burch Elementary School</t>
  </si>
  <si>
    <t>Sandy Creek High School</t>
  </si>
  <si>
    <t>Sara Harp Minter Elementary School</t>
  </si>
  <si>
    <t>Spring Hill Elementary School</t>
  </si>
  <si>
    <t>Starrs Mill High School</t>
  </si>
  <si>
    <t>Whitewater High School</t>
  </si>
  <si>
    <t>Whitewater Middle School</t>
  </si>
  <si>
    <t>Floyd County</t>
  </si>
  <si>
    <t>Alto Park Elementary School</t>
  </si>
  <si>
    <t>Armuchee Elementary School</t>
  </si>
  <si>
    <t>Armuchee High School</t>
  </si>
  <si>
    <t>Armuchee Primary School</t>
  </si>
  <si>
    <t>Coosa High School</t>
  </si>
  <si>
    <t>Coosa Middle School</t>
  </si>
  <si>
    <t>Garden Lakes Elementary School</t>
  </si>
  <si>
    <t>Johnson Elementary</t>
  </si>
  <si>
    <t>Model Elementary School</t>
  </si>
  <si>
    <t>Model High</t>
  </si>
  <si>
    <t>Model Middle School</t>
  </si>
  <si>
    <t>Pepperell Elementary</t>
  </si>
  <si>
    <t>Pepperell High School</t>
  </si>
  <si>
    <t>Pepperell Middle School</t>
  </si>
  <si>
    <t>Pepperell Primary</t>
  </si>
  <si>
    <t>Forsyth County</t>
  </si>
  <si>
    <t>Alliance Academy for Innovation</t>
  </si>
  <si>
    <t>Big Creek Elementary School</t>
  </si>
  <si>
    <t>Brandywine Elementary School</t>
  </si>
  <si>
    <t>Brookwood Elementary</t>
  </si>
  <si>
    <t>Chattahoochee Elementary School</t>
  </si>
  <si>
    <t>Chestatee Elementary</t>
  </si>
  <si>
    <t>Coal Mountain Elementary School</t>
  </si>
  <si>
    <t>Cumming Elementary School</t>
  </si>
  <si>
    <t>Daves Creek Elementary School</t>
  </si>
  <si>
    <t>DeSana Middle School</t>
  </si>
  <si>
    <t>Denmark High School</t>
  </si>
  <si>
    <t>East Forsyth High School</t>
  </si>
  <si>
    <t>Forsyth Central High School</t>
  </si>
  <si>
    <t>George W. Whitlow Elementary</t>
  </si>
  <si>
    <t>Haw Creek Elementary</t>
  </si>
  <si>
    <t>Hendricks Middle School</t>
  </si>
  <si>
    <t>Johns Creek Elementary</t>
  </si>
  <si>
    <t>Kelly Mill Elementary</t>
  </si>
  <si>
    <t>Lambert High School</t>
  </si>
  <si>
    <t>Liberty Middle School</t>
  </si>
  <si>
    <t>Little Mill Middle School</t>
  </si>
  <si>
    <t>Mashburn Elementary School</t>
  </si>
  <si>
    <t>Matt Elementary School</t>
  </si>
  <si>
    <t>Midway Elementary School</t>
  </si>
  <si>
    <t>New Hope Elementary School</t>
  </si>
  <si>
    <t>North Forsyth High School</t>
  </si>
  <si>
    <t>North Forsyth Middle School</t>
  </si>
  <si>
    <t>Otwell Middle School</t>
  </si>
  <si>
    <t>Piney Grove Middle School</t>
  </si>
  <si>
    <t>Poole's Mill Elementary</t>
  </si>
  <si>
    <t>Riverwatch Middle School</t>
  </si>
  <si>
    <t>Sawnee Elementary School</t>
  </si>
  <si>
    <t>Settles Bridge Elementary School</t>
  </si>
  <si>
    <t>Sharon Elementary School</t>
  </si>
  <si>
    <t>Shiloh Point Elementary</t>
  </si>
  <si>
    <t>Silver City Elementary School</t>
  </si>
  <si>
    <t>South Forsyth High School</t>
  </si>
  <si>
    <t>South Forsyth Middle School</t>
  </si>
  <si>
    <t>Vickery Creek Elementary School</t>
  </si>
  <si>
    <t>Vickery Creek Middle School</t>
  </si>
  <si>
    <t>West Forsyth High School</t>
  </si>
  <si>
    <t>Franklin County</t>
  </si>
  <si>
    <t>Carnesville Elementary School</t>
  </si>
  <si>
    <t>Franklin County High School</t>
  </si>
  <si>
    <t>Franklin County Middle School</t>
  </si>
  <si>
    <t>Lavonia Elementary School</t>
  </si>
  <si>
    <t>Royston Elementary School</t>
  </si>
  <si>
    <t>Fulton County</t>
  </si>
  <si>
    <t>Abbotts Hill Elementary School</t>
  </si>
  <si>
    <t>Alpharetta Elementary School</t>
  </si>
  <si>
    <t>Alpharetta High School</t>
  </si>
  <si>
    <t>Amana Academy School</t>
  </si>
  <si>
    <t>Asa Hilliard Elementary School</t>
  </si>
  <si>
    <t>Autrey Mill Middle School</t>
  </si>
  <si>
    <t>Banneker High School</t>
  </si>
  <si>
    <t>Barnwell Elementary School</t>
  </si>
  <si>
    <t>Bethune Elementary School</t>
  </si>
  <si>
    <t>Birmingham Falls Elementary School</t>
  </si>
  <si>
    <t>Brookview Elementary School</t>
  </si>
  <si>
    <t>Cambridge High School</t>
  </si>
  <si>
    <t>Camp Creek Middle School</t>
  </si>
  <si>
    <t>Campbell Elementary School</t>
  </si>
  <si>
    <t>Centennial High School</t>
  </si>
  <si>
    <t>Chattahoochee High School</t>
  </si>
  <si>
    <t>Chattahoochee Hills Charter School</t>
  </si>
  <si>
    <t>Cliftondale Elementary School</t>
  </si>
  <si>
    <t>Cogburn Woods Elementary School</t>
  </si>
  <si>
    <t>College Park Elementary</t>
  </si>
  <si>
    <t>Conley Hills Elementary School</t>
  </si>
  <si>
    <t>Crabapple Crossing Elementary School</t>
  </si>
  <si>
    <t>Crabapple Middle School</t>
  </si>
  <si>
    <t>Creek View Elementary School</t>
  </si>
  <si>
    <t>Creekside High School</t>
  </si>
  <si>
    <t>Dolvin Elementary School</t>
  </si>
  <si>
    <t>Dunwoody Springs Elementary School</t>
  </si>
  <si>
    <t>E. C. West Elementary School</t>
  </si>
  <si>
    <t>Elkins Pointe Middle School</t>
  </si>
  <si>
    <t>Feldwood Elementary School</t>
  </si>
  <si>
    <t>Findley Oaks Elementary School</t>
  </si>
  <si>
    <t>Fulton Academy of Science and Technology</t>
  </si>
  <si>
    <t>Fulton Academy of Virtual Excellence</t>
  </si>
  <si>
    <t>Global Impact Academy</t>
  </si>
  <si>
    <t>Gullatt Elementary School</t>
  </si>
  <si>
    <t>Hamilton E. Holmes Elementary</t>
  </si>
  <si>
    <t>Hapeville Charter Career Academy</t>
  </si>
  <si>
    <t>Hapeville Elementary School</t>
  </si>
  <si>
    <t>Haynes Bridge Middle School</t>
  </si>
  <si>
    <t>Heards Ferry Elementary School</t>
  </si>
  <si>
    <t>Hembree Springs Elementary School</t>
  </si>
  <si>
    <t>High Point Elementary School</t>
  </si>
  <si>
    <t>Hillside Elementary School</t>
  </si>
  <si>
    <t>Holcomb Bridge Middle School</t>
  </si>
  <si>
    <t>Hopewell Middle School</t>
  </si>
  <si>
    <t>Independence High School</t>
  </si>
  <si>
    <t>Innovation Academy</t>
  </si>
  <si>
    <t>Ison Springs Elementary School</t>
  </si>
  <si>
    <t>Johns Creek High School</t>
  </si>
  <si>
    <t>KIPP South Fulton Academy School</t>
  </si>
  <si>
    <t>Lake Forest Elementary</t>
  </si>
  <si>
    <t>Lake Windward Elementary School</t>
  </si>
  <si>
    <t>Langston Hughes High School</t>
  </si>
  <si>
    <t>Lee Elementary School</t>
  </si>
  <si>
    <t>Liberty Point Elementary School</t>
  </si>
  <si>
    <t>Main Street Charter Academy</t>
  </si>
  <si>
    <t>Manning Oaks Elementary School</t>
  </si>
  <si>
    <t>Medlock Bridge Elementary School</t>
  </si>
  <si>
    <t>Milton High School</t>
  </si>
  <si>
    <t>Mimosa Elementary School</t>
  </si>
  <si>
    <t>Mountain Park Elementary School</t>
  </si>
  <si>
    <t>New Prospect Elementary School</t>
  </si>
  <si>
    <t>Nolan Elementary School</t>
  </si>
  <si>
    <t>North Springs High School</t>
  </si>
  <si>
    <t>Northview High School</t>
  </si>
  <si>
    <t>Northwestern Middle School</t>
  </si>
  <si>
    <t>Northwood Elementary School</t>
  </si>
  <si>
    <t>Oakley Elementary School</t>
  </si>
  <si>
    <t>Ocee Elementary School</t>
  </si>
  <si>
    <t>Palmetto Elementary School</t>
  </si>
  <si>
    <t>Parklane Elementary School</t>
  </si>
  <si>
    <t>Paul D. West Middle School</t>
  </si>
  <si>
    <t>Randolph Elementary School</t>
  </si>
  <si>
    <t>Renaissance ES</t>
  </si>
  <si>
    <t>Renaissance Middle School</t>
  </si>
  <si>
    <t>Ridgeview Charter School</t>
  </si>
  <si>
    <t>River Eves Elementary School</t>
  </si>
  <si>
    <t>River Trail Middle School</t>
  </si>
  <si>
    <t>Riverwood International Charter School</t>
  </si>
  <si>
    <t>Roswell High School</t>
  </si>
  <si>
    <t>Roswell North Elementary School</t>
  </si>
  <si>
    <t>S. L. Lewis Elementary School</t>
  </si>
  <si>
    <t>Sandtown Middle School</t>
  </si>
  <si>
    <t>Sandy Springs Middle School</t>
  </si>
  <si>
    <t>Shakerag Elementary School</t>
  </si>
  <si>
    <t>Skyview High School</t>
  </si>
  <si>
    <t>Spalding Drive Elementary</t>
  </si>
  <si>
    <t>State Bridge Crossing Elementary School</t>
  </si>
  <si>
    <t>Stonewall Tell Elementary School</t>
  </si>
  <si>
    <t>Summit Hill Elementary</t>
  </si>
  <si>
    <t>Sweet Apple Elementary School</t>
  </si>
  <si>
    <t>Taylor Road Middle School</t>
  </si>
  <si>
    <t>Tri-Cities High School</t>
  </si>
  <si>
    <t>Vickery Mill Elementary</t>
  </si>
  <si>
    <t>Webb Bridge Middle School</t>
  </si>
  <si>
    <t>Westlake High School</t>
  </si>
  <si>
    <t>Wilson Creek Elementary School</t>
  </si>
  <si>
    <t>Wolf Creek Elementary</t>
  </si>
  <si>
    <t>Woodland Elementary School</t>
  </si>
  <si>
    <t>Woodland Middle School</t>
  </si>
  <si>
    <t>Gainesville City</t>
  </si>
  <si>
    <t>Centennial Arts Academy</t>
  </si>
  <si>
    <t>Enota Multiple Intelligences Academy</t>
  </si>
  <si>
    <t>Fair Street International Academy</t>
  </si>
  <si>
    <t>Gainesville Exploration Academy</t>
  </si>
  <si>
    <t>Gainesville High School</t>
  </si>
  <si>
    <t>Gainesville Middle School East</t>
  </si>
  <si>
    <t>Gainesville Middle School West</t>
  </si>
  <si>
    <t>Mundy Mill Arts Academy</t>
  </si>
  <si>
    <t>New Holland Knowledge Academy</t>
  </si>
  <si>
    <t>Gilmer County</t>
  </si>
  <si>
    <t>Clear Creek Middle School</t>
  </si>
  <si>
    <t>Ellijay Elementary School</t>
  </si>
  <si>
    <t>Gilmer High School</t>
  </si>
  <si>
    <t>Mountain View Elementary</t>
  </si>
  <si>
    <t>Glascock County</t>
  </si>
  <si>
    <t>Glascock County Elementary School</t>
  </si>
  <si>
    <t>Glascock County Middle/High School</t>
  </si>
  <si>
    <t>Glynn County</t>
  </si>
  <si>
    <t>Altama Elementary School</t>
  </si>
  <si>
    <t>Brunswick High School</t>
  </si>
  <si>
    <t>Burroughs-Molette Elementary School</t>
  </si>
  <si>
    <t>Glyndale Elementary School</t>
  </si>
  <si>
    <t>Glynn Academy</t>
  </si>
  <si>
    <t>Glynn Middle</t>
  </si>
  <si>
    <t>Golden Isles Elementary School</t>
  </si>
  <si>
    <t>Goodyear Elementary School</t>
  </si>
  <si>
    <t>Greer Elementary School</t>
  </si>
  <si>
    <t>Jane Macon Middle</t>
  </si>
  <si>
    <t>Needwood Middle School</t>
  </si>
  <si>
    <t>Oglethorpe Point Elementary School</t>
  </si>
  <si>
    <t>Risley Middle School</t>
  </si>
  <si>
    <t>Satilla Marsh Elementary School</t>
  </si>
  <si>
    <t>St. Simons Elementary School</t>
  </si>
  <si>
    <t>Sterling Elementary School</t>
  </si>
  <si>
    <t>Gordon County</t>
  </si>
  <si>
    <t>Ashworth Middle School</t>
  </si>
  <si>
    <t>Belwood Elementary School</t>
  </si>
  <si>
    <t>Fairmount Elementary School</t>
  </si>
  <si>
    <t>Gordon Central High School</t>
  </si>
  <si>
    <t>Red Bud Elementary School</t>
  </si>
  <si>
    <t>Red Bud Middle School</t>
  </si>
  <si>
    <t>Sonoraville Elementary</t>
  </si>
  <si>
    <t>Sonoraville High School</t>
  </si>
  <si>
    <t>Swain Elementary School</t>
  </si>
  <si>
    <t>Tolbert Elementary School</t>
  </si>
  <si>
    <t>Grady County</t>
  </si>
  <si>
    <t>Cairo High School</t>
  </si>
  <si>
    <t>Shiver Elementary School</t>
  </si>
  <si>
    <t>Southside Elementary School</t>
  </si>
  <si>
    <t>Washington Middle School</t>
  </si>
  <si>
    <t>Whigham Elementary School</t>
  </si>
  <si>
    <t>Greene County</t>
  </si>
  <si>
    <t>Anita White Carson Middle School</t>
  </si>
  <si>
    <t>Greene County High School</t>
  </si>
  <si>
    <t>Greene County Primary School</t>
  </si>
  <si>
    <t>LAKE OCONEE CHARTER</t>
  </si>
  <si>
    <t>Lake Oconee Charter High School</t>
  </si>
  <si>
    <t>Griffin-Spalding County</t>
  </si>
  <si>
    <t>Anne Street Elementary School</t>
  </si>
  <si>
    <t>Beaverbrook Elementary School</t>
  </si>
  <si>
    <t>Carver Road Middle School</t>
  </si>
  <si>
    <t>Cowan Road Elementary School</t>
  </si>
  <si>
    <t>Cowan Road Middle School</t>
  </si>
  <si>
    <t>Crescent Road Elementary School</t>
  </si>
  <si>
    <t>Futral Road Elementary School</t>
  </si>
  <si>
    <t>Griffin High School</t>
  </si>
  <si>
    <t>Jackson Road Elementary School</t>
  </si>
  <si>
    <t>Jordan Hill Road Elementary School</t>
  </si>
  <si>
    <t>Kennedy Road Middle School</t>
  </si>
  <si>
    <t>Moore Elementary School</t>
  </si>
  <si>
    <t>Moreland Road Elementary</t>
  </si>
  <si>
    <t>Orrs Elementary School</t>
  </si>
  <si>
    <t>Rehoboth Road Middle School</t>
  </si>
  <si>
    <t>Spalding High School</t>
  </si>
  <si>
    <t>Gwinnett County</t>
  </si>
  <si>
    <t>Alcova Elementary School</t>
  </si>
  <si>
    <t>Alford Elementary</t>
  </si>
  <si>
    <t>Anderson-Livsey Elementary School</t>
  </si>
  <si>
    <t>Annistown Elementary School</t>
  </si>
  <si>
    <t>Arcado Elementary School</t>
  </si>
  <si>
    <t>Archer High School</t>
  </si>
  <si>
    <t>Baggett Elementary School</t>
  </si>
  <si>
    <t>Baldwin Elementary</t>
  </si>
  <si>
    <t>Bay Creek Middle School</t>
  </si>
  <si>
    <t>Beaver Ridge Elementary School</t>
  </si>
  <si>
    <t>Benefield Elementary School</t>
  </si>
  <si>
    <t>Berkeley Lake Elementary School</t>
  </si>
  <si>
    <t>Berkmar High School</t>
  </si>
  <si>
    <t>Berkmar Middle School</t>
  </si>
  <si>
    <t>Bethesda Elementary School</t>
  </si>
  <si>
    <t>Britt Elementary School</t>
  </si>
  <si>
    <t>Brookwood High School</t>
  </si>
  <si>
    <t>Burnette Elementary School</t>
  </si>
  <si>
    <t>Camp Creek Elementary School</t>
  </si>
  <si>
    <t>Cedar Hill Elementary School</t>
  </si>
  <si>
    <t>Centerville Elementary School</t>
  </si>
  <si>
    <t>Central Gwinnett High School</t>
  </si>
  <si>
    <t>Chesney Elementary School</t>
  </si>
  <si>
    <t>Coleman Middle School</t>
  </si>
  <si>
    <t>Collins Hill High School</t>
  </si>
  <si>
    <t>Cooper Elementary School</t>
  </si>
  <si>
    <t>Corley Elementary School</t>
  </si>
  <si>
    <t>Couch Middle School</t>
  </si>
  <si>
    <t>Craig Elementary School</t>
  </si>
  <si>
    <t>Crews Middle School</t>
  </si>
  <si>
    <t>Dacula Elementary School</t>
  </si>
  <si>
    <t>Dacula High School</t>
  </si>
  <si>
    <t>Dacula Middle School</t>
  </si>
  <si>
    <t>Discovery High School</t>
  </si>
  <si>
    <t>Duluth High School</t>
  </si>
  <si>
    <t>Duluth Middle School</t>
  </si>
  <si>
    <t>Duncan Creek Elementary</t>
  </si>
  <si>
    <t>Dyer Elementary School</t>
  </si>
  <si>
    <t>Ferguson Elementary School</t>
  </si>
  <si>
    <t>Five Forks Middle School</t>
  </si>
  <si>
    <t>Fort Daniel Elementary School</t>
  </si>
  <si>
    <t>Freeman's Mill Elementary School</t>
  </si>
  <si>
    <t>Grace Snell Middle School</t>
  </si>
  <si>
    <t>Graves Elementary School</t>
  </si>
  <si>
    <t>Grayson Elementary School</t>
  </si>
  <si>
    <t>Grayson High School</t>
  </si>
  <si>
    <t>Gwin Oaks Elementary School</t>
  </si>
  <si>
    <t>Gwinnett InterVention Education (GIVE) Center East</t>
  </si>
  <si>
    <t>Gwinnett Intervention Education Center (GIVE) West</t>
  </si>
  <si>
    <t>Gwinnett Online Campus</t>
  </si>
  <si>
    <t>Gwinnett School of Mathematics, Science and Technology</t>
  </si>
  <si>
    <t>Harbins Elementary School</t>
  </si>
  <si>
    <t>Harmony Elementary School</t>
  </si>
  <si>
    <t>Harris Elementary School</t>
  </si>
  <si>
    <t>Head Elementary School</t>
  </si>
  <si>
    <t>Hopkins Elementary School</t>
  </si>
  <si>
    <t>Hull Middle School</t>
  </si>
  <si>
    <t>International Transition Center</t>
  </si>
  <si>
    <t>Ivy Creek Elementary School</t>
  </si>
  <si>
    <t>Jenkins Elementary School</t>
  </si>
  <si>
    <t>Jones Middle School</t>
  </si>
  <si>
    <t>Jordan Middle School</t>
  </si>
  <si>
    <t>Kanoheda Elementary School</t>
  </si>
  <si>
    <t>Knight Elementary School</t>
  </si>
  <si>
    <t>Lanier High School</t>
  </si>
  <si>
    <t>Lanier Middle School</t>
  </si>
  <si>
    <t>Lawrenceville Elementary School</t>
  </si>
  <si>
    <t>Level Creek Elementary School</t>
  </si>
  <si>
    <t>Lilburn Elementary School</t>
  </si>
  <si>
    <t>Lilburn Middle School</t>
  </si>
  <si>
    <t>Lovin Elementary School</t>
  </si>
  <si>
    <t>Magill Elementary School</t>
  </si>
  <si>
    <t>Mason Elementary School</t>
  </si>
  <si>
    <t>McClure Health Science High School</t>
  </si>
  <si>
    <t>McConnell Middle School</t>
  </si>
  <si>
    <t>McKendree Elementary School</t>
  </si>
  <si>
    <t>Meadowcreek Elementary School</t>
  </si>
  <si>
    <t>Meadowcreek High School</t>
  </si>
  <si>
    <t>Mill Creek High School</t>
  </si>
  <si>
    <t>Minor Elementary School</t>
  </si>
  <si>
    <t>Moore Middle School</t>
  </si>
  <si>
    <t>Mountain View High School</t>
  </si>
  <si>
    <t>Mulberry Elementary School</t>
  </si>
  <si>
    <t>Nesbit Elementary School</t>
  </si>
  <si>
    <t>New Life Academy of Excellence</t>
  </si>
  <si>
    <t>Norcross Elementary School</t>
  </si>
  <si>
    <t>Norcross High School</t>
  </si>
  <si>
    <t>North Gwinnett High School</t>
  </si>
  <si>
    <t>North Gwinnett Middle School</t>
  </si>
  <si>
    <t>North Metro Academy of Performing Arts</t>
  </si>
  <si>
    <t>Northbrook Middle School</t>
  </si>
  <si>
    <t>Norton Elementary School</t>
  </si>
  <si>
    <t>Osborne Middle School</t>
  </si>
  <si>
    <t>Parkview High School</t>
  </si>
  <si>
    <t>Parsons Elementary School</t>
  </si>
  <si>
    <t>Partee Elementary School</t>
  </si>
  <si>
    <t>Patrick Elementary School</t>
  </si>
  <si>
    <t>Paul Duke STEM High School</t>
  </si>
  <si>
    <t>Peachtree Elementary School</t>
  </si>
  <si>
    <t>Peachtree Ridge High School</t>
  </si>
  <si>
    <t>Pharr Elementary School</t>
  </si>
  <si>
    <t>Phoenix High School</t>
  </si>
  <si>
    <t>Pinckneyville Middle School</t>
  </si>
  <si>
    <t>Puckett's Mill Elementary School</t>
  </si>
  <si>
    <t>Radloff Middle School</t>
  </si>
  <si>
    <t>Richards Middle School</t>
  </si>
  <si>
    <t>Roberts Elementary School</t>
  </si>
  <si>
    <t>Rock Springs Elementary School</t>
  </si>
  <si>
    <t>Rosebud Elementary School</t>
  </si>
  <si>
    <t>Seckinger High School</t>
  </si>
  <si>
    <t>Shiloh Elementary School</t>
  </si>
  <si>
    <t>Shiloh High School</t>
  </si>
  <si>
    <t>Shiloh Middle School</t>
  </si>
  <si>
    <t>Simonton Elementary School</t>
  </si>
  <si>
    <t>Simpson Elementary School</t>
  </si>
  <si>
    <t>Snellville Middle School</t>
  </si>
  <si>
    <t>South Gwinnett High School</t>
  </si>
  <si>
    <t>Starling Elementary School</t>
  </si>
  <si>
    <t>Stripling Elementary School</t>
  </si>
  <si>
    <t>Sugar Hill Elementary School</t>
  </si>
  <si>
    <t>Summerour Middle School</t>
  </si>
  <si>
    <t>Suwanee Elementary School</t>
  </si>
  <si>
    <t>Sweetwater Middle School</t>
  </si>
  <si>
    <t>Sycamore Elementary School</t>
  </si>
  <si>
    <t>Taylor Elementary School</t>
  </si>
  <si>
    <t>Trickum Middle School</t>
  </si>
  <si>
    <t>Trip Elementary School</t>
  </si>
  <si>
    <t>Twin Rivers Middle School</t>
  </si>
  <si>
    <t>Walnut Grove Elementary School</t>
  </si>
  <si>
    <t>Winn Holt Elementary School</t>
  </si>
  <si>
    <t>Woodward Mill Elementary School</t>
  </si>
  <si>
    <t>Habersham County</t>
  </si>
  <si>
    <t>Baldwin Elementary School</t>
  </si>
  <si>
    <t>Clarkesville Elementary School</t>
  </si>
  <si>
    <t>Cornelia Elementary School</t>
  </si>
  <si>
    <t>Demorest Elementary School</t>
  </si>
  <si>
    <t>Fairview Elementary School</t>
  </si>
  <si>
    <t>Habersham Central High School</t>
  </si>
  <si>
    <t>Habersham Ninth Grade Academy</t>
  </si>
  <si>
    <t>Hazel Grove Elementary School</t>
  </si>
  <si>
    <t>Hilliard A. Wilbanks Middle School</t>
  </si>
  <si>
    <t>Level Grove Elementary School</t>
  </si>
  <si>
    <t>North Habersham Middle School</t>
  </si>
  <si>
    <t>South Habersham Middle School</t>
  </si>
  <si>
    <t>Woodville Elementary School</t>
  </si>
  <si>
    <t>Hall County</t>
  </si>
  <si>
    <t>C. W. Davis Middle School</t>
  </si>
  <si>
    <t>Cherokee Bluff High School</t>
  </si>
  <si>
    <t>Cherokee Bluff Middle</t>
  </si>
  <si>
    <t>Chestatee High School</t>
  </si>
  <si>
    <t>Chestatee Middle School</t>
  </si>
  <si>
    <t>Chestnut Mountain Elementary School</t>
  </si>
  <si>
    <t>Chicopee Elementary School</t>
  </si>
  <si>
    <t>East Hall High School</t>
  </si>
  <si>
    <t>East Hall Middle School</t>
  </si>
  <si>
    <t>Flowery Branch Elementary School</t>
  </si>
  <si>
    <t>Flowery Branch High</t>
  </si>
  <si>
    <t>Friendship Elementary School</t>
  </si>
  <si>
    <t>Johnson High School</t>
  </si>
  <si>
    <t>Lanier College and Career Academy</t>
  </si>
  <si>
    <t>Lanier Elementary School</t>
  </si>
  <si>
    <t>Lula Elementary School</t>
  </si>
  <si>
    <t>Lyman Hall Elementary School</t>
  </si>
  <si>
    <t>Martin Elementary School</t>
  </si>
  <si>
    <t>McEver Elementary School</t>
  </si>
  <si>
    <t>Mount Vernon Elementary School</t>
  </si>
  <si>
    <t>Myers Elementary School</t>
  </si>
  <si>
    <t>North Hall High School</t>
  </si>
  <si>
    <t>North Hall Middle School</t>
  </si>
  <si>
    <t>Oakwood Elementary School</t>
  </si>
  <si>
    <t>Riverbend Elementary School</t>
  </si>
  <si>
    <t>Sardis Elementary School</t>
  </si>
  <si>
    <t>South Hall Middle School</t>
  </si>
  <si>
    <t>Spout Springs Elementary School</t>
  </si>
  <si>
    <t>Sugar Hill Elementary</t>
  </si>
  <si>
    <t>Tadmore Elementary School</t>
  </si>
  <si>
    <t>Wauka Mountain Elementary School</t>
  </si>
  <si>
    <t>West Hall High School</t>
  </si>
  <si>
    <t>West Hall Middle School</t>
  </si>
  <si>
    <t>White Sulphur Elementary School</t>
  </si>
  <si>
    <t>World Language Academy</t>
  </si>
  <si>
    <t>World Language Academy Middle School</t>
  </si>
  <si>
    <t>Hancock County</t>
  </si>
  <si>
    <t>Hancock Central High School</t>
  </si>
  <si>
    <t>Hancock Central Middle School</t>
  </si>
  <si>
    <t>Haralson County</t>
  </si>
  <si>
    <t>Buchanan Elementary School</t>
  </si>
  <si>
    <t>Buchanan Primary School</t>
  </si>
  <si>
    <t>Haralson County High School</t>
  </si>
  <si>
    <t>Haralson County Middle School</t>
  </si>
  <si>
    <t>Tallapoosa Primary School</t>
  </si>
  <si>
    <t>West Haralson Elementary School</t>
  </si>
  <si>
    <t>Harris County</t>
  </si>
  <si>
    <t>Creekside School</t>
  </si>
  <si>
    <t>Harris County Carver Middle School</t>
  </si>
  <si>
    <t>Harris County High School</t>
  </si>
  <si>
    <t>Mulberry Creek Elementary School</t>
  </si>
  <si>
    <t>New Mountain Hill Elementary School</t>
  </si>
  <si>
    <t>Park Elementary School</t>
  </si>
  <si>
    <t>Hart County</t>
  </si>
  <si>
    <t>Hart County High School</t>
  </si>
  <si>
    <t>Hart County Middle School</t>
  </si>
  <si>
    <t>Hartwell Elementary School</t>
  </si>
  <si>
    <t>North Hart Elementary School</t>
  </si>
  <si>
    <t>South Hart Elementary School</t>
  </si>
  <si>
    <t>Heard County</t>
  </si>
  <si>
    <t>Centralhatchee Elementary School</t>
  </si>
  <si>
    <t>Ephesus Elementary School</t>
  </si>
  <si>
    <t>Heard County High School</t>
  </si>
  <si>
    <t>Heard County Middle School</t>
  </si>
  <si>
    <t>Henry County</t>
  </si>
  <si>
    <t>Austin Road Middle School</t>
  </si>
  <si>
    <t>Cotton Indian Elementary School</t>
  </si>
  <si>
    <t>Dutchtown Elementary School</t>
  </si>
  <si>
    <t>Dutchtown High</t>
  </si>
  <si>
    <t>Dutchtown Middle School</t>
  </si>
  <si>
    <t>EXCEL Academy</t>
  </si>
  <si>
    <t>Eagle's Landing High School</t>
  </si>
  <si>
    <t>Eagle's Landing Middle School</t>
  </si>
  <si>
    <t>East Lake Elementary</t>
  </si>
  <si>
    <t>Flippen Elementary School</t>
  </si>
  <si>
    <t>Hampton Elementary School</t>
  </si>
  <si>
    <t>Hampton High School</t>
  </si>
  <si>
    <t>Hampton Middle School</t>
  </si>
  <si>
    <t>Locust Grove Elementary School</t>
  </si>
  <si>
    <t>Locust Grove High</t>
  </si>
  <si>
    <t>Locust Grove Middle</t>
  </si>
  <si>
    <t>Luella Elementary School</t>
  </si>
  <si>
    <t>Luella High School</t>
  </si>
  <si>
    <t>Luella Middle School</t>
  </si>
  <si>
    <t>McDonough High School</t>
  </si>
  <si>
    <t>McDonough Middle School</t>
  </si>
  <si>
    <t>New Hope Elementary</t>
  </si>
  <si>
    <t>Oakland Elementary School</t>
  </si>
  <si>
    <t>Ola Elementary School</t>
  </si>
  <si>
    <t>Ola High School</t>
  </si>
  <si>
    <t>Ola Middle School</t>
  </si>
  <si>
    <t>Pate's Creek Elementary School</t>
  </si>
  <si>
    <t>Pleasant Grove Elementary School</t>
  </si>
  <si>
    <t>Red Oak Elementary School</t>
  </si>
  <si>
    <t>Rock Spring Elementary</t>
  </si>
  <si>
    <t>Rocky Creek Elementary</t>
  </si>
  <si>
    <t>Smith-Barnes Elementary School</t>
  </si>
  <si>
    <t>Stockbridge Elementary School</t>
  </si>
  <si>
    <t>Stockbridge High School</t>
  </si>
  <si>
    <t>Stockbridge Middle School</t>
  </si>
  <si>
    <t>Tussahaw Elementary</t>
  </si>
  <si>
    <t>Union Grove High</t>
  </si>
  <si>
    <t>Union Grove Middle</t>
  </si>
  <si>
    <t>Unity Grove Elementary School</t>
  </si>
  <si>
    <t>Walnut Creek Elementary</t>
  </si>
  <si>
    <t>Wesley Lakes Elementary School</t>
  </si>
  <si>
    <t>Houston County</t>
  </si>
  <si>
    <t>Bonaire Elementary School</t>
  </si>
  <si>
    <t>Bonaire Middle School</t>
  </si>
  <si>
    <t>Bonaire Primary School</t>
  </si>
  <si>
    <t>C. B. Watson Primary School</t>
  </si>
  <si>
    <t>David A. Perdue Elementary School</t>
  </si>
  <si>
    <t>David A. Perdue Primary</t>
  </si>
  <si>
    <t>Eagle Springs Elementary</t>
  </si>
  <si>
    <t>Feagin Mill Middle School</t>
  </si>
  <si>
    <t>Hilltop Elementary School</t>
  </si>
  <si>
    <t>Houston County High School</t>
  </si>
  <si>
    <t>Huntington Middle School</t>
  </si>
  <si>
    <t>Kings Chapel Elementary School</t>
  </si>
  <si>
    <t>Lake Joy Elementary School</t>
  </si>
  <si>
    <t>Lake Joy Primary School</t>
  </si>
  <si>
    <t>Langston Road Elementary School</t>
  </si>
  <si>
    <t>Matthew Arthur Elementary School</t>
  </si>
  <si>
    <t>Miller Elementary School</t>
  </si>
  <si>
    <t>Mossy Creek Middle School</t>
  </si>
  <si>
    <t>Northside High School</t>
  </si>
  <si>
    <t>Northside Middle School</t>
  </si>
  <si>
    <t>Parkwood Elementary School</t>
  </si>
  <si>
    <t>Pearl Stephens Elementary School</t>
  </si>
  <si>
    <t>Perry High School</t>
  </si>
  <si>
    <t>Perry Middle School</t>
  </si>
  <si>
    <t>Quail Run Elementary School</t>
  </si>
  <si>
    <t>Shirley Hills Elementary School</t>
  </si>
  <si>
    <t>Thomson Middle School</t>
  </si>
  <si>
    <t>Tucker Elementary School</t>
  </si>
  <si>
    <t>Veterans High School</t>
  </si>
  <si>
    <t>Warner Robins High School</t>
  </si>
  <si>
    <t>Warner Robins Middle School</t>
  </si>
  <si>
    <t>Irwin County</t>
  </si>
  <si>
    <t>Irwin County Elementary School</t>
  </si>
  <si>
    <t>Irwin County High School</t>
  </si>
  <si>
    <t>Irwin County Middle School</t>
  </si>
  <si>
    <t>Jackson County</t>
  </si>
  <si>
    <t>East Jackson Comprehensive High School</t>
  </si>
  <si>
    <t>East Jackson Elementary School</t>
  </si>
  <si>
    <t>East Jackson Middle School</t>
  </si>
  <si>
    <t>Gum Springs Elementary School</t>
  </si>
  <si>
    <t>Jackson County High School</t>
  </si>
  <si>
    <t>Legacy Knoll Middle School</t>
  </si>
  <si>
    <t>Maysville Elementary School</t>
  </si>
  <si>
    <t>North Jackson Elementary School</t>
  </si>
  <si>
    <t>South Jackson Elementary School</t>
  </si>
  <si>
    <t>West Jackson Elementary School</t>
  </si>
  <si>
    <t>West Jackson Middle School</t>
  </si>
  <si>
    <t>Jasper County</t>
  </si>
  <si>
    <t>Jasper County High School</t>
  </si>
  <si>
    <t>Jasper County Middle School</t>
  </si>
  <si>
    <t>Jasper County Primary School</t>
  </si>
  <si>
    <t>Washington Park Elementary School</t>
  </si>
  <si>
    <t>Jeff Davis County</t>
  </si>
  <si>
    <t>Jeff Davis Elementary School</t>
  </si>
  <si>
    <t>Jeff Davis High School</t>
  </si>
  <si>
    <t>Jeff Davis Middle School</t>
  </si>
  <si>
    <t>Jeff Davis Primary School</t>
  </si>
  <si>
    <t>Jefferson City</t>
  </si>
  <si>
    <t>Jefferson Academy</t>
  </si>
  <si>
    <t>Jefferson Elementary School</t>
  </si>
  <si>
    <t>Jefferson High School</t>
  </si>
  <si>
    <t>Jefferson Middle School</t>
  </si>
  <si>
    <t>Jefferson County</t>
  </si>
  <si>
    <t>Carver Elementary School</t>
  </si>
  <si>
    <t>Jefferson County High School</t>
  </si>
  <si>
    <t>Jefferson County Middle School</t>
  </si>
  <si>
    <t>Louisville Academy School</t>
  </si>
  <si>
    <t>Wrens Elementary School</t>
  </si>
  <si>
    <t>Jenkins County</t>
  </si>
  <si>
    <t>Jenkins County Elementary School</t>
  </si>
  <si>
    <t>Jenkins County High School</t>
  </si>
  <si>
    <t>Jenkins County Middle School</t>
  </si>
  <si>
    <t>Johnson County</t>
  </si>
  <si>
    <t>Johnson County Elementary School</t>
  </si>
  <si>
    <t>Johnson County High School</t>
  </si>
  <si>
    <t>Johnson County Middle School</t>
  </si>
  <si>
    <t>Jones County</t>
  </si>
  <si>
    <t>Clifton Ridge Middle School</t>
  </si>
  <si>
    <t>Dames Ferry Elementary School</t>
  </si>
  <si>
    <t>Gray Elementary School</t>
  </si>
  <si>
    <t>Gray Station Middle School</t>
  </si>
  <si>
    <t>Jones County High School</t>
  </si>
  <si>
    <t>Mattie Wells Elementary School</t>
  </si>
  <si>
    <t>Turner Woods Elementary School</t>
  </si>
  <si>
    <t>Lamar County</t>
  </si>
  <si>
    <t>Lamar County Elementary School</t>
  </si>
  <si>
    <t>Lamar County High School</t>
  </si>
  <si>
    <t>Lamar County Middle School</t>
  </si>
  <si>
    <t>Lamar County Primary School</t>
  </si>
  <si>
    <t>Lanier County</t>
  </si>
  <si>
    <t>Lanier County Elementary School</t>
  </si>
  <si>
    <t>Lanier County High School</t>
  </si>
  <si>
    <t>Lanier County Middle School</t>
  </si>
  <si>
    <t>Laurens County</t>
  </si>
  <si>
    <t>East Laurens Elementary School</t>
  </si>
  <si>
    <t>East Laurens High School</t>
  </si>
  <si>
    <t>East Laurens Middle School</t>
  </si>
  <si>
    <t>East Laurens Primary School</t>
  </si>
  <si>
    <t>Northwest Laurens Elementary</t>
  </si>
  <si>
    <t>Southwest Laurens Elementary</t>
  </si>
  <si>
    <t>West Laurens High School</t>
  </si>
  <si>
    <t>West Laurens Middle School</t>
  </si>
  <si>
    <t>Lee County</t>
  </si>
  <si>
    <t>Kinchafoonee Primary School</t>
  </si>
  <si>
    <t>Lee County Elementary School</t>
  </si>
  <si>
    <t>Lee County High School</t>
  </si>
  <si>
    <t>Lee County Middle School East</t>
  </si>
  <si>
    <t>Lee County Middle School West</t>
  </si>
  <si>
    <t>Lee County Primary School</t>
  </si>
  <si>
    <t>Lee High School 9th Grade Campus</t>
  </si>
  <si>
    <t>Twin Oaks Elementary</t>
  </si>
  <si>
    <t>Bradwell Institute</t>
  </si>
  <si>
    <t>Button Gwinnett Elementary School</t>
  </si>
  <si>
    <t>Frank Long Elementary School</t>
  </si>
  <si>
    <t>Joseph Martin Elementary School</t>
  </si>
  <si>
    <t>Lewis Frasier Middle School</t>
  </si>
  <si>
    <t>Liberty County High School</t>
  </si>
  <si>
    <t>Midway Middle School</t>
  </si>
  <si>
    <t>Snelson-Golden Middle School</t>
  </si>
  <si>
    <t>Taylors Creek Elementary School</t>
  </si>
  <si>
    <t>Waldo Pafford Elementary School</t>
  </si>
  <si>
    <t>Lincoln County</t>
  </si>
  <si>
    <t>Lincoln County Elementary School</t>
  </si>
  <si>
    <t>Lincoln County High School</t>
  </si>
  <si>
    <t>Lincoln County Middle School</t>
  </si>
  <si>
    <t>Long County</t>
  </si>
  <si>
    <t>Long County High School</t>
  </si>
  <si>
    <t>Long County Middle School</t>
  </si>
  <si>
    <t>McClelland Elementary School</t>
  </si>
  <si>
    <t>Smiley Elementary School</t>
  </si>
  <si>
    <t>Lowndes County</t>
  </si>
  <si>
    <t>Clyattville Elementary School</t>
  </si>
  <si>
    <t>Dewar Elementary</t>
  </si>
  <si>
    <t>Hahira Elementary School</t>
  </si>
  <si>
    <t>Hahira Middle School</t>
  </si>
  <si>
    <t>Lowndes High School</t>
  </si>
  <si>
    <t>Lowndes Middle School</t>
  </si>
  <si>
    <t>Moulton-Branch Elementary School</t>
  </si>
  <si>
    <t>Pine Grove Elementary School</t>
  </si>
  <si>
    <t>Pine Grove Middle School</t>
  </si>
  <si>
    <t>Lumpkin County</t>
  </si>
  <si>
    <t>Blackburn Elementary School</t>
  </si>
  <si>
    <t>Cottrell Elementary School</t>
  </si>
  <si>
    <t>Long Branch Elementary School</t>
  </si>
  <si>
    <t>Lumpkin County High School</t>
  </si>
  <si>
    <t>Lumpkin County Middle School</t>
  </si>
  <si>
    <t>Macon County</t>
  </si>
  <si>
    <t>Macon County Elementary School</t>
  </si>
  <si>
    <t>Macon County High School</t>
  </si>
  <si>
    <t>Macon County Middle School</t>
  </si>
  <si>
    <t>Madison County</t>
  </si>
  <si>
    <t>Colbert Elementary School</t>
  </si>
  <si>
    <t>Comer Elementary School</t>
  </si>
  <si>
    <t>Danielsville Elementary School</t>
  </si>
  <si>
    <t>Hull-Sanford Elementary School</t>
  </si>
  <si>
    <t>Ila Elementary School</t>
  </si>
  <si>
    <t>Madison County High School</t>
  </si>
  <si>
    <t>Madison County Middle School</t>
  </si>
  <si>
    <t>Marietta City</t>
  </si>
  <si>
    <t>A.L. Burruss Elementary School</t>
  </si>
  <si>
    <t>Dunleith Elementary School</t>
  </si>
  <si>
    <t>Hickory Hills Elementary School</t>
  </si>
  <si>
    <t>Lockheed Elementary School</t>
  </si>
  <si>
    <t>Marietta Center for Advanced Academics</t>
  </si>
  <si>
    <t>Marietta High School</t>
  </si>
  <si>
    <t>Marietta Middle School</t>
  </si>
  <si>
    <t>Marietta Sixth Grade Academy</t>
  </si>
  <si>
    <t>Park Street Elementary School</t>
  </si>
  <si>
    <t>Sawyer Road Elementary School</t>
  </si>
  <si>
    <t>Marion County</t>
  </si>
  <si>
    <t>L. K. Moss Elementary School</t>
  </si>
  <si>
    <t>Marion County Middle/High School</t>
  </si>
  <si>
    <t>McDuffie County</t>
  </si>
  <si>
    <t>Dearing Elementary School</t>
  </si>
  <si>
    <t>Maxwell Elementary School</t>
  </si>
  <si>
    <t>Norris Elementary School</t>
  </si>
  <si>
    <t>Thomson Elementary School</t>
  </si>
  <si>
    <t>Thomson High School</t>
  </si>
  <si>
    <t>Thomson-McDuffie Middle School</t>
  </si>
  <si>
    <t>McIntosh County</t>
  </si>
  <si>
    <t>McIntosh Academy</t>
  </si>
  <si>
    <t>McIntosh County Middle School</t>
  </si>
  <si>
    <t>Todd Grant Elementary School</t>
  </si>
  <si>
    <t>Meriwether County</t>
  </si>
  <si>
    <t>Greenville High School</t>
  </si>
  <si>
    <t>Greenville Middle School</t>
  </si>
  <si>
    <t>Manchester High School</t>
  </si>
  <si>
    <t>Manchester Middle School</t>
  </si>
  <si>
    <t>Unity Elementary School (PK-5)</t>
  </si>
  <si>
    <t>Miller County</t>
  </si>
  <si>
    <t>Miller County Elementary School</t>
  </si>
  <si>
    <t>Miller County High School</t>
  </si>
  <si>
    <t>Miller County Middle School</t>
  </si>
  <si>
    <t>Mitchell County</t>
  </si>
  <si>
    <t>Mitchell County Elementary School</t>
  </si>
  <si>
    <t>Mitchell County High School</t>
  </si>
  <si>
    <t>Mitchell County Middle School</t>
  </si>
  <si>
    <t>Mitchell County Primary School</t>
  </si>
  <si>
    <t>Monroe County</t>
  </si>
  <si>
    <t>Katherine B. Sutton Elementary School</t>
  </si>
  <si>
    <t>Mary Persons High School</t>
  </si>
  <si>
    <t>Monroe County Middle School, Banks Stephens Campus</t>
  </si>
  <si>
    <t>Samuel E. Hubbard Elementary School</t>
  </si>
  <si>
    <t>T.G. Scott Elementary School</t>
  </si>
  <si>
    <t>Montgomery County</t>
  </si>
  <si>
    <t>Montgomery County Elementary School</t>
  </si>
  <si>
    <t>Montgomery County High School</t>
  </si>
  <si>
    <t>Montgomery County Middle School</t>
  </si>
  <si>
    <t>Morgan County</t>
  </si>
  <si>
    <t>Morgan County Elementary School</t>
  </si>
  <si>
    <t>Morgan County High School</t>
  </si>
  <si>
    <t>Morgan County Middle School</t>
  </si>
  <si>
    <t>Morgan County Primary School</t>
  </si>
  <si>
    <t>Murray County</t>
  </si>
  <si>
    <t>Bagley Middle School</t>
  </si>
  <si>
    <t>Chatsworth Elementary School</t>
  </si>
  <si>
    <t>Coker Elementary School</t>
  </si>
  <si>
    <t>Eton Elementary School</t>
  </si>
  <si>
    <t>Gladden Middle School</t>
  </si>
  <si>
    <t>Murray County High School</t>
  </si>
  <si>
    <t>North Murray High School</t>
  </si>
  <si>
    <t>Northwest Elementary School</t>
  </si>
  <si>
    <t>Pleasant Valley Innovative School</t>
  </si>
  <si>
    <t>Spring Place Elementary School</t>
  </si>
  <si>
    <t>Woodlawn Elementary School</t>
  </si>
  <si>
    <t>Muscogee County</t>
  </si>
  <si>
    <t>Aaron Cohn Middle School</t>
  </si>
  <si>
    <t>Allen Elementary School</t>
  </si>
  <si>
    <t>Arnold Middle School</t>
  </si>
  <si>
    <t>Baker Middle School</t>
  </si>
  <si>
    <t>Blackmon Road Middle School</t>
  </si>
  <si>
    <t>Blanchard Elementary School</t>
  </si>
  <si>
    <t>Brewer Elementary School</t>
  </si>
  <si>
    <t>Britt David Elementary Computer Magnet Academy</t>
  </si>
  <si>
    <t>Clubview Elementary School</t>
  </si>
  <si>
    <t>Columbus High School</t>
  </si>
  <si>
    <t>Dawson Elementary School</t>
  </si>
  <si>
    <t>Dimon Elementary</t>
  </si>
  <si>
    <t>Dorothy Height Elementary School</t>
  </si>
  <si>
    <t>Double Churches Elementary School</t>
  </si>
  <si>
    <t>Double Churches Middle School</t>
  </si>
  <si>
    <t>Downtown Elementary Magnet Academy</t>
  </si>
  <si>
    <t>Eagle Ridge Academy</t>
  </si>
  <si>
    <t>East Columbus Magnet Academy</t>
  </si>
  <si>
    <t>Eddy Middle School</t>
  </si>
  <si>
    <t>Forrest Road Elementary School</t>
  </si>
  <si>
    <t>Fort Middle School</t>
  </si>
  <si>
    <t>Fox Elementary School</t>
  </si>
  <si>
    <t>Gentian Elementary School</t>
  </si>
  <si>
    <t>Georgetown Elementary School</t>
  </si>
  <si>
    <t>Hannan Elementary</t>
  </si>
  <si>
    <t>Hardaway High School</t>
  </si>
  <si>
    <t>Johnson Elementary School</t>
  </si>
  <si>
    <t>Jordan Vocational High School</t>
  </si>
  <si>
    <t>Kendrick High School</t>
  </si>
  <si>
    <t>Key Elementary School</t>
  </si>
  <si>
    <t>Lonnie Jackson Academy</t>
  </si>
  <si>
    <t>Mathews Elementary School</t>
  </si>
  <si>
    <t>Midland Academy</t>
  </si>
  <si>
    <t>Midland Middle School</t>
  </si>
  <si>
    <t>North Columbus Elementary</t>
  </si>
  <si>
    <t>Rainey McCullers School of the Arts</t>
  </si>
  <si>
    <t>Reese Road Leadership Academy</t>
  </si>
  <si>
    <t>Rigdon Road Elementary School</t>
  </si>
  <si>
    <t>River Road Elementary School</t>
  </si>
  <si>
    <t>Rothschild Leadership Academy School</t>
  </si>
  <si>
    <t>Shaw High School</t>
  </si>
  <si>
    <t>South Columbus Elementary School</t>
  </si>
  <si>
    <t>Spencer High School</t>
  </si>
  <si>
    <t>St. Marys Video and Communication Technology</t>
  </si>
  <si>
    <t>Veterans Memorial Middle School</t>
  </si>
  <si>
    <t>Waddell Elementary School</t>
  </si>
  <si>
    <t>Wesley Heights Elementary School</t>
  </si>
  <si>
    <t>Wynnton Elementary School</t>
  </si>
  <si>
    <t>Newton County</t>
  </si>
  <si>
    <t>Alcovy High School</t>
  </si>
  <si>
    <t>Clements Middle School</t>
  </si>
  <si>
    <t>Cousins Middle School</t>
  </si>
  <si>
    <t>East Newton Elementary School</t>
  </si>
  <si>
    <t>Eastside High School</t>
  </si>
  <si>
    <t>Fairview Elementary</t>
  </si>
  <si>
    <t>Flint Hill Elementary</t>
  </si>
  <si>
    <t>Heard-Mixon Elementary School</t>
  </si>
  <si>
    <t>Indian Creek Middle School</t>
  </si>
  <si>
    <t>Live Oak Elementary</t>
  </si>
  <si>
    <t>Livingston Elementary School</t>
  </si>
  <si>
    <t>Mansfield Elementary School</t>
  </si>
  <si>
    <t>Middle Ridge Elementary School</t>
  </si>
  <si>
    <t>Newton County Theme School at Ficquett</t>
  </si>
  <si>
    <t>Newton High School</t>
  </si>
  <si>
    <t>Oak Hill Elementary School</t>
  </si>
  <si>
    <t>Porterdale Elementary School</t>
  </si>
  <si>
    <t>Rocky Plains Elementary School</t>
  </si>
  <si>
    <t>South Salem Elementary School</t>
  </si>
  <si>
    <t>West Newton Elementary School</t>
  </si>
  <si>
    <t>Oconee County</t>
  </si>
  <si>
    <t>Colham Ferry Elementary School</t>
  </si>
  <si>
    <t>Dove Creek Elementary School</t>
  </si>
  <si>
    <t>Dove Creek Middle School</t>
  </si>
  <si>
    <t>High Shoals Elementary School</t>
  </si>
  <si>
    <t>Malcom Bridge Elementary School</t>
  </si>
  <si>
    <t>Malcom Bridge Middle School</t>
  </si>
  <si>
    <t>North Oconee High School</t>
  </si>
  <si>
    <t>Oconee County Elementary School</t>
  </si>
  <si>
    <t>Oconee County High School</t>
  </si>
  <si>
    <t>Oconee County Middle School</t>
  </si>
  <si>
    <t>Oconee County Primary School</t>
  </si>
  <si>
    <t>Rocky Branch Elementary School</t>
  </si>
  <si>
    <t>Oglethorpe County</t>
  </si>
  <si>
    <t>Oglethorpe County Elementary School</t>
  </si>
  <si>
    <t>Oglethorpe County High School</t>
  </si>
  <si>
    <t>Oglethorpe County Middle School</t>
  </si>
  <si>
    <t>Oglethorpe County Primary School</t>
  </si>
  <si>
    <t>Paulding County</t>
  </si>
  <si>
    <t>Bessie L. Baggett Elementary</t>
  </si>
  <si>
    <t>Burnt Hickory Elementary School</t>
  </si>
  <si>
    <t>C. A. Roberts Elementary School</t>
  </si>
  <si>
    <t>Carl Scoggins Sr. Middle School</t>
  </si>
  <si>
    <t>Connie Dugan Elementary School</t>
  </si>
  <si>
    <t>Dallas Elementary School</t>
  </si>
  <si>
    <t>East Paulding High School</t>
  </si>
  <si>
    <t>East Paulding Middle School</t>
  </si>
  <si>
    <t>Floyd L. Shelton Elementary School at Crossroad</t>
  </si>
  <si>
    <t>Hal Hutchens Elementary</t>
  </si>
  <si>
    <t>Herschel Jones Middle School</t>
  </si>
  <si>
    <t>Hiram Elementary School</t>
  </si>
  <si>
    <t>Hiram High School</t>
  </si>
  <si>
    <t>Irma C. Austin Middle School</t>
  </si>
  <si>
    <t>J. A. Dobbins Middle School</t>
  </si>
  <si>
    <t>Lena Mae Moses Middle School</t>
  </si>
  <si>
    <t>Lillian C. Poole Elementary School</t>
  </si>
  <si>
    <t>McGarity Elementary School</t>
  </si>
  <si>
    <t>Nebo Elementary School</t>
  </si>
  <si>
    <t>New Georgia Elementary School</t>
  </si>
  <si>
    <t>North Paulding High School</t>
  </si>
  <si>
    <t>P. B. Ritch Middle School</t>
  </si>
  <si>
    <t>Paulding County High School</t>
  </si>
  <si>
    <t>Roland W. Russom Elementary</t>
  </si>
  <si>
    <t>Sam D. Panter Elementary School</t>
  </si>
  <si>
    <t>Sammy McClure Sr. Middle School</t>
  </si>
  <si>
    <t>Sara M. Ragsdale Elementary</t>
  </si>
  <si>
    <t>South Paulding High School</t>
  </si>
  <si>
    <t>South Paulding Middle School</t>
  </si>
  <si>
    <t>WC Abney Elementary</t>
  </si>
  <si>
    <t>Peach County</t>
  </si>
  <si>
    <t>Byron Elementary School</t>
  </si>
  <si>
    <t>Byron Middle School</t>
  </si>
  <si>
    <t>Fort Valley Middle School</t>
  </si>
  <si>
    <t>Hunt Elementary School</t>
  </si>
  <si>
    <t>Kay Road Elementary</t>
  </si>
  <si>
    <t>Peach County Achievement Academy</t>
  </si>
  <si>
    <t>Peach County High School</t>
  </si>
  <si>
    <t>Pelham City</t>
  </si>
  <si>
    <t>Pelham City Middle School</t>
  </si>
  <si>
    <t>Pelham Elementary School</t>
  </si>
  <si>
    <t>Pelham High School</t>
  </si>
  <si>
    <t>Pickens County</t>
  </si>
  <si>
    <t>Hill City Elementary School</t>
  </si>
  <si>
    <t>Jasper Middle School</t>
  </si>
  <si>
    <t>Pickens County High School</t>
  </si>
  <si>
    <t>Pickens County Junior High School</t>
  </si>
  <si>
    <t>Tate Elementary School</t>
  </si>
  <si>
    <t>Pierce County</t>
  </si>
  <si>
    <t>Blackshear Elementary School</t>
  </si>
  <si>
    <t>Patterson Elementary School</t>
  </si>
  <si>
    <t>Pierce County High School</t>
  </si>
  <si>
    <t>Pierce County Middle School</t>
  </si>
  <si>
    <t>Pike County</t>
  </si>
  <si>
    <t>Pike County Elementary School</t>
  </si>
  <si>
    <t>Pike County High School</t>
  </si>
  <si>
    <t>Pike County Middle School</t>
  </si>
  <si>
    <t>Pike County Primary School</t>
  </si>
  <si>
    <t>Zebulon High School</t>
  </si>
  <si>
    <t>Polk County</t>
  </si>
  <si>
    <t>Cedartown High School</t>
  </si>
  <si>
    <t>Cedartown Middle School</t>
  </si>
  <si>
    <t>Cherokee Elementary School</t>
  </si>
  <si>
    <t>Northside Elementary</t>
  </si>
  <si>
    <t>Rockmart High School</t>
  </si>
  <si>
    <t>Rockmart Middle School</t>
  </si>
  <si>
    <t>Van Wert Elementary School</t>
  </si>
  <si>
    <t>Youngs Grove Elementary School</t>
  </si>
  <si>
    <t>Pulaski County</t>
  </si>
  <si>
    <t>Hawkinsville High School</t>
  </si>
  <si>
    <t>Pulaski County Elementary School</t>
  </si>
  <si>
    <t>Pulaski County Middle School</t>
  </si>
  <si>
    <t>Putnam County</t>
  </si>
  <si>
    <t>Putnam County Elementary School</t>
  </si>
  <si>
    <t>Putnam County High School</t>
  </si>
  <si>
    <t>Putnam County Middle School</t>
  </si>
  <si>
    <t>Putnam County Primary School</t>
  </si>
  <si>
    <t>Quitman County</t>
  </si>
  <si>
    <t>Quitman County Elementary</t>
  </si>
  <si>
    <t>Quitman County High School</t>
  </si>
  <si>
    <t>Rabun County</t>
  </si>
  <si>
    <t>Rabun County Elementary School</t>
  </si>
  <si>
    <t>Rabun County High School</t>
  </si>
  <si>
    <t>Rabun County Middle School</t>
  </si>
  <si>
    <t>Rabun County Primary School</t>
  </si>
  <si>
    <t>Randolph County</t>
  </si>
  <si>
    <t>Randolph Clay High School</t>
  </si>
  <si>
    <t>Randolph County Elementary School</t>
  </si>
  <si>
    <t>Randolph County Middle School</t>
  </si>
  <si>
    <t>Richmond County</t>
  </si>
  <si>
    <t>Academy of Richmond County High School</t>
  </si>
  <si>
    <t>Barton Chapel Elementary School</t>
  </si>
  <si>
    <t>Bayvale Elementary School</t>
  </si>
  <si>
    <t>Belair K-8 School</t>
  </si>
  <si>
    <t>Blythe Elementary School</t>
  </si>
  <si>
    <t>Butler High School</t>
  </si>
  <si>
    <t>Copeland Elementary School</t>
  </si>
  <si>
    <t>Cross Creek High School</t>
  </si>
  <si>
    <t>Davidson Magnet School</t>
  </si>
  <si>
    <t>Deer Chase Elementary School</t>
  </si>
  <si>
    <t>Diamond Lakes Elementary School</t>
  </si>
  <si>
    <t>Dorothy Hains Elementary School</t>
  </si>
  <si>
    <t>Freedom Park Elementary</t>
  </si>
  <si>
    <t>Garrett Elementary School</t>
  </si>
  <si>
    <t>Glenn Hills Elementary School</t>
  </si>
  <si>
    <t>Glenn Hills High School</t>
  </si>
  <si>
    <t>Glenn Hills Middle School</t>
  </si>
  <si>
    <t>Goshen Elementary School</t>
  </si>
  <si>
    <t>Gracewood Elementary School</t>
  </si>
  <si>
    <t>Hephzibah Elementary School</t>
  </si>
  <si>
    <t>Hephzibah High School</t>
  </si>
  <si>
    <t>Hephzibah Middle School</t>
  </si>
  <si>
    <t>Jamestown Elementary School</t>
  </si>
  <si>
    <t>Jenkins-White Elementary School</t>
  </si>
  <si>
    <t>Johnson Magnet</t>
  </si>
  <si>
    <t>Josey High School</t>
  </si>
  <si>
    <t>Lake Forest Hills Elementary School</t>
  </si>
  <si>
    <t>Lamar - Milledge Elementary School</t>
  </si>
  <si>
    <t>Laney High School</t>
  </si>
  <si>
    <t>Langford Middle School</t>
  </si>
  <si>
    <t>McBean Elementary School</t>
  </si>
  <si>
    <t>Meadowbrook Elementary School</t>
  </si>
  <si>
    <t>Merry Elementary School</t>
  </si>
  <si>
    <t>Monte Sano Elementary School</t>
  </si>
  <si>
    <t>Murphey Middle School</t>
  </si>
  <si>
    <t>Pine Hill Middle School</t>
  </si>
  <si>
    <t>Richmond County Technical Career Magnet School</t>
  </si>
  <si>
    <t>Richmond Hill K-8</t>
  </si>
  <si>
    <t>Spirit Creek Middle School</t>
  </si>
  <si>
    <t>Sue Reynolds Elementary School</t>
  </si>
  <si>
    <t>Tobacco Road Elementary School</t>
  </si>
  <si>
    <t>Tutt Middle School</t>
  </si>
  <si>
    <t>W.S. Hornsby Elementary School</t>
  </si>
  <si>
    <t>W.S. Hornsby Middle School</t>
  </si>
  <si>
    <t>Walker Traditional Elementary School</t>
  </si>
  <si>
    <t>Warren Road Elementary School</t>
  </si>
  <si>
    <t>Wheeless Road Elementary School</t>
  </si>
  <si>
    <t>Wilkinson Gardens Elementary School</t>
  </si>
  <si>
    <t>Rockdale County</t>
  </si>
  <si>
    <t>Barksdale Elementary School</t>
  </si>
  <si>
    <t>Conyers Middle School</t>
  </si>
  <si>
    <t>Edwards Middle School</t>
  </si>
  <si>
    <t>General Ray Davis Middle School</t>
  </si>
  <si>
    <t>Hicks Elementary School</t>
  </si>
  <si>
    <t>Hightower Trail Elementary School</t>
  </si>
  <si>
    <t>Honey Creek Elementary School</t>
  </si>
  <si>
    <t>House Elementary School</t>
  </si>
  <si>
    <t>Lorraine Elementary School</t>
  </si>
  <si>
    <t>Memorial Middle School</t>
  </si>
  <si>
    <t>Peek's Chapel Elementary</t>
  </si>
  <si>
    <t>Pine Street Elementary School</t>
  </si>
  <si>
    <t>Rockdale County High School</t>
  </si>
  <si>
    <t>Salem High School</t>
  </si>
  <si>
    <t>Shoal Creek Elementary School</t>
  </si>
  <si>
    <t>Sims Elementary School</t>
  </si>
  <si>
    <t>Rome City</t>
  </si>
  <si>
    <t>Anna K. Davie Elementary</t>
  </si>
  <si>
    <t>East Central Elementary School</t>
  </si>
  <si>
    <t>Elm Street Elementary</t>
  </si>
  <si>
    <t>Main Elementary School</t>
  </si>
  <si>
    <t>Rome High School</t>
  </si>
  <si>
    <t>Rome Middle School</t>
  </si>
  <si>
    <t>West Central Elementary School</t>
  </si>
  <si>
    <t>West End Elementary School</t>
  </si>
  <si>
    <t>Savannah-Chatham County</t>
  </si>
  <si>
    <t>Andrea B Williams Elementary School</t>
  </si>
  <si>
    <t>Beach High School</t>
  </si>
  <si>
    <t>Bloomingdale Elementary School</t>
  </si>
  <si>
    <t>Butler Elementary School</t>
  </si>
  <si>
    <t>Coastal Empire Montessori Charter School</t>
  </si>
  <si>
    <t>Coastal Middle School</t>
  </si>
  <si>
    <t>DeRenne Middle School</t>
  </si>
  <si>
    <t>Ellis Elementary School</t>
  </si>
  <si>
    <t>Esther F. Garrison School for the Arts</t>
  </si>
  <si>
    <t>Gadsden Elementary School</t>
  </si>
  <si>
    <t>Garden City Elementary School</t>
  </si>
  <si>
    <t>Georgetown School</t>
  </si>
  <si>
    <t>Godley Station School</t>
  </si>
  <si>
    <t>Gould Elementary School</t>
  </si>
  <si>
    <t>Groves High School</t>
  </si>
  <si>
    <t>Haven Elementary School</t>
  </si>
  <si>
    <t>Hesse School</t>
  </si>
  <si>
    <t>Hodge Elementary School</t>
  </si>
  <si>
    <t>Hubert Middle School</t>
  </si>
  <si>
    <t>Islands High School</t>
  </si>
  <si>
    <t>Isle of Hope School</t>
  </si>
  <si>
    <t>Jacob G. Smith Elementary School</t>
  </si>
  <si>
    <t>Jenkins High School</t>
  </si>
  <si>
    <t>Largo-Tibet Elementary School</t>
  </si>
  <si>
    <t>Marshpoint Elementary School</t>
  </si>
  <si>
    <t>May Howard Elementary School</t>
  </si>
  <si>
    <t>Mercer Middle School</t>
  </si>
  <si>
    <t>Myers Middle School</t>
  </si>
  <si>
    <t>New Hampstead High School</t>
  </si>
  <si>
    <t>New Hampstead K-8 School</t>
  </si>
  <si>
    <t>Oglethorpe Charter School</t>
  </si>
  <si>
    <t>Otis J Brock III Elementary School</t>
  </si>
  <si>
    <t>Pooler Elementary School</t>
  </si>
  <si>
    <t>Pulaski Elementary SChool</t>
  </si>
  <si>
    <t>Rice Creek School</t>
  </si>
  <si>
    <t>Savannah Arts Academy</t>
  </si>
  <si>
    <t>Savannah Classical Academy Charter High School</t>
  </si>
  <si>
    <t>Savannah Classical Academy Charter School</t>
  </si>
  <si>
    <t>Savannah Early College High School</t>
  </si>
  <si>
    <t>Savannah-Chatham E-Learning Academy</t>
  </si>
  <si>
    <t>School of Humanities at Juliette Gordon Low</t>
  </si>
  <si>
    <t>Shuman Elementary School</t>
  </si>
  <si>
    <t>Southwest Elementary School</t>
  </si>
  <si>
    <t>Southwest Middle School</t>
  </si>
  <si>
    <t>Susie King Taylor Community School</t>
  </si>
  <si>
    <t>The STEM Academy at Bartlett</t>
  </si>
  <si>
    <t>The School of Liberal Studies at Savannah High</t>
  </si>
  <si>
    <t>Tybee Island Maritime Academy School</t>
  </si>
  <si>
    <t>West Chatham Elementary School</t>
  </si>
  <si>
    <t>West Chatham Middle School</t>
  </si>
  <si>
    <t>White Bluff Elementary School</t>
  </si>
  <si>
    <t>Windsor Forest Elementary School</t>
  </si>
  <si>
    <t>Windsor Forest High School</t>
  </si>
  <si>
    <t>Woodville-Tompkins Technical and Career High School</t>
  </si>
  <si>
    <t>Schley County</t>
  </si>
  <si>
    <t>Schley County Elementary School</t>
  </si>
  <si>
    <t>Schley Middle High School</t>
  </si>
  <si>
    <t>Screven County</t>
  </si>
  <si>
    <t>Screven County Elementary School</t>
  </si>
  <si>
    <t>Screven County High School</t>
  </si>
  <si>
    <t>Screven County Middle School</t>
  </si>
  <si>
    <t>Seminole County</t>
  </si>
  <si>
    <t>Seminole County Elementary School</t>
  </si>
  <si>
    <t>Seminole County Middle/High School</t>
  </si>
  <si>
    <t>Social Circle City</t>
  </si>
  <si>
    <t>Social Circle Elementary School</t>
  </si>
  <si>
    <t>Social Circle High School</t>
  </si>
  <si>
    <t>Social Circle Middle School</t>
  </si>
  <si>
    <t>Social Circle Primary School</t>
  </si>
  <si>
    <t>State Charter Schools II- Academy For Classical Education</t>
  </si>
  <si>
    <t>Academy For Classical Education</t>
  </si>
  <si>
    <t>State Charter Schools II- Amana Academy West Atlanta</t>
  </si>
  <si>
    <t>Amana Academy West Atlanta</t>
  </si>
  <si>
    <t>State Charter Schools II- Atlanta Heights Charter School</t>
  </si>
  <si>
    <t>Atlanta Heights Charter School</t>
  </si>
  <si>
    <t>State Charter Schools II- Atlanta SMART Academy</t>
  </si>
  <si>
    <t>Atlanta SMART Academy</t>
  </si>
  <si>
    <t>State Charter Schools II- Atlanta Unbound Academy</t>
  </si>
  <si>
    <t>Atlanta Unbound Academy</t>
  </si>
  <si>
    <t>State Charter Schools II- Baconton Community Charter School</t>
  </si>
  <si>
    <t>Baconton Community Charter School</t>
  </si>
  <si>
    <t>State Charter Schools II- Brookhaven Innovation Academy</t>
  </si>
  <si>
    <t>Brookhaven Innovation Academy</t>
  </si>
  <si>
    <t>State Charter Schools II- Cirrus Charter Academy</t>
  </si>
  <si>
    <t>Cirrus Charter Academy</t>
  </si>
  <si>
    <t>State Charter Schools II- Coweta Charter Academy</t>
  </si>
  <si>
    <t>Coweta Charter Academy</t>
  </si>
  <si>
    <t>State Charter Schools II- D.E.L.T.A. STEAM Academy</t>
  </si>
  <si>
    <t>D.E.L.T.A. STEAM Academy</t>
  </si>
  <si>
    <t>State Charter Schools II- DeKalb Brilliance Academy</t>
  </si>
  <si>
    <t>DeKalb Brilliance Academy</t>
  </si>
  <si>
    <t>State Charter Schools II- Destinations Career Academy of Georgia (Virtual)</t>
  </si>
  <si>
    <t>Destinations Career Academy of Georgia (Virtual)</t>
  </si>
  <si>
    <t>State Charter Schools II- Ethos Classical Charter School</t>
  </si>
  <si>
    <t>Ethos Classical Charter School</t>
  </si>
  <si>
    <t>State Charter Schools II- Fulton Leadership Academy</t>
  </si>
  <si>
    <t>Fulton Leadership Academy</t>
  </si>
  <si>
    <t>State Charter Schools II- Furlow Charter School</t>
  </si>
  <si>
    <t>Furlow Charter School</t>
  </si>
  <si>
    <t>State Charter Schools II- Genesis Innovation Academy for Boys</t>
  </si>
  <si>
    <t>Genesis Innovation Academy for Boys</t>
  </si>
  <si>
    <t>State Charter Schools II- Genesis Innovation Academy for Girls</t>
  </si>
  <si>
    <t>Genesis Innovation Academy for Girls</t>
  </si>
  <si>
    <t>State Charter Schools II- Georgia Fugees Academy Charter School</t>
  </si>
  <si>
    <t>Georgia Fugees Academy Charter School</t>
  </si>
  <si>
    <t>State Charter Schools II- International Academy of Smyrna</t>
  </si>
  <si>
    <t>International Academy of Smyrna</t>
  </si>
  <si>
    <t>State Charter Schools II- International Charter Academy of Georgia</t>
  </si>
  <si>
    <t>International Charter Academy of Georgia</t>
  </si>
  <si>
    <t>State Charter Schools II- Liberation Academy</t>
  </si>
  <si>
    <t>Liberation Academy</t>
  </si>
  <si>
    <t>State Charter Schools II- Liberty Tech Charter Academy</t>
  </si>
  <si>
    <t>Liberty Tech Charter Academy</t>
  </si>
  <si>
    <t>State Charter Schools II- Miles Ahead Charter School</t>
  </si>
  <si>
    <t>Miles Ahead Charter School</t>
  </si>
  <si>
    <t>State Charter Schools II- Northwest Classical Academy</t>
  </si>
  <si>
    <t>Northwest Classical Academy</t>
  </si>
  <si>
    <t>State Charter Schools II- PEACE Academy Charter School</t>
  </si>
  <si>
    <t>PEACE Academy Charter School</t>
  </si>
  <si>
    <t>State Charter Schools II- Pataula Charter Academy</t>
  </si>
  <si>
    <t>Pataula Charter Academy</t>
  </si>
  <si>
    <t>State Charter Schools II- RISE Preparatory Charter School</t>
  </si>
  <si>
    <t>RISE Preparatory Charter School</t>
  </si>
  <si>
    <t>State Charter Schools II- Resurgence Hall Charter School</t>
  </si>
  <si>
    <t>Resurgence Hall Charter School</t>
  </si>
  <si>
    <t>State Charter Schools II- Resurgence Hall Middle Academy</t>
  </si>
  <si>
    <t>Resurgence Hall Middle Academy</t>
  </si>
  <si>
    <t>State Charter Schools II- SAIL Charter Academy - School for Arts-Infused Learning</t>
  </si>
  <si>
    <t>SAIL Charter Academy - School for Arts-Infused Learning</t>
  </si>
  <si>
    <t>State Charter Schools II- SLAM Academy of Atlanta</t>
  </si>
  <si>
    <t>SLAM Academy of Atlanta</t>
  </si>
  <si>
    <t>State Charter Schools II- Southwest Georgia S.T.E.M. Charter Academy</t>
  </si>
  <si>
    <t>Southwest Georgia S.T.E.M. Charter Academy</t>
  </si>
  <si>
    <t>State Charter Schools II- Spring Creek Charter Academy</t>
  </si>
  <si>
    <t>Spring Creek Charter Academy</t>
  </si>
  <si>
    <t>State Charter Schools II- Statesboro STEAM Academy</t>
  </si>
  <si>
    <t>Statesboro STEAM Academy</t>
  </si>
  <si>
    <t>State Charter Schools II- The Anchor School</t>
  </si>
  <si>
    <t>The Anchor School</t>
  </si>
  <si>
    <t>State Charter Schools II- Yi Hwang Academy of Language Excellence</t>
  </si>
  <si>
    <t>Yi Hwang Academy of Language Excellence</t>
  </si>
  <si>
    <t>State Charter Schools II- Zest Preparatory Academy School</t>
  </si>
  <si>
    <t>Zest Preparatory Academy School</t>
  </si>
  <si>
    <t>State Charter Schools- Cherokee Charter Academy</t>
  </si>
  <si>
    <t>Cherokee Charter Academy</t>
  </si>
  <si>
    <t>State Charter Schools- Coastal Plains High School</t>
  </si>
  <si>
    <t>Coastal Plains High School</t>
  </si>
  <si>
    <t>State Charter Schools- Dubois Integrity Academy</t>
  </si>
  <si>
    <t>Dubois Integrity Academy</t>
  </si>
  <si>
    <t>State Charter Schools- Foothills Regional High School</t>
  </si>
  <si>
    <t>Foothills Regional High School</t>
  </si>
  <si>
    <t>State Charter Schools- Georgia Connections Academy</t>
  </si>
  <si>
    <t>Georgia Connections Academy (Virtual)</t>
  </si>
  <si>
    <t>State Charter Schools- Georgia Cyber Academy</t>
  </si>
  <si>
    <t>Georgia Cyber Academy (Virtual)</t>
  </si>
  <si>
    <t>State Charter Schools- Georgia School for Innovation and the Classics</t>
  </si>
  <si>
    <t>Georgia School for Innovation and the Classics</t>
  </si>
  <si>
    <t>State Charter Schools- International Charter School of Atlanta</t>
  </si>
  <si>
    <t>International Charter School of Atlanta</t>
  </si>
  <si>
    <t>State Charter Schools- Ivy Prep Academy at Kirkwood for Girls School</t>
  </si>
  <si>
    <t>Ivy Preparatory Academy, Inc</t>
  </si>
  <si>
    <t>State Charter Schools- Mountain Education High School</t>
  </si>
  <si>
    <t>Mountain Education High School</t>
  </si>
  <si>
    <t>State Charter Schools- Odyssey Charter School</t>
  </si>
  <si>
    <t>Odyssey Charter School</t>
  </si>
  <si>
    <t>State Charter Schools- Scintilla Charter Academy</t>
  </si>
  <si>
    <t>Scintilla Charter Academy</t>
  </si>
  <si>
    <t>State Charter Schools- Utopian Academy for the Arts Charter School</t>
  </si>
  <si>
    <t>Utopian Academy for the Arts Charter School</t>
  </si>
  <si>
    <t>State Charter Schools- Utopian Academy for the Arts Trilith</t>
  </si>
  <si>
    <t>Utopian Academy for the Arts Trilith</t>
  </si>
  <si>
    <t>State Schools</t>
  </si>
  <si>
    <t>Atlanta Area School for the Deaf</t>
  </si>
  <si>
    <t>Georgia Academy for the Blind</t>
  </si>
  <si>
    <t>Georgia School for the Deaf</t>
  </si>
  <si>
    <t>Stephens County</t>
  </si>
  <si>
    <t>Stephens County Fifth Grade Academy</t>
  </si>
  <si>
    <t>Stephens County High School</t>
  </si>
  <si>
    <t>Stephens County Middle School</t>
  </si>
  <si>
    <t>Toccoa Elementary School</t>
  </si>
  <si>
    <t>Stewart County</t>
  </si>
  <si>
    <t>Stewart County Elementary School</t>
  </si>
  <si>
    <t>Stewart County High School</t>
  </si>
  <si>
    <t>Stewart County Middle School</t>
  </si>
  <si>
    <t>Sumter County</t>
  </si>
  <si>
    <t>Sumter County Elementary School</t>
  </si>
  <si>
    <t>Sumter County High School</t>
  </si>
  <si>
    <t>Sumter County Intermediate School</t>
  </si>
  <si>
    <t>Sumter County Middle School</t>
  </si>
  <si>
    <t>Sumter County Primary School</t>
  </si>
  <si>
    <t>Talbot County</t>
  </si>
  <si>
    <t>Central Elementary/High School</t>
  </si>
  <si>
    <t>Taliaferro County</t>
  </si>
  <si>
    <t>Taliaferro County School</t>
  </si>
  <si>
    <t>Tattnall County</t>
  </si>
  <si>
    <t>North Tattnall Elementary School</t>
  </si>
  <si>
    <t>North Tattnall Middle School</t>
  </si>
  <si>
    <t>South Tattnall Elementary School</t>
  </si>
  <si>
    <t>South Tattnall Middle School</t>
  </si>
  <si>
    <t>Tattnall County High School</t>
  </si>
  <si>
    <t>Taylor County</t>
  </si>
  <si>
    <t>Taylor County Elementary</t>
  </si>
  <si>
    <t>Taylor County High School</t>
  </si>
  <si>
    <t>Taylor County Middle School</t>
  </si>
  <si>
    <t>Taylor County Primary School</t>
  </si>
  <si>
    <t>Telfair County</t>
  </si>
  <si>
    <t>Telfair County Elementary</t>
  </si>
  <si>
    <t>Telfair County High School</t>
  </si>
  <si>
    <t>Telfair County Middle School</t>
  </si>
  <si>
    <t>Terrell County</t>
  </si>
  <si>
    <t>Cooper-Carver Elementary School</t>
  </si>
  <si>
    <t>Terrell High School</t>
  </si>
  <si>
    <t>Terrell Middle School</t>
  </si>
  <si>
    <t>Thomas County</t>
  </si>
  <si>
    <t>Bishop Hall Charter School</t>
  </si>
  <si>
    <t>Cross Creek Elementary School</t>
  </si>
  <si>
    <t>Garrison-Pilcher Elementary School</t>
  </si>
  <si>
    <t>Thomas County Central High School</t>
  </si>
  <si>
    <t>Thomas County Middle School</t>
  </si>
  <si>
    <t>Thomaston-Upson County</t>
  </si>
  <si>
    <t>Upson-Lee Elementary School</t>
  </si>
  <si>
    <t>Upson-Lee High School</t>
  </si>
  <si>
    <t>Upson-Lee Middle School</t>
  </si>
  <si>
    <t>Upson-Lee Primary School</t>
  </si>
  <si>
    <t>Thomasville City</t>
  </si>
  <si>
    <t>Jerger Elementary School</t>
  </si>
  <si>
    <t>MacIntyre Park Middle School</t>
  </si>
  <si>
    <t>Scott Elementary School</t>
  </si>
  <si>
    <t>Thomasville High School</t>
  </si>
  <si>
    <t>Tift County</t>
  </si>
  <si>
    <t>Annie Belle Clark Elementary School</t>
  </si>
  <si>
    <t>Charles Spencer Elementary School</t>
  </si>
  <si>
    <t>Eighth Street Middle School</t>
  </si>
  <si>
    <t>G. O. Bailey Elementary School</t>
  </si>
  <si>
    <t>J. T. Reddick Elementary School</t>
  </si>
  <si>
    <t>Len Lastinger Elementary School</t>
  </si>
  <si>
    <t>Matt Wilson Elementary School</t>
  </si>
  <si>
    <t>Northeast Middle School</t>
  </si>
  <si>
    <t>Omega Elementary School</t>
  </si>
  <si>
    <t>Tift County High School</t>
  </si>
  <si>
    <t>Toombs County</t>
  </si>
  <si>
    <t>Lyons Primary School</t>
  </si>
  <si>
    <t>Lyons Upper Elementary</t>
  </si>
  <si>
    <t>Toombs Central Elementary School</t>
  </si>
  <si>
    <t>Toombs County High School</t>
  </si>
  <si>
    <t>Toombs County Middle School</t>
  </si>
  <si>
    <t>Towns County</t>
  </si>
  <si>
    <t>Towns County Elementary School</t>
  </si>
  <si>
    <t>Towns County High School</t>
  </si>
  <si>
    <t>Towns County Middle School</t>
  </si>
  <si>
    <t>Treutlen County</t>
  </si>
  <si>
    <t>Treutlen Elementary School</t>
  </si>
  <si>
    <t>Treutlen Middle/High School</t>
  </si>
  <si>
    <t>Trion City</t>
  </si>
  <si>
    <t>Trion Elementary School</t>
  </si>
  <si>
    <t>Trion High School</t>
  </si>
  <si>
    <t>Trion Middle School</t>
  </si>
  <si>
    <t>Troup County</t>
  </si>
  <si>
    <t>Berta Weathersbee Elementary School</t>
  </si>
  <si>
    <t>Callaway High School</t>
  </si>
  <si>
    <t>Callaway Middle School</t>
  </si>
  <si>
    <t>Clearview Elementary School</t>
  </si>
  <si>
    <t>Ethel W. Kight Elementary School</t>
  </si>
  <si>
    <t>Franklin Forest Elementary</t>
  </si>
  <si>
    <t>Gardner-Newman Middle School</t>
  </si>
  <si>
    <t>Hillcrest Elementary School</t>
  </si>
  <si>
    <t>Hogansville Elementary School</t>
  </si>
  <si>
    <t>Hollis Hand Elementary School</t>
  </si>
  <si>
    <t>LaGrange High School</t>
  </si>
  <si>
    <t>Long Cane Elementary School</t>
  </si>
  <si>
    <t>Long Cane Middle School</t>
  </si>
  <si>
    <t>Rosemont Elementary School</t>
  </si>
  <si>
    <t>Troup County High School</t>
  </si>
  <si>
    <t>West Point Elementary School</t>
  </si>
  <si>
    <t>Turner County</t>
  </si>
  <si>
    <t>Turner County Elementary School</t>
  </si>
  <si>
    <t>Turner County High School</t>
  </si>
  <si>
    <t>Turner County Middle School</t>
  </si>
  <si>
    <t>Twiggs County</t>
  </si>
  <si>
    <t>Jeffersonville Elementary</t>
  </si>
  <si>
    <t>Twiggs County High School</t>
  </si>
  <si>
    <t>Twiggs Middle School</t>
  </si>
  <si>
    <t>Union County</t>
  </si>
  <si>
    <t>Union County Elementary School</t>
  </si>
  <si>
    <t>Union County High School</t>
  </si>
  <si>
    <t>Union County Middle School</t>
  </si>
  <si>
    <t>Union County Primary School</t>
  </si>
  <si>
    <t>Valdosta City</t>
  </si>
  <si>
    <t>J. L. Lomax Elementary School</t>
  </si>
  <si>
    <t>Newbern Middle School</t>
  </si>
  <si>
    <t>Pinevale Elementary School</t>
  </si>
  <si>
    <t>S.L. Mason Elementary School</t>
  </si>
  <si>
    <t>Sallas Mahone Elementary</t>
  </si>
  <si>
    <t>Valdosta High School</t>
  </si>
  <si>
    <t>Valdosta Middle School</t>
  </si>
  <si>
    <t>W.G. Nunn Elementary</t>
  </si>
  <si>
    <t>Vidalia City</t>
  </si>
  <si>
    <t>J. D. Dickerson Primary School</t>
  </si>
  <si>
    <t>J. R. Trippe Middle School</t>
  </si>
  <si>
    <t>Sally Dailey Meadows Elementary School</t>
  </si>
  <si>
    <t>Vidalia Comprehensive High School</t>
  </si>
  <si>
    <t>Walker County</t>
  </si>
  <si>
    <t>Chattanooga Valley Elementary School</t>
  </si>
  <si>
    <t>Chattanooga Valley Middle School</t>
  </si>
  <si>
    <t>Cherokee Ridge Elementary</t>
  </si>
  <si>
    <t>Fairyland Elementary School</t>
  </si>
  <si>
    <t>Gilbert Elementary School</t>
  </si>
  <si>
    <t>LaFayette High School</t>
  </si>
  <si>
    <t>LaFayette Middle School</t>
  </si>
  <si>
    <t>Naomi Elementary School</t>
  </si>
  <si>
    <t>North LaFayette Elementary School</t>
  </si>
  <si>
    <t>Ridgeland High School</t>
  </si>
  <si>
    <t>Rock Spring Elementary School</t>
  </si>
  <si>
    <t>Rossville Elementary School</t>
  </si>
  <si>
    <t>Rossville Middle School</t>
  </si>
  <si>
    <t>Saddle Ridge Elementary and Middle School</t>
  </si>
  <si>
    <t>Stone Creek Elementary School</t>
  </si>
  <si>
    <t>Walton County</t>
  </si>
  <si>
    <t>Atha Road Elementary School</t>
  </si>
  <si>
    <t>Bay Creek Elementary School</t>
  </si>
  <si>
    <t>Carver Middle School</t>
  </si>
  <si>
    <t>Loganville Elementary School</t>
  </si>
  <si>
    <t>Loganville High School</t>
  </si>
  <si>
    <t>Loganville Middle School</t>
  </si>
  <si>
    <t>Monroe Area High School</t>
  </si>
  <si>
    <t>Monroe Elementary</t>
  </si>
  <si>
    <t>Walker Park Elementary School</t>
  </si>
  <si>
    <t>Walnut Grove High School</t>
  </si>
  <si>
    <t>Youth Elementary School</t>
  </si>
  <si>
    <t>Youth Middle School</t>
  </si>
  <si>
    <t>Ware County</t>
  </si>
  <si>
    <t>Center Elementary School</t>
  </si>
  <si>
    <t>Memorial Drive Elementary School</t>
  </si>
  <si>
    <t>Ruskin Elementary School</t>
  </si>
  <si>
    <t>Wacona Elementary School</t>
  </si>
  <si>
    <t>Ware County High School</t>
  </si>
  <si>
    <t>Ware County Middle School</t>
  </si>
  <si>
    <t>Waresboro Elementary School</t>
  </si>
  <si>
    <t>Waycross Middle School</t>
  </si>
  <si>
    <t>Williams Heights Elementary School</t>
  </si>
  <si>
    <t>Warren County</t>
  </si>
  <si>
    <t>Freeman Elementary School</t>
  </si>
  <si>
    <t>Warren County High School</t>
  </si>
  <si>
    <t>Warren County Middle School</t>
  </si>
  <si>
    <t>Washington County</t>
  </si>
  <si>
    <t>Ridge Road Elementary School</t>
  </si>
  <si>
    <t>Ridge Road Primary School</t>
  </si>
  <si>
    <t>T. J. Elder Middle School</t>
  </si>
  <si>
    <t>Washington County High School</t>
  </si>
  <si>
    <t>Wayne County</t>
  </si>
  <si>
    <t>Arthur Williams Middle School</t>
  </si>
  <si>
    <t>Bacon Elementary School</t>
  </si>
  <si>
    <t>Jesup Elementary School</t>
  </si>
  <si>
    <t>Martha Puckett Middle School</t>
  </si>
  <si>
    <t>Martha Rawls Smith Elementary School</t>
  </si>
  <si>
    <t>Odum Elementary School</t>
  </si>
  <si>
    <t>Screven Elementary School</t>
  </si>
  <si>
    <t>Wayne County High School</t>
  </si>
  <si>
    <t>Webster County</t>
  </si>
  <si>
    <t>Webster County Elementary/Middle School</t>
  </si>
  <si>
    <t>Webster County High School</t>
  </si>
  <si>
    <t>Wheeler County</t>
  </si>
  <si>
    <t>Wheeler County Elementary School</t>
  </si>
  <si>
    <t>Wheeler County High School</t>
  </si>
  <si>
    <t>Wheeler County Middle School</t>
  </si>
  <si>
    <t>White County</t>
  </si>
  <si>
    <t>Jack P Nix Elementary School</t>
  </si>
  <si>
    <t>Mossy Creek Elementary School</t>
  </si>
  <si>
    <t>Mount Yonah Elementary School</t>
  </si>
  <si>
    <t>Tesnatee Gap Elementary (Old White Co. Intermediate)</t>
  </si>
  <si>
    <t>White County High School</t>
  </si>
  <si>
    <t>White County Middle School</t>
  </si>
  <si>
    <t>Whitfield County</t>
  </si>
  <si>
    <t>Antioch Elementary School</t>
  </si>
  <si>
    <t>Beaverdale Elementary School</t>
  </si>
  <si>
    <t>Cedar Ridge Elementary</t>
  </si>
  <si>
    <t>Coahulla Creek High School</t>
  </si>
  <si>
    <t>Cohutta Elementary School</t>
  </si>
  <si>
    <t>Dawnville Elementary School</t>
  </si>
  <si>
    <t>Dug Gap Elementary School</t>
  </si>
  <si>
    <t>Eastbrook Middle School</t>
  </si>
  <si>
    <t>New Hope Middle School</t>
  </si>
  <si>
    <t>North Whitfield Middle School</t>
  </si>
  <si>
    <t>Northwest Whitfield County High School</t>
  </si>
  <si>
    <t>Southeast Whitfield County High School</t>
  </si>
  <si>
    <t>Tunnel Hill Elementary School</t>
  </si>
  <si>
    <t>Valley Point Elementary School</t>
  </si>
  <si>
    <t>Valley Point Middle School</t>
  </si>
  <si>
    <t>Varnell Elementary School</t>
  </si>
  <si>
    <t>Wilcox County</t>
  </si>
  <si>
    <t>Wilcox County Elementary School</t>
  </si>
  <si>
    <t>Wilcox County High School</t>
  </si>
  <si>
    <t>Wilcox County Middle School</t>
  </si>
  <si>
    <t>Wilkes County</t>
  </si>
  <si>
    <t>Washington-Wilkes Comprehensive High School</t>
  </si>
  <si>
    <t>Washington-Wilkes Elementary School</t>
  </si>
  <si>
    <t>Washington-Wilkes Middle School</t>
  </si>
  <si>
    <t>Washington-Wilkes Primary School</t>
  </si>
  <si>
    <t>Wilkinson County</t>
  </si>
  <si>
    <t>Wilkinson County Elementary School</t>
  </si>
  <si>
    <t>Wilkinson County High School</t>
  </si>
  <si>
    <t>Wilkinson County Middle School</t>
  </si>
  <si>
    <t>Wilkinson County Primary School</t>
  </si>
  <si>
    <t>Worth County</t>
  </si>
  <si>
    <t>Worth County Elementary School</t>
  </si>
  <si>
    <t>Worth County High School</t>
  </si>
  <si>
    <t>Worth County Middle School</t>
  </si>
  <si>
    <t>Worth County Primary School</t>
  </si>
  <si>
    <t>[This document is to be submitted with Application]</t>
  </si>
  <si>
    <t>APPLICATION CERTIFICATION FORM LETTER</t>
  </si>
  <si>
    <t>[to be submitted under Applicant's letterhead]</t>
  </si>
  <si>
    <t>[Date]</t>
  </si>
  <si>
    <t>Georgia Department of Community Affairs
Housing Finance and Development Division
60 Executive Park South, NE.
Atlanta, Georgia 30329-2231</t>
  </si>
  <si>
    <t>Re:  Application for Low-Income Housing Tax Credit and/or HOME Funding</t>
  </si>
  <si>
    <t>To DCA:</t>
  </si>
  <si>
    <t>This Application is submitted in accordance with the 2026 Qualified Allocation Plan and the Housing Finance and Development Division Manuals.  In submitting this Application for funding consideration, the undersigned applicant hereby certifies:</t>
  </si>
  <si>
    <t>I understand that, in the event an allocation (or an allowance) for LIHTCs was obtained with false information supplied to the Georgia Department of Community Affairs ("DCA"),  DCA will recapture the LIHTCs or request that the IRS deny tax credits to the Applicant entity.   Also, a supplier, including the developer or owner, who knowingly provides false information will be barred by  DCA from program participation for a period of five (5) years from the date the false information was discovered, in accordance with a Memorandum of Understanding between the Internal Revenue Service and the Georgia Housing and Finance Authority.</t>
  </si>
  <si>
    <t xml:space="preserve">                                                                                                                                                                                                                                                                                                                                                                                                                                                         </t>
  </si>
  <si>
    <t>I am responsible for ensuring the project consists or will consist of a qualified low-income building (or buildings) as defined in the Internal Revenue Code section 42(c)(2) and will satisfy all applicable requirements of State and Federal tax law in the acquisition, development and operation of the project to receive State and federal housing tax credits.</t>
  </si>
  <si>
    <t>I am responsible for all calculations and figures relating to the determination of the eligible basis of the building(s).  I understand and agree  the amount of the credit is allocated by reference to the figures that I submit as to eligible and qualified basis.  I understand that the actual amount of credit allocated may vary somewhat from the amount initially reserved or committed due to (a) the determination by the Georgia Department of Community Affairs ("DCA") as to the amount of credit necessary for the financial feasibility of the project and its viability as a qualified low-income housing project; (b) revisions in the calculations of eligible and qualified basis as finally determined; (c) fluctuations in the prevailing credit percentage; and (d) availability of the credit.</t>
  </si>
  <si>
    <t>I understand and agree that DCA makes no representations or warranties regarding the financial feasibility of the project, the amount of credit, or the appropriateness of the allocation of the credit and makes no independent investigation as to the eligible and qualified basis and that any and all credit awards and credit amounts are solely based on representations made by me.  I therefore agree to hold harmless and indemnify DCA and the individual directors, employees, members, officers, and agents of DCA in the event that I or anyone acting on my behalf, at my request or by and through me incurs any loss, injury, or damages in conjunction with the project including those that may result from any inquiries or gathering of information by DCA concerning the proposed project team or Application, diminution of the credit, loss of the credit, recapture of part or all of the credit, failure to allocate the credit requested in my Application or, the failure of DCA, in whole or in part, to grant my Application.</t>
  </si>
  <si>
    <t>5)</t>
  </si>
  <si>
    <t>I understand and agree that neither DCA nor any of its individual directors, employees, members, officers, or agents assume any responsibility or make any representations or warranties with respect to: (i) the amount or availability of credit for the project; or (ii) the financial feasibility of the project.</t>
  </si>
  <si>
    <t>6)</t>
  </si>
  <si>
    <t>I understand and agree that my Application for a low-income housing credit and/or HOME loan, all attachments thereto, amendments, and all correspondence relating to my Application in particular or the credit in general are subject to a request disclosure under the Georgia Open Records Act and I expressly consent to such disclosure.  I further understand and agree that any and all correspondence to me from DCA, other DCA-generated documents, or documents to or from a third party in the possession of DCA relating to my Application are subject to a request for disclosure under the Georgia Open Records Act and I expressly consent to such disclosure.  I agree to hold harmless DCA and the individual directors, employees, members, officers, and agents of DCA against all losses, costs, damages, expenses, and liability of whatsoever nature or kind (including, but not limited to, attorneys' fees, litigation, and court costs) directly or indirectly resulting from or arising out of the release of all information pertaining to my Application pursuant to a request under the Georgia Open Records Act or resulting from or arising out of the release.</t>
  </si>
  <si>
    <t>7)</t>
  </si>
  <si>
    <t>I understand and agree to authorize DCA access to information relevant to DCA's Application review.  I understand that DCA may request an IRS Form 8821 for any Project Participant through final allocation of credits and/or disbursement of funds.  Project Participants will complete Form 8821 upon DCA's request.</t>
  </si>
  <si>
    <t>8)</t>
  </si>
  <si>
    <t>I understand that any misrepresentations, which includes fraudulent, negligent, and/or innocent,  in this Application or supporting documentation may result in a withdrawal of tax credits and/or HOME loan by DCA, my (and related parties) being barred from future program participation, and notification of the Internal Revenue Service and/or HUD.</t>
  </si>
  <si>
    <t>9)</t>
  </si>
  <si>
    <t>I certify that all sources of funds, including but not limited to Federal, State and local funding sources,  have been disclosed and revealed.</t>
  </si>
  <si>
    <t>In addition, Applicant understands:</t>
  </si>
  <si>
    <t>•</t>
  </si>
  <si>
    <t>The above certifications are of a continuing nature and apply at all stages of the Application process: initial application, commitment, carryover allocation, and final allocation/funding.</t>
  </si>
  <si>
    <t>DCA must be notified of any subsequent events or information, which would change any statements or representations in the attached Application or amendments thereto;</t>
  </si>
  <si>
    <t>DCA reserves the right to verify all information or documents used in processing the Application, including requiring credit checks on all parties involved in the transaction.  Applicant hereby authorizes the financing bank, accountant, mortgage lender, creditors, other state housing agencies and others sources identified in the Application to release information to DCA or its designee in order to verify the accuracy of information in the Application and amendments thereto.</t>
  </si>
  <si>
    <t>Applicant agrees and understands that it may be charged for all fees and costs incurred by DCA in the inspection of funded properties during and after construction and in the enforcement of DCA regulations and policies.</t>
  </si>
  <si>
    <t>Under penalty of perjury, to the best of my knowledge, I certify that all of the information in the attached Application, including all supporting documentation, is correct, complete and accurate.</t>
  </si>
  <si>
    <t>APPLICANT/OWNER</t>
  </si>
  <si>
    <t>Printed Name</t>
  </si>
  <si>
    <t>Signature</t>
  </si>
  <si>
    <t>Date</t>
  </si>
  <si>
    <t>[SEAL]</t>
  </si>
  <si>
    <t>Proration Method, Cost Allocation Worksheet</t>
  </si>
  <si>
    <t>Proposed HOME/NHTF/CDBG Investment, Determine Units Needed</t>
  </si>
  <si>
    <t>Project Name:</t>
  </si>
  <si>
    <t>Applicant Fills IN</t>
  </si>
  <si>
    <t>Project Address:</t>
  </si>
  <si>
    <t>Autofilled by Formula
(do not change)</t>
  </si>
  <si>
    <t>Date of Review:</t>
  </si>
  <si>
    <t>Step 1: Determine Comparability, Select Method of Cost Allocation</t>
  </si>
  <si>
    <t>Gross Residential Sq. Ft.</t>
  </si>
  <si>
    <t>Step 2: Proposed Investment</t>
  </si>
  <si>
    <t>Proposed Investment</t>
  </si>
  <si>
    <t>Step 3: Calculate Actual Cost of Designated Units</t>
  </si>
  <si>
    <t>Total Development Cost</t>
  </si>
  <si>
    <t>Ineligible Development Costs</t>
  </si>
  <si>
    <t>Relocation Costs</t>
  </si>
  <si>
    <t>Assign Relocation Exclusively to HOME Units?</t>
  </si>
  <si>
    <t>Base Project Cost</t>
  </si>
  <si>
    <t>Base Cost/Sq. Ft.</t>
  </si>
  <si>
    <t>HOME Share Ratio - Based on Cost</t>
  </si>
  <si>
    <t>Comparability Test Keys (For Assigning units Below)</t>
  </si>
  <si>
    <r>
      <t>►</t>
    </r>
    <r>
      <rPr>
        <u/>
        <sz val="10"/>
        <color theme="1"/>
        <rFont val="Arial Narrow"/>
        <family val="2"/>
      </rPr>
      <t>Beds/Baths</t>
    </r>
    <r>
      <rPr>
        <sz val="10"/>
        <color theme="1"/>
        <rFont val="Arial Narrow"/>
        <family val="2"/>
      </rPr>
      <t>: All units identified have the same number of bedrooms and bathrooms.</t>
    </r>
  </si>
  <si>
    <r>
      <t>►</t>
    </r>
    <r>
      <rPr>
        <u/>
        <sz val="10"/>
        <color theme="1"/>
        <rFont val="Arial Narrow"/>
        <family val="2"/>
      </rPr>
      <t>Configuration</t>
    </r>
    <r>
      <rPr>
        <sz val="10"/>
        <color theme="1"/>
        <rFont val="Arial Narrow"/>
        <family val="2"/>
      </rPr>
      <t>: There are no other obvious differences between the units, such as add'l. rooms or significant differences in layout.</t>
    </r>
  </si>
  <si>
    <r>
      <t>►</t>
    </r>
    <r>
      <rPr>
        <u/>
        <sz val="10"/>
        <color theme="1"/>
        <rFont val="Arial Narrow"/>
        <family val="2"/>
      </rPr>
      <t>Sq. Footage</t>
    </r>
    <r>
      <rPr>
        <sz val="10"/>
        <color theme="1"/>
        <rFont val="Arial Narrow"/>
        <family val="2"/>
      </rPr>
      <t>: All units of this type have square footage within a small variation of the average of this grouping of units.</t>
    </r>
  </si>
  <si>
    <r>
      <t>►</t>
    </r>
    <r>
      <rPr>
        <u/>
        <sz val="10"/>
        <color theme="1"/>
        <rFont val="Arial Narrow"/>
        <family val="2"/>
      </rPr>
      <t>Finishes/Amenities</t>
    </r>
    <r>
      <rPr>
        <sz val="10"/>
        <color theme="1"/>
        <rFont val="Arial Narrow"/>
        <family val="2"/>
      </rPr>
      <t>: All units in this type are substantially similar in terms of unit amenities, fixtures, and finishes.</t>
    </r>
  </si>
  <si>
    <t>Step 4: Assign Units</t>
  </si>
  <si>
    <t>Autofill with Formula ( do not change)</t>
  </si>
  <si>
    <r>
      <t xml:space="preserve">Total Units </t>
    </r>
    <r>
      <rPr>
        <sz val="8"/>
        <rFont val="Arial Narrow"/>
        <family val="2"/>
      </rPr>
      <t>per Type</t>
    </r>
  </si>
  <si>
    <r>
      <rPr>
        <b/>
        <sz val="11"/>
        <rFont val="Arial Narrow"/>
        <family val="2"/>
      </rPr>
      <t>Nbr of Bedrooms</t>
    </r>
    <r>
      <rPr>
        <sz val="11"/>
        <rFont val="Arial Narrow"/>
        <family val="2"/>
      </rPr>
      <t xml:space="preserve">
</t>
    </r>
    <r>
      <rPr>
        <sz val="8"/>
        <rFont val="Arial Narrow"/>
        <family val="2"/>
      </rPr>
      <t>(0, 1, 2, 3, 4, 5 BRs)</t>
    </r>
  </si>
  <si>
    <r>
      <rPr>
        <b/>
        <sz val="11"/>
        <rFont val="Arial Narrow"/>
        <family val="2"/>
      </rPr>
      <t>Bathrooms</t>
    </r>
    <r>
      <rPr>
        <sz val="11"/>
        <rFont val="Arial Narrow"/>
        <family val="2"/>
      </rPr>
      <t xml:space="preserve"> 
</t>
    </r>
    <r>
      <rPr>
        <sz val="8"/>
        <rFont val="Arial Narrow"/>
        <family val="2"/>
      </rPr>
      <t>(1.0, 1.5, 2.0, 2.5, 3.0, 3.5, 4.0)</t>
    </r>
  </si>
  <si>
    <t>Average Square Footage</t>
  </si>
  <si>
    <t>Min. HOME Units</t>
  </si>
  <si>
    <t>Rounded HOME Units</t>
  </si>
  <si>
    <t>Ind. Unit Cost</t>
  </si>
  <si>
    <t>Subtotal HOME Unit Costs</t>
  </si>
  <si>
    <t>Need more Rows? insert more rows if needed - be sure to check gray boxes to makes sure formulas are not affected!!</t>
  </si>
  <si>
    <t>Total Units Needed:</t>
  </si>
  <si>
    <t>Subtotal of HOME Unit Costs</t>
  </si>
  <si>
    <t>Relocation costs allocated exclusively to HOME Units (if applicable)</t>
  </si>
  <si>
    <t>Actual Cost of HOME Units</t>
  </si>
  <si>
    <t>Step 5: Calculate Maximum Project Subsidy</t>
  </si>
  <si>
    <t># of HOME Units</t>
  </si>
  <si>
    <t xml:space="preserve">HOME Unit Count with 10% Hedge </t>
  </si>
  <si>
    <t>Unit Size
(Nbr of Bedrooms)</t>
  </si>
  <si>
    <t>Maximum Subsidy/Unit</t>
  </si>
  <si>
    <t>Maximum Subsidy by Unit Size
(Nbr of Bedrooms)</t>
  </si>
  <si>
    <t>Subsidy Limits Published here:
https://www.hudexchange.info/resource/2315/home-per-unit-subsidy/</t>
  </si>
  <si>
    <t>0 Bedroom/Efficiency</t>
  </si>
  <si>
    <t>1 Bedroom</t>
  </si>
  <si>
    <t>2 Bedroom</t>
  </si>
  <si>
    <t>3 Bedroom</t>
  </si>
  <si>
    <t>4 Bedroom</t>
  </si>
  <si>
    <t>5 Bedroom</t>
  </si>
  <si>
    <t>Total:</t>
  </si>
  <si>
    <t>Maximum Project Subsidy</t>
  </si>
  <si>
    <t>Step 6: Maximum HOME Investment, lesser of</t>
  </si>
  <si>
    <t>Proposed Investment (Gap) (from Step 2)</t>
  </si>
  <si>
    <t>Actual Cost of HOME Units (from Step 4)</t>
  </si>
  <si>
    <t>Maximum Project Subsidy (from Step 5)</t>
  </si>
  <si>
    <t>Maximum Investment:</t>
  </si>
  <si>
    <t>SUMMARY OF DCA UNDERWRITING ASSUMPTIONS</t>
  </si>
  <si>
    <t>Category</t>
  </si>
  <si>
    <t>Specification</t>
  </si>
  <si>
    <t>Scale</t>
  </si>
  <si>
    <t>Minimum</t>
  </si>
  <si>
    <t>Maximum</t>
  </si>
  <si>
    <t>Application Limits</t>
  </si>
  <si>
    <t>Per Round</t>
  </si>
  <si>
    <t>Per Developer</t>
  </si>
  <si>
    <r>
      <t xml:space="preserve">Applications </t>
    </r>
    <r>
      <rPr>
        <i/>
        <u/>
        <sz val="8"/>
        <rFont val="Arial Narrow"/>
        <family val="2"/>
      </rPr>
      <t>submitted</t>
    </r>
    <r>
      <rPr>
        <sz val="8"/>
        <rFont val="Arial Narrow"/>
        <family val="2"/>
      </rPr>
      <t xml:space="preserve"> in which developer has direct or indirect interests</t>
    </r>
  </si>
  <si>
    <t>Award Limits</t>
  </si>
  <si>
    <t>Per Applicant</t>
  </si>
  <si>
    <r>
      <t xml:space="preserve">Applications </t>
    </r>
    <r>
      <rPr>
        <i/>
        <u/>
        <sz val="8"/>
        <rFont val="Arial Narrow"/>
        <family val="2"/>
      </rPr>
      <t>selected</t>
    </r>
    <r>
      <rPr>
        <sz val="8"/>
        <rFont val="Arial Narrow"/>
        <family val="2"/>
      </rPr>
      <t xml:space="preserve"> in which Applicant has direct or indirect interests</t>
    </r>
  </si>
  <si>
    <t>Per Probationary Applicant</t>
  </si>
  <si>
    <t>Non-MWBE</t>
  </si>
  <si>
    <t>MWBE</t>
  </si>
  <si>
    <t>LIHTC</t>
  </si>
  <si>
    <t xml:space="preserve">Per 9% Project </t>
  </si>
  <si>
    <t>(Metro Pools)</t>
  </si>
  <si>
    <t>(Rural Pool)</t>
  </si>
  <si>
    <t>HUD Preservation</t>
  </si>
  <si>
    <t>Housing Credit and USDA Preservation</t>
  </si>
  <si>
    <t xml:space="preserve">Per 4% Project </t>
  </si>
  <si>
    <t>Maximum Bond Allocation request w/in a Competitive Review Application</t>
  </si>
  <si>
    <t>-</t>
  </si>
  <si>
    <t>(Does not apply to Applications awarded under Urban Housing Reservation)</t>
  </si>
  <si>
    <t>% of a development’s aggregate basis financed by tax-exempt bonds.</t>
  </si>
  <si>
    <t>HOME</t>
  </si>
  <si>
    <t>Per Project</t>
  </si>
  <si>
    <t>Per Owner Per Round (% of HOME funds available)</t>
  </si>
  <si>
    <t>HUD PIH Office of Capital Improvements - Total Development Costs</t>
  </si>
  <si>
    <t>Per Unit (Avg)</t>
  </si>
  <si>
    <t>N/A for 2022</t>
  </si>
  <si>
    <t>Adjustments</t>
  </si>
  <si>
    <t>Historic / CTO</t>
  </si>
  <si>
    <t>DCA Adjustment</t>
  </si>
  <si>
    <t>Efficiencies</t>
  </si>
  <si>
    <t>1-bedroom units</t>
  </si>
  <si>
    <t>2-bedroom units</t>
  </si>
  <si>
    <t>3-bedroom units</t>
  </si>
  <si>
    <t>4-bedroom units</t>
  </si>
  <si>
    <t>Annual Operating Expenses</t>
  </si>
  <si>
    <t>Urban</t>
  </si>
  <si>
    <t>City of Atlanta</t>
  </si>
  <si>
    <t>Other MSA</t>
  </si>
  <si>
    <t>Rural</t>
  </si>
  <si>
    <t>MSA</t>
  </si>
  <si>
    <t>Non-MSA</t>
  </si>
  <si>
    <t>With USDA 515 Funding</t>
  </si>
  <si>
    <t>TBD</t>
  </si>
  <si>
    <t>Replacement Reserve Pymt</t>
  </si>
  <si>
    <t>Rehab</t>
  </si>
  <si>
    <t>Single Family and Duplex</t>
  </si>
  <si>
    <t>Historic Rehab</t>
  </si>
  <si>
    <t>Development Costs</t>
  </si>
  <si>
    <t>Hard Costs</t>
  </si>
  <si>
    <t>Avg Per "Dwelling" unit hard costs - not including community bldgs and common areas.</t>
  </si>
  <si>
    <t>see UCL</t>
  </si>
  <si>
    <t>Community Service Facility</t>
  </si>
  <si>
    <t>Adjusted Basis included in Eligible Basis</t>
  </si>
  <si>
    <t>% of Total Construction Hard Costs</t>
  </si>
  <si>
    <t>Any property funded with GHFA loans</t>
  </si>
  <si>
    <t>Builder Profit</t>
  </si>
  <si>
    <r>
      <t>% of subtotal of Land Improvements + Structures</t>
    </r>
    <r>
      <rPr>
        <sz val="7"/>
        <rFont val="Arial Narrow"/>
        <family val="2"/>
      </rPr>
      <t xml:space="preserve"> (on Core Application. Part IV – Uses of Funds)</t>
    </r>
  </si>
  <si>
    <t xml:space="preserve">Builder's Overhead </t>
  </si>
  <si>
    <r>
      <t xml:space="preserve">General Requirements </t>
    </r>
    <r>
      <rPr>
        <sz val="6"/>
        <rFont val="Arial Narrow"/>
        <family val="2"/>
      </rPr>
      <t>(exclusive of Contractor Svcs)</t>
    </r>
  </si>
  <si>
    <t>DCA-Related Costs</t>
  </si>
  <si>
    <t>Pre-Competitive Submission</t>
  </si>
  <si>
    <t>Qualification Determination, any subsequent change in PT</t>
  </si>
  <si>
    <t>Competitive Submission</t>
  </si>
  <si>
    <t>Competitive Application Fee</t>
  </si>
  <si>
    <t xml:space="preserve">9% Tax Credit Application Fee </t>
  </si>
  <si>
    <t>Per Project - For Profit or Joint Venture</t>
  </si>
  <si>
    <t>Per Project - Nonprofit</t>
  </si>
  <si>
    <t xml:space="preserve">Bond/4% Credit </t>
  </si>
  <si>
    <t>Waiver/Threshold Review</t>
  </si>
  <si>
    <t>Optional Amenity Request</t>
  </si>
  <si>
    <t>Architectural Standards &amp; Design Options</t>
  </si>
  <si>
    <t>Underwriting Waiver Fee</t>
  </si>
  <si>
    <t>Loan Underwriting Fee (GHFA Loans only)</t>
  </si>
  <si>
    <t xml:space="preserve">Per Project </t>
  </si>
  <si>
    <t>Operating Expense Waiver</t>
  </si>
  <si>
    <t>Appraisal Fee</t>
  </si>
  <si>
    <t>DCA cost</t>
  </si>
  <si>
    <t>Environmental Review Costs</t>
  </si>
  <si>
    <t>Payment &amp; Performance Bond Waiver</t>
  </si>
  <si>
    <t>Post-Award</t>
  </si>
  <si>
    <t>Credit Processing Fee / LIHTC Allocation Fee</t>
  </si>
  <si>
    <t>Percent of Credit Request</t>
  </si>
  <si>
    <t>Bond/4% Credit Processing Fee</t>
  </si>
  <si>
    <t>Post-Award Project Concept Change Fee</t>
  </si>
  <si>
    <t>Construction Monitoring/Inspection Fee (all 9% &amp; 4% projects, excluding HOME)</t>
  </si>
  <si>
    <t>See website</t>
  </si>
  <si>
    <t>Compliance Monitoring Fee</t>
  </si>
  <si>
    <t>LIHTC Fee (both 4% and 9%)</t>
  </si>
  <si>
    <t>Income Averaging Projects</t>
  </si>
  <si>
    <t>USDA 515 or URFA Fee</t>
  </si>
  <si>
    <t>(same as LIHTC above unless noted separately in QAP)</t>
  </si>
  <si>
    <t>Single Family Detached or Duplex fee</t>
  </si>
  <si>
    <t>Per Dwelling</t>
  </si>
  <si>
    <t>Final Allocation Application
Re-Submission Fee</t>
  </si>
  <si>
    <t>For Incomplete Applications</t>
  </si>
  <si>
    <t>HOME Asset Management</t>
  </si>
  <si>
    <t>Per Project, annually</t>
  </si>
  <si>
    <t>Non-compliant Reinspection Fee</t>
  </si>
  <si>
    <t>Per Unit or File</t>
  </si>
  <si>
    <t>Plus travel</t>
  </si>
  <si>
    <t>Developer's Fee</t>
  </si>
  <si>
    <t>Developer fee per unit</t>
  </si>
  <si>
    <t>% TDC</t>
  </si>
  <si>
    <t>% TCHC</t>
  </si>
  <si>
    <t>Maximum Waiver Amount for 4% bond applications</t>
  </si>
  <si>
    <t>Identity of Interest</t>
  </si>
  <si>
    <t>% of (TDC - budgeted DF - Demo - uw Land)</t>
  </si>
  <si>
    <t>Acq / Rhb</t>
  </si>
  <si>
    <t>Acq portion</t>
  </si>
  <si>
    <t>% of Existing Structures acquisition cost (including Acquisition Legal Fees)</t>
  </si>
  <si>
    <t>Rhb portion</t>
  </si>
  <si>
    <t>% of (TDC - budgeted DF - uw Land - Acq Lgl Fees - Existing Structures)</t>
  </si>
  <si>
    <t>Rehabilitation</t>
  </si>
  <si>
    <t>% DF to bldg acq</t>
  </si>
  <si>
    <t>% of (TDC - budgeted DF - uw Land)</t>
  </si>
  <si>
    <t>No Identity of Interest</t>
  </si>
  <si>
    <t>LESSER OF % of (TDC - uw Land - budgeted DF - Bldr profit)</t>
  </si>
  <si>
    <t>OR percentage proposed</t>
  </si>
  <si>
    <t>?</t>
  </si>
  <si>
    <t>Deferred DF Term (Years)</t>
  </si>
  <si>
    <t>Deferred DF % of Total DF</t>
  </si>
  <si>
    <t>Operating Deficit Reserve</t>
  </si>
  <si>
    <t>Mths of Year 1 Debt Service (out of 12)</t>
  </si>
  <si>
    <t>Mths of Year 1 O&amp;M Expense (out of 12)</t>
  </si>
  <si>
    <t>Mths of Year 1 T&amp;I Expense (out of 12)</t>
  </si>
  <si>
    <t>Rent-Up Reserve</t>
  </si>
  <si>
    <t>Mths of projected operating expenses</t>
  </si>
  <si>
    <t>LIHTC Final Inspection Fee</t>
  </si>
  <si>
    <t>Proforma Operating Forecast</t>
  </si>
  <si>
    <t>Number of Persons in Family and Percentage Adjustments for Rent Calculations</t>
  </si>
  <si>
    <t>Base</t>
  </si>
  <si>
    <t>Maximum:  Percentage of Gross Potential Rents</t>
  </si>
  <si>
    <t>Revenue Growth Rate</t>
  </si>
  <si>
    <t>Per Operation Year</t>
  </si>
  <si>
    <t xml:space="preserve">Vacany &amp; Collection Loss Rate </t>
  </si>
  <si>
    <t>(Non-PBRA/USDA)</t>
  </si>
  <si>
    <t>(PBRA/USDA)</t>
  </si>
  <si>
    <t>Operating Expense Growth Rate</t>
  </si>
  <si>
    <t>Replacement Reserve Annual Payment Growth Rate</t>
  </si>
  <si>
    <t>Operating Reserve Annual Payment Growth Rate</t>
  </si>
  <si>
    <t>Debt Coverage Ratio (DCR)</t>
  </si>
  <si>
    <t>In each of first 15 Years</t>
  </si>
  <si>
    <t>Effective Gross Income to Total Annual Expenses (including reserve for replacement) Ratio</t>
  </si>
  <si>
    <t>Setasides</t>
  </si>
  <si>
    <t>Both 9% and 4% Credits</t>
  </si>
  <si>
    <r>
      <t xml:space="preserve">Up to </t>
    </r>
    <r>
      <rPr>
        <b/>
        <sz val="8"/>
        <color rgb="FFFF0000"/>
        <rFont val="Arial Narrow"/>
        <family val="2"/>
      </rPr>
      <t>2</t>
    </r>
    <r>
      <rPr>
        <sz val="8"/>
        <rFont val="Arial Narrow"/>
        <family val="2"/>
      </rPr>
      <t xml:space="preserve"> applications in each round</t>
    </r>
  </si>
  <si>
    <t>Disaster Rebuilding</t>
  </si>
  <si>
    <r>
      <t xml:space="preserve">Up to </t>
    </r>
    <r>
      <rPr>
        <b/>
        <sz val="8"/>
        <color rgb="FFFF0000"/>
        <rFont val="Arial Narrow"/>
        <family val="2"/>
      </rPr>
      <t>3</t>
    </r>
    <r>
      <rPr>
        <sz val="8"/>
        <rFont val="Arial Narrow"/>
        <family val="2"/>
      </rPr>
      <t xml:space="preserve"> applications</t>
    </r>
  </si>
  <si>
    <t>9% Credits Only</t>
  </si>
  <si>
    <t>Nonprofit</t>
  </si>
  <si>
    <t>Percent of available 9% credit pool</t>
  </si>
  <si>
    <t>USDA Rural Rental Housing Loan (Sect 515)</t>
  </si>
  <si>
    <t>Per Application, Amount Up To from available 9% credit pool</t>
  </si>
  <si>
    <r>
      <t xml:space="preserve">(Up to </t>
    </r>
    <r>
      <rPr>
        <b/>
        <sz val="8"/>
        <color rgb="FFFF0000"/>
        <rFont val="Arial Narrow"/>
        <family val="2"/>
      </rPr>
      <t>2</t>
    </r>
    <r>
      <rPr>
        <sz val="8"/>
        <rFont val="Arial Narrow"/>
        <family val="2"/>
      </rPr>
      <t xml:space="preserve"> applications)</t>
    </r>
  </si>
  <si>
    <t>HUD Rental Assistance Demonstration (RAD)</t>
  </si>
  <si>
    <r>
      <t xml:space="preserve">(Up to </t>
    </r>
    <r>
      <rPr>
        <b/>
        <sz val="8"/>
        <color rgb="FFFF0000"/>
        <rFont val="Arial Narrow"/>
        <family val="2"/>
      </rPr>
      <t>1</t>
    </r>
    <r>
      <rPr>
        <sz val="8"/>
        <rFont val="Arial Narrow"/>
        <family val="2"/>
      </rPr>
      <t xml:space="preserve"> application)</t>
    </r>
  </si>
  <si>
    <t>Housing Tax Credit Rehabilitation</t>
  </si>
  <si>
    <r>
      <t xml:space="preserve">(Up to </t>
    </r>
    <r>
      <rPr>
        <b/>
        <sz val="8"/>
        <color rgb="FFFF0000"/>
        <rFont val="Arial Narrow"/>
        <family val="2"/>
      </rPr>
      <t>3</t>
    </r>
    <r>
      <rPr>
        <sz val="8"/>
        <rFont val="Arial Narrow"/>
        <family val="2"/>
      </rPr>
      <t xml:space="preserve"> applications, 1 per county)</t>
    </r>
  </si>
  <si>
    <t>HUD Rental Assistance</t>
  </si>
  <si>
    <t>Pools</t>
  </si>
  <si>
    <t>Other Metro</t>
  </si>
  <si>
    <t>Atlanta Metro</t>
  </si>
  <si>
    <t>4% Credits/Bonds Only</t>
  </si>
  <si>
    <t>Urban Residential Finance Authority</t>
  </si>
  <si>
    <t>The local urban residential finance authority will determine awards under this Bond Allocation reservation.</t>
  </si>
  <si>
    <t>“Portfolio” Preservation of USDA Housing (Section 515)</t>
  </si>
  <si>
    <t>Per Application, Amount Up To from available 4% bond allocation</t>
  </si>
  <si>
    <r>
      <t xml:space="preserve">(Up to </t>
    </r>
    <r>
      <rPr>
        <b/>
        <sz val="8"/>
        <color rgb="FFFF0000"/>
        <rFont val="Arial Narrow"/>
        <family val="2"/>
      </rPr>
      <t>1 portfoli</t>
    </r>
    <r>
      <rPr>
        <sz val="8"/>
        <rFont val="Arial Narrow"/>
        <family val="2"/>
      </rPr>
      <t>o development)</t>
    </r>
  </si>
  <si>
    <t>Broad Geographic Distribution of 4% Credits/Bonds</t>
  </si>
  <si>
    <t>At least 1 selected application per Bonds Geographic Distribution Area per QAP</t>
  </si>
  <si>
    <t>(Awards under the Urban Housing Reservation are not factored into this geographic distribution strategy)</t>
  </si>
  <si>
    <t>DCA HOME-funded Development</t>
  </si>
  <si>
    <t>See Naturally Occurring Affordable Housing (NOAH)</t>
  </si>
  <si>
    <t>Amount from State HOME allocation</t>
  </si>
  <si>
    <t>Naturally Occurring Affordable Housing (NOAH)</t>
  </si>
  <si>
    <t>(Up to 1 application)</t>
  </si>
  <si>
    <t>Unit Accessibility</t>
  </si>
  <si>
    <t>Equipped for Mobility Disabled Residents</t>
  </si>
  <si>
    <t>Percent of Total Units</t>
  </si>
  <si>
    <t>With Roll-In Showers</t>
  </si>
  <si>
    <t>Percent of Units Equipped for Mobility Disabled</t>
  </si>
  <si>
    <t>Equipped for Hearing- and Sight-Impaired Residents</t>
  </si>
  <si>
    <t>Max HOME Subsidy per Unit</t>
  </si>
  <si>
    <t>Sect 234 Condominium Housing</t>
  </si>
  <si>
    <t>https://www.hudexchange.info/resource/2315/home-per-unit-subsidy/</t>
  </si>
  <si>
    <t xml:space="preserve">https://www.federalregister.gov/documents/2024/02/13/2024-02870/annual-indexing-of-basic-statutory-mortgage-limits-for-multifamily-housing-programs
</t>
  </si>
  <si>
    <t>Max HOME Subsidy/Unit</t>
  </si>
  <si>
    <t>Assumed Family Size Adjustments</t>
  </si>
  <si>
    <t># Bdrms</t>
  </si>
  <si>
    <t>Factor</t>
  </si>
  <si>
    <t>Adj</t>
  </si>
  <si>
    <t>AFS</t>
  </si>
  <si>
    <t>x</t>
  </si>
  <si>
    <t>4+</t>
  </si>
  <si>
    <t>(Alphabetized by Area, Not MSA))</t>
  </si>
  <si>
    <t>Utility Region</t>
  </si>
  <si>
    <t>(Non)Metropolitan SA</t>
  </si>
  <si>
    <t>MSA?</t>
  </si>
  <si>
    <t>FMR MSA Name</t>
  </si>
  <si>
    <t>FMR MSA</t>
  </si>
  <si>
    <t>DCA Rural County</t>
  </si>
  <si>
    <t>TDC Cost Limit Area</t>
  </si>
  <si>
    <t>County Code</t>
  </si>
  <si>
    <t>Tax-Exempt Bond Issuers</t>
  </si>
  <si>
    <t>Appling</t>
  </si>
  <si>
    <t>South</t>
  </si>
  <si>
    <t>Appling Co.</t>
  </si>
  <si>
    <t>Appling County, GA</t>
  </si>
  <si>
    <t>N</t>
  </si>
  <si>
    <t>Savannah</t>
  </si>
  <si>
    <t>001</t>
  </si>
  <si>
    <t>Abbeville Housing Authority</t>
  </si>
  <si>
    <t>Select City first</t>
  </si>
  <si>
    <t>Atkinson</t>
  </si>
  <si>
    <t>Atkinson Co.</t>
  </si>
  <si>
    <t>Atkinson County, GA</t>
  </si>
  <si>
    <t>002</t>
  </si>
  <si>
    <t>Acworth Downtown Development Authority</t>
  </si>
  <si>
    <t>Abbeville</t>
  </si>
  <si>
    <t>Wilcox</t>
  </si>
  <si>
    <t>Bacon</t>
  </si>
  <si>
    <t>Bacon Co.</t>
  </si>
  <si>
    <t>Bacon County, GA</t>
  </si>
  <si>
    <t>003</t>
  </si>
  <si>
    <t>Adairsville Development Authority</t>
  </si>
  <si>
    <t>Acworth</t>
  </si>
  <si>
    <t>Baker</t>
  </si>
  <si>
    <t>Baker Co.</t>
  </si>
  <si>
    <t>Baker County, GA</t>
  </si>
  <si>
    <t>Y</t>
  </si>
  <si>
    <t>004</t>
  </si>
  <si>
    <t>Adairsville Downtown Development Authority</t>
  </si>
  <si>
    <t>Adairsville</t>
  </si>
  <si>
    <t>Bartow</t>
  </si>
  <si>
    <t>Atlanta-Sandy Springs-Marietta</t>
  </si>
  <si>
    <t>Baldwin</t>
  </si>
  <si>
    <t>Baldwin Co.</t>
  </si>
  <si>
    <t>Baldwin County, GA</t>
  </si>
  <si>
    <t>Macon</t>
  </si>
  <si>
    <t>005</t>
  </si>
  <si>
    <t>Albany-Dougherty Inner City Authority</t>
  </si>
  <si>
    <t>Cook</t>
  </si>
  <si>
    <t>Augusta-Richmond Co.</t>
  </si>
  <si>
    <t>Banks</t>
  </si>
  <si>
    <t>North</t>
  </si>
  <si>
    <t>Banks Co.</t>
  </si>
  <si>
    <t>Banks County, GA</t>
  </si>
  <si>
    <t>Athens</t>
  </si>
  <si>
    <t>006</t>
  </si>
  <si>
    <t>Alma Downtown Development Authority</t>
  </si>
  <si>
    <t>Adrian</t>
  </si>
  <si>
    <t>Johnson</t>
  </si>
  <si>
    <t>Atlanta-Sandy Springs-Roswell, GA HUD Metro FMR Area</t>
  </si>
  <si>
    <t>Atlanta</t>
  </si>
  <si>
    <t>007</t>
  </si>
  <si>
    <t>Arabi Industrial Development Authority</t>
  </si>
  <si>
    <t>Ailey</t>
  </si>
  <si>
    <t>008</t>
  </si>
  <si>
    <t>Arlington Housing Authority</t>
  </si>
  <si>
    <t>Alamo</t>
  </si>
  <si>
    <t>Wheeler</t>
  </si>
  <si>
    <t>Ben Hill</t>
  </si>
  <si>
    <t>Ben Hill Co</t>
  </si>
  <si>
    <t>Ben Hill County, GA</t>
  </si>
  <si>
    <t>009</t>
  </si>
  <si>
    <t>Athens-Clarke County Downtown Development Authority</t>
  </si>
  <si>
    <t>Alapaha</t>
  </si>
  <si>
    <t>Berrien</t>
  </si>
  <si>
    <t>Ben Hill Co.</t>
  </si>
  <si>
    <t>Berrien Co.</t>
  </si>
  <si>
    <t>Berrien County, GA</t>
  </si>
  <si>
    <t>010</t>
  </si>
  <si>
    <t>Atkinson County-Coffee County Joint Development Authority</t>
  </si>
  <si>
    <t>Bibb</t>
  </si>
  <si>
    <t>Local PHA</t>
  </si>
  <si>
    <t>Macon-Bibb County, GA HUD Metro FMR Area</t>
  </si>
  <si>
    <t>011</t>
  </si>
  <si>
    <t>Atlanta Development Authority</t>
  </si>
  <si>
    <t>Aldora</t>
  </si>
  <si>
    <t>Lamar</t>
  </si>
  <si>
    <t>Bleckley Co.</t>
  </si>
  <si>
    <t>Bleckley</t>
  </si>
  <si>
    <t>Bleckley County, GA</t>
  </si>
  <si>
    <t>012</t>
  </si>
  <si>
    <t>Augusta, Georgia Landbank Authority</t>
  </si>
  <si>
    <t>Allenhurst</t>
  </si>
  <si>
    <t>Brunswick</t>
  </si>
  <si>
    <t>Brantley</t>
  </si>
  <si>
    <t>Brunswick, GA MSA</t>
  </si>
  <si>
    <t>013</t>
  </si>
  <si>
    <t>Bacon County Development Authority</t>
  </si>
  <si>
    <t>Allentown</t>
  </si>
  <si>
    <t>Wilkinson</t>
  </si>
  <si>
    <t>Bulloch Co.</t>
  </si>
  <si>
    <t>Brooks</t>
  </si>
  <si>
    <t>Valdosta, GA MSA</t>
  </si>
  <si>
    <t>014</t>
  </si>
  <si>
    <t>Banks/Habersham Counties Joint Development Authority</t>
  </si>
  <si>
    <t>Alma</t>
  </si>
  <si>
    <t>Butts Co.</t>
  </si>
  <si>
    <t>Bryan</t>
  </si>
  <si>
    <t>Savannah, GA MSA</t>
  </si>
  <si>
    <t>015</t>
  </si>
  <si>
    <t>Barnesville Housing Authority</t>
  </si>
  <si>
    <t>Alpharetta</t>
  </si>
  <si>
    <t>Calhoun Co.</t>
  </si>
  <si>
    <t>Bulloch County, GA</t>
  </si>
  <si>
    <t>016</t>
  </si>
  <si>
    <t>Bartow-Cartersville Joint Development Authority</t>
  </si>
  <si>
    <t>Alston</t>
  </si>
  <si>
    <t>Camden Co.</t>
  </si>
  <si>
    <t>Burke</t>
  </si>
  <si>
    <t>Augusta-Richmond County, GA-SC HUD Metro FMR Area</t>
  </si>
  <si>
    <t>Augusta</t>
  </si>
  <si>
    <t>017</t>
  </si>
  <si>
    <t>Ben Hill-Irwin Area Joint Development Authority</t>
  </si>
  <si>
    <t>Alto</t>
  </si>
  <si>
    <t>Candler Co.</t>
  </si>
  <si>
    <t>Butts</t>
  </si>
  <si>
    <t>Butts County, GA HUD Metro FMR Area</t>
  </si>
  <si>
    <t>018</t>
  </si>
  <si>
    <t>Berrien County Development Authority</t>
  </si>
  <si>
    <t>Ambrose</t>
  </si>
  <si>
    <t>Coffee</t>
  </si>
  <si>
    <t>Charlton Co.</t>
  </si>
  <si>
    <t>Calhoun</t>
  </si>
  <si>
    <t>Calhoun County, GA</t>
  </si>
  <si>
    <t>019</t>
  </si>
  <si>
    <t>Boston Downtown Development Authority</t>
  </si>
  <si>
    <t>Americus</t>
  </si>
  <si>
    <t>Sumter</t>
  </si>
  <si>
    <t>Chattanooga</t>
  </si>
  <si>
    <t>Camden County, GA</t>
  </si>
  <si>
    <t>020</t>
  </si>
  <si>
    <t>Bowdon Housing Authority</t>
  </si>
  <si>
    <t>Andersonville</t>
  </si>
  <si>
    <t>Chattooga Co.</t>
  </si>
  <si>
    <t>Candler</t>
  </si>
  <si>
    <t>Candler County, GA</t>
  </si>
  <si>
    <t>021</t>
  </si>
  <si>
    <t>Brantley County Development Authority</t>
  </si>
  <si>
    <t>Clay Co.</t>
  </si>
  <si>
    <t>Carroll</t>
  </si>
  <si>
    <t>022</t>
  </si>
  <si>
    <t>Bremen Housing Authority</t>
  </si>
  <si>
    <t>Arabi</t>
  </si>
  <si>
    <t>Crisp</t>
  </si>
  <si>
    <t>Clinch Co.</t>
  </si>
  <si>
    <t>Chattanooga, TN-GA MSA</t>
  </si>
  <si>
    <t>023</t>
  </si>
  <si>
    <t>Brooks County Development Authority</t>
  </si>
  <si>
    <t>Aragon</t>
  </si>
  <si>
    <t>Polk</t>
  </si>
  <si>
    <t>Coffee Co.</t>
  </si>
  <si>
    <t>Charlton</t>
  </si>
  <si>
    <t>Charlton County, GA</t>
  </si>
  <si>
    <t>024</t>
  </si>
  <si>
    <t>Brunswick and Glynn County Development Authority</t>
  </si>
  <si>
    <t>Arcade</t>
  </si>
  <si>
    <t>Jackson</t>
  </si>
  <si>
    <t>Colquitt Co.</t>
  </si>
  <si>
    <t>025</t>
  </si>
  <si>
    <t>Bryan County-Pembroke Development Authority</t>
  </si>
  <si>
    <t>Argyle</t>
  </si>
  <si>
    <t>Clinch</t>
  </si>
  <si>
    <t>Columbus</t>
  </si>
  <si>
    <t>Chattahoochee</t>
  </si>
  <si>
    <t>Columbus, GA-AL HUD Metro FMR Area</t>
  </si>
  <si>
    <t>026</t>
  </si>
  <si>
    <t>Butts, Henry, Lamar and Spalding County Joint Development Authority</t>
  </si>
  <si>
    <t>Cook Co.</t>
  </si>
  <si>
    <t>Chattooga</t>
  </si>
  <si>
    <t>Chattooga County, GA</t>
  </si>
  <si>
    <t>027</t>
  </si>
  <si>
    <t>Byron  Development Authority</t>
  </si>
  <si>
    <t>Arnoldsville</t>
  </si>
  <si>
    <t>Oglethorpe</t>
  </si>
  <si>
    <t>Crisp Co.</t>
  </si>
  <si>
    <t>Cherokee</t>
  </si>
  <si>
    <t>028</t>
  </si>
  <si>
    <t>Byron Downtown Development Authority</t>
  </si>
  <si>
    <t>Ashburn</t>
  </si>
  <si>
    <t>Turner</t>
  </si>
  <si>
    <t>Clarke</t>
  </si>
  <si>
    <t>Athens-Clarke Co.</t>
  </si>
  <si>
    <t>Athens-Clarke County, GA MSA</t>
  </si>
  <si>
    <t>029</t>
  </si>
  <si>
    <t>Byron Redevelopment Authority</t>
  </si>
  <si>
    <t>Decatur Co.</t>
  </si>
  <si>
    <t>Clay</t>
  </si>
  <si>
    <t>Clay County, GA</t>
  </si>
  <si>
    <t>030</t>
  </si>
  <si>
    <t>Calhoun Downtown Development Authority</t>
  </si>
  <si>
    <t>Dodge Co.</t>
  </si>
  <si>
    <t>031</t>
  </si>
  <si>
    <t>Camden County Joint Development Authority</t>
  </si>
  <si>
    <t>Attapulgus</t>
  </si>
  <si>
    <t>Decatur</t>
  </si>
  <si>
    <t>Dooly Co.</t>
  </si>
  <si>
    <t>Clinch County, GA</t>
  </si>
  <si>
    <t>032</t>
  </si>
  <si>
    <t>Canton Development Authority</t>
  </si>
  <si>
    <t>Auburn</t>
  </si>
  <si>
    <t>Early Co.</t>
  </si>
  <si>
    <t>033</t>
  </si>
  <si>
    <t>Carrollton Redevelopment Authority</t>
  </si>
  <si>
    <t>Richmond</t>
  </si>
  <si>
    <t>Elbert Co.</t>
  </si>
  <si>
    <t>Coffee County, GA</t>
  </si>
  <si>
    <t>034</t>
  </si>
  <si>
    <t>Cartersville Development Authority</t>
  </si>
  <si>
    <t>Austell</t>
  </si>
  <si>
    <t>Emanuel Co.</t>
  </si>
  <si>
    <t>Colquitt</t>
  </si>
  <si>
    <t>Colquitt County, GA</t>
  </si>
  <si>
    <t>035</t>
  </si>
  <si>
    <t>Cartersville Downtown Development Authority</t>
  </si>
  <si>
    <t>Avalon</t>
  </si>
  <si>
    <t>Stephens</t>
  </si>
  <si>
    <t>Evans Co.</t>
  </si>
  <si>
    <t>036</t>
  </si>
  <si>
    <t>Catoosa County Development Authority</t>
  </si>
  <si>
    <t>Avera</t>
  </si>
  <si>
    <t>Jefferson</t>
  </si>
  <si>
    <t>Fannin Co.</t>
  </si>
  <si>
    <t>Cook County, GA</t>
  </si>
  <si>
    <t>037</t>
  </si>
  <si>
    <t>Cedartown Development Authority</t>
  </si>
  <si>
    <t>Avondale Estates</t>
  </si>
  <si>
    <t>Franklin Co.</t>
  </si>
  <si>
    <t>038</t>
  </si>
  <si>
    <t>Cedartown Downtown Development Authority</t>
  </si>
  <si>
    <t>Baconton</t>
  </si>
  <si>
    <t>Mitchell</t>
  </si>
  <si>
    <t>Gainesville</t>
  </si>
  <si>
    <t>Crawford</t>
  </si>
  <si>
    <t>039</t>
  </si>
  <si>
    <t>Central Georgia Joint Development Authority</t>
  </si>
  <si>
    <t>Bainbridge</t>
  </si>
  <si>
    <t>Gilmer Co.</t>
  </si>
  <si>
    <t>Crisp County, GA</t>
  </si>
  <si>
    <t>040</t>
  </si>
  <si>
    <t>Central Savannah River Area Unified Development Authority</t>
  </si>
  <si>
    <t>Glascock Co.</t>
  </si>
  <si>
    <t>Dade</t>
  </si>
  <si>
    <t>041</t>
  </si>
  <si>
    <t>Central Valdosta Development Authority</t>
  </si>
  <si>
    <t>Ball Ground</t>
  </si>
  <si>
    <t>Gordon Co.</t>
  </si>
  <si>
    <t>Dawson</t>
  </si>
  <si>
    <t>042</t>
  </si>
  <si>
    <t>Chatham-Savannah Authority for the Homeless</t>
  </si>
  <si>
    <t>Barnesville</t>
  </si>
  <si>
    <t>Grady Co.</t>
  </si>
  <si>
    <t>Decatur County, GA</t>
  </si>
  <si>
    <t>043</t>
  </si>
  <si>
    <t>Chattooga County Development Authority</t>
  </si>
  <si>
    <t>Greene Co.</t>
  </si>
  <si>
    <t>Dekalb</t>
  </si>
  <si>
    <t>044</t>
  </si>
  <si>
    <t>Cherokee County Development Authority</t>
  </si>
  <si>
    <t>Barwick</t>
  </si>
  <si>
    <t>Thomas</t>
  </si>
  <si>
    <t>Habersham Co.</t>
  </si>
  <si>
    <t>Dodge</t>
  </si>
  <si>
    <t>Dodge County, GA</t>
  </si>
  <si>
    <t>045</t>
  </si>
  <si>
    <t>City of Alpharetta Development Authority</t>
  </si>
  <si>
    <t>Baxley</t>
  </si>
  <si>
    <t>Hancock Co.</t>
  </si>
  <si>
    <t>Dooly</t>
  </si>
  <si>
    <t>Dooly County, GA</t>
  </si>
  <si>
    <t>046</t>
  </si>
  <si>
    <t>City of Barnesville and County of Lamar Development Authority</t>
  </si>
  <si>
    <t>Bellville</t>
  </si>
  <si>
    <t>Haralson Co.</t>
  </si>
  <si>
    <t>Albany, GA MSA</t>
  </si>
  <si>
    <t>047</t>
  </si>
  <si>
    <t>City of Cairo Development Authority</t>
  </si>
  <si>
    <t>Hart Co.</t>
  </si>
  <si>
    <t>048</t>
  </si>
  <si>
    <t>City of Claxton Downtown Development Authority</t>
  </si>
  <si>
    <t>Berkeley Lake</t>
  </si>
  <si>
    <t>Gwinnett</t>
  </si>
  <si>
    <t>Hinesville - Fort Stewart</t>
  </si>
  <si>
    <t>Early</t>
  </si>
  <si>
    <t>Early County, GA</t>
  </si>
  <si>
    <t>049</t>
  </si>
  <si>
    <t>City of Clayton Downtown Development Authority</t>
  </si>
  <si>
    <t>Berlin</t>
  </si>
  <si>
    <t>Irwin Co.</t>
  </si>
  <si>
    <t>Echols</t>
  </si>
  <si>
    <t>050</t>
  </si>
  <si>
    <t>City of Commerce Downtown Development Authority</t>
  </si>
  <si>
    <t>Bethlehem</t>
  </si>
  <si>
    <t>Jackson Co.</t>
  </si>
  <si>
    <t>Effingham</t>
  </si>
  <si>
    <t>051</t>
  </si>
  <si>
    <t>City of Cumming Development Authority</t>
  </si>
  <si>
    <t>Between</t>
  </si>
  <si>
    <t>Walton</t>
  </si>
  <si>
    <t>Jeff Davis Co.</t>
  </si>
  <si>
    <t>Elbert</t>
  </si>
  <si>
    <t>Elbert County, GA</t>
  </si>
  <si>
    <t>052</t>
  </si>
  <si>
    <t>City of Dawson Development Authority</t>
  </si>
  <si>
    <t>Bibb City</t>
  </si>
  <si>
    <t>Muscogee</t>
  </si>
  <si>
    <t>Jefferson Co.</t>
  </si>
  <si>
    <t>Emanuel</t>
  </si>
  <si>
    <t>Emanuel County, GA</t>
  </si>
  <si>
    <t>053</t>
  </si>
  <si>
    <t>City of Dublin and County of Laurens Development Authority</t>
  </si>
  <si>
    <t>Bishop</t>
  </si>
  <si>
    <t>Oconee</t>
  </si>
  <si>
    <t>Jenkins Co.</t>
  </si>
  <si>
    <t>Evans County, GA</t>
  </si>
  <si>
    <t>054</t>
  </si>
  <si>
    <t>City of Duluth Downtown Development Authority</t>
  </si>
  <si>
    <t>Blackshear</t>
  </si>
  <si>
    <t>Pierce</t>
  </si>
  <si>
    <t>Johnson Co.</t>
  </si>
  <si>
    <t>Fannin</t>
  </si>
  <si>
    <t>Fannin County, GA</t>
  </si>
  <si>
    <t>055</t>
  </si>
  <si>
    <t>City of Fayetteville Downtown Development Authority</t>
  </si>
  <si>
    <t>Lamar Co.</t>
  </si>
  <si>
    <t>Fayette</t>
  </si>
  <si>
    <t>056</t>
  </si>
  <si>
    <t>City of Jesup Downtown Development Authority</t>
  </si>
  <si>
    <t>Blairsville</t>
  </si>
  <si>
    <t>Union</t>
  </si>
  <si>
    <t>Laurens Co.</t>
  </si>
  <si>
    <t>Rome, GA MSA</t>
  </si>
  <si>
    <t>057</t>
  </si>
  <si>
    <t>City of Stockbridge, Georgia Downtown Development Authority</t>
  </si>
  <si>
    <t>Blakely</t>
  </si>
  <si>
    <t>Lincoln Co.</t>
  </si>
  <si>
    <t>Forsyth</t>
  </si>
  <si>
    <t>058</t>
  </si>
  <si>
    <t>City of Sugar Hill Downtown Development Authority</t>
  </si>
  <si>
    <t>Bloomingdale</t>
  </si>
  <si>
    <t>Long Co.</t>
  </si>
  <si>
    <t>Franklin</t>
  </si>
  <si>
    <t>Franklin County, GA</t>
  </si>
  <si>
    <t>059</t>
  </si>
  <si>
    <t>City of Sylvania Downtown Development Authority</t>
  </si>
  <si>
    <t>Blue Ridge</t>
  </si>
  <si>
    <t>Lumpkin Co.</t>
  </si>
  <si>
    <t>060</t>
  </si>
  <si>
    <t>City of Washington Downtown Development Authority</t>
  </si>
  <si>
    <t>Bluffton</t>
  </si>
  <si>
    <t>Gilmer</t>
  </si>
  <si>
    <t>Gilmer County, GA</t>
  </si>
  <si>
    <t>061</t>
  </si>
  <si>
    <t>City of Willacoochee Development Authority</t>
  </si>
  <si>
    <t>Blythe</t>
  </si>
  <si>
    <t>Macon Co.</t>
  </si>
  <si>
    <t>Glascock</t>
  </si>
  <si>
    <t>Glascock County, GA</t>
  </si>
  <si>
    <t>062</t>
  </si>
  <si>
    <t>Clay County Development Authority</t>
  </si>
  <si>
    <t>Bogart</t>
  </si>
  <si>
    <t>Meriwether Co.</t>
  </si>
  <si>
    <t>063</t>
  </si>
  <si>
    <t>Clinch County Development Authority</t>
  </si>
  <si>
    <t>Miller Co.</t>
  </si>
  <si>
    <t>Gordon</t>
  </si>
  <si>
    <t>Gordon County, GA</t>
  </si>
  <si>
    <t>064</t>
  </si>
  <si>
    <t>Consolidated Housing Authority of Talbot County, Georgia</t>
  </si>
  <si>
    <t>Boston</t>
  </si>
  <si>
    <t>Mitchell Co.</t>
  </si>
  <si>
    <t>Grady</t>
  </si>
  <si>
    <t>Grady County, GA</t>
  </si>
  <si>
    <t>065</t>
  </si>
  <si>
    <t>Coweta County Development Authority</t>
  </si>
  <si>
    <t>Bostwick</t>
  </si>
  <si>
    <t>Morgan</t>
  </si>
  <si>
    <t>Monroe Co.</t>
  </si>
  <si>
    <t>Greene</t>
  </si>
  <si>
    <t>Greene County, GA</t>
  </si>
  <si>
    <t>066</t>
  </si>
  <si>
    <t>Coweta, Fayette, Meriwether Joint Development Authority</t>
  </si>
  <si>
    <t>Bowdon</t>
  </si>
  <si>
    <t>Montgomery Co.</t>
  </si>
  <si>
    <t>067</t>
  </si>
  <si>
    <t>Crisp-Dooly Joint Development Authority</t>
  </si>
  <si>
    <t>Bowersville</t>
  </si>
  <si>
    <t>Morgan Co.</t>
  </si>
  <si>
    <t>Habersham County, GA</t>
  </si>
  <si>
    <t>068</t>
  </si>
  <si>
    <t>Dahlonega Downtown Development Authority</t>
  </si>
  <si>
    <t>Bowman</t>
  </si>
  <si>
    <t>Murray Co.</t>
  </si>
  <si>
    <t>Hall</t>
  </si>
  <si>
    <t>Gainesville, GA MSA</t>
  </si>
  <si>
    <t>069</t>
  </si>
  <si>
    <t>Development Authority for the City of Savannah</t>
  </si>
  <si>
    <t>Braselton</t>
  </si>
  <si>
    <t>Peach Co.</t>
  </si>
  <si>
    <t>Hancock</t>
  </si>
  <si>
    <t>Hancock County, GA</t>
  </si>
  <si>
    <t>070</t>
  </si>
  <si>
    <t>Development Authority of Appling County</t>
  </si>
  <si>
    <t>Braswell</t>
  </si>
  <si>
    <t>Paulding</t>
  </si>
  <si>
    <t>Pierce Co.</t>
  </si>
  <si>
    <t>Haralson</t>
  </si>
  <si>
    <t>Haralson County, GA HUD Metro FMR Area</t>
  </si>
  <si>
    <t>071</t>
  </si>
  <si>
    <t>Development Authority of Atkinson County</t>
  </si>
  <si>
    <t>Bremen</t>
  </si>
  <si>
    <t>Polk Co.</t>
  </si>
  <si>
    <t>Harris</t>
  </si>
  <si>
    <t>072</t>
  </si>
  <si>
    <t>Development Authority of Bainbridge and Decatur County</t>
  </si>
  <si>
    <t>Brinson</t>
  </si>
  <si>
    <t>Pulaski Co.</t>
  </si>
  <si>
    <t>Hart County, GA</t>
  </si>
  <si>
    <t>073</t>
  </si>
  <si>
    <t>Development Authority of Baker County</t>
  </si>
  <si>
    <t>Bronwood</t>
  </si>
  <si>
    <t>Terrell</t>
  </si>
  <si>
    <t>Putnam Co.</t>
  </si>
  <si>
    <t>Heard</t>
  </si>
  <si>
    <t>074</t>
  </si>
  <si>
    <t>Development Authority of Banks County</t>
  </si>
  <si>
    <t>Brookhaven</t>
  </si>
  <si>
    <t>Quitman Co.</t>
  </si>
  <si>
    <t>075</t>
  </si>
  <si>
    <t>Development Authority of Bartow County</t>
  </si>
  <si>
    <t>Brooklet</t>
  </si>
  <si>
    <t>Rabun Co.</t>
  </si>
  <si>
    <t>Warner Robins, GA HUD Metro FMR Area</t>
  </si>
  <si>
    <t>076</t>
  </si>
  <si>
    <t>Development Authority of Ben Hill County</t>
  </si>
  <si>
    <t>Randolph Co.</t>
  </si>
  <si>
    <t>Irwin</t>
  </si>
  <si>
    <t>Irwin County, GA</t>
  </si>
  <si>
    <t>077</t>
  </si>
  <si>
    <t>Development Authority of Bibb County</t>
  </si>
  <si>
    <t>Broxton</t>
  </si>
  <si>
    <t>Jackson County, GA</t>
  </si>
  <si>
    <t>078</t>
  </si>
  <si>
    <t>Development Authority of Brooks County, Georgia</t>
  </si>
  <si>
    <t>Jasper</t>
  </si>
  <si>
    <t>079</t>
  </si>
  <si>
    <t>Development Authority of Bulloch County</t>
  </si>
  <si>
    <t>Buchanan</t>
  </si>
  <si>
    <t>Schley Co.</t>
  </si>
  <si>
    <t>Jeff Davis</t>
  </si>
  <si>
    <t>Jeff Davis County, GA</t>
  </si>
  <si>
    <t>080</t>
  </si>
  <si>
    <t>Development Authority of Burke County</t>
  </si>
  <si>
    <t>Buckhead</t>
  </si>
  <si>
    <t>Screven Co.</t>
  </si>
  <si>
    <t>Jefferson County, GA</t>
  </si>
  <si>
    <t>081</t>
  </si>
  <si>
    <t>Development Authority of Butts County</t>
  </si>
  <si>
    <t>Buena Vista</t>
  </si>
  <si>
    <t>Marion</t>
  </si>
  <si>
    <t>Seminole Co.</t>
  </si>
  <si>
    <t>Jenkins</t>
  </si>
  <si>
    <t>Jenkins County, GA</t>
  </si>
  <si>
    <t>082</t>
  </si>
  <si>
    <t>Development Authority of Carroll County</t>
  </si>
  <si>
    <t>Buford</t>
  </si>
  <si>
    <t>Stephens Co.</t>
  </si>
  <si>
    <t>Johnson County, GA</t>
  </si>
  <si>
    <t>083</t>
  </si>
  <si>
    <t>Development Authority of Cartersville</t>
  </si>
  <si>
    <t>Butler</t>
  </si>
  <si>
    <t>Taylor</t>
  </si>
  <si>
    <t>Stewart Co.</t>
  </si>
  <si>
    <t>Jones</t>
  </si>
  <si>
    <t>084</t>
  </si>
  <si>
    <t>Development Authority of Catoosa County</t>
  </si>
  <si>
    <t>Byromville</t>
  </si>
  <si>
    <t>Sumter Co.</t>
  </si>
  <si>
    <t>Lamar County, GA HUD Metro FMR Area</t>
  </si>
  <si>
    <t>085</t>
  </si>
  <si>
    <t>Development Authority of Chattooga County</t>
  </si>
  <si>
    <t>Peach</t>
  </si>
  <si>
    <t>Talbot Co.</t>
  </si>
  <si>
    <t>Lanier</t>
  </si>
  <si>
    <t>086</t>
  </si>
  <si>
    <t>Development Authority of Cherokee County</t>
  </si>
  <si>
    <t>Cadwell</t>
  </si>
  <si>
    <t>Laurens</t>
  </si>
  <si>
    <t>Taliaferro Co.</t>
  </si>
  <si>
    <t>Laurens County, GA</t>
  </si>
  <si>
    <t>087</t>
  </si>
  <si>
    <t>Development Authority of City of Edison, Georgia</t>
  </si>
  <si>
    <t>Cairo</t>
  </si>
  <si>
    <t>Tattnall Co.</t>
  </si>
  <si>
    <t>Lee</t>
  </si>
  <si>
    <t>088</t>
  </si>
  <si>
    <t>Development Authority of Clayton County</t>
  </si>
  <si>
    <t>Taylor Co.</t>
  </si>
  <si>
    <t>Hinesville-Fort Stewart</t>
  </si>
  <si>
    <t>Hinesville, GA HUD Metro FMR Area</t>
  </si>
  <si>
    <t>089</t>
  </si>
  <si>
    <t>Development Authority of Cobb County</t>
  </si>
  <si>
    <t>Calvary</t>
  </si>
  <si>
    <t>Telfair Co.</t>
  </si>
  <si>
    <t>Lincoln</t>
  </si>
  <si>
    <t>Lincoln County, GA HUD Metro FMR Area</t>
  </si>
  <si>
    <t>090</t>
  </si>
  <si>
    <t>Development Authority of Columbia County</t>
  </si>
  <si>
    <t>Camak</t>
  </si>
  <si>
    <t>Warren</t>
  </si>
  <si>
    <t>Thomas Co.</t>
  </si>
  <si>
    <t>Long</t>
  </si>
  <si>
    <t>Long County, GA HUD Metro FMR Area</t>
  </si>
  <si>
    <t>091</t>
  </si>
  <si>
    <t>Development Authority of Columbus, Georgia</t>
  </si>
  <si>
    <t>Camilla</t>
  </si>
  <si>
    <t>Tift Co.</t>
  </si>
  <si>
    <t>092</t>
  </si>
  <si>
    <t>Development Authority of Conyers, Georgia</t>
  </si>
  <si>
    <t>Toombs Co.</t>
  </si>
  <si>
    <t>Lumpkin</t>
  </si>
  <si>
    <t>Lumpkin County, GA</t>
  </si>
  <si>
    <t>093</t>
  </si>
  <si>
    <t>Development Authority of Coweta County</t>
  </si>
  <si>
    <t>Canon</t>
  </si>
  <si>
    <t>Towns Co.</t>
  </si>
  <si>
    <t>Macon County, GA</t>
  </si>
  <si>
    <t>094</t>
  </si>
  <si>
    <t>Development Authority of Crawford County</t>
  </si>
  <si>
    <t>Canoochee</t>
  </si>
  <si>
    <t>Treutlen Co.</t>
  </si>
  <si>
    <t>095</t>
  </si>
  <si>
    <t>Development Authority of Crisp County</t>
  </si>
  <si>
    <t>Canton</t>
  </si>
  <si>
    <t>Troup Co.</t>
  </si>
  <si>
    <t>096</t>
  </si>
  <si>
    <t>Development Authority of Dawson County</t>
  </si>
  <si>
    <t>Carl</t>
  </si>
  <si>
    <t>Turner Co.</t>
  </si>
  <si>
    <t>McDuffie</t>
  </si>
  <si>
    <t>097</t>
  </si>
  <si>
    <t>Development Authority of DeKalb County</t>
  </si>
  <si>
    <t>Carlton</t>
  </si>
  <si>
    <t>Union Co.</t>
  </si>
  <si>
    <t>McIntosh</t>
  </si>
  <si>
    <t>098</t>
  </si>
  <si>
    <t>Development Authority of Dougherty County</t>
  </si>
  <si>
    <t>Carnesville</t>
  </si>
  <si>
    <t>Upson Co.</t>
  </si>
  <si>
    <t>Meriwether</t>
  </si>
  <si>
    <t>Meriwether County, GA HUD Metro FMR Area</t>
  </si>
  <si>
    <t>099</t>
  </si>
  <si>
    <t>Development Authority of Douglas County</t>
  </si>
  <si>
    <t>Carrollton</t>
  </si>
  <si>
    <t>Miller</t>
  </si>
  <si>
    <t>Miller County, GA</t>
  </si>
  <si>
    <t>100</t>
  </si>
  <si>
    <t>Development Authority of Early County</t>
  </si>
  <si>
    <t>Cartersville</t>
  </si>
  <si>
    <t>Ware Co.</t>
  </si>
  <si>
    <t>Mitchell County, GA</t>
  </si>
  <si>
    <t>101</t>
  </si>
  <si>
    <t>Development Authority of Effingham County</t>
  </si>
  <si>
    <t>Cave Spring</t>
  </si>
  <si>
    <t>Monroe</t>
  </si>
  <si>
    <t>Monroe County, GA HUD Metro FMR Area</t>
  </si>
  <si>
    <t>102</t>
  </si>
  <si>
    <t>Development Authority of Elbert County, Elberton and Bowman</t>
  </si>
  <si>
    <t>Cecil</t>
  </si>
  <si>
    <t>Warren Co.</t>
  </si>
  <si>
    <t>Montgomery County, GA</t>
  </si>
  <si>
    <t>103</t>
  </si>
  <si>
    <t>Development Authority of Emanuel County</t>
  </si>
  <si>
    <t>Cedar Springs</t>
  </si>
  <si>
    <t>Washington Co.</t>
  </si>
  <si>
    <t>Morgan County, GA HUD Metro FMR Area</t>
  </si>
  <si>
    <t>104</t>
  </si>
  <si>
    <t>Development Authority of Emanuel County and the City of Swainsboro</t>
  </si>
  <si>
    <t>Wayne Co.</t>
  </si>
  <si>
    <t>Murray</t>
  </si>
  <si>
    <t>Murray County, GA HUD Metro FMR Area</t>
  </si>
  <si>
    <t>105</t>
  </si>
  <si>
    <t>Development Authority of Fairburn</t>
  </si>
  <si>
    <t>Webster Co.</t>
  </si>
  <si>
    <t>106</t>
  </si>
  <si>
    <t>Development Authority of Floyd County</t>
  </si>
  <si>
    <t>Centralhatchee</t>
  </si>
  <si>
    <t>Wheeler Co.</t>
  </si>
  <si>
    <t>Newton</t>
  </si>
  <si>
    <t>107</t>
  </si>
  <si>
    <t>Development Authority of Forsyth County</t>
  </si>
  <si>
    <t>Chamblee</t>
  </si>
  <si>
    <t>White Co.</t>
  </si>
  <si>
    <t>108</t>
  </si>
  <si>
    <t>Development Authority of Fulton County</t>
  </si>
  <si>
    <t>Chatsworth</t>
  </si>
  <si>
    <t>Wilcox Co.</t>
  </si>
  <si>
    <t>109</t>
  </si>
  <si>
    <t>Development Authority of Gordon County</t>
  </si>
  <si>
    <t>Chattahoochee Hills</t>
  </si>
  <si>
    <t>Wilkes Co.</t>
  </si>
  <si>
    <t>110</t>
  </si>
  <si>
    <t>Development Authority of Gwinnett County</t>
  </si>
  <si>
    <t>Wilkinson Co.</t>
  </si>
  <si>
    <t>Peach County, GA HUD Metro FMR Area</t>
  </si>
  <si>
    <t>111</t>
  </si>
  <si>
    <t>Development Authority of Haralson County</t>
  </si>
  <si>
    <t>Chauncey</t>
  </si>
  <si>
    <t>Pickens</t>
  </si>
  <si>
    <t>112</t>
  </si>
  <si>
    <t>Development Authority of Harris County</t>
  </si>
  <si>
    <t>Cherry Log</t>
  </si>
  <si>
    <t>Pierce County, GA</t>
  </si>
  <si>
    <t>113</t>
  </si>
  <si>
    <t>Development Authority of Heard County</t>
  </si>
  <si>
    <t>Chester</t>
  </si>
  <si>
    <t>114</t>
  </si>
  <si>
    <t>Development Authority of Houston County</t>
  </si>
  <si>
    <t>Chickamauga</t>
  </si>
  <si>
    <t>Polk County, GA</t>
  </si>
  <si>
    <t>115</t>
  </si>
  <si>
    <t>Development Authority of Jasper County</t>
  </si>
  <si>
    <t>Clarkesville</t>
  </si>
  <si>
    <t>Pulaski</t>
  </si>
  <si>
    <t>Pulaski County, GA</t>
  </si>
  <si>
    <t>116</t>
  </si>
  <si>
    <t>Development Authority of Jefferson County</t>
  </si>
  <si>
    <t>Clarkston</t>
  </si>
  <si>
    <t>Putnam</t>
  </si>
  <si>
    <t>Putnam County, GA</t>
  </si>
  <si>
    <t>117</t>
  </si>
  <si>
    <t>Development Authority of Jefferson, Georgia</t>
  </si>
  <si>
    <t>Claxton</t>
  </si>
  <si>
    <t>Quitman County, GA</t>
  </si>
  <si>
    <t>118</t>
  </si>
  <si>
    <t>Development Authority of Jenkins County</t>
  </si>
  <si>
    <t>Rabun</t>
  </si>
  <si>
    <t>Rabun County, GA</t>
  </si>
  <si>
    <t>119</t>
  </si>
  <si>
    <t>Development Authority of Johnson County, Georgia</t>
  </si>
  <si>
    <t>Clermont</t>
  </si>
  <si>
    <t>Randolph</t>
  </si>
  <si>
    <t>Randolph County, GA</t>
  </si>
  <si>
    <t>120</t>
  </si>
  <si>
    <t>Development Authority of Jones County</t>
  </si>
  <si>
    <t>Cleveland</t>
  </si>
  <si>
    <t>White</t>
  </si>
  <si>
    <t>121</t>
  </si>
  <si>
    <t>Development Authority of LaFayette</t>
  </si>
  <si>
    <t>Climax</t>
  </si>
  <si>
    <t>122</t>
  </si>
  <si>
    <t>Development Authority of LaGrange</t>
  </si>
  <si>
    <t>Cobbtown</t>
  </si>
  <si>
    <t>Tattnall</t>
  </si>
  <si>
    <t>Schley</t>
  </si>
  <si>
    <t>Schley County, GA</t>
  </si>
  <si>
    <t>123</t>
  </si>
  <si>
    <t>Development Authority of Lanier County</t>
  </si>
  <si>
    <t>Screven</t>
  </si>
  <si>
    <t>Screven County, GA</t>
  </si>
  <si>
    <t>124</t>
  </si>
  <si>
    <t>Development Authority of Lawrenceville, GA</t>
  </si>
  <si>
    <t>Cohutta</t>
  </si>
  <si>
    <t>Whitfield</t>
  </si>
  <si>
    <t>125</t>
  </si>
  <si>
    <t>Development Authority of Lee County</t>
  </si>
  <si>
    <t>Colbert</t>
  </si>
  <si>
    <t>Seminole</t>
  </si>
  <si>
    <t>Seminole County, GA</t>
  </si>
  <si>
    <t>126</t>
  </si>
  <si>
    <t>Development Authority of Lumpkin County</t>
  </si>
  <si>
    <t>Coleman</t>
  </si>
  <si>
    <t>127</t>
  </si>
  <si>
    <t>Development Authority of Macon County</t>
  </si>
  <si>
    <t>College Park</t>
  </si>
  <si>
    <t>Stephens County, GA</t>
  </si>
  <si>
    <t>128</t>
  </si>
  <si>
    <t>Development Authority of McDuffie County</t>
  </si>
  <si>
    <t>Collins</t>
  </si>
  <si>
    <t>Stewart</t>
  </si>
  <si>
    <t>Stewart County, GA HUD Metro FMR Area</t>
  </si>
  <si>
    <t>129</t>
  </si>
  <si>
    <t>Development Authority of McDuffie County and the City of Thomson</t>
  </si>
  <si>
    <t>Sumter County, GA</t>
  </si>
  <si>
    <t>130</t>
  </si>
  <si>
    <t>Development Authority of Mitchell County</t>
  </si>
  <si>
    <t>Talbot</t>
  </si>
  <si>
    <t>Talbot County, GA HUD Metro FMR Area</t>
  </si>
  <si>
    <t>131</t>
  </si>
  <si>
    <t>Development Authority of Monroe County</t>
  </si>
  <si>
    <t>Comer</t>
  </si>
  <si>
    <t>Taliaferro</t>
  </si>
  <si>
    <t>Taliaferro County, GA</t>
  </si>
  <si>
    <t>132</t>
  </si>
  <si>
    <t>Development Authority of Morgan County</t>
  </si>
  <si>
    <t>Tattnall County, GA</t>
  </si>
  <si>
    <t>133</t>
  </si>
  <si>
    <t>Development Authority of Palmetto</t>
  </si>
  <si>
    <t>Concord</t>
  </si>
  <si>
    <t>Taylor County, GA</t>
  </si>
  <si>
    <t>134</t>
  </si>
  <si>
    <t>Development Authority of Peach County</t>
  </si>
  <si>
    <t>Telfair</t>
  </si>
  <si>
    <t>Telfair County, GA</t>
  </si>
  <si>
    <t>135</t>
  </si>
  <si>
    <t>Development Authority of Peachtree City</t>
  </si>
  <si>
    <t>136</t>
  </si>
  <si>
    <t>Development Authority of Pike County</t>
  </si>
  <si>
    <t>Coolidge</t>
  </si>
  <si>
    <t>Thomas County, GA</t>
  </si>
  <si>
    <t>137</t>
  </si>
  <si>
    <t>Development Authority of Polk County</t>
  </si>
  <si>
    <t>Tift County, GA</t>
  </si>
  <si>
    <t>138</t>
  </si>
  <si>
    <t>Development Authority of Rabun County</t>
  </si>
  <si>
    <t>Corinth</t>
  </si>
  <si>
    <t>Toombs</t>
  </si>
  <si>
    <t>Toombs County, GA</t>
  </si>
  <si>
    <t>139</t>
  </si>
  <si>
    <t>Development Authority of Richmond County</t>
  </si>
  <si>
    <t>Cornelia</t>
  </si>
  <si>
    <t>Towns County, GA</t>
  </si>
  <si>
    <t>140</t>
  </si>
  <si>
    <t>Development Authority of Rockdale County</t>
  </si>
  <si>
    <t>Treutlen</t>
  </si>
  <si>
    <t>Treutlen County, GA</t>
  </si>
  <si>
    <t>141</t>
  </si>
  <si>
    <t>Development Authority of Screven County</t>
  </si>
  <si>
    <t>Covington</t>
  </si>
  <si>
    <t>Troup</t>
  </si>
  <si>
    <t>Troup County, GA</t>
  </si>
  <si>
    <t>142</t>
  </si>
  <si>
    <t>Development Authority of Seminole County and Donalsonville</t>
  </si>
  <si>
    <t>Turner County, GA</t>
  </si>
  <si>
    <t>143</t>
  </si>
  <si>
    <t>Development Authority of St. Marys</t>
  </si>
  <si>
    <t>Crawfordville</t>
  </si>
  <si>
    <t>Twiggs</t>
  </si>
  <si>
    <t>144</t>
  </si>
  <si>
    <t>Development Authority of Talbot County</t>
  </si>
  <si>
    <t>Crooked Creek</t>
  </si>
  <si>
    <t>Union County, GA</t>
  </si>
  <si>
    <t>145</t>
  </si>
  <si>
    <t>Development Authority of Telfair County</t>
  </si>
  <si>
    <t>Culloden</t>
  </si>
  <si>
    <t>Upson County, GA</t>
  </si>
  <si>
    <t>146</t>
  </si>
  <si>
    <t>Development Authority of the City of Americus</t>
  </si>
  <si>
    <t>Cumming</t>
  </si>
  <si>
    <t>147</t>
  </si>
  <si>
    <t>Development Authority of the City of Bowdon</t>
  </si>
  <si>
    <t>Cusseta</t>
  </si>
  <si>
    <t>148</t>
  </si>
  <si>
    <t>Development Authority of the City of Dalton</t>
  </si>
  <si>
    <t>Cuthbert</t>
  </si>
  <si>
    <t>Ware County, GA</t>
  </si>
  <si>
    <t>149</t>
  </si>
  <si>
    <t>Development Authority of the City of Folkston and Charlton County</t>
  </si>
  <si>
    <t>Dacula</t>
  </si>
  <si>
    <t>Warren County, GA</t>
  </si>
  <si>
    <t>150</t>
  </si>
  <si>
    <t>Development Authority of the City of Homeland</t>
  </si>
  <si>
    <t>Dahlonega</t>
  </si>
  <si>
    <t>Washington County, GA</t>
  </si>
  <si>
    <t>151</t>
  </si>
  <si>
    <t>Development Authority of the City of Jasper</t>
  </si>
  <si>
    <t>Daisy</t>
  </si>
  <si>
    <t>Wayne</t>
  </si>
  <si>
    <t>Wayne County, GA</t>
  </si>
  <si>
    <t>152</t>
  </si>
  <si>
    <t>Development Authority of the City of Jeffersonville and Twiggs County</t>
  </si>
  <si>
    <t>Dallas</t>
  </si>
  <si>
    <t>Webster</t>
  </si>
  <si>
    <t>Webster County, GA</t>
  </si>
  <si>
    <t>153</t>
  </si>
  <si>
    <t>Development Authority of the City of Marietta</t>
  </si>
  <si>
    <t>Wheeler County, GA</t>
  </si>
  <si>
    <t>154</t>
  </si>
  <si>
    <t>Development Authority of the City of Milledgeville and Baldwin County</t>
  </si>
  <si>
    <t>Damascus</t>
  </si>
  <si>
    <t>White County, GA</t>
  </si>
  <si>
    <t>155</t>
  </si>
  <si>
    <t>Development Authority of the City of Newnan</t>
  </si>
  <si>
    <t>Danielsville</t>
  </si>
  <si>
    <t>Dalton, GA HUD Metro FMR Area</t>
  </si>
  <si>
    <t>156</t>
  </si>
  <si>
    <t>Development Authority of the City of Oakwood</t>
  </si>
  <si>
    <t>Danville</t>
  </si>
  <si>
    <t>Wilcox County, GA</t>
  </si>
  <si>
    <t>157</t>
  </si>
  <si>
    <t>Development Authority of the City of Roswell</t>
  </si>
  <si>
    <t>Darien</t>
  </si>
  <si>
    <t>Wilkes</t>
  </si>
  <si>
    <t>Wilkes County, GA</t>
  </si>
  <si>
    <t>158</t>
  </si>
  <si>
    <t>Development Authority of the City of Vienna</t>
  </si>
  <si>
    <t>Dasher</t>
  </si>
  <si>
    <t>Wilkinson County, GA</t>
  </si>
  <si>
    <t>159</t>
  </si>
  <si>
    <t>Development Authority of the Unified Government of Athens-Clarke County, Georgia</t>
  </si>
  <si>
    <t>Davisboro</t>
  </si>
  <si>
    <t>Worth</t>
  </si>
  <si>
    <t>160</t>
  </si>
  <si>
    <t>Development Authority of Tift County</t>
  </si>
  <si>
    <t>Development Authority of Union County</t>
  </si>
  <si>
    <t>Dawsonville</t>
  </si>
  <si>
    <t>Development Authority of Vidalia</t>
  </si>
  <si>
    <t>De Soto</t>
  </si>
  <si>
    <t>Development Authority of Walton County</t>
  </si>
  <si>
    <t>Dearing</t>
  </si>
  <si>
    <t>Development Authority of Warner Robins</t>
  </si>
  <si>
    <t>Development Authority of Warren County</t>
  </si>
  <si>
    <t>Development Authority of Washington County</t>
  </si>
  <si>
    <t>Deepstep</t>
  </si>
  <si>
    <t>Development Authority of Wheeler County</t>
  </si>
  <si>
    <t>Demorest</t>
  </si>
  <si>
    <t>Development Authority of White County</t>
  </si>
  <si>
    <t>Denton</t>
  </si>
  <si>
    <t>Development Authority of Whitfield County</t>
  </si>
  <si>
    <t>Dewy Rose</t>
  </si>
  <si>
    <t>Development Authority of Wilkinson County</t>
  </si>
  <si>
    <t>Dexter</t>
  </si>
  <si>
    <t>Downtown Athens Development Authority</t>
  </si>
  <si>
    <t>Dillard</t>
  </si>
  <si>
    <t>Downtown Camilla Development Authority</t>
  </si>
  <si>
    <t>Downtown Dalton Development Authority</t>
  </si>
  <si>
    <t>Doerun</t>
  </si>
  <si>
    <t>Downtown Development Authority for the City of Garden City</t>
  </si>
  <si>
    <t>Donalsonville</t>
  </si>
  <si>
    <t>Downtown Development Authority for the City of Hahira, Georgia</t>
  </si>
  <si>
    <t>Dooling</t>
  </si>
  <si>
    <t>Downtown Development Authority for the City of Savannah</t>
  </si>
  <si>
    <t>Doraville</t>
  </si>
  <si>
    <t>Downtown Development Authority for the City of Warner Robins</t>
  </si>
  <si>
    <t>Downtown Development Authority of Adel, Georgia</t>
  </si>
  <si>
    <t>Douglasville</t>
  </si>
  <si>
    <t>Downtown Development Authority of Albany, Georgia</t>
  </si>
  <si>
    <t>Downtown Development Authority of Augusta-Richmond County</t>
  </si>
  <si>
    <t>Du Pont</t>
  </si>
  <si>
    <t>Downtown Development Authority of Austell</t>
  </si>
  <si>
    <t>Downtown Development Authority of Avondale Estates</t>
  </si>
  <si>
    <t>Dudley</t>
  </si>
  <si>
    <t>Downtown Development Authority of Barnesville</t>
  </si>
  <si>
    <t>Duluth</t>
  </si>
  <si>
    <t>Downtown Development Authority of Baxley</t>
  </si>
  <si>
    <t>Dunwoody</t>
  </si>
  <si>
    <t>Downtown Development Authority of Bremen</t>
  </si>
  <si>
    <t>Dutch Island</t>
  </si>
  <si>
    <t>Downtown Development Authority of Brunswick</t>
  </si>
  <si>
    <t>Eagle Grove</t>
  </si>
  <si>
    <t>Downtown Development Authority of Centerville</t>
  </si>
  <si>
    <t>East Dublin</t>
  </si>
  <si>
    <t>Downtown Development Authority of Chatsworth</t>
  </si>
  <si>
    <t>East Ellijay</t>
  </si>
  <si>
    <t>Downtown Development Authority of Columbus, Georgia</t>
  </si>
  <si>
    <t>Downtown Development Authority of Cordele</t>
  </si>
  <si>
    <t>Downtown Development Authority of Cuthbert, Georgia</t>
  </si>
  <si>
    <t>East Point</t>
  </si>
  <si>
    <t>Downtown Development Authority of Douglas</t>
  </si>
  <si>
    <t>Eastman</t>
  </si>
  <si>
    <t>Downtown Development Authority of Fairburn</t>
  </si>
  <si>
    <t>Eatonton</t>
  </si>
  <si>
    <t>Downtown Development Authority of Fitzgerald</t>
  </si>
  <si>
    <t>Edge Hill</t>
  </si>
  <si>
    <t>Downtown Development Authority of Forsyth</t>
  </si>
  <si>
    <t>Edison</t>
  </si>
  <si>
    <t>Downtown Development Authority of Fort Gaines, Georgia</t>
  </si>
  <si>
    <t>Elberton</t>
  </si>
  <si>
    <t>Downtown Development Authority of Hampton</t>
  </si>
  <si>
    <t>Ellaville</t>
  </si>
  <si>
    <t>Downtown Development Authority of Hartwell, Georgia</t>
  </si>
  <si>
    <t>Ellenton</t>
  </si>
  <si>
    <t>Downtown Development Authority of Hinesville, Georgia</t>
  </si>
  <si>
    <t>Ellenwood</t>
  </si>
  <si>
    <t>Downtown Development Authority of Holly Springs</t>
  </si>
  <si>
    <t>Ellijay</t>
  </si>
  <si>
    <t>Downtown Development Authority of Lawrenceville, GA</t>
  </si>
  <si>
    <t>Emerson</t>
  </si>
  <si>
    <t>Downtown Development Authority of Madison</t>
  </si>
  <si>
    <t>Empire</t>
  </si>
  <si>
    <t>Downtown Development Authority of Maysville</t>
  </si>
  <si>
    <t>Enigma</t>
  </si>
  <si>
    <t>Downtown Development Authority of Millen, Georgia</t>
  </si>
  <si>
    <t>Ephesus</t>
  </si>
  <si>
    <t>Downtown Development Authority of Monticello, Georgia</t>
  </si>
  <si>
    <t>Epworth</t>
  </si>
  <si>
    <t>Downtown Development Authority of Moultrie</t>
  </si>
  <si>
    <t>Eton</t>
  </si>
  <si>
    <t>Downtown Development Authority of Pitts, Georgia</t>
  </si>
  <si>
    <t>Euharlee</t>
  </si>
  <si>
    <t>Downtown Development Authority of Smyrna</t>
  </si>
  <si>
    <t>Downtown Development Authority of Snellville, Georgia</t>
  </si>
  <si>
    <t>Downtown Development Authority of Social Circle</t>
  </si>
  <si>
    <t>Downtown Development Authority of the City of Atlanta</t>
  </si>
  <si>
    <t>Downtown Development Authority of the City of Baconton</t>
  </si>
  <si>
    <t>Fairmount</t>
  </si>
  <si>
    <t>Downtown Development Authority of the City of Buford</t>
  </si>
  <si>
    <t>Downtown Development Authority of the City of Canton, Georgia</t>
  </si>
  <si>
    <t>Fargo</t>
  </si>
  <si>
    <t>Downtown Development Authority of the City of Dallas, Georgia</t>
  </si>
  <si>
    <t>Fayetteville</t>
  </si>
  <si>
    <t>Downtown Development Authority of the City of Darien</t>
  </si>
  <si>
    <t>Fitzgerald</t>
  </si>
  <si>
    <t>Downtown Development Authority of the City of Dawson</t>
  </si>
  <si>
    <t>Flemington</t>
  </si>
  <si>
    <t>Downtown Development Authority of the City of Decatur</t>
  </si>
  <si>
    <t>Flovilla</t>
  </si>
  <si>
    <t>Downtown Development Authority of the City of Douglasville</t>
  </si>
  <si>
    <t>Flowery Branch</t>
  </si>
  <si>
    <t>Downtown Development Authority of the City of Greensboro</t>
  </si>
  <si>
    <t>Folkston</t>
  </si>
  <si>
    <t>Downtown Development Authority of the City of Jackson</t>
  </si>
  <si>
    <t>Forest Park</t>
  </si>
  <si>
    <t>Downtown Development Authority of the City of Jonesboro</t>
  </si>
  <si>
    <t>Downtown Development Authority of the City of LaFayette</t>
  </si>
  <si>
    <t>Fort Gaines</t>
  </si>
  <si>
    <t>Downtown Development Authority of the City of LaGrange</t>
  </si>
  <si>
    <t>Fort Oglethorpe</t>
  </si>
  <si>
    <t>Downtown Development Authority of the City of Locust Grove</t>
  </si>
  <si>
    <t>Downtown Development Authority of the City of Monroe</t>
  </si>
  <si>
    <t>Fort Valley</t>
  </si>
  <si>
    <t>Downtown Development Authority of the City of Morrow, Georgia</t>
  </si>
  <si>
    <t>Downtown Development Authority of the City of Newnan, Georgia</t>
  </si>
  <si>
    <t>Franklin Springs</t>
  </si>
  <si>
    <t>Downtown Development Authority of the City of Norcross</t>
  </si>
  <si>
    <t>Funston</t>
  </si>
  <si>
    <t>Downtown Development Authority of the City of Perry</t>
  </si>
  <si>
    <t>Downtown Development Authority of the City of Richland, Georgia</t>
  </si>
  <si>
    <t>Garden City</t>
  </si>
  <si>
    <t>Downtown Development Authority of the City of Rome</t>
  </si>
  <si>
    <t>Garfield</t>
  </si>
  <si>
    <t>Downtown Development Authority of the City of Rossville</t>
  </si>
  <si>
    <t>Gay</t>
  </si>
  <si>
    <t>Downtown Development Authority of the City of Roswell</t>
  </si>
  <si>
    <t>Geneva</t>
  </si>
  <si>
    <t>Downtown Development Authority of the City of Royston</t>
  </si>
  <si>
    <t>Downtown Development Authority of the City of Senoia</t>
  </si>
  <si>
    <t>Gibson</t>
  </si>
  <si>
    <t>Downtown Development Authority of the City of Smithville</t>
  </si>
  <si>
    <t>Gillsville</t>
  </si>
  <si>
    <t>Downtown Development Authority of the City of Tallapoosa</t>
  </si>
  <si>
    <t>Girard</t>
  </si>
  <si>
    <t>Downtown Development Authority of the City of Thomson</t>
  </si>
  <si>
    <t>Glennville</t>
  </si>
  <si>
    <t>Downtown Development Authority of the City of Tifton</t>
  </si>
  <si>
    <t>Glenwood</t>
  </si>
  <si>
    <t>Downtown Development Authority of the City of Unadilla</t>
  </si>
  <si>
    <t>Good Hope</t>
  </si>
  <si>
    <t>Downtown Development Authority of the City of Vienna</t>
  </si>
  <si>
    <t>Downtown Development Authority of the City of Warrenton</t>
  </si>
  <si>
    <t>Graham</t>
  </si>
  <si>
    <t>Downtown Development Authority of the City of Warwick</t>
  </si>
  <si>
    <t>Grantville</t>
  </si>
  <si>
    <t>Downtown Development Authority of the City of Zebulon</t>
  </si>
  <si>
    <t>Gray</t>
  </si>
  <si>
    <t>Downtown Development Authority of the Mayor and City Council of Americus</t>
  </si>
  <si>
    <t>Grayson</t>
  </si>
  <si>
    <t>Downtown Development Authority of Toccoa</t>
  </si>
  <si>
    <t>Downtown Development Authority of Woodbury</t>
  </si>
  <si>
    <t>Greenville</t>
  </si>
  <si>
    <t>Downtown Development Authority of Woodstock</t>
  </si>
  <si>
    <t>Downtown Development Authority, City of Forest Park</t>
  </si>
  <si>
    <t>Downtown LaGrange Development Authority</t>
  </si>
  <si>
    <t>Grovetown</t>
  </si>
  <si>
    <t>Downtown Marietta Development Authority</t>
  </si>
  <si>
    <t>Gum Branch</t>
  </si>
  <si>
    <t>Downtown Savannah Authority</t>
  </si>
  <si>
    <t>Downtown Statesboro Development Authority</t>
  </si>
  <si>
    <t>Guyton</t>
  </si>
  <si>
    <t>Downtown Waycross Development Authority</t>
  </si>
  <si>
    <t>Hagan</t>
  </si>
  <si>
    <t>Dublin-Laurens County Development Authority</t>
  </si>
  <si>
    <t>Hahira</t>
  </si>
  <si>
    <t>Elbert County Richard B. Russell Development Authority</t>
  </si>
  <si>
    <t>Hamilton</t>
  </si>
  <si>
    <t>Elberton Downtown Development Authority d/b/a MainStreet Elberton</t>
  </si>
  <si>
    <t>Hampton</t>
  </si>
  <si>
    <t>Emanuel County Development Authority</t>
  </si>
  <si>
    <t>Emanuel-Johnson County Development Authority</t>
  </si>
  <si>
    <t>Hapeville</t>
  </si>
  <si>
    <t>Etowah Area Consolidated Housing Authority</t>
  </si>
  <si>
    <t>Fairburn Housing Authority</t>
  </si>
  <si>
    <t>Hardwick</t>
  </si>
  <si>
    <t>Fall Line Regional Development Authority</t>
  </si>
  <si>
    <t>Harlem</t>
  </si>
  <si>
    <t>Fayette County Development Authority</t>
  </si>
  <si>
    <t>Harrison</t>
  </si>
  <si>
    <t>Fitzgerald/Ben Hill County Development Authority</t>
  </si>
  <si>
    <t>Flint Area Consolidated Housing Authority</t>
  </si>
  <si>
    <t>Hawkinsville</t>
  </si>
  <si>
    <t>Fort Oglethorpe Downtown Development Authority</t>
  </si>
  <si>
    <t>Hazlehurst</t>
  </si>
  <si>
    <t>Fort Valley Downtown Development Authority</t>
  </si>
  <si>
    <t>Helen</t>
  </si>
  <si>
    <t>Fulton County/City of Atlanta Land Bank Authority, Inc.</t>
  </si>
  <si>
    <t>Henderson</t>
  </si>
  <si>
    <t>Gainesville and Hall County Development Authority</t>
  </si>
  <si>
    <t>Hephzibah</t>
  </si>
  <si>
    <t>Gainesville Redevelopment Authority</t>
  </si>
  <si>
    <t>Heron Bay</t>
  </si>
  <si>
    <t>Georgia Bioscience Joint Development Authority</t>
  </si>
  <si>
    <t>Hiawassee</t>
  </si>
  <si>
    <t>Gibson Housing Authority</t>
  </si>
  <si>
    <t>Higgston</t>
  </si>
  <si>
    <t>Glennville Development Authority</t>
  </si>
  <si>
    <t>Glennville Downtown Development Authority</t>
  </si>
  <si>
    <t>Hiltonia</t>
  </si>
  <si>
    <t>Gordon County - Floyd County Development Authority</t>
  </si>
  <si>
    <t>Hinesville</t>
  </si>
  <si>
    <t>Gordon Downtown Development Authority</t>
  </si>
  <si>
    <t>Hiram</t>
  </si>
  <si>
    <t>Grady County Joint Development Authority</t>
  </si>
  <si>
    <t>Hoboken</t>
  </si>
  <si>
    <t>Greene County Development Authority</t>
  </si>
  <si>
    <t>Hogansville</t>
  </si>
  <si>
    <t>Griffin-Spalding County Development Authority</t>
  </si>
  <si>
    <t>Holly Springs</t>
  </si>
  <si>
    <t>Habersham County Development Authority</t>
  </si>
  <si>
    <t>Homeland</t>
  </si>
  <si>
    <t>Hapeville Development Authority</t>
  </si>
  <si>
    <t>Homer</t>
  </si>
  <si>
    <t>Hawkinsville Downtown Development Authority</t>
  </si>
  <si>
    <t>Homerville</t>
  </si>
  <si>
    <t>Hawkinsville Housing Authority</t>
  </si>
  <si>
    <t>Hoschton</t>
  </si>
  <si>
    <t>Hazlehurst Downtown Development Authority</t>
  </si>
  <si>
    <t>Howard</t>
  </si>
  <si>
    <t>Henry County Development Authority</t>
  </si>
  <si>
    <t>Hull</t>
  </si>
  <si>
    <t>Hogansville Development Authority</t>
  </si>
  <si>
    <t>Ideal</t>
  </si>
  <si>
    <t>Housing Authority City of Sylvester, GA</t>
  </si>
  <si>
    <t>Ila</t>
  </si>
  <si>
    <t>Housing Authority of City of Carrollton</t>
  </si>
  <si>
    <t>Housing Authority of City of Danielsville</t>
  </si>
  <si>
    <t>Iron City</t>
  </si>
  <si>
    <t>Housing Authority of Clayton County</t>
  </si>
  <si>
    <t>Housing Authority of Cobb County</t>
  </si>
  <si>
    <t>Irwinton</t>
  </si>
  <si>
    <t>Housing Authority of Columbus, Georgia</t>
  </si>
  <si>
    <t>Housing Authority of Fulton County</t>
  </si>
  <si>
    <t>Ivey</t>
  </si>
  <si>
    <t>Housing Authority of Gwinnett County</t>
  </si>
  <si>
    <t>Housing Authority of Lee County</t>
  </si>
  <si>
    <t>Jacksonville</t>
  </si>
  <si>
    <t>Housing Authority of Savannah</t>
  </si>
  <si>
    <t>Jakin</t>
  </si>
  <si>
    <t>Housing Authority of Screven County</t>
  </si>
  <si>
    <t>Housing Authority of the City of Acworth</t>
  </si>
  <si>
    <t>Housing Authority of the City of Adel, Georgia</t>
  </si>
  <si>
    <t>Jeffersonville</t>
  </si>
  <si>
    <t>Housing Authority of the City of Alamo</t>
  </si>
  <si>
    <t>Jenkinsburg</t>
  </si>
  <si>
    <t>Housing Authority of the City of Albany</t>
  </si>
  <si>
    <t>Jersey</t>
  </si>
  <si>
    <t>Housing Authority of the City of Ashburn</t>
  </si>
  <si>
    <t>Jesup</t>
  </si>
  <si>
    <t>Housing Authority of the City of Athens, Georgia</t>
  </si>
  <si>
    <t>Johns Creek</t>
  </si>
  <si>
    <t>Housing Authority of the City of Augusta, Georgia</t>
  </si>
  <si>
    <t>Jonesboro</t>
  </si>
  <si>
    <t>Housing Authority of the City of Bainbridge</t>
  </si>
  <si>
    <t>Junction City</t>
  </si>
  <si>
    <t>Housing Authority of the City of Baxley</t>
  </si>
  <si>
    <t>Kennesaw</t>
  </si>
  <si>
    <t>Housing Authority of the City of Blackshear</t>
  </si>
  <si>
    <t>Keysville</t>
  </si>
  <si>
    <t>Housing Authority of the City of Blakely, Georgia</t>
  </si>
  <si>
    <t>Housing Authority of the City of Buford, Georgia</t>
  </si>
  <si>
    <t>Kingsland</t>
  </si>
  <si>
    <t>Housing Authority of the City of Cairo, Georgia</t>
  </si>
  <si>
    <t>Kingston</t>
  </si>
  <si>
    <t>Housing Authority of the City of Calhoun</t>
  </si>
  <si>
    <t>Kite</t>
  </si>
  <si>
    <t>Housing Authority of the City of Camilla</t>
  </si>
  <si>
    <t>Knoxville</t>
  </si>
  <si>
    <t>Housing Authority of the City of Canton</t>
  </si>
  <si>
    <t>LaFayette</t>
  </si>
  <si>
    <t>Housing Authority of the City of Cave Spring</t>
  </si>
  <si>
    <t>LaGrange</t>
  </si>
  <si>
    <t>Housing Authority of the City of Cedartown, Ga.</t>
  </si>
  <si>
    <t>Lake City</t>
  </si>
  <si>
    <t>Housing Authority of the City of Clarkesville, Ga.</t>
  </si>
  <si>
    <t>Lake Park</t>
  </si>
  <si>
    <t>Housing Authority of the City of Clarkston</t>
  </si>
  <si>
    <t>Lakeland</t>
  </si>
  <si>
    <t>Housing Authority of the City of Clayton, Georgia</t>
  </si>
  <si>
    <t>Housing Authority of the City of Cleveland, Ga.</t>
  </si>
  <si>
    <t>Housing Authority of the City of College Park</t>
  </si>
  <si>
    <t>Lavonia</t>
  </si>
  <si>
    <t>Housing Authority of the City of Colquitt</t>
  </si>
  <si>
    <t>Lawrenceville</t>
  </si>
  <si>
    <t>Housing Authority of the City of Conyers</t>
  </si>
  <si>
    <t>Leary</t>
  </si>
  <si>
    <t>Housing Authority of the City of Cornelia, Ga.</t>
  </si>
  <si>
    <t>Leesburg</t>
  </si>
  <si>
    <t>Housing Authority of the City of Covington</t>
  </si>
  <si>
    <t>Lenox</t>
  </si>
  <si>
    <t>Housing Authority of the City of Crawfordville</t>
  </si>
  <si>
    <t>Leslie</t>
  </si>
  <si>
    <t>Housing Authority of the City of Cumming</t>
  </si>
  <si>
    <t>Lexington</t>
  </si>
  <si>
    <t>Housing Authority of the City of Cuthbert, GA</t>
  </si>
  <si>
    <t>Lilburn</t>
  </si>
  <si>
    <t>Housing Authority of the City of Dahlonega</t>
  </si>
  <si>
    <t>Lilly</t>
  </si>
  <si>
    <t>Housing Authority of the City of Dawson</t>
  </si>
  <si>
    <t>Housing Authority of the City of Decatur, Georgia</t>
  </si>
  <si>
    <t>Lincolnton</t>
  </si>
  <si>
    <t>Housing Authority of the City of Doerun, Georgia</t>
  </si>
  <si>
    <t>Linwood</t>
  </si>
  <si>
    <t>Housing Authority of the City of Dublin, Georgia</t>
  </si>
  <si>
    <t>Housing Authority of the City of East Point, Georgia</t>
  </si>
  <si>
    <t>Housing Authority of the City of Eastman</t>
  </si>
  <si>
    <t>Locust Grove</t>
  </si>
  <si>
    <t>Housing Authority of the City of Eatonton</t>
  </si>
  <si>
    <t>Loganville</t>
  </si>
  <si>
    <t>Housing Authority of the City of Edison, GA.</t>
  </si>
  <si>
    <t>Lone Oak</t>
  </si>
  <si>
    <t>Housing Authority of the City of Ellaville</t>
  </si>
  <si>
    <t>Lookout Mountain</t>
  </si>
  <si>
    <t>Housing Authority of the City of Ellijay, Georgia</t>
  </si>
  <si>
    <t>Louisville</t>
  </si>
  <si>
    <t>Housing Authority of the City of Fitzgerald</t>
  </si>
  <si>
    <t>Lovejoy</t>
  </si>
  <si>
    <t>Housing Authority of the City of Forsyth</t>
  </si>
  <si>
    <t>Ludowici</t>
  </si>
  <si>
    <t>Housing Authority of the City of Fort Gaines</t>
  </si>
  <si>
    <t>Lula</t>
  </si>
  <si>
    <t>Housing Authority of the City of Fort Oglethorpe, Georgia</t>
  </si>
  <si>
    <t>Lumber City</t>
  </si>
  <si>
    <t>Housing Authority of the City of Fort Valley</t>
  </si>
  <si>
    <t>Housing Authority of the City of Gainesville</t>
  </si>
  <si>
    <t>Luthersville</t>
  </si>
  <si>
    <t>Housing Authority of the City of Glennville</t>
  </si>
  <si>
    <t>Lyerly</t>
  </si>
  <si>
    <t>Housing Authority of the City of Glenwood</t>
  </si>
  <si>
    <t>Lyons</t>
  </si>
  <si>
    <t>Housing Authority of the City of Grantville</t>
  </si>
  <si>
    <t>Housing Authority of the City of Greensboro, Georgia</t>
  </si>
  <si>
    <t>Housing Authority of the City of Griffin</t>
  </si>
  <si>
    <t>Housing Authority of the City of Hahira, Georgia</t>
  </si>
  <si>
    <t>Manassas</t>
  </si>
  <si>
    <t>Housing Authority of the City of Hampton, Georgia</t>
  </si>
  <si>
    <t>Manchester</t>
  </si>
  <si>
    <t>Housing Authority of the City of Harlem, Georgia</t>
  </si>
  <si>
    <t>Mansfield</t>
  </si>
  <si>
    <t>Housing Authority of the City of Hartwell</t>
  </si>
  <si>
    <t>Marietta</t>
  </si>
  <si>
    <t>Housing Authority of the City of Hinesville, Ga</t>
  </si>
  <si>
    <t>Marshallville</t>
  </si>
  <si>
    <t>Housing Authority of the City of Hogansville</t>
  </si>
  <si>
    <t>Martin</t>
  </si>
  <si>
    <t>Housing Authority of the City of Jasper</t>
  </si>
  <si>
    <t>Housing Authority of the City of Jefferson</t>
  </si>
  <si>
    <t>Matthews</t>
  </si>
  <si>
    <t>Housing Authority of the City of Jesup</t>
  </si>
  <si>
    <t>Maxeys</t>
  </si>
  <si>
    <t>Housing Authority of the City of Lakeland, Georgia</t>
  </si>
  <si>
    <t>Maysville</t>
  </si>
  <si>
    <t>Housing Authority of the City of Lavonia</t>
  </si>
  <si>
    <t>McCaysville</t>
  </si>
  <si>
    <t>Housing Authority of the City of Lawrenceville, GA</t>
  </si>
  <si>
    <t>McDonough</t>
  </si>
  <si>
    <t>Housing Authority of the City of Lithonia, Georgia</t>
  </si>
  <si>
    <t>McIntyre</t>
  </si>
  <si>
    <t>Housing Authority of the City of Loganville, GA</t>
  </si>
  <si>
    <t>Housing Authority of the City of Louisville</t>
  </si>
  <si>
    <t>Meansville</t>
  </si>
  <si>
    <t>Housing Authority of the City of Macon, Georgia</t>
  </si>
  <si>
    <t>Meigs</t>
  </si>
  <si>
    <t>Housing Authority of the City of Madison, GA</t>
  </si>
  <si>
    <t>Mendes</t>
  </si>
  <si>
    <t>Housing Authority of the City of Marietta</t>
  </si>
  <si>
    <t>Menlo</t>
  </si>
  <si>
    <t>Housing Authority of the City of McDonough</t>
  </si>
  <si>
    <t>Metter</t>
  </si>
  <si>
    <t>Housing Authority of the City of Menlo, Georgia</t>
  </si>
  <si>
    <t>Midville</t>
  </si>
  <si>
    <t>Housing Authority of the City of Metter</t>
  </si>
  <si>
    <t>Midway</t>
  </si>
  <si>
    <t>Housing Authority of the City of Milledgeville and Sparta</t>
  </si>
  <si>
    <t>Milan</t>
  </si>
  <si>
    <t>Housing Authority of the City of Millen</t>
  </si>
  <si>
    <t>Milledgeville</t>
  </si>
  <si>
    <t>Housing Authority of the City of Monroe, GA</t>
  </si>
  <si>
    <t>Housing Authority of the City of Monticello</t>
  </si>
  <si>
    <t>Milner</t>
  </si>
  <si>
    <t>Housing Authority of the City of Moultrie, Georgia</t>
  </si>
  <si>
    <t>Milton</t>
  </si>
  <si>
    <t>Housing Authority of the City of Mt. Vernon</t>
  </si>
  <si>
    <t>Mineral Bluff</t>
  </si>
  <si>
    <t>Housing Authority of the City of Nahunta</t>
  </si>
  <si>
    <t>Housing Authority of the City of Nashville, Georgia</t>
  </si>
  <si>
    <t>Molena</t>
  </si>
  <si>
    <t>Housing Authority of the City of Oakwood, Georgia</t>
  </si>
  <si>
    <t>Housing Authority of the City of Ocilla, Ga</t>
  </si>
  <si>
    <t>Montezuma</t>
  </si>
  <si>
    <t>Housing Authority of the City of Pearson, Georgia</t>
  </si>
  <si>
    <t>Housing Authority of the City of Perry, Georgia</t>
  </si>
  <si>
    <t>Monticello</t>
  </si>
  <si>
    <t>Housing Authority of the City of Quitman</t>
  </si>
  <si>
    <t>Montrose</t>
  </si>
  <si>
    <t>Housing Authority of the City of Ringgold</t>
  </si>
  <si>
    <t>Housing Authority of the City of Roberta, GA.</t>
  </si>
  <si>
    <t>Moreland</t>
  </si>
  <si>
    <t>Housing Authority of the City of Roswell</t>
  </si>
  <si>
    <t>Housing Authority of the City of Royston</t>
  </si>
  <si>
    <t>Morganton</t>
  </si>
  <si>
    <t>Housing Authority of the City of Sandersville</t>
  </si>
  <si>
    <t>Morrow</t>
  </si>
  <si>
    <t>Housing Authority of the City of Senoia</t>
  </si>
  <si>
    <t>Morven</t>
  </si>
  <si>
    <t>Housing Authority of the City of Shellman</t>
  </si>
  <si>
    <t>Moultrie</t>
  </si>
  <si>
    <t>Housing Authority of the City of Social Circle, GA</t>
  </si>
  <si>
    <t>Mount Airy</t>
  </si>
  <si>
    <t>Housing Authority of the City of Soperton</t>
  </si>
  <si>
    <t>Mount Vernon</t>
  </si>
  <si>
    <t>Housing Authority of the City of Statesboro</t>
  </si>
  <si>
    <t>Mount Zion</t>
  </si>
  <si>
    <t>Housing Authority of the City of Summerville</t>
  </si>
  <si>
    <t>Mountain City</t>
  </si>
  <si>
    <t>Housing Authority of the City of Swainsboro</t>
  </si>
  <si>
    <t>Housing Authority of the City of Sylvania</t>
  </si>
  <si>
    <t>Nahunta</t>
  </si>
  <si>
    <t>Housing Authority of the City of Tallapoosa, Georgia</t>
  </si>
  <si>
    <t>Nashville</t>
  </si>
  <si>
    <t>Housing Authority of the City of Thomaston</t>
  </si>
  <si>
    <t>Naylor</t>
  </si>
  <si>
    <t>Housing Authority of the City of Thomasville, Georgia</t>
  </si>
  <si>
    <t>Nelson</t>
  </si>
  <si>
    <t>Housing Authority of the City of Thomson, Georgia</t>
  </si>
  <si>
    <t>Newborn</t>
  </si>
  <si>
    <t>Housing Authority of the City of Tifton, Georgia</t>
  </si>
  <si>
    <t>Newington</t>
  </si>
  <si>
    <t>Housing Authority of the City of Toccoa, Ga.</t>
  </si>
  <si>
    <t>Housing Authority of the City of Vidalia</t>
  </si>
  <si>
    <t>Housing Authority of the City of Vienna</t>
  </si>
  <si>
    <t>Nicholls</t>
  </si>
  <si>
    <t>Housing Authority of the City of Warner Robins, Georgia</t>
  </si>
  <si>
    <t>Nicholson</t>
  </si>
  <si>
    <t>Housing Authority of the City of Warrenton</t>
  </si>
  <si>
    <t>Housing Authority of the City of Waycross</t>
  </si>
  <si>
    <t>Norman Park</t>
  </si>
  <si>
    <t>Housing Authority of the City of Waynesboro</t>
  </si>
  <si>
    <t>North High Shoals</t>
  </si>
  <si>
    <t>Housing Authority of the City of West Point</t>
  </si>
  <si>
    <t>Norwood</t>
  </si>
  <si>
    <t>Housing Authority of the City of Winder</t>
  </si>
  <si>
    <t>Nunez</t>
  </si>
  <si>
    <t>Housing Authority of the City of Woodbury, Georgia</t>
  </si>
  <si>
    <t>Oak Park</t>
  </si>
  <si>
    <t>Housing Authority of the City of Wrightsville</t>
  </si>
  <si>
    <t>Oakwood</t>
  </si>
  <si>
    <t>Housing Authority of the County of Atkinson, Georgia</t>
  </si>
  <si>
    <t>Ochlocknee</t>
  </si>
  <si>
    <t>Housing Authority of the County of DeKalb, Georgia</t>
  </si>
  <si>
    <t>Housing Authority of the County of Harris</t>
  </si>
  <si>
    <t>Housing Authority of the County of Houston, Georgia</t>
  </si>
  <si>
    <t>Odum</t>
  </si>
  <si>
    <t>Housing Authority of the Town of Homer, Ga.</t>
  </si>
  <si>
    <t>Offerman</t>
  </si>
  <si>
    <t>Houston County Development Authority</t>
  </si>
  <si>
    <t>Ideal Downtown Development Authority</t>
  </si>
  <si>
    <t>Oliver</t>
  </si>
  <si>
    <t>Jackson Housing Authority</t>
  </si>
  <si>
    <t>Omaha</t>
  </si>
  <si>
    <t>Jenkins County Development Authority</t>
  </si>
  <si>
    <t>Omega</t>
  </si>
  <si>
    <t>Joint Development Authority of Baker, Dougherty, Terrell, and Lee Counties</t>
  </si>
  <si>
    <t>Orchard Hill</t>
  </si>
  <si>
    <t>Joint Development Authority of Bartow County and Pickens County</t>
  </si>
  <si>
    <t>Oxford</t>
  </si>
  <si>
    <t>Joint Development Authority of Brooks, Colquitt, Grady, Mitchell, and Thomas Counties</t>
  </si>
  <si>
    <t>Palmetto</t>
  </si>
  <si>
    <t>Joint Development Authority of Burke County and City of Waynesboro</t>
  </si>
  <si>
    <t>Joint Development Authority of Carroll, Haralson, Polk, Heard and Troup Counties</t>
  </si>
  <si>
    <t>Parrott</t>
  </si>
  <si>
    <t>Joint Development Authority of Fannin County, Towns County and Union County</t>
  </si>
  <si>
    <t>Patterson</t>
  </si>
  <si>
    <t>Joint Development Authority of Franklin, Hart and Stephens Counties</t>
  </si>
  <si>
    <t>Pavo</t>
  </si>
  <si>
    <t>Joint Development Authority of Hazlehurst, Lumber City and Telfair County</t>
  </si>
  <si>
    <t>Payne</t>
  </si>
  <si>
    <t>Joint Development Authority of Jasper, Morgan, Newton, and Walton Counties</t>
  </si>
  <si>
    <t>Peachtree City</t>
  </si>
  <si>
    <t>Joint Development Authority of Jeff Davis County, Hazlehurst and Denton, Georgia</t>
  </si>
  <si>
    <t>Peachtree Corners</t>
  </si>
  <si>
    <t>Joint Development Authority of Metropolitan Atlanta</t>
  </si>
  <si>
    <t>Pearson</t>
  </si>
  <si>
    <t>Joint Development Authority of Northeast Georgia</t>
  </si>
  <si>
    <t>Pelham</t>
  </si>
  <si>
    <t>Joint Development Authority of Winder-Barrow County</t>
  </si>
  <si>
    <t>Kennesaw Development Authority</t>
  </si>
  <si>
    <t>Pendergrass</t>
  </si>
  <si>
    <t>Kennesaw Downtown Development Authority</t>
  </si>
  <si>
    <t>Perkins</t>
  </si>
  <si>
    <t>Kingsland Development Authority</t>
  </si>
  <si>
    <t>Kingsland Downtown Development Authority</t>
  </si>
  <si>
    <t>Kingston Downtown Development Authority</t>
  </si>
  <si>
    <t>Pine Lake</t>
  </si>
  <si>
    <t>LaFayette Housing Authority</t>
  </si>
  <si>
    <t>Pine Mountain</t>
  </si>
  <si>
    <t>LaGrange Development Authority</t>
  </si>
  <si>
    <t>Pinehurst</t>
  </si>
  <si>
    <t>Lake Oconee Area Development Authority</t>
  </si>
  <si>
    <t>Pineview</t>
  </si>
  <si>
    <t>Laurens-Treutlen Joint Development Authority</t>
  </si>
  <si>
    <t>Pitts</t>
  </si>
  <si>
    <t>Lavonia Downtown Development Authority</t>
  </si>
  <si>
    <t>Plains</t>
  </si>
  <si>
    <t>Lincoln County Development Authority</t>
  </si>
  <si>
    <t>Plainville</t>
  </si>
  <si>
    <t>Long County Housing Authority</t>
  </si>
  <si>
    <t>Pooler</t>
  </si>
  <si>
    <t>Lyons Downtown Development Authority</t>
  </si>
  <si>
    <t>Port Wentworth</t>
  </si>
  <si>
    <t>Macon-Bibb County Urban Development Authority</t>
  </si>
  <si>
    <t>Portal</t>
  </si>
  <si>
    <t>Marion County Development Authority</t>
  </si>
  <si>
    <t>Middle Coastal Unified Development Authority</t>
  </si>
  <si>
    <t>Poulan</t>
  </si>
  <si>
    <t>Middle Georgia Regional Development Authority</t>
  </si>
  <si>
    <t>Powder Springs</t>
  </si>
  <si>
    <t>Milledgeville MainStreet/The Downtown Development Authority of the City of Milledgeville</t>
  </si>
  <si>
    <t>Preston</t>
  </si>
  <si>
    <t>Miller County Development Authority</t>
  </si>
  <si>
    <t>Mitchell County Development Authority</t>
  </si>
  <si>
    <t>Montezuma Downtown Development Authority</t>
  </si>
  <si>
    <t>Montgomery County Development Authority</t>
  </si>
  <si>
    <t>Ranger</t>
  </si>
  <si>
    <t>Moultrie-Colquitt County Development Authority</t>
  </si>
  <si>
    <t>Nashville Downtown Development Authority</t>
  </si>
  <si>
    <t>Ray City</t>
  </si>
  <si>
    <t>Northeast Georgia Housing Authority</t>
  </si>
  <si>
    <t>Rayle</t>
  </si>
  <si>
    <t>Northwest Georgia Housing Authority</t>
  </si>
  <si>
    <t>Rebecca</t>
  </si>
  <si>
    <t>Northwest Georgia Joint Development Authority</t>
  </si>
  <si>
    <t>Ocmulgee Regional Joint Development Authority</t>
  </si>
  <si>
    <t>Oglethorpe Development Authority</t>
  </si>
  <si>
    <t>Register</t>
  </si>
  <si>
    <t>Okefenokee Area Development Authority</t>
  </si>
  <si>
    <t>Reidsville</t>
  </si>
  <si>
    <t>Palmetto Housing Authority</t>
  </si>
  <si>
    <t>Remerton</t>
  </si>
  <si>
    <t>Pelham Housing Authority</t>
  </si>
  <si>
    <t>Rentz</t>
  </si>
  <si>
    <t>Pooler Development Authority</t>
  </si>
  <si>
    <t>Resaca</t>
  </si>
  <si>
    <t>Port Wentworth Downtown Development Authority</t>
  </si>
  <si>
    <t>Rest Haven</t>
  </si>
  <si>
    <t>Powder Springs Downtown Development Authority</t>
  </si>
  <si>
    <t>Reynolds</t>
  </si>
  <si>
    <t>Pulaski County-Hawkinsville Development Authority</t>
  </si>
  <si>
    <t>Rhine</t>
  </si>
  <si>
    <t>Putnam Development Authority</t>
  </si>
  <si>
    <t>Riceboro</t>
  </si>
  <si>
    <t>Randolph County Development Authority</t>
  </si>
  <si>
    <t>Richland</t>
  </si>
  <si>
    <t>Redevelopment Authority of Clayton County</t>
  </si>
  <si>
    <t>Richmond Hill</t>
  </si>
  <si>
    <t>Rochelle Housing Authority</t>
  </si>
  <si>
    <t>Riddleville</t>
  </si>
  <si>
    <t>Rockmart Development Authority</t>
  </si>
  <si>
    <t>Rincon</t>
  </si>
  <si>
    <t>Rome-Floyd County Development Authority</t>
  </si>
  <si>
    <t>Ringgold</t>
  </si>
  <si>
    <t>Sandersville Downtown Development Authority</t>
  </si>
  <si>
    <t>Riverdale</t>
  </si>
  <si>
    <t>Sardis Development Authority</t>
  </si>
  <si>
    <t>Riverside</t>
  </si>
  <si>
    <t>Schley-Sumter-Macon Counties Joint Development Authority</t>
  </si>
  <si>
    <t>Roberta</t>
  </si>
  <si>
    <t>Screven County Development Authority</t>
  </si>
  <si>
    <t>Smyrna Housing Authority</t>
  </si>
  <si>
    <t>Rochelle</t>
  </si>
  <si>
    <t>Social Circle Development Authority</t>
  </si>
  <si>
    <t>Rockingham</t>
  </si>
  <si>
    <t>South Georgia Business and Development Authority</t>
  </si>
  <si>
    <t>Southeast Georgia Consolidated Housing Authority</t>
  </si>
  <si>
    <t>Rocky Ford</t>
  </si>
  <si>
    <t>Southeast Georgia Joint Development Authority</t>
  </si>
  <si>
    <t>Southeast Georgia Regional Development Authority</t>
  </si>
  <si>
    <t>Roopville</t>
  </si>
  <si>
    <t>Southwest Georgia Joint Development Authority</t>
  </si>
  <si>
    <t>Rossville</t>
  </si>
  <si>
    <t>Sparta-Hancock County Development Authority</t>
  </si>
  <si>
    <t>Roswell</t>
  </si>
  <si>
    <t>St. Marys Downtown Development Authority</t>
  </si>
  <si>
    <t>Royston</t>
  </si>
  <si>
    <t>Stephens County Development Authority</t>
  </si>
  <si>
    <t>Suwanee Downtown Development Authority</t>
  </si>
  <si>
    <t>Rutledge</t>
  </si>
  <si>
    <t>Tallapoosa Development Authority</t>
  </si>
  <si>
    <t>Sale City</t>
  </si>
  <si>
    <t>Tattnall County Development Authority</t>
  </si>
  <si>
    <t>Taylor County Development Authority</t>
  </si>
  <si>
    <t>Sandersville</t>
  </si>
  <si>
    <t>Temple Downtown Development Authority</t>
  </si>
  <si>
    <t>Sandy Springs</t>
  </si>
  <si>
    <t>Terrell County Development Authority</t>
  </si>
  <si>
    <t>Santa Claus</t>
  </si>
  <si>
    <t>The Commerce Housing Authority</t>
  </si>
  <si>
    <t>Sardis</t>
  </si>
  <si>
    <t>The Development Authority of Long County</t>
  </si>
  <si>
    <t>Sasser</t>
  </si>
  <si>
    <t>The Development Authority of Pickens County</t>
  </si>
  <si>
    <t>Satilla</t>
  </si>
  <si>
    <t>The Development Authority of Snellville, Georgia</t>
  </si>
  <si>
    <t>Sautee Nacoochee</t>
  </si>
  <si>
    <t>The Development Authority of the City of Camilla</t>
  </si>
  <si>
    <t>The Development Authority of the City of Manchester</t>
  </si>
  <si>
    <t>Scotland</t>
  </si>
  <si>
    <t>The Development Authority of the City of Tallapoosa</t>
  </si>
  <si>
    <t>The Downtown Development Authority of Bainbridge, Georgia</t>
  </si>
  <si>
    <t>The Downtown Development Authority of the City of Griffin, Georgia</t>
  </si>
  <si>
    <t>Senoia</t>
  </si>
  <si>
    <t>The Housing Authority of the City of Americus, GA</t>
  </si>
  <si>
    <t>Seville</t>
  </si>
  <si>
    <t>The Housing Authority of the City of Atlanta, Georgia</t>
  </si>
  <si>
    <t>Shady Dale</t>
  </si>
  <si>
    <t>The Housing Authority of the City of Brunswick, Georgia</t>
  </si>
  <si>
    <t>The Housing Authority of the City of Dallas, Georgia</t>
  </si>
  <si>
    <t>Sharon</t>
  </si>
  <si>
    <t>The Housing Authority of the City of Newnan</t>
  </si>
  <si>
    <t>Sharpsburg</t>
  </si>
  <si>
    <t>The Housing Authority of the City of Washington</t>
  </si>
  <si>
    <t>Shellman</t>
  </si>
  <si>
    <t>Thomaston Downtown Development Authority</t>
  </si>
  <si>
    <t>Shiloh</t>
  </si>
  <si>
    <t>Thomasville Downtown Development Authority</t>
  </si>
  <si>
    <t>Siloam</t>
  </si>
  <si>
    <t>Tift County Development Authority</t>
  </si>
  <si>
    <t>Tift-Turner-Worth-Cook Joint Development Authority</t>
  </si>
  <si>
    <t>Sky Valley</t>
  </si>
  <si>
    <t>Toombs County Development Authority</t>
  </si>
  <si>
    <t>Smithville</t>
  </si>
  <si>
    <t>Treutlen County Development Authority</t>
  </si>
  <si>
    <t>Troup County Development  Authority</t>
  </si>
  <si>
    <t>Snellville</t>
  </si>
  <si>
    <t>Turner County Development Authority</t>
  </si>
  <si>
    <t>Union City Housing Authority</t>
  </si>
  <si>
    <t>Soperton</t>
  </si>
  <si>
    <t>Urban Redevelopment Agency of Clayton County, Georgia</t>
  </si>
  <si>
    <t>South Fulton</t>
  </si>
  <si>
    <t>Urban Redevelopment Agency of the City of Canton</t>
  </si>
  <si>
    <t>Sparks</t>
  </si>
  <si>
    <t>Urban Redevelopment Agency of the City of Dallas</t>
  </si>
  <si>
    <t>Sparta</t>
  </si>
  <si>
    <t>Urban Redevelopment Agency of the City of Duluth</t>
  </si>
  <si>
    <t>Springfield</t>
  </si>
  <si>
    <t>Urban Redevelopment Agency of the City of Kennesaw, Georgia</t>
  </si>
  <si>
    <t>St. Marys</t>
  </si>
  <si>
    <t>Urban Redevelopment Authority of the City of Suwanee</t>
  </si>
  <si>
    <t>Urban Residential Finance Authority of the City of Atlanta, Georgia</t>
  </si>
  <si>
    <t>Stapleton</t>
  </si>
  <si>
    <t>Valdosta Housing Authority</t>
  </si>
  <si>
    <t>Statenville</t>
  </si>
  <si>
    <t>Valley Partnership Joint Development Authority</t>
  </si>
  <si>
    <t>Vidalia Development Authority</t>
  </si>
  <si>
    <t>Statham</t>
  </si>
  <si>
    <t>Villa Rica Downtown Development Authority</t>
  </si>
  <si>
    <t>Stillmore</t>
  </si>
  <si>
    <t>Walker County Development Authority</t>
  </si>
  <si>
    <t>Stockbridge</t>
  </si>
  <si>
    <t>Waycross and Ware County Development Authority</t>
  </si>
  <si>
    <t>Stone Mountain</t>
  </si>
  <si>
    <t>West Central Georgia Joint Development Authority</t>
  </si>
  <si>
    <t>Stonecrest</t>
  </si>
  <si>
    <t>West Georgia Joint Development Authority</t>
  </si>
  <si>
    <t>Sugar Hill</t>
  </si>
  <si>
    <t>West Point Development Authority</t>
  </si>
  <si>
    <t>Summertown</t>
  </si>
  <si>
    <t>West Point Lake Development Authority</t>
  </si>
  <si>
    <t>Summerville</t>
  </si>
  <si>
    <t>Winder Downtown Development Authority</t>
  </si>
  <si>
    <t>Sumner</t>
  </si>
  <si>
    <t>Woodbine Downtown Development Authority</t>
  </si>
  <si>
    <t>Sunny Side</t>
  </si>
  <si>
    <t>Surrency</t>
  </si>
  <si>
    <t>Suwanee</t>
  </si>
  <si>
    <t>Swainsboro</t>
  </si>
  <si>
    <t>Sycamore</t>
  </si>
  <si>
    <t>Sylvania</t>
  </si>
  <si>
    <t>Talahi Island</t>
  </si>
  <si>
    <t>Talbotton</t>
  </si>
  <si>
    <t>Talking Rock</t>
  </si>
  <si>
    <t>Tallapoosa</t>
  </si>
  <si>
    <t>Tallulah Falls</t>
  </si>
  <si>
    <t>Talmo</t>
  </si>
  <si>
    <t>Tarrytown</t>
  </si>
  <si>
    <t>Tate</t>
  </si>
  <si>
    <t>Taylorsville</t>
  </si>
  <si>
    <t>Temple</t>
  </si>
  <si>
    <t>Tennille</t>
  </si>
  <si>
    <t>The Rock</t>
  </si>
  <si>
    <t>Thomaston</t>
  </si>
  <si>
    <t>Thomson</t>
  </si>
  <si>
    <t>Thunderbolt</t>
  </si>
  <si>
    <t>Tiger</t>
  </si>
  <si>
    <t>Tignall</t>
  </si>
  <si>
    <t>Toccoa</t>
  </si>
  <si>
    <t>Toomsboro</t>
  </si>
  <si>
    <t>Trenton</t>
  </si>
  <si>
    <t>Trion</t>
  </si>
  <si>
    <t>Tunnell Hill</t>
  </si>
  <si>
    <t>Turin</t>
  </si>
  <si>
    <t>Twin City</t>
  </si>
  <si>
    <t>Ty Ty</t>
  </si>
  <si>
    <t>Tybee Island</t>
  </si>
  <si>
    <t>Tyrone</t>
  </si>
  <si>
    <t>Unadilla</t>
  </si>
  <si>
    <t>Union Point</t>
  </si>
  <si>
    <t>Uvalda</t>
  </si>
  <si>
    <t>Varnell</t>
  </si>
  <si>
    <t>Vernonburg</t>
  </si>
  <si>
    <t>Vidalia</t>
  </si>
  <si>
    <t>Vidette</t>
  </si>
  <si>
    <t>Villa Rica</t>
  </si>
  <si>
    <t>Waco</t>
  </si>
  <si>
    <t>Wadley</t>
  </si>
  <si>
    <t>Waleska</t>
  </si>
  <si>
    <t>Walnut Grove</t>
  </si>
  <si>
    <t>Walthourville</t>
  </si>
  <si>
    <t>Warm Springs</t>
  </si>
  <si>
    <t>Warwick</t>
  </si>
  <si>
    <t>Watkinsville</t>
  </si>
  <si>
    <t>Waverly Hall</t>
  </si>
  <si>
    <t>Waycross</t>
  </si>
  <si>
    <t>West Point</t>
  </si>
  <si>
    <t>Weston</t>
  </si>
  <si>
    <t>Whigham</t>
  </si>
  <si>
    <t>White Plains</t>
  </si>
  <si>
    <t>Whitesburg</t>
  </si>
  <si>
    <t>Willacoochee</t>
  </si>
  <si>
    <t>Williamson</t>
  </si>
  <si>
    <t>Winterville</t>
  </si>
  <si>
    <t>Woodbine</t>
  </si>
  <si>
    <t>Woodbury</t>
  </si>
  <si>
    <t>Woodland</t>
  </si>
  <si>
    <t>Woodstock</t>
  </si>
  <si>
    <t>Woodville</t>
  </si>
  <si>
    <t>Woolsey</t>
  </si>
  <si>
    <t>Wrens</t>
  </si>
  <si>
    <t>Wrightsville</t>
  </si>
  <si>
    <t>Yatesville</t>
  </si>
  <si>
    <t>Yonah</t>
  </si>
  <si>
    <t>Young Harris</t>
  </si>
  <si>
    <t>Zebulon</t>
  </si>
  <si>
    <t>Application Type:</t>
  </si>
  <si>
    <r>
      <t>FINAL THRESHOLD DETERMINATION</t>
    </r>
    <r>
      <rPr>
        <sz val="10"/>
        <rFont val="Arial"/>
        <family val="2"/>
      </rPr>
      <t xml:space="preserve"> </t>
    </r>
    <r>
      <rPr>
        <sz val="9"/>
        <rFont val="Arial"/>
        <family val="2"/>
      </rPr>
      <t>(DCA Use Only)</t>
    </r>
  </si>
  <si>
    <r>
      <rPr>
        <u/>
        <sz val="7"/>
        <color rgb="FFFF0000"/>
        <rFont val="Arial Narrow"/>
        <family val="2"/>
      </rPr>
      <t>Disclaimer:</t>
    </r>
    <r>
      <rPr>
        <sz val="7"/>
        <color rgb="FFFF0000"/>
        <rFont val="Arial Narrow"/>
        <family val="2"/>
      </rPr>
      <t xml:space="preserve">  DCA Threshold and Scoring section reviews pertain only to the corresponding funding round and have no effect on subsequent or future funding round scoring decisions.</t>
    </r>
  </si>
  <si>
    <t xml:space="preserve">15.) </t>
  </si>
  <si>
    <t>16.)</t>
  </si>
  <si>
    <t>17.)</t>
  </si>
  <si>
    <t>18.)</t>
  </si>
  <si>
    <t>Row size may be increased.</t>
  </si>
  <si>
    <r>
      <t xml:space="preserve">This development's proposed tenancy is (Family or Senior </t>
    </r>
    <r>
      <rPr>
        <sz val="6"/>
        <rFont val="Arial"/>
        <family val="2"/>
      </rPr>
      <t>- if Senior, specify Elderly or HFOP</t>
    </r>
    <r>
      <rPr>
        <sz val="8"/>
        <rFont val="Arial"/>
        <family val="2"/>
      </rPr>
      <t>):</t>
    </r>
  </si>
  <si>
    <t>&lt;&lt; Select PROPOSED Tenancy &gt;&gt;</t>
  </si>
  <si>
    <t>If Other, specify:</t>
  </si>
  <si>
    <t>If occupied units involved, current tenancy is::</t>
  </si>
  <si>
    <t>&lt;&lt; Select CURRENT Tenancy &gt;&gt;</t>
  </si>
  <si>
    <t>REQUIRED SERVICES</t>
  </si>
  <si>
    <t>Property Type</t>
  </si>
  <si>
    <t>Min # Svcs</t>
  </si>
  <si>
    <t>Applicant certifies that they will include in the property the number and kinds of services required in the applicable QAP for their proposed Tenancy?</t>
  </si>
  <si>
    <t>Family</t>
  </si>
  <si>
    <t>A. Does Applicant agree?</t>
  </si>
  <si>
    <t>Senior</t>
  </si>
  <si>
    <t>Actual number of services proposed:</t>
  </si>
  <si>
    <t>Applicant certifies that they will meet the following additional policy requirements related to the services referenced above:</t>
  </si>
  <si>
    <t>A full-time activities manager will be allowed in the operating budgets for those properties that are 100 units or more in size.</t>
  </si>
  <si>
    <t>B1.)  Applicant agrees?</t>
  </si>
  <si>
    <t>Temporary staffing during lease-up to handle activities set-up and sign-up will be considered on a case-by-case basis.</t>
  </si>
  <si>
    <t>B2.)  Applicant agrees?</t>
  </si>
  <si>
    <t>Part-time (on a proportional basis) activity managers will be allowed in the operating budgets for smaller projects.</t>
  </si>
  <si>
    <t>B3.)  Applicant agrees?</t>
  </si>
  <si>
    <t>Applications for rehabilitation of existing congregate supportive housing developments must provide a memorandum of agreement.</t>
  </si>
  <si>
    <t>B4.)  Applicant agrees?</t>
  </si>
  <si>
    <t>Name of behavioral health agency, continuum of care or service provider for which MOA included:</t>
  </si>
  <si>
    <t>Applicants must track resident participation in any on-site services. If participation declines continuously over a six-month window, on-site staff is expected to request resident feedback on the services provided.</t>
  </si>
  <si>
    <t>B5.)  Applicant agrees?</t>
  </si>
  <si>
    <t>Geographic Pool:</t>
  </si>
  <si>
    <t>Tenancy:</t>
  </si>
  <si>
    <t>Property absorption period to reach stabilized occupancy</t>
  </si>
  <si>
    <t xml:space="preserve">Overall Market Occupancy Rate </t>
  </si>
  <si>
    <t>Overall capture rate for</t>
  </si>
  <si>
    <t>D1.  Tax Credit units</t>
  </si>
  <si>
    <t>D2.  Market rate units</t>
  </si>
  <si>
    <t>List DCA funded properties in the primary market area.  Include DCA Project Number and Project Name in each case.</t>
  </si>
  <si>
    <t>Project Nbr</t>
  </si>
  <si>
    <t>Does the market study support the unit mix and target population that are included in the application?</t>
  </si>
  <si>
    <t>G.</t>
  </si>
  <si>
    <t>Is the proposed market area appropriately sized and does not overstimate demand?</t>
  </si>
  <si>
    <t>H.</t>
  </si>
  <si>
    <t>The development's stabilized occupancy rate, as specified by the analyst, will be:</t>
  </si>
  <si>
    <t>Is the appraisal included in this application submission?</t>
  </si>
  <si>
    <t>If an appraisal is included, indicate Appraiser's Name and answer the following questions:</t>
  </si>
  <si>
    <t>Appraiser's Name:</t>
  </si>
  <si>
    <t>Does the appraisal meet the requirements in the DCA Appraisal Manual?</t>
  </si>
  <si>
    <t>Effective Date of the appraisal:</t>
  </si>
  <si>
    <t>Is DCA included as an intended user?</t>
  </si>
  <si>
    <t>Does it provide a land value?</t>
  </si>
  <si>
    <t>Does it provide a value for the improvements?</t>
  </si>
  <si>
    <t>Does the appraisal conform to USPAP standards?</t>
  </si>
  <si>
    <t>For LIHTC properties involving DCA HOME funds, does the total hard cost of the property exceed 90% of the as completed unencumbered appraised value of the property?</t>
  </si>
  <si>
    <t>9% Credit deals:  If an identity of interest exists between the buyer and seller, did seller purchase this property w/in the past five (5) years?</t>
  </si>
  <si>
    <t>4% Credit deals:  If an identity of interest exists between the buyer and seller, did seller purchase this property w/in the past three (3) years?</t>
  </si>
  <si>
    <t>(Both 9% &amp; 4%)</t>
  </si>
  <si>
    <t>(Both 4% and 9% Credit applications)</t>
  </si>
  <si>
    <t>1. Name of Company that prepared the Phase I Assessment in accordance with ASTM 1527-13:</t>
  </si>
  <si>
    <t>2. Is there an Identity of Interest between the Environmental Professional and anyone in Project Team?</t>
  </si>
  <si>
    <t>3. Date of Phase I:</t>
  </si>
  <si>
    <t>Site Reconnaissance:</t>
  </si>
  <si>
    <t>Report Issuance:</t>
  </si>
  <si>
    <t>Was a Noise Assessment performed?</t>
  </si>
  <si>
    <t xml:space="preserve"> If "Yes", name of company that prepared the noise assessment?</t>
  </si>
  <si>
    <t xml:space="preserve"> If "Yes", provide the maximum noise level on site in decibels over the 10 year projection:</t>
  </si>
  <si>
    <t xml:space="preserve"> If "Yes", and noise requirements are not met, has required Noise Attenuation Plan been submitted as part of Environmental Site Assessment?</t>
  </si>
  <si>
    <t>Is the subject property located in a:</t>
  </si>
  <si>
    <t>Brownfield?</t>
  </si>
  <si>
    <t>100 year flood plain / floodway?</t>
  </si>
  <si>
    <t>If "Yes":</t>
  </si>
  <si>
    <t>a)</t>
  </si>
  <si>
    <t>Percentage of site that is within a floodplain:</t>
  </si>
  <si>
    <t>b)</t>
  </si>
  <si>
    <t>Will any development occur in the floodplain?</t>
  </si>
  <si>
    <t>Wetlands?</t>
  </si>
  <si>
    <t>Enter the percentage of the site that is a wetlands:</t>
  </si>
  <si>
    <t>Will any development occur in the wetlands?</t>
  </si>
  <si>
    <t>Has the Environmental Professional identified any of the following on the subject property:</t>
  </si>
  <si>
    <t xml:space="preserve">5)  </t>
  </si>
  <si>
    <t>Noise?</t>
  </si>
  <si>
    <t xml:space="preserve">9)  </t>
  </si>
  <si>
    <t>Wtr leak/mold/fungi
/micro-bial growth?</t>
  </si>
  <si>
    <t>State waters?</t>
  </si>
  <si>
    <t xml:space="preserve">6)  </t>
  </si>
  <si>
    <t>Radon gas?</t>
  </si>
  <si>
    <t xml:space="preserve">10)  </t>
  </si>
  <si>
    <t>Vapor intrusion?</t>
  </si>
  <si>
    <t>100 yr floodplain/floodway?</t>
  </si>
  <si>
    <t xml:space="preserve">7)  </t>
  </si>
  <si>
    <t>Asbestos?</t>
  </si>
  <si>
    <t xml:space="preserve">11)  </t>
  </si>
  <si>
    <t>PCB's?</t>
  </si>
  <si>
    <t>Endangered species?</t>
  </si>
  <si>
    <t xml:space="preserve">8)  </t>
  </si>
  <si>
    <t>Lead?</t>
  </si>
  <si>
    <t xml:space="preserve">12)  </t>
  </si>
  <si>
    <t>Historic preservation?</t>
  </si>
  <si>
    <t xml:space="preserve">13) </t>
  </si>
  <si>
    <t>Other (e.g., Native American burial grounds, etc.) - describe in box below:</t>
  </si>
  <si>
    <t>Is all additional environmental documentation required for a HOME application included, such as:</t>
  </si>
  <si>
    <t>Eight-Step Process for Wetlands and/or Floodplains required and included?</t>
  </si>
  <si>
    <t>F1)</t>
  </si>
  <si>
    <t>Has Applicant/PE completed the HOME and HUD Environmental Questionnaire?</t>
  </si>
  <si>
    <t>Owner agrees that they must refrain from undertaking any activities that could have an adverse effect on the subject property?</t>
  </si>
  <si>
    <t>Site and Neighborhood Standards form is included?</t>
  </si>
  <si>
    <t>Properties involving HOME funds must also meet the following Site and Neighborhood Standards:</t>
  </si>
  <si>
    <r>
      <t xml:space="preserve">The Census Tract for the property is characterized as [Choose either </t>
    </r>
    <r>
      <rPr>
        <i/>
        <sz val="8"/>
        <rFont val="Arial"/>
        <family val="2"/>
      </rPr>
      <t>Minority concentration</t>
    </r>
    <r>
      <rPr>
        <sz val="8"/>
        <rFont val="Arial"/>
        <family val="2"/>
      </rPr>
      <t xml:space="preserve"> (50% or more minority), </t>
    </r>
    <r>
      <rPr>
        <i/>
        <sz val="8"/>
        <rFont val="Arial"/>
        <family val="2"/>
      </rPr>
      <t>Racially mixed</t>
    </r>
    <r>
      <rPr>
        <sz val="8"/>
        <rFont val="Arial"/>
        <family val="2"/>
      </rPr>
      <t xml:space="preserve"> (25% - 49% minority), or </t>
    </r>
    <r>
      <rPr>
        <i/>
        <sz val="8"/>
        <rFont val="Arial"/>
        <family val="2"/>
      </rPr>
      <t>Non-minority</t>
    </r>
    <r>
      <rPr>
        <sz val="8"/>
        <rFont val="Arial"/>
        <family val="2"/>
      </rPr>
      <t xml:space="preserve"> (less than 25% minority)]:</t>
    </r>
  </si>
  <si>
    <r>
      <t xml:space="preserve">For </t>
    </r>
    <r>
      <rPr>
        <b/>
        <sz val="8"/>
        <rFont val="Arial"/>
        <family val="2"/>
      </rPr>
      <t>9</t>
    </r>
    <r>
      <rPr>
        <sz val="8"/>
        <rFont val="Arial"/>
        <family val="2"/>
      </rPr>
      <t xml:space="preserve">% Credit developments, is site control provided through </t>
    </r>
    <r>
      <rPr>
        <sz val="8"/>
        <color rgb="FFFF0000"/>
        <rFont val="Arial"/>
        <family val="2"/>
      </rPr>
      <t>November 30, 2022</t>
    </r>
    <r>
      <rPr>
        <sz val="8"/>
        <rFont val="Arial"/>
        <family val="2"/>
      </rPr>
      <t>?</t>
    </r>
  </si>
  <si>
    <t>Expiration Date:</t>
  </si>
  <si>
    <r>
      <t xml:space="preserve">For </t>
    </r>
    <r>
      <rPr>
        <b/>
        <sz val="8"/>
        <rFont val="Arial"/>
        <family val="2"/>
      </rPr>
      <t>4</t>
    </r>
    <r>
      <rPr>
        <sz val="8"/>
        <rFont val="Arial"/>
        <family val="2"/>
      </rPr>
      <t xml:space="preserve">% Credit developments, is site control provided through </t>
    </r>
    <r>
      <rPr>
        <sz val="8"/>
        <color rgb="FFFF0000"/>
        <rFont val="Arial"/>
        <family val="2"/>
      </rPr>
      <t>estimated bond closing date</t>
    </r>
    <r>
      <rPr>
        <sz val="8"/>
        <rFont val="Arial"/>
        <family val="2"/>
      </rPr>
      <t>?</t>
    </r>
  </si>
  <si>
    <t>Ground lease/Option</t>
  </si>
  <si>
    <t>For Applications with DCA/GHFA funding: Does the submission include an executed Pre-Contract Agreement for voluntary acquisition informing buyer of fair market value?</t>
  </si>
  <si>
    <t>Does this site provide a specified entrance that is legally accessible by paved roads and are the appropriate drawings, surveys, photographs and other documentation reflecting such paved roads included in the electronic application binder?</t>
  </si>
  <si>
    <t>If access roads are not in place at the time of Application Submission, does the application contain documentation evidencing local government approval to pave the road, a commitment for funding, and the timetable for completion of such paved roads?</t>
  </si>
  <si>
    <t>If the road is going to be paved by the applicant, are these costs documented in the submitted electronic application binder and reflected in the development budget provided in the core application?</t>
  </si>
  <si>
    <t>If use of private drive proposed, is site control of private drive documented by proof of ownership or by a properly executed non-utility easement on private drive, and are the plans for paving private drive, including associated development costs, adequately addressed in Application?</t>
  </si>
  <si>
    <t>Please note applications proposing rehab are exempt from this section unless the proposed unit mix comprises both New Supply and Rehab.</t>
  </si>
  <si>
    <t>Is Zoning in place at the time of this application submission?</t>
  </si>
  <si>
    <t>Does zoning of the development site conform to the proposed Conceptual Site Development Plan?</t>
  </si>
  <si>
    <t>Is the zoning confirmed, in writing, by the authorized Local Government official?</t>
  </si>
  <si>
    <t>If Yes, answer following questions:</t>
  </si>
  <si>
    <t>Is this written confirmation included in the Application?</t>
  </si>
  <si>
    <r>
      <t xml:space="preserve">Does the letter include the zoning </t>
    </r>
    <r>
      <rPr>
        <i/>
        <sz val="8"/>
        <rFont val="Arial"/>
        <family val="2"/>
      </rPr>
      <t>and</t>
    </r>
    <r>
      <rPr>
        <sz val="8"/>
        <rFont val="Arial"/>
        <family val="2"/>
      </rPr>
      <t xml:space="preserve"> land use classification of the property?</t>
    </r>
  </si>
  <si>
    <t>Is the letter accompanied by a clear explanation of the requirements (include a copy of the applicable sections of the zoning ordinance highlighted for the stated classification)?</t>
  </si>
  <si>
    <t>Is the letter accompanied by all conditions of these zoning and land use classifications?</t>
  </si>
  <si>
    <t>If project is requesting HOME or HUD funds, does Local Government official also comment on whether project will include development of prime or unique farmland?</t>
  </si>
  <si>
    <t>If the Local Government (LG) does not have or enforce a zoning ordinance, has Applicant included a letter from a LG official to that effect AND is this Letter on official letterhead with the name and title of the LG official?</t>
  </si>
  <si>
    <t>Is documentation provided (on the Architectural Site Conceptual Development Plan either graphically or in written form) that demonstrates that the site layout conforms to any moratoriums, density, setbacks or other requirements?</t>
  </si>
  <si>
    <t>Are all issues and questions surrounding the zoning and land use classification clearly defined prior to this application submission?</t>
  </si>
  <si>
    <t>Check applicable utilities and enter provider name:</t>
  </si>
  <si>
    <t>PUBLIC WATER/SANITARY SEWER/STORM SEWER</t>
  </si>
  <si>
    <t>Check all that are available to the site and enter provider name:</t>
  </si>
  <si>
    <t>Public water</t>
  </si>
  <si>
    <t>A1)</t>
  </si>
  <si>
    <t>Public sewer</t>
  </si>
  <si>
    <r>
      <t xml:space="preserve">Is evidence of the </t>
    </r>
    <r>
      <rPr>
        <i/>
        <u/>
        <sz val="8"/>
        <rFont val="Arial"/>
        <family val="2"/>
      </rPr>
      <t>commitments</t>
    </r>
    <r>
      <rPr>
        <sz val="8"/>
        <rFont val="Arial"/>
        <family val="2"/>
      </rPr>
      <t xml:space="preserve"> from the water and sewer authorities included in the Application?</t>
    </r>
  </si>
  <si>
    <t>B1)</t>
  </si>
  <si>
    <r>
      <t xml:space="preserve">Is evidence of the </t>
    </r>
    <r>
      <rPr>
        <i/>
        <u/>
        <sz val="8"/>
        <rFont val="Arial"/>
        <family val="2"/>
      </rPr>
      <t>easements</t>
    </r>
    <r>
      <rPr>
        <sz val="8"/>
        <rFont val="Arial"/>
        <family val="2"/>
      </rPr>
      <t xml:space="preserve"> from the water and sewer authorities included in the Application?</t>
    </r>
  </si>
  <si>
    <t>Is verification of any annexation or improvements included in the Application?</t>
  </si>
  <si>
    <t>Is there a Pre-Approval Form from DCA included in this application for this criterion?</t>
  </si>
  <si>
    <r>
      <t xml:space="preserve">Applicant agrees to provide following required </t>
    </r>
    <r>
      <rPr>
        <b/>
        <i/>
        <sz val="8"/>
        <rFont val="Arial"/>
        <family val="2"/>
      </rPr>
      <t>Standard</t>
    </r>
    <r>
      <rPr>
        <sz val="8"/>
        <rFont val="Arial"/>
        <family val="2"/>
      </rPr>
      <t xml:space="preserve"> Site Amenities in conformance with DCA Amenities Guidebook</t>
    </r>
    <r>
      <rPr>
        <sz val="6"/>
        <rFont val="Arial"/>
        <family val="2"/>
      </rPr>
      <t xml:space="preserve"> </t>
    </r>
    <r>
      <rPr>
        <sz val="7"/>
        <rFont val="Arial"/>
        <family val="2"/>
      </rPr>
      <t>(select one in each category)</t>
    </r>
    <r>
      <rPr>
        <sz val="8"/>
        <rFont val="Arial"/>
        <family val="2"/>
      </rPr>
      <t>:</t>
    </r>
  </si>
  <si>
    <t>A2)</t>
  </si>
  <si>
    <t>A3)</t>
  </si>
  <si>
    <r>
      <t xml:space="preserve">Applicant agrees to provide the following required </t>
    </r>
    <r>
      <rPr>
        <b/>
        <i/>
        <sz val="8"/>
        <rFont val="Arial"/>
        <family val="2"/>
      </rPr>
      <t>Additional</t>
    </r>
    <r>
      <rPr>
        <sz val="8"/>
        <rFont val="Arial"/>
        <family val="2"/>
      </rPr>
      <t xml:space="preserve"> Site Amenities to conform with the DCA Amenities Guidebook.  </t>
    </r>
  </si>
  <si>
    <r>
      <t>The number of additional amenities required depends on the total unit count:</t>
    </r>
    <r>
      <rPr>
        <b/>
        <sz val="8"/>
        <rFont val="Arial"/>
        <family val="2"/>
      </rPr>
      <t xml:space="preserve"> 1-125 units = 2 amenities, 126+ units = 4 amenities</t>
    </r>
  </si>
  <si>
    <t>Other Additional Amenities</t>
  </si>
  <si>
    <t>DCA Amenities Guide - Additional Site Amenity Options:</t>
  </si>
  <si>
    <t xml:space="preserve">2)  </t>
  </si>
  <si>
    <r>
      <t xml:space="preserve">Other Additional Amenities - Pre-Approved by DCA via Waiver </t>
    </r>
    <r>
      <rPr>
        <sz val="7"/>
        <rFont val="Arial"/>
        <family val="2"/>
      </rPr>
      <t>(describe each separately below)</t>
    </r>
  </si>
  <si>
    <t>Guidebook Met?</t>
  </si>
  <si>
    <t>DCA Pre-approved</t>
  </si>
  <si>
    <t xml:space="preserve">  </t>
  </si>
  <si>
    <t>Applicant agrees to provide the following required Unit Amenities:</t>
  </si>
  <si>
    <t>HVAC systems</t>
  </si>
  <si>
    <t>Energy Star refrigerators</t>
  </si>
  <si>
    <t>Energy Star dishwashers  (Note: Dishwasers NOT required in “senior” USDA properties or HUD properties)</t>
  </si>
  <si>
    <t>Stoves</t>
  </si>
  <si>
    <t>Microwave ovens</t>
  </si>
  <si>
    <t>Powder-based stovetop fire suppression canisters installed above range cook top, or Electronically controlled solid cover plates over stove top burners</t>
  </si>
  <si>
    <t>If proposing a Senior development, Applicant agrees to provide the following additional required Amenities.  Tenancy:</t>
  </si>
  <si>
    <t>Elevators are installed for access to all units above the ground floor.</t>
  </si>
  <si>
    <t>Buildings with multi-story construction have interior furnished gathering areas including but not limited to areas near elevators.</t>
  </si>
  <si>
    <t>COMMUNITY SERVICE FACILITIES (CSF)</t>
  </si>
  <si>
    <t>QCT Per Applicant?</t>
  </si>
  <si>
    <t>Specify CSF services (and the cost of each to the resident) that will improve quality of life for low-income community residents:</t>
  </si>
  <si>
    <t>Service</t>
  </si>
  <si>
    <t xml:space="preserve">Cost </t>
  </si>
  <si>
    <t>The choice of services to provide is evidenced by a market or similar study?</t>
  </si>
  <si>
    <t>Applicant agrees that use of the CSF may not be limited to development residents only; it must be available to any low-income individual in the community?</t>
  </si>
  <si>
    <t>Applicant agrees that the CSF must be located on the same tract of land as at least one of the buildings in the development?</t>
  </si>
  <si>
    <t>Is there a Waiver Approval Letter from DCA included in this application for this criterion?</t>
  </si>
  <si>
    <t>The proposed rehabilitation scope of work will position the property to meet the entire extent of its statutory obligations as defined in the ‘A. Rehabilitation Construction Hard Costs Rehabilitation Standards of the XV. Rehabilitation Standards Threshold Section’, and the ‘Rehabilitation Guide for Existing Properties appendix of the Architectural Manual’?</t>
  </si>
  <si>
    <t>Date of Physical Needs Assessment (PNA):</t>
  </si>
  <si>
    <t>Have the QAP Fannie Mae forms (includes five tabs) been completed and included?</t>
  </si>
  <si>
    <t>Does the report include the signed statement “The investigation has been completed in accordance with DCA requirements, is accurate, and can be relied upon by DCA as a true evaluation of the existing property conditions.” inserted in the Consultant’s signature block as directed DCA Rehabilitation Guide?</t>
  </si>
  <si>
    <t>Does the report include a “certification” that the report was prepared by an individual who meets the experience requirements and qualifications to be considered a Qualified Consultant as directed DCA Rehabilitation Guide?</t>
  </si>
  <si>
    <t>DCA Rehabilitation Work Scope form is completed, included in PNA tab,and clearly indicates percentages of each item to be "demoed" or replaced:</t>
  </si>
  <si>
    <t>DCA Rehabilitation Work Scope form referenced above clearly addresses:</t>
  </si>
  <si>
    <t>1)  All immediate needs identified in the PNA.</t>
  </si>
  <si>
    <t>2)  All application threshold and scoring requirements</t>
  </si>
  <si>
    <t>3)  All applicable architectural and accessibility standards.</t>
  </si>
  <si>
    <t>4)  All remediation issues identified in the Phase I Environmental Site Assessment.</t>
  </si>
  <si>
    <r>
      <t xml:space="preserve">5) Applicant understands that the PNA or work scope must not fail to address any major structural, building code, health, safety, marketing, accessibility, storm water retention, crawl space moisture, or other building system issue  </t>
    </r>
    <r>
      <rPr>
        <b/>
        <u/>
        <sz val="8"/>
        <rFont val="Arial"/>
        <family val="2"/>
      </rPr>
      <t>Applicant agrees?</t>
    </r>
  </si>
  <si>
    <t>Is Conceptual Site Development Plan included in application and has it been prepared in accordance with all instructions set forth in the DCA Architectural Manual, Appendix II: Submission Requirements?</t>
  </si>
  <si>
    <t>Are all interior and exterior site related amenities required and selected in this application indicated on the Conceptual Site Development Plan?</t>
  </si>
  <si>
    <t>Location/Vicinity map delineates location point of proposed property (site geo coordinates) &amp; shows entire municipality area (city limits, etc.)?</t>
  </si>
  <si>
    <t>Ground level color photos (taken within 6 months of Application Submission) of proposed property and adjacent surrounding properties and structures are included, numbered, and dated with brief descriptions?</t>
  </si>
  <si>
    <t>C1)</t>
  </si>
  <si>
    <t>Site Map delineates the approximate location point of each photo?</t>
  </si>
  <si>
    <t>Are either aerial color photographs that are no more than six months from the Application date or the most recent online satellite map images showing both approximate boundaries of the subject property included in Application?</t>
  </si>
  <si>
    <t>Applicant agrees that this proposed property must comply with Georgia State Minimum Standard Energy Code (International Energy Conservation Code with Georgia State Supplements and Amendments) in effect at the time of permit issuance? Proof of compliance must be submitted prior to release of 8609s.</t>
  </si>
  <si>
    <t>Applicant agrees that the final construction documents must clearly indicate all components of the building envelope and all materials and equipment that meet the requirements set forth in the QAP and DCA Architectural Manual?</t>
  </si>
  <si>
    <t xml:space="preserve">DCA Building Sustainability Training </t>
  </si>
  <si>
    <t xml:space="preserve">Applicant hereby certifies that they have completed the required 30-minute Building Sustainability training provided on DCA website: </t>
  </si>
  <si>
    <t>Training</t>
  </si>
  <si>
    <r>
      <t xml:space="preserve">Accessibility standards that must be met at the time of project completion by all projects under this QAP.  </t>
    </r>
    <r>
      <rPr>
        <sz val="9"/>
        <rFont val="Arial"/>
        <family val="2"/>
      </rPr>
      <t>Upon completion, will this project comply with:</t>
    </r>
  </si>
  <si>
    <t>All applicable Federal and State accessibility laws including but not limited to: The Fair Housing Amendments Act of 1988, Americans with Disabilities Act, Section 504 of the Rehabilitation Act of 1973, Georgia Fair Housing Law and Georgia Access Law as set forth in the 2022 Accessibility Manual?  (When two or more accessibility standards apply, the applicant is required to follow and apply both standards so that a maximum accessibility is obtained.)</t>
  </si>
  <si>
    <t>A1).</t>
  </si>
  <si>
    <t>All applicable DCA accessibility requirements detailed in the 2022 Architectural and Accessibility Manuals?</t>
  </si>
  <si>
    <t>For all senior (HFOP or elderly) properties, regardless of the year of first residential use, 100% of the units must be accessible and adaptable, as defined by the Fair Housing Amendments Act of 1988.</t>
  </si>
  <si>
    <t>Unit Configuration</t>
  </si>
  <si>
    <r>
      <t xml:space="preserve">Will at least </t>
    </r>
    <r>
      <rPr>
        <b/>
        <sz val="8"/>
        <color rgb="FFFF0000"/>
        <rFont val="Arial"/>
        <family val="2"/>
      </rPr>
      <t>5%</t>
    </r>
    <r>
      <rPr>
        <sz val="8"/>
        <rFont val="Arial"/>
        <family val="2"/>
      </rPr>
      <t xml:space="preserve"> of the total units (but no less than one unit) be equipped for the mobility disabled, including wheelchair restricted residents? </t>
    </r>
  </si>
  <si>
    <t>Nbr of Units
Equipped:</t>
  </si>
  <si>
    <t>Minimum Required:</t>
  </si>
  <si>
    <t>Nbr of Units</t>
  </si>
  <si>
    <t>Percentage</t>
  </si>
  <si>
    <t>a. Mobility Impaired</t>
  </si>
  <si>
    <t>B1)a.</t>
  </si>
  <si>
    <r>
      <t xml:space="preserve">Roll-in showers will be incorporated into </t>
    </r>
    <r>
      <rPr>
        <b/>
        <sz val="8"/>
        <color rgb="FFFF0000"/>
        <rFont val="Arial"/>
        <family val="2"/>
      </rPr>
      <t>40%</t>
    </r>
    <r>
      <rPr>
        <sz val="8"/>
        <rFont val="Arial"/>
        <family val="2"/>
      </rPr>
      <t xml:space="preserve"> of the mobility equipped units (but no fewer than one unit)?</t>
    </r>
  </si>
  <si>
    <t>b. Roll-In Showers</t>
  </si>
  <si>
    <r>
      <t xml:space="preserve">Will at least an additional </t>
    </r>
    <r>
      <rPr>
        <b/>
        <sz val="8"/>
        <color rgb="FFFF0000"/>
        <rFont val="Arial"/>
        <family val="2"/>
      </rPr>
      <t>2%</t>
    </r>
    <r>
      <rPr>
        <sz val="8"/>
        <rFont val="Arial"/>
        <family val="2"/>
      </rPr>
      <t xml:space="preserve"> of the total units (but no less than one unit) be equipped for hearing and sight-impaired residents?</t>
    </r>
  </si>
  <si>
    <t>Sight/Hearing Impaired</t>
  </si>
  <si>
    <t>DCA Qualified Consultant</t>
  </si>
  <si>
    <t>If selected for funding, the Applicant will retain a DCA qualified consultant to monitor the project for accessibility compliance who will not be a member of the proposed Project Team nor have an Identify of Interest with any member of the proposed Project Team?</t>
  </si>
  <si>
    <t>The DCA qualified consultant will perform the following:</t>
  </si>
  <si>
    <t>Name of Accessibility Consultant</t>
  </si>
  <si>
    <t>A pre-construction plan and specification review to determine that the proposed property will meet all required accessibility requirements.  The Consultant report must be included with the construction documents submitted to DCA.  At a minimum, the report will include the initial comments from the consultant, all documents related to resolution of identified accessibility issues and a certification from the consultant that the plans appear to meet all  accessibility requirements.</t>
  </si>
  <si>
    <t>C1).</t>
  </si>
  <si>
    <t>At least two training sessions to the Architect, General Contractor, Job Superintendent, and a representative of every subcontractor group that will affect accessibility (grading, concrete, framing, electrical, plumbing, sheetrock, and cabinetry) regarding accessibility requirements. One training must be on site.</t>
  </si>
  <si>
    <t>2).</t>
  </si>
  <si>
    <t xml:space="preserve">An inspection of the construction site after framing is completed to determine that the property is following the approved plans and specifications as to accessibility.  DCA must receive a copy of the report issued by the consultant as well as documentation that all issues, if any, have been resolved. </t>
  </si>
  <si>
    <t>3).</t>
  </si>
  <si>
    <t xml:space="preserve">A final inspection of the property after completion of construction to determine that the property has been constructed in accordance with all accessibility requirements.  DCA must receive a copy of the report issued by the consultant as well as documentation that all issues, if any, have been resolved prior to submission of the project cost certification.  </t>
  </si>
  <si>
    <t>4).</t>
  </si>
  <si>
    <t>Is there a Waiver Approval Letter From DCA included in this application for this criterion?</t>
  </si>
  <si>
    <t>Does this application meet the Architectural Standards contained in the Application Manual for quality and longevity?</t>
  </si>
  <si>
    <t>If new construction (NC), washer &amp; dryer (W&amp;D) hookups provided in each unit:</t>
  </si>
  <si>
    <t xml:space="preserve">Constructed and Rehabilitation Construction Hard Costs </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</si>
  <si>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 A similar review of project financial feasibility and economic viability will be conducted for all Applications proposing new construction to ensure that each project’s construction hard costs will produce high-quality, cost-effective housing for the targeted tenant market.</t>
  </si>
  <si>
    <t>Exterior Wall Finishes (select one)</t>
  </si>
  <si>
    <t xml:space="preserve">                                                                                                                                                                                                                                                                                                                                                                                                                                                                                                                                                                                                                                                                                                                                                                                                                                                                                                                                                                                                                                                                                                                                                                                                                                                                                                                                                                                                                                                                                                                                                                                                                                                                                                                                                                                                                                                                                                                                                                                                                                                                                                                                                                                                                                                                                                                                                                                                                                                                                                                                                                                                                                                                                                                                                                                                                                                                                                                                                                                                                                                                                                                                                                                                                                                                                                                                                                                                                                                                                                                                                                                                                                                                                                                                                                                                                                                                                                                                                                                                                                                                                                                                                                                                                                                                                                                                                                                                                                                                                                                                                                                                                                                                                                                                                                                                                                                                                                                                                                                                                                                                                                                                                                                                                                                                                                                                                                                                                                                                                                                                                                                                                                                                                                                                                                </t>
  </si>
  <si>
    <t>Major Bldg Component Materials &amp; Upgrades  (select one)</t>
  </si>
  <si>
    <t>Additional Design Options</t>
  </si>
  <si>
    <t>Not listed above, proposed by Applicant prior to Application Submittal in accordance with Exhibit A DCA Pre-application and Pre-Award Deadlines and Fee Schedule, and subsequently approved by DCA.</t>
  </si>
  <si>
    <t>3a)</t>
  </si>
  <si>
    <t>3b)</t>
  </si>
  <si>
    <r>
      <rPr>
        <b/>
        <sz val="8"/>
        <rFont val="Arial"/>
        <family val="2"/>
      </rPr>
      <t xml:space="preserve">Broadband Access </t>
    </r>
    <r>
      <rPr>
        <sz val="8"/>
        <rFont val="Arial"/>
        <family val="2"/>
      </rPr>
      <t>- Applicant agrees to provide free high-speed Wi-Fi internet access (as defined in this section of the QAP) in the required community room or building. Access must be provided through the entirety of the Compliance Period and Extended Use Period.</t>
    </r>
  </si>
  <si>
    <t>EXPERIENCE, CAPACITY &amp; PERFORMANCE REQUIREMENTS FOR GENERAL PARTNER &amp; DEVELOPER ENTITIES</t>
  </si>
  <si>
    <t xml:space="preserve">Did the Certifying Entity meet the experience requirement in 2021? </t>
  </si>
  <si>
    <t>Is there a 2022 pre-application Qualification of Project Team Determination letter from DCA included in this application for this criterion?</t>
  </si>
  <si>
    <t>Has there been any change in the Project Team since the initial 2022 pre-application submission?</t>
  </si>
  <si>
    <t>Did the project team request a waiver or waiver renewal of a Significant Adverse Event at the initial 2022 pre-application?</t>
  </si>
  <si>
    <t>DCA's 2022 pre-application Qualification of Project's Team Determination indicated a status of (select one):</t>
  </si>
  <si>
    <t>DCA Final Determination</t>
  </si>
  <si>
    <t>Choose no more than one preservation set aside.</t>
  </si>
  <si>
    <t>The seller did not, or will not, receive any operating, maintenance, or other reserve funds as a result of or concurrent with the sale of the asset?</t>
  </si>
  <si>
    <r>
      <rPr>
        <b/>
        <sz val="8"/>
        <rFont val="Arial"/>
        <family val="2"/>
      </rPr>
      <t>RAD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or project-based operating subsidies through a program administered by HUD?</t>
    </r>
  </si>
  <si>
    <t>Date of HUD Commitment to enter into a Housing Assistance Payment (CHAP)</t>
  </si>
  <si>
    <t>PBRA Units</t>
  </si>
  <si>
    <t>% of Total:</t>
  </si>
  <si>
    <r>
      <rPr>
        <b/>
        <sz val="8"/>
        <rFont val="Arial"/>
        <family val="2"/>
      </rPr>
      <t>Housing Tax Credit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are restricted under a LURC.</t>
    </r>
  </si>
  <si>
    <t>Nbr of units restricted under an existing LURC for this property:</t>
  </si>
  <si>
    <r>
      <rPr>
        <b/>
        <sz val="8"/>
        <rFont val="Arial"/>
        <family val="2"/>
      </rPr>
      <t>HUD Rental Assistance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administered by HUD or a PHA?</t>
    </r>
  </si>
  <si>
    <t>The proposed development is seeking to undergo a RAD conversion?</t>
  </si>
  <si>
    <t>Is the organization a qualified nonprofit, defined as a 501(c)(3) or 501(c)(4) organization, which is not affiliated with or controlled by a for-profit organization and has included the fostering of low income housing as one of its tax-exempt purposes?</t>
  </si>
  <si>
    <t>Will the qualified nonprofit materially participate in the development and operation of the project as described in IRC Section 469(h) throughout the project compliance period?</t>
  </si>
  <si>
    <t>Does the qualified nonprofit own at least 51% of the GP's interest in the project and is the managing general partner of the ownership entity?</t>
  </si>
  <si>
    <t>Is this entity a corporation with 100 percent of the stock of such corporation held by one or more qualified nonprofit organizations at all times during the period such corporation is in existence?</t>
  </si>
  <si>
    <t>All Applicants: Does the nonprofit receive a percentage of the developer fee greater than or equal to its percentage of its ownership interest?</t>
  </si>
  <si>
    <r>
      <rPr>
        <b/>
        <u/>
        <sz val="8"/>
        <rFont val="Arial"/>
        <family val="2"/>
      </rPr>
      <t>CHDOS Only:</t>
    </r>
    <r>
      <rPr>
        <sz val="8"/>
        <rFont val="Arial"/>
        <family val="2"/>
      </rPr>
      <t xml:space="preserve">  If the nonprofit entity is also a CHDO, is it a DCA-certified CHDO which must own 100% of the General Partnership entity?</t>
    </r>
  </si>
  <si>
    <t>Is a copy of the GP joint venture agreement or GP operating agreement that provides the nonprofit’s GP interest and the Developer Fee amount included in the application?</t>
  </si>
  <si>
    <t>Is a an opinion of a third party attorney who specializes in tax law on the nonprofit’s current federal tax exempt qualification status included in the Application?  If such an opinion has been previously obtained, this requirement may be satisfied by submitting the opinion with documentation demonstrating that the nonprofit’s bylaws have not changed since the legal opinion was issued.</t>
  </si>
  <si>
    <t>ELIGIBILITY FOR HOME LOANS UNDER THE CHDO SET-ASIDE</t>
  </si>
  <si>
    <t>Name of CHDO:</t>
  </si>
  <si>
    <t>Name of CHDO Managing GP:</t>
  </si>
  <si>
    <t>Is the CHDO either the sole general partner of the ownership entity or the managing member of the LLC general partner of the ownership entity (the CHDO must also exercise effective control of the project)?</t>
  </si>
  <si>
    <t>CHDO has been granted a DCA HOME consent?</t>
  </si>
  <si>
    <t xml:space="preserve">     DCA HOME Consent amount:</t>
  </si>
  <si>
    <t>Nonprofit Federal Tax Exempt Qualification Status</t>
  </si>
  <si>
    <t>Scattered Site Developments [as defined in Section 42(g)(7) of the Code and this QAP]</t>
  </si>
  <si>
    <t xml:space="preserve">Other (If Yes, then also describe): </t>
  </si>
  <si>
    <t>Relocation And Displacement Of Tenants</t>
  </si>
  <si>
    <t xml:space="preserve">a) </t>
  </si>
  <si>
    <t xml:space="preserve">Are any of the other sources (not DCA HOME) considered to be Federal Funding? </t>
  </si>
  <si>
    <t>(If Yes, applicant will need to check with the source of these funds to determine if this project will trigger the Uniform Relocation Act or 104(d).)</t>
  </si>
  <si>
    <t>If tenants will be displaced, has Applicant received DCA written approval and placed a copy where indicated in the Tabs Checklist?</t>
  </si>
  <si>
    <t xml:space="preserve">c)  </t>
  </si>
  <si>
    <t>Will any funding source used trigger the Uniform Relocation Act or HUD 104 (d) requirements?</t>
  </si>
  <si>
    <t>c)</t>
  </si>
  <si>
    <t>Is sufficient comparable replacement housing identified in the relocation plan according to DCA relocation requirements?</t>
  </si>
  <si>
    <t>Provide summary data collected from DCA Relocation Displacement Workbook:</t>
  </si>
  <si>
    <t xml:space="preserve">a) Number of Over Income Tenants </t>
  </si>
  <si>
    <t>c) Number of Down units</t>
  </si>
  <si>
    <t>b) Number of Vacancies</t>
  </si>
  <si>
    <t>d) Number of Displaced Tenants</t>
  </si>
  <si>
    <t>Nbr of Units
Proposed</t>
  </si>
  <si>
    <t>Nbr of Units
Current</t>
  </si>
  <si>
    <t>Nbr of Units
Reasonable Accommodation</t>
  </si>
  <si>
    <t>Greater of the two</t>
  </si>
  <si>
    <t>Meets or exceeds DCA requirements?</t>
  </si>
  <si>
    <t>e) Units equipped for the mobility disabled, including wheelchair restricted residents:</t>
  </si>
  <si>
    <t>e)</t>
  </si>
  <si>
    <t>Mobility equipped units with Roll-in showers incorporated:</t>
  </si>
  <si>
    <t>f) Units equipped for hearing and sight-impaired residents:</t>
  </si>
  <si>
    <t>f)</t>
  </si>
  <si>
    <t>Proposed Advisory Services to be employed (see Relocation Manual):</t>
  </si>
  <si>
    <t xml:space="preserve">a) Describe Service Provider to be used. </t>
  </si>
  <si>
    <t>If 3rd Party, provide:</t>
  </si>
  <si>
    <t>i)</t>
  </si>
  <si>
    <t>Entity Name</t>
  </si>
  <si>
    <t>ii)</t>
  </si>
  <si>
    <t>Entity Type</t>
  </si>
  <si>
    <t>Other - describe in box provided:</t>
  </si>
  <si>
    <t>b) Briefly summarize Service Provider's prior experience in face-to-face community engagement among the tenancy served.</t>
  </si>
  <si>
    <t>Row size may be increased or decreased.</t>
  </si>
  <si>
    <t>Resident Feedback on Existing Subsidized Housing</t>
  </si>
  <si>
    <r>
      <rPr>
        <u/>
        <sz val="8"/>
        <rFont val="Arial"/>
        <family val="2"/>
      </rPr>
      <t>Applicant commits to accept DCA-led resident engagement if DCA chooses to do so</t>
    </r>
    <r>
      <rPr>
        <sz val="8"/>
        <rFont val="Arial"/>
        <family val="2"/>
      </rPr>
      <t>.  Resident engagement may include:
    • surveying current tenants;
    • holding one or more tenant meetings about desired amenities, services, management, maintenance, and the physical building;
    • sharing the tenant input with DCA to determine whether the desired changes are feasible and practical.</t>
    </r>
  </si>
  <si>
    <t xml:space="preserve">If selected, does the Applicant agree to prepare and submit (prior to the start of lease-up) an AFFH Marketing plan that includes: </t>
  </si>
  <si>
    <t>HUD Affirmative Fair Housing Marketing Plan (AFHMP) – Multifamily Housing Form (HUD-935.2A) with completed worksheets and supportive documentation.</t>
  </si>
  <si>
    <t>A comprehensive documented marketing strategy to affirmatively market and attract individuals least likely to apply, including persons with disabilities and the homeless, that includes:
1. Goals, outcomes</t>
  </si>
  <si>
    <t>Goals, outcomes and action steps to thoroughly market to target populations and to establish and maintain relationships between the management agent and all community partners noted in the marketing strategy.</t>
  </si>
  <si>
    <t>The progress assessment plan from the Evaluation of Marketing Activities section noted in the HUD-935.2A form.</t>
  </si>
  <si>
    <t>Examples of outreach efforts (i.e. letters, meeting dates, events, etc.) to each service provider, homeless shelter and/or local disability advocacy organization in the county in which the proposed development is located. Be sure all marketing efforts include the Fair Housing and Accessibility logos, slogan and/or statement.</t>
  </si>
  <si>
    <t>Examples of all marketing materials distributed to underserved populations 2-4 months prior to occupancy (i.e. tear sheets with dates from newspapers and magazines, copies of ads on a website, pictures of signs on the property, etc.).</t>
  </si>
  <si>
    <t>A formal documented strategy and outreach examples for individuals with Limited English Proficiency (LEP) for languages identified as being prevalent in the surrounding market area.</t>
  </si>
  <si>
    <t>Formal documented referral and screening process that will be used to refer residents to the development, the screening criteria that will be used, and reasonable accommodations that will be made to facilitate the admittance of persons with disabilities or the homeless.</t>
  </si>
  <si>
    <t>A list of the public locations in and near the community where the development will be located, including at least one that has night hours, where applications for affordable units shall be made available.</t>
  </si>
  <si>
    <t>If selected, does the Applicant agree to provide reasonable accommodation for these residents in the Property Management’s tenant application?  Leasing criteria must clearly facilitate admission and inclusion of targeted population residents and must not violate federal or state fair housing laws.</t>
  </si>
  <si>
    <t xml:space="preserve">Fiber cement siding or other 30 year warranty product installed on all exterior wall surfaces not already required to be brick </t>
  </si>
  <si>
    <t>Exterior wall faces must have an excess of 30% brick or natural or manufactured stone on each of the exterior wall surfaces.  This applies to all sides of the buildings including the front wall face, each side’s wall face and the rear wall face of the buildings. This is NOT applicable to the interior wall faces of open breezeways.</t>
  </si>
  <si>
    <t>Rehab of bldgs eligible for historic preservatn credits will maintain &amp; if necessary replace with matching materials, the existing or original exterior finish surfaces including front wall face, rear wall face and both side wall faces.</t>
  </si>
  <si>
    <t>Rehab of bldgs w/out existing brick/stone over 30% (&amp; ineligible for historic credits) will replace &amp; upgrade existing exterior finish surfaces on all wall faces (front, back, both side faces) w/brick or product w/30 yr warranty. N/Ap to interior wall faces of open breezeways.</t>
  </si>
  <si>
    <t>For single family units, the total building envelope will have 30% minimum brick coverage; remaining 70% will be fiber cement siding or other product w/30 yr warranty.</t>
  </si>
  <si>
    <t>GBI Green Globes Cert Multifamily: New Construct or Existg Bldgs</t>
  </si>
  <si>
    <t>From Underwriting Assumptions tab</t>
  </si>
  <si>
    <t>Unit TDC Limit by Bedroom Size</t>
  </si>
  <si>
    <t>Type</t>
  </si>
  <si>
    <t>Detached/Semi-Detached</t>
  </si>
  <si>
    <t>From Threshold tab:</t>
  </si>
  <si>
    <t>New Construction and</t>
  </si>
  <si>
    <t>Historic Rehab or Transit-Oriented Devlpmt</t>
  </si>
  <si>
    <t>Acquisition/Rehabilitation</t>
  </si>
  <si>
    <t xml:space="preserve">qualifying for Historic Preservation or TOD pt(s) </t>
  </si>
  <si>
    <t>Is this Criterion met?</t>
  </si>
  <si>
    <t>Total Development Cost (TDC) Cost Limit Area:</t>
  </si>
  <si>
    <t>Nbr Units</t>
  </si>
  <si>
    <t xml:space="preserve">       Unit Cost Limit total by Unit Type</t>
  </si>
  <si>
    <t xml:space="preserve">        Unit Cost Limit total by Unit Type</t>
  </si>
  <si>
    <t>TDC</t>
  </si>
  <si>
    <t>Subotal</t>
  </si>
  <si>
    <t>TDC for Cost Limit Use</t>
  </si>
  <si>
    <t>(= TDC - Excludable Costs per 2021 QAP)</t>
  </si>
  <si>
    <t>Cost Waiver / DCA Override</t>
  </si>
  <si>
    <r>
      <rPr>
        <b/>
        <i/>
        <u/>
        <sz val="11"/>
        <color rgb="FFFF0000"/>
        <rFont val="Arial"/>
        <family val="2"/>
      </rPr>
      <t>NOTE to DCA Staff</t>
    </r>
    <r>
      <rPr>
        <b/>
        <sz val="11"/>
        <color rgb="FFFF0000"/>
        <rFont val="Arial"/>
        <family val="2"/>
      </rPr>
      <t>:</t>
    </r>
    <r>
      <rPr>
        <b/>
        <sz val="11"/>
        <color rgb="FF0066FF"/>
        <rFont val="Arial"/>
        <family val="2"/>
      </rPr>
      <t xml:space="preserve">  If the Applicant self-scored at the full point value for CTO, but DCA did not score CTO at full point value, then the Cost Waiver / DCA Override box here must be used to manually adjust to New Constr &amp; Acq/Rehab limits.</t>
    </r>
  </si>
  <si>
    <t>Historic Preservation Pts</t>
  </si>
  <si>
    <t>Community Transp Opt Pts</t>
  </si>
  <si>
    <t>Project Cost Limit (PCL)</t>
  </si>
  <si>
    <r>
      <rPr>
        <sz val="7"/>
        <color rgb="FFFF0000"/>
        <rFont val="Arial Narrow"/>
        <family val="2"/>
      </rPr>
      <t>NOTE:</t>
    </r>
    <r>
      <rPr>
        <sz val="7"/>
        <rFont val="Arial Narrow"/>
        <family val="2"/>
      </rPr>
      <t xml:space="preserve"> If a PUCL Waiver has been approved by DCA, that amount would supercede the amounts shown at left.  DCA will enter it in the yellow Cost Waiver/DCA Override box above.</t>
    </r>
  </si>
  <si>
    <t>Total Per Construction Type</t>
  </si>
  <si>
    <t>PLEASE NOTE:  Any questions asked in this Excel core application workbook that are necessarily replicated in the Emphasys System core application must have identical answers in both places.</t>
  </si>
  <si>
    <r>
      <t xml:space="preserve">REMINDER: Applicants must include comments in sections where points are claimed.   Failure to do so may result in a one (1) point deduction.  Refer to QAP Scoring for requirements detail for all criteria.  </t>
    </r>
    <r>
      <rPr>
        <u/>
        <sz val="8"/>
        <color rgb="FFFF0000"/>
        <rFont val="Arial Narrow"/>
        <family val="2"/>
      </rPr>
      <t>Disclaimer:</t>
    </r>
    <r>
      <rPr>
        <sz val="8"/>
        <color rgb="FFFF0000"/>
        <rFont val="Arial Narrow"/>
        <family val="2"/>
      </rPr>
      <t xml:space="preserve"> DCA Threshold and Scoring section reviews pertain only to the corresponding funding round and have no effect on subsequent or future funding round scoring decisions.</t>
    </r>
  </si>
  <si>
    <r>
      <t xml:space="preserve">Problem with Score Total?  </t>
    </r>
    <r>
      <rPr>
        <b/>
        <sz val="8"/>
        <color rgb="FFFF0000"/>
        <rFont val="Arial Narrow"/>
        <family val="2"/>
      </rPr>
      <t>See note by Score Total at end.</t>
    </r>
  </si>
  <si>
    <t>DOCUMENTATION AND JUSTIFICATIONS</t>
  </si>
  <si>
    <t>SCORING JUSTIFICATIONS</t>
  </si>
  <si>
    <r>
      <t xml:space="preserve">2-4 adjustments/revisions = one (1) pt deduction total; </t>
    </r>
    <r>
      <rPr>
        <i/>
        <sz val="8"/>
        <rFont val="Arial Narrow"/>
        <family val="2"/>
      </rPr>
      <t>then</t>
    </r>
    <r>
      <rPr>
        <sz val="8"/>
        <rFont val="Arial Narrow"/>
        <family val="2"/>
      </rPr>
      <t xml:space="preserve"> (1) pt deducted for each add'l adjustment.  </t>
    </r>
  </si>
  <si>
    <r>
      <t xml:space="preserve">Points </t>
    </r>
    <r>
      <rPr>
        <i/>
        <sz val="8"/>
        <rFont val="Arial Narrow"/>
        <family val="2"/>
      </rPr>
      <t>Deducted</t>
    </r>
    <r>
      <rPr>
        <sz val="8"/>
        <rFont val="Arial Narrow"/>
        <family val="2"/>
      </rPr>
      <t>:</t>
    </r>
  </si>
  <si>
    <t>Sect #</t>
  </si>
  <si>
    <t>Section Name</t>
  </si>
  <si>
    <t>Self Score</t>
  </si>
  <si>
    <t>Applicant Scoring Justification (partial preview)</t>
  </si>
  <si>
    <t>Not Full:</t>
  </si>
  <si>
    <r>
      <rPr>
        <b/>
        <i/>
        <u/>
        <sz val="8"/>
        <color rgb="FFFF0000"/>
        <rFont val="Arial"/>
        <family val="2"/>
      </rPr>
      <t>DCA Staff</t>
    </r>
    <r>
      <rPr>
        <b/>
        <sz val="8"/>
        <color indexed="10"/>
        <rFont val="Arial"/>
        <family val="2"/>
      </rPr>
      <t xml:space="preserve">: Select "1" for a section if points claimed </t>
    </r>
    <r>
      <rPr>
        <b/>
        <u/>
        <sz val="8"/>
        <color rgb="FFFF0000"/>
        <rFont val="Arial"/>
        <family val="2"/>
      </rPr>
      <t>and</t>
    </r>
    <r>
      <rPr>
        <b/>
        <sz val="8"/>
        <color indexed="10"/>
        <rFont val="Arial"/>
        <family val="2"/>
      </rPr>
      <t xml:space="preserve"> its Applicant Scoring Justification is </t>
    </r>
    <r>
      <rPr>
        <b/>
        <i/>
        <u/>
        <sz val="8"/>
        <color rgb="FFFF0000"/>
        <rFont val="Arial"/>
        <family val="2"/>
      </rPr>
      <t>not</t>
    </r>
    <r>
      <rPr>
        <b/>
        <sz val="8"/>
        <color indexed="10"/>
        <rFont val="Arial"/>
        <family val="2"/>
      </rPr>
      <t xml:space="preserve"> considered "full" per the QAP.</t>
    </r>
  </si>
  <si>
    <t>XII</t>
  </si>
  <si>
    <t>XIII</t>
  </si>
  <si>
    <t>XIV</t>
  </si>
  <si>
    <t>XVI</t>
  </si>
  <si>
    <t>Internet Access</t>
  </si>
  <si>
    <t>XVII</t>
  </si>
  <si>
    <t>Minority- And Women-Owned Business Engagement</t>
  </si>
  <si>
    <t>Integrative Supportive Housing</t>
  </si>
  <si>
    <t>PBRA Contracts</t>
  </si>
  <si>
    <t>Property Restrictions and Age</t>
  </si>
  <si>
    <t>New Supply</t>
  </si>
  <si>
    <t>Documentation and Justifications</t>
  </si>
  <si>
    <t>Application Completeness</t>
  </si>
  <si>
    <r>
      <t xml:space="preserve">New Supply </t>
    </r>
    <r>
      <rPr>
        <sz val="7"/>
        <color theme="0" tint="-0.14999847407452621"/>
        <rFont val="Arial Narrow"/>
        <family val="2"/>
      </rPr>
      <t>(NC + AR)</t>
    </r>
  </si>
  <si>
    <t>Preservation (A/R+SR-AR)</t>
  </si>
  <si>
    <t>Exceptional Nonprofit/Public Housing Authority</t>
  </si>
  <si>
    <t>Activity Type for
Scoring Purposes</t>
  </si>
  <si>
    <t>Affordability Loss Risk</t>
  </si>
  <si>
    <t>APPLICATION COMPLETENESS</t>
  </si>
  <si>
    <r>
      <t xml:space="preserve">(Applicants start with 10 pts.  Any points entered will be </t>
    </r>
    <r>
      <rPr>
        <u/>
        <sz val="8"/>
        <rFont val="Arial Narrow"/>
        <family val="2"/>
      </rPr>
      <t>subtracted</t>
    </r>
    <r>
      <rPr>
        <sz val="8"/>
        <rFont val="Arial Narrow"/>
        <family val="2"/>
      </rPr>
      <t xml:space="preserve"> from score value)</t>
    </r>
  </si>
  <si>
    <t>Missing/Incomplete Documents/Organization</t>
  </si>
  <si>
    <r>
      <t xml:space="preserve">These points will be </t>
    </r>
    <r>
      <rPr>
        <u/>
        <sz val="8"/>
        <rFont val="Arial"/>
        <family val="2"/>
      </rPr>
      <t>subtracted</t>
    </r>
    <r>
      <rPr>
        <sz val="8"/>
        <rFont val="Arial"/>
        <family val="2"/>
      </rPr>
      <t xml:space="preserve"> from the total score value.</t>
    </r>
  </si>
  <si>
    <t>Missing Documents</t>
  </si>
  <si>
    <t>For each missing or incomplete document, one (1) point will be deducted</t>
  </si>
  <si>
    <r>
      <t xml:space="preserve">Incomplete, Inaccurate, or Illegible Documents </t>
    </r>
    <r>
      <rPr>
        <sz val="6"/>
        <color rgb="FFFF0000"/>
        <rFont val="Arial"/>
        <family val="2"/>
      </rPr>
      <t>(includes core app)</t>
    </r>
  </si>
  <si>
    <t>One (1) pt deducted for every two (2) Incomplete, Inaccurate, or Illegible Documents necessary for Core or Threshold</t>
  </si>
  <si>
    <t>Incorrect Application Organization</t>
  </si>
  <si>
    <t>One (1) pt deducted if Application is not organized as set out in the Tab checklist and the Application Instructions</t>
  </si>
  <si>
    <r>
      <rPr>
        <b/>
        <sz val="8"/>
        <color rgb="FFFF0000"/>
        <rFont val="Arial Narrow"/>
        <family val="2"/>
      </rPr>
      <t xml:space="preserve">DCA Staff: </t>
    </r>
    <r>
      <rPr>
        <sz val="8"/>
        <rFont val="Arial Narrow"/>
        <family val="2"/>
      </rPr>
      <t>List here any misplaced docs and the Tab Numbers where they were mistakenly placed.</t>
    </r>
  </si>
  <si>
    <t xml:space="preserve">Financial and Other Adjustments </t>
  </si>
  <si>
    <r>
      <t xml:space="preserve">2-4 adjustments/revisions = one (1) pt deduction total; </t>
    </r>
    <r>
      <rPr>
        <i/>
        <sz val="8"/>
        <rFont val="Arial Narrow"/>
        <family val="2"/>
      </rPr>
      <t>then</t>
    </r>
    <r>
      <rPr>
        <sz val="8"/>
        <rFont val="Arial Narrow"/>
        <family val="2"/>
      </rPr>
      <t xml:space="preserve"> (1) pt deducted for each add'l adjustment.</t>
    </r>
  </si>
  <si>
    <r>
      <t xml:space="preserve">A1. </t>
    </r>
    <r>
      <rPr>
        <sz val="9"/>
        <rFont val="Arial Narrow"/>
        <family val="2"/>
      </rPr>
      <t>Missing Documents Needed 
for QAP Core or Threshold Sections</t>
    </r>
  </si>
  <si>
    <t>Pt Deductions</t>
  </si>
  <si>
    <r>
      <t xml:space="preserve">A2.  </t>
    </r>
    <r>
      <rPr>
        <sz val="8"/>
        <rFont val="Arial"/>
        <family val="2"/>
      </rPr>
      <t>Incomplete, Inaccurate, or Illegible Docs
Needed for QAP Core or Threshold Sections</t>
    </r>
  </si>
  <si>
    <r>
      <t xml:space="preserve">B. </t>
    </r>
    <r>
      <rPr>
        <sz val="8"/>
        <rFont val="Arial"/>
        <family val="2"/>
      </rPr>
      <t>Financial and Other Adjustments/ Revisions:</t>
    </r>
  </si>
  <si>
    <t>included in 2</t>
  </si>
  <si>
    <r>
      <rPr>
        <b/>
        <i/>
        <u/>
        <sz val="10"/>
        <color rgb="FFFF0000"/>
        <rFont val="Arial"/>
        <family val="2"/>
      </rPr>
      <t>DCA Staff</t>
    </r>
    <r>
      <rPr>
        <sz val="10"/>
        <color indexed="10"/>
        <rFont val="Arial"/>
        <family val="2"/>
      </rPr>
      <t>: Select "1" for a Point Deduction in each line as applicable.</t>
    </r>
  </si>
  <si>
    <t>included in 4</t>
  </si>
  <si>
    <t>included in 6</t>
  </si>
  <si>
    <t>included in 8</t>
  </si>
  <si>
    <t>included in 10</t>
  </si>
  <si>
    <t>.</t>
  </si>
  <si>
    <r>
      <t>Deeper Targeting through Rent Restrictions</t>
    </r>
    <r>
      <rPr>
        <b/>
        <sz val="9"/>
        <rFont val="Arial Narrow"/>
        <family val="2"/>
      </rPr>
      <t xml:space="preserve"> </t>
    </r>
    <r>
      <rPr>
        <sz val="8"/>
        <color rgb="FFFF0000"/>
        <rFont val="Arial Narrow"/>
        <family val="2"/>
      </rPr>
      <t>(9% Credits Only)</t>
    </r>
  </si>
  <si>
    <t>Applications with an overall property area median income, calculated based on the imputed income and rent limitations (20%, 30%, 40%, 50%, 60%, 70%, 80%) for each affordable unit, equal to or less than 58%.</t>
  </si>
  <si>
    <t>&lt;---These blue and yellow boxes are for points, not Y/N.</t>
  </si>
  <si>
    <t>or</t>
  </si>
  <si>
    <r>
      <t xml:space="preserve">Deeper Targeting through </t>
    </r>
    <r>
      <rPr>
        <b/>
        <i/>
        <u/>
        <sz val="9"/>
        <rFont val="Arial"/>
        <family val="2"/>
      </rPr>
      <t>New</t>
    </r>
    <r>
      <rPr>
        <b/>
        <sz val="9"/>
        <rFont val="Arial"/>
        <family val="2"/>
      </rPr>
      <t xml:space="preserve"> PBRA Contracts</t>
    </r>
  </si>
  <si>
    <t>Enter Nbr of PBRA Residential Units:</t>
  </si>
  <si>
    <t>Tot Resid Units</t>
  </si>
  <si>
    <t>(at least) of residential units to have PBRA for 10+ yrs:</t>
  </si>
  <si>
    <t>PBRA contract has a minimum term of ten (10) years.</t>
  </si>
  <si>
    <t>See QAP Scoring for requirements.</t>
  </si>
  <si>
    <t>Is the completed and executed DCA Desirable/Undesirable Certification form included in the appropriate application tab, in both the original Excel version and signed PDF?</t>
  </si>
  <si>
    <t>(1 or 2 pts each - see QAP)</t>
  </si>
  <si>
    <r>
      <t xml:space="preserve">Complete this section using results from completed current DCA Desirable/Undesirable Certification form.  Submit this completed form </t>
    </r>
    <r>
      <rPr>
        <b/>
        <u/>
        <sz val="8"/>
        <color rgb="FFFF0000"/>
        <rFont val="Arial Narrow"/>
        <family val="2"/>
      </rPr>
      <t xml:space="preserve">in </t>
    </r>
    <r>
      <rPr>
        <b/>
        <i/>
        <u/>
        <sz val="8"/>
        <color rgb="FFFF0000"/>
        <rFont val="Arial Narrow"/>
        <family val="2"/>
      </rPr>
      <t>both</t>
    </r>
    <r>
      <rPr>
        <b/>
        <u/>
        <sz val="8"/>
        <color rgb="FFFF0000"/>
        <rFont val="Arial Narrow"/>
        <family val="2"/>
      </rPr>
      <t xml:space="preserve"> Excel and signed PDF</t>
    </r>
    <r>
      <rPr>
        <b/>
        <sz val="8"/>
        <color rgb="FFFF0000"/>
        <rFont val="Arial Narrow"/>
        <family val="2"/>
      </rPr>
      <t>, where indicated in Tabs Checklist.</t>
    </r>
  </si>
  <si>
    <t>(2 pts subtracted each)</t>
  </si>
  <si>
    <t>Scoring Justification per Applicant</t>
  </si>
  <si>
    <t xml:space="preserve">See QAP for  requirements.   </t>
  </si>
  <si>
    <r>
      <t>Mandatory Evaluation Criteria</t>
    </r>
    <r>
      <rPr>
        <b/>
        <i/>
        <u/>
        <sz val="8"/>
        <rFont val="Arial"/>
        <family val="2"/>
      </rPr>
      <t/>
    </r>
  </si>
  <si>
    <t>Applicant Agrees?</t>
  </si>
  <si>
    <t>DCA Agrees?</t>
  </si>
  <si>
    <t>Transportation service is publicized to the general public via website or published brochure?</t>
  </si>
  <si>
    <t>Transportation service is available to all residents of the proposed development/site?</t>
  </si>
  <si>
    <t>For subsection A, transportation route has a local route? Multi-stop express routes providing regional transit are only eligible under subsection B.</t>
  </si>
  <si>
    <r>
      <t xml:space="preserve">Route for site only runs direct or is an express route?  Routes that </t>
    </r>
    <r>
      <rPr>
        <u/>
        <sz val="8"/>
        <rFont val="Arial"/>
        <family val="2"/>
      </rPr>
      <t>only</t>
    </r>
    <r>
      <rPr>
        <sz val="8"/>
        <rFont val="Arial"/>
        <family val="2"/>
      </rPr>
      <t xml:space="preserve"> run direct or express routes will not qualify.</t>
    </r>
  </si>
  <si>
    <t>If development is in Metro Pool, on-call transportation service is involved?  On-call transportation services are not eligible for points in the Atlanta Metro Pool.</t>
  </si>
  <si>
    <t>DCA will measure required distances from the geo-coordinates of a pedestrian site entrance to the proposed transit stop. DCA will not identify and/or measure any route other than the route submitted in the Application.</t>
  </si>
  <si>
    <r>
      <rPr>
        <sz val="8"/>
        <rFont val="Arial"/>
        <family val="2"/>
      </rPr>
      <t>Distance</t>
    </r>
    <r>
      <rPr>
        <b/>
        <sz val="8"/>
        <color rgb="FFFF0000"/>
        <rFont val="Arial"/>
        <family val="2"/>
      </rPr>
      <t>*</t>
    </r>
    <r>
      <rPr>
        <sz val="8"/>
        <rFont val="Arial Narrow"/>
        <family val="2"/>
      </rPr>
      <t xml:space="preserve"> (miles)</t>
    </r>
  </si>
  <si>
    <r>
      <t xml:space="preserve">Pedestrian Site Entrance </t>
    </r>
    <r>
      <rPr>
        <b/>
        <sz val="8"/>
        <color rgb="FFFF0000"/>
        <rFont val="Arial Narrow"/>
        <family val="2"/>
      </rPr>
      <t>1</t>
    </r>
  </si>
  <si>
    <t>Proposed Transit Hub/Stop</t>
  </si>
  <si>
    <t>If multiple entrances 
and/or stops:</t>
  </si>
  <si>
    <r>
      <t xml:space="preserve">Pedestrian Site Entrance </t>
    </r>
    <r>
      <rPr>
        <b/>
        <sz val="8"/>
        <color rgb="FFFF0000"/>
        <rFont val="Arial Narrow"/>
        <family val="2"/>
      </rPr>
      <t>2</t>
    </r>
  </si>
  <si>
    <t>Proposed Transit Stop 2</t>
  </si>
  <si>
    <r>
      <t xml:space="preserve">Choose either </t>
    </r>
    <r>
      <rPr>
        <b/>
        <i/>
        <u/>
        <sz val="9"/>
        <color rgb="FFFF0000"/>
        <rFont val="Arial"/>
        <family val="2"/>
      </rPr>
      <t>A or B.</t>
    </r>
  </si>
  <si>
    <r>
      <t xml:space="preserve">Choose either option 1 </t>
    </r>
    <r>
      <rPr>
        <b/>
        <i/>
        <u/>
        <sz val="8"/>
        <color rgb="FFFF0000"/>
        <rFont val="Arial"/>
        <family val="2"/>
      </rPr>
      <t>or</t>
    </r>
    <r>
      <rPr>
        <b/>
        <i/>
        <sz val="8"/>
        <color rgb="FFFF0000"/>
        <rFont val="Arial"/>
        <family val="2"/>
      </rPr>
      <t xml:space="preserve"> 2 under A.</t>
    </r>
  </si>
  <si>
    <t>The proposed transit hub is a station that has three or more bus routes, rail options, and/or other affordable mass transit options?</t>
  </si>
  <si>
    <r>
      <rPr>
        <b/>
        <i/>
        <sz val="8"/>
        <rFont val="Arial Narrow"/>
        <family val="2"/>
      </rPr>
      <t>Metro</t>
    </r>
    <r>
      <rPr>
        <sz val="8"/>
        <rFont val="Arial Narrow"/>
        <family val="2"/>
      </rPr>
      <t xml:space="preserve"> Pool Applications proposing a site </t>
    </r>
    <r>
      <rPr>
        <u/>
        <sz val="8"/>
        <rFont val="Arial Narrow"/>
        <family val="2"/>
      </rPr>
      <t>owned</t>
    </r>
    <r>
      <rPr>
        <sz val="8"/>
        <rFont val="Arial Narrow"/>
        <family val="2"/>
      </rPr>
      <t xml:space="preserve"> by a public or local transit agency which has been strategically targeted by the agency to create housing with on-site or adjacent access to a transit hub. The agency-owned site must rest along a transit line that follows a fixed route and fixed daily schedule available to the public </t>
    </r>
    <r>
      <rPr>
        <u/>
        <sz val="8"/>
        <rFont val="Arial Narrow"/>
        <family val="2"/>
      </rPr>
      <t>every</t>
    </r>
    <r>
      <rPr>
        <sz val="8"/>
        <rFont val="Arial Narrow"/>
        <family val="2"/>
      </rPr>
      <t xml:space="preserve"> day of the week.</t>
    </r>
  </si>
  <si>
    <r>
      <rPr>
        <b/>
        <i/>
        <sz val="8"/>
        <rFont val="Arial Narrow"/>
        <family val="2"/>
      </rPr>
      <t>Metro</t>
    </r>
    <r>
      <rPr>
        <sz val="8"/>
        <rFont val="Arial Narrow"/>
        <family val="2"/>
      </rPr>
      <t xml:space="preserve"> Pool Applications that propose a site within walking distance of a transit hub. The hub must rest along a transit line that follows a fixed route and daily schedule serving the public no less than 5 days per week.</t>
    </r>
  </si>
  <si>
    <r>
      <t xml:space="preserve">For </t>
    </r>
    <r>
      <rPr>
        <b/>
        <i/>
        <sz val="8"/>
        <color rgb="FFFF0000"/>
        <rFont val="Arial Narrow"/>
        <family val="2"/>
      </rPr>
      <t>ALL</t>
    </r>
    <r>
      <rPr>
        <sz val="8"/>
        <color rgb="FFFF0000"/>
        <rFont val="Arial Narrow"/>
        <family val="2"/>
      </rPr>
      <t xml:space="preserve"> options under this scoring criterion, 
</t>
    </r>
    <r>
      <rPr>
        <b/>
        <i/>
        <u/>
        <sz val="8"/>
        <color rgb="FFFF0000"/>
        <rFont val="Arial Narrow"/>
        <family val="2"/>
      </rPr>
      <t>regardless</t>
    </r>
    <r>
      <rPr>
        <b/>
        <i/>
        <sz val="8"/>
        <color rgb="FFFF0000"/>
        <rFont val="Arial Narrow"/>
        <family val="2"/>
      </rPr>
      <t xml:space="preserve"> of Competitive Pool chosen</t>
    </r>
    <r>
      <rPr>
        <sz val="8"/>
        <color rgb="FFFF0000"/>
        <rFont val="Arial Narrow"/>
        <family val="2"/>
      </rPr>
      <t>, 
provide the information below for the transit agency/service:</t>
    </r>
  </si>
  <si>
    <r>
      <t>Actual Walking Distance, site to hub</t>
    </r>
    <r>
      <rPr>
        <sz val="6"/>
        <rFont val="Arial Narrow"/>
        <family val="2"/>
      </rPr>
      <t xml:space="preserve"> (miles)</t>
    </r>
  </si>
  <si>
    <r>
      <t xml:space="preserve">Choose only </t>
    </r>
    <r>
      <rPr>
        <b/>
        <i/>
        <u/>
        <sz val="8"/>
        <color rgb="FFFF0000"/>
        <rFont val="Arial"/>
        <family val="2"/>
      </rPr>
      <t>one</t>
    </r>
    <r>
      <rPr>
        <b/>
        <i/>
        <sz val="8"/>
        <color rgb="FFFF0000"/>
        <rFont val="Arial"/>
        <family val="2"/>
      </rPr>
      <t xml:space="preserve"> option in B.</t>
    </r>
  </si>
  <si>
    <t>&lt;&lt; Enter transit agency/service name here &gt;&gt;</t>
  </si>
  <si>
    <t>&lt;Enter phone here&gt;</t>
  </si>
  <si>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that propose a site within walking distance of a public transportation stop.</t>
    </r>
  </si>
  <si>
    <r>
      <t>Actual Walking Distance, site to stop</t>
    </r>
    <r>
      <rPr>
        <sz val="6"/>
        <rFont val="Arial Narrow"/>
        <family val="2"/>
      </rPr>
      <t xml:space="preserve"> (miles)</t>
    </r>
  </si>
  <si>
    <t>&lt;&lt; Enter email address of the transit service contact here &gt;&gt;</t>
  </si>
  <si>
    <r>
      <t xml:space="preserve">&lt;&lt; Enter specific URL/webpage(s) showing established </t>
    </r>
    <r>
      <rPr>
        <b/>
        <i/>
        <u/>
        <sz val="8"/>
        <rFont val="Arial Narrow"/>
        <family val="2"/>
      </rPr>
      <t>schedule</t>
    </r>
    <r>
      <rPr>
        <sz val="8"/>
        <rFont val="Arial Narrow"/>
        <family val="2"/>
      </rPr>
      <t xml:space="preserve"> from transit agency website here &gt;&gt;</t>
    </r>
  </si>
  <si>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for which a publicly operated/sponsored on-call transportation service is available on-site. The service must serve the public no less than 5 days per week</t>
    </r>
  </si>
  <si>
    <r>
      <rPr>
        <b/>
        <i/>
        <sz val="8"/>
        <rFont val="Arial Narrow"/>
        <family val="2"/>
      </rPr>
      <t xml:space="preserve">Rural </t>
    </r>
    <r>
      <rPr>
        <sz val="8"/>
        <rFont val="Arial Narrow"/>
        <family val="2"/>
      </rPr>
      <t>Pool Applications demonstrating that a publicly operated/sponsored transit service that exists at the time of Application Submission will provide a reliable and available transportation option to all residents. If the transportation option is a fixed-route service, the stop must be within a 0.5-mile walking distance of the site. If the transportation option is on-call, the service must be available on-site.</t>
    </r>
  </si>
  <si>
    <r>
      <t xml:space="preserve">&lt;&lt; Enter specific URL/webpage(s) showing established </t>
    </r>
    <r>
      <rPr>
        <b/>
        <i/>
        <u/>
        <sz val="8"/>
        <rFont val="Arial Narrow"/>
        <family val="2"/>
      </rPr>
      <t>routes</t>
    </r>
    <r>
      <rPr>
        <sz val="8"/>
        <rFont val="Arial Narrow"/>
        <family val="2"/>
      </rPr>
      <t xml:space="preserve"> from transit agency website (if different from schedule webpage) here &gt;&gt;</t>
    </r>
  </si>
  <si>
    <r>
      <t xml:space="preserve"> </t>
    </r>
    <r>
      <rPr>
        <b/>
        <sz val="10"/>
        <color rgb="FFFF0000"/>
        <rFont val="Arial"/>
        <family val="2"/>
      </rPr>
      <t xml:space="preserve">* </t>
    </r>
    <r>
      <rPr>
        <sz val="8"/>
        <rFont val="Arial"/>
        <family val="2"/>
      </rPr>
      <t>Walking distance route provided must be from Google Maps, and route must be from the geo-coordinates of the pedestrian site entrance to the transit stop.  DCA will verify distances in this manner.</t>
    </r>
  </si>
  <si>
    <r>
      <t xml:space="preserve">Complete </t>
    </r>
    <r>
      <rPr>
        <b/>
        <u/>
        <sz val="9"/>
        <color rgb="FFFF0000"/>
        <rFont val="Arial Narrow"/>
        <family val="2"/>
      </rPr>
      <t>all</t>
    </r>
    <r>
      <rPr>
        <b/>
        <sz val="9"/>
        <color rgb="FFFF0000"/>
        <rFont val="Arial Narrow"/>
        <family val="2"/>
      </rPr>
      <t xml:space="preserve"> blue cells for each school. Leave unused College and Career Readiness Performance Index (CCRPI) cells empty. </t>
    </r>
  </si>
  <si>
    <t>Sort by grade group.</t>
  </si>
  <si>
    <t>C)</t>
  </si>
  <si>
    <r>
      <rPr>
        <b/>
        <sz val="8"/>
        <rFont val="Arial"/>
        <family val="2"/>
      </rPr>
      <t>A)</t>
    </r>
    <r>
      <rPr>
        <sz val="8"/>
        <rFont val="Arial"/>
        <family val="2"/>
      </rPr>
      <t xml:space="preserve"> Average of College and Career Readiness Performance Index (CCRPI) scores posted since 2018 are above state average?</t>
    </r>
  </si>
  <si>
    <r>
      <rPr>
        <b/>
        <sz val="8"/>
        <rFont val="Arial"/>
        <family val="2"/>
      </rPr>
      <t>B)</t>
    </r>
    <r>
      <rPr>
        <sz val="8"/>
        <rFont val="Arial"/>
        <family val="2"/>
      </rPr>
      <t xml:space="preserve">  School Receives 2018 or later “Beating the Odds” Designation?</t>
    </r>
  </si>
  <si>
    <t>Average year-over-year change in CCRPI score between 2015 and 2019 is positive (excluding change between 2017 and 2018)?</t>
  </si>
  <si>
    <t xml:space="preserve">Average CCRPI score over same time period is in top 75% of all statewide average scores for the grade cluster? </t>
  </si>
  <si>
    <t>School Names per CCRPI</t>
  </si>
  <si>
    <r>
      <rPr>
        <b/>
        <sz val="8"/>
        <rFont val="Arial"/>
        <family val="2"/>
      </rPr>
      <t>Requirements</t>
    </r>
    <r>
      <rPr>
        <sz val="8"/>
        <rFont val="Arial"/>
        <family val="2"/>
      </rPr>
      <t xml:space="preserve"> - the Community Revitalization Plan (CRP):</t>
    </r>
  </si>
  <si>
    <t>Clearly delineates Targeted Area within a Local Government boundary that includes proposed project site?
(For applications in a Metro Pool, the Targeted Area must not encompass the full Local Government Boundary)</t>
  </si>
  <si>
    <t>Page Numbers from Plan</t>
  </si>
  <si>
    <t>&lt;Enter page nbr(s) from Plan&gt;</t>
  </si>
  <si>
    <t>Discusses housing as a goal of the CRP?</t>
  </si>
  <si>
    <t>Includes an assessment of the Targeted Area’s existing infrastructure?</t>
  </si>
  <si>
    <t>d)</t>
  </si>
  <si>
    <t>Designates implementation measures?</t>
  </si>
  <si>
    <t>Additional Points</t>
  </si>
  <si>
    <r>
      <t xml:space="preserve">Local Government solicited </t>
    </r>
    <r>
      <rPr>
        <b/>
        <sz val="8"/>
        <rFont val="Arial"/>
        <family val="2"/>
      </rPr>
      <t>public input and engagement</t>
    </r>
    <r>
      <rPr>
        <sz val="8"/>
        <rFont val="Arial"/>
        <family val="2"/>
      </rPr>
      <t xml:space="preserve"> during CRP creation prior to the day of adoption</t>
    </r>
  </si>
  <si>
    <t>2a)</t>
  </si>
  <si>
    <r>
      <t xml:space="preserve">Local Government demonstrates </t>
    </r>
    <r>
      <rPr>
        <b/>
        <sz val="8"/>
        <rFont val="Arial"/>
        <family val="2"/>
      </rPr>
      <t>financial commitment</t>
    </r>
    <r>
      <rPr>
        <sz val="8"/>
        <rFont val="Arial"/>
        <family val="2"/>
      </rPr>
      <t xml:space="preserve"> to advancing the CRP in the form of funds raised, funds allocated, tax incentives, or local government fee waivers.  Funds raised or allocated are only eligible for this point if the amount raised would be eligible for at least one (1) point under subsection B. Third-Party Capital Investment.</t>
    </r>
  </si>
  <si>
    <t>2b)</t>
  </si>
  <si>
    <r>
      <t xml:space="preserve">The Application site is located within a </t>
    </r>
    <r>
      <rPr>
        <b/>
        <sz val="8"/>
        <rFont val="Arial"/>
        <family val="2"/>
      </rPr>
      <t>Qualified Census Tract</t>
    </r>
    <r>
      <rPr>
        <sz val="8"/>
        <rFont val="Arial"/>
        <family val="2"/>
      </rPr>
      <t xml:space="preserve"> (QCT).</t>
    </r>
  </si>
  <si>
    <t>2c)</t>
  </si>
  <si>
    <t>COMMUNITY TRANSFORMATION</t>
  </si>
  <si>
    <t>&lt;---This box for points, not Y/N.</t>
  </si>
  <si>
    <t>Is the Applicant claiming these points for this section?</t>
  </si>
  <si>
    <t>Criteria for Subsections A and B are covered in the Community Transformation Rubric and Community Transformation Plan Certificate.</t>
  </si>
  <si>
    <r>
      <t xml:space="preserve">Community-Based Team </t>
    </r>
    <r>
      <rPr>
        <sz val="9"/>
        <rFont val="Arial"/>
        <family val="2"/>
      </rPr>
      <t xml:space="preserve">(CBT) </t>
    </r>
    <r>
      <rPr>
        <b/>
        <sz val="9"/>
        <rFont val="Arial"/>
        <family val="2"/>
      </rPr>
      <t>Responsibilities</t>
    </r>
  </si>
  <si>
    <t>Applicant agrees to comply with QAP's CBT responsibility requirements for period between notice of selection and 60 days prior to placed-in-service date?</t>
  </si>
  <si>
    <t>Applicant agrees to comply with QAP's CBT responsibility requirements for period at 60 days prior to placed-in-service date?</t>
  </si>
  <si>
    <t>Applicant agrees to undertake the QAP's CBT monitoring and reporting activities on an annual basis for a period of at least five (5) years following the placed-in-service date?</t>
  </si>
  <si>
    <t>Planning for Community Transformation</t>
  </si>
  <si>
    <r>
      <rPr>
        <b/>
        <sz val="8"/>
        <rFont val="Arial"/>
        <family val="2"/>
      </rPr>
      <t>Community Engagement and Outreach</t>
    </r>
    <r>
      <rPr>
        <sz val="8"/>
        <rFont val="Arial"/>
        <family val="2"/>
      </rPr>
      <t xml:space="preserve"> (CEO).  CBT agrees to complete CEO prior to creation of CT Plan as part of identifying challenges and opportunities for transformation, with the CEO complying with QAP's CEO requirements?</t>
    </r>
  </si>
  <si>
    <r>
      <rPr>
        <b/>
        <sz val="8"/>
        <rFont val="Arial"/>
        <family val="2"/>
      </rPr>
      <t xml:space="preserve">Community Transformation </t>
    </r>
    <r>
      <rPr>
        <sz val="8"/>
        <rFont val="Arial"/>
        <family val="2"/>
      </rPr>
      <t xml:space="preserve">(CT) </t>
    </r>
    <r>
      <rPr>
        <b/>
        <sz val="8"/>
        <rFont val="Arial"/>
        <family val="2"/>
      </rPr>
      <t>Plan</t>
    </r>
    <r>
      <rPr>
        <sz val="8"/>
        <rFont val="Arial"/>
        <family val="2"/>
      </rPr>
      <t xml:space="preserve"> Requirements  The CT Plan will include a full description of all goals, solutions, metrics of success, milestones, resources committed, and entities responsible. It will include QAP's CT Plan requirements?</t>
    </r>
  </si>
  <si>
    <t>Low-Poverty Communities</t>
  </si>
  <si>
    <t>Claiming points for census tract of proposed site or census tract within 0.25-mile radius?</t>
  </si>
  <si>
    <t>If claiming points for census tract other than census tract of proposed site, enter census tract number:</t>
  </si>
  <si>
    <t>Local Health and Economic Indicators</t>
  </si>
  <si>
    <t>Metric</t>
  </si>
  <si>
    <t>Site's Percentiles Per Metric</t>
  </si>
  <si>
    <t>Data Set Used?</t>
  </si>
  <si>
    <t>Life Expectancy</t>
  </si>
  <si>
    <t>Health Insurance Rate</t>
  </si>
  <si>
    <t>Employment</t>
  </si>
  <si>
    <t>Credit:Type</t>
  </si>
  <si>
    <t>(Choose either A or B.)</t>
  </si>
  <si>
    <t>TC Election:</t>
  </si>
  <si>
    <t>Unrestricted Units</t>
  </si>
  <si>
    <t>Application includes at least 10% unrestricted market rate units, and will not make the income averaging minimum set-aside election.</t>
  </si>
  <si>
    <t>Application will make the income averaging minimum set-aside election, and does not include market rate units.</t>
  </si>
  <si>
    <t>DCA Project Nbr:</t>
  </si>
  <si>
    <t>Construction Commencement Date:</t>
  </si>
  <si>
    <t>Indicate appropriate Lookback Period below:</t>
  </si>
  <si>
    <r>
      <t>15 Years</t>
    </r>
    <r>
      <rPr>
        <sz val="9"/>
        <rFont val="Arial"/>
        <family val="2"/>
      </rPr>
      <t xml:space="preserve"> </t>
    </r>
  </si>
  <si>
    <t>Four to Six Years</t>
  </si>
  <si>
    <t>Two to Three Years</t>
  </si>
  <si>
    <t>Transit Proximity</t>
  </si>
  <si>
    <t>Applicants may claim points in A or B. Applicants claiming points in A may also claim a point in C.</t>
  </si>
  <si>
    <t xml:space="preserve">Waiver of Qualified Contract Right </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</si>
  <si>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</si>
  <si>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</si>
  <si>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</si>
  <si>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t xml:space="preserve">Owner commits to submit a plan for resident ownership at the end of the 15-year Compliance Period.  Only single-family styled units are eligible for these points. </t>
  </si>
  <si>
    <t>Waiver of Qualified Contract Right and Right of First Refusal</t>
  </si>
  <si>
    <r>
      <t xml:space="preserve">Applicant commits, </t>
    </r>
    <r>
      <rPr>
        <b/>
        <i/>
        <u/>
        <sz val="8"/>
        <rFont val="Arial"/>
        <family val="2"/>
      </rPr>
      <t>in addition</t>
    </r>
    <r>
      <rPr>
        <sz val="8"/>
        <rFont val="Arial"/>
        <family val="2"/>
      </rPr>
      <t xml:space="preserve"> to the commitment in (A). Waiver of Qualified Contract Right, to provide a right of first refusal to a qualified nonprofit organization or a local housing authority or a wholly-owned subsidiary of such organization if the Owner elects to transfer all or some of his/her interest in the property during the Compliance and Extended Use Period in accordance with DCA requirements and Section 42(i)(7) of the Code.</t>
    </r>
  </si>
  <si>
    <t>All applicants are eligible to receive points under this category, regardless of whether the sponsor is a nonprofit or a for-profit organization. Additionally, ownership transfers for the purposes of resyndication will not trigger the right of first refusal.</t>
  </si>
  <si>
    <t>INTERNET ACCESS</t>
  </si>
  <si>
    <t>Applicant commits to provide free high-speed internet/broadband service for each unit</t>
  </si>
  <si>
    <t>Applicant commits to provide free high-speed internet/broadband service for each unit and such service will be Wi-Fi.</t>
  </si>
  <si>
    <r>
      <t xml:space="preserve">If claiming points for </t>
    </r>
    <r>
      <rPr>
        <b/>
        <i/>
        <u/>
        <sz val="8"/>
        <rFont val="Arial Narrow"/>
        <family val="2"/>
      </rPr>
      <t>either</t>
    </r>
    <r>
      <rPr>
        <sz val="8"/>
        <rFont val="Arial Narrow"/>
        <family val="2"/>
      </rPr>
      <t xml:space="preserve"> option (A or B) under this scoring section, describe estimate derivation and evidence provided in the Application Binder supporting internet operations costs reflected in "Revenues &amp; Expenses" tab of this core application.</t>
    </r>
  </si>
  <si>
    <t>MINORITY- AND WOMEN-OWNED BUSINESS ENGAGEMENT</t>
  </si>
  <si>
    <t>Applicants may claim points in either A or B.</t>
  </si>
  <si>
    <t>For purposes of this section, a Qualified Business (QB) is a certified minority- or women-owned business.  TBD is acceptable if selecting Option A below.</t>
  </si>
  <si>
    <t>Name of QB:</t>
  </si>
  <si>
    <t>NAICS Code for proposed QB:</t>
  </si>
  <si>
    <t>Applicable Certification of QB:</t>
  </si>
  <si>
    <t>Select Certification</t>
  </si>
  <si>
    <t>Requirements:</t>
  </si>
  <si>
    <t>Is the QB certified under one of the programs approved and posted to the DCA website?</t>
  </si>
  <si>
    <t>Does the QB conduct business in housing or real estate, as evidenced by the respective NAICS Codes?</t>
  </si>
  <si>
    <t>The QB is not a Related Party to an individual or entity that meets the requirements under Requirements for Experience (Certifying Entity)?</t>
  </si>
  <si>
    <t>Engagement Commitment and Reporting</t>
  </si>
  <si>
    <t>Applicant commits to:</t>
  </si>
  <si>
    <t>Engage QBs in the development or operation of the proposed property in amounts equal to approximately 5% of total construction hard costs as certified by the Independent Auditor Report in the Final Allocation Application</t>
  </si>
  <si>
    <t>Submit a report with Final Allocation Application describing these efforts. This report would detail successes, obstacles, and other notes pertaining to the applicant’s attempts to follow through on this commitment</t>
  </si>
  <si>
    <t>Project Team Eligibility</t>
  </si>
  <si>
    <t>The following additional requirements are met?</t>
  </si>
  <si>
    <t>QB has a minimum 20% ownership in the Developer or General Partner entities</t>
  </si>
  <si>
    <t>QB receives a percentage of the Developer Fee greater than or equal to its ownership interest percentage.</t>
  </si>
  <si>
    <t>Experience requirements:</t>
  </si>
  <si>
    <t>QB has insufficient experience to qualify under Requirements for Experience (Certifying Entity).</t>
  </si>
  <si>
    <t>QB receives Probationary approval during the Pre-Application process (see Capacity Building for Industry Professionals (Probationary Participation))</t>
  </si>
  <si>
    <r>
      <t xml:space="preserve">If the QB partners with an entity that meets the requirements under Requirements for Experience (Certifying Entity) for the Application, </t>
    </r>
    <r>
      <rPr>
        <b/>
        <i/>
        <u/>
        <sz val="8"/>
        <rFont val="Arial"/>
        <family val="2"/>
      </rPr>
      <t>the Applicant hereby certifies</t>
    </r>
    <r>
      <rPr>
        <sz val="8"/>
        <rFont val="Arial"/>
        <family val="2"/>
      </rPr>
      <t xml:space="preserve"> that QB will be demonstratively and actively engaged in the oversight, management, and execution of the proposed property.</t>
    </r>
  </si>
  <si>
    <t>EXCEPTIONAL NONPROFIT/PUBLIC HOUSING AUTHORITY</t>
  </si>
  <si>
    <t>Is the Applicant a nonprofit or PHA that received points under this section for a 9% Credits application that was awarded in the prior year competitive round?</t>
  </si>
  <si>
    <t>Exceptional Nonprofit</t>
  </si>
  <si>
    <t>Nonprofit Setaside selection:</t>
  </si>
  <si>
    <t>a)  Is the applicant claiming these points for this project?</t>
  </si>
  <si>
    <t>1a.</t>
  </si>
  <si>
    <t>b)  Was the Nonprofit awarded points in this category in the 2020 or 2021 competitive round?</t>
  </si>
  <si>
    <t>1b.</t>
  </si>
  <si>
    <t>Is the nonprofit the same entity that meets requirements for the Nonprofit Set Aside?</t>
  </si>
  <si>
    <t>Is this the only application from this nonprofit requesting these points in this funding round?</t>
  </si>
  <si>
    <t>Is the NonProfit/PHA Assessment form and the required documentation included in the appropriate tab of the application?</t>
  </si>
  <si>
    <t>Exceptional Public Housing Authority</t>
  </si>
  <si>
    <t>b) Was the PHA awarded points in this category in the 2020 or 2021 competitive round?</t>
  </si>
  <si>
    <t>Is this the only application from this Project Team requesting these points in this funding round?</t>
  </si>
  <si>
    <t>Enter GICH Community Name</t>
  </si>
  <si>
    <r>
      <t xml:space="preserve">Pre-Requisites: Indicate that the following criteria are met for </t>
    </r>
    <r>
      <rPr>
        <b/>
        <i/>
        <sz val="8"/>
        <rFont val="Arial"/>
        <family val="2"/>
      </rPr>
      <t>all</t>
    </r>
    <r>
      <rPr>
        <b/>
        <sz val="8"/>
        <rFont val="Arial"/>
        <family val="2"/>
      </rPr>
      <t xml:space="preserve"> permanent sources of funds used:</t>
    </r>
  </si>
  <si>
    <t>Funding or assistance provided below is binding and unconditional except as set forth in this section.</t>
  </si>
  <si>
    <t>Resources will be utilized if the project is selected for funding by DCA.</t>
  </si>
  <si>
    <t>Loans are for both construction and permanent financing phases.</t>
  </si>
  <si>
    <t>Loans are for a minimum period of 10 years at or below long term monthly AFR. DCA may include any fees in the calculation of the overall interest rate. Commitment or award documentation meets the terms and conditions as applicable specified in Appendix I, Threshold Criteria, Section I (Permanent financing, equity, deferred developer fee and other financing Commitment).</t>
  </si>
  <si>
    <t xml:space="preserve">Does any project participant or affiliate guarantee, fund, advance, or otherwise provide direct or indirect funding for the purpose of this Application claiming points in </t>
  </si>
  <si>
    <t>this category?</t>
  </si>
  <si>
    <r>
      <rPr>
        <b/>
        <sz val="8"/>
        <rFont val="Arial"/>
        <family val="2"/>
      </rPr>
      <t>1.</t>
    </r>
    <r>
      <rPr>
        <sz val="8"/>
        <rFont val="Arial"/>
        <family val="2"/>
      </rPr>
      <t xml:space="preserve"> a)</t>
    </r>
  </si>
  <si>
    <t>HOME Funds administered by an entity other than DCA</t>
  </si>
  <si>
    <t>g)</t>
  </si>
  <si>
    <t>h)</t>
  </si>
  <si>
    <r>
      <t>TCAP loans passed through a Qualified CDFI revolving loan fund</t>
    </r>
    <r>
      <rPr>
        <sz val="8"/>
        <color rgb="FFFF0000"/>
        <rFont val="Arial"/>
        <family val="2"/>
      </rPr>
      <t>*</t>
    </r>
  </si>
  <si>
    <t>j)</t>
  </si>
  <si>
    <t>Foundation grants, or loans based from grant proceeds that meet QAP requiremts</t>
  </si>
  <si>
    <t>k)</t>
  </si>
  <si>
    <r>
      <t xml:space="preserve">Other Federal, State, or local grant funds or loans </t>
    </r>
    <r>
      <rPr>
        <sz val="6"/>
        <rFont val="Arial"/>
        <family val="2"/>
      </rPr>
      <t>(Loans originated by conventional banks are ineligible)</t>
    </r>
  </si>
  <si>
    <r>
      <rPr>
        <b/>
        <sz val="7"/>
        <color rgb="FFFF0000"/>
        <rFont val="Arial Narrow"/>
        <family val="2"/>
      </rPr>
      <t>*</t>
    </r>
    <r>
      <rPr>
        <sz val="7"/>
        <rFont val="Arial Narrow"/>
        <family val="2"/>
      </rPr>
      <t xml:space="preserve"> Only have to meet the first two pre-requisites listed above.</t>
    </r>
  </si>
  <si>
    <t>Long-term Ground Lease</t>
  </si>
  <si>
    <t>Application receives a term ground lease of no less than 45-years from a local public housing authority, government entity, or community land trust for no more than $100 per year and no other land costs?  Leases can only be considered for points under this sub-section.</t>
  </si>
  <si>
    <t>No funds other than what is disclosed in the Application have been or will be paid for the lease either directly or indirectly?</t>
  </si>
  <si>
    <t>The Lessor is willing to execute the tax credit Land Use Restriction Agreement in order to qualify for points in this section?</t>
  </si>
  <si>
    <r>
      <t xml:space="preserve">Choose either </t>
    </r>
    <r>
      <rPr>
        <b/>
        <i/>
        <u/>
        <sz val="8"/>
        <rFont val="Arial"/>
        <family val="2"/>
      </rPr>
      <t>A or B.</t>
    </r>
  </si>
  <si>
    <t>Historic Credit Equity:</t>
  </si>
  <si>
    <r>
      <t xml:space="preserve">The proposed development includes historic tax credit proceeds </t>
    </r>
    <r>
      <rPr>
        <b/>
        <i/>
        <u/>
        <sz val="8"/>
        <rFont val="Arial"/>
        <family val="2"/>
      </rPr>
      <t>and</t>
    </r>
    <r>
      <rPr>
        <sz val="8"/>
        <rFont val="Arial"/>
        <family val="2"/>
      </rPr>
      <t xml:space="preserve"> is an adaptive reuse of a certified historic structure (either listed individually on the National Register, or as a contributing structure in a National Register Historic District) or is deemed historic via an approved NPS Historic Preservation Certification Application Part 1- Evaluation of Significance to have a preliminary determination of listing on the National Register. The building or buildings being adaptively reused must constitute at least </t>
    </r>
    <r>
      <rPr>
        <b/>
        <sz val="8"/>
        <color rgb="FFFF0000"/>
        <rFont val="Arial"/>
        <family val="2"/>
      </rPr>
      <t>30%</t>
    </r>
    <r>
      <rPr>
        <sz val="8"/>
        <color rgb="FFFF0000"/>
        <rFont val="Arial"/>
        <family val="2"/>
      </rPr>
      <t xml:space="preserve"> </t>
    </r>
    <r>
      <rPr>
        <sz val="8"/>
        <rFont val="Arial"/>
        <family val="2"/>
      </rPr>
      <t>of the total units.</t>
    </r>
  </si>
  <si>
    <r>
      <t xml:space="preserve">Hist </t>
    </r>
    <r>
      <rPr>
        <i/>
        <sz val="8"/>
        <color rgb="FF0000FF"/>
        <rFont val="Arial Narrow"/>
        <family val="2"/>
      </rPr>
      <t>Adaptive Reuse</t>
    </r>
    <r>
      <rPr>
        <sz val="8"/>
        <color rgb="FF0000FF"/>
        <rFont val="Arial Narrow"/>
        <family val="2"/>
      </rPr>
      <t xml:space="preserve"> Units:</t>
    </r>
  </si>
  <si>
    <t xml:space="preserve">Total Units </t>
  </si>
  <si>
    <t>% of Total</t>
  </si>
  <si>
    <r>
      <rPr>
        <b/>
        <sz val="7"/>
        <color rgb="FFFF0000"/>
        <rFont val="Arial Narrow"/>
        <family val="2"/>
      </rPr>
      <t>OR</t>
    </r>
    <r>
      <rPr>
        <b/>
        <sz val="9"/>
        <rFont val="Arial"/>
        <family val="2"/>
      </rPr>
      <t xml:space="preserve"> B.</t>
    </r>
  </si>
  <si>
    <r>
      <t xml:space="preserve">The property is either a certified historic structure or is deemed historic (as both are defined above). The historic structure must house at least </t>
    </r>
    <r>
      <rPr>
        <b/>
        <sz val="8"/>
        <color rgb="FFFF0000"/>
        <rFont val="Arial"/>
        <family val="2"/>
      </rPr>
      <t>50%</t>
    </r>
    <r>
      <rPr>
        <sz val="8"/>
        <rFont val="Arial"/>
        <family val="2"/>
      </rPr>
      <t xml:space="preserve"> of the total units.</t>
    </r>
  </si>
  <si>
    <t>Historic Units</t>
  </si>
  <si>
    <t>Additions</t>
  </si>
  <si>
    <t>Applicants may claim points in one of A, B, or C.  Applicants may claim points in D alone or in addition to A, B, or C.</t>
  </si>
  <si>
    <t>DCA PBRA Agreement</t>
  </si>
  <si>
    <t>Non-DCA Supportive Housing PBRA</t>
  </si>
  <si>
    <t>DCA Section 811 Commitments: Prior Performance</t>
  </si>
  <si>
    <t>OCCUPANCY</t>
  </si>
  <si>
    <t>AFFORDABILITY LOSS RISK</t>
  </si>
  <si>
    <t>PBRA CONTRACTS</t>
  </si>
  <si>
    <t>PROPERTY RESTRICTIONS AND AGE</t>
  </si>
  <si>
    <r>
      <rPr>
        <b/>
        <sz val="9"/>
        <color rgb="FFFF0000"/>
        <rFont val="Arial Narrow"/>
        <family val="2"/>
      </rPr>
      <t xml:space="preserve">Problem with Score Total? </t>
    </r>
    <r>
      <rPr>
        <sz val="8"/>
        <color rgb="FFFF0000"/>
        <rFont val="Arial Narrow"/>
        <family val="2"/>
      </rPr>
      <t xml:space="preserve"> 
1.) Check for errant text entries (e.g., Yes/No, blank spaces, etc.) in blue boxes intended for numerical points (look for note to the right in red specifying the box is for points).  
2.) If problem persists, then go to File –&gt; Options (at very bottom) –&gt; Formulas –&gt; Calculation Options –&gt; Place a check mark in the Enable Iterative Calculations box, then Save, Close, and re-open.  
3.)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</si>
  <si>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8"/>
        <rFont val="Arial"/>
        <family val="2"/>
      </rPr>
      <t>Please avoid using space lines between paragraphs.  Use 5-space indentation instead</t>
    </r>
    <r>
      <rPr>
        <i/>
        <sz val="8"/>
        <rFont val="Arial"/>
        <family val="2"/>
      </rPr>
      <t>.</t>
    </r>
  </si>
  <si>
    <t>EXECUTIVE SUMMARY</t>
  </si>
  <si>
    <t>DCA HOME/LIHTC</t>
  </si>
  <si>
    <t>1.  Program Overview</t>
  </si>
  <si>
    <t>The FY 2021 Consolidated Plan of the State of Georgia, the State of Georgia Executive Summary and Annual Action Plan for FFY 2021 Consolidated Funds and the 2021 State Qualified Allocation Plan outline the State’s mandate to provide safe, decent, sanitary, affordable housing for Georgia’s low-and very-low-income citizens and the application of state and federally-funded resources to that end.</t>
  </si>
  <si>
    <t>2.  Borrower</t>
  </si>
  <si>
    <t>3.  DCA Loan Term</t>
  </si>
  <si>
    <t xml:space="preserve">     A. Type of Financing</t>
  </si>
  <si>
    <t>Construction/Permanent HOME Funds</t>
  </si>
  <si>
    <t xml:space="preserve">     B. Amount:</t>
  </si>
  <si>
    <t xml:space="preserve">     C. Number of Units:</t>
  </si>
  <si>
    <t>4.  Other Sources of Funds</t>
  </si>
  <si>
    <t>5.  Closing Conditions</t>
  </si>
  <si>
    <t xml:space="preserve"> </t>
  </si>
  <si>
    <t>6.  Approval and Authorization</t>
  </si>
  <si>
    <t>Division Director</t>
  </si>
  <si>
    <t>Deputy Commissioner</t>
  </si>
  <si>
    <t>SUBSIDY LAYERING MEMORANDUM</t>
  </si>
  <si>
    <t>TO:</t>
  </si>
  <si>
    <t>Loan Committee</t>
  </si>
  <si>
    <t>FROM:</t>
  </si>
  <si>
    <t>(Underwriter)</t>
  </si>
  <si>
    <t>TRANSMITTAL DATE:</t>
  </si>
  <si>
    <t>(date final draft complete)</t>
  </si>
  <si>
    <t>CONSIDERATION DATE:</t>
  </si>
  <si>
    <t>(date of Loan Committee meeting)</t>
  </si>
  <si>
    <t>SUBJECT:</t>
  </si>
  <si>
    <t>Project #</t>
  </si>
  <si>
    <t>City / County</t>
  </si>
  <si>
    <t>DCA HOME Amount</t>
  </si>
  <si>
    <t># Units: Total / LI / HOME</t>
  </si>
  <si>
    <t>Tenancy</t>
  </si>
  <si>
    <t>Rural or Urban</t>
  </si>
  <si>
    <t>CHDO Setaside</t>
  </si>
  <si>
    <t>Underwriter Remarks:</t>
  </si>
  <si>
    <t xml:space="preserve">(PROJECT NAME), located in (CITY), GA., is the proposed (substantial rehabilitation / new construction) of a # -Unit (Describe Project) project (additional comments about project).  (PBRA? Subsidies?).  Additionally, financing for the proposed development will include (describe general financing structure) .   In addition to (describe energy efficiency) the EarthCraft Building designation for incorporating green and sustainable building components, the project will offer amenities that include [see threshold and scoring] a (furnished library) and (exercise facility); (equipped computer center) and (playground) along with a (community building for residents).  </t>
  </si>
  <si>
    <r>
      <t xml:space="preserve">1.) Make sure each section references specifically the subject project; revise as necessary to do so; 
2.) Spell check prior to turning in for review and 
3.) Check to be sure that all remarks reference correct figures (mostly shown to the right); </t>
    </r>
    <r>
      <rPr>
        <i/>
        <u/>
        <sz val="11"/>
        <rFont val="Arial"/>
        <family val="2"/>
      </rPr>
      <t>proofread</t>
    </r>
  </si>
  <si>
    <t>Closing Conditions:</t>
  </si>
  <si>
    <t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t>
  </si>
  <si>
    <t>Environmental Conditions:</t>
  </si>
  <si>
    <t>Policy Exception:</t>
  </si>
  <si>
    <t>DCA's 2024 Qualified Allocation Plan requires [state policy with QAP section reference; state exception requested; state justification for recommendation]</t>
  </si>
  <si>
    <t>Applicant/Organizational Structure:</t>
  </si>
  <si>
    <r>
      <rPr>
        <b/>
        <sz val="11"/>
        <rFont val="Arial"/>
        <family val="2"/>
      </rPr>
      <t>Ownership entity</t>
    </r>
    <r>
      <rPr>
        <sz val="11"/>
        <rFont val="Arial"/>
        <family val="2"/>
      </rPr>
      <t xml:space="preserve">:  (NAME) LP, a Georgia Limited Partnership, will be the ownership entity for the proposed project. </t>
    </r>
  </si>
  <si>
    <r>
      <rPr>
        <b/>
        <sz val="11"/>
        <rFont val="Arial"/>
        <family val="2"/>
      </rPr>
      <t>General Partner</t>
    </r>
    <r>
      <rPr>
        <sz val="11"/>
        <rFont val="Arial"/>
        <family val="2"/>
      </rPr>
      <t xml:space="preserve">: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t>
    </r>
  </si>
  <si>
    <r>
      <rPr>
        <b/>
        <sz val="11"/>
        <rFont val="Arial"/>
        <family val="2"/>
      </rPr>
      <t>Limited Partner</t>
    </r>
    <r>
      <rPr>
        <sz val="11"/>
        <rFont val="Arial"/>
        <family val="2"/>
      </rPr>
      <t>: The Limited Partner entity for the proposed development is (NAME). (NAME) will have a (X%) ownership in Profits and Losses in addition to a (X%)% interest in the ownership entity.   [Detail the state equity partner if it is different from the federal partner]</t>
    </r>
  </si>
  <si>
    <r>
      <rPr>
        <b/>
        <sz val="11"/>
        <rFont val="Arial"/>
        <family val="2"/>
      </rPr>
      <t>Developer:</t>
    </r>
    <r>
      <rPr>
        <sz val="11"/>
        <rFont val="Arial"/>
        <family val="2"/>
      </rPr>
      <t xml:space="preserve"> (DEVELOPMENT ENTITY) is wholly-owned by (NAMES).  [State whether or not there is any identity of interest between the developer and the contractor or any other team members.</t>
    </r>
  </si>
  <si>
    <r>
      <rPr>
        <b/>
        <sz val="11"/>
        <rFont val="Arial"/>
        <family val="2"/>
      </rPr>
      <t xml:space="preserve">IF A CHDO PROJECT ONLY: </t>
    </r>
    <r>
      <rPr>
        <sz val="11"/>
        <rFont val="Arial"/>
        <family val="2"/>
      </rPr>
      <t>The office of Housing Policy has reviewed and approved CHDO certification pursuant to §92.2 definition of CHDO and staffing requirement.  Also, the underwriting review confirms the developers’ capacity and fiscal soundness to own develop or sponsor housing.</t>
    </r>
    <r>
      <rPr>
        <b/>
        <sz val="11"/>
        <color rgb="FFFF0000"/>
        <rFont val="Arial"/>
        <family val="2"/>
      </rPr>
      <t xml:space="preserve">  </t>
    </r>
  </si>
  <si>
    <r>
      <rPr>
        <b/>
        <sz val="11"/>
        <rFont val="Arial"/>
        <family val="2"/>
      </rPr>
      <t>Property Manager:</t>
    </r>
    <r>
      <rPr>
        <sz val="11"/>
        <rFont val="Arial"/>
        <family val="2"/>
      </rPr>
      <t xml:space="preserve"> (NAME), a (STATE INCORPORATED) Corporation, will serve as the Management firm for the proposed development. (NAME) is its Principal Director. (NAME) has been approved by DCA as an experienced Management Company and currently has no outstanding compliance issues. </t>
    </r>
  </si>
  <si>
    <r>
      <rPr>
        <b/>
        <sz val="11"/>
        <rFont val="Arial"/>
        <family val="2"/>
      </rPr>
      <t>Contractor:</t>
    </r>
    <r>
      <rPr>
        <sz val="11"/>
        <rFont val="Arial"/>
        <family val="2"/>
      </rPr>
      <t xml:space="preserve"> (NAME) will serve as the Contractor for the proposed rehabilitation. The Contractor is an experienced contractor with DCA and has extensive experience constructing Low Income Housing Tax Credit projects in the state of Georgia. DCA has reviewed the capacity and performance of the Contractor and determined that the Contractor meets its guidelines.     </t>
    </r>
  </si>
  <si>
    <t>Other Sources of Funds:</t>
  </si>
  <si>
    <t>Max Dev Fee Bef Conv</t>
  </si>
  <si>
    <t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t>
  </si>
  <si>
    <t>Fed Equity Contrib</t>
  </si>
  <si>
    <t>Fed Credit Amt</t>
  </si>
  <si>
    <t>Fed Equity Factor</t>
  </si>
  <si>
    <t>St Equity Contrib</t>
  </si>
  <si>
    <t>St Credit Amt</t>
  </si>
  <si>
    <t>St Equity Factor</t>
  </si>
  <si>
    <t>Appraisal:</t>
  </si>
  <si>
    <t xml:space="preserve">An appraisal was commissioned by DCA as part of its underwriting review process for projects awarded HOME funds in the 2024 Competitive Round. (APPRAISAL FIRM) conducted an appraisal on (DATE). The appraiser estimated the market value of the property at stabilization including the value of the tax credits and favorable HOME financing to be ($X.XX). This figure includes a valuation of the (# OF ACRES) acre tract of land comprising the subject site of $X.XX.  The estimated value at loan maturity is $XXX, which **exceeds the estimated balloon balance due of $XXX.
USE ONLY IF REHAB: The appraiser estimated the market value of the property at stabilization including the value of the tax credits and favorable HOME financing to be ($X.XX). Moreover, the appraiser concluded that the "As-Is As Encumbered" value is ($X.XX).  The total hard cost of this project does not exceed 90% of the as completed unencumbered appraised value of the property. </t>
  </si>
  <si>
    <t>Balloon balance, be sure maturity year is correct from proforma.</t>
  </si>
  <si>
    <t>Market Study:</t>
  </si>
  <si>
    <t xml:space="preserve">(COMPANY NAME) was engaged by Owner to prepare an analysis of the [tenancy] housing market in the (CITY, COUNTY NAME) County market area.  The Analyst concluded a sufficient market demand for the number and configuration of units proposed in the subject market. The Market Study was reviewed and approved by DCA during the threshold scoring process.    </t>
  </si>
  <si>
    <t xml:space="preserve">DCA has determined that there is sufficient need and favorable demand for the project as proposed. </t>
  </si>
  <si>
    <t>Environmental:</t>
  </si>
  <si>
    <t xml:space="preserve">All environmental requirements have been met and approved.  As the responsible entity (RE) referred to in 24 CFR § 58.43, Environmental Review Procedures for Entities Assuming HUD Responsibilities, DCA was responsible for undertaking the environmental review of the project. The Environmental Clearance Letter dated (DATE OF NEPA RELEASE) is included in the project file.    The DCA HOME/HUD Environmental Workbook has also been reviewed and included in the project documentation.  DCA has reviewed all relevant information and determined that the project meets all program requirements for Environmental approval. </t>
  </si>
  <si>
    <t>Architectural Review:</t>
  </si>
  <si>
    <t>The Office of Housing Finance Architect has reviewed and approved all required documentation including the proposed design, plans, specification, the construction cost budget and the construction contract.   All DCA design Architectural Standards have been met.  All proposed costs have been examined and determined to be reasonable.</t>
  </si>
  <si>
    <t>General Contractor Approval</t>
  </si>
  <si>
    <t>DCA has reviewed the capacity, experience and finances of the proposed contractor and determined that the contractor has the capacity to complete the project.  DCA has also reviewed the HUD debarred list and determined that the general contractor is eligible to participate in federal funding.  DCA's Affordable Housing Program Manager and Construction Services Manager have approved the general contractor.</t>
  </si>
  <si>
    <t>Completion</t>
  </si>
  <si>
    <t>The completion date pursuant to the construction contract is 365 days from the date of commencement.  Each building must be placed in service by December 31, 2026.</t>
  </si>
  <si>
    <t>Subsidy Layering Review:</t>
  </si>
  <si>
    <t>A HOME Subsidy Layering Review was conducted as a part of the underwriting analysis to ensure that only the amount of resources necessary to provide affordable housing were invested in this project.  The review concluded that the project is in compliance with HUD and DCA Subsidy Layering Policy and Guidance requirements.  The review consisted of, but is not limited to, a review of the Sources and Uses and a determination that the costs are reasonable; an assessment, including but not limited to, the current market demand in the neighborhood in which the project will be located, the experience of the developer, the financial capacity of the developer, and firm written financial commitments for the project.</t>
  </si>
  <si>
    <t>92.250(b)(1) and (2)</t>
  </si>
  <si>
    <t>Rates of Return:</t>
  </si>
  <si>
    <t>The review of the Project income and expenses statement, rent levels, market vacancies, operating expenses, estimated after tax benefits, and estimated rate of return on the equity investment (IRR%) indicate that the costs are normal and customary for a project of this type and are reasonable in terms of industry standards.  DCA has evaluated the project in accordance with guidelines that it has adopted for determining a reasonable level of profit or return on owner's or developer's investment in the project, and has limited the amount of HOME funds to that amount necessary to provide quality affordable housing that is financially viable for the longer of the HOME loan term or the period of affordability.</t>
  </si>
  <si>
    <t>92.250(b)</t>
  </si>
  <si>
    <t>IRR</t>
  </si>
  <si>
    <t>Compliance:</t>
  </si>
  <si>
    <t xml:space="preserve">The Compliance Section has determined that the applicant has complied with all applicable federal regulations, including environmental, Site and Neighborhood Standards.  The Minority/Women Business Enterprise outreach, and Affirmative Fair Housing Marketing Plans will be reviewed on an ongoing basis during lease up and as deemed necessary by the Compliance Department.
The Compliance Section, which is charged with compliance monitoring of the HOME funded projects, has determined that each member of the proposed development team (owner, developer, property manager) is in compliance with all DCA funded programs.
</t>
  </si>
  <si>
    <t>Preconstruction Conference</t>
  </si>
  <si>
    <t>A Preconstruction Conference will be conducted to include the owner, the contractor and representatives from DCA's federal compliance, legal affairs, construction management and underwriting departments.  All reporting requirements, applicable regulations and  processes will be discussed in detail at that time.  The owner and contractor will provide a construction time line and "flow of funds" chart, to be reviewed by DCA, and executed as evidence that they acknowledge that delays within the control of the owner and contractor will be considered when rating owner/contractors performance for future competitive rounds.  DCA will determine that all parties to the development are in full understanding of their responsibilities.</t>
  </si>
  <si>
    <t>Proposed Loan Structure:</t>
  </si>
  <si>
    <t>The proposed HOME construction/permanent loan in the amount of ($X.XX) will be a (Irregular Payment Stream/FULLY AMORTIZING) loan amortized over a (# OF YEARS)-year term.  The construction loan will be at 0% interest with no scheduled payments.  Upon conversion, the permanent loan will have an interest rate of (X%) per annum. The (projected cash flow) repayment schedule is shown in the attached "Exhibit B." OPTIONAL:  (Accordingly, the borrower will deposit one-half of the cash flow after the payment of secured debt service into an interest bearing reserve account. The funds held in the reserve account may be used for principal reduction of the HOME loan or capital improvements.)</t>
  </si>
  <si>
    <t>balloon balance</t>
  </si>
  <si>
    <t>Other Reserve Requirements:</t>
  </si>
  <si>
    <t>Include any reserve requirements; explain any reserves far in excess of 6 month ODR, 3 mo lease up, 1 year RR, 6 mo T&amp;I standards.</t>
  </si>
  <si>
    <t>Comments/Conditions:</t>
  </si>
  <si>
    <t>Borrower shall comply with all DCA requirements, statutory requirements and program requirements, as amended, and any subsequent guidance or regulations from HUD relating to the HOME Rental Housing Loan Program.</t>
  </si>
  <si>
    <t>Approval:</t>
  </si>
  <si>
    <t>The Project and Loan Review Committee approves the proposed loan</t>
  </si>
  <si>
    <t>as presented; or</t>
  </si>
  <si>
    <t>subject to any conditions listed here in</t>
  </si>
  <si>
    <t>and is attested by the undersigned.</t>
  </si>
  <si>
    <t>Director, Office of Housing Finance</t>
  </si>
  <si>
    <t>Director, Housing Finance Division</t>
  </si>
  <si>
    <t>Date:</t>
  </si>
  <si>
    <t>Office of Housing Finance and Development</t>
  </si>
  <si>
    <t>DATE</t>
  </si>
  <si>
    <t>PRIMARY ACTIVITY</t>
  </si>
  <si>
    <t>PROJECT NAME &amp; NUMBER</t>
  </si>
  <si>
    <t>CITY/COUNTY</t>
  </si>
  <si>
    <t>PROGRAM(S)</t>
  </si>
  <si>
    <t>OWNER</t>
  </si>
  <si>
    <t>MANAGING GENERAL PARTNER</t>
  </si>
  <si>
    <t>LTD P'TNER (Fed/State)</t>
  </si>
  <si>
    <t>OTHER GENERAL PARTNER</t>
  </si>
  <si>
    <t>CONTRACTOR</t>
  </si>
  <si>
    <t>MANAGEMENT CO</t>
  </si>
  <si>
    <t>TOTAL UNITS/ LI UNITS</t>
  </si>
  <si>
    <t>TOTAL  BUILDINGS / SF</t>
  </si>
  <si>
    <t>TENANCY</t>
  </si>
  <si>
    <t>STYLE</t>
  </si>
  <si>
    <t>Check rent chart &amp; select below</t>
  </si>
  <si>
    <t>UTILITIES</t>
  </si>
  <si>
    <t>RURAL or URBAN</t>
  </si>
  <si>
    <r>
      <t xml:space="preserve">SETASIDES:   </t>
    </r>
    <r>
      <rPr>
        <b/>
        <i/>
        <sz val="12"/>
        <rFont val="Arial"/>
        <family val="2"/>
      </rPr>
      <t>Non-Profit</t>
    </r>
  </si>
  <si>
    <t>TOTAL DEVELOPMENT COSTS (TDC)</t>
  </si>
  <si>
    <r>
      <t xml:space="preserve">DCA investment / </t>
    </r>
    <r>
      <rPr>
        <b/>
        <i/>
        <sz val="12"/>
        <rFont val="Arial"/>
        <family val="2"/>
      </rPr>
      <t>TDC</t>
    </r>
  </si>
  <si>
    <r>
      <t>TOTAL HARD COSTS</t>
    </r>
    <r>
      <rPr>
        <b/>
        <sz val="9"/>
        <rFont val="Arial"/>
        <family val="2"/>
      </rPr>
      <t xml:space="preserve"> (TCHC)</t>
    </r>
  </si>
  <si>
    <r>
      <t xml:space="preserve">DCA Investment / </t>
    </r>
    <r>
      <rPr>
        <b/>
        <i/>
        <sz val="12"/>
        <rFont val="Arial"/>
        <family val="2"/>
      </rPr>
      <t>THC</t>
    </r>
  </si>
  <si>
    <t>PER UNIT</t>
  </si>
  <si>
    <t>PER SQUARE FOOT</t>
  </si>
  <si>
    <t>RECOMMENDED FINANCING</t>
  </si>
  <si>
    <t>Lien position</t>
  </si>
  <si>
    <t>DCA LOAN(S):</t>
  </si>
  <si>
    <t>First</t>
  </si>
  <si>
    <t>Restricted Market Value @ Stabilization:</t>
  </si>
  <si>
    <t>DCA Loan(s)/Restricted Market Value:</t>
  </si>
  <si>
    <t>Unrestricted Market Value @ Stabilization:</t>
  </si>
  <si>
    <t>TOTAL DCA INVESTMENT:</t>
  </si>
  <si>
    <t>DCA Loan(s)/Unrestricted Mkt Value:</t>
  </si>
  <si>
    <t>TAX CREDIT PROCEEDS:</t>
  </si>
  <si>
    <t>OTHER MTG DEBT:</t>
  </si>
  <si>
    <t>Unrestricted Market Value @ Maturity</t>
  </si>
  <si>
    <t>*DCA Loan Bal.@ Maturity/Unrestr. Value</t>
  </si>
  <si>
    <t>TOTAL OTHER DEBT:</t>
  </si>
  <si>
    <t>Total Loans/Restricted Value @Stabilization:</t>
  </si>
  <si>
    <t>TOTAL SECURED DEBT:</t>
  </si>
  <si>
    <t>*Total Loans/Unrestricted Value @ Maturity</t>
  </si>
  <si>
    <t>TOTAL DEBT/TOTAL COST:</t>
  </si>
  <si>
    <t>TOTAL DEBT/HARD COST:</t>
  </si>
  <si>
    <t>INVESTOR EQUITY/TOTAL COST:</t>
  </si>
  <si>
    <t>SENSITIVITY ANALYSIS:</t>
  </si>
  <si>
    <t>UNDERWRITING CUSHION:</t>
  </si>
  <si>
    <t>YR 1 as underwritten:</t>
  </si>
  <si>
    <t>Change in vacancy to:</t>
  </si>
  <si>
    <t>Tax increase by:</t>
  </si>
  <si>
    <t>Utilities incr by:</t>
  </si>
  <si>
    <t>high impact test:</t>
  </si>
  <si>
    <t>Gross Potential Rents</t>
  </si>
  <si>
    <t>Ancillary</t>
  </si>
  <si>
    <t>Vacancy Loss- 7%</t>
  </si>
  <si>
    <t>Other Income</t>
  </si>
  <si>
    <t>Effective Gross Income</t>
  </si>
  <si>
    <t>Administration</t>
  </si>
  <si>
    <t>Maintenance</t>
  </si>
  <si>
    <t>Taxes</t>
  </si>
  <si>
    <t>Insurance</t>
  </si>
  <si>
    <t>Total Operating Expense</t>
  </si>
  <si>
    <t>Net Operating Income</t>
  </si>
  <si>
    <t>Replacement Reserves</t>
  </si>
  <si>
    <t>Management Fee</t>
  </si>
  <si>
    <t>Adjusted NOI</t>
  </si>
  <si>
    <t>Debt Coverage Ratio</t>
  </si>
  <si>
    <t>Operating Exp Cushion</t>
  </si>
  <si>
    <t>Debt Service</t>
  </si>
  <si>
    <t>Serviceable Debt</t>
  </si>
  <si>
    <t>(based on consistent debt service; year 1 projection)</t>
  </si>
  <si>
    <t>Interest Rate</t>
  </si>
  <si>
    <t>TDC Analysis</t>
  </si>
  <si>
    <t>Proposed TDC</t>
  </si>
  <si>
    <r>
      <t>Max TDC</t>
    </r>
    <r>
      <rPr>
        <sz val="7"/>
        <rFont val="Arial"/>
        <family val="2"/>
      </rPr>
      <t xml:space="preserve"> (excluding increased DDF)</t>
    </r>
  </si>
  <si>
    <t>TDC Increase</t>
  </si>
  <si>
    <t>% Increase</t>
  </si>
  <si>
    <t>Max TDC</t>
  </si>
  <si>
    <t>Equity</t>
  </si>
  <si>
    <t>Bond Analysis</t>
  </si>
  <si>
    <t>Proposed Total Equity</t>
  </si>
  <si>
    <t>Proposed Equity Price</t>
  </si>
  <si>
    <t xml:space="preserve">Credit Percentage </t>
  </si>
  <si>
    <t>Market Total Equity</t>
  </si>
  <si>
    <t>Market Bond Equity Price</t>
  </si>
  <si>
    <t>Market Equity Price</t>
  </si>
  <si>
    <t>Market Bond Total Credit %</t>
  </si>
  <si>
    <t>Bond Equity</t>
  </si>
  <si>
    <t>Potential Equity Change</t>
  </si>
  <si>
    <t>Difference</t>
  </si>
  <si>
    <t>% Change</t>
  </si>
  <si>
    <t>Can Deal work as 4%?</t>
  </si>
  <si>
    <t>Debt</t>
  </si>
  <si>
    <t>Proposed Total Debt</t>
  </si>
  <si>
    <t>Increased Annual DS</t>
  </si>
  <si>
    <t>Potential Debt Load</t>
  </si>
  <si>
    <t>Potential Debt Change</t>
  </si>
  <si>
    <t>Proposed DDF</t>
  </si>
  <si>
    <t>Potential DDF</t>
  </si>
  <si>
    <t>Potential DDF Change</t>
  </si>
  <si>
    <t>%  Change</t>
  </si>
  <si>
    <t>Unchanged Other Sources</t>
  </si>
  <si>
    <t>Proforma</t>
  </si>
  <si>
    <t>Proposed DS</t>
  </si>
  <si>
    <t>Potential Added DS</t>
  </si>
  <si>
    <t>DCR</t>
  </si>
  <si>
    <t>Potential Debt</t>
  </si>
  <si>
    <t>AM Fees</t>
  </si>
  <si>
    <t>CF Before DDF</t>
  </si>
  <si>
    <t>FCF</t>
  </si>
  <si>
    <t>Debt Balance</t>
  </si>
  <si>
    <t>NC or Rehab?</t>
  </si>
  <si>
    <t>Project:</t>
  </si>
  <si>
    <t>Assumptions:</t>
  </si>
  <si>
    <t>Depreciable Basis:</t>
  </si>
  <si>
    <t>Depreciation Period:</t>
  </si>
  <si>
    <t>Net After-Tax Benefit</t>
  </si>
  <si>
    <t>Amort. Basis Perm Fin:</t>
  </si>
  <si>
    <t>Perm Fin Amortizatn Period:</t>
  </si>
  <si>
    <t>Per Year</t>
  </si>
  <si>
    <t>Amort. Basis TC Fees:</t>
  </si>
  <si>
    <t>TC Fees Amortizatn Period:</t>
  </si>
  <si>
    <t>Equity Investment:</t>
  </si>
  <si>
    <t>Income Tax Rate:</t>
  </si>
  <si>
    <t>Sales Price</t>
  </si>
  <si>
    <t>Less: Mortgage Balance</t>
  </si>
  <si>
    <t>Pre-Tax Cashflow</t>
  </si>
  <si>
    <t>*chng if not</t>
  </si>
  <si>
    <t>Add: Principal Paid</t>
  </si>
  <si>
    <t>1st mrt</t>
  </si>
  <si>
    <t>Less: Selling costs</t>
  </si>
  <si>
    <t>Reserves (Non-tax item)</t>
  </si>
  <si>
    <t>DDF Payment</t>
  </si>
  <si>
    <t>Before Tax Cash</t>
  </si>
  <si>
    <t>Less: Depreciation</t>
  </si>
  <si>
    <t>Less: Amortization</t>
  </si>
  <si>
    <t>Original Basis</t>
  </si>
  <si>
    <t>Pre-Tax Earnings</t>
  </si>
  <si>
    <t>Tax (Tax Savings)</t>
  </si>
  <si>
    <t>20 Year Basis</t>
  </si>
  <si>
    <t>After-Tax Cashflow</t>
  </si>
  <si>
    <t>Add: Federal Credits</t>
  </si>
  <si>
    <t>Add: State Credits</t>
  </si>
  <si>
    <t>Add: Residual Value</t>
  </si>
  <si>
    <t>Less: 20 year basis</t>
  </si>
  <si>
    <t>Taxable Gain(Loss)</t>
  </si>
  <si>
    <t>Tax Rate -LT Cap Gain</t>
  </si>
  <si>
    <t>Tax Liability/Benefit</t>
  </si>
  <si>
    <t>Net After Tax Cash</t>
  </si>
  <si>
    <t>The IRR for the Entire Ownership Entity for these after-tax benefits is:</t>
  </si>
  <si>
    <t>Exhibit B</t>
  </si>
  <si>
    <r>
      <t xml:space="preserve">Mortgage </t>
    </r>
    <r>
      <rPr>
        <b/>
        <sz val="8"/>
        <rFont val="Arial"/>
        <family val="2"/>
      </rPr>
      <t>A</t>
    </r>
    <r>
      <rPr>
        <sz val="8"/>
        <rFont val="Arial"/>
        <family val="2"/>
      </rPr>
      <t xml:space="preserve"> (Lien Position </t>
    </r>
    <r>
      <rPr>
        <b/>
        <sz val="8"/>
        <rFont val="Arial"/>
        <family val="2"/>
      </rPr>
      <t>1</t>
    </r>
    <r>
      <rPr>
        <sz val="8"/>
        <rFont val="Arial"/>
        <family val="2"/>
      </rPr>
      <t>)</t>
    </r>
  </si>
  <si>
    <r>
      <t xml:space="preserve">Mortgage </t>
    </r>
    <r>
      <rPr>
        <b/>
        <sz val="8"/>
        <rFont val="Arial"/>
        <family val="2"/>
      </rPr>
      <t>B</t>
    </r>
    <r>
      <rPr>
        <sz val="8"/>
        <rFont val="Arial"/>
        <family val="2"/>
      </rPr>
      <t xml:space="preserve"> (Lien Position </t>
    </r>
    <r>
      <rPr>
        <b/>
        <sz val="8"/>
        <rFont val="Arial"/>
        <family val="2"/>
      </rPr>
      <t>2</t>
    </r>
    <r>
      <rPr>
        <sz val="8"/>
        <rFont val="Arial"/>
        <family val="2"/>
      </rPr>
      <t>)</t>
    </r>
  </si>
  <si>
    <r>
      <t xml:space="preserve">Mortgage </t>
    </r>
    <r>
      <rPr>
        <b/>
        <sz val="8"/>
        <rFont val="Arial"/>
        <family val="2"/>
      </rPr>
      <t>C</t>
    </r>
    <r>
      <rPr>
        <sz val="8"/>
        <rFont val="Arial"/>
        <family val="2"/>
      </rPr>
      <t xml:space="preserve"> (Lien Position </t>
    </r>
    <r>
      <rPr>
        <b/>
        <sz val="8"/>
        <rFont val="Arial"/>
        <family val="2"/>
      </rPr>
      <t>3</t>
    </r>
    <r>
      <rPr>
        <sz val="8"/>
        <rFont val="Arial"/>
        <family val="2"/>
      </rPr>
      <t>)</t>
    </r>
  </si>
  <si>
    <r>
      <t xml:space="preserve">Mortgage </t>
    </r>
    <r>
      <rPr>
        <b/>
        <sz val="8"/>
        <rFont val="Arial"/>
        <family val="2"/>
      </rPr>
      <t>D</t>
    </r>
    <r>
      <rPr>
        <sz val="8"/>
        <rFont val="Arial"/>
        <family val="2"/>
      </rPr>
      <t xml:space="preserve"> (Lien Position 4)</t>
    </r>
  </si>
  <si>
    <t>Monthly</t>
  </si>
  <si>
    <t>Payment</t>
  </si>
  <si>
    <t>Preview Term Sheet - HOME - Multifamily Loan Setup Form</t>
  </si>
  <si>
    <t>Complete only highlighted sections!!!</t>
  </si>
  <si>
    <t>Name of Borrower:</t>
  </si>
  <si>
    <t>Address of Borrower:</t>
  </si>
  <si>
    <t>Tax I.D. number:</t>
  </si>
  <si>
    <t>Contact Name:</t>
  </si>
  <si>
    <t>Contact Email:</t>
  </si>
  <si>
    <t>Office Main Phone:</t>
  </si>
  <si>
    <t>Contact Direct Phone:</t>
  </si>
  <si>
    <t>Name of Project:</t>
  </si>
  <si>
    <t>Address of Project:</t>
  </si>
  <si>
    <t>Enter Zip Here</t>
  </si>
  <si>
    <t>Management Company:</t>
  </si>
  <si>
    <t>Address:</t>
  </si>
  <si>
    <t>Loan Type:</t>
  </si>
  <si>
    <t>Loan Funding Source:</t>
  </si>
  <si>
    <t>Amount of Loan:</t>
  </si>
  <si>
    <t>construction</t>
  </si>
  <si>
    <t>same</t>
  </si>
  <si>
    <t>permanent</t>
  </si>
  <si>
    <t>Construction Interest Rate:</t>
  </si>
  <si>
    <t>Perm. Interest Rate:</t>
  </si>
  <si>
    <t>Term of Const Loan (conversion period):</t>
  </si>
  <si>
    <t>months</t>
  </si>
  <si>
    <t>Term of Perm Loan:</t>
  </si>
  <si>
    <t>Conversion Period:</t>
  </si>
  <si>
    <t>Loan Closing Date:</t>
  </si>
  <si>
    <t>asap</t>
  </si>
  <si>
    <t>Amt of Monthly Pmt:</t>
  </si>
  <si>
    <t>See Payment Schedule Exhibit B</t>
  </si>
  <si>
    <t>Name of sole/managing General Partner:</t>
  </si>
  <si>
    <t>Name of Borrower's Attorney:</t>
  </si>
  <si>
    <t>Email:</t>
  </si>
  <si>
    <t>Total Number of Units:</t>
  </si>
  <si>
    <t>Number of HOME Units:</t>
  </si>
  <si>
    <t>Number of Manager Units:</t>
  </si>
  <si>
    <t>Total Common Space Units</t>
  </si>
  <si>
    <t>Number of Supportive Services:</t>
  </si>
  <si>
    <t>(refer to Threshold)</t>
  </si>
  <si>
    <t>Balloon Amount:</t>
  </si>
  <si>
    <t>Other Funding (non-DCA)?</t>
  </si>
  <si>
    <t>(enter source here)</t>
  </si>
  <si>
    <t>($Amt here)</t>
  </si>
  <si>
    <t>1st constr/perm</t>
  </si>
  <si>
    <t>2nd constr/perm</t>
  </si>
  <si>
    <t>3rd constr/perm</t>
  </si>
  <si>
    <t>4th constr/perm</t>
  </si>
  <si>
    <t>Guarantor (and name, if applicable)</t>
  </si>
  <si>
    <t>Tax Credits?</t>
  </si>
  <si>
    <t>yes</t>
  </si>
  <si>
    <t>Affordability Period</t>
  </si>
  <si>
    <t>ODR amount:</t>
  </si>
  <si>
    <t>Replacement Reserve Escrow:</t>
  </si>
  <si>
    <t>Rent-up Reserve? (if applicable, amount)</t>
  </si>
  <si>
    <t>Tax and Insurance Escrow</t>
  </si>
  <si>
    <t xml:space="preserve"> LOAN TERMS, CONDITIONS AND INFORMATION</t>
  </si>
  <si>
    <t>Internal Information:</t>
  </si>
  <si>
    <t>1. Underwriter's Name:</t>
  </si>
  <si>
    <t>Borrower Information:</t>
  </si>
  <si>
    <t>1. Name of Borrower:</t>
  </si>
  <si>
    <t>2. Type of Entity:</t>
  </si>
  <si>
    <t>Other (explain)</t>
  </si>
  <si>
    <t>3. Contact Person #1:</t>
  </si>
  <si>
    <t xml:space="preserve">    Title</t>
  </si>
  <si>
    <t>4. Address of Borrower:</t>
  </si>
  <si>
    <t>5. Name of Borrower's Attorney:</t>
  </si>
  <si>
    <t>6. Telephone Number:</t>
  </si>
  <si>
    <t>7. E-Mail Address:</t>
  </si>
  <si>
    <t>Project Information:</t>
  </si>
  <si>
    <t>1. Name of Project:</t>
  </si>
  <si>
    <t>2. Address of Project:</t>
  </si>
  <si>
    <t>3. Number of Units:</t>
  </si>
  <si>
    <t>HOME assisted units</t>
  </si>
  <si>
    <t>Non-HOME units</t>
  </si>
  <si>
    <t>Total units</t>
  </si>
  <si>
    <t>4. Manager's Unit(s):</t>
  </si>
  <si>
    <t>Total  common space units</t>
  </si>
  <si>
    <t>5. Site Amenities - Standard:</t>
  </si>
  <si>
    <t xml:space="preserve">    Site Amenities - Additional:</t>
  </si>
  <si>
    <t>6. Unit Amenities:</t>
  </si>
  <si>
    <r>
      <t xml:space="preserve">HVAC, Refrigerator, Microwave, Dishwasher, Stove, and </t>
    </r>
    <r>
      <rPr>
        <b/>
        <i/>
        <sz val="10"/>
        <color rgb="FFFF0000"/>
        <rFont val="Arial"/>
        <family val="2"/>
      </rPr>
      <t>either</t>
    </r>
    <r>
      <rPr>
        <sz val="10"/>
        <rFont val="Arial"/>
        <family val="2"/>
      </rPr>
      <t xml:space="preserve"> Powder-based stovetop fire suppression canisters installed above the range cook top </t>
    </r>
    <r>
      <rPr>
        <b/>
        <i/>
        <sz val="10"/>
        <color rgb="FFFF0000"/>
        <rFont val="Arial"/>
        <family val="2"/>
      </rPr>
      <t>or</t>
    </r>
    <r>
      <rPr>
        <sz val="10"/>
        <rFont val="Arial"/>
        <family val="2"/>
      </rPr>
      <t xml:space="preserve"> Electronically controlled solid cover plates over stove top burners </t>
    </r>
    <r>
      <rPr>
        <sz val="10"/>
        <color rgb="FFFF0000"/>
        <rFont val="Arial"/>
        <family val="2"/>
      </rPr>
      <t xml:space="preserve"> (confirm from Threshold tabs)</t>
    </r>
  </si>
  <si>
    <t>7. County in which Project is located:</t>
  </si>
  <si>
    <t>8. Senior</t>
  </si>
  <si>
    <t>9. Number of Supportive Services:</t>
  </si>
  <si>
    <t>Describe:</t>
  </si>
  <si>
    <t>Social and recreational programs planned and overseen by project mgr</t>
  </si>
  <si>
    <t>Semi-monthly classes conducted on site</t>
  </si>
  <si>
    <t>10. Other Information:</t>
  </si>
  <si>
    <t>Utilities paid by:</t>
  </si>
  <si>
    <t>Tenant:</t>
  </si>
  <si>
    <t>Owner:</t>
  </si>
  <si>
    <t>General Partner Information (if applicable):</t>
  </si>
  <si>
    <t>1. Name of Managing General Partner:</t>
  </si>
  <si>
    <t>2. Name(s) of other General Partner(s):</t>
  </si>
  <si>
    <t>3. Other Information:</t>
  </si>
  <si>
    <t>Loan Information:</t>
  </si>
  <si>
    <t>1. Amount of Loan:</t>
  </si>
  <si>
    <t>HOME (constr and perm)</t>
  </si>
  <si>
    <t>2. Allowable Conversion Amount:</t>
  </si>
  <si>
    <t>(if different than #1)</t>
  </si>
  <si>
    <t>3A. Type of Loan:</t>
  </si>
  <si>
    <t>CHDO?</t>
  </si>
  <si>
    <t>3B. Terms of Loan:</t>
  </si>
  <si>
    <t>4. Recourse:</t>
  </si>
  <si>
    <t>5. Interest Rates:</t>
  </si>
  <si>
    <t>Construction</t>
  </si>
  <si>
    <t>Permanent</t>
  </si>
  <si>
    <t>6. Conversion Deadline:</t>
  </si>
  <si>
    <t xml:space="preserve">Months from Date of Closing </t>
  </si>
  <si>
    <t>7. Loan Term:</t>
  </si>
  <si>
    <t>Months - Permanent</t>
  </si>
  <si>
    <t>8. Monthly Payment Amount (fully amortizing note):</t>
  </si>
  <si>
    <t>(annual)</t>
  </si>
  <si>
    <t>9. Monthly Payments (for balloon note):</t>
  </si>
  <si>
    <t>See Payments-Ex B</t>
  </si>
  <si>
    <t>10 Balloon Amount:</t>
  </si>
  <si>
    <t>Payments based on cash flow indicate no balloon, but subject to change</t>
  </si>
  <si>
    <t>11. HOME will fund:</t>
  </si>
  <si>
    <t>12. Closing:</t>
  </si>
  <si>
    <t>Desired date:</t>
  </si>
  <si>
    <t>Other info:</t>
  </si>
  <si>
    <t>13. Priority (vs. other lenders):</t>
  </si>
  <si>
    <t>first</t>
  </si>
  <si>
    <t>Phone</t>
  </si>
  <si>
    <t>14. Waiving opt out provision for 5 years?:</t>
  </si>
  <si>
    <t>NA</t>
  </si>
  <si>
    <t>point(s)</t>
  </si>
  <si>
    <r>
      <t>Junior Lender #1 Information</t>
    </r>
    <r>
      <rPr>
        <sz val="10"/>
        <rFont val="Arial"/>
        <family val="2"/>
      </rPr>
      <t xml:space="preserve"> (if applicable):</t>
    </r>
  </si>
  <si>
    <r>
      <t xml:space="preserve">Construction and Draw Information </t>
    </r>
    <r>
      <rPr>
        <u/>
        <sz val="10"/>
        <rFont val="Arial"/>
        <family val="2"/>
      </rPr>
      <t>(if applicable):</t>
    </r>
  </si>
  <si>
    <t>1. Construction and Draw Information:</t>
  </si>
  <si>
    <t>2. Payment &amp; Performance Bonds</t>
  </si>
  <si>
    <t>3. Has construction started:</t>
  </si>
  <si>
    <t>4. Construction Completion Date:</t>
  </si>
  <si>
    <t>Months</t>
  </si>
  <si>
    <t>Certificates of Occupancy must be issued prior to December 31, 2023</t>
  </si>
  <si>
    <t>This is a 2021 tax credit round project and must be placed in service by year-end 2023.</t>
  </si>
  <si>
    <t>5. Amount of Equity funded for Hard Cost before GHFA funds:</t>
  </si>
  <si>
    <t>=not less than HOME loan amount</t>
  </si>
  <si>
    <t>6. Pro Rata Funding:</t>
  </si>
  <si>
    <t>% GHFA's percentage</t>
  </si>
  <si>
    <r>
      <rPr>
        <b/>
        <sz val="10"/>
        <rFont val="Arial"/>
        <family val="2"/>
      </rPr>
      <t>Draws:</t>
    </r>
    <r>
      <rPr>
        <sz val="10"/>
        <rFont val="Arial"/>
        <family val="2"/>
      </rPr>
      <t xml:space="preserve"> none more frequent than monthly or less frequent than quarterly; $50,000 min- maximun should be commensurate with percentage of construction completion compared to percentage of total HOME funds disbursed to date. If DCA loan will fund only hard costs, be sure to adjust proportion accordingly.</t>
    </r>
  </si>
  <si>
    <t>% Senior Lender</t>
  </si>
  <si>
    <t>% Junior Lender</t>
  </si>
  <si>
    <t>7. Sequenced Funding (list order):</t>
  </si>
  <si>
    <t>8. Other Funding Procedures (if 9-12 inapplicable):</t>
  </si>
  <si>
    <t>9. Additional First Draw Requirements (not normal):</t>
  </si>
  <si>
    <t>None known at this time</t>
  </si>
  <si>
    <t>Other Parties and Related Information:</t>
  </si>
  <si>
    <t>1. Name of Developer(s):</t>
  </si>
  <si>
    <t>2. Max Developer Fee before Conversion:</t>
  </si>
  <si>
    <t>3. Name of Inspection Firm:</t>
  </si>
  <si>
    <t>4. Name of Property Management:</t>
  </si>
  <si>
    <t>5. Name(s) of Guarantor(s):</t>
  </si>
  <si>
    <t>6. Address(es) of Guarantor(s):</t>
  </si>
  <si>
    <t>7. Name of Federal Investor:</t>
  </si>
  <si>
    <t>8. Name of State Investor:</t>
  </si>
  <si>
    <t>9. Name of CHDO Consultant:</t>
  </si>
  <si>
    <t>10. Date of Consulting Agreement:</t>
  </si>
  <si>
    <t>LURA Information:</t>
  </si>
  <si>
    <t>Note:</t>
  </si>
  <si>
    <t>See closing Exhibit A</t>
  </si>
  <si>
    <t>1. Affordability period (how many years after project completion):</t>
  </si>
  <si>
    <t>2. Unit HOME designation:</t>
  </si>
  <si>
    <t>If "Floating", all units will be designated as "floating" units.</t>
  </si>
  <si>
    <t>3. See Exhibits B attached.</t>
  </si>
  <si>
    <t>Reserves:</t>
  </si>
  <si>
    <t>1. Taxes and Insurance:</t>
  </si>
  <si>
    <t>(a) funded at conversion</t>
  </si>
  <si>
    <t>(b) if not held by State Home, who will hold:</t>
  </si>
  <si>
    <t xml:space="preserve">2. ODR:                         </t>
  </si>
  <si>
    <t>(a) amount</t>
  </si>
  <si>
    <t>(c) deviations from normal procedures:</t>
  </si>
  <si>
    <t>3. Replacement Reserves:</t>
  </si>
  <si>
    <t>(a) initial amount</t>
  </si>
  <si>
    <t>(b) deposited at or before conversion</t>
  </si>
  <si>
    <t>(c) subsequent deposits- when:</t>
  </si>
  <si>
    <t>Annually</t>
  </si>
  <si>
    <t>(d) if not held by State Home, who will hold:</t>
  </si>
  <si>
    <t>(e) 3% escalator</t>
  </si>
  <si>
    <t>Yes</t>
  </si>
  <si>
    <t>(f) deviations from normal procedures:</t>
  </si>
  <si>
    <t xml:space="preserve">4. HOME Reserve:     </t>
  </si>
  <si>
    <t>(a) applicable?</t>
  </si>
  <si>
    <t>(b) 50% of excess cash</t>
  </si>
  <si>
    <t>(c) if not held by State Home, who will hold:</t>
  </si>
  <si>
    <t>(d) deviations from normal procedures:</t>
  </si>
  <si>
    <t>5. Rent-up Reserves:</t>
  </si>
  <si>
    <t>(a) amount:</t>
  </si>
  <si>
    <t>(c) released to whom:</t>
  </si>
  <si>
    <t xml:space="preserve">6. Tenant Assistance Reserve: </t>
  </si>
  <si>
    <t>Applicable?</t>
  </si>
  <si>
    <t>Conversion Conditions:</t>
  </si>
  <si>
    <t>See Exhibit A &amp; B attached.</t>
  </si>
  <si>
    <t>Other Information:</t>
  </si>
  <si>
    <t>1. Tax Credits:</t>
  </si>
  <si>
    <t>2. If CHDO project, the HOME funds must go directly to the CHDO then to the project.</t>
  </si>
  <si>
    <t>CHDO Name:</t>
  </si>
  <si>
    <r>
      <t xml:space="preserve">Explain any </t>
    </r>
    <r>
      <rPr>
        <b/>
        <u/>
        <sz val="10"/>
        <color indexed="8"/>
        <rFont val="Arial"/>
        <family val="2"/>
      </rPr>
      <t>unusual</t>
    </r>
    <r>
      <rPr>
        <b/>
        <sz val="10"/>
        <color indexed="8"/>
        <rFont val="Arial"/>
        <family val="2"/>
      </rPr>
      <t xml:space="preserve"> terms or reserve requirements here:</t>
    </r>
  </si>
  <si>
    <t>DCA Fills IN</t>
  </si>
  <si>
    <t>Exhibit A</t>
  </si>
  <si>
    <t>Conversion Conditions</t>
  </si>
  <si>
    <r>
      <t xml:space="preserve">Verification that for </t>
    </r>
    <r>
      <rPr>
        <b/>
        <sz val="10"/>
        <rFont val="Arial"/>
        <family val="2"/>
      </rPr>
      <t>3 consecutive months</t>
    </r>
    <r>
      <rPr>
        <sz val="10"/>
        <rFont val="Arial"/>
        <family val="2"/>
      </rPr>
      <t xml:space="preserve"> after the date of issuance of the final certificate of occupancy for all Improvements, the </t>
    </r>
    <r>
      <rPr>
        <b/>
        <sz val="10"/>
        <rFont val="Arial"/>
        <family val="2"/>
      </rPr>
      <t>minimum occupancy</t>
    </r>
    <r>
      <rPr>
        <sz val="10"/>
        <rFont val="Arial"/>
        <family val="2"/>
      </rPr>
      <t xml:space="preserve"> of the Premises has been at least </t>
    </r>
    <r>
      <rPr>
        <b/>
        <sz val="10"/>
        <rFont val="Arial"/>
        <family val="2"/>
      </rPr>
      <t>93%</t>
    </r>
    <r>
      <rPr>
        <sz val="10"/>
        <rFont val="Arial"/>
        <family val="2"/>
      </rPr>
      <t xml:space="preserve"> and the minimum monthly effective gross income from the Premises has been at least </t>
    </r>
    <r>
      <rPr>
        <b/>
        <u/>
        <sz val="10"/>
        <rFont val="Arial"/>
        <family val="2"/>
      </rPr>
      <t>$</t>
    </r>
    <r>
      <rPr>
        <b/>
        <sz val="10"/>
        <color rgb="FFFF0000"/>
        <rFont val="Arial"/>
        <family val="2"/>
      </rPr>
      <t xml:space="preserve">0 </t>
    </r>
    <r>
      <rPr>
        <b/>
        <sz val="10"/>
        <rFont val="Arial"/>
        <family val="2"/>
      </rPr>
      <t>(one twelfth of the first year Effective Gross Income)</t>
    </r>
    <r>
      <rPr>
        <sz val="10"/>
        <rFont val="Arial"/>
        <family val="2"/>
      </rPr>
      <t xml:space="preserve"> substantiated by Lender's receipt of the following:</t>
    </r>
  </si>
  <si>
    <t xml:space="preserve">  Insert in A4</t>
  </si>
  <si>
    <t>Profit and Loss statement for the Premises;</t>
  </si>
  <si>
    <t>Documentation confirming satisfaction of the other requirements of this condition.</t>
  </si>
  <si>
    <t>Additional Information or Conditions:</t>
  </si>
  <si>
    <t>If tax credits are applicable, the minimum amount Borrower must receive from the sale of the credits:</t>
  </si>
  <si>
    <t>Is there an Operation and Maintenance Plan that must be implemented, and, if so, the nature of the Plan?</t>
  </si>
  <si>
    <t>Is a radon amelioration plan applicable?</t>
  </si>
  <si>
    <t>No</t>
  </si>
  <si>
    <t>List any other project specific conversion condition(s):</t>
  </si>
  <si>
    <t>Be sure each low income unit is addressed below; copy from below and insert/paste above to add more units with more bedrooms or different rents.  Delete AMI sections that don't apply, as well as this red line.</t>
  </si>
  <si>
    <r>
      <t xml:space="preserve">Subject to section 2.05, the following number and types of Units are restricted to families and individuals with an Annual Income of </t>
    </r>
    <r>
      <rPr>
        <b/>
        <sz val="12"/>
        <color rgb="FFFF0000"/>
        <rFont val="Arial"/>
        <family val="2"/>
      </rPr>
      <t>20</t>
    </r>
    <r>
      <rPr>
        <b/>
        <sz val="12"/>
        <rFont val="Arial"/>
        <family val="2"/>
      </rPr>
      <t>%</t>
    </r>
    <r>
      <rPr>
        <sz val="10"/>
        <rFont val="Arial"/>
        <family val="2"/>
      </rPr>
      <t xml:space="preserve"> or less of AMI and are subject to the following rent restrictions:</t>
    </r>
  </si>
  <si>
    <r>
      <t xml:space="preserve">For  </t>
    </r>
    <r>
      <rPr>
        <sz val="10"/>
        <color indexed="10"/>
        <rFont val="Arial"/>
        <family val="2"/>
      </rPr>
      <t/>
    </r>
  </si>
  <si>
    <r>
      <rPr>
        <b/>
        <u/>
        <sz val="10"/>
        <rFont val="Arial"/>
        <family val="2"/>
      </rPr>
      <t>Efficiency</t>
    </r>
    <r>
      <rPr>
        <sz val="10"/>
        <rFont val="Arial"/>
        <family val="2"/>
      </rPr>
      <t xml:space="preserve"> Units:</t>
    </r>
  </si>
  <si>
    <t>if more than one rent amount for efficiency Low HOME unit, list each separately</t>
  </si>
  <si>
    <t>The greater of:</t>
  </si>
  <si>
    <t>less the applicable utility allowances;</t>
  </si>
  <si>
    <t xml:space="preserve">the lesser of: </t>
  </si>
  <si>
    <t>Square Footage</t>
  </si>
  <si>
    <r>
      <t>(a) Low HOME Rent</t>
    </r>
    <r>
      <rPr>
        <sz val="10"/>
        <rFont val="Arial"/>
        <family val="2"/>
      </rPr>
      <t xml:space="preserve"> less the applicable utility allowance;</t>
    </r>
  </si>
  <si>
    <t>(b) High HOME Rent less the applicable utility allowance;</t>
  </si>
  <si>
    <r>
      <rPr>
        <b/>
        <u/>
        <sz val="10"/>
        <rFont val="Arial"/>
        <family val="2"/>
      </rPr>
      <t>One</t>
    </r>
    <r>
      <rPr>
        <sz val="10"/>
        <rFont val="Arial"/>
        <family val="2"/>
      </rPr>
      <t xml:space="preserve"> Bedroom Units:</t>
    </r>
  </si>
  <si>
    <t>if more than one rent amount for one bedroom Low HOME unit, list each separately</t>
  </si>
  <si>
    <r>
      <rPr>
        <b/>
        <u/>
        <sz val="10"/>
        <rFont val="Arial"/>
        <family val="2"/>
      </rPr>
      <t>Two</t>
    </r>
    <r>
      <rPr>
        <sz val="10"/>
        <rFont val="Arial"/>
        <family val="2"/>
      </rPr>
      <t xml:space="preserve"> Bedroom Units:</t>
    </r>
  </si>
  <si>
    <t>if more than one rent amount for two bedroom Low HOME unit, list each separately</t>
  </si>
  <si>
    <r>
      <rPr>
        <b/>
        <u/>
        <sz val="10"/>
        <rFont val="Arial"/>
        <family val="2"/>
      </rPr>
      <t>Three</t>
    </r>
    <r>
      <rPr>
        <sz val="10"/>
        <rFont val="Arial"/>
        <family val="2"/>
      </rPr>
      <t xml:space="preserve"> Bedroom Units:</t>
    </r>
  </si>
  <si>
    <t>if more than one rent amount for three bedroom Low HOME unit, list each separately</t>
  </si>
  <si>
    <r>
      <rPr>
        <b/>
        <u/>
        <sz val="10"/>
        <rFont val="Arial"/>
        <family val="2"/>
      </rPr>
      <t>Four</t>
    </r>
    <r>
      <rPr>
        <sz val="10"/>
        <rFont val="Arial"/>
        <family val="2"/>
      </rPr>
      <t xml:space="preserve"> Bedroom Units:</t>
    </r>
  </si>
  <si>
    <t>if more than one rent amount for four bedroom Low HOME unit, list each separately</t>
  </si>
  <si>
    <t>the lesser of:</t>
  </si>
  <si>
    <r>
      <t xml:space="preserve">Subject to section 2.05, the following number and types of Units are restricted to families and individuals with an Annual Income of </t>
    </r>
    <r>
      <rPr>
        <b/>
        <sz val="12"/>
        <color rgb="FFFF0000"/>
        <rFont val="Arial"/>
        <family val="2"/>
      </rPr>
      <t>30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</si>
  <si>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40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</si>
  <si>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50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</si>
  <si>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60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</si>
  <si>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70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</si>
  <si>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80</t>
    </r>
    <r>
      <rPr>
        <b/>
        <sz val="12"/>
        <rFont val="Arial"/>
        <family val="2"/>
      </rPr>
      <t>%</t>
    </r>
    <r>
      <rPr>
        <sz val="10"/>
        <rFont val="Arial"/>
        <family val="2"/>
      </rPr>
      <t xml:space="preserve"> or less of AMI and are subject to the following rent restrictions:</t>
    </r>
  </si>
  <si>
    <r>
      <rPr>
        <b/>
        <sz val="12"/>
        <rFont val="Arial"/>
        <family val="2"/>
      </rPr>
      <t>RENT</t>
    </r>
    <r>
      <rPr>
        <sz val="12"/>
        <rFont val="Arial"/>
        <family val="2"/>
      </rPr>
      <t>: The Greater of:</t>
    </r>
  </si>
  <si>
    <t># Bed/Bath</t>
  </si>
  <si>
    <t>Unit Sq Foot</t>
  </si>
  <si>
    <t>Proposed Gross Rent from the Rent Schedule tab for this AMI% and Unit Type / Bedroom style</t>
  </si>
  <si>
    <t xml:space="preserve">The Lesser of: </t>
  </si>
  <si>
    <r>
      <t xml:space="preserve">(a) </t>
    </r>
    <r>
      <rPr>
        <b/>
        <sz val="8"/>
        <rFont val="Arial"/>
        <family val="2"/>
      </rPr>
      <t>Low</t>
    </r>
    <r>
      <rPr>
        <sz val="8"/>
        <rFont val="Arial"/>
        <family val="2"/>
      </rPr>
      <t xml:space="preserve"> HOME Rent less the applicable utility allowance</t>
    </r>
  </si>
  <si>
    <r>
      <t xml:space="preserve">(b) </t>
    </r>
    <r>
      <rPr>
        <b/>
        <sz val="8"/>
        <rFont val="Arial"/>
        <family val="2"/>
      </rPr>
      <t>High</t>
    </r>
    <r>
      <rPr>
        <sz val="8"/>
        <rFont val="Arial"/>
        <family val="2"/>
      </rPr>
      <t xml:space="preserve"> HOME Rent less the applicable utility allowance</t>
    </r>
  </si>
  <si>
    <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theme="0"/>
        <rFont val="Arial Narrow"/>
        <family val="2"/>
      </rPr>
      <t>For the best operability of this workbook, fill out both the blue cells and the Tabs/Parts in order of appearance.</t>
    </r>
    <r>
      <rPr>
        <b/>
        <i/>
        <sz val="11"/>
        <color theme="0"/>
        <rFont val="Arial Narrow"/>
        <family val="2"/>
      </rPr>
      <t xml:space="preserve"> </t>
    </r>
    <r>
      <rPr>
        <b/>
        <i/>
        <sz val="10"/>
        <color theme="0"/>
        <rFont val="Arial Narrow"/>
        <family val="2"/>
      </rPr>
      <t xml:space="preserve"> </t>
    </r>
    <r>
      <rPr>
        <b/>
        <sz val="10"/>
        <color theme="0"/>
        <rFont val="Arial Narrow"/>
        <family val="2"/>
      </rPr>
      <t>If you encounter issues with this workbook's operation, simply email Stephen.Barrett@dca.ga.gov with a detailed description of the problem and attach a copy of your core application.  Please include the Tab / Part Number and Name and the cell reference (column letter, row number) where the issue occurs.</t>
    </r>
  </si>
  <si>
    <r>
      <t>Blue-shaded cells are unlocked for Applicant use and</t>
    </r>
    <r>
      <rPr>
        <b/>
        <sz val="9"/>
        <color theme="0"/>
        <rFont val="Arial Narrow"/>
        <family val="2"/>
      </rPr>
      <t xml:space="preserve"> do </t>
    </r>
    <r>
      <rPr>
        <b/>
        <i/>
        <sz val="9"/>
        <color theme="0"/>
        <rFont val="Arial Narrow"/>
        <family val="2"/>
      </rPr>
      <t>not</t>
    </r>
    <r>
      <rPr>
        <b/>
        <sz val="9"/>
        <color theme="0"/>
        <rFont val="Arial Narrow"/>
        <family val="2"/>
      </rPr>
      <t xml:space="preserve"> contain</t>
    </r>
    <r>
      <rPr>
        <sz val="9"/>
        <color theme="0"/>
        <rFont val="Arial Narrow"/>
        <family val="2"/>
      </rPr>
      <t xml:space="preserve"> references/formulas.</t>
    </r>
  </si>
  <si>
    <r>
      <t>Green-shaded cells unlocked for Applicant use but</t>
    </r>
    <r>
      <rPr>
        <b/>
        <sz val="9"/>
        <color theme="0"/>
        <rFont val="Arial Narrow"/>
        <family val="2"/>
      </rPr>
      <t xml:space="preserve"> </t>
    </r>
    <r>
      <rPr>
        <b/>
        <i/>
        <sz val="9"/>
        <color theme="0"/>
        <rFont val="Arial Narrow"/>
        <family val="2"/>
      </rPr>
      <t>do</t>
    </r>
    <r>
      <rPr>
        <b/>
        <sz val="9"/>
        <color theme="0"/>
        <rFont val="Arial Narrow"/>
        <family val="2"/>
      </rPr>
      <t xml:space="preserve"> contain</t>
    </r>
    <r>
      <rPr>
        <sz val="9"/>
        <color theme="0"/>
        <rFont val="Arial Narrow"/>
        <family val="2"/>
      </rPr>
      <t xml:space="preserve"> default references/formulas able to be overwritten.</t>
    </r>
  </si>
  <si>
    <r>
      <t xml:space="preserve">--&gt; </t>
    </r>
    <r>
      <rPr>
        <b/>
        <u/>
        <sz val="8"/>
        <color theme="0"/>
        <rFont val="Arial Narrow"/>
        <family val="2"/>
      </rPr>
      <t>REQUIRED</t>
    </r>
    <r>
      <rPr>
        <b/>
        <sz val="8"/>
        <color theme="0"/>
        <rFont val="Arial Narrow"/>
        <family val="2"/>
      </rPr>
      <t>:</t>
    </r>
  </si>
  <si>
    <r>
      <t>Determination Number</t>
    </r>
    <r>
      <rPr>
        <sz val="9"/>
        <color theme="0"/>
        <rFont val="Arial Narrow"/>
        <family val="2"/>
      </rPr>
      <t xml:space="preserve"> (if applies) - </t>
    </r>
    <r>
      <rPr>
        <b/>
        <u/>
        <sz val="9"/>
        <color theme="0"/>
        <rFont val="Arial Narrow"/>
        <family val="2"/>
      </rPr>
      <t>use format 2025PA-###</t>
    </r>
  </si>
  <si>
    <r>
      <t xml:space="preserve">OTHER CONSTRUCTION HARD COSTS </t>
    </r>
    <r>
      <rPr>
        <sz val="8"/>
        <color theme="0"/>
        <rFont val="Arial Narrow"/>
        <family val="2"/>
      </rPr>
      <t>(Non-GC work scope items done by Owner)</t>
    </r>
  </si>
  <si>
    <r>
      <rPr>
        <b/>
        <i/>
        <u/>
        <sz val="10"/>
        <color theme="0"/>
        <rFont val="Arial Narrow"/>
        <family val="2"/>
      </rPr>
      <t>T</t>
    </r>
    <r>
      <rPr>
        <i/>
        <sz val="10"/>
        <color theme="0"/>
        <rFont val="Arial Narrow"/>
        <family val="2"/>
      </rPr>
      <t xml:space="preserve">otal </t>
    </r>
    <r>
      <rPr>
        <b/>
        <i/>
        <u/>
        <sz val="10"/>
        <color theme="0"/>
        <rFont val="Arial Narrow"/>
        <family val="2"/>
      </rPr>
      <t>C</t>
    </r>
    <r>
      <rPr>
        <i/>
        <sz val="10"/>
        <color theme="0"/>
        <rFont val="Arial Narrow"/>
        <family val="2"/>
      </rPr>
      <t xml:space="preserve">onstruction </t>
    </r>
    <r>
      <rPr>
        <b/>
        <i/>
        <u/>
        <sz val="10"/>
        <color theme="0"/>
        <rFont val="Arial Narrow"/>
        <family val="2"/>
      </rPr>
      <t>H</t>
    </r>
    <r>
      <rPr>
        <i/>
        <sz val="10"/>
        <color theme="0"/>
        <rFont val="Arial Narrow"/>
        <family val="2"/>
      </rPr>
      <t xml:space="preserve">ard </t>
    </r>
    <r>
      <rPr>
        <b/>
        <i/>
        <u/>
        <sz val="10"/>
        <color theme="0"/>
        <rFont val="Arial Narrow"/>
        <family val="2"/>
      </rPr>
      <t>C</t>
    </r>
    <r>
      <rPr>
        <i/>
        <sz val="10"/>
        <color theme="0"/>
        <rFont val="Arial Narrow"/>
        <family val="2"/>
      </rPr>
      <t>osts</t>
    </r>
  </si>
  <si>
    <r>
      <t xml:space="preserve">per </t>
    </r>
    <r>
      <rPr>
        <i/>
        <u/>
        <sz val="8"/>
        <color theme="0"/>
        <rFont val="Arial Narrow"/>
        <family val="2"/>
      </rPr>
      <t>Res'l</t>
    </r>
    <r>
      <rPr>
        <i/>
        <sz val="8"/>
        <color theme="0"/>
        <rFont val="Arial Narrow"/>
        <family val="2"/>
      </rPr>
      <t xml:space="preserve"> unit</t>
    </r>
  </si>
  <si>
    <r>
      <t xml:space="preserve">per </t>
    </r>
    <r>
      <rPr>
        <i/>
        <u/>
        <sz val="8"/>
        <color theme="0"/>
        <rFont val="Arial Narrow"/>
        <family val="2"/>
      </rPr>
      <t>Res'l</t>
    </r>
    <r>
      <rPr>
        <i/>
        <sz val="8"/>
        <color theme="0"/>
        <rFont val="Arial Narrow"/>
        <family val="2"/>
      </rPr>
      <t xml:space="preserve"> unit SF</t>
    </r>
  </si>
  <si>
    <r>
      <t xml:space="preserve">DEVELOPMENT BUDGET </t>
    </r>
    <r>
      <rPr>
        <i/>
        <sz val="8"/>
        <color theme="0"/>
        <rFont val="Arial Narrow"/>
        <family val="2"/>
      </rPr>
      <t>(cont'd)</t>
    </r>
  </si>
  <si>
    <r>
      <t xml:space="preserve">DEVELOPMENT BUDGET </t>
    </r>
    <r>
      <rPr>
        <i/>
        <sz val="8"/>
        <color theme="0"/>
        <rFont val="Arial Narrow"/>
        <family val="2"/>
      </rPr>
      <t xml:space="preserve"> (cont'd)</t>
    </r>
  </si>
  <si>
    <t>Max Devlpr Fee per unit</t>
  </si>
  <si>
    <t>Max Devlpr Fee per Tier</t>
  </si>
  <si>
    <t>Project Dev Fee per Tier</t>
  </si>
  <si>
    <t>Project Total Devlpr Fee</t>
  </si>
  <si>
    <t>Lesser of Project Total DF and Maximum DF</t>
  </si>
  <si>
    <t>Min Units</t>
  </si>
  <si>
    <t>Max Units</t>
  </si>
  <si>
    <t>;</t>
  </si>
  <si>
    <r>
      <rPr>
        <b/>
        <u/>
        <sz val="11"/>
        <color theme="0"/>
        <rFont val="Arial Narrow"/>
        <family val="2"/>
      </rPr>
      <t>T</t>
    </r>
    <r>
      <rPr>
        <b/>
        <sz val="11"/>
        <color theme="0"/>
        <rFont val="Arial Narrow"/>
        <family val="2"/>
      </rPr>
      <t xml:space="preserve">OTAL </t>
    </r>
    <r>
      <rPr>
        <b/>
        <u/>
        <sz val="11"/>
        <color theme="0"/>
        <rFont val="Arial Narrow"/>
        <family val="2"/>
      </rPr>
      <t>D</t>
    </r>
    <r>
      <rPr>
        <b/>
        <sz val="11"/>
        <color theme="0"/>
        <rFont val="Arial Narrow"/>
        <family val="2"/>
      </rPr>
      <t xml:space="preserve">EVELOPMENT </t>
    </r>
    <r>
      <rPr>
        <b/>
        <u/>
        <sz val="11"/>
        <color theme="0"/>
        <rFont val="Arial Narrow"/>
        <family val="2"/>
      </rPr>
      <t>C</t>
    </r>
    <r>
      <rPr>
        <b/>
        <sz val="11"/>
        <color theme="0"/>
        <rFont val="Arial Narrow"/>
        <family val="2"/>
      </rPr>
      <t>OST  (TDC)</t>
    </r>
  </si>
  <si>
    <r>
      <t xml:space="preserve">Average TDC Per:            </t>
    </r>
    <r>
      <rPr>
        <i/>
        <sz val="10"/>
        <color theme="0"/>
        <rFont val="Arial Narrow"/>
        <family val="2"/>
      </rPr>
      <t xml:space="preserve"> Unit:</t>
    </r>
  </si>
  <si>
    <r>
      <rPr>
        <b/>
        <u/>
        <sz val="10"/>
        <color theme="0"/>
        <rFont val="Arial Narrow"/>
        <family val="2"/>
      </rPr>
      <t>T</t>
    </r>
    <r>
      <rPr>
        <sz val="10"/>
        <color theme="0"/>
        <rFont val="Arial Narrow"/>
        <family val="2"/>
      </rPr>
      <t xml:space="preserve">otal </t>
    </r>
    <r>
      <rPr>
        <b/>
        <u/>
        <sz val="10"/>
        <color theme="0"/>
        <rFont val="Arial Narrow"/>
        <family val="2"/>
      </rPr>
      <t>D</t>
    </r>
    <r>
      <rPr>
        <sz val="10"/>
        <color theme="0"/>
        <rFont val="Arial Narrow"/>
        <family val="2"/>
      </rPr>
      <t xml:space="preserve">evelopment </t>
    </r>
    <r>
      <rPr>
        <b/>
        <u/>
        <sz val="10"/>
        <color theme="0"/>
        <rFont val="Arial Narrow"/>
        <family val="2"/>
      </rPr>
      <t>C</t>
    </r>
    <r>
      <rPr>
        <sz val="10"/>
        <color theme="0"/>
        <rFont val="Arial Narrow"/>
        <family val="2"/>
      </rPr>
      <t>ost (TDC)</t>
    </r>
  </si>
  <si>
    <r>
      <t>Enter Final Federal and State Equity Factors (</t>
    </r>
    <r>
      <rPr>
        <b/>
        <sz val="10"/>
        <color theme="0"/>
        <rFont val="Arial Narrow"/>
        <family val="2"/>
      </rPr>
      <t>not</t>
    </r>
    <r>
      <rPr>
        <sz val="10"/>
        <color theme="0"/>
        <rFont val="Arial Narrow"/>
        <family val="2"/>
      </rPr>
      <t xml:space="preserve"> </t>
    </r>
    <r>
      <rPr>
        <b/>
        <sz val="10"/>
        <color theme="0"/>
        <rFont val="Arial Narrow"/>
        <family val="2"/>
      </rPr>
      <t>including GP contribution</t>
    </r>
    <r>
      <rPr>
        <sz val="10"/>
        <color theme="0"/>
        <rFont val="Arial Narrow"/>
        <family val="2"/>
      </rPr>
      <t>)</t>
    </r>
  </si>
  <si>
    <r>
      <t xml:space="preserve">Tax Credit PROJECT MAXIMUM - </t>
    </r>
    <r>
      <rPr>
        <sz val="10"/>
        <color theme="0"/>
        <rFont val="Arial Narrow"/>
        <family val="2"/>
      </rPr>
      <t>Lower of Basis Method, Gap Method or DCA Limit:</t>
    </r>
    <r>
      <rPr>
        <sz val="7"/>
        <color theme="0"/>
        <rFont val="Arial Narrow"/>
        <family val="2"/>
      </rPr>
      <t xml:space="preserve"> (round down)</t>
    </r>
  </si>
  <si>
    <r>
      <t xml:space="preserve">Tax Credit REQUEST - </t>
    </r>
    <r>
      <rPr>
        <sz val="10"/>
        <color theme="0"/>
        <rFont val="Arial Narrow"/>
        <family val="2"/>
      </rPr>
      <t>Cannot exceed Tax Credit Project Maximum, but may be lower:</t>
    </r>
  </si>
  <si>
    <r>
      <t>Tax Credit ALLOCATION -</t>
    </r>
    <r>
      <rPr>
        <b/>
        <sz val="10"/>
        <color theme="0"/>
        <rFont val="Arial Narrow"/>
        <family val="2"/>
      </rPr>
      <t xml:space="preserve"> </t>
    </r>
    <r>
      <rPr>
        <sz val="10"/>
        <color theme="0"/>
        <rFont val="Arial Narrow"/>
        <family val="2"/>
      </rPr>
      <t>Lower of Tax Credit Request and Tax Credit Project Maximum</t>
    </r>
  </si>
  <si>
    <r>
      <t xml:space="preserve">DEVELOPMENT COST SCHEDULE
Section Name
</t>
    </r>
    <r>
      <rPr>
        <sz val="10"/>
        <color theme="0"/>
        <rFont val="Arial"/>
        <family val="2"/>
      </rPr>
      <t>Section's Other Line Item</t>
    </r>
  </si>
  <si>
    <r>
      <t>DCA-RELATED COSTS</t>
    </r>
    <r>
      <rPr>
        <sz val="10"/>
        <color theme="0"/>
        <rFont val="Arial"/>
        <family val="2"/>
      </rPr>
      <t xml:space="preserve"> </t>
    </r>
  </si>
  <si>
    <r>
      <t>EQUITY COSTS</t>
    </r>
    <r>
      <rPr>
        <sz val="10"/>
        <color theme="0"/>
        <rFont val="Arial"/>
        <family val="2"/>
      </rPr>
      <t xml:space="preserve"> </t>
    </r>
  </si>
  <si>
    <r>
      <t>OTHER COSTS</t>
    </r>
    <r>
      <rPr>
        <sz val="10"/>
        <color theme="0"/>
        <rFont val="Arial"/>
        <family val="2"/>
      </rPr>
      <t xml:space="preserve"> </t>
    </r>
  </si>
  <si>
    <r>
      <rPr>
        <b/>
        <u/>
        <sz val="9"/>
        <color theme="0"/>
        <rFont val="Arial"/>
        <family val="2"/>
      </rPr>
      <t>Note</t>
    </r>
    <r>
      <rPr>
        <i/>
        <sz val="9"/>
        <color theme="0"/>
        <rFont val="Arial"/>
        <family val="2"/>
      </rPr>
      <t>: Elderly allowances cannot be used except at properties that have 100% HUD PBRA and satisfy the DCA definition of "Elderly".</t>
    </r>
  </si>
  <si>
    <t>Submetered*?</t>
  </si>
  <si>
    <t>*New Construction units MUST be sub-metered.</t>
  </si>
  <si>
    <r>
      <t xml:space="preserve">Certified Historic/ Deemed Historic? 
</t>
    </r>
    <r>
      <rPr>
        <sz val="8"/>
        <color theme="0"/>
        <rFont val="Arial"/>
        <family val="2"/>
      </rPr>
      <t>(See QAP)</t>
    </r>
  </si>
  <si>
    <r>
      <rPr>
        <b/>
        <sz val="10"/>
        <color theme="0"/>
        <rFont val="Arial"/>
        <family val="2"/>
      </rPr>
      <t xml:space="preserve">A. HOME </t>
    </r>
    <r>
      <rPr>
        <sz val="10"/>
        <color theme="0"/>
        <rFont val="Arial"/>
        <family val="2"/>
      </rPr>
      <t>Projects</t>
    </r>
    <r>
      <rPr>
        <b/>
        <sz val="9"/>
        <color theme="0"/>
        <rFont val="Arial"/>
        <family val="2"/>
      </rPr>
      <t xml:space="preserve">:  Fixed </t>
    </r>
    <r>
      <rPr>
        <sz val="9"/>
        <color theme="0"/>
        <rFont val="Arial"/>
        <family val="2"/>
      </rPr>
      <t>or</t>
    </r>
    <r>
      <rPr>
        <b/>
        <sz val="9"/>
        <color theme="0"/>
        <rFont val="Arial"/>
        <family val="2"/>
      </rPr>
      <t xml:space="preserve"> Floating </t>
    </r>
    <r>
      <rPr>
        <sz val="9"/>
        <color theme="0"/>
        <rFont val="Arial"/>
        <family val="2"/>
      </rPr>
      <t>units?</t>
    </r>
  </si>
  <si>
    <r>
      <t>AMI</t>
    </r>
    <r>
      <rPr>
        <sz val="8"/>
        <color theme="0"/>
        <rFont val="Arial"/>
        <family val="2"/>
      </rPr>
      <t xml:space="preserve"> (MTSP)</t>
    </r>
    <r>
      <rPr>
        <b/>
        <sz val="8"/>
        <color theme="0"/>
        <rFont val="Arial"/>
        <family val="2"/>
      </rPr>
      <t>:</t>
    </r>
  </si>
  <si>
    <r>
      <t xml:space="preserve">Subsidy </t>
    </r>
    <r>
      <rPr>
        <b/>
        <sz val="10"/>
        <color theme="0"/>
        <rFont val="Arial"/>
        <family val="2"/>
      </rPr>
      <t>***</t>
    </r>
  </si>
  <si>
    <r>
      <t xml:space="preserve">Type of Activity
</t>
    </r>
    <r>
      <rPr>
        <b/>
        <sz val="6"/>
        <color theme="0"/>
        <rFont val="Arial"/>
        <family val="2"/>
      </rPr>
      <t xml:space="preserve">(INCL </t>
    </r>
    <r>
      <rPr>
        <sz val="6"/>
        <color theme="0"/>
        <rFont val="Arial"/>
        <family val="2"/>
      </rPr>
      <t>Adapative Reuse</t>
    </r>
    <r>
      <rPr>
        <b/>
        <sz val="6"/>
        <color theme="0"/>
        <rFont val="Arial"/>
        <family val="2"/>
      </rPr>
      <t>)</t>
    </r>
  </si>
  <si>
    <r>
      <t xml:space="preserve">*NOTE: When selecting "PHA Operating Subsidy" in "PBRA Provider or Operating Subsidy" column,  also enter zero in "Proposed Gross Rent" column above </t>
    </r>
    <r>
      <rPr>
        <b/>
        <i/>
        <sz val="8"/>
        <color theme="0"/>
        <rFont val="Arial Narrow"/>
        <family val="2"/>
      </rPr>
      <t>AND</t>
    </r>
    <r>
      <rPr>
        <b/>
        <sz val="8"/>
        <color theme="0"/>
        <rFont val="Arial Narrow"/>
        <family val="2"/>
      </rPr>
      <t xml:space="preserve"> include PHA operating subsidy amount in "III. Ancillary and Other Income" section below.</t>
    </r>
  </si>
  <si>
    <r>
      <rPr>
        <b/>
        <i/>
        <sz val="9"/>
        <color theme="0"/>
        <rFont val="Arial"/>
        <family val="2"/>
      </rPr>
      <t xml:space="preserve">          </t>
    </r>
    <r>
      <rPr>
        <i/>
        <u/>
        <sz val="9"/>
        <color theme="0"/>
        <rFont val="Arial"/>
        <family val="2"/>
      </rPr>
      <t>Exact</t>
    </r>
    <r>
      <rPr>
        <sz val="9"/>
        <color theme="0"/>
        <rFont val="Arial"/>
        <family val="2"/>
      </rPr>
      <t xml:space="preserve"> units needed for equal %</t>
    </r>
  </si>
  <si>
    <r>
      <t xml:space="preserve">          Diff between Proposed &amp; </t>
    </r>
    <r>
      <rPr>
        <i/>
        <u/>
        <sz val="9"/>
        <color theme="0"/>
        <rFont val="Arial"/>
        <family val="2"/>
      </rPr>
      <t>Exact</t>
    </r>
  </si>
  <si>
    <r>
      <rPr>
        <sz val="9"/>
        <color theme="0"/>
        <rFont val="Arial"/>
        <family val="2"/>
      </rPr>
      <t>Equal distribution means the</t>
    </r>
    <r>
      <rPr>
        <sz val="10"/>
        <color theme="0"/>
        <rFont val="Arial"/>
        <family val="2"/>
      </rPr>
      <t xml:space="preserve"> </t>
    </r>
    <r>
      <rPr>
        <sz val="9"/>
        <color theme="0"/>
        <rFont val="Arial"/>
        <family val="2"/>
      </rPr>
      <t>Difference between the Proposed and Exact units is within 2 units - unless Pre-Approved otherwise by DCA</t>
    </r>
  </si>
  <si>
    <r>
      <t xml:space="preserve">UNIT SUMMARY </t>
    </r>
    <r>
      <rPr>
        <i/>
        <sz val="9"/>
        <color theme="0"/>
        <rFont val="Arial"/>
        <family val="2"/>
      </rPr>
      <t>(Continued)</t>
    </r>
  </si>
  <si>
    <t>Historic Adaptive Reuse</t>
  </si>
  <si>
    <r>
      <t xml:space="preserve">Building Type: (for </t>
    </r>
    <r>
      <rPr>
        <b/>
        <i/>
        <sz val="10"/>
        <color theme="0"/>
        <rFont val="Arial"/>
        <family val="2"/>
      </rPr>
      <t>Utility Allowance, Monitoring Fees, etc</t>
    </r>
    <r>
      <rPr>
        <sz val="10"/>
        <color theme="0"/>
        <rFont val="Arial"/>
        <family val="2"/>
      </rPr>
      <t xml:space="preserve">)
</t>
    </r>
  </si>
  <si>
    <r>
      <t xml:space="preserve">Building Type:
(for </t>
    </r>
    <r>
      <rPr>
        <b/>
        <i/>
        <sz val="10"/>
        <color theme="0"/>
        <rFont val="Arial"/>
        <family val="2"/>
      </rPr>
      <t>Cost Limit</t>
    </r>
    <r>
      <rPr>
        <sz val="10"/>
        <color theme="0"/>
        <rFont val="Arial"/>
        <family val="2"/>
      </rPr>
      <t xml:space="preserve"> </t>
    </r>
    <r>
      <rPr>
        <b/>
        <sz val="10"/>
        <color theme="0"/>
        <rFont val="Arial"/>
        <family val="2"/>
      </rPr>
      <t>purposes only</t>
    </r>
    <r>
      <rPr>
        <sz val="10"/>
        <color theme="0"/>
        <rFont val="Arial"/>
        <family val="2"/>
      </rPr>
      <t xml:space="preserve"> - </t>
    </r>
    <r>
      <rPr>
        <sz val="8"/>
        <color theme="0"/>
        <rFont val="Arial"/>
        <family val="2"/>
      </rPr>
      <t>see Application Instructions for further detail</t>
    </r>
    <r>
      <rPr>
        <sz val="10"/>
        <color theme="0"/>
        <rFont val="Arial"/>
        <family val="2"/>
      </rPr>
      <t>)</t>
    </r>
  </si>
  <si>
    <r>
      <t xml:space="preserve">Average Unit Sq Ft by </t>
    </r>
    <r>
      <rPr>
        <b/>
        <sz val="10"/>
        <color theme="0"/>
        <rFont val="Arial"/>
        <family val="2"/>
      </rPr>
      <t>AMI% Level</t>
    </r>
  </si>
  <si>
    <r>
      <t xml:space="preserve">Average Unit Square Footage by </t>
    </r>
    <r>
      <rPr>
        <b/>
        <sz val="10"/>
        <color theme="0"/>
        <rFont val="Arial"/>
        <family val="2"/>
      </rPr>
      <t>Unit Configuration</t>
    </r>
    <r>
      <rPr>
        <sz val="10"/>
        <color theme="0"/>
        <rFont val="Arial"/>
        <family val="2"/>
      </rPr>
      <t xml:space="preserve"> </t>
    </r>
    <r>
      <rPr>
        <sz val="8"/>
        <color theme="0"/>
        <rFont val="Arial"/>
        <family val="2"/>
      </rPr>
      <t>(Nbr of Bedrooms)</t>
    </r>
  </si>
  <si>
    <r>
      <t>Total Common Area Sq Ft</t>
    </r>
    <r>
      <rPr>
        <b/>
        <sz val="9"/>
        <color theme="0"/>
        <rFont val="Arial"/>
        <family val="2"/>
      </rPr>
      <t xml:space="preserve">   </t>
    </r>
    <r>
      <rPr>
        <sz val="9"/>
        <color theme="0"/>
        <rFont val="Arial Narrow"/>
        <family val="2"/>
      </rPr>
      <t>(from Nonresidential areas)</t>
    </r>
  </si>
  <si>
    <r>
      <t xml:space="preserve">ANCILLARY AND OTHER INCOME  </t>
    </r>
    <r>
      <rPr>
        <i/>
        <sz val="10"/>
        <color theme="0"/>
        <rFont val="Arial"/>
        <family val="2"/>
      </rPr>
      <t>(annual amounts)</t>
    </r>
  </si>
  <si>
    <r>
      <t xml:space="preserve">          Laundry, vending, app fees, etc.  </t>
    </r>
    <r>
      <rPr>
        <b/>
        <sz val="9"/>
        <color theme="0"/>
        <rFont val="Arial"/>
        <family val="2"/>
      </rPr>
      <t>Actual pct of Gross Potential Rents (GPR):</t>
    </r>
  </si>
  <si>
    <r>
      <t>NOT</t>
    </r>
    <r>
      <rPr>
        <i/>
        <sz val="9"/>
        <color theme="0"/>
        <rFont val="Arial"/>
        <family val="2"/>
      </rPr>
      <t xml:space="preserve"> Included in Mgt Fee:</t>
    </r>
  </si>
  <si>
    <r>
      <t xml:space="preserve">Total OI </t>
    </r>
    <r>
      <rPr>
        <b/>
        <sz val="9"/>
        <color theme="0"/>
        <rFont val="Arial"/>
        <family val="2"/>
      </rPr>
      <t>NOT</t>
    </r>
    <r>
      <rPr>
        <sz val="9"/>
        <color theme="0"/>
        <rFont val="Arial"/>
        <family val="2"/>
      </rPr>
      <t xml:space="preserve"> in Mgt Fee</t>
    </r>
  </si>
  <si>
    <r>
      <t>High-Speed Interne</t>
    </r>
    <r>
      <rPr>
        <sz val="8"/>
        <color theme="0"/>
        <rFont val="Arial Narrow"/>
        <family val="2"/>
      </rPr>
      <t>t (if applic)</t>
    </r>
  </si>
  <si>
    <r>
      <t xml:space="preserve">Real Estate Taxes </t>
    </r>
    <r>
      <rPr>
        <sz val="8"/>
        <color theme="0"/>
        <rFont val="Arial"/>
        <family val="2"/>
      </rPr>
      <t>(Gross)*</t>
    </r>
  </si>
  <si>
    <r>
      <t>Green-shaded cells are unlocked for your use and</t>
    </r>
    <r>
      <rPr>
        <b/>
        <sz val="9"/>
        <color theme="0"/>
        <rFont val="Arial Narrow"/>
        <family val="2"/>
      </rPr>
      <t xml:space="preserve"> contain</t>
    </r>
    <r>
      <rPr>
        <sz val="9"/>
        <color theme="0"/>
        <rFont val="Arial Narrow"/>
        <family val="2"/>
      </rPr>
      <t xml:space="preserve"> references/formulas that </t>
    </r>
    <r>
      <rPr>
        <b/>
        <sz val="9"/>
        <color theme="0"/>
        <rFont val="Arial Narrow"/>
        <family val="2"/>
      </rPr>
      <t>may</t>
    </r>
    <r>
      <rPr>
        <sz val="9"/>
        <color theme="0"/>
        <rFont val="Arial Narrow"/>
        <family val="2"/>
      </rPr>
      <t xml:space="preserve"> be overwritten if needed.</t>
    </r>
  </si>
  <si>
    <r>
      <t>Asset Management Fee Amount</t>
    </r>
    <r>
      <rPr>
        <sz val="9"/>
        <color theme="0"/>
        <rFont val="Arial"/>
        <family val="2"/>
      </rPr>
      <t xml:space="preserve"> </t>
    </r>
    <r>
      <rPr>
        <sz val="8"/>
        <color theme="0"/>
        <rFont val="Arial"/>
        <family val="2"/>
      </rPr>
      <t>(include total charged by all lenders/investors)</t>
    </r>
    <r>
      <rPr>
        <sz val="7"/>
        <color theme="0"/>
        <rFont val="Arial"/>
        <family val="2"/>
      </rPr>
      <t>. DCA Yrly fee:</t>
    </r>
  </si>
  <si>
    <t>ApplicantResponse</t>
  </si>
  <si>
    <r>
      <t>FINAL THRESHOLD DETERMINATION</t>
    </r>
    <r>
      <rPr>
        <sz val="11"/>
        <color theme="0"/>
        <rFont val="Arial"/>
        <family val="2"/>
      </rPr>
      <t xml:space="preserve"> (DCA Use Only)</t>
    </r>
  </si>
  <si>
    <r>
      <t xml:space="preserve">Confirm that the </t>
    </r>
    <r>
      <rPr>
        <b/>
        <i/>
        <sz val="11"/>
        <color theme="0"/>
        <rFont val="Arial"/>
        <family val="2"/>
      </rPr>
      <t>tenancy</t>
    </r>
    <r>
      <rPr>
        <sz val="11"/>
        <color theme="0"/>
        <rFont val="Arial"/>
        <family val="2"/>
      </rPr>
      <t xml:space="preserve"> selected in Emphasys is correct: </t>
    </r>
  </si>
  <si>
    <t>Applicant certifies that they will meet all requirements of the 2024-2025 QAP, III. Services.</t>
  </si>
  <si>
    <t>If the environmental professional has identified any of the conditions describe under the 2024-2025 QAP, VI. Environmental Requirements, I. Additional Standards, please provide an explanation below:</t>
  </si>
  <si>
    <t>Applicant certifies they will meet the requirements of the 2024-2025 QAP, XII. Required Amenities section and the 2025 Architectural Manual.</t>
  </si>
  <si>
    <r>
      <rPr>
        <b/>
        <sz val="11"/>
        <color theme="0"/>
        <rFont val="Arial"/>
        <family val="2"/>
      </rPr>
      <t>Standard Site Amenities</t>
    </r>
    <r>
      <rPr>
        <sz val="11"/>
        <color theme="0"/>
        <rFont val="Arial"/>
        <family val="2"/>
      </rPr>
      <t xml:space="preserve"> </t>
    </r>
    <r>
      <rPr>
        <i/>
        <sz val="11"/>
        <color theme="0"/>
        <rFont val="Arial"/>
        <family val="2"/>
      </rPr>
      <t>(select type)</t>
    </r>
  </si>
  <si>
    <r>
      <rPr>
        <b/>
        <sz val="11"/>
        <color theme="0"/>
        <rFont val="Arial"/>
        <family val="2"/>
      </rPr>
      <t>Additional Site Amenities and Approvals</t>
    </r>
    <r>
      <rPr>
        <sz val="11"/>
        <color theme="0"/>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</si>
  <si>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color theme="0"/>
        <rFont val="Arial"/>
        <family val="2"/>
      </rPr>
      <t>Architectural Manual</t>
    </r>
    <r>
      <rPr>
        <sz val="11"/>
        <color theme="0"/>
        <rFont val="Arial"/>
        <family val="2"/>
      </rPr>
      <t>, describe.</t>
    </r>
  </si>
  <si>
    <t>Applicant certifies that, at a minimum, all dwelling units will comply with the requirements of the 2024-2025 QAP, XV. Building Sustainability and the 2025 Architectural Manual.</t>
  </si>
  <si>
    <t>Applicant certifies that they will meet all requirements of the 2024-2025 QAP, XVI. Accessibility Standards section and the 2025 Accessibility Manual.</t>
  </si>
  <si>
    <r>
      <t xml:space="preserve">In accordance with the 2025 Accessibility Manual, the Mobility-Disabled and Hearing and Sight-Impaired Units commited to under XVI. Accessibility Standards, B. Mobility and Sensory-Impairments are </t>
    </r>
    <r>
      <rPr>
        <u/>
        <sz val="11"/>
        <color theme="0"/>
        <rFont val="Arial"/>
        <family val="2"/>
      </rPr>
      <t>in addition to</t>
    </r>
    <r>
      <rPr>
        <sz val="11"/>
        <color theme="0"/>
        <rFont val="Arial"/>
        <family val="2"/>
      </rPr>
      <t xml:space="preserve"> the accessible and adaptable units committed to Scoring VII. Integrated Supportive Housing, A. Supportive Housing Referrals. </t>
    </r>
  </si>
  <si>
    <t>Applicant certifies they will meet the standards and requirements of the 2024-2025 QAP, XVIII. Architectural Design &amp; Quality Standards section and the 2025 Architectural Manual.</t>
  </si>
  <si>
    <t xml:space="preserve">Did the Certifying Entity meet the Experience requirements in 2024? </t>
  </si>
  <si>
    <t>Did the Project Team receive a 2025 Project Team Qualification Determination letter from DCA?</t>
  </si>
  <si>
    <t>Has there been any change in the Project Team since this 2025 Qualification Determination submission?</t>
  </si>
  <si>
    <t>Did the Project Team receive a waiver or a waiver renewal for a Significant Adverse Event during the 2025 Qualification Determination review?</t>
  </si>
  <si>
    <t>DCA's 2025 Determination of Project Team's Qualification indicated a status of (select one):</t>
  </si>
  <si>
    <r>
      <rPr>
        <b/>
        <sz val="11"/>
        <color theme="0"/>
        <rFont val="Arial"/>
        <family val="2"/>
      </rPr>
      <t>RAD Set Aside</t>
    </r>
    <r>
      <rPr>
        <sz val="11"/>
        <color theme="0"/>
        <rFont val="Arial"/>
        <family val="2"/>
      </rPr>
      <t xml:space="preserve">: HUD has provided initial approval for a RAD conversion for the proposed development and at least </t>
    </r>
    <r>
      <rPr>
        <b/>
        <sz val="11"/>
        <color theme="0"/>
        <rFont val="Arial"/>
        <family val="2"/>
      </rPr>
      <t>50%</t>
    </r>
    <r>
      <rPr>
        <sz val="11"/>
        <color theme="0"/>
        <rFont val="Arial"/>
        <family val="2"/>
      </rPr>
      <t xml:space="preserve"> of units in the proposed development will maintain existing Project-based Rental Assistance or project-based operating subsidies through a program administered by HUD.</t>
    </r>
  </si>
  <si>
    <r>
      <rPr>
        <b/>
        <sz val="11"/>
        <color theme="0"/>
        <rFont val="Arial"/>
        <family val="2"/>
      </rPr>
      <t>Housing Tax Credit Set Aside</t>
    </r>
    <r>
      <rPr>
        <sz val="11"/>
        <color theme="0"/>
        <rFont val="Arial"/>
        <family val="2"/>
      </rPr>
      <t>:</t>
    </r>
  </si>
  <si>
    <r>
      <t xml:space="preserve">At least </t>
    </r>
    <r>
      <rPr>
        <b/>
        <sz val="11"/>
        <color theme="0"/>
        <rFont val="Arial"/>
        <family val="2"/>
      </rPr>
      <t>50%</t>
    </r>
    <r>
      <rPr>
        <sz val="11"/>
        <color theme="0"/>
        <rFont val="Arial"/>
        <family val="2"/>
      </rPr>
      <t xml:space="preserve"> of units in the proposed development are restricted under a LURC.</t>
    </r>
  </si>
  <si>
    <r>
      <rPr>
        <b/>
        <sz val="11"/>
        <color theme="0"/>
        <rFont val="Arial"/>
        <family val="2"/>
      </rPr>
      <t>HUD Rental Assistance Set Aside</t>
    </r>
    <r>
      <rPr>
        <sz val="11"/>
        <color theme="0"/>
        <rFont val="Arial"/>
        <family val="2"/>
      </rPr>
      <t xml:space="preserve">: Proposed development is not seeking to undergo a RAD conversion and at least </t>
    </r>
    <r>
      <rPr>
        <b/>
        <sz val="11"/>
        <color theme="0"/>
        <rFont val="Arial"/>
        <family val="2"/>
      </rPr>
      <t>50%</t>
    </r>
    <r>
      <rPr>
        <sz val="11"/>
        <color theme="0"/>
        <rFont val="Arial"/>
        <family val="2"/>
      </rPr>
      <t xml:space="preserve"> of units in the proposed development will maintain existing project-based rental assistance administered by HUD or a PHA.</t>
    </r>
  </si>
  <si>
    <t>Applicant certifies that the Application meets all requirements listed in the 2024-2025 QAP, XX. Eligibility for Credit Under the Non-Profit Set Aside to be eligible for the non-profit set aside.</t>
  </si>
  <si>
    <t>Has the Application received a waiver or approval of permanent displacement and/or temporary relocation during the 2025 Determination review?</t>
  </si>
  <si>
    <t>If selected, Applicant agrees to prepare and submit (prior to the start of lease-up) an AFFH Marketing plan that includes all of the items required under the 2024-2025 QAP, XXIII. Affirmatively Furthering Fair Housing.</t>
  </si>
  <si>
    <t>Applicant agrees that the proposed development meets all requirements under the 2024-2025 QAP, XXIV. Supportive Housing Requirements, A. Housing Opportunities for Persons with Disabilities.</t>
  </si>
  <si>
    <t>Applicant certifies that Property Management and Owner will comply with all requirements under the 2024-2025 QAP, XXIV. Supportive Housing Requirements, B. Operational Requirements.</t>
  </si>
  <si>
    <t>Applicant certifies they will meet the requirements of the 2024-2025 QAP, XXV. Tenant Selection section and the 2025 Compliance Manual.</t>
  </si>
  <si>
    <t>New Affordability 
Scoring Track</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</si>
  <si>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</si>
  <si>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</si>
  <si>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</si>
  <si>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r>
      <t xml:space="preserve">Waiver of Qualified Contract Right and Right of First Refusal </t>
    </r>
    <r>
      <rPr>
        <sz val="11"/>
        <color theme="0"/>
        <rFont val="Arial"/>
        <family val="2"/>
      </rPr>
      <t>(ROFR)</t>
    </r>
  </si>
  <si>
    <r>
      <t xml:space="preserve">Applicant commits, </t>
    </r>
    <r>
      <rPr>
        <b/>
        <i/>
        <u/>
        <sz val="11"/>
        <color theme="0"/>
        <rFont val="Arial"/>
        <family val="2"/>
      </rPr>
      <t>in addition</t>
    </r>
    <r>
      <rPr>
        <sz val="11"/>
        <color theme="0"/>
        <rFont val="Arial"/>
        <family val="2"/>
      </rPr>
      <t xml:space="preserve"> to the commitment in (A), to (select one):</t>
    </r>
  </si>
  <si>
    <t>TBD is acceptable if selecting Option A below.</t>
  </si>
  <si>
    <t>Appli-cant Agrees?</t>
  </si>
  <si>
    <t>For-profit or non-profit QB?</t>
  </si>
  <si>
    <t>Applicant certifies that the QB is not a Related Party to an individual or entity that has sufficient experience to receive “Qualified” or “Qualified with Conditions” designations (see (Threshold) Project Team Qualifications).</t>
  </si>
  <si>
    <t>Applicant commits to meet all requirements listed in this QAP section.</t>
  </si>
  <si>
    <t>One or more members of the Project Team is a QB which meets all requirements in this QAP section.</t>
  </si>
  <si>
    <t>If the QB partners with an entity designated as “Qualified” or “Qualified with Conditions” under (Threshold) Project Team Qualifications, the Applicant certifies that the QB will be demonstratively and actively engaged in the oversight, management, and execution of the proposed property.</t>
  </si>
  <si>
    <r>
      <t>Applicant Comments/Justification</t>
    </r>
    <r>
      <rPr>
        <i/>
        <sz val="8"/>
        <color theme="0"/>
        <rFont val="Arial"/>
        <family val="2"/>
      </rPr>
      <t xml:space="preserve"> </t>
    </r>
    <r>
      <rPr>
        <sz val="9"/>
        <color theme="0"/>
        <rFont val="Arial"/>
        <family val="2"/>
      </rPr>
      <t>(Optional but recommended)</t>
    </r>
  </si>
  <si>
    <t>TCAP loans passed through a Qualified CDFI revolving loan fund</t>
  </si>
  <si>
    <t>12.</t>
  </si>
  <si>
    <t>Applicant certifies that no funds other than what is disclosed in the Application have been or will be paid for the lease either directly or indirectly.</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</si>
  <si>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color theme="0"/>
        <rFont val="Arial"/>
        <family val="2"/>
      </rPr>
      <t>in addition to</t>
    </r>
    <r>
      <rPr>
        <sz val="11"/>
        <color theme="0"/>
        <rFont val="Arial"/>
        <family val="2"/>
      </rPr>
      <t xml:space="preserve"> the units required underThreshold XVI. Accessibility Standards.</t>
    </r>
  </si>
  <si>
    <t>Readiness to Proceed Documents</t>
  </si>
  <si>
    <t>Applicant claims points for the following Threshold documents submitted with Application or not applicable to Application due to construction activity:</t>
  </si>
  <si>
    <t>Readiness to Proceed Narrative</t>
  </si>
  <si>
    <t>(Applies to 4% Credits/Bonds Applications only)</t>
  </si>
  <si>
    <t>9% Credit Apps may claim pts under A or B.  4% Credits/Bonds Apps only eligible to claim pts under B.</t>
  </si>
  <si>
    <t>Percent of residential units with PBRA:</t>
  </si>
  <si>
    <t>Transit Agency/Service:     Name</t>
  </si>
  <si>
    <r>
      <rPr>
        <b/>
        <i/>
        <sz val="11"/>
        <color theme="0"/>
        <rFont val="Arial"/>
        <family val="2"/>
      </rPr>
      <t>Metro</t>
    </r>
    <r>
      <rPr>
        <sz val="11"/>
        <color theme="0"/>
        <rFont val="Arial"/>
        <family val="2"/>
      </rPr>
      <t xml:space="preserve"> Pool Applications proposing a site </t>
    </r>
    <r>
      <rPr>
        <u/>
        <sz val="11"/>
        <color theme="0"/>
        <rFont val="Arial"/>
        <family val="2"/>
      </rPr>
      <t>owned</t>
    </r>
    <r>
      <rPr>
        <sz val="11"/>
        <color theme="0"/>
        <rFont val="Arial"/>
        <family val="2"/>
      </rPr>
      <t xml:space="preserve"> by a public or local transit agency which has been strategically targeted by the agency to create housing with on-site or adjacent access to a transit hub.</t>
    </r>
  </si>
  <si>
    <r>
      <rPr>
        <b/>
        <i/>
        <sz val="11"/>
        <color theme="0"/>
        <rFont val="Arial"/>
        <family val="2"/>
      </rPr>
      <t>Metro</t>
    </r>
    <r>
      <rPr>
        <sz val="11"/>
        <color theme="0"/>
        <rFont val="Arial"/>
        <family val="2"/>
      </rPr>
      <t xml:space="preserve"> Pool Applications that propose a site within walking distance of a transit hub.</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</si>
  <si>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that propose a site within walking distance of a public transportation stop.</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</si>
  <si>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for which a publicly operated/sponsored on-call transportation service is available on-site.</t>
    </r>
  </si>
  <si>
    <r>
      <rPr>
        <b/>
        <i/>
        <sz val="11"/>
        <color theme="0"/>
        <rFont val="Arial"/>
        <family val="2"/>
      </rPr>
      <t xml:space="preserve">Rural </t>
    </r>
    <r>
      <rPr>
        <sz val="11"/>
        <color theme="0"/>
        <rFont val="Arial"/>
        <family val="2"/>
      </rPr>
      <t>Pool Applications demonstrating that a publicly operated/sponsored transit service that exists at the time of Application Submission will provide a reliable and available transportation option to all residents.</t>
    </r>
  </si>
  <si>
    <t>Grades Served</t>
  </si>
  <si>
    <r>
      <rPr>
        <b/>
        <sz val="10"/>
        <color theme="0"/>
        <rFont val="Arial"/>
        <family val="2"/>
      </rPr>
      <t>A)</t>
    </r>
    <r>
      <rPr>
        <sz val="10"/>
        <color theme="0"/>
        <rFont val="Arial"/>
        <family val="2"/>
      </rPr>
      <t xml:space="preserve"> Average of College and Career Readiness Performance Index (CCRPI) scores posted since 2018 are above state average?</t>
    </r>
  </si>
  <si>
    <r>
      <rPr>
        <b/>
        <sz val="10"/>
        <color theme="0"/>
        <rFont val="Arial"/>
        <family val="2"/>
      </rPr>
      <t>B)</t>
    </r>
    <r>
      <rPr>
        <sz val="10"/>
        <color theme="0"/>
        <rFont val="Arial"/>
        <family val="2"/>
      </rPr>
      <t xml:space="preserve">  School Receives 2018 or later “Beating the Odds” Designation?</t>
    </r>
  </si>
  <si>
    <r>
      <rPr>
        <b/>
        <sz val="10"/>
        <color theme="0"/>
        <rFont val="Arial"/>
        <family val="2"/>
      </rPr>
      <t xml:space="preserve">C) </t>
    </r>
    <r>
      <rPr>
        <sz val="10"/>
        <color theme="0"/>
        <rFont val="Arial"/>
        <family val="2"/>
      </rPr>
      <t>Average year-over-year change in CCRPI score between 2015 and 2019 is positive (excluding changes between 2017 and 2018)?</t>
    </r>
  </si>
  <si>
    <t>Total points earned toward Housing Needs Characteristics and Preservation Site Characteristics:</t>
  </si>
  <si>
    <r>
      <rPr>
        <b/>
        <sz val="11"/>
        <color theme="0"/>
        <rFont val="Arial"/>
        <family val="2"/>
      </rPr>
      <t>Requirements</t>
    </r>
    <r>
      <rPr>
        <sz val="11"/>
        <color theme="0"/>
        <rFont val="Arial"/>
        <family val="2"/>
      </rPr>
      <t xml:space="preserve"> - the Community Revitalization Plan (CRP):</t>
    </r>
  </si>
  <si>
    <t>Is officially adopted or re-adopted by a Qualified Local Government within ten years of Application Submission.</t>
  </si>
  <si>
    <r>
      <rPr>
        <b/>
        <sz val="11"/>
        <color theme="0"/>
        <rFont val="Arial"/>
        <family val="2"/>
      </rPr>
      <t>Qualified Census Tract</t>
    </r>
    <r>
      <rPr>
        <sz val="11"/>
        <color theme="0"/>
        <rFont val="Arial"/>
        <family val="2"/>
      </rPr>
      <t xml:space="preserve"> (QCT)</t>
    </r>
  </si>
  <si>
    <t>The CRP includes an assessment of the targeted area's existing infrastructure and designates implementation measures.</t>
  </si>
  <si>
    <t>The organizations associated with the partnerships engage in services associated with two or more sectors:</t>
  </si>
  <si>
    <t>Indicators above 50th percentile:</t>
  </si>
  <si>
    <r>
      <t xml:space="preserve">Applicant claims points for site being </t>
    </r>
    <r>
      <rPr>
        <b/>
        <sz val="11"/>
        <color theme="0"/>
        <rFont val="Arial"/>
        <family val="2"/>
      </rPr>
      <t>Near a Census Tract</t>
    </r>
    <r>
      <rPr>
        <sz val="11"/>
        <color theme="0"/>
        <rFont val="Arial"/>
        <family val="2"/>
      </rPr>
      <t xml:space="preserve"> for one or more indicators:</t>
    </r>
  </si>
  <si>
    <r>
      <t xml:space="preserve">Indicators
</t>
    </r>
    <r>
      <rPr>
        <sz val="11"/>
        <color theme="0"/>
        <rFont val="Arial"/>
        <family val="2"/>
      </rPr>
      <t xml:space="preserve">      </t>
    </r>
    <r>
      <rPr>
        <i/>
        <sz val="11"/>
        <color theme="0"/>
        <rFont val="Arial"/>
        <family val="2"/>
      </rPr>
      <t>Metric</t>
    </r>
  </si>
  <si>
    <t>Percentiles Per Metric</t>
  </si>
  <si>
    <t>Data Set Used</t>
  </si>
  <si>
    <r>
      <t xml:space="preserve">Applicant claims points for site being </t>
    </r>
    <r>
      <rPr>
        <b/>
        <i/>
        <sz val="11"/>
        <color theme="0"/>
        <rFont val="Arial"/>
        <family val="2"/>
      </rPr>
      <t>WITHIN a Census Tract</t>
    </r>
    <r>
      <rPr>
        <i/>
        <sz val="11"/>
        <color theme="0"/>
        <rFont val="Arial"/>
        <family val="2"/>
      </rPr>
      <t xml:space="preserve"> or 
</t>
    </r>
    <r>
      <rPr>
        <b/>
        <i/>
        <sz val="11"/>
        <color theme="0"/>
        <rFont val="Arial"/>
        <family val="2"/>
      </rPr>
      <t>NEAR a Census Tract</t>
    </r>
    <r>
      <rPr>
        <i/>
        <sz val="11"/>
        <color theme="0"/>
        <rFont val="Arial"/>
        <family val="2"/>
      </rPr>
      <t xml:space="preserve"> with indicators above the 50th percentile </t>
    </r>
  </si>
  <si>
    <t>Environmental Health Index</t>
  </si>
  <si>
    <t>Transit Access Index</t>
  </si>
  <si>
    <t>Jobs Proximity Index</t>
  </si>
  <si>
    <t>Above poverty level</t>
  </si>
  <si>
    <t>Applicants must select only one option under A, B, or C below.</t>
  </si>
  <si>
    <t>Metro Pool: Awards for Local Jurisdiction</t>
  </si>
  <si>
    <t>Nbr of awards within the Local Government Boundary (LGB) in the past 15 years</t>
  </si>
  <si>
    <t>If award within the LGB in the last 15 years, was the award received prior to January 1, 2019?</t>
  </si>
  <si>
    <t>Nbr of awards within a one-mile radius of the Application site</t>
  </si>
  <si>
    <t>Restricted units percentage of population</t>
  </si>
  <si>
    <r>
      <t>(</t>
    </r>
    <r>
      <rPr>
        <b/>
        <sz val="8"/>
        <color theme="0"/>
        <rFont val="Arial"/>
        <family val="2"/>
      </rPr>
      <t>Ineligible</t>
    </r>
    <r>
      <rPr>
        <sz val="8"/>
        <color theme="0"/>
        <rFont val="Arial"/>
        <family val="2"/>
      </rPr>
      <t>: 4% Credits/Bonds USDA Portfolio Set Aside Applications)</t>
    </r>
  </si>
  <si>
    <r>
      <rPr>
        <b/>
        <sz val="10"/>
        <color theme="0"/>
        <rFont val="Arial"/>
        <family val="2"/>
      </rPr>
      <t xml:space="preserve">Problem with Score Total? </t>
    </r>
    <r>
      <rPr>
        <sz val="10"/>
        <color theme="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</si>
  <si>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theme="0"/>
        <rFont val="Arial"/>
        <family val="2"/>
      </rPr>
      <t>Please avoid using space lines between paragraphs.  Use 5-space indentation instead</t>
    </r>
    <r>
      <rPr>
        <i/>
        <sz val="11"/>
        <color theme="0"/>
        <rFont val="Arial"/>
        <family val="2"/>
      </rPr>
      <t>.</t>
    </r>
  </si>
  <si>
    <r>
      <t>►</t>
    </r>
    <r>
      <rPr>
        <u/>
        <sz val="10"/>
        <color theme="0"/>
        <rFont val="Arial Narrow"/>
        <family val="2"/>
      </rPr>
      <t>Beds/Baths</t>
    </r>
    <r>
      <rPr>
        <sz val="10"/>
        <color theme="0"/>
        <rFont val="Arial Narrow"/>
        <family val="2"/>
      </rPr>
      <t>: All units identified have the same number of bedrooms and bathrooms.</t>
    </r>
  </si>
  <si>
    <r>
      <t>►</t>
    </r>
    <r>
      <rPr>
        <u/>
        <sz val="10"/>
        <color theme="0"/>
        <rFont val="Arial Narrow"/>
        <family val="2"/>
      </rPr>
      <t>Configuration</t>
    </r>
    <r>
      <rPr>
        <sz val="10"/>
        <color theme="0"/>
        <rFont val="Arial Narrow"/>
        <family val="2"/>
      </rPr>
      <t>: There are no other obvious differences between the units, such as add'l. rooms or significant differences in layout.</t>
    </r>
  </si>
  <si>
    <r>
      <t>►</t>
    </r>
    <r>
      <rPr>
        <u/>
        <sz val="10"/>
        <color theme="0"/>
        <rFont val="Arial Narrow"/>
        <family val="2"/>
      </rPr>
      <t>Sq. Footage</t>
    </r>
    <r>
      <rPr>
        <sz val="10"/>
        <color theme="0"/>
        <rFont val="Arial Narrow"/>
        <family val="2"/>
      </rPr>
      <t>: All units of this type have square footage within a small variation of the average of this grouping of units.</t>
    </r>
  </si>
  <si>
    <r>
      <t>►</t>
    </r>
    <r>
      <rPr>
        <u/>
        <sz val="10"/>
        <color theme="0"/>
        <rFont val="Arial Narrow"/>
        <family val="2"/>
      </rPr>
      <t>Finishes/Amenities</t>
    </r>
    <r>
      <rPr>
        <sz val="10"/>
        <color theme="0"/>
        <rFont val="Arial Narrow"/>
        <family val="2"/>
      </rPr>
      <t>: All units in this type are substantially similar in terms of unit amenities, fixtures, and finishes.</t>
    </r>
  </si>
  <si>
    <r>
      <t xml:space="preserve">Total Units </t>
    </r>
    <r>
      <rPr>
        <sz val="8"/>
        <color theme="0"/>
        <rFont val="Arial Narrow"/>
        <family val="2"/>
      </rPr>
      <t>per Type</t>
    </r>
  </si>
  <si>
    <r>
      <rPr>
        <b/>
        <sz val="11"/>
        <color theme="0"/>
        <rFont val="Arial Narrow"/>
        <family val="2"/>
      </rPr>
      <t>Nbr of Bedrooms</t>
    </r>
    <r>
      <rPr>
        <sz val="11"/>
        <color theme="0"/>
        <rFont val="Arial Narrow"/>
        <family val="2"/>
      </rPr>
      <t xml:space="preserve">
</t>
    </r>
    <r>
      <rPr>
        <sz val="8"/>
        <color theme="0"/>
        <rFont val="Arial Narrow"/>
        <family val="2"/>
      </rPr>
      <t>(0, 1, 2, 3, 4, 5 BRs)</t>
    </r>
  </si>
  <si>
    <r>
      <rPr>
        <b/>
        <sz val="11"/>
        <color theme="0"/>
        <rFont val="Arial Narrow"/>
        <family val="2"/>
      </rPr>
      <t>Bathrooms</t>
    </r>
    <r>
      <rPr>
        <sz val="11"/>
        <color theme="0"/>
        <rFont val="Arial Narrow"/>
        <family val="2"/>
      </rPr>
      <t xml:space="preserve"> 
</t>
    </r>
    <r>
      <rPr>
        <sz val="8"/>
        <color theme="0"/>
        <rFont val="Arial Narrow"/>
        <family val="2"/>
      </rPr>
      <t>(1.0, 1.5, 2.0, 2.5, 3.0, 3.5, 4.0)</t>
    </r>
  </si>
  <si>
    <t>Hall Group, LLC</t>
  </si>
  <si>
    <t>ghall@hallhousing.net</t>
  </si>
  <si>
    <t>Gary Hall</t>
  </si>
  <si>
    <t>President</t>
  </si>
  <si>
    <t>jdchambless@pwigc.net</t>
  </si>
  <si>
    <t>John David Chambless</t>
  </si>
  <si>
    <t>Director of Development</t>
  </si>
  <si>
    <t>The Groves</t>
  </si>
  <si>
    <t>Unincorporated County</t>
  </si>
  <si>
    <t>Amortizing</t>
  </si>
  <si>
    <t>PNA</t>
  </si>
  <si>
    <t>Front-End Cost Review</t>
  </si>
  <si>
    <t>Energy Audit</t>
  </si>
  <si>
    <t>DCA-required due diligence report</t>
  </si>
  <si>
    <t>PNA is directly tied to the buildings in the project.</t>
  </si>
  <si>
    <t>Front-end cost review is directly tied to the buildings in the project.</t>
  </si>
  <si>
    <t>Energy Audit is directly tied to the buildings in the project.</t>
  </si>
  <si>
    <t>DCA Utility Allowance Schedule</t>
  </si>
  <si>
    <t>Acquisition/Rehab</t>
  </si>
  <si>
    <t>Workmens Comp</t>
  </si>
  <si>
    <t xml:space="preserve">The applicant has submitted a proposal which conforms to the 2026 QAP. All costs for Development and Construction have been carefully underwritten based upon experience with previous and current LIHTC projects. Federal and State equity pricing is competitive and provided by experienced LIHTC syndicators and are appropriate for their yields. Operating costs have been proposed based on experience with the current property and other LIHTC properties. Rents have been set within the allowable limits per DCA instructions and the most current utiiltiy allowances from DCA have been utilized. </t>
  </si>
  <si>
    <t>Agree</t>
  </si>
  <si>
    <t>The applicant certifies they will meet all requirements of the 2026 QAP, II. Cost Limits section.</t>
  </si>
  <si>
    <t>The applicant has elected family tenancy for this project.</t>
  </si>
  <si>
    <t>Applicant agrees to provide the required number and kinds of services as required in the 2026 QAP for projects with a family tenancy.</t>
  </si>
  <si>
    <t>Novogradac</t>
  </si>
  <si>
    <t>The market study has been completed by a well-known and capable third party market analyst and included in the Tab 8 of the application. The report found that there is adequate support for the subject property as proposed and that it will fill an unmet demand for affordable housing in the area. The report also found that the addition of the Subject to the market will not impact the existing LIHTC properties.</t>
  </si>
  <si>
    <t>An appraisal is not required at the time this application is submitted. The applicant will provide an appraisal when required.</t>
  </si>
  <si>
    <t>TTL, Inc.</t>
  </si>
  <si>
    <t>The proposed project is only contemplating the rehabiliation of the existing structures. The wetlands on site wil not be disturbed.</t>
  </si>
  <si>
    <t>The applicant has conducted a thorough environmental review in accordance with ASTM standards through a qualified, third-party Environmental Professional. Please refer to the Phase I ESA included with this application.</t>
  </si>
  <si>
    <t>The development has direct access to Rainwater Road, a public paved road.</t>
  </si>
  <si>
    <t>Per the 2026 QAP, rehabilitation projects are not required to include a zoning letter.</t>
  </si>
  <si>
    <t>Per the 2026 QAP, rehabilitation projects are not required to include a utility letter.</t>
  </si>
  <si>
    <t>Per the 2026 QAP, rehabilitation projects are not required to include a water/sewer letter.</t>
  </si>
  <si>
    <t>Newbanks</t>
  </si>
  <si>
    <t>Substantial Rehab Non-Gutted</t>
  </si>
  <si>
    <t xml:space="preserve">The applicant has developed a scope of work which includes all applicant-identified needs at the property, as well as including all DCA requirements and recommendations of the PNA. </t>
  </si>
  <si>
    <t>Building Sustainability Threshold is not required at the Competitive Review Stage. Relevant information will be provided as required at the full application stage.</t>
  </si>
  <si>
    <t>Yes - see Comment</t>
  </si>
  <si>
    <t>The proposed project team was determined by DCA to be "Qualified". The QD Letter (2026-QD019) is included with this application.</t>
  </si>
  <si>
    <t>Disagree</t>
  </si>
  <si>
    <t>N/A - 9%</t>
  </si>
  <si>
    <t>The applicant is not applying under the nonprofit setaside, therefore this section has been intentionally left blank.</t>
  </si>
  <si>
    <t>Any required legal opinions will be provided at Threshold review.</t>
  </si>
  <si>
    <t>This project will comply with all Affirmatively Furthering Fair Housing Laws and DCA requirements.</t>
  </si>
  <si>
    <t>This project will comply with all Supportive Housing Requirements and DCA requirements.</t>
  </si>
  <si>
    <t>This project will comply with all DCA requirements that pertain to Tenant Selection.</t>
  </si>
  <si>
    <t>This project will comply with all DCA requirements that pertain to the DCA PBRA Agreement section.</t>
  </si>
  <si>
    <t>The project will comply with all DCA requirements that pertain to the Waiver of Qualified Contract right section.</t>
  </si>
  <si>
    <t>The owners will ensure the complete, effective, efficient, and lawful utilization of the low income housing tax credits if awarded by DCA.</t>
  </si>
  <si>
    <t>Seller Loan</t>
  </si>
  <si>
    <t>Existing ODR &amp; Cash Flow Res.</t>
  </si>
  <si>
    <t>9% Housing Tax Credit</t>
  </si>
  <si>
    <t>N/a</t>
  </si>
  <si>
    <t>40% of Units at 60% of AMI</t>
  </si>
  <si>
    <t>9% Credits</t>
  </si>
  <si>
    <t>The Applicant commits to accept service provider referrals at the proposed development for the required number of units noted in this section.</t>
  </si>
  <si>
    <t>N/A-9%</t>
  </si>
  <si>
    <t>Submitted</t>
  </si>
  <si>
    <t>Applicant commits to meet all requirements under IX. HCV and PHA Notices.</t>
  </si>
  <si>
    <t>Eight Street Middle School l received a 2024 or later "Beating the Odds" Designation. Documentation is included in the application.</t>
  </si>
  <si>
    <t>The applicant is not claiming points under this section, therefore it has been intentionally left blank.</t>
  </si>
  <si>
    <t>WITHIN Census Tract</t>
  </si>
  <si>
    <t>The census tract the proposed project is located in is above the 50th percentice per metric in 5 indicators. Evidence is included in the application.</t>
  </si>
  <si>
    <t>City of Tifton</t>
  </si>
  <si>
    <t>DCA HOME Loan (Existing)</t>
  </si>
  <si>
    <t>The applicant has provided all applicable items requested under VII. Readiness to Proceed.</t>
  </si>
  <si>
    <t>A completed Desirables Certification form is included, along with the required maps/directions, child care license, and other required documentation. The applicant has identified 23.5 potential Desirables points for this section, which exceeds the maximum.</t>
  </si>
  <si>
    <t>The applicant is not claiming points under USDA Additional Criteria, therefore it has been intentionally left blank.</t>
  </si>
  <si>
    <t>The applicant commits to accept for resident services coordination from an entity certified as a “3rd Party Resident Services Coordination Contractor” by CORES or other DCA-approved program.</t>
  </si>
  <si>
    <t>Fixed</t>
  </si>
  <si>
    <t>HUD</t>
  </si>
  <si>
    <t>Budgeted costs for real estate tax and insurance are based on actual data from the 2025 financial statements.</t>
  </si>
  <si>
    <t>Purchase Contract</t>
  </si>
  <si>
    <t>Site control is in place via Purchase Contract.</t>
  </si>
  <si>
    <t>Tifton Groves New Apartments, LP</t>
  </si>
  <si>
    <t>Building</t>
  </si>
  <si>
    <t>Gazebo</t>
  </si>
  <si>
    <t>On-site laundry</t>
  </si>
  <si>
    <t>All required amenities will be provided.</t>
  </si>
  <si>
    <t>RMS, Inc.</t>
  </si>
  <si>
    <t>https://www.rmsinc.org/</t>
  </si>
  <si>
    <t>229-560-3086</t>
  </si>
  <si>
    <t>john.hobdy@rmsinc.org</t>
  </si>
  <si>
    <t>RMS, Inc. operates in Tift County. Please refer to the letter from RMS, Inc. included in Folder 11.</t>
  </si>
  <si>
    <t>The City of Tifton GICH committee awarded it's 2025 support letter to this project.  Letters from the GICH primary contact as well the city and county governments are included.</t>
  </si>
  <si>
    <t>ServisFirst</t>
  </si>
  <si>
    <t>Raymond James</t>
  </si>
  <si>
    <t>Cabretta Capital</t>
  </si>
  <si>
    <t>A conforming CSDP has been included with the application.</t>
  </si>
  <si>
    <t>The proposed project qualifiesfor the Housing Tax Credit Set-Aside as defined in the QAP. More than 50% of the units are covered by an existing LURC.</t>
  </si>
  <si>
    <t>Applicant expects to comply with all required DCA accessibility regulations and standards. Waivers are not required until a later date, and if any waivers are submitted and subsequently denied, the project will comply with all requirements of the 2026 QAP and Accessibility Manual. A Qualified Consultant will be selected at a later date, per the 2026 QAP. Accessible and adaptable units required for Integrated Supportive Housing points are in addition to those shown here, as the same units cannot satisfy both criteria.</t>
  </si>
  <si>
    <t>The project expects to comply with all applicable DCA architectural design and quality standards. Waivers are not required until a later date, and if any waivers are submitted and subsequently denied, the project will comply with all requirements of the 2026 QAP and Accessibility Manual. This information is not required at the time of this application submission per the 2026 QAP, and will be submitted at a later date.</t>
  </si>
  <si>
    <t>The applicant submitted all required relocation documentation due prior to the Competitive Review. No permanent relocation is anticipated in this project The applicant has engaged Custom Relocation Specialists to assist in the development of the relocation plan. The owners of Custom Relocation Specialists have over fifteen years of experience in relocations within the multi-family housing industry. Custom Relocation Specialists assists developers with relocation planning for tax credit applications in multiple states as well as providing turn-key relocation services during renovations. The relocation plan will be provided at Threshold Review.</t>
  </si>
  <si>
    <t>The proposed transaction involves the creation of a new ownership entity which will receive a loan it has never been party to before, therefore for the purposes of this tax partnership this is new debt. The lender has agreed to transfer the HOME loan from the existing borrower to this newly formed entity and re-amortize the debt with the new borrower. As this represents new indebtedness by a new borrower with new terms, this loan should be considered a qualifying favorable financing source under the 2026 Qualified Allocation Plan.
Recognition of the assumed HOME loan as qualifying financing is also consistent with the policy objectives of the QAP. The transaction preserves existing affordable housing resources, maintains long-term affordability restrictions, and leverages below-market public financing to facilitate rehabilitation and recapitalization of the property while maximizing the efficient use of tax credits. Treating the assumed HOME obligation as qualifying debt encourages preservation transactions and promotes continuity of affordability.
For these reasons, the assumed HOME loan should be considered eligible financing for purposes of scoring and evaluation under the 2026 Qualified Allocation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</si>
</sst>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0.000%"/>
    <numFmt numFmtId="167" formatCode="[&lt;=9999999]###\-####;\(###\)\ ###\-####"/>
    <numFmt numFmtId="168" formatCode="#,##0.0000_);[Red]\(#,##0.0000\)"/>
    <numFmt numFmtId="169" formatCode="00000\-0000"/>
    <numFmt numFmtId="170" formatCode="0.0000"/>
    <numFmt numFmtId="171" formatCode="0.00000%"/>
    <numFmt numFmtId="172" formatCode="0.000&quot;  &quot;"/>
    <numFmt numFmtId="173" formatCode="0.0000%"/>
    <numFmt numFmtId="174" formatCode="[$-409]mmmm\ d\,\ yyyy;@"/>
    <numFmt numFmtId="175" formatCode="m/d/yy;@"/>
    <numFmt numFmtId="176" formatCode="&quot;$&quot;#,##0.00"/>
    <numFmt numFmtId="177" formatCode="#,##0.0000"/>
    <numFmt numFmtId="178" formatCode="_([$€-2]* #,##0.00_);_([$€-2]* \(#,##0.00\);_([$€-2]* &quot;-&quot;??_)"/>
    <numFmt numFmtId="179" formatCode="0.00_);[Red]\(0.00\)"/>
    <numFmt numFmtId="180" formatCode="&quot;$&quot;#,##0"/>
    <numFmt numFmtId="181" formatCode="#,##0.0_);[Red]\(#,##0.0\)"/>
    <numFmt numFmtId="182" formatCode="0;\-0;&quot;-&quot;"/>
    <numFmt numFmtId="183" formatCode="0.0"/>
    <numFmt numFmtId="184" formatCode="0.000;\-0.000;&quot;-&quot;"/>
    <numFmt numFmtId="185" formatCode="0.000"/>
    <numFmt numFmtId="186" formatCode="#,##0.0"/>
    <numFmt numFmtId="187" formatCode="#,##0;[Red]#,##0"/>
    <numFmt numFmtId="188" formatCode="00000"/>
    <numFmt numFmtId="189" formatCode="_(&quot;$&quot;* #,##0_);_(&quot;$&quot;* \(#,##0\);_(&quot;$&quot;* &quot;-&quot;??_);_(@_)"/>
  </numFmts>
  <fonts count="343">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u/>
      <sz val="10"/>
      <color indexed="12"/>
      <name val="Arial"/>
      <family val="2"/>
    </font>
    <font>
      <sz val="8"/>
      <name val="Arial"/>
      <family val="2"/>
    </font>
    <font>
      <b/>
      <sz val="10"/>
      <name val="Arial"/>
      <family val="2"/>
    </font>
    <font>
      <sz val="11"/>
      <name val="Arial"/>
      <family val="2"/>
    </font>
    <font>
      <b/>
      <sz val="9"/>
      <name val="Arial"/>
      <family val="2"/>
    </font>
    <font>
      <sz val="7"/>
      <name val="Arial"/>
      <family val="2"/>
    </font>
    <font>
      <sz val="10"/>
      <name val="Arial"/>
      <family val="2"/>
    </font>
    <font>
      <sz val="9"/>
      <name val="Arial"/>
      <family val="2"/>
    </font>
    <font>
      <b/>
      <sz val="8"/>
      <name val="Arial"/>
      <family val="2"/>
    </font>
    <font>
      <sz val="9"/>
      <color indexed="10"/>
      <name val="Arial"/>
      <family val="2"/>
    </font>
    <font>
      <i/>
      <sz val="8"/>
      <name val="Arial"/>
      <family val="2"/>
    </font>
    <font>
      <sz val="8"/>
      <name val="Garamond"/>
      <family val="1"/>
    </font>
    <font>
      <sz val="11"/>
      <name val="Garamond"/>
      <family val="1"/>
    </font>
    <font>
      <b/>
      <i/>
      <sz val="10"/>
      <name val="Arial"/>
      <family val="2"/>
    </font>
    <font>
      <sz val="10"/>
      <name val="Arial"/>
      <family val="2"/>
    </font>
    <font>
      <i/>
      <sz val="10"/>
      <name val="Arial"/>
      <family val="2"/>
    </font>
    <font>
      <b/>
      <i/>
      <sz val="9"/>
      <name val="Arial"/>
      <family val="2"/>
    </font>
    <font>
      <b/>
      <i/>
      <sz val="8"/>
      <name val="Arial"/>
      <family val="2"/>
    </font>
    <font>
      <b/>
      <sz val="11"/>
      <name val="Arial"/>
      <family val="2"/>
    </font>
    <font>
      <b/>
      <sz val="10"/>
      <color indexed="10"/>
      <name val="Arial"/>
      <family val="2"/>
    </font>
    <font>
      <sz val="10"/>
      <color indexed="9"/>
      <name val="Arial"/>
      <family val="2"/>
    </font>
    <font>
      <i/>
      <sz val="9"/>
      <name val="Arial"/>
      <family val="2"/>
    </font>
    <font>
      <b/>
      <sz val="10"/>
      <color indexed="9"/>
      <name val="Arial"/>
      <family val="2"/>
    </font>
    <font>
      <sz val="10"/>
      <name val="Garamond"/>
      <family val="1"/>
    </font>
    <font>
      <sz val="10"/>
      <name val="Geneva"/>
    </font>
    <font>
      <b/>
      <sz val="9"/>
      <color indexed="9"/>
      <name val="Arial"/>
      <family val="2"/>
    </font>
    <font>
      <b/>
      <sz val="9"/>
      <color indexed="10"/>
      <name val="Arial"/>
      <family val="2"/>
    </font>
    <font>
      <b/>
      <sz val="16"/>
      <color indexed="10"/>
      <name val="Arial"/>
      <family val="2"/>
    </font>
    <font>
      <b/>
      <u/>
      <sz val="8"/>
      <name val="Arial"/>
      <family val="2"/>
    </font>
    <font>
      <sz val="9"/>
      <color indexed="9"/>
      <name val="Arial"/>
      <family val="2"/>
    </font>
    <font>
      <b/>
      <sz val="12"/>
      <color indexed="10"/>
      <name val="Arial"/>
      <family val="2"/>
    </font>
    <font>
      <sz val="9"/>
      <name val="Arial Narrow"/>
      <family val="2"/>
    </font>
    <font>
      <sz val="8"/>
      <name val="Arial Narrow"/>
      <family val="2"/>
    </font>
    <font>
      <b/>
      <sz val="9"/>
      <color indexed="12"/>
      <name val="Arial Narrow"/>
      <family val="2"/>
    </font>
    <font>
      <b/>
      <sz val="9"/>
      <name val="Arial Narrow"/>
      <family val="2"/>
    </font>
    <font>
      <sz val="10"/>
      <name val="Arial Narrow"/>
      <family val="2"/>
    </font>
    <font>
      <b/>
      <u/>
      <sz val="8"/>
      <name val="Arial Narrow"/>
      <family val="2"/>
    </font>
    <font>
      <u/>
      <sz val="8"/>
      <name val="Arial Narrow"/>
      <family val="2"/>
    </font>
    <font>
      <b/>
      <sz val="8"/>
      <color indexed="12"/>
      <name val="Arial Narrow"/>
      <family val="2"/>
    </font>
    <font>
      <sz val="7"/>
      <name val="Arial Narrow"/>
      <family val="2"/>
    </font>
    <font>
      <sz val="8"/>
      <color indexed="8"/>
      <name val="Arial Narrow"/>
      <family val="2"/>
    </font>
    <font>
      <i/>
      <sz val="8"/>
      <name val="Arial Narrow"/>
      <family val="2"/>
    </font>
    <font>
      <b/>
      <u/>
      <sz val="10"/>
      <name val="Arial"/>
      <family val="2"/>
    </font>
    <font>
      <b/>
      <sz val="10"/>
      <name val="Arial Narrow"/>
      <family val="2"/>
    </font>
    <font>
      <b/>
      <sz val="10"/>
      <color indexed="9"/>
      <name val="Arial Narrow"/>
      <family val="2"/>
    </font>
    <font>
      <b/>
      <sz val="10"/>
      <color indexed="10"/>
      <name val="Arial Narrow"/>
      <family val="2"/>
    </font>
    <font>
      <b/>
      <u/>
      <sz val="10"/>
      <name val="Arial Narrow"/>
      <family val="2"/>
    </font>
    <font>
      <sz val="10"/>
      <color indexed="9"/>
      <name val="Arial Narrow"/>
      <family val="2"/>
    </font>
    <font>
      <sz val="8"/>
      <color indexed="9"/>
      <name val="Arial Narrow"/>
      <family val="2"/>
    </font>
    <font>
      <sz val="10"/>
      <color indexed="10"/>
      <name val="Arial Narrow"/>
      <family val="2"/>
    </font>
    <font>
      <b/>
      <i/>
      <sz val="10"/>
      <color indexed="9"/>
      <name val="Arial Narrow"/>
      <family val="2"/>
    </font>
    <font>
      <b/>
      <i/>
      <sz val="10"/>
      <name val="Arial Narrow"/>
      <family val="2"/>
    </font>
    <font>
      <i/>
      <sz val="10"/>
      <name val="Arial Narrow"/>
      <family val="2"/>
    </font>
    <font>
      <b/>
      <i/>
      <u/>
      <sz val="10"/>
      <name val="Arial Narrow"/>
      <family val="2"/>
    </font>
    <font>
      <u/>
      <sz val="10"/>
      <name val="Arial Narrow"/>
      <family val="2"/>
    </font>
    <font>
      <sz val="8"/>
      <color indexed="10"/>
      <name val="Arial Narrow"/>
      <family val="2"/>
    </font>
    <font>
      <b/>
      <sz val="12"/>
      <color indexed="10"/>
      <name val="Arial Narrow"/>
      <family val="2"/>
    </font>
    <font>
      <b/>
      <sz val="9"/>
      <color indexed="10"/>
      <name val="Arial Narrow"/>
      <family val="2"/>
    </font>
    <font>
      <u/>
      <sz val="9"/>
      <color indexed="12"/>
      <name val="Arial Narrow"/>
      <family val="2"/>
    </font>
    <font>
      <sz val="10"/>
      <color indexed="10"/>
      <name val="Arial"/>
      <family val="2"/>
    </font>
    <font>
      <b/>
      <i/>
      <sz val="10"/>
      <color indexed="10"/>
      <name val="Arial"/>
      <family val="2"/>
    </font>
    <font>
      <b/>
      <i/>
      <sz val="9"/>
      <color indexed="10"/>
      <name val="Arial"/>
      <family val="2"/>
    </font>
    <font>
      <i/>
      <u/>
      <sz val="8"/>
      <name val="Arial Narrow"/>
      <family val="2"/>
    </font>
    <font>
      <u/>
      <sz val="9"/>
      <name val="Arial Narrow"/>
      <family val="2"/>
    </font>
    <font>
      <sz val="11"/>
      <name val="Arial Narrow"/>
      <family val="2"/>
    </font>
    <font>
      <b/>
      <sz val="12"/>
      <name val="Arial Narrow"/>
      <family val="2"/>
    </font>
    <font>
      <sz val="8"/>
      <color indexed="10"/>
      <name val="Arial"/>
      <family val="2"/>
    </font>
    <font>
      <b/>
      <sz val="8"/>
      <color indexed="10"/>
      <name val="Arial Narrow"/>
      <family val="2"/>
    </font>
    <font>
      <sz val="8"/>
      <color rgb="FFFF0000"/>
      <name val="Arial Narrow"/>
      <family val="2"/>
    </font>
    <font>
      <sz val="9"/>
      <color rgb="FF00B050"/>
      <name val="Arial"/>
      <family val="2"/>
    </font>
    <font>
      <sz val="10"/>
      <color rgb="FF00B050"/>
      <name val="Arial"/>
      <family val="2"/>
    </font>
    <font>
      <b/>
      <sz val="9"/>
      <color rgb="FF00B050"/>
      <name val="Arial"/>
      <family val="2"/>
    </font>
    <font>
      <b/>
      <sz val="10"/>
      <color theme="0"/>
      <name val="Arial"/>
      <family val="2"/>
    </font>
    <font>
      <b/>
      <sz val="8"/>
      <name val="Arial Narrow"/>
      <family val="2"/>
    </font>
    <font>
      <b/>
      <sz val="10"/>
      <color rgb="FFFF0000"/>
      <name val="Arial Narrow"/>
      <family val="2"/>
    </font>
    <font>
      <b/>
      <sz val="10"/>
      <color theme="0"/>
      <name val="Arial Narrow"/>
      <family val="2"/>
    </font>
    <font>
      <b/>
      <sz val="9"/>
      <color theme="0"/>
      <name val="Arial Narrow"/>
      <family val="2"/>
    </font>
    <font>
      <b/>
      <sz val="11"/>
      <name val="Arial Narrow"/>
      <family val="2"/>
    </font>
    <font>
      <b/>
      <i/>
      <sz val="8"/>
      <color indexed="10"/>
      <name val="Arial Narrow"/>
      <family val="2"/>
    </font>
    <font>
      <sz val="8"/>
      <color rgb="FFFF0000"/>
      <name val="Arial"/>
      <family val="2"/>
    </font>
    <font>
      <b/>
      <sz val="8"/>
      <color rgb="FFFF0000"/>
      <name val="Arial"/>
      <family val="2"/>
    </font>
    <font>
      <sz val="10"/>
      <color theme="0"/>
      <name val="Arial"/>
      <family val="2"/>
    </font>
    <font>
      <sz val="8"/>
      <color theme="0"/>
      <name val="Arial"/>
      <family val="2"/>
    </font>
    <font>
      <sz val="7"/>
      <color rgb="FFFF0000"/>
      <name val="Arial Narrow"/>
      <family val="2"/>
    </font>
    <font>
      <sz val="8"/>
      <color theme="0"/>
      <name val="Arial Narrow"/>
      <family val="2"/>
    </font>
    <font>
      <sz val="9"/>
      <color theme="0"/>
      <name val="Arial"/>
      <family val="2"/>
    </font>
    <font>
      <b/>
      <sz val="11"/>
      <color indexed="10"/>
      <name val="Arial"/>
      <family val="2"/>
    </font>
    <font>
      <b/>
      <sz val="10"/>
      <color rgb="FFFF0000"/>
      <name val="Arial"/>
      <family val="2"/>
    </font>
    <font>
      <b/>
      <sz val="14"/>
      <color indexed="10"/>
      <name val="Arial"/>
      <family val="2"/>
    </font>
    <font>
      <b/>
      <sz val="7"/>
      <color rgb="FFFF0000"/>
      <name val="Arial Narrow"/>
      <family val="2"/>
    </font>
    <font>
      <b/>
      <sz val="11"/>
      <color rgb="FFFF0000"/>
      <name val="Arial Narrow"/>
      <family val="2"/>
    </font>
    <font>
      <sz val="10"/>
      <color theme="0"/>
      <name val="Arial Narrow"/>
      <family val="2"/>
    </font>
    <font>
      <b/>
      <sz val="8"/>
      <color theme="0"/>
      <name val="Arial Narrow"/>
      <family val="2"/>
    </font>
    <font>
      <b/>
      <sz val="9"/>
      <color rgb="FFFF0000"/>
      <name val="Arial Narrow"/>
      <family val="2"/>
    </font>
    <font>
      <b/>
      <sz val="9"/>
      <color rgb="FFFF0000"/>
      <name val="Arial"/>
      <family val="2"/>
    </font>
    <font>
      <sz val="9"/>
      <color rgb="FFFF0000"/>
      <name val="Arial"/>
      <family val="2"/>
    </font>
    <font>
      <u/>
      <sz val="8"/>
      <color indexed="12"/>
      <name val="Arial"/>
      <family val="2"/>
    </font>
    <font>
      <u/>
      <sz val="8"/>
      <color indexed="12"/>
      <name val="Arial Narrow"/>
      <family val="2"/>
    </font>
    <font>
      <sz val="10"/>
      <color rgb="FFFF0000"/>
      <name val="Arial Narrow"/>
      <family val="2"/>
    </font>
    <font>
      <b/>
      <sz val="12"/>
      <color rgb="FFFF0000"/>
      <name val="Arial"/>
      <family val="2"/>
    </font>
    <font>
      <sz val="6"/>
      <name val="Arial Narrow"/>
      <family val="2"/>
    </font>
    <font>
      <u/>
      <sz val="8"/>
      <color theme="0"/>
      <name val="Arial Narrow"/>
      <family val="2"/>
    </font>
    <font>
      <b/>
      <sz val="8"/>
      <color rgb="FFFF0000"/>
      <name val="Arial Narrow"/>
      <family val="2"/>
    </font>
    <font>
      <b/>
      <i/>
      <sz val="16"/>
      <color theme="0"/>
      <name val="Arial"/>
      <family val="2"/>
    </font>
    <font>
      <sz val="11"/>
      <color rgb="FFFF0000"/>
      <name val="Arial"/>
      <family val="2"/>
    </font>
    <font>
      <sz val="12"/>
      <name val="Arial"/>
      <family val="2"/>
    </font>
    <font>
      <b/>
      <u/>
      <sz val="12"/>
      <name val="Arial"/>
      <family val="2"/>
    </font>
    <font>
      <sz val="12"/>
      <name val="Tms Rmn"/>
    </font>
    <font>
      <sz val="11"/>
      <color indexed="8"/>
      <name val="Calibri"/>
      <family val="2"/>
    </font>
    <font>
      <sz val="12"/>
      <name val="Helv"/>
    </font>
    <font>
      <sz val="9"/>
      <name val="Times New Roman"/>
      <family val="1"/>
    </font>
    <font>
      <sz val="12"/>
      <color indexed="9"/>
      <name val="Helv"/>
    </font>
    <font>
      <sz val="12"/>
      <color indexed="13"/>
      <name val="Helv"/>
    </font>
    <font>
      <sz val="7"/>
      <name val="Small Fonts"/>
      <family val="2"/>
    </font>
    <font>
      <i/>
      <sz val="2"/>
      <color indexed="9"/>
      <name val="Tms Rmn"/>
    </font>
    <font>
      <sz val="12"/>
      <color indexed="17"/>
      <name val="Helv"/>
    </font>
    <font>
      <i/>
      <sz val="12"/>
      <name val="Arial"/>
      <family val="2"/>
    </font>
    <font>
      <b/>
      <sz val="9"/>
      <color indexed="81"/>
      <name val="Tahoma"/>
      <family val="2"/>
    </font>
    <font>
      <sz val="9"/>
      <color indexed="81"/>
      <name val="Tahoma"/>
      <family val="2"/>
    </font>
    <font>
      <sz val="12"/>
      <color theme="0"/>
      <name val="Arial"/>
      <family val="2"/>
    </font>
    <font>
      <i/>
      <sz val="11"/>
      <name val="Arial"/>
      <family val="2"/>
    </font>
    <font>
      <b/>
      <sz val="8"/>
      <color indexed="81"/>
      <name val="Tahoma"/>
      <family val="2"/>
    </font>
    <font>
      <sz val="8"/>
      <color indexed="81"/>
      <name val="Tahoma"/>
      <family val="2"/>
    </font>
    <font>
      <b/>
      <u/>
      <sz val="11"/>
      <name val="Arial"/>
      <family val="2"/>
    </font>
    <font>
      <b/>
      <sz val="11"/>
      <color rgb="FFFF0000"/>
      <name val="Arial"/>
      <family val="2"/>
    </font>
    <font>
      <sz val="11"/>
      <color indexed="10"/>
      <name val="Arial"/>
      <family val="2"/>
    </font>
    <font>
      <u/>
      <sz val="10"/>
      <name val="Arial"/>
      <family val="2"/>
    </font>
    <font>
      <b/>
      <i/>
      <sz val="12"/>
      <name val="Arial"/>
      <family val="2"/>
    </font>
    <font>
      <i/>
      <u/>
      <sz val="11"/>
      <name val="Arial"/>
      <family val="2"/>
    </font>
    <font>
      <sz val="10"/>
      <color rgb="FFFF0000"/>
      <name val="Arial"/>
      <family val="2"/>
    </font>
    <font>
      <b/>
      <sz val="10"/>
      <color indexed="8"/>
      <name val="Arial"/>
      <family val="2"/>
    </font>
    <font>
      <b/>
      <u/>
      <sz val="10"/>
      <color indexed="8"/>
      <name val="Arial"/>
      <family val="2"/>
    </font>
    <font>
      <b/>
      <i/>
      <sz val="10"/>
      <color rgb="FFFF0000"/>
      <name val="Arial"/>
      <family val="2"/>
    </font>
    <font>
      <sz val="10"/>
      <color rgb="FF0000FF"/>
      <name val="Arial"/>
      <family val="2"/>
    </font>
    <font>
      <sz val="8"/>
      <color theme="0" tint="-4.9989318521683403E-2"/>
      <name val="Arial"/>
      <family val="2"/>
    </font>
    <font>
      <b/>
      <sz val="9"/>
      <color rgb="FF0000FF"/>
      <name val="Arial"/>
      <family val="2"/>
    </font>
    <font>
      <i/>
      <sz val="7"/>
      <name val="Arial Narrow"/>
      <family val="2"/>
    </font>
    <font>
      <b/>
      <sz val="14"/>
      <name val="Arial"/>
      <family val="2"/>
    </font>
    <font>
      <b/>
      <sz val="8"/>
      <color rgb="FF0000FF"/>
      <name val="Arial Narrow"/>
      <family val="2"/>
    </font>
    <font>
      <u/>
      <sz val="8"/>
      <name val="Arial"/>
      <family val="2"/>
    </font>
    <font>
      <b/>
      <i/>
      <sz val="8"/>
      <color rgb="FFFF0000"/>
      <name val="Arial Narrow"/>
      <family val="2"/>
    </font>
    <font>
      <b/>
      <i/>
      <sz val="8"/>
      <color rgb="FF4F81BD"/>
      <name val="Arial"/>
      <family val="2"/>
    </font>
    <font>
      <u/>
      <sz val="7"/>
      <color rgb="FFFF0000"/>
      <name val="Arial Narrow"/>
      <family val="2"/>
    </font>
    <font>
      <sz val="6"/>
      <name val="Arial"/>
      <family val="2"/>
    </font>
    <font>
      <sz val="7"/>
      <color rgb="FFFF0000"/>
      <name val="Arial"/>
      <family val="2"/>
    </font>
    <font>
      <b/>
      <sz val="8"/>
      <color rgb="FF0000FF"/>
      <name val="Arial"/>
      <family val="2"/>
    </font>
    <font>
      <b/>
      <sz val="8"/>
      <color rgb="FFCC9900"/>
      <name val="Arial"/>
      <family val="2"/>
    </font>
    <font>
      <b/>
      <i/>
      <u/>
      <sz val="8"/>
      <name val="Arial Narrow"/>
      <family val="2"/>
    </font>
    <font>
      <b/>
      <i/>
      <u/>
      <sz val="8"/>
      <name val="Arial"/>
      <family val="2"/>
    </font>
    <font>
      <b/>
      <sz val="14"/>
      <color rgb="FFFF0000"/>
      <name val="Arial"/>
      <family val="2"/>
    </font>
    <font>
      <b/>
      <i/>
      <u/>
      <sz val="9"/>
      <name val="Arial"/>
      <family val="2"/>
    </font>
    <font>
      <b/>
      <i/>
      <sz val="9"/>
      <color indexed="17"/>
      <name val="Arial"/>
      <family val="2"/>
    </font>
    <font>
      <i/>
      <sz val="9"/>
      <color indexed="10"/>
      <name val="Arial"/>
      <family val="2"/>
    </font>
    <font>
      <sz val="9"/>
      <color rgb="FFFF0000"/>
      <name val="Arial Narrow"/>
      <family val="2"/>
    </font>
    <font>
      <i/>
      <sz val="9"/>
      <name val="Arial Narrow"/>
      <family val="2"/>
    </font>
    <font>
      <i/>
      <sz val="9"/>
      <color rgb="FFFF0000"/>
      <name val="Arial Narrow"/>
      <family val="2"/>
    </font>
    <font>
      <b/>
      <sz val="12"/>
      <color indexed="9"/>
      <name val="Arial"/>
      <family val="2"/>
    </font>
    <font>
      <b/>
      <u/>
      <sz val="8"/>
      <color rgb="FFFF0000"/>
      <name val="Arial Narrow"/>
      <family val="2"/>
    </font>
    <font>
      <b/>
      <sz val="6"/>
      <color rgb="FFFF0000"/>
      <name val="Arial Narrow"/>
      <family val="2"/>
    </font>
    <font>
      <i/>
      <sz val="8"/>
      <color rgb="FFFF0000"/>
      <name val="Arial"/>
      <family val="2"/>
    </font>
    <font>
      <sz val="12"/>
      <name val="Arial Narrow"/>
      <family val="2"/>
    </font>
    <font>
      <i/>
      <u/>
      <sz val="10"/>
      <color rgb="FFFF0000"/>
      <name val="Arial"/>
      <family val="2"/>
    </font>
    <font>
      <u/>
      <sz val="8"/>
      <color rgb="FFFF0000"/>
      <name val="Arial Narrow"/>
      <family val="2"/>
    </font>
    <font>
      <b/>
      <i/>
      <sz val="14"/>
      <color indexed="22"/>
      <name val="Arial Narrow"/>
      <family val="2"/>
    </font>
    <font>
      <i/>
      <sz val="12"/>
      <name val="Arial Narrow"/>
      <family val="2"/>
    </font>
    <font>
      <b/>
      <sz val="9"/>
      <color rgb="FF0066FF"/>
      <name val="Arial"/>
      <family val="2"/>
    </font>
    <font>
      <b/>
      <i/>
      <sz val="14"/>
      <color indexed="10"/>
      <name val="Arial"/>
      <family val="2"/>
    </font>
    <font>
      <b/>
      <i/>
      <sz val="8"/>
      <color rgb="FFFF0000"/>
      <name val="Arial"/>
      <family val="2"/>
    </font>
    <font>
      <sz val="8"/>
      <color rgb="FF000000"/>
      <name val="Arial Narrow"/>
      <family val="2"/>
    </font>
    <font>
      <sz val="11"/>
      <color rgb="FF0066FF"/>
      <name val="Arial"/>
      <family val="2"/>
    </font>
    <font>
      <b/>
      <sz val="10"/>
      <color rgb="FF0000FF"/>
      <name val="Arial"/>
      <family val="2"/>
    </font>
    <font>
      <b/>
      <sz val="10"/>
      <color rgb="FFFF6600"/>
      <name val="Arial"/>
      <family val="2"/>
    </font>
    <font>
      <b/>
      <i/>
      <u/>
      <sz val="8"/>
      <color rgb="FFFF0000"/>
      <name val="Arial Narrow"/>
      <family val="2"/>
    </font>
    <font>
      <i/>
      <sz val="10"/>
      <color rgb="FFFF0000"/>
      <name val="Arial"/>
      <family val="2"/>
    </font>
    <font>
      <b/>
      <sz val="16"/>
      <name val="Arial"/>
      <family val="2"/>
    </font>
    <font>
      <b/>
      <sz val="16"/>
      <color rgb="FFFF0000"/>
      <name val="Arial"/>
      <family val="2"/>
    </font>
    <font>
      <sz val="10"/>
      <color theme="1"/>
      <name val="Arial"/>
      <family val="2"/>
    </font>
    <font>
      <b/>
      <u/>
      <sz val="10"/>
      <color theme="1"/>
      <name val="Arial"/>
      <family val="2"/>
    </font>
    <font>
      <sz val="10"/>
      <color theme="3"/>
      <name val="Arial"/>
      <family val="2"/>
    </font>
    <font>
      <i/>
      <sz val="10"/>
      <color indexed="9"/>
      <name val="Arial"/>
      <family val="2"/>
    </font>
    <font>
      <b/>
      <sz val="8"/>
      <color rgb="FF0066FF"/>
      <name val="Arial"/>
      <family val="2"/>
    </font>
    <font>
      <sz val="8"/>
      <color rgb="FF0066FF"/>
      <name val="Arial"/>
      <family val="2"/>
    </font>
    <font>
      <b/>
      <sz val="11"/>
      <color rgb="FF0066FF"/>
      <name val="Arial"/>
      <family val="2"/>
    </font>
    <font>
      <b/>
      <i/>
      <u/>
      <sz val="11"/>
      <color rgb="FFFF0000"/>
      <name val="Arial"/>
      <family val="2"/>
    </font>
    <font>
      <b/>
      <i/>
      <u/>
      <sz val="8"/>
      <color rgb="FFFF0000"/>
      <name val="Arial"/>
      <family val="2"/>
    </font>
    <font>
      <b/>
      <i/>
      <u/>
      <sz val="10"/>
      <color rgb="FFFF0000"/>
      <name val="Arial"/>
      <family val="2"/>
    </font>
    <font>
      <b/>
      <u/>
      <sz val="9"/>
      <name val="Arial"/>
      <family val="2"/>
    </font>
    <font>
      <b/>
      <i/>
      <u/>
      <sz val="9"/>
      <color rgb="FFFF0000"/>
      <name val="Arial"/>
      <family val="2"/>
    </font>
    <font>
      <b/>
      <i/>
      <sz val="9"/>
      <name val="Arial Narrow"/>
      <family val="2"/>
    </font>
    <font>
      <sz val="8"/>
      <color rgb="FF0000FF"/>
      <name val="Arial Narrow"/>
      <family val="2"/>
    </font>
    <font>
      <i/>
      <sz val="8"/>
      <color rgb="FF0000FF"/>
      <name val="Arial Narrow"/>
      <family val="2"/>
    </font>
    <font>
      <sz val="8"/>
      <color rgb="FF0000FF"/>
      <name val="Arial"/>
      <family val="2"/>
    </font>
    <font>
      <sz val="5"/>
      <color rgb="FFFF0000"/>
      <name val="Arial Narrow"/>
      <family val="2"/>
    </font>
    <font>
      <sz val="6"/>
      <color rgb="FFFF0000"/>
      <name val="Arial"/>
      <family val="2"/>
    </font>
    <font>
      <b/>
      <sz val="8"/>
      <color theme="1"/>
      <name val="Arial Narrow"/>
      <family val="2"/>
    </font>
    <font>
      <sz val="8"/>
      <color theme="1"/>
      <name val="Arial Narrow"/>
      <family val="2"/>
    </font>
    <font>
      <b/>
      <i/>
      <sz val="8"/>
      <name val="Arial Narrow"/>
      <family val="2"/>
    </font>
    <font>
      <i/>
      <u/>
      <sz val="9"/>
      <name val="Arial"/>
      <family val="2"/>
    </font>
    <font>
      <b/>
      <sz val="14"/>
      <color theme="1"/>
      <name val="Arial Narrow"/>
      <family val="2"/>
    </font>
    <font>
      <sz val="11"/>
      <color theme="1"/>
      <name val="Arial Narrow"/>
      <family val="2"/>
    </font>
    <font>
      <b/>
      <i/>
      <sz val="11"/>
      <color theme="1"/>
      <name val="Arial Narrow"/>
      <family val="2"/>
    </font>
    <font>
      <b/>
      <sz val="11"/>
      <color theme="1"/>
      <name val="Arial Narrow"/>
      <family val="2"/>
    </font>
    <font>
      <b/>
      <u/>
      <sz val="14"/>
      <color theme="1"/>
      <name val="Arial Narrow"/>
      <family val="2"/>
    </font>
    <font>
      <b/>
      <sz val="16"/>
      <color rgb="FFFF0000"/>
      <name val="Arial Narrow"/>
      <family val="2"/>
    </font>
    <font>
      <b/>
      <i/>
      <sz val="11"/>
      <name val="Arial Narrow"/>
      <family val="2"/>
    </font>
    <font>
      <sz val="10"/>
      <color theme="1"/>
      <name val="Arial Narrow"/>
      <family val="2"/>
    </font>
    <font>
      <u/>
      <sz val="10"/>
      <color theme="1"/>
      <name val="Arial Narrow"/>
      <family val="2"/>
    </font>
    <font>
      <b/>
      <sz val="14"/>
      <color rgb="FFFF0000"/>
      <name val="Arial Narrow"/>
      <family val="2"/>
    </font>
    <font>
      <sz val="9"/>
      <color theme="9" tint="-0.499984740745262"/>
      <name val="Arial"/>
      <family val="2"/>
    </font>
    <font>
      <sz val="8"/>
      <color theme="9" tint="-0.499984740745262"/>
      <name val="Arial"/>
      <family val="2"/>
    </font>
    <font>
      <sz val="10"/>
      <color rgb="FF000000"/>
      <name val="Arial"/>
      <family val="2"/>
    </font>
    <font>
      <sz val="10"/>
      <color theme="9" tint="-0.499984740745262"/>
      <name val="Arial"/>
      <family val="2"/>
    </font>
    <font>
      <i/>
      <u/>
      <sz val="9"/>
      <color theme="9" tint="-0.499984740745262"/>
      <name val="Arial"/>
      <family val="2"/>
    </font>
    <font>
      <sz val="14"/>
      <name val="Arial"/>
      <family val="2"/>
    </font>
    <font>
      <b/>
      <sz val="6"/>
      <color rgb="FFFF0000"/>
      <name val="Arial"/>
      <family val="2"/>
    </font>
    <font>
      <sz val="7"/>
      <color indexed="10"/>
      <name val="Arial Narrow"/>
      <family val="2"/>
    </font>
    <font>
      <b/>
      <sz val="9"/>
      <color theme="0"/>
      <name val="Arial"/>
      <family val="2"/>
    </font>
    <font>
      <b/>
      <sz val="11"/>
      <color theme="0"/>
      <name val="Arial"/>
      <family val="2"/>
    </font>
    <font>
      <sz val="8"/>
      <color theme="1"/>
      <name val="Arial"/>
      <family val="2"/>
    </font>
    <font>
      <b/>
      <u/>
      <sz val="9"/>
      <color rgb="FFFF0000"/>
      <name val="Arial Narrow"/>
      <family val="2"/>
    </font>
    <font>
      <b/>
      <u/>
      <sz val="11"/>
      <name val="Arial Narrow"/>
      <family val="2"/>
    </font>
    <font>
      <sz val="9"/>
      <color theme="0"/>
      <name val="Arial Narrow"/>
      <family val="2"/>
    </font>
    <font>
      <b/>
      <sz val="12"/>
      <color theme="0"/>
      <name val="Arial"/>
      <family val="2"/>
    </font>
    <font>
      <b/>
      <sz val="14"/>
      <name val="Arial Narrow"/>
      <family val="2"/>
    </font>
    <font>
      <i/>
      <u/>
      <sz val="8"/>
      <name val="Arial"/>
      <family val="2"/>
    </font>
    <font>
      <b/>
      <u/>
      <sz val="8"/>
      <color rgb="FFFF0000"/>
      <name val="Arial"/>
      <family val="2"/>
    </font>
    <font>
      <b/>
      <sz val="8"/>
      <color indexed="10"/>
      <name val="Arial"/>
      <family val="2"/>
    </font>
    <font>
      <sz val="11"/>
      <color rgb="FF000000"/>
      <name val="Calibri"/>
      <family val="2"/>
    </font>
    <font>
      <i/>
      <sz val="8"/>
      <color rgb="FF000000"/>
      <name val="Arial Narrow"/>
      <family val="2"/>
    </font>
    <font>
      <b/>
      <sz val="8"/>
      <color theme="0"/>
      <name val="Arial"/>
      <family val="2"/>
    </font>
    <font>
      <b/>
      <i/>
      <sz val="8"/>
      <color theme="0"/>
      <name val="Arial"/>
      <family val="2"/>
    </font>
    <font>
      <sz val="5"/>
      <name val="Arial"/>
      <family val="2"/>
    </font>
    <font>
      <sz val="8"/>
      <color theme="0" tint="-0.14999847407452621"/>
      <name val="Arial Narrow"/>
      <family val="2"/>
    </font>
    <font>
      <sz val="7"/>
      <color theme="0" tint="-0.14999847407452621"/>
      <name val="Arial Narrow"/>
      <family val="2"/>
    </font>
    <font>
      <b/>
      <i/>
      <sz val="9"/>
      <color rgb="FFFF0000"/>
      <name val="Arial"/>
      <family val="2"/>
    </font>
    <font>
      <sz val="8"/>
      <color indexed="12"/>
      <name val="Arial Narrow"/>
      <family val="2"/>
    </font>
    <font>
      <sz val="11"/>
      <color theme="0"/>
      <name val="Arial"/>
      <family val="2"/>
    </font>
    <font>
      <b/>
      <i/>
      <sz val="10"/>
      <color theme="0"/>
      <name val="Arial"/>
      <family val="2"/>
    </font>
    <font>
      <sz val="11"/>
      <color theme="1"/>
      <name val="Arial"/>
      <family val="2"/>
    </font>
    <font>
      <b/>
      <i/>
      <sz val="11"/>
      <name val="Arial"/>
      <family val="2"/>
    </font>
    <font>
      <u/>
      <sz val="11"/>
      <name val="Arial"/>
      <family val="2"/>
    </font>
    <font>
      <u/>
      <sz val="11"/>
      <color theme="10"/>
      <name val="Calibri"/>
      <family val="2"/>
      <scheme val="minor"/>
    </font>
    <font>
      <u/>
      <sz val="11"/>
      <color theme="1"/>
      <name val="Arial"/>
      <family val="2"/>
    </font>
    <font>
      <b/>
      <i/>
      <sz val="11"/>
      <color theme="0"/>
      <name val="Arial"/>
      <family val="2"/>
    </font>
    <font>
      <b/>
      <sz val="11"/>
      <color indexed="9"/>
      <name val="Arial"/>
      <family val="2"/>
    </font>
    <font>
      <b/>
      <i/>
      <sz val="11"/>
      <color indexed="10"/>
      <name val="Arial"/>
      <family val="2"/>
    </font>
    <font>
      <b/>
      <sz val="11"/>
      <color rgb="FF0000FF"/>
      <name val="Arial"/>
      <family val="2"/>
    </font>
    <font>
      <b/>
      <i/>
      <sz val="11"/>
      <color rgb="FFFF0000"/>
      <name val="Arial"/>
      <family val="2"/>
    </font>
    <font>
      <b/>
      <sz val="11"/>
      <color rgb="FFFF6600"/>
      <name val="Arial"/>
      <family val="2"/>
    </font>
    <font>
      <b/>
      <sz val="11"/>
      <color rgb="FFFF0000"/>
      <name val="Calibri"/>
      <family val="2"/>
    </font>
    <font>
      <sz val="11"/>
      <color rgb="FFCC9900"/>
      <name val="Arial"/>
      <family val="2"/>
    </font>
    <font>
      <b/>
      <sz val="11"/>
      <color rgb="FFCC9900"/>
      <name val="Arial"/>
      <family val="2"/>
    </font>
    <font>
      <sz val="11"/>
      <color rgb="FF0000FF"/>
      <name val="Arial"/>
      <family val="2"/>
    </font>
    <font>
      <b/>
      <sz val="11"/>
      <color theme="1"/>
      <name val="Arial"/>
      <family val="2"/>
    </font>
    <font>
      <i/>
      <sz val="11"/>
      <color rgb="FFCC9900"/>
      <name val="Arial"/>
      <family val="2"/>
    </font>
    <font>
      <i/>
      <sz val="11"/>
      <color rgb="FF0000FF"/>
      <name val="Arial"/>
      <family val="2"/>
    </font>
    <font>
      <sz val="11"/>
      <color rgb="FFCC0000"/>
      <name val="Arial"/>
      <family val="2"/>
    </font>
    <font>
      <i/>
      <sz val="11"/>
      <color rgb="FFFF0000"/>
      <name val="Arial"/>
      <family val="2"/>
    </font>
    <font>
      <i/>
      <sz val="11"/>
      <color theme="0"/>
      <name val="Arial"/>
      <family val="2"/>
    </font>
    <font>
      <sz val="9"/>
      <color rgb="FF000000"/>
      <name val="Arial Narrow"/>
      <family val="2"/>
    </font>
    <font>
      <sz val="8"/>
      <color rgb="FF000000"/>
      <name val="Calibri"/>
      <family val="2"/>
      <scheme val="minor"/>
    </font>
    <font>
      <sz val="10"/>
      <color rgb="FF000000"/>
      <name val="Arial Narrow"/>
      <family val="2"/>
    </font>
    <font>
      <sz val="14"/>
      <color rgb="FFFF0000"/>
      <name val="Arial"/>
      <family val="2"/>
    </font>
    <font>
      <sz val="10"/>
      <color rgb="FFFFFF00"/>
      <name val="Arial"/>
      <family val="2"/>
    </font>
    <font>
      <sz val="11"/>
      <color rgb="FFFFFF00"/>
      <name val="Arial"/>
      <family val="2"/>
    </font>
    <font>
      <b/>
      <sz val="10"/>
      <color rgb="FFFFFF00"/>
      <name val="Arial"/>
      <family val="2"/>
    </font>
    <font>
      <sz val="9"/>
      <color rgb="FFFFFF00"/>
      <name val="Arial"/>
      <family val="2"/>
    </font>
    <font>
      <sz val="10"/>
      <color rgb="FFFFFF00"/>
      <name val="Arial Narrow"/>
      <family val="2"/>
    </font>
    <font>
      <sz val="12"/>
      <color rgb="FFFFFF00"/>
      <name val="Arial"/>
      <family val="2"/>
    </font>
    <font>
      <sz val="12"/>
      <color rgb="FFFFFF00"/>
      <name val="Arial Narrow"/>
      <family val="2"/>
    </font>
    <font>
      <sz val="9"/>
      <color rgb="FFFFFF00"/>
      <name val="Arial Narrow"/>
      <family val="2"/>
    </font>
    <font>
      <sz val="8"/>
      <name val="Aptos Narrow"/>
      <family val="2"/>
    </font>
    <font>
      <b/>
      <i/>
      <u/>
      <sz val="11"/>
      <color theme="0"/>
      <name val="Arial Narrow"/>
      <family val="2"/>
    </font>
    <font>
      <b/>
      <i/>
      <sz val="11"/>
      <color theme="0"/>
      <name val="Arial Narrow"/>
      <family val="2"/>
    </font>
    <font>
      <b/>
      <i/>
      <sz val="10"/>
      <color theme="0"/>
      <name val="Arial Narrow"/>
      <family val="2"/>
    </font>
    <font>
      <b/>
      <i/>
      <sz val="9"/>
      <color theme="0"/>
      <name val="Arial Narrow"/>
      <family val="2"/>
    </font>
    <font>
      <b/>
      <u/>
      <sz val="8"/>
      <color theme="0"/>
      <name val="Arial Narrow"/>
      <family val="2"/>
    </font>
    <font>
      <b/>
      <u/>
      <sz val="9"/>
      <color theme="0"/>
      <name val="Arial Narrow"/>
      <family val="2"/>
    </font>
    <font>
      <b/>
      <sz val="11"/>
      <color theme="0"/>
      <name val="Arial Narrow"/>
      <family val="2"/>
    </font>
    <font>
      <u/>
      <sz val="9"/>
      <color theme="0"/>
      <name val="Arial Narrow"/>
      <family val="2"/>
    </font>
    <font>
      <u/>
      <sz val="10"/>
      <color theme="0"/>
      <name val="Arial Narrow"/>
      <family val="2"/>
    </font>
    <font>
      <b/>
      <sz val="12"/>
      <color theme="0"/>
      <name val="Arial Narrow"/>
      <family val="2"/>
    </font>
    <font>
      <i/>
      <sz val="10"/>
      <color theme="0"/>
      <name val="Arial Narrow"/>
      <family val="2"/>
    </font>
    <font>
      <b/>
      <i/>
      <u/>
      <sz val="10"/>
      <color theme="0"/>
      <name val="Arial Narrow"/>
      <family val="2"/>
    </font>
    <font>
      <i/>
      <sz val="8"/>
      <color theme="0"/>
      <name val="Arial Narrow"/>
      <family val="2"/>
    </font>
    <font>
      <i/>
      <u/>
      <sz val="8"/>
      <color theme="0"/>
      <name val="Arial Narrow"/>
      <family val="2"/>
    </font>
    <font>
      <sz val="7"/>
      <color theme="0"/>
      <name val="Arial Narrow"/>
      <family val="2"/>
    </font>
    <font>
      <b/>
      <u/>
      <sz val="11"/>
      <color theme="0"/>
      <name val="Arial Narrow"/>
      <family val="2"/>
    </font>
    <font>
      <b/>
      <u/>
      <sz val="10"/>
      <color theme="0"/>
      <name val="Arial Narrow"/>
      <family val="2"/>
    </font>
    <font>
      <b/>
      <sz val="14"/>
      <color theme="0"/>
      <name val="Arial"/>
      <family val="2"/>
    </font>
    <font>
      <i/>
      <sz val="9"/>
      <color theme="0"/>
      <name val="Arial"/>
      <family val="2"/>
    </font>
    <font>
      <b/>
      <u/>
      <sz val="9"/>
      <color theme="0"/>
      <name val="Arial"/>
      <family val="2"/>
    </font>
    <font>
      <sz val="6"/>
      <color theme="0"/>
      <name val="Arial Narrow"/>
      <family val="2"/>
    </font>
    <font>
      <b/>
      <sz val="6"/>
      <color theme="0"/>
      <name val="Arial"/>
      <family val="2"/>
    </font>
    <font>
      <sz val="6"/>
      <color theme="0"/>
      <name val="Arial"/>
      <family val="2"/>
    </font>
    <font>
      <sz val="5"/>
      <color theme="0"/>
      <name val="Arial Narrow"/>
      <family val="2"/>
    </font>
    <font>
      <b/>
      <i/>
      <sz val="8"/>
      <color theme="0"/>
      <name val="Arial Narrow"/>
      <family val="2"/>
    </font>
    <font>
      <i/>
      <sz val="10"/>
      <color theme="0"/>
      <name val="Arial"/>
      <family val="2"/>
    </font>
    <font>
      <i/>
      <sz val="8"/>
      <color theme="0"/>
      <name val="Arial"/>
      <family val="2"/>
    </font>
    <font>
      <b/>
      <i/>
      <sz val="9"/>
      <color theme="0"/>
      <name val="Arial"/>
      <family val="2"/>
    </font>
    <font>
      <i/>
      <u/>
      <sz val="9"/>
      <color theme="0"/>
      <name val="Arial"/>
      <family val="2"/>
    </font>
    <font>
      <b/>
      <u/>
      <sz val="8"/>
      <color theme="0"/>
      <name val="Arial"/>
      <family val="2"/>
    </font>
    <font>
      <sz val="7"/>
      <color theme="0"/>
      <name val="Arial"/>
      <family val="2"/>
    </font>
    <font>
      <i/>
      <u/>
      <sz val="10"/>
      <color theme="0"/>
      <name val="Arial"/>
      <family val="2"/>
    </font>
    <font>
      <u/>
      <sz val="8"/>
      <color theme="0"/>
      <name val="Arial"/>
      <family val="2"/>
    </font>
    <font>
      <u/>
      <sz val="11"/>
      <color theme="0"/>
      <name val="Arial"/>
      <family val="2"/>
    </font>
    <font>
      <b/>
      <i/>
      <u/>
      <sz val="11"/>
      <color theme="0"/>
      <name val="Arial"/>
      <family val="2"/>
    </font>
    <font>
      <i/>
      <u/>
      <sz val="11"/>
      <color theme="0"/>
      <name val="Arial"/>
      <family val="2"/>
    </font>
    <font>
      <b/>
      <sz val="11"/>
      <color theme="0"/>
      <name val="Calibri"/>
      <family val="2"/>
    </font>
    <font>
      <b/>
      <u/>
      <sz val="11"/>
      <color theme="0"/>
      <name val="Arial"/>
      <family val="2"/>
    </font>
    <font>
      <b/>
      <i/>
      <u/>
      <sz val="9"/>
      <color theme="0"/>
      <name val="Arial"/>
      <family val="2"/>
    </font>
    <font>
      <sz val="8"/>
      <color theme="0"/>
      <name val="Calibri"/>
      <family val="2"/>
      <scheme val="minor"/>
    </font>
    <font>
      <b/>
      <sz val="14"/>
      <color theme="0"/>
      <name val="Arial Narrow"/>
      <family val="2"/>
    </font>
    <font>
      <sz val="11"/>
      <color theme="0"/>
      <name val="Arial Narrow"/>
      <family val="2"/>
    </font>
    <font>
      <b/>
      <u/>
      <sz val="14"/>
      <color theme="0"/>
      <name val="Arial Narrow"/>
      <family val="2"/>
    </font>
    <font>
      <b/>
      <sz val="10.5"/>
      <color rgb="FF404040"/>
      <name val="Aptos"/>
      <family val="2"/>
    </font>
    <font>
      <b/>
      <sz val="9"/>
      <color rgb="FF404040"/>
      <name val="Aptos"/>
      <family val="2"/>
    </font>
    <font>
      <b/>
      <sz val="10.5"/>
      <color rgb="FFFFFFFF"/>
      <name val="Aptos"/>
      <family val="2"/>
    </font>
    <font>
      <sz val="10.5"/>
      <color rgb="FFFFFFFF"/>
      <name val="Aptos"/>
      <family val="2"/>
    </font>
    <font>
      <b/>
      <sz val="11"/>
      <color rgb="FF000000"/>
      <name val="Arial"/>
      <charset val="1"/>
    </font>
    <font>
      <b/>
      <sz val="9"/>
      <color rgb="FFFF0000"/>
      <name val="Arial Narrow"/>
    </font>
    <font>
      <sz val="9"/>
      <color rgb="FFFF0000"/>
      <name val="Arial Narrow"/>
    </font>
    <font>
      <b/>
      <u/>
      <sz val="9"/>
      <color rgb="FFFF0000"/>
      <name val="Arial Narrow"/>
    </font>
    <font>
      <sz val="11"/>
      <color rgb="FF000000"/>
      <name val="Arial"/>
    </font>
    <font>
      <u/>
      <sz val="11"/>
      <color rgb="FF000000"/>
      <name val="Arial"/>
    </font>
    <font>
      <sz val="11"/>
      <color rgb="FF000000"/>
      <name val="Arial"/>
      <family val="2"/>
    </font>
    <font>
      <sz val="11"/>
      <name val="Arial"/>
    </font>
    <font>
      <sz val="11"/>
      <color rgb="FF000000"/>
      <name val="Arial"/>
      <charset val="1"/>
    </font>
    <font>
      <sz val="10"/>
      <color rgb="FF000000"/>
      <name val="Arial"/>
      <charset val="1"/>
    </font>
    <font>
      <sz val="8"/>
      <name val="Arial Narrow"/>
    </font>
    <font>
      <b/>
      <sz val="10"/>
      <color rgb="FFFF0000"/>
      <name val="Arial Narrow"/>
    </font>
    <font>
      <b/>
      <i/>
      <u/>
      <sz val="11"/>
      <color rgb="FFFF0000"/>
      <name val="Arial Narrow"/>
    </font>
    <font>
      <b/>
      <i/>
      <sz val="11"/>
      <color rgb="FFFF0000"/>
      <name val="Arial Narrow"/>
    </font>
    <font>
      <b/>
      <i/>
      <sz val="10"/>
      <color rgb="FFFF0000"/>
      <name val="Arial Narrow"/>
    </font>
    <font>
      <b/>
      <sz val="10"/>
      <color rgb="FFFF0000"/>
      <name val="Arial"/>
    </font>
    <font>
      <sz val="10"/>
      <color rgb="FFFF0000"/>
      <name val="Arial"/>
    </font>
  </fonts>
  <fills count="3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12"/>
        <bgColor indexed="64"/>
      </patternFill>
    </fill>
    <fill>
      <patternFill patternType="solid">
        <fgColor indexed="48"/>
        <bgColor indexed="64"/>
      </patternFill>
    </fill>
    <fill>
      <patternFill patternType="solid">
        <fgColor rgb="FFCCFFFF"/>
        <bgColor indexed="64"/>
      </patternFill>
    </fill>
    <fill>
      <patternFill patternType="solid">
        <fgColor rgb="FFCCFFCC"/>
        <bgColor indexed="64"/>
      </patternFill>
    </fill>
    <fill>
      <patternFill patternType="solid">
        <fgColor rgb="FF0066CC"/>
        <bgColor indexed="64"/>
      </patternFill>
    </fill>
    <fill>
      <patternFill patternType="solid">
        <fgColor rgb="FFFFFFCC"/>
        <bgColor indexed="64"/>
      </patternFill>
    </fill>
    <fill>
      <patternFill patternType="solid">
        <fgColor rgb="FF0066FF"/>
        <bgColor indexed="64"/>
      </patternFill>
    </fill>
    <fill>
      <patternFill patternType="solid">
        <fgColor rgb="FF0000FF"/>
        <bgColor indexed="64"/>
      </patternFill>
    </fill>
    <fill>
      <patternFill patternType="solid">
        <fgColor rgb="FFFFFF99"/>
        <bgColor indexed="64"/>
      </patternFill>
    </fill>
    <fill>
      <patternFill patternType="solid">
        <fgColor theme="0"/>
        <bgColor indexed="64"/>
      </patternFill>
    </fill>
    <fill>
      <patternFill patternType="solid">
        <fgColor indexed="44"/>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patternFill>
    </fill>
    <fill>
      <patternFill patternType="solid">
        <fgColor rgb="FFCCECFF"/>
        <bgColor indexed="64"/>
      </patternFill>
    </fill>
    <fill>
      <patternFill patternType="solid">
        <fgColor rgb="FFCCCCFF"/>
        <bgColor indexed="64"/>
      </patternFill>
    </fill>
    <fill>
      <patternFill patternType="solid">
        <fgColor rgb="FFFD938B"/>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tint="-0.14996795556505021"/>
        <bgColor indexed="64"/>
      </patternFill>
    </fill>
    <fill>
      <patternFill patternType="solid">
        <fgColor rgb="FFFFCC99"/>
        <bgColor indexed="64"/>
      </patternFill>
    </fill>
    <fill>
      <patternFill patternType="solid">
        <fgColor rgb="FF1B3A4D"/>
        <bgColor indexed="64"/>
      </patternFill>
    </fill>
    <fill>
      <patternFill patternType="solid">
        <fgColor rgb="FFC2DBEA"/>
        <bgColor indexed="64"/>
      </patternFill>
    </fill>
    <fill>
      <patternFill patternType="solid">
        <fgColor rgb="FFFFC000"/>
        <bgColor indexed="64"/>
      </patternFill>
    </fill>
  </fills>
  <borders count="2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top style="hair">
        <color auto="1"/>
      </top>
      <bottom style="hair">
        <color auto="1"/>
      </bottom>
      <diagonal/>
    </border>
    <border>
      <left/>
      <right/>
      <top style="thin">
        <color indexed="64"/>
      </top>
      <bottom style="thin">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auto="1"/>
      </right>
      <top/>
      <bottom style="hair">
        <color indexed="64"/>
      </bottom>
      <diagonal/>
    </border>
    <border>
      <left style="hair">
        <color auto="1"/>
      </left>
      <right/>
      <top style="hair">
        <color auto="1"/>
      </top>
      <bottom style="thin">
        <color auto="1"/>
      </bottom>
      <diagonal/>
    </border>
    <border>
      <left style="hair">
        <color auto="1"/>
      </left>
      <right/>
      <top/>
      <bottom style="thin">
        <color indexed="64"/>
      </bottom>
      <diagonal/>
    </border>
    <border>
      <left/>
      <right style="hair">
        <color auto="1"/>
      </right>
      <top/>
      <bottom style="thin">
        <color indexed="64"/>
      </bottom>
      <diagonal/>
    </border>
    <border>
      <left style="double">
        <color indexed="10"/>
      </left>
      <right style="double">
        <color indexed="10"/>
      </right>
      <top style="double">
        <color indexed="10"/>
      </top>
      <bottom style="double">
        <color indexed="10"/>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top style="double">
        <color auto="1"/>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bottom style="thin">
        <color rgb="FFFF0000"/>
      </bottom>
      <diagonal/>
    </border>
    <border>
      <left/>
      <right/>
      <top/>
      <bottom style="hair">
        <color rgb="FFFF0000"/>
      </bottom>
      <diagonal/>
    </border>
    <border>
      <left style="thin">
        <color indexed="64"/>
      </left>
      <right style="hair">
        <color indexed="64"/>
      </right>
      <top style="hair">
        <color indexed="64"/>
      </top>
      <bottom/>
      <diagonal/>
    </border>
    <border>
      <left style="medium">
        <color indexed="64"/>
      </left>
      <right style="thin">
        <color auto="1"/>
      </right>
      <top style="medium">
        <color indexed="64"/>
      </top>
      <bottom style="medium">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hair">
        <color auto="1"/>
      </left>
      <right style="hair">
        <color auto="1"/>
      </right>
      <top/>
      <bottom style="thin">
        <color auto="1"/>
      </bottom>
      <diagonal/>
    </border>
    <border>
      <left style="thick">
        <color indexed="64"/>
      </left>
      <right style="thick">
        <color indexed="64"/>
      </right>
      <top style="thick">
        <color indexed="64"/>
      </top>
      <bottom style="thick">
        <color indexed="64"/>
      </bottom>
      <diagonal/>
    </border>
    <border>
      <left style="hair">
        <color auto="1"/>
      </left>
      <right style="hair">
        <color auto="1"/>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auto="1"/>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rgb="FFFF0000"/>
      </left>
      <right/>
      <top style="hair">
        <color rgb="FFFF0000"/>
      </top>
      <bottom/>
      <diagonal/>
    </border>
    <border>
      <left/>
      <right/>
      <top style="hair">
        <color rgb="FFFF0000"/>
      </top>
      <bottom/>
      <diagonal/>
    </border>
    <border>
      <left/>
      <right style="hair">
        <color rgb="FFFF0000"/>
      </right>
      <top style="hair">
        <color rgb="FFFF0000"/>
      </top>
      <bottom/>
      <diagonal/>
    </border>
    <border>
      <left style="hair">
        <color rgb="FFFF0000"/>
      </left>
      <right/>
      <top/>
      <bottom/>
      <diagonal/>
    </border>
    <border>
      <left/>
      <right style="hair">
        <color rgb="FFFF0000"/>
      </right>
      <top/>
      <bottom/>
      <diagonal/>
    </border>
    <border>
      <left style="hair">
        <color rgb="FFFF0000"/>
      </left>
      <right/>
      <top/>
      <bottom style="thick">
        <color rgb="FFFF0000"/>
      </bottom>
      <diagonal/>
    </border>
    <border>
      <left/>
      <right/>
      <top/>
      <bottom style="thick">
        <color rgb="FFFF0000"/>
      </bottom>
      <diagonal/>
    </border>
    <border>
      <left/>
      <right style="hair">
        <color rgb="FFFF0000"/>
      </right>
      <top/>
      <bottom style="thick">
        <color rgb="FFFF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hair">
        <color rgb="FF000000"/>
      </bottom>
      <diagonal/>
    </border>
    <border>
      <left style="thin">
        <color rgb="FF000000"/>
      </left>
      <right style="thin">
        <color indexed="64"/>
      </right>
      <top/>
      <bottom style="hair">
        <color rgb="FF000000"/>
      </bottom>
      <diagonal/>
    </border>
    <border>
      <left style="thin">
        <color indexed="64"/>
      </left>
      <right style="thin">
        <color rgb="FF000000"/>
      </right>
      <top style="hair">
        <color rgb="FF000000"/>
      </top>
      <bottom/>
      <diagonal/>
    </border>
    <border>
      <left style="thin">
        <color rgb="FF000000"/>
      </left>
      <right style="thin">
        <color indexed="64"/>
      </right>
      <top style="hair">
        <color rgb="FF000000"/>
      </top>
      <bottom/>
      <diagonal/>
    </border>
    <border>
      <left style="thin">
        <color indexed="64"/>
      </left>
      <right style="thin">
        <color rgb="FF000000"/>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auto="1"/>
      </right>
      <top style="hair">
        <color auto="1"/>
      </top>
      <bottom style="hair">
        <color auto="1"/>
      </bottom>
      <diagonal/>
    </border>
    <border>
      <left/>
      <right style="medium">
        <color auto="1"/>
      </right>
      <top style="hair">
        <color auto="1"/>
      </top>
      <bottom style="thin">
        <color indexed="64"/>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hair">
        <color indexed="64"/>
      </bottom>
      <diagonal/>
    </border>
    <border>
      <left style="medium">
        <color auto="1"/>
      </left>
      <right style="hair">
        <color indexed="64"/>
      </right>
      <top style="hair">
        <color auto="1"/>
      </top>
      <bottom style="hair">
        <color auto="1"/>
      </bottom>
      <diagonal/>
    </border>
    <border>
      <left style="medium">
        <color auto="1"/>
      </left>
      <right style="hair">
        <color indexed="64"/>
      </right>
      <top style="hair">
        <color auto="1"/>
      </top>
      <bottom style="thin">
        <color indexed="64"/>
      </bottom>
      <diagonal/>
    </border>
    <border>
      <left style="hair">
        <color indexed="64"/>
      </left>
      <right style="medium">
        <color auto="1"/>
      </right>
      <top style="thin">
        <color indexed="64"/>
      </top>
      <bottom style="hair">
        <color indexed="64"/>
      </bottom>
      <diagonal/>
    </border>
    <border>
      <left style="hair">
        <color indexed="64"/>
      </left>
      <right style="medium">
        <color auto="1"/>
      </right>
      <top style="hair">
        <color indexed="64"/>
      </top>
      <bottom style="hair">
        <color indexed="64"/>
      </bottom>
      <diagonal/>
    </border>
    <border>
      <left style="hair">
        <color indexed="64"/>
      </left>
      <right style="medium">
        <color auto="1"/>
      </right>
      <top style="hair">
        <color indexed="64"/>
      </top>
      <bottom style="thin">
        <color indexed="64"/>
      </bottom>
      <diagonal/>
    </border>
    <border>
      <left style="thin">
        <color auto="1"/>
      </left>
      <right style="thin">
        <color auto="1"/>
      </right>
      <top style="medium">
        <color indexed="64"/>
      </top>
      <bottom style="hair">
        <color auto="1"/>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rgb="FF000000"/>
      </left>
      <right/>
      <top style="thin">
        <color rgb="FF000000"/>
      </top>
      <bottom style="hair">
        <color indexed="64"/>
      </bottom>
      <diagonal/>
    </border>
    <border>
      <left style="thin">
        <color indexed="64"/>
      </left>
      <right/>
      <top style="thin">
        <color rgb="FF000000"/>
      </top>
      <bottom style="hair">
        <color indexed="64"/>
      </bottom>
      <diagonal/>
    </border>
    <border>
      <left style="thin">
        <color indexed="64"/>
      </left>
      <right style="thin">
        <color rgb="FF000000"/>
      </right>
      <top style="thin">
        <color rgb="FF000000"/>
      </top>
      <bottom style="hair">
        <color indexed="64"/>
      </bottom>
      <diagonal/>
    </border>
    <border>
      <left style="thin">
        <color rgb="FF000000"/>
      </left>
      <right/>
      <top style="hair">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top style="hair">
        <color indexed="64"/>
      </top>
      <bottom style="thin">
        <color rgb="FF000000"/>
      </bottom>
      <diagonal/>
    </border>
    <border>
      <left style="thin">
        <color indexed="64"/>
      </left>
      <right/>
      <top style="hair">
        <color indexed="64"/>
      </top>
      <bottom style="thin">
        <color rgb="FF000000"/>
      </bottom>
      <diagonal/>
    </border>
    <border>
      <left style="thin">
        <color indexed="64"/>
      </left>
      <right style="thin">
        <color rgb="FF000000"/>
      </right>
      <top style="hair">
        <color indexed="64"/>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hair">
        <color indexed="64"/>
      </top>
      <bottom style="hair">
        <color indexed="64"/>
      </bottom>
      <diagonal/>
    </border>
    <border>
      <left/>
      <right style="thin">
        <color rgb="FF000000"/>
      </right>
      <top style="hair">
        <color indexed="64"/>
      </top>
      <bottom style="thin">
        <color indexed="64"/>
      </bottom>
      <diagonal/>
    </border>
    <border>
      <left style="thin">
        <color indexed="64"/>
      </left>
      <right style="thin">
        <color rgb="FF000000"/>
      </right>
      <top style="hair">
        <color indexed="64"/>
      </top>
      <bottom style="thin">
        <color indexed="64"/>
      </bottom>
      <diagonal/>
    </border>
    <border>
      <left/>
      <right style="thin">
        <color rgb="FF000000"/>
      </right>
      <top style="hair">
        <color indexed="64"/>
      </top>
      <bottom/>
      <diagonal/>
    </border>
    <border>
      <left style="medium">
        <color rgb="FF1B3A4D"/>
      </left>
      <right style="medium">
        <color rgb="FF86B7D4"/>
      </right>
      <top style="medium">
        <color rgb="FF1B3A4D"/>
      </top>
      <bottom/>
      <diagonal/>
    </border>
    <border>
      <left/>
      <right style="medium">
        <color rgb="FF86B7D4"/>
      </right>
      <top style="medium">
        <color rgb="FF1B3A4D"/>
      </top>
      <bottom style="medium">
        <color rgb="FF1B3A4D"/>
      </bottom>
      <diagonal/>
    </border>
    <border>
      <left/>
      <right style="medium">
        <color rgb="FF1B3A4D"/>
      </right>
      <top style="medium">
        <color rgb="FF1B3A4D"/>
      </top>
      <bottom style="medium">
        <color rgb="FF1B3A4D"/>
      </bottom>
      <diagonal/>
    </border>
    <border>
      <left style="medium">
        <color rgb="FF86B7D4"/>
      </left>
      <right style="medium">
        <color rgb="FF86B7D4"/>
      </right>
      <top/>
      <bottom style="medium">
        <color rgb="FF86B7D4"/>
      </bottom>
      <diagonal/>
    </border>
    <border>
      <left/>
      <right style="medium">
        <color rgb="FF86B7D4"/>
      </right>
      <top/>
      <bottom style="medium">
        <color rgb="FF86B7D4"/>
      </bottom>
      <diagonal/>
    </border>
    <border>
      <left/>
      <right style="medium">
        <color rgb="FF86B7D4"/>
      </right>
      <top style="medium">
        <color rgb="FF86B7D4"/>
      </top>
      <bottom style="medium">
        <color rgb="FF86B7D4"/>
      </bottom>
      <diagonal/>
    </border>
    <border>
      <left style="medium">
        <color rgb="FF86B7D4"/>
      </left>
      <right/>
      <top style="medium">
        <color rgb="FF1B3A4D"/>
      </top>
      <bottom style="medium">
        <color rgb="FF1B3A4D"/>
      </bottom>
      <diagonal/>
    </border>
    <border>
      <left style="medium">
        <color rgb="FF1B3A4D"/>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rgb="FF000000"/>
      </left>
      <right style="thin">
        <color rgb="FF000000"/>
      </right>
      <top style="dotted">
        <color rgb="FF000000"/>
      </top>
      <bottom style="dotted">
        <color rgb="FF000000"/>
      </bottom>
      <diagonal/>
    </border>
    <border>
      <left style="dotted">
        <color rgb="FF000000"/>
      </left>
      <right style="thin">
        <color rgb="FF000000"/>
      </right>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dotted">
        <color rgb="FF000000"/>
      </right>
      <top/>
      <bottom style="dotted">
        <color rgb="FF000000"/>
      </bottom>
      <diagonal/>
    </border>
    <border>
      <left style="thin">
        <color rgb="FF000000"/>
      </left>
      <right/>
      <top style="hair">
        <color auto="1"/>
      </top>
      <bottom style="thin">
        <color auto="1"/>
      </bottom>
      <diagonal/>
    </border>
    <border>
      <left/>
      <right style="thin">
        <color rgb="FF000000"/>
      </right>
      <top style="hair">
        <color indexed="64"/>
      </top>
      <bottom style="thin">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top/>
      <bottom/>
      <diagonal/>
    </border>
    <border>
      <left/>
      <right style="dotted">
        <color rgb="FF000000"/>
      </right>
      <top/>
      <bottom/>
      <diagonal/>
    </border>
    <border>
      <left/>
      <right/>
      <top style="dotted">
        <color rgb="FF000000"/>
      </top>
      <bottom style="thin">
        <color rgb="FF000000"/>
      </bottom>
      <diagonal/>
    </border>
    <border>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indexed="64"/>
      </right>
      <top style="thin">
        <color rgb="FF000000"/>
      </top>
      <bottom style="thin">
        <color rgb="FF000000"/>
      </bottom>
      <diagonal/>
    </border>
    <border>
      <left style="hair">
        <color auto="1"/>
      </left>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dotted">
        <color rgb="FF000000"/>
      </left>
      <right/>
      <top style="thin">
        <color rgb="FF000000"/>
      </top>
      <bottom/>
      <diagonal/>
    </border>
    <border>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dotted">
        <color rgb="FF000000"/>
      </right>
      <top style="dotted">
        <color rgb="FF000000"/>
      </top>
      <bottom style="thin">
        <color rgb="FF000000"/>
      </bottom>
      <diagonal/>
    </border>
    <border>
      <left/>
      <right/>
      <top style="dotted">
        <color rgb="FF000000"/>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style="thin">
        <color rgb="FF000000"/>
      </bottom>
      <diagonal/>
    </border>
    <border>
      <left style="thick">
        <color indexed="64"/>
      </left>
      <right/>
      <top/>
      <bottom/>
      <diagonal/>
    </border>
    <border>
      <left style="thin">
        <color auto="1"/>
      </left>
      <right style="thin">
        <color auto="1"/>
      </right>
      <top style="thin">
        <color auto="1"/>
      </top>
      <bottom style="thin">
        <color auto="1"/>
      </bottom>
      <diagonal/>
    </border>
    <border>
      <left style="thin">
        <color indexed="58"/>
      </left>
      <right/>
      <top style="thin">
        <color indexed="58"/>
      </top>
      <bottom style="thin">
        <color indexed="58"/>
      </bottom>
      <diagonal/>
    </border>
    <border>
      <left/>
      <right/>
      <top style="thin">
        <color indexed="58"/>
      </top>
      <bottom style="thin">
        <color indexed="58"/>
      </bottom>
      <diagonal/>
    </border>
    <border>
      <left/>
      <right style="thin">
        <color indexed="58"/>
      </right>
      <top style="thin">
        <color indexed="58"/>
      </top>
      <bottom style="thin">
        <color indexed="58"/>
      </bottom>
      <diagonal/>
    </border>
    <border>
      <left/>
      <right/>
      <top style="thin">
        <color indexed="64"/>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medium">
        <color indexed="64"/>
      </left>
      <right/>
      <top style="thin">
        <color auto="1"/>
      </top>
      <bottom style="hair">
        <color indexed="64"/>
      </bottom>
      <diagonal/>
    </border>
    <border>
      <left style="hair">
        <color auto="1"/>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style="thin">
        <color auto="1"/>
      </top>
      <bottom style="thin">
        <color auto="1"/>
      </bottom>
      <diagonal/>
    </border>
    <border>
      <left style="thin">
        <color auto="1"/>
      </left>
      <right/>
      <top style="thin">
        <color auto="1"/>
      </top>
      <bottom style="medium">
        <color auto="1"/>
      </bottom>
      <diagonal/>
    </border>
    <border>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hair">
        <color indexed="64"/>
      </bottom>
      <diagonal/>
    </border>
    <border>
      <left/>
      <right style="thin">
        <color rgb="FF000000"/>
      </right>
      <top style="thin">
        <color auto="1"/>
      </top>
      <bottom style="thin">
        <color auto="1"/>
      </bottom>
      <diagonal/>
    </border>
    <border>
      <left style="thin">
        <color indexed="64"/>
      </left>
      <right style="thin">
        <color rgb="FF000000"/>
      </right>
      <top style="thin">
        <color indexed="64"/>
      </top>
      <bottom style="hair">
        <color indexed="64"/>
      </bottom>
      <diagonal/>
    </border>
    <border>
      <left style="thin">
        <color auto="1"/>
      </left>
      <right style="thin">
        <color auto="1"/>
      </right>
      <top style="thin">
        <color auto="1"/>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hair">
        <color auto="1"/>
      </bottom>
      <diagonal/>
    </border>
    <border>
      <left style="thin">
        <color rgb="FF000000"/>
      </left>
      <right/>
      <top style="thin">
        <color auto="1"/>
      </top>
      <bottom style="thin">
        <color auto="1"/>
      </bottom>
      <diagonal/>
    </border>
    <border>
      <left style="medium">
        <color auto="1"/>
      </left>
      <right style="hair">
        <color indexed="64"/>
      </right>
      <top style="thin">
        <color auto="1"/>
      </top>
      <bottom style="hair">
        <color auto="1"/>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auto="1"/>
      </top>
      <bottom style="hair">
        <color auto="1"/>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s>
  <cellStyleXfs count="41">
    <xf numFmtId="0" fontId="0" fillId="0" borderId="0"/>
    <xf numFmtId="43" fontId="4" fillId="0" borderId="0" applyFont="0" applyFill="0" applyBorder="0" applyAlignment="0" applyProtection="0"/>
    <xf numFmtId="44" fontId="4" fillId="0" borderId="0" applyFont="0" applyFill="0" applyBorder="0" applyAlignment="0" applyProtection="0"/>
    <xf numFmtId="38" fontId="5" fillId="2"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applyNumberFormat="0" applyFill="0" applyBorder="0" applyAlignment="0" applyProtection="0">
      <alignment vertical="top"/>
      <protection locked="0"/>
    </xf>
    <xf numFmtId="10" fontId="5" fillId="3" borderId="3" applyNumberFormat="0" applyBorder="0" applyAlignment="0" applyProtection="0"/>
    <xf numFmtId="172" fontId="4" fillId="0" borderId="0"/>
    <xf numFmtId="0" fontId="31" fillId="0" borderId="0"/>
    <xf numFmtId="9" fontId="4" fillId="0" borderId="0" applyFont="0" applyFill="0" applyBorder="0" applyAlignment="0" applyProtection="0"/>
    <xf numFmtId="10" fontId="4" fillId="0" borderId="0" applyFont="0" applyFill="0" applyBorder="0" applyAlignment="0" applyProtection="0"/>
    <xf numFmtId="0" fontId="3" fillId="0" borderId="0"/>
    <xf numFmtId="0" fontId="4" fillId="0" borderId="0"/>
    <xf numFmtId="0" fontId="114" fillId="0" borderId="0" applyNumberFormat="0" applyFill="0" applyBorder="0" applyAlignment="0" applyProtection="0"/>
    <xf numFmtId="43" fontId="115" fillId="0" borderId="0" applyFont="0" applyFill="0" applyBorder="0" applyAlignment="0" applyProtection="0"/>
    <xf numFmtId="44" fontId="30" fillId="0" borderId="0" applyFont="0" applyFill="0" applyBorder="0" applyAlignment="0" applyProtection="0"/>
    <xf numFmtId="15" fontId="116" fillId="0" borderId="63" applyFont="0" applyFill="0" applyBorder="0" applyProtection="0">
      <alignment horizontal="center"/>
      <protection locked="0"/>
    </xf>
    <xf numFmtId="178" fontId="117" fillId="0" borderId="0" applyFont="0" applyFill="0" applyBorder="0" applyAlignment="0" applyProtection="0"/>
    <xf numFmtId="38" fontId="116" fillId="0" borderId="0" applyFill="0" applyBorder="0" applyAlignment="0" applyProtection="0"/>
    <xf numFmtId="179" fontId="118" fillId="0" borderId="0" applyFill="0" applyBorder="0" applyAlignment="0" applyProtection="0">
      <alignment horizontal="right"/>
    </xf>
    <xf numFmtId="37" fontId="119" fillId="0" borderId="63" applyNumberFormat="0" applyFont="0" applyFill="0" applyAlignment="0" applyProtection="0">
      <alignment horizontal="center" vertical="center"/>
    </xf>
    <xf numFmtId="37" fontId="120" fillId="0" borderId="0"/>
    <xf numFmtId="0" fontId="4" fillId="0" borderId="0"/>
    <xf numFmtId="0" fontId="4" fillId="0" borderId="0"/>
    <xf numFmtId="0" fontId="121" fillId="0" borderId="0" applyNumberFormat="0" applyFill="0" applyBorder="0" applyAlignment="0" applyProtection="0"/>
    <xf numFmtId="37" fontId="122" fillId="0" borderId="0" applyFill="0" applyBorder="0" applyAlignment="0" applyProtection="0"/>
    <xf numFmtId="9" fontId="11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4" fillId="0" borderId="0"/>
    <xf numFmtId="0" fontId="6" fillId="0" borderId="54">
      <alignment horizontal="left" vertical="center"/>
    </xf>
    <xf numFmtId="10" fontId="5" fillId="3" borderId="56"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48" fillId="0" borderId="0" applyNumberFormat="0" applyFill="0" applyBorder="0" applyAlignment="0" applyProtection="0"/>
    <xf numFmtId="0" fontId="4" fillId="0" borderId="0"/>
    <xf numFmtId="9" fontId="4" fillId="0" borderId="0" applyFont="0" applyFill="0" applyBorder="0" applyAlignment="0" applyProtection="0"/>
    <xf numFmtId="0" fontId="1" fillId="0" borderId="0"/>
    <xf numFmtId="0" fontId="1" fillId="0" borderId="0"/>
  </cellStyleXfs>
  <cellXfs count="5028">
    <xf numFmtId="0" fontId="0" fillId="0" borderId="0" xfId="0"/>
    <xf numFmtId="0" fontId="13" fillId="0" borderId="0" xfId="0" applyFont="1" applyAlignment="1">
      <alignment vertical="center"/>
    </xf>
    <xf numFmtId="38" fontId="9" fillId="0" borderId="0" xfId="0" applyNumberFormat="1" applyFont="1" applyAlignment="1">
      <alignment horizontal="center" vertical="center"/>
    </xf>
    <xf numFmtId="0" fontId="9" fillId="0" borderId="0" xfId="0" applyFont="1" applyAlignment="1">
      <alignment vertical="center"/>
    </xf>
    <xf numFmtId="0" fontId="13" fillId="0" borderId="0" xfId="0" applyFont="1"/>
    <xf numFmtId="0" fontId="20" fillId="0" borderId="0" xfId="0" applyFont="1" applyAlignment="1">
      <alignment horizontal="right" vertical="center"/>
    </xf>
    <xf numFmtId="0" fontId="9" fillId="0" borderId="0" xfId="0" applyFont="1"/>
    <xf numFmtId="0" fontId="9" fillId="0" borderId="0" xfId="0" applyFont="1" applyAlignment="1">
      <alignment horizontal="right" vertical="center"/>
    </xf>
    <xf numFmtId="164" fontId="9" fillId="0" borderId="0" xfId="1" applyNumberFormat="1" applyFont="1" applyFill="1" applyProtection="1"/>
    <xf numFmtId="0" fontId="9" fillId="0" borderId="0" xfId="0" applyFont="1" applyAlignment="1">
      <alignment horizontal="center"/>
    </xf>
    <xf numFmtId="0" fontId="9" fillId="0" borderId="0" xfId="0" quotePrefix="1" applyFont="1" applyAlignment="1">
      <alignment horizontal="center" vertical="center"/>
    </xf>
    <xf numFmtId="0" fontId="0" fillId="0" borderId="0" xfId="0" applyAlignment="1">
      <alignment vertical="center"/>
    </xf>
    <xf numFmtId="0" fontId="21" fillId="0" borderId="0" xfId="0" applyFont="1"/>
    <xf numFmtId="0" fontId="5" fillId="0" borderId="0" xfId="0" applyFont="1" applyAlignment="1">
      <alignment vertical="center"/>
    </xf>
    <xf numFmtId="1" fontId="5" fillId="0" borderId="0" xfId="0" applyNumberFormat="1" applyFont="1" applyAlignment="1">
      <alignment horizontal="left" vertical="center"/>
    </xf>
    <xf numFmtId="0" fontId="8" fillId="0" borderId="0" xfId="0" applyFont="1" applyAlignment="1">
      <alignment vertical="center"/>
    </xf>
    <xf numFmtId="0" fontId="5" fillId="0" borderId="0" xfId="0" applyFont="1" applyAlignment="1">
      <alignment horizontal="left" vertical="center"/>
    </xf>
    <xf numFmtId="0" fontId="18" fillId="0" borderId="0" xfId="0" applyFont="1"/>
    <xf numFmtId="0" fontId="21" fillId="0" borderId="0" xfId="0" applyFont="1" applyAlignment="1">
      <alignment vertical="center"/>
    </xf>
    <xf numFmtId="0" fontId="19" fillId="0" borderId="0" xfId="0" applyFont="1"/>
    <xf numFmtId="0" fontId="10" fillId="0" borderId="0" xfId="0" applyFont="1" applyAlignment="1">
      <alignment vertical="center"/>
    </xf>
    <xf numFmtId="0" fontId="24" fillId="0" borderId="0" xfId="0" applyFont="1" applyAlignment="1">
      <alignment vertical="center"/>
    </xf>
    <xf numFmtId="0" fontId="15" fillId="0" borderId="0" xfId="0" applyFont="1" applyAlignment="1">
      <alignment horizontal="right" vertical="center"/>
    </xf>
    <xf numFmtId="0" fontId="17" fillId="0" borderId="0" xfId="0" applyFont="1" applyAlignment="1">
      <alignment vertical="center"/>
    </xf>
    <xf numFmtId="0" fontId="15" fillId="0" borderId="0" xfId="0" applyFont="1" applyAlignment="1">
      <alignment horizontal="center" vertical="center"/>
    </xf>
    <xf numFmtId="0" fontId="5" fillId="0" borderId="0" xfId="0" applyFont="1"/>
    <xf numFmtId="0" fontId="12" fillId="0" borderId="0" xfId="0" applyFont="1" applyAlignment="1">
      <alignment horizontal="right"/>
    </xf>
    <xf numFmtId="0" fontId="24" fillId="0" borderId="0" xfId="0" applyFont="1" applyAlignment="1">
      <alignment horizontal="left" vertical="center"/>
    </xf>
    <xf numFmtId="0" fontId="5" fillId="0" borderId="0" xfId="0" applyFont="1" applyAlignment="1">
      <alignment horizontal="right" vertical="center"/>
    </xf>
    <xf numFmtId="0" fontId="12" fillId="0" borderId="0" xfId="0" applyFont="1"/>
    <xf numFmtId="0" fontId="6" fillId="0" borderId="0" xfId="0" applyFont="1" applyAlignment="1">
      <alignment horizontal="center" vertical="center"/>
    </xf>
    <xf numFmtId="0" fontId="9" fillId="0" borderId="0" xfId="0" applyFont="1" applyAlignment="1">
      <alignment horizontal="center" vertical="top" wrapText="1"/>
    </xf>
    <xf numFmtId="0" fontId="4" fillId="0" borderId="0" xfId="0" applyFont="1" applyAlignment="1">
      <alignment horizontal="center" vertical="center"/>
    </xf>
    <xf numFmtId="0" fontId="21" fillId="0" borderId="0" xfId="0" applyFont="1" applyAlignment="1">
      <alignment horizontal="center"/>
    </xf>
    <xf numFmtId="0" fontId="0" fillId="0" borderId="0" xfId="0" applyAlignment="1">
      <alignment horizontal="center"/>
    </xf>
    <xf numFmtId="0" fontId="27" fillId="0" borderId="0" xfId="0" applyFont="1"/>
    <xf numFmtId="0" fontId="9" fillId="0" borderId="5" xfId="0" applyFont="1" applyBorder="1" applyAlignment="1">
      <alignment vertical="center"/>
    </xf>
    <xf numFmtId="0" fontId="17" fillId="0" borderId="9" xfId="0" applyFont="1" applyBorder="1" applyAlignment="1">
      <alignment vertical="top"/>
    </xf>
    <xf numFmtId="0" fontId="15" fillId="0" borderId="0" xfId="0" applyFont="1" applyAlignment="1">
      <alignment vertical="center"/>
    </xf>
    <xf numFmtId="0" fontId="15" fillId="0" borderId="0" xfId="0" applyFont="1"/>
    <xf numFmtId="0" fontId="14" fillId="0" borderId="0" xfId="0" applyFont="1"/>
    <xf numFmtId="0" fontId="27" fillId="0" borderId="0" xfId="0" applyFont="1" applyAlignment="1">
      <alignment vertical="center"/>
    </xf>
    <xf numFmtId="0" fontId="19" fillId="0" borderId="0" xfId="0" applyFont="1" applyAlignment="1">
      <alignment vertical="center"/>
    </xf>
    <xf numFmtId="0" fontId="4" fillId="0" borderId="0" xfId="0" applyFont="1" applyAlignment="1">
      <alignment vertical="center"/>
    </xf>
    <xf numFmtId="0" fontId="17" fillId="0" borderId="0" xfId="0" applyFont="1" applyAlignment="1">
      <alignment horizontal="left" vertical="center"/>
    </xf>
    <xf numFmtId="0" fontId="17" fillId="0" borderId="9" xfId="0" applyFont="1" applyBorder="1" applyAlignment="1">
      <alignment vertical="center"/>
    </xf>
    <xf numFmtId="0" fontId="5" fillId="0" borderId="9" xfId="0" applyFont="1" applyBorder="1" applyAlignment="1">
      <alignment horizontal="left" vertical="top" wrapText="1"/>
    </xf>
    <xf numFmtId="0" fontId="8" fillId="0" borderId="0" xfId="0" applyFont="1"/>
    <xf numFmtId="0" fontId="14" fillId="0" borderId="0" xfId="0" applyFont="1" applyAlignment="1">
      <alignment vertical="center"/>
    </xf>
    <xf numFmtId="0" fontId="0" fillId="0" borderId="0" xfId="0" applyAlignment="1">
      <alignment vertical="top" wrapText="1"/>
    </xf>
    <xf numFmtId="0" fontId="20" fillId="0" borderId="0" xfId="0" applyFont="1" applyAlignment="1">
      <alignment vertical="center"/>
    </xf>
    <xf numFmtId="0" fontId="30" fillId="0" borderId="0" xfId="0" applyFont="1" applyAlignment="1">
      <alignment horizontal="center" vertical="center"/>
    </xf>
    <xf numFmtId="0" fontId="14" fillId="0" borderId="0" xfId="0" applyFont="1" applyAlignment="1">
      <alignment horizontal="left" indent="2"/>
    </xf>
    <xf numFmtId="0" fontId="26" fillId="0" borderId="0" xfId="0" applyFont="1" applyAlignment="1">
      <alignment horizontal="center" vertical="center"/>
    </xf>
    <xf numFmtId="0" fontId="36" fillId="0" borderId="0" xfId="0" applyFont="1"/>
    <xf numFmtId="0" fontId="20" fillId="0" borderId="0" xfId="0" applyFont="1"/>
    <xf numFmtId="0" fontId="15" fillId="0" borderId="0" xfId="0" applyFont="1" applyAlignment="1">
      <alignment horizontal="left" vertical="center"/>
    </xf>
    <xf numFmtId="0" fontId="25" fillId="0" borderId="0" xfId="0" applyFont="1" applyAlignment="1">
      <alignment horizontal="right"/>
    </xf>
    <xf numFmtId="0" fontId="4" fillId="0" borderId="0" xfId="0" applyFont="1" applyAlignment="1">
      <alignment horizontal="center"/>
    </xf>
    <xf numFmtId="0" fontId="26" fillId="0" borderId="0" xfId="0" applyFont="1" applyAlignment="1">
      <alignment vertical="center"/>
    </xf>
    <xf numFmtId="0" fontId="29" fillId="0" borderId="0" xfId="0" applyFont="1"/>
    <xf numFmtId="0" fontId="6" fillId="0" borderId="0" xfId="0" applyFont="1"/>
    <xf numFmtId="0" fontId="28"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15" fillId="0" borderId="0" xfId="0" applyFont="1" applyAlignment="1">
      <alignment vertical="top"/>
    </xf>
    <xf numFmtId="0" fontId="15" fillId="0" borderId="0" xfId="0" applyFont="1" applyAlignment="1">
      <alignment horizontal="right" vertical="top" wrapText="1"/>
    </xf>
    <xf numFmtId="0" fontId="21" fillId="0" borderId="0" xfId="0" applyFont="1" applyAlignment="1">
      <alignment vertical="top"/>
    </xf>
    <xf numFmtId="0" fontId="5" fillId="0" borderId="0" xfId="0" applyFont="1" applyAlignment="1">
      <alignment vertical="center" wrapText="1"/>
    </xf>
    <xf numFmtId="0" fontId="33" fillId="0" borderId="0" xfId="0" applyFont="1" applyAlignment="1">
      <alignment vertical="center"/>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horizontal="right" vertical="center"/>
    </xf>
    <xf numFmtId="0" fontId="5" fillId="0" borderId="0" xfId="0" applyFont="1" applyAlignment="1">
      <alignment vertical="top"/>
    </xf>
    <xf numFmtId="0" fontId="17" fillId="0" borderId="9" xfId="0" applyFont="1" applyBorder="1" applyAlignment="1">
      <alignment horizontal="left" vertical="center"/>
    </xf>
    <xf numFmtId="0" fontId="15" fillId="0" borderId="0" xfId="0" applyFont="1" applyAlignment="1">
      <alignment horizontal="right" vertical="top"/>
    </xf>
    <xf numFmtId="0" fontId="11" fillId="0" borderId="0" xfId="0" applyFont="1" applyAlignment="1">
      <alignment horizontal="right" vertical="top"/>
    </xf>
    <xf numFmtId="0" fontId="4" fillId="0" borderId="0" xfId="0" applyFont="1"/>
    <xf numFmtId="0" fontId="0" fillId="0" borderId="0" xfId="0" applyAlignment="1">
      <alignment vertical="center" wrapText="1"/>
    </xf>
    <xf numFmtId="0" fontId="20" fillId="0" borderId="0" xfId="0" quotePrefix="1" applyFont="1" applyAlignment="1">
      <alignment vertical="center"/>
    </xf>
    <xf numFmtId="0" fontId="20" fillId="0" borderId="0" xfId="0" quotePrefix="1" applyFont="1" applyAlignment="1">
      <alignment horizontal="left" vertical="center"/>
    </xf>
    <xf numFmtId="0" fontId="25" fillId="0" borderId="0" xfId="0" applyFont="1" applyAlignment="1">
      <alignment vertical="center"/>
    </xf>
    <xf numFmtId="0" fontId="34" fillId="0" borderId="0" xfId="0" applyFont="1" applyAlignment="1">
      <alignment vertical="center" wrapText="1"/>
    </xf>
    <xf numFmtId="0" fontId="0" fillId="0" borderId="0" xfId="0" applyAlignment="1">
      <alignment wrapText="1"/>
    </xf>
    <xf numFmtId="0" fontId="5" fillId="0" borderId="0" xfId="0" applyFont="1" applyAlignment="1">
      <alignment horizontal="right" vertical="top"/>
    </xf>
    <xf numFmtId="1" fontId="14" fillId="5" borderId="12" xfId="1" applyNumberFormat="1" applyFont="1" applyFill="1" applyBorder="1" applyAlignment="1" applyProtection="1">
      <alignment horizontal="center" vertical="center"/>
      <protection locked="0"/>
    </xf>
    <xf numFmtId="3" fontId="14" fillId="5" borderId="12" xfId="1" applyNumberFormat="1"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1" fontId="14" fillId="5" borderId="13" xfId="1" applyNumberFormat="1" applyFont="1" applyFill="1" applyBorder="1" applyAlignment="1" applyProtection="1">
      <alignment horizontal="center" vertical="center"/>
      <protection locked="0"/>
    </xf>
    <xf numFmtId="3" fontId="14" fillId="5" borderId="13" xfId="1" applyNumberFormat="1" applyFont="1" applyFill="1" applyBorder="1" applyAlignment="1" applyProtection="1">
      <alignment horizontal="center" vertical="center"/>
      <protection locked="0"/>
    </xf>
    <xf numFmtId="0" fontId="14" fillId="5" borderId="13" xfId="0" applyFont="1" applyFill="1" applyBorder="1" applyAlignment="1" applyProtection="1">
      <alignment horizontal="center" vertical="center"/>
      <protection locked="0"/>
    </xf>
    <xf numFmtId="0" fontId="29" fillId="0" borderId="0" xfId="0" applyFont="1" applyAlignment="1">
      <alignment vertical="center"/>
    </xf>
    <xf numFmtId="0" fontId="11" fillId="0" borderId="0" xfId="0" applyFont="1" applyAlignment="1">
      <alignment vertical="center"/>
    </xf>
    <xf numFmtId="0" fontId="38" fillId="0" borderId="0" xfId="0" applyFont="1"/>
    <xf numFmtId="0" fontId="40" fillId="0" borderId="0" xfId="0" applyFont="1" applyAlignment="1">
      <alignment horizontal="center"/>
    </xf>
    <xf numFmtId="0" fontId="42" fillId="0" borderId="0" xfId="0" applyFont="1" applyAlignment="1">
      <alignment vertical="center"/>
    </xf>
    <xf numFmtId="0" fontId="42" fillId="0" borderId="0" xfId="0" applyFont="1"/>
    <xf numFmtId="0" fontId="43" fillId="0" borderId="0" xfId="0" applyFont="1" applyAlignment="1">
      <alignment horizontal="center" vertical="center"/>
    </xf>
    <xf numFmtId="0" fontId="39" fillId="0" borderId="0" xfId="0" applyFont="1" applyAlignment="1">
      <alignment vertical="center"/>
    </xf>
    <xf numFmtId="0" fontId="44" fillId="0" borderId="0" xfId="0" applyFont="1" applyAlignment="1">
      <alignment horizontal="center" vertical="center"/>
    </xf>
    <xf numFmtId="0" fontId="9" fillId="0" borderId="8" xfId="0" applyFont="1" applyBorder="1" applyAlignment="1">
      <alignment horizontal="center" vertical="center"/>
    </xf>
    <xf numFmtId="0" fontId="5" fillId="0" borderId="0" xfId="0" quotePrefix="1" applyFont="1" applyAlignment="1">
      <alignment horizontal="right" vertical="center"/>
    </xf>
    <xf numFmtId="0" fontId="4" fillId="0" borderId="0" xfId="0" applyFont="1" applyAlignment="1">
      <alignment horizontal="right" vertical="center"/>
    </xf>
    <xf numFmtId="0" fontId="0" fillId="0" borderId="0" xfId="0" applyAlignment="1">
      <alignment horizontal="right"/>
    </xf>
    <xf numFmtId="0" fontId="11" fillId="0" borderId="0" xfId="0" applyFont="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8" fontId="0" fillId="0" borderId="0" xfId="0" applyNumberFormat="1"/>
    <xf numFmtId="0" fontId="6" fillId="0" borderId="0" xfId="0" applyFont="1" applyAlignment="1">
      <alignment horizontal="center"/>
    </xf>
    <xf numFmtId="0" fontId="49" fillId="0" borderId="0" xfId="0" applyFont="1" applyAlignment="1">
      <alignment horizontal="center"/>
    </xf>
    <xf numFmtId="0" fontId="49" fillId="0" borderId="0" xfId="0" applyFont="1" applyAlignment="1">
      <alignment horizontal="right"/>
    </xf>
    <xf numFmtId="0" fontId="0" fillId="0" borderId="15" xfId="0" applyBorder="1"/>
    <xf numFmtId="8" fontId="0" fillId="0" borderId="15" xfId="0" applyNumberFormat="1" applyBorder="1"/>
    <xf numFmtId="0" fontId="0" fillId="0" borderId="16" xfId="0" applyBorder="1" applyAlignment="1">
      <alignment horizontal="center"/>
    </xf>
    <xf numFmtId="8" fontId="0" fillId="0" borderId="16" xfId="0" applyNumberFormat="1" applyBorder="1"/>
    <xf numFmtId="0" fontId="9" fillId="0" borderId="0" xfId="0" applyFont="1" applyAlignment="1">
      <alignment wrapText="1"/>
    </xf>
    <xf numFmtId="170" fontId="9" fillId="0" borderId="9" xfId="0" applyNumberFormat="1" applyFont="1" applyBorder="1" applyAlignment="1">
      <alignment horizontal="center" vertical="center"/>
    </xf>
    <xf numFmtId="8" fontId="0" fillId="0" borderId="0" xfId="0" applyNumberFormat="1" applyAlignment="1">
      <alignment horizontal="center"/>
    </xf>
    <xf numFmtId="0" fontId="15" fillId="5" borderId="13" xfId="0" applyFont="1" applyFill="1" applyBorder="1" applyAlignment="1" applyProtection="1">
      <alignment horizontal="center" vertical="center"/>
      <protection locked="0"/>
    </xf>
    <xf numFmtId="170" fontId="49" fillId="0" borderId="0" xfId="0" applyNumberFormat="1" applyFont="1" applyAlignment="1">
      <alignment horizontal="center"/>
    </xf>
    <xf numFmtId="0" fontId="0" fillId="0" borderId="4" xfId="0" applyBorder="1" applyAlignment="1">
      <alignment horizontal="center"/>
    </xf>
    <xf numFmtId="0" fontId="25" fillId="0" borderId="0" xfId="0" applyFont="1"/>
    <xf numFmtId="166" fontId="0" fillId="0" borderId="0" xfId="0" applyNumberFormat="1" applyAlignment="1">
      <alignment horizontal="center"/>
    </xf>
    <xf numFmtId="0" fontId="26" fillId="0" borderId="0" xfId="0" applyFont="1" applyAlignment="1">
      <alignment vertical="center" wrapText="1"/>
    </xf>
    <xf numFmtId="170" fontId="9" fillId="0" borderId="0" xfId="0" applyNumberFormat="1" applyFont="1" applyAlignment="1">
      <alignment horizontal="center"/>
    </xf>
    <xf numFmtId="170" fontId="9" fillId="0" borderId="4" xfId="0" applyNumberFormat="1" applyFont="1" applyBorder="1" applyAlignment="1">
      <alignment horizontal="center"/>
    </xf>
    <xf numFmtId="0" fontId="0" fillId="0" borderId="16" xfId="0" applyBorder="1"/>
    <xf numFmtId="0" fontId="9" fillId="0" borderId="9" xfId="0" applyFont="1" applyBorder="1" applyAlignment="1">
      <alignment horizontal="center"/>
    </xf>
    <xf numFmtId="0" fontId="0" fillId="0" borderId="25" xfId="0" applyBorder="1"/>
    <xf numFmtId="0" fontId="28" fillId="0" borderId="0" xfId="0" applyFont="1"/>
    <xf numFmtId="0" fontId="9" fillId="5" borderId="12" xfId="0" applyFont="1" applyFill="1" applyBorder="1" applyAlignment="1" applyProtection="1">
      <alignment horizontal="center" vertical="center"/>
      <protection locked="0"/>
    </xf>
    <xf numFmtId="0" fontId="9" fillId="5" borderId="13" xfId="0" applyFont="1" applyFill="1" applyBorder="1" applyAlignment="1" applyProtection="1">
      <alignment horizontal="center" vertical="center"/>
      <protection locked="0"/>
    </xf>
    <xf numFmtId="10" fontId="0" fillId="0" borderId="0" xfId="0" applyNumberFormat="1" applyAlignment="1">
      <alignment horizontal="center" vertical="center"/>
    </xf>
    <xf numFmtId="8" fontId="0" fillId="0" borderId="0" xfId="0" applyNumberFormat="1" applyAlignment="1">
      <alignment horizontal="center" vertical="center"/>
    </xf>
    <xf numFmtId="0" fontId="50"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left" vertical="center"/>
    </xf>
    <xf numFmtId="0" fontId="44" fillId="0" borderId="0" xfId="0" applyFont="1" applyAlignment="1">
      <alignment vertical="center"/>
    </xf>
    <xf numFmtId="0" fontId="44" fillId="0" borderId="0" xfId="0" applyFont="1" applyAlignment="1">
      <alignment horizontal="right" vertical="center"/>
    </xf>
    <xf numFmtId="0" fontId="44" fillId="0" borderId="0" xfId="0" applyFont="1" applyAlignment="1">
      <alignment horizontal="left" vertical="center"/>
    </xf>
    <xf numFmtId="0" fontId="44" fillId="0" borderId="0" xfId="0" applyFont="1"/>
    <xf numFmtId="0" fontId="45" fillId="0" borderId="0" xfId="0" applyFont="1" applyAlignment="1">
      <alignment vertical="center"/>
    </xf>
    <xf numFmtId="0" fontId="39" fillId="0" borderId="0" xfId="0" applyFont="1" applyAlignment="1">
      <alignment vertical="center" wrapText="1"/>
    </xf>
    <xf numFmtId="0" fontId="39" fillId="0" borderId="0" xfId="0" applyFont="1" applyAlignment="1">
      <alignment horizontal="center" vertical="center"/>
    </xf>
    <xf numFmtId="3" fontId="39" fillId="0" borderId="0" xfId="10" applyNumberFormat="1" applyFont="1" applyBorder="1" applyAlignment="1" applyProtection="1">
      <alignment horizontal="center" vertical="center"/>
    </xf>
    <xf numFmtId="38" fontId="46" fillId="0" borderId="0" xfId="0" applyNumberFormat="1" applyFont="1" applyAlignment="1">
      <alignment horizontal="center" vertical="center"/>
    </xf>
    <xf numFmtId="0" fontId="39" fillId="0" borderId="0" xfId="0" applyFont="1"/>
    <xf numFmtId="0" fontId="47" fillId="0" borderId="0" xfId="0" applyFont="1" applyAlignment="1">
      <alignment vertical="center"/>
    </xf>
    <xf numFmtId="0" fontId="47" fillId="0" borderId="0" xfId="0" applyFont="1" applyAlignment="1">
      <alignment vertical="top" wrapText="1"/>
    </xf>
    <xf numFmtId="3" fontId="29" fillId="0" borderId="0" xfId="0" applyNumberFormat="1" applyFont="1" applyAlignment="1">
      <alignment horizontal="center"/>
    </xf>
    <xf numFmtId="0" fontId="39" fillId="0" borderId="0" xfId="0" applyFont="1" applyAlignment="1">
      <alignment horizontal="left" vertical="center"/>
    </xf>
    <xf numFmtId="0" fontId="50" fillId="0" borderId="0" xfId="0" applyFont="1" applyAlignment="1">
      <alignment vertical="center"/>
    </xf>
    <xf numFmtId="0" fontId="42" fillId="0" borderId="0" xfId="0" applyFont="1" applyAlignment="1">
      <alignment horizontal="centerContinuous" vertical="center"/>
    </xf>
    <xf numFmtId="0" fontId="42" fillId="0" borderId="0" xfId="0" applyFont="1" applyAlignment="1">
      <alignment horizontal="left" vertical="center"/>
    </xf>
    <xf numFmtId="0" fontId="42" fillId="0" borderId="0" xfId="0" applyFont="1" applyAlignment="1">
      <alignment horizontal="right" vertical="center"/>
    </xf>
    <xf numFmtId="0" fontId="50" fillId="0" borderId="0" xfId="0" applyFont="1" applyAlignment="1">
      <alignment horizontal="right" vertical="center"/>
    </xf>
    <xf numFmtId="0" fontId="42" fillId="0" borderId="0" xfId="0" quotePrefix="1" applyFont="1" applyAlignment="1">
      <alignment horizontal="center" vertical="center"/>
    </xf>
    <xf numFmtId="0" fontId="50" fillId="0" borderId="0" xfId="0" applyFont="1" applyAlignment="1">
      <alignment horizontal="center"/>
    </xf>
    <xf numFmtId="0" fontId="42" fillId="0" borderId="0" xfId="0" applyFont="1" applyAlignment="1">
      <alignment horizontal="center"/>
    </xf>
    <xf numFmtId="0" fontId="50" fillId="0" borderId="0" xfId="0" applyFont="1"/>
    <xf numFmtId="0" fontId="42" fillId="0" borderId="0" xfId="0" applyFont="1" applyAlignment="1">
      <alignment horizontal="right"/>
    </xf>
    <xf numFmtId="0" fontId="42" fillId="0" borderId="0" xfId="0" applyFont="1" applyAlignment="1">
      <alignment vertical="top"/>
    </xf>
    <xf numFmtId="0" fontId="42" fillId="0" borderId="0" xfId="0" quotePrefix="1" applyFont="1" applyAlignment="1">
      <alignment horizontal="left" vertical="center"/>
    </xf>
    <xf numFmtId="0" fontId="41" fillId="0" borderId="0" xfId="0" applyFont="1" applyAlignment="1">
      <alignment vertical="center"/>
    </xf>
    <xf numFmtId="0" fontId="42" fillId="0" borderId="0" xfId="0" applyFont="1" applyAlignment="1" applyProtection="1">
      <alignment horizontal="left" vertical="center"/>
      <protection locked="0"/>
    </xf>
    <xf numFmtId="0" fontId="50" fillId="0" borderId="0" xfId="0" quotePrefix="1" applyFont="1" applyAlignment="1">
      <alignment horizontal="center" vertical="center"/>
    </xf>
    <xf numFmtId="0" fontId="42" fillId="0" borderId="0" xfId="0" applyFont="1" applyAlignment="1" applyProtection="1">
      <alignment vertical="center"/>
      <protection locked="0"/>
    </xf>
    <xf numFmtId="0" fontId="42" fillId="0" borderId="0" xfId="0" applyFont="1" applyAlignment="1" applyProtection="1">
      <alignment horizontal="center" vertical="center"/>
      <protection locked="0"/>
    </xf>
    <xf numFmtId="167" fontId="42" fillId="0" borderId="0" xfId="0" applyNumberFormat="1"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50" fillId="0" borderId="0" xfId="0" applyFont="1" applyAlignment="1">
      <alignment horizontal="right"/>
    </xf>
    <xf numFmtId="0" fontId="50" fillId="0" borderId="0" xfId="0" quotePrefix="1" applyFont="1"/>
    <xf numFmtId="167" fontId="42" fillId="0" borderId="9" xfId="0" applyNumberFormat="1" applyFont="1" applyBorder="1" applyAlignment="1" applyProtection="1">
      <alignment vertical="center"/>
      <protection locked="0"/>
    </xf>
    <xf numFmtId="0" fontId="42" fillId="0" borderId="9" xfId="0" applyFont="1" applyBorder="1" applyAlignment="1" applyProtection="1">
      <alignment horizontal="center" vertical="center"/>
      <protection locked="0"/>
    </xf>
    <xf numFmtId="167" fontId="42" fillId="0" borderId="0" xfId="0" applyNumberFormat="1" applyFont="1" applyAlignment="1" applyProtection="1">
      <alignment vertical="center"/>
      <protection locked="0"/>
    </xf>
    <xf numFmtId="0" fontId="50" fillId="0" borderId="0" xfId="0" quotePrefix="1" applyFont="1" applyAlignment="1">
      <alignment horizontal="right"/>
    </xf>
    <xf numFmtId="1" fontId="42" fillId="0" borderId="0" xfId="0" applyNumberFormat="1" applyFont="1" applyAlignment="1" applyProtection="1">
      <alignment horizontal="center" vertical="center"/>
      <protection locked="0"/>
    </xf>
    <xf numFmtId="0" fontId="57" fillId="0" borderId="0" xfId="0" applyFont="1" applyAlignment="1">
      <alignment vertical="center"/>
    </xf>
    <xf numFmtId="0" fontId="55" fillId="0" borderId="0" xfId="0" applyFont="1"/>
    <xf numFmtId="0" fontId="41" fillId="0" borderId="0" xfId="0" applyFont="1" applyAlignment="1">
      <alignment horizontal="center" vertical="center"/>
    </xf>
    <xf numFmtId="0" fontId="41" fillId="0" borderId="0" xfId="0" applyFont="1"/>
    <xf numFmtId="0" fontId="41" fillId="0" borderId="0" xfId="0" applyFont="1" applyAlignment="1">
      <alignment horizontal="left" vertical="center"/>
    </xf>
    <xf numFmtId="0" fontId="41" fillId="0" borderId="0" xfId="0" quotePrefix="1" applyFont="1" applyAlignment="1">
      <alignment horizontal="center" vertical="center"/>
    </xf>
    <xf numFmtId="164" fontId="42" fillId="0" borderId="0" xfId="1" applyNumberFormat="1" applyFont="1" applyFill="1" applyAlignment="1" applyProtection="1">
      <alignment vertical="center"/>
    </xf>
    <xf numFmtId="0" fontId="58" fillId="0" borderId="0" xfId="0" applyFont="1" applyAlignment="1">
      <alignment horizontal="right" vertical="center"/>
    </xf>
    <xf numFmtId="164" fontId="50" fillId="0" borderId="0" xfId="1" applyNumberFormat="1" applyFont="1" applyFill="1" applyAlignment="1" applyProtection="1">
      <alignment horizontal="center" vertical="center"/>
    </xf>
    <xf numFmtId="164" fontId="42" fillId="0" borderId="0" xfId="1" applyNumberFormat="1" applyFont="1" applyFill="1" applyAlignment="1" applyProtection="1">
      <alignment horizontal="center" vertical="center"/>
    </xf>
    <xf numFmtId="164" fontId="58" fillId="0" borderId="0" xfId="1" applyNumberFormat="1" applyFont="1" applyFill="1" applyBorder="1" applyAlignment="1" applyProtection="1">
      <alignment horizontal="right" vertical="center"/>
    </xf>
    <xf numFmtId="10" fontId="42" fillId="0" borderId="0" xfId="0" applyNumberFormat="1" applyFont="1" applyAlignment="1">
      <alignment horizontal="center"/>
    </xf>
    <xf numFmtId="164" fontId="42" fillId="0" borderId="0" xfId="1" applyNumberFormat="1" applyFont="1" applyFill="1" applyAlignment="1" applyProtection="1">
      <alignment horizontal="center"/>
    </xf>
    <xf numFmtId="0" fontId="42" fillId="0" borderId="0" xfId="0" applyFont="1" applyAlignment="1">
      <alignment horizontal="left" vertical="top"/>
    </xf>
    <xf numFmtId="6" fontId="42" fillId="0" borderId="0" xfId="0" applyNumberFormat="1" applyFont="1" applyAlignment="1">
      <alignment horizontal="center" vertical="center"/>
    </xf>
    <xf numFmtId="0" fontId="59" fillId="0" borderId="0" xfId="0" applyFont="1" applyAlignment="1">
      <alignment horizontal="right" vertical="center"/>
    </xf>
    <xf numFmtId="164" fontId="42" fillId="0" borderId="0" xfId="1" applyNumberFormat="1" applyFont="1" applyFill="1" applyBorder="1" applyProtection="1"/>
    <xf numFmtId="164" fontId="42" fillId="0" borderId="0" xfId="1" applyNumberFormat="1" applyFont="1" applyFill="1" applyProtection="1"/>
    <xf numFmtId="0" fontId="58" fillId="0" borderId="0" xfId="0" applyFont="1" applyAlignment="1">
      <alignment horizontal="center" vertical="center"/>
    </xf>
    <xf numFmtId="38" fontId="50" fillId="0" borderId="0" xfId="0" applyNumberFormat="1" applyFont="1" applyAlignment="1">
      <alignment horizontal="right" vertical="center"/>
    </xf>
    <xf numFmtId="164" fontId="42" fillId="0" borderId="0" xfId="1" applyNumberFormat="1" applyFont="1" applyFill="1" applyBorder="1" applyAlignment="1" applyProtection="1">
      <alignment horizontal="left" vertical="center"/>
    </xf>
    <xf numFmtId="0" fontId="60" fillId="0" borderId="0" xfId="0" applyFont="1" applyAlignment="1">
      <alignment horizontal="right" vertical="center"/>
    </xf>
    <xf numFmtId="0" fontId="42" fillId="0" borderId="0" xfId="0" quotePrefix="1" applyFont="1" applyAlignment="1">
      <alignment horizontal="right" vertical="center"/>
    </xf>
    <xf numFmtId="38" fontId="50" fillId="0" borderId="0" xfId="0" applyNumberFormat="1" applyFont="1" applyAlignment="1">
      <alignment horizontal="center" vertical="center"/>
    </xf>
    <xf numFmtId="38" fontId="42" fillId="0" borderId="0" xfId="0" applyNumberFormat="1" applyFont="1" applyAlignment="1">
      <alignment horizontal="center" vertical="center"/>
    </xf>
    <xf numFmtId="0" fontId="15" fillId="5" borderId="12" xfId="0" applyFont="1" applyFill="1" applyBorder="1" applyAlignment="1" applyProtection="1">
      <alignment horizontal="center" vertical="center"/>
      <protection locked="0"/>
    </xf>
    <xf numFmtId="0" fontId="42" fillId="0" borderId="0" xfId="0" applyFont="1" applyAlignment="1">
      <alignment vertical="center" wrapText="1"/>
    </xf>
    <xf numFmtId="0" fontId="52" fillId="0" borderId="0" xfId="0" applyFont="1" applyAlignment="1">
      <alignment horizontal="left" vertical="center"/>
    </xf>
    <xf numFmtId="0" fontId="63" fillId="0" borderId="0" xfId="0" applyFont="1" applyAlignment="1">
      <alignment horizontal="center" vertical="center"/>
    </xf>
    <xf numFmtId="0" fontId="38" fillId="0" borderId="0" xfId="0" applyFont="1" applyAlignment="1" applyProtection="1">
      <alignment vertical="center"/>
      <protection locked="0"/>
    </xf>
    <xf numFmtId="0" fontId="26" fillId="0" borderId="0" xfId="0" applyFont="1" applyAlignment="1">
      <alignment horizontal="center"/>
    </xf>
    <xf numFmtId="0" fontId="15" fillId="0" borderId="0" xfId="0" quotePrefix="1" applyFont="1" applyAlignment="1">
      <alignment horizontal="center" vertical="center"/>
    </xf>
    <xf numFmtId="0" fontId="68" fillId="0" borderId="0" xfId="0" applyFont="1" applyAlignment="1">
      <alignment horizontal="center" vertical="center"/>
    </xf>
    <xf numFmtId="0" fontId="36" fillId="0" borderId="0" xfId="0" applyFont="1" applyAlignment="1">
      <alignment vertical="center"/>
    </xf>
    <xf numFmtId="0" fontId="39" fillId="0" borderId="0" xfId="9" applyFont="1"/>
    <xf numFmtId="0" fontId="39" fillId="0" borderId="0" xfId="9" applyFont="1" applyAlignment="1">
      <alignment horizontal="left"/>
    </xf>
    <xf numFmtId="0" fontId="69" fillId="0" borderId="0" xfId="9" applyFont="1" applyAlignment="1">
      <alignment horizontal="center"/>
    </xf>
    <xf numFmtId="0" fontId="70" fillId="0" borderId="0" xfId="0" applyFont="1" applyAlignment="1">
      <alignment horizontal="center"/>
    </xf>
    <xf numFmtId="9" fontId="39" fillId="0" borderId="0" xfId="10" applyFont="1" applyBorder="1" applyAlignment="1" applyProtection="1">
      <alignment horizontal="center" vertical="center"/>
    </xf>
    <xf numFmtId="9" fontId="39" fillId="0" borderId="0" xfId="10" applyFont="1" applyBorder="1" applyAlignment="1" applyProtection="1">
      <alignment horizontal="left" vertical="center"/>
    </xf>
    <xf numFmtId="0" fontId="5" fillId="0" borderId="0" xfId="0" quotePrefix="1" applyFont="1" applyAlignment="1">
      <alignment horizontal="right" vertical="top"/>
    </xf>
    <xf numFmtId="0" fontId="0" fillId="0" borderId="0" xfId="0" applyAlignment="1">
      <alignment vertical="top"/>
    </xf>
    <xf numFmtId="4" fontId="14" fillId="0" borderId="0" xfId="1" applyNumberFormat="1" applyFont="1" applyFill="1" applyAlignment="1" applyProtection="1">
      <alignment horizontal="center" vertical="center"/>
    </xf>
    <xf numFmtId="0" fontId="54" fillId="0" borderId="0" xfId="0" applyFont="1"/>
    <xf numFmtId="0" fontId="67" fillId="0" borderId="0" xfId="0" applyFont="1" applyAlignment="1">
      <alignment horizontal="center" vertical="center"/>
    </xf>
    <xf numFmtId="0" fontId="39" fillId="0" borderId="0" xfId="0" applyFont="1" applyAlignment="1">
      <alignment horizontal="center"/>
    </xf>
    <xf numFmtId="166" fontId="42" fillId="0" borderId="0" xfId="0" applyNumberFormat="1" applyFont="1" applyAlignment="1">
      <alignment horizontal="center" vertical="center"/>
    </xf>
    <xf numFmtId="9" fontId="38" fillId="0" borderId="0" xfId="0" applyNumberFormat="1" applyFont="1" applyAlignment="1">
      <alignment horizontal="center" vertical="center"/>
    </xf>
    <xf numFmtId="0" fontId="32" fillId="0" borderId="0" xfId="0" applyFont="1" applyAlignment="1">
      <alignment horizontal="center"/>
    </xf>
    <xf numFmtId="0" fontId="38" fillId="0" borderId="35" xfId="0" applyFont="1" applyBorder="1" applyAlignment="1">
      <alignment vertical="top"/>
    </xf>
    <xf numFmtId="0" fontId="26" fillId="0" borderId="0" xfId="0" applyFont="1" applyAlignment="1">
      <alignment horizontal="center" vertical="top"/>
    </xf>
    <xf numFmtId="0" fontId="19" fillId="0" borderId="0" xfId="0" applyFont="1" applyAlignment="1">
      <alignment vertical="top"/>
    </xf>
    <xf numFmtId="0" fontId="4" fillId="0" borderId="0" xfId="0" applyFont="1" applyAlignment="1">
      <alignment vertical="top"/>
    </xf>
    <xf numFmtId="0" fontId="56" fillId="0" borderId="0" xfId="0" applyFont="1" applyAlignment="1" applyProtection="1">
      <alignment horizontal="center" vertical="center"/>
      <protection locked="0"/>
    </xf>
    <xf numFmtId="0" fontId="52" fillId="0" borderId="0" xfId="0" applyFont="1" applyAlignment="1" applyProtection="1">
      <alignment vertical="center"/>
      <protection locked="0"/>
    </xf>
    <xf numFmtId="0" fontId="77" fillId="0" borderId="0" xfId="0" applyFont="1" applyAlignment="1">
      <alignment vertical="center" wrapText="1"/>
    </xf>
    <xf numFmtId="0" fontId="77" fillId="0" borderId="0" xfId="0" applyFont="1" applyAlignment="1">
      <alignment vertical="center"/>
    </xf>
    <xf numFmtId="0" fontId="78" fillId="0" borderId="0" xfId="0" applyFont="1" applyAlignment="1">
      <alignment horizontal="center" vertical="center"/>
    </xf>
    <xf numFmtId="0" fontId="76" fillId="0" borderId="0" xfId="0" applyFont="1"/>
    <xf numFmtId="0" fontId="4" fillId="0" borderId="4" xfId="0" applyFont="1" applyBorder="1"/>
    <xf numFmtId="0" fontId="84" fillId="0" borderId="0" xfId="0" applyFont="1" applyAlignment="1">
      <alignment vertical="top"/>
    </xf>
    <xf numFmtId="0" fontId="84" fillId="0" borderId="0" xfId="0" applyFont="1" applyAlignment="1">
      <alignment vertical="center"/>
    </xf>
    <xf numFmtId="0" fontId="84" fillId="0" borderId="0" xfId="0" applyFont="1" applyAlignment="1">
      <alignment horizontal="left" vertical="top"/>
    </xf>
    <xf numFmtId="0" fontId="11" fillId="0" borderId="0" xfId="0" applyFont="1" applyAlignment="1">
      <alignment horizontal="right"/>
    </xf>
    <xf numFmtId="0" fontId="5" fillId="0" borderId="0" xfId="0" applyFont="1" applyAlignment="1">
      <alignment horizontal="center" vertical="top"/>
    </xf>
    <xf numFmtId="0" fontId="5" fillId="0" borderId="0" xfId="0" quotePrefix="1" applyFont="1" applyAlignment="1">
      <alignment horizontal="center" vertical="center"/>
    </xf>
    <xf numFmtId="0" fontId="86" fillId="0" borderId="0" xfId="0" applyFont="1" applyAlignment="1">
      <alignment horizontal="left"/>
    </xf>
    <xf numFmtId="0" fontId="15" fillId="0" borderId="0" xfId="0" quotePrefix="1" applyFont="1" applyAlignment="1">
      <alignment horizontal="center" vertical="top"/>
    </xf>
    <xf numFmtId="0" fontId="20" fillId="0" borderId="0" xfId="0" quotePrefix="1" applyFont="1"/>
    <xf numFmtId="0" fontId="5" fillId="0" borderId="0" xfId="0" applyFont="1" applyAlignment="1">
      <alignment horizontal="right"/>
    </xf>
    <xf numFmtId="37" fontId="39" fillId="0" borderId="0" xfId="1" applyNumberFormat="1" applyFont="1" applyAlignment="1" applyProtection="1">
      <alignment horizontal="center"/>
    </xf>
    <xf numFmtId="0" fontId="37" fillId="0" borderId="4" xfId="0" applyFont="1" applyBorder="1" applyAlignment="1">
      <alignment vertical="center"/>
    </xf>
    <xf numFmtId="0" fontId="37" fillId="0" borderId="0" xfId="0" applyFont="1" applyAlignment="1">
      <alignment vertical="center"/>
    </xf>
    <xf numFmtId="0" fontId="34" fillId="0" borderId="0" xfId="0" applyFont="1" applyAlignment="1">
      <alignment vertical="center"/>
    </xf>
    <xf numFmtId="0" fontId="88" fillId="0" borderId="0" xfId="0" applyFont="1"/>
    <xf numFmtId="0" fontId="90" fillId="0" borderId="0" xfId="0" applyFont="1" applyAlignment="1">
      <alignment horizontal="center" vertical="center"/>
    </xf>
    <xf numFmtId="0" fontId="88" fillId="0" borderId="0" xfId="0" applyFont="1" applyAlignment="1">
      <alignment vertical="center"/>
    </xf>
    <xf numFmtId="0" fontId="92" fillId="0" borderId="0" xfId="0" applyFont="1"/>
    <xf numFmtId="0" fontId="79" fillId="0" borderId="0" xfId="0" applyFont="1"/>
    <xf numFmtId="0" fontId="89" fillId="0" borderId="0" xfId="0" applyFont="1" applyAlignment="1">
      <alignment vertical="center"/>
    </xf>
    <xf numFmtId="164" fontId="88" fillId="0" borderId="0" xfId="1" applyNumberFormat="1" applyFont="1" applyFill="1" applyBorder="1" applyAlignment="1" applyProtection="1">
      <alignment vertical="center"/>
    </xf>
    <xf numFmtId="3" fontId="42" fillId="0" borderId="0" xfId="0" applyNumberFormat="1" applyFont="1" applyAlignment="1">
      <alignment horizontal="center" vertical="center"/>
    </xf>
    <xf numFmtId="0" fontId="93" fillId="0" borderId="4" xfId="0" applyFont="1" applyBorder="1" applyAlignment="1">
      <alignment vertical="center"/>
    </xf>
    <xf numFmtId="0" fontId="37" fillId="0" borderId="0" xfId="0" applyFont="1" applyAlignment="1">
      <alignment vertical="center" wrapText="1"/>
    </xf>
    <xf numFmtId="0" fontId="29" fillId="0" borderId="0" xfId="0" applyFont="1" applyAlignment="1">
      <alignment horizontal="center" vertical="center" wrapText="1"/>
    </xf>
    <xf numFmtId="38" fontId="38" fillId="0" borderId="0" xfId="0" applyNumberFormat="1" applyFont="1" applyAlignment="1">
      <alignment vertical="center"/>
    </xf>
    <xf numFmtId="0" fontId="5" fillId="0" borderId="0" xfId="0" applyFont="1" applyAlignment="1">
      <alignment horizontal="left"/>
    </xf>
    <xf numFmtId="0" fontId="46" fillId="0" borderId="0" xfId="0" applyFont="1" applyAlignment="1">
      <alignment horizontal="left" vertical="center"/>
    </xf>
    <xf numFmtId="0" fontId="5" fillId="0" borderId="0" xfId="0" applyFont="1" applyAlignment="1">
      <alignment horizontal="left" vertical="top"/>
    </xf>
    <xf numFmtId="0" fontId="5" fillId="0" borderId="0" xfId="0" quotePrefix="1" applyFont="1" applyAlignment="1">
      <alignment horizontal="center" vertical="top"/>
    </xf>
    <xf numFmtId="0" fontId="50" fillId="0" borderId="0" xfId="0" applyFont="1" applyAlignment="1">
      <alignment horizontal="center" vertical="center"/>
    </xf>
    <xf numFmtId="0" fontId="97" fillId="0" borderId="0" xfId="0" applyFont="1" applyAlignment="1">
      <alignment vertical="top"/>
    </xf>
    <xf numFmtId="0" fontId="82" fillId="0" borderId="0" xfId="0" applyFont="1"/>
    <xf numFmtId="0" fontId="98" fillId="0" borderId="0" xfId="0" applyFont="1"/>
    <xf numFmtId="0" fontId="91" fillId="0" borderId="0" xfId="0" applyFont="1" applyAlignment="1">
      <alignment horizontal="left"/>
    </xf>
    <xf numFmtId="0" fontId="14" fillId="0" borderId="0" xfId="0" applyFont="1" applyAlignment="1">
      <alignment horizontal="left"/>
    </xf>
    <xf numFmtId="0" fontId="44" fillId="0" borderId="0" xfId="9" applyFont="1" applyAlignment="1">
      <alignment horizontal="left"/>
    </xf>
    <xf numFmtId="0" fontId="102" fillId="0" borderId="0" xfId="0" applyFont="1" applyAlignment="1">
      <alignment vertical="center"/>
    </xf>
    <xf numFmtId="0" fontId="15" fillId="5" borderId="25" xfId="0" applyFont="1" applyFill="1" applyBorder="1" applyAlignment="1" applyProtection="1">
      <alignment horizontal="center" vertical="center"/>
      <protection locked="0"/>
    </xf>
    <xf numFmtId="0" fontId="65" fillId="0" borderId="0" xfId="6" applyFont="1" applyFill="1" applyAlignment="1" applyProtection="1">
      <alignment vertical="center"/>
      <protection locked="0"/>
    </xf>
    <xf numFmtId="0" fontId="39" fillId="0" borderId="30" xfId="0" applyFont="1" applyBorder="1" applyAlignment="1">
      <alignment vertical="center"/>
    </xf>
    <xf numFmtId="0" fontId="104" fillId="0" borderId="0" xfId="6" applyFont="1" applyFill="1" applyBorder="1" applyAlignment="1" applyProtection="1">
      <alignment vertical="center"/>
      <protection locked="0"/>
    </xf>
    <xf numFmtId="0" fontId="39" fillId="0" borderId="0" xfId="0" applyFont="1" applyAlignment="1">
      <alignment horizontal="left"/>
    </xf>
    <xf numFmtId="0" fontId="81" fillId="0" borderId="0" xfId="0" applyFont="1" applyAlignment="1">
      <alignment vertical="center"/>
    </xf>
    <xf numFmtId="0" fontId="105" fillId="0" borderId="0" xfId="0" applyFont="1" applyAlignment="1">
      <alignment horizontal="left" vertical="center"/>
    </xf>
    <xf numFmtId="0" fontId="48" fillId="0" borderId="9" xfId="0" applyFont="1" applyBorder="1" applyAlignment="1">
      <alignment vertical="center"/>
    </xf>
    <xf numFmtId="0" fontId="87" fillId="0" borderId="0" xfId="0" applyFont="1" applyAlignment="1">
      <alignment horizontal="right" vertical="center"/>
    </xf>
    <xf numFmtId="0" fontId="68" fillId="0" borderId="0" xfId="0" applyFont="1" applyAlignment="1">
      <alignment horizontal="center" vertical="top"/>
    </xf>
    <xf numFmtId="0" fontId="101" fillId="0" borderId="0" xfId="0" applyFont="1" applyAlignment="1">
      <alignment vertical="center"/>
    </xf>
    <xf numFmtId="0" fontId="49" fillId="0" borderId="0" xfId="0" applyFont="1" applyAlignment="1">
      <alignment vertical="center"/>
    </xf>
    <xf numFmtId="0" fontId="11" fillId="0" borderId="0" xfId="0" applyFont="1"/>
    <xf numFmtId="0" fontId="108" fillId="0" borderId="0" xfId="0" applyFont="1" applyAlignment="1">
      <alignment horizontal="left"/>
    </xf>
    <xf numFmtId="0" fontId="108" fillId="0" borderId="0" xfId="0" applyFont="1" applyAlignment="1">
      <alignment horizontal="left" wrapText="1"/>
    </xf>
    <xf numFmtId="0" fontId="91" fillId="0" borderId="0" xfId="0" applyFont="1"/>
    <xf numFmtId="0" fontId="99" fillId="0" borderId="0" xfId="0" applyFont="1"/>
    <xf numFmtId="0" fontId="39" fillId="0" borderId="0" xfId="0" applyFont="1" applyAlignment="1">
      <alignment horizontal="right"/>
    </xf>
    <xf numFmtId="38" fontId="9" fillId="5" borderId="13" xfId="0" applyNumberFormat="1" applyFont="1" applyFill="1" applyBorder="1" applyAlignment="1" applyProtection="1">
      <alignment horizontal="center" vertical="center"/>
      <protection locked="0"/>
    </xf>
    <xf numFmtId="0" fontId="80" fillId="0" borderId="0" xfId="0" applyFont="1"/>
    <xf numFmtId="0" fontId="87" fillId="0" borderId="0" xfId="0" applyFont="1"/>
    <xf numFmtId="0" fontId="11" fillId="0" borderId="0" xfId="0" quotePrefix="1" applyFont="1" applyAlignment="1">
      <alignment horizontal="right" vertical="top"/>
    </xf>
    <xf numFmtId="0" fontId="5" fillId="0" borderId="0" xfId="0" applyFont="1" applyAlignment="1">
      <alignment wrapText="1"/>
    </xf>
    <xf numFmtId="38" fontId="9" fillId="13" borderId="13" xfId="0" applyNumberFormat="1" applyFont="1" applyFill="1" applyBorder="1" applyAlignment="1">
      <alignment horizontal="center" vertical="center"/>
    </xf>
    <xf numFmtId="0" fontId="15" fillId="13" borderId="12" xfId="0" applyFont="1" applyFill="1" applyBorder="1" applyAlignment="1">
      <alignment horizontal="center" vertical="center"/>
    </xf>
    <xf numFmtId="0" fontId="15" fillId="13" borderId="13" xfId="0" applyFont="1" applyFill="1" applyBorder="1" applyAlignment="1">
      <alignment horizontal="center" vertical="center"/>
    </xf>
    <xf numFmtId="0" fontId="15" fillId="13" borderId="18" xfId="0" applyFont="1" applyFill="1" applyBorder="1" applyAlignment="1">
      <alignment horizontal="center" vertical="center"/>
    </xf>
    <xf numFmtId="0" fontId="14" fillId="13" borderId="13" xfId="0" applyFont="1" applyFill="1" applyBorder="1" applyAlignment="1">
      <alignment horizontal="center" vertical="center"/>
    </xf>
    <xf numFmtId="0" fontId="96" fillId="0" borderId="0" xfId="0" applyFont="1" applyAlignment="1">
      <alignment vertical="top"/>
    </xf>
    <xf numFmtId="173" fontId="42" fillId="0" borderId="8" xfId="10" applyNumberFormat="1" applyFont="1" applyFill="1" applyBorder="1" applyAlignment="1" applyProtection="1">
      <alignment vertical="center"/>
    </xf>
    <xf numFmtId="0" fontId="109" fillId="0" borderId="0" xfId="0" applyFont="1" applyAlignment="1">
      <alignment vertical="center"/>
    </xf>
    <xf numFmtId="0" fontId="4" fillId="0" borderId="0" xfId="13"/>
    <xf numFmtId="0" fontId="44" fillId="0" borderId="0" xfId="0" applyFont="1" applyAlignment="1">
      <alignment horizontal="left" wrapText="1"/>
    </xf>
    <xf numFmtId="0" fontId="44" fillId="0" borderId="0" xfId="0" applyFont="1" applyAlignment="1">
      <alignment horizontal="center" wrapText="1"/>
    </xf>
    <xf numFmtId="0" fontId="44" fillId="0" borderId="0" xfId="0" applyFont="1" applyAlignment="1">
      <alignment horizontal="left"/>
    </xf>
    <xf numFmtId="0" fontId="39" fillId="0" borderId="0" xfId="0" applyFont="1" applyAlignment="1">
      <alignment wrapText="1"/>
    </xf>
    <xf numFmtId="0" fontId="46" fillId="0" borderId="0" xfId="0" applyFont="1" applyAlignment="1">
      <alignment horizontal="left"/>
    </xf>
    <xf numFmtId="0" fontId="4" fillId="0" borderId="0" xfId="13" applyAlignment="1">
      <alignment horizontal="left" vertical="center"/>
    </xf>
    <xf numFmtId="0" fontId="4" fillId="0" borderId="0" xfId="13" applyAlignment="1">
      <alignment vertical="center"/>
    </xf>
    <xf numFmtId="0" fontId="27" fillId="0" borderId="0" xfId="0" applyFont="1" applyAlignment="1">
      <alignment horizontal="center" vertical="center" wrapText="1"/>
    </xf>
    <xf numFmtId="38" fontId="39" fillId="0" borderId="0" xfId="0" applyNumberFormat="1" applyFont="1" applyAlignment="1">
      <alignment horizontal="left" vertical="center"/>
    </xf>
    <xf numFmtId="38" fontId="109" fillId="0" borderId="0" xfId="0" applyNumberFormat="1" applyFont="1" applyAlignment="1">
      <alignment horizontal="left" vertical="center"/>
    </xf>
    <xf numFmtId="0" fontId="39" fillId="0" borderId="9" xfId="0" applyFont="1" applyBorder="1" applyAlignment="1">
      <alignment vertical="center"/>
    </xf>
    <xf numFmtId="0" fontId="42" fillId="0" borderId="61" xfId="0" applyFont="1" applyBorder="1" applyAlignment="1">
      <alignment horizontal="center" vertical="center"/>
    </xf>
    <xf numFmtId="0" fontId="39" fillId="0" borderId="62" xfId="0" applyFont="1" applyBorder="1" applyAlignment="1">
      <alignment horizontal="center" vertical="center"/>
    </xf>
    <xf numFmtId="164" fontId="4" fillId="0" borderId="0" xfId="1" applyNumberFormat="1" applyFont="1" applyFill="1" applyBorder="1" applyAlignment="1" applyProtection="1">
      <alignment vertical="center"/>
    </xf>
    <xf numFmtId="3" fontId="9" fillId="0" borderId="0" xfId="0" applyNumberFormat="1" applyFont="1" applyAlignment="1">
      <alignment horizontal="center"/>
    </xf>
    <xf numFmtId="0" fontId="140" fillId="0" borderId="0" xfId="0" applyFont="1"/>
    <xf numFmtId="0" fontId="145" fillId="0" borderId="0" xfId="0" applyFont="1" applyAlignment="1">
      <alignment vertical="center"/>
    </xf>
    <xf numFmtId="0" fontId="143" fillId="0" borderId="14" xfId="0" applyFont="1" applyBorder="1" applyAlignment="1">
      <alignment horizontal="right" vertical="top"/>
    </xf>
    <xf numFmtId="0" fontId="15" fillId="0" borderId="0" xfId="0" quotePrefix="1" applyFont="1" applyAlignment="1">
      <alignment horizontal="right" vertical="center"/>
    </xf>
    <xf numFmtId="9" fontId="15" fillId="0" borderId="0" xfId="10" applyFont="1" applyFill="1" applyBorder="1" applyAlignment="1" applyProtection="1">
      <alignment horizontal="center" vertical="top" wrapText="1"/>
    </xf>
    <xf numFmtId="0" fontId="44" fillId="0" borderId="0" xfId="0" applyFont="1" applyAlignment="1">
      <alignment wrapText="1"/>
    </xf>
    <xf numFmtId="0" fontId="87" fillId="0" borderId="0" xfId="0" applyFont="1" applyAlignment="1">
      <alignment horizontal="center" vertical="center"/>
    </xf>
    <xf numFmtId="0" fontId="5" fillId="0" borderId="0" xfId="0" applyFont="1" applyAlignment="1">
      <alignment vertical="top" wrapText="1"/>
    </xf>
    <xf numFmtId="38" fontId="14" fillId="0" borderId="12" xfId="1" applyNumberFormat="1" applyFont="1" applyFill="1" applyBorder="1" applyAlignment="1" applyProtection="1">
      <alignment horizontal="center" vertical="center"/>
    </xf>
    <xf numFmtId="38" fontId="14" fillId="0" borderId="13" xfId="1" applyNumberFormat="1" applyFont="1" applyFill="1" applyBorder="1" applyAlignment="1" applyProtection="1">
      <alignment horizontal="center" vertical="center"/>
    </xf>
    <xf numFmtId="38" fontId="4" fillId="0" borderId="17" xfId="1" applyNumberFormat="1" applyFont="1" applyFill="1" applyBorder="1" applyAlignment="1" applyProtection="1">
      <alignment horizontal="right" vertical="center"/>
    </xf>
    <xf numFmtId="0" fontId="147" fillId="0" borderId="0" xfId="0" applyFont="1" applyAlignment="1">
      <alignment horizontal="center"/>
    </xf>
    <xf numFmtId="0" fontId="50" fillId="0" borderId="0" xfId="0" quotePrefix="1" applyFont="1" applyAlignment="1">
      <alignment vertical="top"/>
    </xf>
    <xf numFmtId="0" fontId="42" fillId="5" borderId="12" xfId="0" applyFont="1" applyFill="1" applyBorder="1" applyAlignment="1" applyProtection="1">
      <alignment horizontal="center" vertical="top"/>
      <protection locked="0"/>
    </xf>
    <xf numFmtId="0" fontId="42" fillId="5" borderId="13" xfId="0" applyFont="1" applyFill="1" applyBorder="1" applyAlignment="1" applyProtection="1">
      <alignment horizontal="center" vertical="top"/>
      <protection locked="0"/>
    </xf>
    <xf numFmtId="0" fontId="42" fillId="0" borderId="0" xfId="0" applyFont="1" applyAlignment="1" applyProtection="1">
      <alignment vertical="top" wrapText="1"/>
      <protection locked="0"/>
    </xf>
    <xf numFmtId="0" fontId="50" fillId="0" borderId="68" xfId="0" applyFont="1" applyBorder="1" applyAlignment="1">
      <alignment vertical="top" wrapText="1"/>
    </xf>
    <xf numFmtId="0" fontId="42" fillId="5" borderId="39" xfId="0" applyFont="1" applyFill="1" applyBorder="1" applyAlignment="1" applyProtection="1">
      <alignment horizontal="center" vertical="top"/>
      <protection locked="0"/>
    </xf>
    <xf numFmtId="0" fontId="42" fillId="5" borderId="37" xfId="0" applyFont="1" applyFill="1" applyBorder="1" applyAlignment="1" applyProtection="1">
      <alignment horizontal="center" vertical="top"/>
      <protection locked="0"/>
    </xf>
    <xf numFmtId="0" fontId="38" fillId="0" borderId="0" xfId="0" applyFont="1" applyAlignment="1">
      <alignment horizontal="right" vertical="center"/>
    </xf>
    <xf numFmtId="3" fontId="41" fillId="0" borderId="67" xfId="0" applyNumberFormat="1" applyFont="1" applyBorder="1" applyAlignment="1">
      <alignment horizontal="center" vertical="center"/>
    </xf>
    <xf numFmtId="164" fontId="41" fillId="0" borderId="0" xfId="1" applyNumberFormat="1" applyFont="1" applyFill="1" applyBorder="1" applyAlignment="1" applyProtection="1">
      <alignment horizontal="right" vertical="center"/>
    </xf>
    <xf numFmtId="0" fontId="142" fillId="0" borderId="0" xfId="0" applyFont="1" applyAlignment="1">
      <alignment vertical="center"/>
    </xf>
    <xf numFmtId="0" fontId="142" fillId="0" borderId="15" xfId="0" applyFont="1" applyBorder="1" applyAlignment="1">
      <alignment vertical="center" wrapText="1"/>
    </xf>
    <xf numFmtId="0" fontId="87" fillId="0" borderId="0" xfId="0" applyFont="1" applyAlignment="1">
      <alignment vertical="center"/>
    </xf>
    <xf numFmtId="0" fontId="39" fillId="0" borderId="9" xfId="0" applyFont="1" applyBorder="1" applyAlignment="1">
      <alignment horizontal="justify"/>
    </xf>
    <xf numFmtId="0" fontId="5" fillId="0" borderId="9" xfId="0" applyFont="1" applyBorder="1" applyAlignment="1">
      <alignment wrapText="1"/>
    </xf>
    <xf numFmtId="0" fontId="148" fillId="0" borderId="0" xfId="0" applyFont="1" applyAlignment="1">
      <alignment horizontal="justify" vertical="top" wrapText="1"/>
    </xf>
    <xf numFmtId="0" fontId="5" fillId="7" borderId="0" xfId="0" applyFont="1" applyFill="1"/>
    <xf numFmtId="0" fontId="25" fillId="0" borderId="0" xfId="1" applyNumberFormat="1" applyFont="1" applyFill="1" applyAlignment="1" applyProtection="1">
      <alignment horizontal="center"/>
    </xf>
    <xf numFmtId="0" fontId="80" fillId="0" borderId="30" xfId="0" applyFont="1" applyBorder="1"/>
    <xf numFmtId="0" fontId="27" fillId="0" borderId="31" xfId="0" applyFont="1" applyBorder="1" applyAlignment="1">
      <alignment vertical="center"/>
    </xf>
    <xf numFmtId="3" fontId="5" fillId="0" borderId="31" xfId="0" applyNumberFormat="1" applyFont="1" applyBorder="1" applyAlignment="1">
      <alignment horizontal="center" vertical="center"/>
    </xf>
    <xf numFmtId="0" fontId="80" fillId="0" borderId="30" xfId="0" applyFont="1" applyBorder="1" applyAlignment="1">
      <alignment vertical="center"/>
    </xf>
    <xf numFmtId="0" fontId="14" fillId="0" borderId="0" xfId="0" applyFont="1" applyAlignment="1">
      <alignment vertical="top"/>
    </xf>
    <xf numFmtId="0" fontId="9" fillId="0" borderId="0" xfId="13" applyFont="1" applyAlignment="1">
      <alignment horizontal="left" vertical="center"/>
    </xf>
    <xf numFmtId="0" fontId="112" fillId="0" borderId="0" xfId="13" applyFont="1"/>
    <xf numFmtId="0" fontId="112" fillId="7" borderId="0" xfId="13" applyFont="1" applyFill="1"/>
    <xf numFmtId="0" fontId="6" fillId="0" borderId="0" xfId="13" applyFont="1"/>
    <xf numFmtId="0" fontId="112" fillId="0" borderId="0" xfId="13" quotePrefix="1" applyFont="1"/>
    <xf numFmtId="0" fontId="112" fillId="0" borderId="55" xfId="13" applyFont="1" applyBorder="1"/>
    <xf numFmtId="0" fontId="25" fillId="0" borderId="0" xfId="13" applyFont="1" applyAlignment="1">
      <alignment horizontal="centerContinuous"/>
    </xf>
    <xf numFmtId="0" fontId="10" fillId="0" borderId="0" xfId="13" applyFont="1" applyAlignment="1">
      <alignment horizontal="centerContinuous"/>
    </xf>
    <xf numFmtId="0" fontId="132" fillId="0" borderId="0" xfId="13" applyFont="1" applyAlignment="1">
      <alignment horizontal="centerContinuous"/>
    </xf>
    <xf numFmtId="0" fontId="10" fillId="0" borderId="0" xfId="13" applyFont="1"/>
    <xf numFmtId="0" fontId="25" fillId="0" borderId="0" xfId="13" applyFont="1"/>
    <xf numFmtId="174" fontId="10" fillId="0" borderId="0" xfId="13" applyNumberFormat="1" applyFont="1" applyAlignment="1">
      <alignment horizontal="left"/>
    </xf>
    <xf numFmtId="6" fontId="10" fillId="0" borderId="0" xfId="13" applyNumberFormat="1" applyFont="1" applyAlignment="1">
      <alignment horizontal="left"/>
    </xf>
    <xf numFmtId="3" fontId="10" fillId="0" borderId="0" xfId="13" applyNumberFormat="1" applyFont="1" applyAlignment="1">
      <alignment horizontal="left"/>
    </xf>
    <xf numFmtId="0" fontId="10" fillId="0" borderId="0" xfId="13" applyFont="1" applyAlignment="1">
      <alignment horizontal="center"/>
    </xf>
    <xf numFmtId="0" fontId="5" fillId="0" borderId="0" xfId="13" applyFont="1"/>
    <xf numFmtId="3" fontId="10" fillId="0" borderId="0" xfId="13" applyNumberFormat="1" applyFont="1" applyAlignment="1">
      <alignment vertical="top"/>
    </xf>
    <xf numFmtId="0" fontId="10" fillId="0" borderId="0" xfId="13" applyFont="1" applyAlignment="1">
      <alignment vertical="top"/>
    </xf>
    <xf numFmtId="0" fontId="150" fillId="0" borderId="53" xfId="13" applyFont="1" applyBorder="1" applyAlignment="1">
      <alignment horizontal="center" vertical="center"/>
    </xf>
    <xf numFmtId="0" fontId="150" fillId="0" borderId="16" xfId="13" applyFont="1" applyBorder="1" applyAlignment="1">
      <alignment horizontal="center" vertical="center"/>
    </xf>
    <xf numFmtId="0" fontId="150" fillId="0" borderId="51" xfId="13" applyFont="1" applyBorder="1" applyAlignment="1">
      <alignment horizontal="center" vertical="center"/>
    </xf>
    <xf numFmtId="0" fontId="10" fillId="0" borderId="0" xfId="13" applyFont="1" applyAlignment="1">
      <alignment horizontal="left" wrapText="1"/>
    </xf>
    <xf numFmtId="0" fontId="130" fillId="0" borderId="0" xfId="13" applyFont="1" applyAlignment="1">
      <alignment vertical="center"/>
    </xf>
    <xf numFmtId="0" fontId="10" fillId="0" borderId="28" xfId="13" applyFont="1" applyBorder="1" applyAlignment="1">
      <alignment horizontal="center" vertical="top"/>
    </xf>
    <xf numFmtId="0" fontId="130" fillId="0" borderId="0" xfId="13" applyFont="1" applyAlignment="1">
      <alignment horizontal="left" vertical="top"/>
    </xf>
    <xf numFmtId="0" fontId="132" fillId="0" borderId="0" xfId="13" applyFont="1" applyAlignment="1">
      <alignment horizontal="left"/>
    </xf>
    <xf numFmtId="0" fontId="10" fillId="0" borderId="28" xfId="13" applyFont="1" applyBorder="1" applyAlignment="1">
      <alignment vertical="top"/>
    </xf>
    <xf numFmtId="0" fontId="10" fillId="10" borderId="0" xfId="13" applyFont="1" applyFill="1" applyAlignment="1">
      <alignment horizontal="center" vertical="top"/>
    </xf>
    <xf numFmtId="0" fontId="10" fillId="0" borderId="55" xfId="13" applyFont="1" applyBorder="1"/>
    <xf numFmtId="0" fontId="112" fillId="0" borderId="0" xfId="13" applyFont="1" applyAlignment="1">
      <alignment horizontal="centerContinuous"/>
    </xf>
    <xf numFmtId="0" fontId="6" fillId="18" borderId="0" xfId="13" applyFont="1" applyFill="1"/>
    <xf numFmtId="0" fontId="112" fillId="18" borderId="0" xfId="13" applyFont="1" applyFill="1"/>
    <xf numFmtId="176" fontId="112" fillId="18" borderId="0" xfId="13" applyNumberFormat="1" applyFont="1" applyFill="1" applyAlignment="1">
      <alignment horizontal="left"/>
    </xf>
    <xf numFmtId="0" fontId="126" fillId="0" borderId="0" xfId="13" applyFont="1"/>
    <xf numFmtId="176" fontId="112" fillId="0" borderId="0" xfId="13" applyNumberFormat="1" applyFont="1" applyAlignment="1">
      <alignment horizontal="left"/>
    </xf>
    <xf numFmtId="0" fontId="6" fillId="0" borderId="0" xfId="13" applyFont="1" applyAlignment="1">
      <alignment horizontal="centerContinuous"/>
    </xf>
    <xf numFmtId="0" fontId="123" fillId="0" borderId="0" xfId="13" applyFont="1" applyAlignment="1">
      <alignment horizontal="center" wrapText="1"/>
    </xf>
    <xf numFmtId="0" fontId="112" fillId="5" borderId="0" xfId="13" applyFont="1" applyFill="1" applyAlignment="1">
      <alignment horizontal="left"/>
    </xf>
    <xf numFmtId="5" fontId="112" fillId="5" borderId="0" xfId="13" applyNumberFormat="1" applyFont="1" applyFill="1"/>
    <xf numFmtId="0" fontId="112" fillId="5" borderId="0" xfId="13" applyFont="1" applyFill="1" applyAlignment="1">
      <alignment horizontal="center"/>
    </xf>
    <xf numFmtId="10" fontId="112" fillId="0" borderId="0" xfId="13" applyNumberFormat="1" applyFont="1" applyAlignment="1">
      <alignment horizontal="right"/>
    </xf>
    <xf numFmtId="0" fontId="6" fillId="0" borderId="0" xfId="13" applyFont="1" applyAlignment="1">
      <alignment horizontal="right"/>
    </xf>
    <xf numFmtId="5" fontId="112" fillId="0" borderId="0" xfId="13" applyNumberFormat="1" applyFont="1"/>
    <xf numFmtId="9" fontId="112" fillId="0" borderId="0" xfId="13" applyNumberFormat="1" applyFont="1"/>
    <xf numFmtId="0" fontId="9" fillId="0" borderId="0" xfId="13" applyFont="1"/>
    <xf numFmtId="0" fontId="123" fillId="0" borderId="0" xfId="13" applyFont="1"/>
    <xf numFmtId="9" fontId="112" fillId="0" borderId="0" xfId="13" applyNumberFormat="1" applyFont="1" applyAlignment="1">
      <alignment horizontal="right"/>
    </xf>
    <xf numFmtId="0" fontId="123" fillId="0" borderId="53" xfId="13" applyFont="1" applyBorder="1"/>
    <xf numFmtId="165" fontId="112" fillId="5" borderId="51" xfId="13" applyNumberFormat="1" applyFont="1" applyFill="1" applyBorder="1" applyAlignment="1">
      <alignment horizontal="left"/>
    </xf>
    <xf numFmtId="165" fontId="112" fillId="0" borderId="0" xfId="13" applyNumberFormat="1" applyFont="1" applyAlignment="1">
      <alignment horizontal="left"/>
    </xf>
    <xf numFmtId="0" fontId="112" fillId="0" borderId="0" xfId="13" applyFont="1" applyAlignment="1">
      <alignment vertical="center"/>
    </xf>
    <xf numFmtId="6" fontId="112" fillId="0" borderId="0" xfId="13" applyNumberFormat="1" applyFont="1" applyAlignment="1">
      <alignment vertical="center"/>
    </xf>
    <xf numFmtId="165" fontId="112" fillId="0" borderId="0" xfId="13" applyNumberFormat="1" applyFont="1" applyAlignment="1">
      <alignment vertical="center"/>
    </xf>
    <xf numFmtId="6" fontId="112" fillId="0" borderId="0" xfId="13" quotePrefix="1" applyNumberFormat="1" applyFont="1" applyAlignment="1">
      <alignment vertical="center"/>
    </xf>
    <xf numFmtId="165" fontId="112" fillId="5" borderId="0" xfId="13" quotePrefix="1" applyNumberFormat="1" applyFont="1" applyFill="1" applyAlignment="1">
      <alignment vertical="center"/>
    </xf>
    <xf numFmtId="165" fontId="112" fillId="0" borderId="0" xfId="13" quotePrefix="1" applyNumberFormat="1" applyFont="1" applyAlignment="1">
      <alignment vertical="center"/>
    </xf>
    <xf numFmtId="165" fontId="112" fillId="5" borderId="0" xfId="13" applyNumberFormat="1" applyFont="1" applyFill="1" applyAlignment="1">
      <alignment vertical="center"/>
    </xf>
    <xf numFmtId="0" fontId="6" fillId="0" borderId="0" xfId="13" applyFont="1" applyAlignment="1">
      <alignment vertical="center"/>
    </xf>
    <xf numFmtId="6" fontId="6" fillId="0" borderId="0" xfId="13" applyNumberFormat="1" applyFont="1" applyAlignment="1">
      <alignment vertical="center"/>
    </xf>
    <xf numFmtId="0" fontId="112" fillId="0" borderId="9" xfId="13" applyFont="1" applyBorder="1" applyAlignment="1">
      <alignment vertical="center"/>
    </xf>
    <xf numFmtId="6" fontId="6" fillId="0" borderId="0" xfId="13" applyNumberFormat="1" applyFont="1" applyAlignment="1">
      <alignment horizontal="right" vertical="center"/>
    </xf>
    <xf numFmtId="6" fontId="112" fillId="0" borderId="0" xfId="13" applyNumberFormat="1" applyFont="1" applyAlignment="1">
      <alignment horizontal="right" vertical="center"/>
    </xf>
    <xf numFmtId="5" fontId="112" fillId="0" borderId="0" xfId="13" applyNumberFormat="1" applyFont="1" applyAlignment="1">
      <alignment vertical="center"/>
    </xf>
    <xf numFmtId="0" fontId="123" fillId="0" borderId="0" xfId="13" applyFont="1" applyAlignment="1">
      <alignment vertical="center"/>
    </xf>
    <xf numFmtId="9" fontId="112" fillId="0" borderId="11" xfId="13" applyNumberFormat="1" applyFont="1" applyBorder="1" applyAlignment="1">
      <alignment horizontal="center" vertical="center"/>
    </xf>
    <xf numFmtId="6" fontId="25" fillId="10" borderId="0" xfId="1" applyNumberFormat="1" applyFont="1" applyFill="1" applyAlignment="1" applyProtection="1">
      <alignment horizontal="right"/>
    </xf>
    <xf numFmtId="3" fontId="10" fillId="0" borderId="0" xfId="13" applyNumberFormat="1" applyFont="1"/>
    <xf numFmtId="0" fontId="10" fillId="0" borderId="9" xfId="13" applyFont="1" applyBorder="1" applyAlignment="1">
      <alignment horizontal="center"/>
    </xf>
    <xf numFmtId="6" fontId="25" fillId="0" borderId="0" xfId="1" applyNumberFormat="1" applyFont="1" applyProtection="1"/>
    <xf numFmtId="165" fontId="25" fillId="10" borderId="0" xfId="13" applyNumberFormat="1" applyFont="1" applyFill="1"/>
    <xf numFmtId="38" fontId="10" fillId="5" borderId="0" xfId="13" applyNumberFormat="1" applyFont="1" applyFill="1"/>
    <xf numFmtId="38" fontId="10" fillId="0" borderId="0" xfId="13" applyNumberFormat="1" applyFont="1"/>
    <xf numFmtId="0" fontId="25" fillId="0" borderId="0" xfId="13" applyFont="1" applyAlignment="1">
      <alignment horizontal="right"/>
    </xf>
    <xf numFmtId="6" fontId="10" fillId="0" borderId="0" xfId="13" applyNumberFormat="1" applyFont="1"/>
    <xf numFmtId="0" fontId="127" fillId="0" borderId="0" xfId="13" applyFont="1" applyAlignment="1">
      <alignment horizontal="right"/>
    </xf>
    <xf numFmtId="6" fontId="10" fillId="0" borderId="0" xfId="13" applyNumberFormat="1" applyFont="1" applyAlignment="1">
      <alignment horizontal="right"/>
    </xf>
    <xf numFmtId="10" fontId="10" fillId="10" borderId="0" xfId="13" applyNumberFormat="1" applyFont="1" applyFill="1"/>
    <xf numFmtId="0" fontId="10" fillId="0" borderId="0" xfId="0" applyFont="1"/>
    <xf numFmtId="6" fontId="10" fillId="0" borderId="0" xfId="1" applyNumberFormat="1" applyFont="1" applyProtection="1"/>
    <xf numFmtId="6" fontId="10" fillId="0" borderId="0" xfId="1" applyNumberFormat="1" applyFont="1" applyAlignment="1" applyProtection="1">
      <alignment horizontal="right"/>
    </xf>
    <xf numFmtId="8" fontId="10" fillId="0" borderId="0" xfId="13" applyNumberFormat="1" applyFont="1"/>
    <xf numFmtId="0" fontId="10" fillId="18" borderId="0" xfId="13" applyFont="1" applyFill="1"/>
    <xf numFmtId="10" fontId="10" fillId="0" borderId="0" xfId="13" applyNumberFormat="1" applyFont="1"/>
    <xf numFmtId="6" fontId="10" fillId="19" borderId="0" xfId="13" applyNumberFormat="1" applyFont="1" applyFill="1"/>
    <xf numFmtId="0" fontId="10" fillId="0" borderId="0" xfId="13" applyFont="1" applyAlignment="1">
      <alignment vertical="center"/>
    </xf>
    <xf numFmtId="0" fontId="4" fillId="0" borderId="0" xfId="13" applyAlignment="1">
      <alignment horizontal="center" vertical="center"/>
    </xf>
    <xf numFmtId="0" fontId="22" fillId="0" borderId="0" xfId="13" applyFont="1"/>
    <xf numFmtId="0" fontId="49" fillId="0" borderId="0" xfId="13" applyFont="1"/>
    <xf numFmtId="0" fontId="9" fillId="0" borderId="0" xfId="13" applyFont="1" applyAlignment="1">
      <alignment horizontal="left"/>
    </xf>
    <xf numFmtId="0" fontId="4" fillId="0" borderId="0" xfId="13" applyAlignment="1">
      <alignment horizontal="right"/>
    </xf>
    <xf numFmtId="0" fontId="4" fillId="0" borderId="0" xfId="13" applyAlignment="1">
      <alignment vertical="top"/>
    </xf>
    <xf numFmtId="0" fontId="9" fillId="0" borderId="0" xfId="13" applyFont="1" applyAlignment="1">
      <alignment vertical="top" wrapText="1"/>
    </xf>
    <xf numFmtId="0" fontId="9" fillId="0" borderId="0" xfId="13" applyFont="1" applyAlignment="1">
      <alignment vertical="top"/>
    </xf>
    <xf numFmtId="0" fontId="4" fillId="0" borderId="0" xfId="13" applyAlignment="1">
      <alignment horizontal="left"/>
    </xf>
    <xf numFmtId="38" fontId="9" fillId="0" borderId="0" xfId="13" applyNumberFormat="1" applyFont="1"/>
    <xf numFmtId="9" fontId="4" fillId="0" borderId="0" xfId="13" applyNumberFormat="1" applyAlignment="1">
      <alignment horizontal="left"/>
    </xf>
    <xf numFmtId="10" fontId="9" fillId="10" borderId="9" xfId="13" applyNumberFormat="1" applyFont="1" applyFill="1" applyBorder="1" applyAlignment="1">
      <alignment horizontal="left"/>
    </xf>
    <xf numFmtId="0" fontId="9" fillId="0" borderId="9" xfId="13" applyFont="1" applyBorder="1" applyAlignment="1">
      <alignment horizontal="left"/>
    </xf>
    <xf numFmtId="180" fontId="9" fillId="0" borderId="0" xfId="13" applyNumberFormat="1" applyFont="1"/>
    <xf numFmtId="0" fontId="9" fillId="10" borderId="0" xfId="13" applyFont="1" applyFill="1" applyAlignment="1">
      <alignment horizontal="left"/>
    </xf>
    <xf numFmtId="180" fontId="4" fillId="0" borderId="0" xfId="13" applyNumberFormat="1" applyAlignment="1">
      <alignment horizontal="left"/>
    </xf>
    <xf numFmtId="180" fontId="11" fillId="0" borderId="0" xfId="0" applyNumberFormat="1" applyFont="1" applyAlignment="1">
      <alignment wrapText="1"/>
    </xf>
    <xf numFmtId="0" fontId="4" fillId="0" borderId="0" xfId="13" quotePrefix="1"/>
    <xf numFmtId="38" fontId="9" fillId="0" borderId="9" xfId="13" applyNumberFormat="1" applyFont="1" applyBorder="1" applyAlignment="1">
      <alignment horizontal="left"/>
    </xf>
    <xf numFmtId="180" fontId="9" fillId="0" borderId="0" xfId="13" quotePrefix="1" applyNumberFormat="1" applyFont="1"/>
    <xf numFmtId="180" fontId="9" fillId="0" borderId="0" xfId="13" applyNumberFormat="1" applyFont="1" applyAlignment="1">
      <alignment horizontal="left"/>
    </xf>
    <xf numFmtId="0" fontId="9" fillId="0" borderId="0" xfId="13" applyFont="1" applyAlignment="1">
      <alignment horizontal="right"/>
    </xf>
    <xf numFmtId="0" fontId="137" fillId="0" borderId="0" xfId="13" applyFont="1"/>
    <xf numFmtId="0" fontId="4" fillId="0" borderId="0" xfId="13" applyAlignment="1">
      <alignment horizontal="center" vertical="top"/>
    </xf>
    <xf numFmtId="0" fontId="4" fillId="0" borderId="0" xfId="13" applyAlignment="1">
      <alignment vertical="top" wrapText="1"/>
    </xf>
    <xf numFmtId="3" fontId="94" fillId="10" borderId="9" xfId="13" applyNumberFormat="1" applyFont="1" applyFill="1" applyBorder="1" applyAlignment="1">
      <alignment horizontal="center"/>
    </xf>
    <xf numFmtId="0" fontId="28" fillId="0" borderId="0" xfId="13" applyFont="1"/>
    <xf numFmtId="0" fontId="4" fillId="0" borderId="0" xfId="13" quotePrefix="1" applyAlignment="1">
      <alignment horizontal="center" vertical="top"/>
    </xf>
    <xf numFmtId="180" fontId="9" fillId="10" borderId="9" xfId="13" applyNumberFormat="1" applyFont="1" applyFill="1" applyBorder="1" applyAlignment="1">
      <alignment horizontal="center" vertical="top"/>
    </xf>
    <xf numFmtId="0" fontId="20" fillId="0" borderId="0" xfId="13" applyFont="1" applyAlignment="1">
      <alignment horizontal="right" vertical="top"/>
    </xf>
    <xf numFmtId="0" fontId="20" fillId="0" borderId="0" xfId="13" applyFont="1" applyAlignment="1">
      <alignment horizontal="center"/>
    </xf>
    <xf numFmtId="3" fontId="38" fillId="5" borderId="12" xfId="1" applyNumberFormat="1" applyFont="1" applyFill="1" applyBorder="1" applyAlignment="1" applyProtection="1">
      <alignment horizontal="center" vertical="center"/>
      <protection locked="0"/>
    </xf>
    <xf numFmtId="3" fontId="38" fillId="5" borderId="13" xfId="1" applyNumberFormat="1" applyFont="1" applyFill="1" applyBorder="1" applyAlignment="1" applyProtection="1">
      <alignment horizontal="center" vertical="center"/>
      <protection locked="0"/>
    </xf>
    <xf numFmtId="0" fontId="42" fillId="5" borderId="19" xfId="0" applyFont="1" applyFill="1" applyBorder="1" applyAlignment="1" applyProtection="1">
      <alignment horizontal="center" vertical="top"/>
      <protection locked="0"/>
    </xf>
    <xf numFmtId="0" fontId="42" fillId="5" borderId="18" xfId="0" applyFont="1" applyFill="1" applyBorder="1" applyAlignment="1" applyProtection="1">
      <alignment horizontal="center" vertical="top"/>
      <protection locked="0"/>
    </xf>
    <xf numFmtId="173" fontId="42" fillId="5" borderId="12" xfId="10" applyNumberFormat="1" applyFont="1" applyFill="1" applyBorder="1" applyAlignment="1" applyProtection="1">
      <alignment horizontal="center" vertical="top"/>
      <protection locked="0"/>
    </xf>
    <xf numFmtId="173" fontId="42" fillId="5" borderId="13" xfId="10" applyNumberFormat="1" applyFont="1" applyFill="1" applyBorder="1" applyAlignment="1" applyProtection="1">
      <alignment horizontal="center" vertical="top"/>
      <protection locked="0"/>
    </xf>
    <xf numFmtId="166" fontId="42" fillId="5" borderId="12" xfId="0" applyNumberFormat="1" applyFont="1" applyFill="1" applyBorder="1" applyAlignment="1" applyProtection="1">
      <alignment horizontal="center" vertical="center"/>
      <protection locked="0"/>
    </xf>
    <xf numFmtId="166" fontId="42" fillId="5" borderId="13" xfId="0" applyNumberFormat="1" applyFont="1" applyFill="1" applyBorder="1" applyAlignment="1" applyProtection="1">
      <alignment horizontal="center" vertical="center"/>
      <protection locked="0"/>
    </xf>
    <xf numFmtId="0" fontId="42" fillId="0" borderId="4" xfId="0" applyFont="1" applyBorder="1" applyAlignment="1">
      <alignment wrapText="1"/>
    </xf>
    <xf numFmtId="0" fontId="39" fillId="0" borderId="0" xfId="0" applyFont="1" applyAlignment="1">
      <alignment horizontal="right" vertical="center"/>
    </xf>
    <xf numFmtId="0" fontId="39" fillId="0" borderId="0" xfId="0" applyFont="1" applyAlignment="1">
      <alignment horizontal="justify" vertical="center"/>
    </xf>
    <xf numFmtId="0" fontId="141" fillId="0" borderId="0" xfId="0" applyFont="1" applyAlignment="1">
      <alignment horizontal="center" vertical="center"/>
    </xf>
    <xf numFmtId="38" fontId="5" fillId="0" borderId="0" xfId="0" applyNumberFormat="1" applyFont="1" applyAlignment="1">
      <alignment horizontal="right" vertical="center" wrapText="1"/>
    </xf>
    <xf numFmtId="3" fontId="39" fillId="0" borderId="0" xfId="0" applyNumberFormat="1" applyFont="1" applyAlignment="1">
      <alignment horizontal="center" vertical="center"/>
    </xf>
    <xf numFmtId="37" fontId="141" fillId="0" borderId="0" xfId="0" applyNumberFormat="1" applyFont="1" applyAlignment="1">
      <alignment horizontal="center" vertical="center"/>
    </xf>
    <xf numFmtId="0" fontId="72" fillId="0" borderId="0" xfId="0" applyFont="1" applyAlignment="1">
      <alignment horizontal="center"/>
    </xf>
    <xf numFmtId="0" fontId="71" fillId="0" borderId="0" xfId="0" applyFont="1" applyAlignment="1">
      <alignment horizontal="center"/>
    </xf>
    <xf numFmtId="0" fontId="4" fillId="0" borderId="0" xfId="0" applyFont="1" applyAlignment="1">
      <alignment vertical="center" wrapText="1"/>
    </xf>
    <xf numFmtId="0" fontId="9" fillId="0" borderId="0" xfId="0" applyFont="1" applyAlignment="1">
      <alignment vertical="center" wrapText="1"/>
    </xf>
    <xf numFmtId="0" fontId="146" fillId="0" borderId="0" xfId="0" applyFont="1" applyAlignment="1">
      <alignment horizontal="center"/>
    </xf>
    <xf numFmtId="0" fontId="9" fillId="0" borderId="0" xfId="0" applyFont="1" applyAlignment="1">
      <alignment horizontal="center" vertical="center" wrapText="1"/>
    </xf>
    <xf numFmtId="3" fontId="5" fillId="0" borderId="0" xfId="0" applyNumberFormat="1" applyFont="1" applyAlignment="1">
      <alignment horizontal="center" vertical="center"/>
    </xf>
    <xf numFmtId="0" fontId="42" fillId="0" borderId="5" xfId="0" applyFont="1" applyBorder="1" applyAlignment="1" applyProtection="1">
      <alignment horizontal="center" vertical="center"/>
      <protection locked="0"/>
    </xf>
    <xf numFmtId="0" fontId="9" fillId="13" borderId="19" xfId="0" applyFont="1" applyFill="1" applyBorder="1" applyAlignment="1">
      <alignment horizontal="center" vertical="top" wrapText="1"/>
    </xf>
    <xf numFmtId="0" fontId="9" fillId="13" borderId="18" xfId="0" applyFont="1" applyFill="1" applyBorder="1" applyAlignment="1">
      <alignment horizontal="center" vertical="top" wrapText="1"/>
    </xf>
    <xf numFmtId="38" fontId="15" fillId="0" borderId="0" xfId="0" applyNumberFormat="1" applyFont="1" applyAlignment="1">
      <alignment horizontal="center"/>
    </xf>
    <xf numFmtId="0" fontId="15" fillId="0" borderId="0" xfId="0" quotePrefix="1" applyFont="1" applyAlignment="1">
      <alignment horizontal="left" vertical="center"/>
    </xf>
    <xf numFmtId="0" fontId="5" fillId="0" borderId="0" xfId="0" quotePrefix="1" applyFont="1" applyAlignment="1">
      <alignment horizontal="left" vertical="center"/>
    </xf>
    <xf numFmtId="0" fontId="11" fillId="0" borderId="0" xfId="0" applyFont="1" applyAlignment="1">
      <alignment horizontal="center" vertical="center"/>
    </xf>
    <xf numFmtId="10" fontId="15" fillId="0" borderId="0" xfId="0" applyNumberFormat="1" applyFont="1" applyAlignment="1">
      <alignment horizontal="center" vertical="center"/>
    </xf>
    <xf numFmtId="0" fontId="48" fillId="0" borderId="0" xfId="0" applyFont="1" applyAlignment="1">
      <alignment horizontal="center" vertical="center"/>
    </xf>
    <xf numFmtId="38" fontId="14" fillId="0" borderId="0" xfId="0" applyNumberFormat="1" applyFont="1" applyAlignment="1">
      <alignment horizontal="center" vertical="center"/>
    </xf>
    <xf numFmtId="38" fontId="9" fillId="10" borderId="13" xfId="0" applyNumberFormat="1"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14" fillId="0" borderId="0" xfId="0" applyFont="1" applyAlignment="1">
      <alignment vertical="top" wrapText="1"/>
    </xf>
    <xf numFmtId="0" fontId="4" fillId="0" borderId="0" xfId="0" applyFont="1" applyAlignment="1">
      <alignment horizontal="left"/>
    </xf>
    <xf numFmtId="0" fontId="14" fillId="0" borderId="0" xfId="0" applyFont="1" applyAlignment="1">
      <alignment horizontal="right" vertical="center"/>
    </xf>
    <xf numFmtId="9" fontId="14" fillId="0" borderId="0" xfId="10" applyFont="1" applyFill="1" applyBorder="1" applyProtection="1"/>
    <xf numFmtId="0" fontId="158" fillId="0" borderId="0" xfId="0" applyFont="1"/>
    <xf numFmtId="0" fontId="11" fillId="0" borderId="0" xfId="1" applyNumberFormat="1" applyFont="1" applyFill="1" applyAlignment="1" applyProtection="1">
      <alignment horizontal="center"/>
    </xf>
    <xf numFmtId="0" fontId="11" fillId="0" borderId="0" xfId="1" applyNumberFormat="1" applyFont="1" applyFill="1" applyBorder="1" applyAlignment="1" applyProtection="1">
      <alignment horizontal="center"/>
    </xf>
    <xf numFmtId="3" fontId="14" fillId="5" borderId="13" xfId="0" applyNumberFormat="1" applyFont="1" applyFill="1" applyBorder="1" applyAlignment="1" applyProtection="1">
      <alignment vertical="center"/>
      <protection locked="0"/>
    </xf>
    <xf numFmtId="3" fontId="14" fillId="5" borderId="13" xfId="10" applyNumberFormat="1" applyFont="1" applyFill="1" applyBorder="1" applyAlignment="1" applyProtection="1">
      <alignment vertical="center"/>
      <protection locked="0"/>
    </xf>
    <xf numFmtId="0" fontId="68" fillId="0" borderId="0" xfId="0" applyFont="1"/>
    <xf numFmtId="44" fontId="14" fillId="0" borderId="0" xfId="0" applyNumberFormat="1" applyFont="1"/>
    <xf numFmtId="0" fontId="14" fillId="0" borderId="0" xfId="0" applyFont="1" applyAlignment="1">
      <alignment wrapText="1"/>
    </xf>
    <xf numFmtId="0" fontId="14" fillId="20" borderId="0" xfId="0" applyFont="1" applyFill="1" applyAlignment="1">
      <alignment horizontal="left"/>
    </xf>
    <xf numFmtId="0" fontId="44" fillId="0" borderId="0" xfId="0" applyFont="1" applyAlignment="1">
      <alignment horizontal="center"/>
    </xf>
    <xf numFmtId="0" fontId="35" fillId="0" borderId="0" xfId="0" applyFont="1" applyAlignment="1">
      <alignment vertical="top"/>
    </xf>
    <xf numFmtId="0" fontId="11" fillId="5" borderId="13" xfId="0" applyFont="1" applyFill="1" applyBorder="1" applyAlignment="1" applyProtection="1">
      <alignment horizontal="center" vertical="center"/>
      <protection locked="0"/>
    </xf>
    <xf numFmtId="0" fontId="131" fillId="0" borderId="0" xfId="0" applyFont="1" applyAlignment="1">
      <alignment horizontal="center"/>
    </xf>
    <xf numFmtId="0" fontId="29" fillId="0" borderId="0" xfId="13" applyFont="1" applyAlignment="1">
      <alignment vertical="center"/>
    </xf>
    <xf numFmtId="0" fontId="80" fillId="0" borderId="0" xfId="13" applyFont="1" applyAlignment="1">
      <alignment horizontal="center" vertical="center"/>
    </xf>
    <xf numFmtId="0" fontId="39" fillId="0" borderId="0" xfId="13" applyFont="1"/>
    <xf numFmtId="0" fontId="39" fillId="0" borderId="0" xfId="13" applyFont="1" applyAlignment="1">
      <alignment vertical="center"/>
    </xf>
    <xf numFmtId="0" fontId="39" fillId="0" borderId="0" xfId="13" applyFont="1" applyAlignment="1">
      <alignment horizontal="left" vertical="center"/>
    </xf>
    <xf numFmtId="6" fontId="39" fillId="0" borderId="0" xfId="13" applyNumberFormat="1" applyFont="1" applyAlignment="1">
      <alignment horizontal="center" vertical="center"/>
    </xf>
    <xf numFmtId="0" fontId="39" fillId="0" borderId="0" xfId="13" applyFont="1" applyAlignment="1">
      <alignment horizontal="right" vertical="center" wrapText="1"/>
    </xf>
    <xf numFmtId="164" fontId="39" fillId="0" borderId="0" xfId="1" applyNumberFormat="1" applyFont="1" applyFill="1" applyAlignment="1" applyProtection="1">
      <alignment vertical="center"/>
    </xf>
    <xf numFmtId="0" fontId="39" fillId="0" borderId="5" xfId="13" applyFont="1" applyBorder="1" applyAlignment="1">
      <alignment vertical="center"/>
    </xf>
    <xf numFmtId="0" fontId="39" fillId="0" borderId="0" xfId="13" applyFont="1" applyAlignment="1" applyProtection="1">
      <alignment vertical="center"/>
      <protection locked="0"/>
    </xf>
    <xf numFmtId="164" fontId="39" fillId="0" borderId="5" xfId="1" applyNumberFormat="1" applyFont="1" applyFill="1" applyBorder="1" applyAlignment="1" applyProtection="1">
      <alignment horizontal="right" vertical="center"/>
      <protection locked="0"/>
    </xf>
    <xf numFmtId="164" fontId="39" fillId="0" borderId="28" xfId="1" applyNumberFormat="1" applyFont="1" applyFill="1" applyBorder="1" applyAlignment="1" applyProtection="1">
      <alignment horizontal="right" vertical="center"/>
    </xf>
    <xf numFmtId="0" fontId="48" fillId="0" borderId="0" xfId="13" applyFont="1" applyAlignment="1">
      <alignment horizontal="right" vertical="center" wrapText="1"/>
    </xf>
    <xf numFmtId="0" fontId="9" fillId="0" borderId="0" xfId="13" applyFont="1" applyAlignment="1">
      <alignment vertical="center"/>
    </xf>
    <xf numFmtId="3" fontId="14" fillId="13" borderId="40" xfId="0" applyNumberFormat="1" applyFont="1" applyFill="1" applyBorder="1" applyAlignment="1" applyProtection="1">
      <alignment horizontal="center" vertical="center"/>
      <protection locked="0"/>
    </xf>
    <xf numFmtId="3" fontId="14" fillId="13" borderId="28" xfId="0" applyNumberFormat="1" applyFont="1" applyFill="1" applyBorder="1" applyAlignment="1" applyProtection="1">
      <alignment horizontal="center" vertical="center"/>
      <protection locked="0"/>
    </xf>
    <xf numFmtId="10" fontId="14" fillId="13" borderId="19" xfId="0" applyNumberFormat="1" applyFont="1" applyFill="1" applyBorder="1" applyAlignment="1" applyProtection="1">
      <alignment horizontal="center" vertical="center"/>
      <protection locked="0"/>
    </xf>
    <xf numFmtId="3" fontId="14" fillId="13" borderId="38" xfId="0" applyNumberFormat="1" applyFont="1" applyFill="1" applyBorder="1" applyAlignment="1" applyProtection="1">
      <alignment horizontal="center" vertical="center"/>
      <protection locked="0"/>
    </xf>
    <xf numFmtId="10" fontId="14" fillId="13" borderId="18" xfId="0" applyNumberFormat="1" applyFont="1" applyFill="1" applyBorder="1" applyAlignment="1" applyProtection="1">
      <alignment horizontal="center" vertical="center"/>
      <protection locked="0"/>
    </xf>
    <xf numFmtId="0" fontId="81" fillId="20" borderId="0" xfId="0" applyFont="1" applyFill="1" applyAlignment="1">
      <alignment horizontal="left" vertical="center"/>
    </xf>
    <xf numFmtId="0" fontId="42" fillId="20" borderId="0" xfId="0" applyFont="1" applyFill="1"/>
    <xf numFmtId="38" fontId="4" fillId="0" borderId="8" xfId="1" applyNumberFormat="1" applyFont="1" applyFill="1" applyBorder="1" applyAlignment="1" applyProtection="1">
      <alignment horizontal="right" vertical="center"/>
    </xf>
    <xf numFmtId="164" fontId="42" fillId="0" borderId="0" xfId="1" applyNumberFormat="1" applyFont="1" applyFill="1" applyBorder="1" applyAlignment="1" applyProtection="1">
      <alignment vertical="center"/>
    </xf>
    <xf numFmtId="0" fontId="39" fillId="0" borderId="0" xfId="0" applyFont="1" applyAlignment="1">
      <alignment vertical="top"/>
    </xf>
    <xf numFmtId="0" fontId="42" fillId="0" borderId="0" xfId="0" applyFont="1" applyAlignment="1">
      <alignment vertical="top" wrapText="1"/>
    </xf>
    <xf numFmtId="3" fontId="14" fillId="11" borderId="13" xfId="1" applyNumberFormat="1" applyFont="1" applyFill="1" applyBorder="1" applyAlignment="1" applyProtection="1">
      <alignment horizontal="center" vertical="center"/>
      <protection locked="0"/>
    </xf>
    <xf numFmtId="0" fontId="166" fillId="0" borderId="0" xfId="0" applyFont="1" applyAlignment="1">
      <alignment vertical="center"/>
    </xf>
    <xf numFmtId="3" fontId="136" fillId="0" borderId="0" xfId="0" applyNumberFormat="1" applyFont="1" applyAlignment="1">
      <alignment vertical="center"/>
    </xf>
    <xf numFmtId="166" fontId="41" fillId="0" borderId="9" xfId="0" applyNumberFormat="1" applyFont="1" applyBorder="1" applyAlignment="1">
      <alignment horizontal="center" vertical="center"/>
    </xf>
    <xf numFmtId="166" fontId="100" fillId="0" borderId="0" xfId="0" applyNumberFormat="1" applyFont="1" applyAlignment="1">
      <alignment horizontal="center" vertical="center"/>
    </xf>
    <xf numFmtId="37" fontId="100" fillId="0" borderId="0" xfId="0" applyNumberFormat="1" applyFont="1" applyAlignment="1">
      <alignment horizontal="center" vertical="center"/>
    </xf>
    <xf numFmtId="37" fontId="59" fillId="0" borderId="0" xfId="0" applyNumberFormat="1" applyFont="1" applyAlignment="1">
      <alignment horizontal="center" vertical="center"/>
    </xf>
    <xf numFmtId="164" fontId="109" fillId="0" borderId="0" xfId="1" applyNumberFormat="1" applyFont="1" applyFill="1" applyAlignment="1" applyProtection="1">
      <alignment horizontal="left" vertical="center"/>
    </xf>
    <xf numFmtId="164" fontId="109" fillId="0" borderId="0" xfId="1" applyNumberFormat="1" applyFont="1" applyFill="1" applyBorder="1" applyAlignment="1" applyProtection="1">
      <alignment vertical="center"/>
    </xf>
    <xf numFmtId="0" fontId="146" fillId="0" borderId="30" xfId="0" applyFont="1" applyBorder="1"/>
    <xf numFmtId="0" fontId="146" fillId="0" borderId="31" xfId="0" applyFont="1" applyBorder="1" applyAlignment="1">
      <alignment horizontal="center"/>
    </xf>
    <xf numFmtId="0" fontId="14" fillId="0" borderId="53" xfId="0" applyFont="1" applyBorder="1" applyAlignment="1">
      <alignment horizontal="right" vertical="center"/>
    </xf>
    <xf numFmtId="3" fontId="14" fillId="0" borderId="16" xfId="0" applyNumberFormat="1" applyFont="1" applyBorder="1" applyAlignment="1">
      <alignment horizontal="center" vertical="center"/>
    </xf>
    <xf numFmtId="3" fontId="101" fillId="20" borderId="51" xfId="0" applyNumberFormat="1" applyFont="1" applyFill="1" applyBorder="1" applyAlignment="1">
      <alignment horizontal="center" vertical="center"/>
    </xf>
    <xf numFmtId="0" fontId="5" fillId="0" borderId="33" xfId="0" applyFont="1" applyBorder="1" applyAlignment="1">
      <alignment vertical="center"/>
    </xf>
    <xf numFmtId="3" fontId="14" fillId="0" borderId="11" xfId="1" applyNumberFormat="1" applyFont="1" applyFill="1" applyBorder="1" applyAlignment="1" applyProtection="1">
      <alignment horizontal="right" vertical="center"/>
    </xf>
    <xf numFmtId="0" fontId="39" fillId="23" borderId="0" xfId="0" applyFont="1" applyFill="1" applyAlignment="1">
      <alignment horizontal="left" vertical="center"/>
    </xf>
    <xf numFmtId="3" fontId="39" fillId="23" borderId="0" xfId="0" applyNumberFormat="1" applyFont="1" applyFill="1" applyAlignment="1">
      <alignment horizontal="center" vertical="center"/>
    </xf>
    <xf numFmtId="0" fontId="39" fillId="22" borderId="0" xfId="0" applyFont="1" applyFill="1" applyAlignment="1">
      <alignment horizontal="left" vertical="center"/>
    </xf>
    <xf numFmtId="3" fontId="39" fillId="22" borderId="0" xfId="0" applyNumberFormat="1" applyFont="1" applyFill="1" applyAlignment="1">
      <alignment horizontal="center" vertical="center"/>
    </xf>
    <xf numFmtId="0" fontId="39" fillId="11" borderId="0" xfId="0" applyFont="1" applyFill="1" applyAlignment="1">
      <alignment horizontal="left" vertical="center"/>
    </xf>
    <xf numFmtId="3" fontId="39" fillId="11" borderId="0" xfId="0" applyNumberFormat="1" applyFont="1" applyFill="1" applyAlignment="1">
      <alignment horizontal="center" vertical="center"/>
    </xf>
    <xf numFmtId="0" fontId="39" fillId="13" borderId="0" xfId="0" applyFont="1" applyFill="1" applyAlignment="1">
      <alignment horizontal="left" vertical="center"/>
    </xf>
    <xf numFmtId="3" fontId="39" fillId="13" borderId="0" xfId="0" applyNumberFormat="1" applyFont="1" applyFill="1" applyAlignment="1">
      <alignment horizontal="center" vertical="center"/>
    </xf>
    <xf numFmtId="0" fontId="39" fillId="24" borderId="0" xfId="0" applyFont="1" applyFill="1" applyAlignment="1">
      <alignment horizontal="left" vertical="center"/>
    </xf>
    <xf numFmtId="3" fontId="39" fillId="24" borderId="0" xfId="0" applyNumberFormat="1" applyFont="1" applyFill="1" applyAlignment="1">
      <alignment horizontal="center" vertical="center"/>
    </xf>
    <xf numFmtId="0" fontId="39" fillId="25" borderId="0" xfId="0" applyFont="1" applyFill="1" applyAlignment="1">
      <alignment horizontal="left" vertical="center"/>
    </xf>
    <xf numFmtId="3" fontId="39" fillId="25" borderId="0" xfId="0" applyNumberFormat="1" applyFont="1" applyFill="1" applyAlignment="1">
      <alignment horizontal="center" vertical="center"/>
    </xf>
    <xf numFmtId="0" fontId="39" fillId="26" borderId="0" xfId="0" applyFont="1" applyFill="1"/>
    <xf numFmtId="0" fontId="39" fillId="26" borderId="0" xfId="9" applyFont="1" applyFill="1" applyAlignment="1">
      <alignment horizontal="left"/>
    </xf>
    <xf numFmtId="0" fontId="39" fillId="26" borderId="0" xfId="0" quotePrefix="1" applyFont="1" applyFill="1"/>
    <xf numFmtId="0" fontId="39" fillId="26" borderId="0" xfId="0" applyFont="1" applyFill="1" applyAlignment="1">
      <alignment horizontal="center"/>
    </xf>
    <xf numFmtId="0" fontId="39" fillId="26" borderId="0" xfId="9" applyFont="1" applyFill="1"/>
    <xf numFmtId="0" fontId="39" fillId="26" borderId="0" xfId="0" applyFont="1" applyFill="1" applyAlignment="1">
      <alignment horizontal="left"/>
    </xf>
    <xf numFmtId="0" fontId="15" fillId="5" borderId="17" xfId="0" applyFont="1" applyFill="1" applyBorder="1" applyAlignment="1" applyProtection="1">
      <alignment horizontal="center" vertical="center"/>
      <protection locked="0"/>
    </xf>
    <xf numFmtId="0" fontId="81" fillId="0" borderId="0" xfId="0" applyFont="1" applyAlignment="1">
      <alignment horizontal="left" vertical="center"/>
    </xf>
    <xf numFmtId="0" fontId="85" fillId="0" borderId="0" xfId="0" applyFont="1" applyAlignment="1">
      <alignment horizontal="left" vertical="top"/>
    </xf>
    <xf numFmtId="3" fontId="5" fillId="0" borderId="0" xfId="0" applyNumberFormat="1" applyFont="1" applyAlignment="1">
      <alignment horizontal="center"/>
    </xf>
    <xf numFmtId="0" fontId="0" fillId="0" borderId="0" xfId="0" applyAlignment="1">
      <alignment horizontal="left" vertical="center"/>
    </xf>
    <xf numFmtId="0" fontId="11" fillId="0" borderId="0" xfId="0" quotePrefix="1" applyFont="1" applyAlignment="1">
      <alignment horizontal="center" vertical="center"/>
    </xf>
    <xf numFmtId="0" fontId="89" fillId="0" borderId="0" xfId="0" applyFont="1"/>
    <xf numFmtId="0" fontId="89" fillId="0" borderId="0" xfId="0" applyFont="1" applyAlignment="1">
      <alignment horizontal="center"/>
    </xf>
    <xf numFmtId="0" fontId="167" fillId="0" borderId="0" xfId="13" applyFont="1"/>
    <xf numFmtId="0" fontId="170" fillId="0" borderId="0" xfId="13" applyFont="1"/>
    <xf numFmtId="0" fontId="72" fillId="0" borderId="0" xfId="13" applyFont="1"/>
    <xf numFmtId="0" fontId="171" fillId="0" borderId="0" xfId="13" applyFont="1"/>
    <xf numFmtId="0" fontId="71" fillId="0" borderId="0" xfId="13" applyFont="1"/>
    <xf numFmtId="0" fontId="84" fillId="0" borderId="0" xfId="13" applyFont="1"/>
    <xf numFmtId="0" fontId="71" fillId="0" borderId="0" xfId="13" applyFont="1" applyAlignment="1">
      <alignment vertical="top"/>
    </xf>
    <xf numFmtId="0" fontId="39" fillId="0" borderId="0" xfId="13" applyFont="1" applyAlignment="1">
      <alignment horizontal="center" vertical="top"/>
    </xf>
    <xf numFmtId="0" fontId="42" fillId="0" borderId="0" xfId="0" applyFont="1" applyAlignment="1">
      <alignment horizontal="left"/>
    </xf>
    <xf numFmtId="0" fontId="42" fillId="5" borderId="13"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101" fillId="0" borderId="0" xfId="0" applyFont="1" applyAlignment="1">
      <alignment horizontal="left"/>
    </xf>
    <xf numFmtId="0" fontId="81" fillId="0" borderId="0" xfId="0" applyFont="1" applyAlignment="1">
      <alignment vertical="center" wrapText="1"/>
    </xf>
    <xf numFmtId="166" fontId="42" fillId="0" borderId="0" xfId="0" applyNumberFormat="1" applyFont="1" applyAlignment="1" applyProtection="1">
      <alignment horizontal="center" vertical="center"/>
      <protection locked="0"/>
    </xf>
    <xf numFmtId="38" fontId="42" fillId="0" borderId="0" xfId="2" applyNumberFormat="1" applyFont="1" applyFill="1" applyBorder="1" applyAlignment="1" applyProtection="1">
      <alignment horizontal="center" vertical="center"/>
      <protection locked="0"/>
    </xf>
    <xf numFmtId="0" fontId="38" fillId="0" borderId="9" xfId="0" applyFont="1" applyBorder="1" applyAlignment="1" applyProtection="1">
      <alignment horizontal="center" vertical="center"/>
      <protection locked="0"/>
    </xf>
    <xf numFmtId="38" fontId="81" fillId="0" borderId="9" xfId="0" applyNumberFormat="1" applyFont="1" applyBorder="1" applyAlignment="1" applyProtection="1">
      <alignment horizontal="center" vertical="center"/>
      <protection locked="0"/>
    </xf>
    <xf numFmtId="3" fontId="42" fillId="0" borderId="0" xfId="0" applyNumberFormat="1" applyFont="1" applyAlignment="1">
      <alignment horizontal="left" vertical="center"/>
    </xf>
    <xf numFmtId="0" fontId="173" fillId="0" borderId="0" xfId="0" applyFont="1" applyAlignment="1">
      <alignment vertical="center" wrapText="1"/>
    </xf>
    <xf numFmtId="3" fontId="175" fillId="21" borderId="0" xfId="0" applyNumberFormat="1" applyFont="1" applyFill="1" applyAlignment="1">
      <alignment horizontal="center" vertical="top"/>
    </xf>
    <xf numFmtId="0" fontId="4" fillId="13" borderId="30" xfId="0" applyFont="1" applyFill="1" applyBorder="1" applyAlignment="1" applyProtection="1">
      <alignment vertical="top" wrapText="1"/>
      <protection locked="0"/>
    </xf>
    <xf numFmtId="0" fontId="4" fillId="13" borderId="31" xfId="0" applyFont="1" applyFill="1" applyBorder="1" applyAlignment="1" applyProtection="1">
      <alignment vertical="top" wrapText="1"/>
      <protection locked="0"/>
    </xf>
    <xf numFmtId="4" fontId="42" fillId="13" borderId="28" xfId="0" applyNumberFormat="1" applyFont="1" applyFill="1" applyBorder="1" applyAlignment="1" applyProtection="1">
      <alignment horizontal="right" vertical="center"/>
      <protection locked="0"/>
    </xf>
    <xf numFmtId="4" fontId="50" fillId="13" borderId="28" xfId="0" applyNumberFormat="1" applyFont="1" applyFill="1" applyBorder="1" applyAlignment="1" applyProtection="1">
      <alignment horizontal="right" vertical="center"/>
      <protection locked="0"/>
    </xf>
    <xf numFmtId="4" fontId="42" fillId="13" borderId="40" xfId="0" applyNumberFormat="1" applyFont="1" applyFill="1" applyBorder="1" applyAlignment="1" applyProtection="1">
      <alignment horizontal="right" vertical="center"/>
      <protection locked="0"/>
    </xf>
    <xf numFmtId="4" fontId="42" fillId="0" borderId="0" xfId="0" applyNumberFormat="1" applyFont="1" applyAlignment="1">
      <alignment horizontal="right" vertical="center"/>
    </xf>
    <xf numFmtId="4" fontId="42" fillId="13" borderId="53" xfId="0" applyNumberFormat="1" applyFont="1" applyFill="1" applyBorder="1" applyAlignment="1" applyProtection="1">
      <alignment horizontal="right" vertical="center"/>
      <protection locked="0"/>
    </xf>
    <xf numFmtId="4" fontId="42" fillId="13" borderId="57" xfId="0" applyNumberFormat="1" applyFont="1" applyFill="1" applyBorder="1" applyAlignment="1" applyProtection="1">
      <alignment horizontal="right" vertical="center"/>
      <protection locked="0"/>
    </xf>
    <xf numFmtId="0" fontId="105" fillId="0" borderId="0" xfId="0" applyFont="1"/>
    <xf numFmtId="0" fontId="75" fillId="0" borderId="0" xfId="0" applyFont="1"/>
    <xf numFmtId="0" fontId="75" fillId="0" borderId="0" xfId="0" quotePrefix="1" applyFont="1"/>
    <xf numFmtId="0" fontId="109" fillId="0" borderId="0" xfId="0" applyFont="1"/>
    <xf numFmtId="0" fontId="75" fillId="0" borderId="0" xfId="0" applyFont="1" applyAlignment="1">
      <alignment horizontal="left"/>
    </xf>
    <xf numFmtId="0" fontId="42" fillId="5" borderId="13" xfId="0" applyFont="1" applyFill="1" applyBorder="1" applyAlignment="1" applyProtection="1">
      <alignment horizontal="center"/>
      <protection locked="0"/>
    </xf>
    <xf numFmtId="0" fontId="59" fillId="5" borderId="13" xfId="0" applyFont="1" applyFill="1" applyBorder="1" applyAlignment="1" applyProtection="1">
      <alignment horizontal="center" vertical="center"/>
      <protection locked="0"/>
    </xf>
    <xf numFmtId="0" fontId="94" fillId="0" borderId="0" xfId="0" applyFont="1" applyAlignment="1">
      <alignment horizontal="left" vertical="center"/>
    </xf>
    <xf numFmtId="0" fontId="39" fillId="0" borderId="0" xfId="0" applyFont="1" applyAlignment="1">
      <alignment vertical="top" wrapText="1"/>
    </xf>
    <xf numFmtId="0" fontId="109" fillId="0" borderId="0" xfId="0" applyFont="1" applyAlignment="1">
      <alignment horizontal="left" vertical="center"/>
    </xf>
    <xf numFmtId="38" fontId="9" fillId="0" borderId="11" xfId="0" applyNumberFormat="1" applyFont="1" applyBorder="1" applyAlignment="1">
      <alignment horizontal="center" vertical="center"/>
    </xf>
    <xf numFmtId="3" fontId="17" fillId="0" borderId="14" xfId="0" applyNumberFormat="1" applyFont="1" applyBorder="1" applyAlignment="1">
      <alignment horizontal="center" vertical="top"/>
    </xf>
    <xf numFmtId="0" fontId="17" fillId="0" borderId="0" xfId="0" applyFont="1" applyAlignment="1">
      <alignment horizontal="center" vertical="top"/>
    </xf>
    <xf numFmtId="3" fontId="48" fillId="0" borderId="14" xfId="0" applyNumberFormat="1" applyFont="1" applyBorder="1" applyAlignment="1">
      <alignment horizontal="center" vertical="top"/>
    </xf>
    <xf numFmtId="0" fontId="22" fillId="0" borderId="0" xfId="0" applyFont="1" applyAlignment="1">
      <alignment vertical="top"/>
    </xf>
    <xf numFmtId="3" fontId="48" fillId="0" borderId="76" xfId="0" applyNumberFormat="1" applyFont="1" applyBorder="1" applyAlignment="1">
      <alignment horizontal="center" vertical="top"/>
    </xf>
    <xf numFmtId="3" fontId="140" fillId="0" borderId="28" xfId="0" applyNumberFormat="1" applyFont="1" applyBorder="1" applyAlignment="1">
      <alignment horizontal="center" vertical="center"/>
    </xf>
    <xf numFmtId="0" fontId="46" fillId="0" borderId="0" xfId="0" applyFont="1" applyAlignment="1">
      <alignment horizontal="center" vertical="center"/>
    </xf>
    <xf numFmtId="10" fontId="15" fillId="5" borderId="13" xfId="0" applyNumberFormat="1" applyFont="1" applyFill="1" applyBorder="1" applyAlignment="1" applyProtection="1">
      <alignment horizontal="center" vertical="center"/>
      <protection locked="0"/>
    </xf>
    <xf numFmtId="0" fontId="176" fillId="0" borderId="0" xfId="0" applyFont="1" applyAlignment="1">
      <alignment vertical="center" wrapText="1"/>
    </xf>
    <xf numFmtId="0" fontId="18" fillId="0" borderId="0" xfId="0" applyFont="1" applyAlignment="1">
      <alignment vertical="center"/>
    </xf>
    <xf numFmtId="0" fontId="30" fillId="0" borderId="0" xfId="0" applyFont="1"/>
    <xf numFmtId="38" fontId="9" fillId="13" borderId="11" xfId="0" applyNumberFormat="1" applyFont="1" applyFill="1" applyBorder="1" applyAlignment="1">
      <alignment horizontal="center" vertical="center"/>
    </xf>
    <xf numFmtId="0" fontId="14" fillId="0" borderId="0" xfId="0" applyFont="1" applyAlignment="1">
      <alignment horizontal="right" vertical="top"/>
    </xf>
    <xf numFmtId="0" fontId="15" fillId="0" borderId="0" xfId="0" applyFont="1" applyAlignment="1">
      <alignment horizontal="left" vertical="top"/>
    </xf>
    <xf numFmtId="0" fontId="5" fillId="0" borderId="0" xfId="0" applyFont="1" applyAlignment="1">
      <alignment horizontal="justify" vertical="center" wrapText="1"/>
    </xf>
    <xf numFmtId="0" fontId="11" fillId="0" borderId="0" xfId="0" applyFont="1" applyAlignment="1">
      <alignment vertical="top"/>
    </xf>
    <xf numFmtId="0" fontId="9" fillId="0" borderId="11" xfId="0" applyFont="1" applyBorder="1" applyAlignment="1">
      <alignment horizontal="center" vertical="center"/>
    </xf>
    <xf numFmtId="38" fontId="9" fillId="5" borderId="11" xfId="0" applyNumberFormat="1" applyFont="1" applyFill="1" applyBorder="1" applyAlignment="1" applyProtection="1">
      <alignment horizontal="center" vertical="center"/>
      <protection locked="0"/>
    </xf>
    <xf numFmtId="38" fontId="9" fillId="17" borderId="11" xfId="0" applyNumberFormat="1" applyFont="1" applyFill="1" applyBorder="1" applyAlignment="1">
      <alignment horizontal="center" vertical="center"/>
    </xf>
    <xf numFmtId="38" fontId="9" fillId="10" borderId="17" xfId="0" applyNumberFormat="1" applyFont="1" applyFill="1" applyBorder="1" applyAlignment="1" applyProtection="1">
      <alignment horizontal="center" vertical="center"/>
      <protection locked="0"/>
    </xf>
    <xf numFmtId="0" fontId="14" fillId="0" borderId="14" xfId="0" applyFont="1" applyBorder="1" applyAlignment="1">
      <alignment vertical="center"/>
    </xf>
    <xf numFmtId="0" fontId="39" fillId="0" borderId="14" xfId="0" applyFont="1" applyBorder="1" applyAlignment="1">
      <alignment vertical="center"/>
    </xf>
    <xf numFmtId="0" fontId="27" fillId="0" borderId="14" xfId="0" applyFont="1" applyBorder="1"/>
    <xf numFmtId="0" fontId="27" fillId="0" borderId="24" xfId="0" applyFont="1" applyBorder="1"/>
    <xf numFmtId="0" fontId="27" fillId="0" borderId="5" xfId="0" applyFont="1" applyBorder="1"/>
    <xf numFmtId="0" fontId="5" fillId="0" borderId="14" xfId="0" applyFont="1" applyBorder="1" applyAlignment="1">
      <alignment horizontal="left" vertical="center"/>
    </xf>
    <xf numFmtId="0" fontId="178" fillId="0" borderId="0" xfId="0" applyFont="1" applyAlignment="1">
      <alignment horizontal="right" vertical="center"/>
    </xf>
    <xf numFmtId="0" fontId="46" fillId="0" borderId="0" xfId="0" applyFont="1" applyAlignment="1">
      <alignment vertical="center"/>
    </xf>
    <xf numFmtId="0" fontId="39" fillId="0" borderId="4" xfId="0" applyFont="1" applyBorder="1" applyAlignment="1">
      <alignment horizontal="left" vertical="top" wrapText="1"/>
    </xf>
    <xf numFmtId="0" fontId="39" fillId="0" borderId="31" xfId="0" applyFont="1" applyBorder="1" applyAlignment="1">
      <alignment vertical="top" wrapText="1"/>
    </xf>
    <xf numFmtId="0" fontId="39" fillId="0" borderId="6" xfId="0" applyFont="1" applyBorder="1" applyAlignment="1">
      <alignment horizontal="left" vertical="top" wrapText="1"/>
    </xf>
    <xf numFmtId="0" fontId="39" fillId="0" borderId="9" xfId="0" applyFont="1" applyBorder="1" applyAlignment="1">
      <alignment vertical="top"/>
    </xf>
    <xf numFmtId="0" fontId="39" fillId="0" borderId="9" xfId="0" applyFont="1" applyBorder="1" applyAlignment="1">
      <alignment vertical="top" wrapText="1"/>
    </xf>
    <xf numFmtId="0" fontId="39" fillId="0" borderId="62" xfId="0" applyFont="1" applyBorder="1" applyAlignment="1">
      <alignment vertical="top" wrapText="1"/>
    </xf>
    <xf numFmtId="0" fontId="39" fillId="0" borderId="20" xfId="0" applyFont="1" applyBorder="1" applyAlignment="1">
      <alignment horizontal="left" vertical="top" wrapText="1"/>
    </xf>
    <xf numFmtId="0" fontId="39" fillId="0" borderId="14" xfId="0" applyFont="1" applyBorder="1" applyAlignment="1">
      <alignment vertical="top"/>
    </xf>
    <xf numFmtId="0" fontId="39" fillId="0" borderId="14" xfId="0" applyFont="1" applyBorder="1" applyAlignment="1">
      <alignment vertical="top" wrapText="1"/>
    </xf>
    <xf numFmtId="0" fontId="39" fillId="0" borderId="29" xfId="0" applyFont="1" applyBorder="1" applyAlignment="1">
      <alignment vertical="top" wrapText="1"/>
    </xf>
    <xf numFmtId="0" fontId="80" fillId="0" borderId="19" xfId="0" applyFont="1" applyBorder="1" applyAlignment="1">
      <alignment horizontal="center" vertical="top" wrapText="1"/>
    </xf>
    <xf numFmtId="0" fontId="19" fillId="0" borderId="0" xfId="0" applyFont="1" applyAlignment="1">
      <alignment horizontal="center" vertical="center"/>
    </xf>
    <xf numFmtId="0" fontId="5" fillId="0" borderId="9" xfId="0" applyFont="1" applyBorder="1" applyAlignment="1">
      <alignment vertical="center"/>
    </xf>
    <xf numFmtId="0" fontId="174" fillId="0" borderId="0" xfId="0" applyFont="1" applyAlignment="1">
      <alignment vertical="center"/>
    </xf>
    <xf numFmtId="0" fontId="173" fillId="0" borderId="0" xfId="0" applyFont="1" applyAlignment="1">
      <alignment horizontal="center" vertical="center" wrapText="1"/>
    </xf>
    <xf numFmtId="0" fontId="147" fillId="0" borderId="0" xfId="0" applyFont="1" applyAlignment="1">
      <alignment horizontal="center" vertical="center"/>
    </xf>
    <xf numFmtId="0" fontId="94" fillId="0" borderId="0" xfId="0" applyFont="1"/>
    <xf numFmtId="0" fontId="160" fillId="0" borderId="0" xfId="0" applyFont="1" applyAlignment="1">
      <alignment horizontal="left" vertical="center"/>
    </xf>
    <xf numFmtId="3" fontId="94" fillId="0" borderId="0" xfId="0" applyNumberFormat="1" applyFont="1" applyAlignment="1">
      <alignment horizontal="right"/>
    </xf>
    <xf numFmtId="0" fontId="39" fillId="0" borderId="0" xfId="0" applyFont="1" applyAlignment="1">
      <alignment horizontal="center" vertical="top"/>
    </xf>
    <xf numFmtId="0" fontId="11" fillId="0" borderId="0" xfId="0" quotePrefix="1" applyFont="1" applyAlignment="1">
      <alignment horizontal="right" vertical="center"/>
    </xf>
    <xf numFmtId="9" fontId="4" fillId="0" borderId="0" xfId="29" applyFont="1" applyAlignment="1">
      <alignment horizontal="right"/>
    </xf>
    <xf numFmtId="6" fontId="4" fillId="0" borderId="0" xfId="12" applyNumberFormat="1" applyFont="1" applyAlignment="1">
      <alignment horizontal="center"/>
    </xf>
    <xf numFmtId="0" fontId="49" fillId="0" borderId="0" xfId="12" applyFont="1"/>
    <xf numFmtId="0" fontId="4" fillId="0" borderId="0" xfId="12" applyFont="1"/>
    <xf numFmtId="164" fontId="4" fillId="0" borderId="0" xfId="28" applyNumberFormat="1" applyFont="1"/>
    <xf numFmtId="164" fontId="4" fillId="0" borderId="0" xfId="12" applyNumberFormat="1" applyFont="1"/>
    <xf numFmtId="165" fontId="4" fillId="0" borderId="0" xfId="29" applyNumberFormat="1" applyFont="1"/>
    <xf numFmtId="180" fontId="4" fillId="0" borderId="0" xfId="12" applyNumberFormat="1" applyFont="1"/>
    <xf numFmtId="38" fontId="4" fillId="0" borderId="0" xfId="12" applyNumberFormat="1" applyFont="1"/>
    <xf numFmtId="180" fontId="4" fillId="0" borderId="0" xfId="28" applyNumberFormat="1" applyFont="1"/>
    <xf numFmtId="180" fontId="4" fillId="0" borderId="0" xfId="12" applyNumberFormat="1" applyFont="1" applyAlignment="1">
      <alignment horizontal="center"/>
    </xf>
    <xf numFmtId="164" fontId="4" fillId="0" borderId="0" xfId="12" applyNumberFormat="1" applyFont="1" applyAlignment="1">
      <alignment horizontal="center"/>
    </xf>
    <xf numFmtId="6" fontId="4" fillId="0" borderId="0" xfId="12" applyNumberFormat="1" applyFont="1" applyAlignment="1">
      <alignment horizontal="right"/>
    </xf>
    <xf numFmtId="8" fontId="4" fillId="0" borderId="0" xfId="28" applyNumberFormat="1" applyFont="1"/>
    <xf numFmtId="165" fontId="4" fillId="0" borderId="0" xfId="29" applyNumberFormat="1" applyFont="1" applyAlignment="1">
      <alignment horizontal="right"/>
    </xf>
    <xf numFmtId="180" fontId="4" fillId="0" borderId="0" xfId="28" applyNumberFormat="1" applyFont="1" applyAlignment="1">
      <alignment horizontal="center"/>
    </xf>
    <xf numFmtId="0" fontId="144" fillId="0" borderId="0" xfId="13" applyFont="1" applyAlignment="1">
      <alignment horizontal="centerContinuous"/>
    </xf>
    <xf numFmtId="0" fontId="38" fillId="0" borderId="0" xfId="0" applyFont="1" applyAlignment="1" applyProtection="1">
      <alignment horizontal="center" vertical="center"/>
      <protection locked="0"/>
    </xf>
    <xf numFmtId="38" fontId="81" fillId="0" borderId="0" xfId="0" applyNumberFormat="1" applyFont="1" applyAlignment="1" applyProtection="1">
      <alignment horizontal="center" vertical="center"/>
      <protection locked="0"/>
    </xf>
    <xf numFmtId="3" fontId="42" fillId="0" borderId="0" xfId="0" applyNumberFormat="1" applyFont="1" applyAlignment="1">
      <alignment horizontal="right" vertical="center"/>
    </xf>
    <xf numFmtId="0" fontId="112" fillId="20" borderId="0" xfId="13" applyFont="1" applyFill="1"/>
    <xf numFmtId="43" fontId="10" fillId="0" borderId="28" xfId="13" applyNumberFormat="1" applyFont="1" applyBorder="1" applyAlignment="1">
      <alignment vertical="top"/>
    </xf>
    <xf numFmtId="43" fontId="10" fillId="0" borderId="0" xfId="13" applyNumberFormat="1" applyFont="1" applyAlignment="1">
      <alignment horizontal="right"/>
    </xf>
    <xf numFmtId="43" fontId="10" fillId="0" borderId="0" xfId="13" applyNumberFormat="1" applyFont="1"/>
    <xf numFmtId="38" fontId="10" fillId="0" borderId="0" xfId="13" applyNumberFormat="1" applyFont="1" applyAlignment="1">
      <alignment horizontal="right"/>
    </xf>
    <xf numFmtId="6" fontId="10" fillId="13" borderId="0" xfId="0" applyNumberFormat="1" applyFont="1" applyFill="1"/>
    <xf numFmtId="6" fontId="10" fillId="13" borderId="0" xfId="13" applyNumberFormat="1" applyFont="1" applyFill="1"/>
    <xf numFmtId="38" fontId="10" fillId="13" borderId="0" xfId="13" applyNumberFormat="1" applyFont="1" applyFill="1"/>
    <xf numFmtId="176" fontId="112" fillId="0" borderId="0" xfId="13" applyNumberFormat="1" applyFont="1" applyAlignment="1">
      <alignment horizontal="center"/>
    </xf>
    <xf numFmtId="38" fontId="9" fillId="0" borderId="0" xfId="13" applyNumberFormat="1" applyFont="1" applyAlignment="1">
      <alignment horizontal="center"/>
    </xf>
    <xf numFmtId="0" fontId="9" fillId="10" borderId="0" xfId="13" applyFont="1" applyFill="1"/>
    <xf numFmtId="38" fontId="9" fillId="0" borderId="15" xfId="13" applyNumberFormat="1" applyFont="1" applyBorder="1" applyAlignment="1">
      <alignment horizontal="center"/>
    </xf>
    <xf numFmtId="0" fontId="9" fillId="0" borderId="0" xfId="6" applyNumberFormat="1" applyFont="1" applyFill="1" applyAlignment="1" applyProtection="1">
      <alignment horizontal="left"/>
    </xf>
    <xf numFmtId="180" fontId="9" fillId="10" borderId="9" xfId="13" applyNumberFormat="1" applyFont="1" applyFill="1" applyBorder="1" applyAlignment="1">
      <alignment horizontal="left"/>
    </xf>
    <xf numFmtId="0" fontId="9" fillId="10" borderId="9" xfId="13" applyFont="1" applyFill="1" applyBorder="1"/>
    <xf numFmtId="4" fontId="9" fillId="10" borderId="9" xfId="13" applyNumberFormat="1" applyFont="1" applyFill="1" applyBorder="1" applyAlignment="1">
      <alignment horizontal="left"/>
    </xf>
    <xf numFmtId="10" fontId="9" fillId="0" borderId="15" xfId="13" applyNumberFormat="1" applyFont="1" applyBorder="1" applyAlignment="1">
      <alignment horizontal="left"/>
    </xf>
    <xf numFmtId="10" fontId="9" fillId="10" borderId="42" xfId="13" applyNumberFormat="1" applyFont="1" applyFill="1" applyBorder="1" applyAlignment="1">
      <alignment horizontal="left"/>
    </xf>
    <xf numFmtId="0" fontId="9" fillId="10" borderId="62" xfId="13" applyFont="1" applyFill="1" applyBorder="1" applyAlignment="1">
      <alignment horizontal="left"/>
    </xf>
    <xf numFmtId="180" fontId="9" fillId="10" borderId="61" xfId="13" applyNumberFormat="1" applyFont="1" applyFill="1" applyBorder="1" applyAlignment="1">
      <alignment horizontal="left"/>
    </xf>
    <xf numFmtId="0" fontId="42" fillId="5" borderId="12" xfId="0" applyFont="1" applyFill="1" applyBorder="1" applyAlignment="1" applyProtection="1">
      <alignment horizontal="left" vertical="center"/>
      <protection locked="0"/>
    </xf>
    <xf numFmtId="0" fontId="39" fillId="26" borderId="0" xfId="0" quotePrefix="1" applyFont="1" applyFill="1" applyAlignment="1">
      <alignment horizontal="center"/>
    </xf>
    <xf numFmtId="0" fontId="4" fillId="0" borderId="5" xfId="0" applyFont="1" applyBorder="1" applyAlignment="1">
      <alignment vertical="center" wrapText="1"/>
    </xf>
    <xf numFmtId="0" fontId="4" fillId="0" borderId="9" xfId="0" applyFont="1" applyBorder="1" applyAlignment="1">
      <alignment vertical="center"/>
    </xf>
    <xf numFmtId="8" fontId="6" fillId="0" borderId="0" xfId="13" applyNumberFormat="1" applyFont="1" applyAlignment="1">
      <alignment horizontal="right" vertical="center"/>
    </xf>
    <xf numFmtId="8" fontId="112" fillId="0" borderId="0" xfId="13" applyNumberFormat="1" applyFont="1" applyAlignment="1">
      <alignment horizontal="right" vertical="center"/>
    </xf>
    <xf numFmtId="0" fontId="25" fillId="10" borderId="0" xfId="13" applyFont="1" applyFill="1"/>
    <xf numFmtId="0" fontId="6" fillId="0" borderId="9" xfId="13" applyFont="1" applyBorder="1" applyAlignment="1">
      <alignment horizontal="center"/>
    </xf>
    <xf numFmtId="0" fontId="156" fillId="0" borderId="0" xfId="13" applyFont="1"/>
    <xf numFmtId="3" fontId="156" fillId="0" borderId="0" xfId="13" applyNumberFormat="1" applyFont="1" applyAlignment="1">
      <alignment horizontal="left"/>
    </xf>
    <xf numFmtId="0" fontId="184" fillId="0" borderId="0" xfId="0" applyFont="1"/>
    <xf numFmtId="0" fontId="183" fillId="0" borderId="0" xfId="0" applyFont="1"/>
    <xf numFmtId="38" fontId="183" fillId="0" borderId="0" xfId="0" applyNumberFormat="1" applyFont="1"/>
    <xf numFmtId="164" fontId="183" fillId="0" borderId="0" xfId="1" applyNumberFormat="1" applyFont="1"/>
    <xf numFmtId="43" fontId="183" fillId="0" borderId="0" xfId="0" applyNumberFormat="1" applyFont="1"/>
    <xf numFmtId="0" fontId="4" fillId="10" borderId="0" xfId="12" applyFont="1" applyFill="1"/>
    <xf numFmtId="10" fontId="185" fillId="10" borderId="0" xfId="0" applyNumberFormat="1" applyFont="1" applyFill="1"/>
    <xf numFmtId="0" fontId="183" fillId="10" borderId="0" xfId="0" applyFont="1" applyFill="1"/>
    <xf numFmtId="0" fontId="4" fillId="0" borderId="9" xfId="12" applyFont="1" applyBorder="1"/>
    <xf numFmtId="0" fontId="112" fillId="0" borderId="0" xfId="13" applyFont="1" applyAlignment="1">
      <alignment horizontal="left"/>
    </xf>
    <xf numFmtId="0" fontId="9" fillId="0" borderId="0" xfId="13" applyFont="1" applyAlignment="1">
      <alignment horizontal="centerContinuous"/>
    </xf>
    <xf numFmtId="5" fontId="4" fillId="0" borderId="0" xfId="13" applyNumberFormat="1" applyAlignment="1">
      <alignment horizontal="right"/>
    </xf>
    <xf numFmtId="9" fontId="4" fillId="0" borderId="0" xfId="13" applyNumberFormat="1" applyAlignment="1">
      <alignment horizontal="right"/>
    </xf>
    <xf numFmtId="9" fontId="4" fillId="10" borderId="0" xfId="13" applyNumberFormat="1" applyFill="1" applyAlignment="1">
      <alignment horizontal="right"/>
    </xf>
    <xf numFmtId="1" fontId="4" fillId="0" borderId="0" xfId="13" applyNumberFormat="1" applyAlignment="1">
      <alignment horizontal="right"/>
    </xf>
    <xf numFmtId="3" fontId="4" fillId="0" borderId="0" xfId="13" applyNumberFormat="1" applyAlignment="1">
      <alignment horizontal="right"/>
    </xf>
    <xf numFmtId="175" fontId="4" fillId="0" borderId="0" xfId="13" applyNumberFormat="1" applyAlignment="1">
      <alignment horizontal="right"/>
    </xf>
    <xf numFmtId="38" fontId="4" fillId="0" borderId="0" xfId="13" applyNumberFormat="1" applyAlignment="1">
      <alignment horizontal="right"/>
    </xf>
    <xf numFmtId="180" fontId="4" fillId="10" borderId="0" xfId="13" applyNumberFormat="1" applyFill="1" applyAlignment="1">
      <alignment horizontal="right"/>
    </xf>
    <xf numFmtId="0" fontId="4" fillId="10" borderId="0" xfId="13" applyFill="1"/>
    <xf numFmtId="3" fontId="4" fillId="10" borderId="0" xfId="13" applyNumberFormat="1" applyFill="1" applyAlignment="1">
      <alignment horizontal="right"/>
    </xf>
    <xf numFmtId="180" fontId="4" fillId="0" borderId="0" xfId="13" applyNumberFormat="1"/>
    <xf numFmtId="180" fontId="4" fillId="10" borderId="0" xfId="13" applyNumberFormat="1" applyFill="1"/>
    <xf numFmtId="0" fontId="15" fillId="13" borderId="83" xfId="0" applyFont="1" applyFill="1" applyBorder="1" applyAlignment="1">
      <alignment horizontal="center" vertical="center"/>
    </xf>
    <xf numFmtId="3" fontId="14" fillId="5" borderId="12" xfId="10" applyNumberFormat="1" applyFont="1" applyFill="1" applyBorder="1" applyAlignment="1" applyProtection="1">
      <alignment horizontal="center" vertical="center"/>
      <protection locked="0"/>
    </xf>
    <xf numFmtId="3" fontId="14" fillId="5" borderId="84" xfId="10" applyNumberFormat="1" applyFont="1" applyFill="1" applyBorder="1" applyAlignment="1" applyProtection="1">
      <alignment horizontal="center" vertical="center"/>
      <protection locked="0"/>
    </xf>
    <xf numFmtId="1" fontId="14" fillId="5" borderId="17" xfId="1" applyNumberFormat="1" applyFont="1" applyFill="1" applyBorder="1" applyAlignment="1" applyProtection="1">
      <alignment horizontal="center" vertical="center"/>
      <protection locked="0"/>
    </xf>
    <xf numFmtId="3" fontId="14" fillId="5" borderId="17" xfId="1" applyNumberFormat="1" applyFont="1" applyFill="1" applyBorder="1" applyAlignment="1" applyProtection="1">
      <alignment horizontal="center" vertical="center"/>
      <protection locked="0"/>
    </xf>
    <xf numFmtId="1" fontId="14" fillId="5" borderId="84" xfId="1" applyNumberFormat="1" applyFont="1" applyFill="1" applyBorder="1" applyAlignment="1" applyProtection="1">
      <alignment horizontal="center" vertical="center"/>
      <protection locked="0"/>
    </xf>
    <xf numFmtId="3" fontId="14" fillId="5" borderId="84" xfId="1" applyNumberFormat="1" applyFont="1" applyFill="1" applyBorder="1" applyAlignment="1" applyProtection="1">
      <alignment horizontal="center" vertical="center"/>
      <protection locked="0"/>
    </xf>
    <xf numFmtId="38" fontId="4" fillId="0" borderId="7" xfId="1" applyNumberFormat="1" applyFont="1" applyFill="1" applyBorder="1" applyAlignment="1" applyProtection="1">
      <alignment vertical="center"/>
    </xf>
    <xf numFmtId="38" fontId="4" fillId="0" borderId="8" xfId="1" applyNumberFormat="1" applyFont="1" applyFill="1" applyBorder="1" applyAlignment="1" applyProtection="1">
      <alignment vertical="center"/>
    </xf>
    <xf numFmtId="38" fontId="4" fillId="0" borderId="7" xfId="1" applyNumberFormat="1" applyFont="1" applyFill="1" applyBorder="1" applyAlignment="1" applyProtection="1">
      <alignment horizontal="right" vertical="center"/>
    </xf>
    <xf numFmtId="0" fontId="22" fillId="0" borderId="0" xfId="0" applyFont="1" applyAlignment="1">
      <alignment vertical="center"/>
    </xf>
    <xf numFmtId="0" fontId="186" fillId="0" borderId="0" xfId="0" applyFont="1"/>
    <xf numFmtId="3" fontId="14" fillId="11" borderId="17" xfId="1" applyNumberFormat="1" applyFont="1" applyFill="1" applyBorder="1" applyAlignment="1" applyProtection="1">
      <alignment horizontal="center" vertical="center"/>
      <protection locked="0"/>
    </xf>
    <xf numFmtId="3" fontId="38" fillId="5" borderId="17" xfId="1" applyNumberFormat="1" applyFont="1" applyFill="1" applyBorder="1" applyAlignment="1" applyProtection="1">
      <alignment horizontal="center" vertical="center"/>
      <protection locked="0"/>
    </xf>
    <xf numFmtId="38" fontId="14" fillId="0" borderId="17" xfId="1" applyNumberFormat="1" applyFont="1" applyFill="1" applyBorder="1" applyAlignment="1" applyProtection="1">
      <alignment horizontal="center" vertical="center"/>
    </xf>
    <xf numFmtId="0" fontId="38" fillId="5" borderId="17" xfId="0" applyFont="1" applyFill="1" applyBorder="1" applyAlignment="1" applyProtection="1">
      <alignment horizontal="center" vertical="center"/>
      <protection locked="0"/>
    </xf>
    <xf numFmtId="0" fontId="14" fillId="5" borderId="17" xfId="0" applyFont="1" applyFill="1" applyBorder="1" applyAlignment="1" applyProtection="1">
      <alignment horizontal="center" vertical="center"/>
      <protection locked="0"/>
    </xf>
    <xf numFmtId="3" fontId="38" fillId="5" borderId="84" xfId="1" applyNumberFormat="1" applyFont="1" applyFill="1" applyBorder="1" applyAlignment="1" applyProtection="1">
      <alignment horizontal="center" vertical="center"/>
      <protection locked="0"/>
    </xf>
    <xf numFmtId="38" fontId="14" fillId="0" borderId="84" xfId="1" applyNumberFormat="1" applyFont="1" applyFill="1" applyBorder="1" applyAlignment="1" applyProtection="1">
      <alignment horizontal="center" vertical="center"/>
    </xf>
    <xf numFmtId="0" fontId="38" fillId="5" borderId="84" xfId="0" applyFont="1" applyFill="1" applyBorder="1" applyAlignment="1" applyProtection="1">
      <alignment horizontal="center" vertical="center"/>
      <protection locked="0"/>
    </xf>
    <xf numFmtId="0" fontId="14" fillId="5" borderId="84" xfId="0" applyFont="1" applyFill="1" applyBorder="1" applyAlignment="1" applyProtection="1">
      <alignment horizontal="center" vertical="center"/>
      <protection locked="0"/>
    </xf>
    <xf numFmtId="0" fontId="101" fillId="0" borderId="0" xfId="0" applyFont="1" applyAlignment="1">
      <alignment horizontal="center" vertical="center"/>
    </xf>
    <xf numFmtId="37" fontId="14" fillId="0" borderId="0" xfId="1" applyNumberFormat="1" applyFont="1" applyFill="1" applyBorder="1" applyAlignment="1" applyProtection="1">
      <alignment horizontal="center" vertical="center"/>
    </xf>
    <xf numFmtId="37" fontId="5" fillId="0" borderId="10" xfId="1" applyNumberFormat="1" applyFont="1" applyFill="1" applyBorder="1" applyAlignment="1" applyProtection="1">
      <alignment horizontal="center" vertical="center"/>
    </xf>
    <xf numFmtId="37" fontId="5" fillId="0" borderId="0" xfId="1" applyNumberFormat="1" applyFont="1" applyFill="1" applyBorder="1" applyAlignment="1" applyProtection="1">
      <alignment horizontal="center" vertical="center"/>
    </xf>
    <xf numFmtId="37" fontId="14" fillId="0" borderId="8" xfId="1" applyNumberFormat="1" applyFont="1" applyFill="1" applyBorder="1" applyAlignment="1" applyProtection="1">
      <alignment horizontal="center" vertical="center"/>
    </xf>
    <xf numFmtId="0" fontId="188" fillId="0" borderId="25" xfId="0" applyFont="1" applyBorder="1" applyAlignment="1">
      <alignment horizontal="center" vertical="center"/>
    </xf>
    <xf numFmtId="164" fontId="188" fillId="0" borderId="26" xfId="1" applyNumberFormat="1" applyFont="1" applyFill="1" applyBorder="1" applyAlignment="1" applyProtection="1">
      <alignment horizontal="center" vertical="center"/>
    </xf>
    <xf numFmtId="0" fontId="14" fillId="5" borderId="17" xfId="10" applyNumberFormat="1" applyFont="1" applyFill="1" applyBorder="1" applyAlignment="1" applyProtection="1">
      <alignment horizontal="center" vertical="center"/>
      <protection locked="0"/>
    </xf>
    <xf numFmtId="0" fontId="14" fillId="5" borderId="12" xfId="10" applyNumberFormat="1" applyFont="1" applyFill="1" applyBorder="1" applyAlignment="1" applyProtection="1">
      <alignment horizontal="center" vertical="center"/>
      <protection locked="0"/>
    </xf>
    <xf numFmtId="0" fontId="14" fillId="5" borderId="13" xfId="10" applyNumberFormat="1" applyFont="1" applyFill="1" applyBorder="1" applyAlignment="1" applyProtection="1">
      <alignment horizontal="center" vertical="center"/>
      <protection locked="0"/>
    </xf>
    <xf numFmtId="0" fontId="0" fillId="0" borderId="9" xfId="0" applyBorder="1"/>
    <xf numFmtId="0" fontId="33" fillId="0" borderId="0" xfId="0" applyFont="1" applyAlignment="1">
      <alignment vertical="center" wrapText="1"/>
    </xf>
    <xf numFmtId="0" fontId="33" fillId="0" borderId="0" xfId="0" applyFont="1" applyAlignment="1">
      <alignment vertical="top" wrapText="1"/>
    </xf>
    <xf numFmtId="38" fontId="4" fillId="0" borderId="85" xfId="1" applyNumberFormat="1" applyFont="1" applyFill="1" applyBorder="1" applyAlignment="1" applyProtection="1">
      <alignment horizontal="right" vertical="center"/>
    </xf>
    <xf numFmtId="38" fontId="4" fillId="0" borderId="79" xfId="1" applyNumberFormat="1" applyFont="1" applyFill="1" applyBorder="1" applyAlignment="1" applyProtection="1">
      <alignment horizontal="right" vertical="center"/>
    </xf>
    <xf numFmtId="38" fontId="4" fillId="0" borderId="68" xfId="1" applyNumberFormat="1" applyFont="1" applyFill="1" applyBorder="1" applyAlignment="1" applyProtection="1">
      <alignment horizontal="right" vertical="center"/>
    </xf>
    <xf numFmtId="38" fontId="4" fillId="0" borderId="86" xfId="0" applyNumberFormat="1" applyFont="1" applyBorder="1"/>
    <xf numFmtId="38" fontId="4" fillId="0" borderId="77" xfId="0" applyNumberFormat="1" applyFont="1" applyBorder="1"/>
    <xf numFmtId="38" fontId="4" fillId="0" borderId="69" xfId="0" applyNumberFormat="1" applyFont="1" applyBorder="1"/>
    <xf numFmtId="38" fontId="4" fillId="0" borderId="65" xfId="1" applyNumberFormat="1" applyFont="1" applyFill="1" applyBorder="1" applyAlignment="1" applyProtection="1">
      <alignment horizontal="right" vertical="center"/>
    </xf>
    <xf numFmtId="38" fontId="4" fillId="0" borderId="58" xfId="1" applyNumberFormat="1" applyFont="1" applyFill="1" applyBorder="1" applyAlignment="1" applyProtection="1">
      <alignment horizontal="right" vertical="center"/>
    </xf>
    <xf numFmtId="38" fontId="4" fillId="0" borderId="64" xfId="1" applyNumberFormat="1" applyFont="1" applyFill="1" applyBorder="1" applyAlignment="1" applyProtection="1">
      <alignment horizontal="right" vertical="center"/>
    </xf>
    <xf numFmtId="38" fontId="4" fillId="0" borderId="72" xfId="1" applyNumberFormat="1" applyFont="1" applyFill="1" applyBorder="1" applyAlignment="1" applyProtection="1">
      <alignment horizontal="right" vertical="center"/>
    </xf>
    <xf numFmtId="38" fontId="4" fillId="0" borderId="57" xfId="1" applyNumberFormat="1" applyFont="1" applyFill="1" applyBorder="1" applyAlignment="1" applyProtection="1">
      <alignment horizontal="right" vertical="center"/>
    </xf>
    <xf numFmtId="38" fontId="4" fillId="0" borderId="87" xfId="1" applyNumberFormat="1" applyFont="1" applyFill="1" applyBorder="1" applyAlignment="1" applyProtection="1">
      <alignment horizontal="right" vertical="center"/>
    </xf>
    <xf numFmtId="38" fontId="4" fillId="0" borderId="85" xfId="1" applyNumberFormat="1" applyFont="1" applyFill="1" applyBorder="1" applyAlignment="1" applyProtection="1">
      <alignment vertical="center"/>
    </xf>
    <xf numFmtId="38" fontId="4" fillId="0" borderId="79" xfId="1" applyNumberFormat="1" applyFont="1" applyFill="1" applyBorder="1" applyAlignment="1" applyProtection="1">
      <alignment vertical="center"/>
    </xf>
    <xf numFmtId="38" fontId="4" fillId="0" borderId="68" xfId="1" applyNumberFormat="1" applyFont="1" applyFill="1" applyBorder="1" applyAlignment="1" applyProtection="1">
      <alignment vertical="center"/>
    </xf>
    <xf numFmtId="0" fontId="39" fillId="0" borderId="31" xfId="0" applyFont="1" applyBorder="1" applyAlignment="1">
      <alignment vertical="center" wrapText="1"/>
    </xf>
    <xf numFmtId="0" fontId="42" fillId="0" borderId="31" xfId="0" applyFont="1" applyBorder="1" applyAlignment="1">
      <alignment vertical="center" wrapText="1"/>
    </xf>
    <xf numFmtId="0" fontId="44" fillId="20" borderId="0" xfId="0" applyFont="1" applyFill="1"/>
    <xf numFmtId="0" fontId="86" fillId="0" borderId="0" xfId="0" applyFont="1" applyAlignment="1">
      <alignment horizontal="right" vertical="center"/>
    </xf>
    <xf numFmtId="0" fontId="87" fillId="0" borderId="0" xfId="0" applyFont="1" applyAlignment="1">
      <alignment horizontal="right" vertical="top"/>
    </xf>
    <xf numFmtId="0" fontId="86" fillId="0" borderId="0" xfId="0" applyFont="1" applyAlignment="1">
      <alignment vertical="top" wrapText="1"/>
    </xf>
    <xf numFmtId="0" fontId="86" fillId="0" borderId="0" xfId="0" applyFont="1" applyAlignment="1">
      <alignment vertical="top"/>
    </xf>
    <xf numFmtId="3" fontId="9" fillId="0" borderId="12" xfId="0" applyNumberFormat="1" applyFont="1" applyBorder="1" applyAlignment="1">
      <alignment horizontal="center" vertical="center"/>
    </xf>
    <xf numFmtId="3" fontId="9" fillId="13" borderId="13" xfId="0" applyNumberFormat="1" applyFont="1" applyFill="1" applyBorder="1" applyAlignment="1" applyProtection="1">
      <alignment horizontal="center" vertical="center"/>
      <protection locked="0"/>
    </xf>
    <xf numFmtId="0" fontId="73" fillId="0" borderId="0" xfId="0" applyFont="1" applyAlignment="1">
      <alignment vertical="center" wrapText="1"/>
    </xf>
    <xf numFmtId="0" fontId="39" fillId="0" borderId="0" xfId="0" quotePrefix="1" applyFont="1" applyAlignment="1">
      <alignment horizontal="center" vertical="center"/>
    </xf>
    <xf numFmtId="0" fontId="75" fillId="0" borderId="0" xfId="0" applyFont="1" applyAlignment="1">
      <alignment vertical="center"/>
    </xf>
    <xf numFmtId="9" fontId="14" fillId="0" borderId="0" xfId="10" applyFont="1" applyFill="1" applyBorder="1" applyAlignment="1" applyProtection="1">
      <alignment horizontal="left" vertical="center"/>
    </xf>
    <xf numFmtId="9" fontId="11" fillId="0" borderId="0" xfId="10" applyFont="1" applyFill="1" applyBorder="1" applyAlignment="1" applyProtection="1">
      <alignment horizontal="center" vertical="top" wrapText="1"/>
    </xf>
    <xf numFmtId="38" fontId="101" fillId="0" borderId="7" xfId="0" applyNumberFormat="1" applyFont="1" applyBorder="1" applyAlignment="1">
      <alignment horizontal="center"/>
    </xf>
    <xf numFmtId="0" fontId="75" fillId="0" borderId="0" xfId="0" applyFont="1" applyAlignment="1">
      <alignment horizontal="center"/>
    </xf>
    <xf numFmtId="0" fontId="193" fillId="0" borderId="0" xfId="0" applyFont="1" applyAlignment="1">
      <alignment vertical="center"/>
    </xf>
    <xf numFmtId="0" fontId="19" fillId="0" borderId="0" xfId="0" applyFont="1" applyAlignment="1">
      <alignment horizontal="left"/>
    </xf>
    <xf numFmtId="0" fontId="133" fillId="0" borderId="0" xfId="0" applyFont="1"/>
    <xf numFmtId="0" fontId="194" fillId="0" borderId="0" xfId="0" applyFont="1" applyAlignment="1">
      <alignment horizontal="right" vertical="center"/>
    </xf>
    <xf numFmtId="38" fontId="9" fillId="0" borderId="88" xfId="0" applyNumberFormat="1" applyFont="1" applyBorder="1" applyAlignment="1">
      <alignment horizontal="center" vertical="center"/>
    </xf>
    <xf numFmtId="0" fontId="11" fillId="0" borderId="0" xfId="0" quotePrefix="1" applyFont="1" applyAlignment="1">
      <alignment horizontal="left" vertical="center"/>
    </xf>
    <xf numFmtId="0" fontId="75" fillId="0" borderId="0" xfId="0" applyFont="1" applyAlignment="1">
      <alignment horizontal="left" vertical="center"/>
    </xf>
    <xf numFmtId="38" fontId="15" fillId="0" borderId="30" xfId="0" applyNumberFormat="1" applyFont="1" applyBorder="1" applyAlignment="1">
      <alignment horizontal="center" vertical="top" wrapText="1"/>
    </xf>
    <xf numFmtId="38" fontId="15" fillId="0" borderId="32" xfId="0" applyNumberFormat="1" applyFont="1" applyBorder="1" applyAlignment="1">
      <alignment horizontal="center" vertical="top" wrapText="1"/>
    </xf>
    <xf numFmtId="0" fontId="15" fillId="0" borderId="30" xfId="0" applyFont="1" applyBorder="1" applyAlignment="1">
      <alignment horizontal="center" vertical="top" wrapText="1"/>
    </xf>
    <xf numFmtId="38" fontId="15" fillId="0" borderId="33" xfId="0" applyNumberFormat="1" applyFont="1" applyBorder="1" applyAlignment="1">
      <alignment horizontal="center" vertical="top" wrapText="1"/>
    </xf>
    <xf numFmtId="0" fontId="39" fillId="0" borderId="9" xfId="0" applyFont="1" applyBorder="1"/>
    <xf numFmtId="0" fontId="39" fillId="0" borderId="62" xfId="0" quotePrefix="1" applyFont="1" applyBorder="1" applyAlignment="1">
      <alignment horizontal="center" vertical="center" wrapText="1"/>
    </xf>
    <xf numFmtId="0" fontId="5" fillId="0" borderId="38" xfId="0" applyFont="1" applyBorder="1" applyAlignment="1">
      <alignment horizontal="center" vertical="center"/>
    </xf>
    <xf numFmtId="0" fontId="15" fillId="0" borderId="0" xfId="0" applyFont="1" applyAlignment="1">
      <alignment horizontal="center" vertical="top"/>
    </xf>
    <xf numFmtId="9" fontId="15" fillId="0" borderId="0" xfId="0" applyNumberFormat="1" applyFont="1" applyAlignment="1">
      <alignment horizontal="center" vertical="center"/>
    </xf>
    <xf numFmtId="0" fontId="86" fillId="0" borderId="0" xfId="0" applyFont="1" applyAlignment="1">
      <alignment vertical="center"/>
    </xf>
    <xf numFmtId="0" fontId="15" fillId="13" borderId="19" xfId="0" applyFont="1" applyFill="1" applyBorder="1" applyAlignment="1">
      <alignment horizontal="center" vertical="center"/>
    </xf>
    <xf numFmtId="0" fontId="9" fillId="13" borderId="17" xfId="0" applyFont="1" applyFill="1" applyBorder="1" applyAlignment="1">
      <alignment horizontal="center" vertical="top" wrapText="1"/>
    </xf>
    <xf numFmtId="0" fontId="9" fillId="13" borderId="12" xfId="0" applyFont="1" applyFill="1" applyBorder="1" applyAlignment="1">
      <alignment horizontal="center" vertical="top" wrapText="1"/>
    </xf>
    <xf numFmtId="0" fontId="9" fillId="13" borderId="13" xfId="0" applyFont="1" applyFill="1" applyBorder="1" applyAlignment="1">
      <alignment horizontal="center" vertical="top" wrapText="1"/>
    </xf>
    <xf numFmtId="0" fontId="85" fillId="0" borderId="0" xfId="0" applyFont="1" applyAlignment="1">
      <alignment horizontal="left" vertical="center"/>
    </xf>
    <xf numFmtId="0" fontId="81" fillId="0" borderId="0" xfId="0" applyFont="1" applyAlignment="1">
      <alignment horizontal="center" vertical="center"/>
    </xf>
    <xf numFmtId="0" fontId="42" fillId="5" borderId="11" xfId="0" applyFont="1" applyFill="1" applyBorder="1" applyAlignment="1" applyProtection="1">
      <alignment horizontal="center" vertical="top"/>
      <protection locked="0"/>
    </xf>
    <xf numFmtId="0" fontId="81" fillId="0" borderId="69" xfId="0" applyFont="1" applyBorder="1" applyAlignment="1">
      <alignment horizontal="center" vertical="top" wrapText="1"/>
    </xf>
    <xf numFmtId="0" fontId="81" fillId="0" borderId="0" xfId="0" applyFont="1" applyAlignment="1">
      <alignment horizontal="center"/>
    </xf>
    <xf numFmtId="0" fontId="46" fillId="0" borderId="9" xfId="0" applyFont="1" applyBorder="1" applyAlignment="1">
      <alignment horizontal="center" vertical="center"/>
    </xf>
    <xf numFmtId="38" fontId="4" fillId="0" borderId="0" xfId="1" applyNumberFormat="1" applyFont="1" applyFill="1" applyBorder="1" applyAlignment="1" applyProtection="1">
      <alignment horizontal="left" vertical="center"/>
    </xf>
    <xf numFmtId="38" fontId="4" fillId="0" borderId="65" xfId="1" applyNumberFormat="1" applyFont="1" applyFill="1" applyBorder="1" applyAlignment="1" applyProtection="1">
      <alignment vertical="center"/>
    </xf>
    <xf numFmtId="38" fontId="4" fillId="0" borderId="58" xfId="1" applyNumberFormat="1" applyFont="1" applyFill="1" applyBorder="1" applyAlignment="1" applyProtection="1">
      <alignment vertical="center"/>
    </xf>
    <xf numFmtId="38" fontId="4" fillId="0" borderId="64" xfId="1" applyNumberFormat="1" applyFont="1" applyFill="1" applyBorder="1" applyAlignment="1" applyProtection="1">
      <alignment vertical="center"/>
    </xf>
    <xf numFmtId="38" fontId="4" fillId="0" borderId="17" xfId="1" applyNumberFormat="1" applyFont="1" applyFill="1" applyBorder="1" applyAlignment="1" applyProtection="1">
      <alignment vertical="center"/>
    </xf>
    <xf numFmtId="49" fontId="131" fillId="0" borderId="0" xfId="0" applyNumberFormat="1" applyFont="1" applyAlignment="1">
      <alignment vertical="center"/>
    </xf>
    <xf numFmtId="38" fontId="87" fillId="0" borderId="0" xfId="0" applyNumberFormat="1" applyFont="1" applyAlignment="1">
      <alignment horizontal="left" vertical="center"/>
    </xf>
    <xf numFmtId="3" fontId="4" fillId="0" borderId="0" xfId="0" applyNumberFormat="1" applyFont="1" applyAlignment="1">
      <alignment horizontal="center" vertical="center"/>
    </xf>
    <xf numFmtId="3" fontId="86" fillId="0" borderId="0" xfId="0" applyNumberFormat="1" applyFont="1" applyAlignment="1">
      <alignment horizontal="center" vertical="center"/>
    </xf>
    <xf numFmtId="38" fontId="87" fillId="0" borderId="0" xfId="0" applyNumberFormat="1" applyFont="1" applyAlignment="1">
      <alignment vertical="center"/>
    </xf>
    <xf numFmtId="0" fontId="71" fillId="0" borderId="0" xfId="0" applyFont="1" applyAlignment="1">
      <alignment vertical="center"/>
    </xf>
    <xf numFmtId="49" fontId="15" fillId="0" borderId="0" xfId="0" quotePrefix="1" applyNumberFormat="1" applyFont="1" applyAlignment="1">
      <alignment horizontal="center" vertical="center"/>
    </xf>
    <xf numFmtId="0" fontId="196" fillId="0" borderId="0" xfId="0" applyFont="1"/>
    <xf numFmtId="37" fontId="198" fillId="0" borderId="0" xfId="0" applyNumberFormat="1" applyFont="1" applyAlignment="1">
      <alignment horizontal="center" vertical="center"/>
    </xf>
    <xf numFmtId="3" fontId="196" fillId="0" borderId="0" xfId="0" applyNumberFormat="1" applyFont="1" applyAlignment="1">
      <alignment horizontal="center" vertical="center"/>
    </xf>
    <xf numFmtId="0" fontId="90" fillId="0" borderId="0" xfId="0" applyFont="1" applyAlignment="1">
      <alignment vertical="top" wrapText="1"/>
    </xf>
    <xf numFmtId="0" fontId="94" fillId="0" borderId="0" xfId="0" applyFont="1" applyAlignment="1">
      <alignment vertical="top" wrapText="1"/>
    </xf>
    <xf numFmtId="0" fontId="10" fillId="0" borderId="0" xfId="13" applyFont="1" applyAlignment="1">
      <alignment vertical="top" wrapText="1"/>
    </xf>
    <xf numFmtId="6" fontId="112" fillId="0" borderId="0" xfId="13" applyNumberFormat="1" applyFont="1" applyAlignment="1">
      <alignment horizontal="left"/>
    </xf>
    <xf numFmtId="38" fontId="112" fillId="0" borderId="0" xfId="13" applyNumberFormat="1" applyFont="1" applyAlignment="1">
      <alignment horizontal="left"/>
    </xf>
    <xf numFmtId="0" fontId="127" fillId="0" borderId="0" xfId="13" applyFont="1" applyAlignment="1">
      <alignment vertical="top" wrapText="1"/>
    </xf>
    <xf numFmtId="0" fontId="42" fillId="5" borderId="13" xfId="0" applyFont="1" applyFill="1" applyBorder="1" applyAlignment="1" applyProtection="1">
      <alignment horizontal="left" vertical="center"/>
      <protection locked="0"/>
    </xf>
    <xf numFmtId="0" fontId="146" fillId="0" borderId="0" xfId="0" applyFont="1" applyAlignment="1">
      <alignment horizontal="left"/>
    </xf>
    <xf numFmtId="0" fontId="199" fillId="20" borderId="0" xfId="0" applyFont="1" applyFill="1" applyAlignment="1">
      <alignment horizontal="center" vertical="center" wrapText="1"/>
    </xf>
    <xf numFmtId="0" fontId="0" fillId="5" borderId="12"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0" borderId="4" xfId="0" applyBorder="1" applyAlignment="1">
      <alignment vertical="center"/>
    </xf>
    <xf numFmtId="0" fontId="0" fillId="0" borderId="21" xfId="0" applyBorder="1" applyAlignment="1">
      <alignment vertical="center"/>
    </xf>
    <xf numFmtId="0" fontId="0" fillId="0" borderId="20" xfId="0" applyBorder="1" applyAlignment="1">
      <alignment vertical="center"/>
    </xf>
    <xf numFmtId="0" fontId="4" fillId="0" borderId="4" xfId="0" applyFont="1" applyBorder="1" applyAlignment="1">
      <alignment vertical="center"/>
    </xf>
    <xf numFmtId="0" fontId="4" fillId="0" borderId="21" xfId="0" applyFont="1" applyBorder="1" applyAlignment="1">
      <alignment vertical="center"/>
    </xf>
    <xf numFmtId="0" fontId="4" fillId="0" borderId="6" xfId="0" applyFont="1" applyBorder="1" applyAlignment="1">
      <alignment vertical="center"/>
    </xf>
    <xf numFmtId="0" fontId="4" fillId="0" borderId="22" xfId="0" applyFont="1" applyBorder="1" applyAlignment="1">
      <alignment vertical="center"/>
    </xf>
    <xf numFmtId="0" fontId="4" fillId="0" borderId="0" xfId="0" applyFont="1" applyAlignment="1">
      <alignment horizontal="left" vertical="center"/>
    </xf>
    <xf numFmtId="0" fontId="160" fillId="0" borderId="0" xfId="0" applyFont="1" applyAlignment="1" applyProtection="1">
      <alignment horizontal="left" vertical="center"/>
      <protection locked="0"/>
    </xf>
    <xf numFmtId="3" fontId="4" fillId="0" borderId="39" xfId="0" applyNumberFormat="1" applyFont="1" applyBorder="1" applyAlignment="1">
      <alignment horizontal="center" vertical="center"/>
    </xf>
    <xf numFmtId="9" fontId="0" fillId="0" borderId="0" xfId="0" applyNumberFormat="1"/>
    <xf numFmtId="0" fontId="202" fillId="0" borderId="0" xfId="0" applyFont="1"/>
    <xf numFmtId="9" fontId="202" fillId="0" borderId="0" xfId="0" applyNumberFormat="1" applyFont="1" applyAlignment="1">
      <alignment horizontal="left"/>
    </xf>
    <xf numFmtId="0" fontId="0" fillId="0" borderId="0" xfId="0" applyAlignment="1">
      <alignment horizontal="left"/>
    </xf>
    <xf numFmtId="9" fontId="39" fillId="0" borderId="0" xfId="0" applyNumberFormat="1" applyFont="1" applyAlignment="1">
      <alignment horizontal="left"/>
    </xf>
    <xf numFmtId="0" fontId="202" fillId="0" borderId="0" xfId="0" applyFont="1" applyAlignment="1">
      <alignment horizontal="right"/>
    </xf>
    <xf numFmtId="0" fontId="39" fillId="0" borderId="13" xfId="0" applyFont="1" applyBorder="1" applyAlignment="1">
      <alignment horizontal="center"/>
    </xf>
    <xf numFmtId="9" fontId="202" fillId="0" borderId="0" xfId="0" applyNumberFormat="1" applyFont="1" applyAlignment="1">
      <alignment horizontal="center"/>
    </xf>
    <xf numFmtId="9" fontId="39" fillId="0" borderId="0" xfId="0" applyNumberFormat="1" applyFont="1" applyAlignment="1">
      <alignment horizontal="center"/>
    </xf>
    <xf numFmtId="0" fontId="64" fillId="0" borderId="0" xfId="0" applyFont="1" applyAlignment="1">
      <alignment horizontal="left" vertical="center"/>
    </xf>
    <xf numFmtId="3" fontId="39" fillId="0" borderId="0" xfId="0" applyNumberFormat="1" applyFont="1" applyAlignment="1">
      <alignment horizontal="left" vertical="center"/>
    </xf>
    <xf numFmtId="0" fontId="9" fillId="0" borderId="15" xfId="0" applyFont="1" applyBorder="1" applyAlignment="1">
      <alignment vertical="center"/>
    </xf>
    <xf numFmtId="0" fontId="94" fillId="0" borderId="30" xfId="0" applyFont="1" applyBorder="1" applyAlignment="1">
      <alignment vertical="center"/>
    </xf>
    <xf numFmtId="0" fontId="94" fillId="0" borderId="0" xfId="0" applyFont="1" applyAlignment="1">
      <alignment vertical="center"/>
    </xf>
    <xf numFmtId="3" fontId="42" fillId="0" borderId="0" xfId="1" applyNumberFormat="1" applyFont="1" applyBorder="1" applyAlignment="1">
      <alignment vertical="center"/>
    </xf>
    <xf numFmtId="0" fontId="5" fillId="0" borderId="0" xfId="0" quotePrefix="1" applyFont="1"/>
    <xf numFmtId="0" fontId="146" fillId="0" borderId="0" xfId="0" applyFont="1" applyAlignment="1">
      <alignment horizontal="right" vertical="center"/>
    </xf>
    <xf numFmtId="0" fontId="146" fillId="0" borderId="0" xfId="0" applyFont="1" applyAlignment="1">
      <alignment horizontal="center" vertical="center" wrapText="1"/>
    </xf>
    <xf numFmtId="0" fontId="91" fillId="0" borderId="0" xfId="0" applyFont="1" applyAlignment="1">
      <alignment horizontal="center" vertical="center"/>
    </xf>
    <xf numFmtId="1" fontId="86" fillId="0" borderId="0" xfId="0" applyNumberFormat="1" applyFont="1" applyAlignment="1">
      <alignment vertical="center"/>
    </xf>
    <xf numFmtId="0" fontId="203" fillId="0" borderId="0" xfId="0" applyFont="1" applyAlignment="1">
      <alignment horizontal="left" vertical="center"/>
    </xf>
    <xf numFmtId="0" fontId="0" fillId="0" borderId="0" xfId="0" applyAlignment="1">
      <alignment horizontal="center" vertical="top"/>
    </xf>
    <xf numFmtId="0" fontId="87" fillId="0" borderId="0" xfId="0" applyFont="1" applyAlignment="1">
      <alignment horizontal="center" vertical="center" wrapText="1"/>
    </xf>
    <xf numFmtId="0" fontId="206" fillId="0" borderId="0" xfId="33" applyFont="1"/>
    <xf numFmtId="164" fontId="206" fillId="0" borderId="0" xfId="34" applyNumberFormat="1" applyFont="1"/>
    <xf numFmtId="0" fontId="71" fillId="0" borderId="4" xfId="33" applyFont="1" applyBorder="1" applyAlignment="1">
      <alignment horizontal="left" vertical="center"/>
    </xf>
    <xf numFmtId="0" fontId="206" fillId="0" borderId="0" xfId="33" applyFont="1" applyAlignment="1">
      <alignment vertical="center"/>
    </xf>
    <xf numFmtId="0" fontId="206" fillId="0" borderId="5" xfId="33" applyFont="1" applyBorder="1" applyAlignment="1">
      <alignment vertical="center"/>
    </xf>
    <xf numFmtId="0" fontId="206" fillId="0" borderId="6" xfId="33" applyFont="1" applyBorder="1" applyAlignment="1">
      <alignment horizontal="left" vertical="center"/>
    </xf>
    <xf numFmtId="0" fontId="206" fillId="0" borderId="9" xfId="33" applyFont="1" applyBorder="1" applyAlignment="1">
      <alignment vertical="center"/>
    </xf>
    <xf numFmtId="0" fontId="206" fillId="0" borderId="10" xfId="33" applyFont="1" applyBorder="1" applyAlignment="1">
      <alignment vertical="center"/>
    </xf>
    <xf numFmtId="0" fontId="206" fillId="0" borderId="9" xfId="33" applyFont="1" applyBorder="1"/>
    <xf numFmtId="0" fontId="206" fillId="0" borderId="0" xfId="33" applyFont="1" applyAlignment="1">
      <alignment horizontal="left"/>
    </xf>
    <xf numFmtId="166" fontId="206" fillId="0" borderId="0" xfId="35" applyNumberFormat="1" applyFont="1"/>
    <xf numFmtId="0" fontId="209" fillId="0" borderId="0" xfId="33" applyFont="1" applyAlignment="1">
      <alignment horizontal="left"/>
    </xf>
    <xf numFmtId="164" fontId="206" fillId="0" borderId="0" xfId="33" applyNumberFormat="1" applyFont="1"/>
    <xf numFmtId="182" fontId="206" fillId="28" borderId="12" xfId="33" applyNumberFormat="1" applyFont="1" applyFill="1" applyBorder="1" applyAlignment="1">
      <alignment horizontal="center" vertical="center"/>
    </xf>
    <xf numFmtId="182" fontId="206" fillId="28" borderId="13" xfId="33" applyNumberFormat="1" applyFont="1" applyFill="1" applyBorder="1" applyAlignment="1">
      <alignment horizontal="center" vertical="center"/>
    </xf>
    <xf numFmtId="0" fontId="206" fillId="11" borderId="7" xfId="33" applyFont="1" applyFill="1" applyBorder="1" applyAlignment="1">
      <alignment horizontal="center" vertical="center"/>
    </xf>
    <xf numFmtId="0" fontId="206" fillId="11" borderId="8" xfId="33" applyFont="1" applyFill="1" applyBorder="1" applyAlignment="1">
      <alignment horizontal="center" vertical="center"/>
    </xf>
    <xf numFmtId="0" fontId="84" fillId="0" borderId="93" xfId="33" applyFont="1" applyBorder="1" applyAlignment="1">
      <alignment horizontal="center" wrapText="1"/>
    </xf>
    <xf numFmtId="0" fontId="71" fillId="0" borderId="8" xfId="33" applyFont="1" applyBorder="1" applyAlignment="1">
      <alignment horizontal="center" wrapText="1"/>
    </xf>
    <xf numFmtId="0" fontId="84" fillId="0" borderId="8" xfId="33" applyFont="1" applyBorder="1" applyAlignment="1">
      <alignment horizontal="center" wrapText="1"/>
    </xf>
    <xf numFmtId="182" fontId="206" fillId="29" borderId="27" xfId="33" applyNumberFormat="1" applyFont="1" applyFill="1" applyBorder="1" applyAlignment="1">
      <alignment horizontal="center"/>
    </xf>
    <xf numFmtId="0" fontId="205" fillId="0" borderId="0" xfId="33" applyFont="1"/>
    <xf numFmtId="0" fontId="206" fillId="0" borderId="34" xfId="33" applyFont="1" applyBorder="1" applyAlignment="1">
      <alignment horizontal="center"/>
    </xf>
    <xf numFmtId="0" fontId="206" fillId="0" borderId="92" xfId="33" applyFont="1" applyBorder="1" applyAlignment="1">
      <alignment horizontal="center"/>
    </xf>
    <xf numFmtId="0" fontId="206" fillId="0" borderId="5" xfId="33" applyFont="1" applyBorder="1"/>
    <xf numFmtId="0" fontId="206" fillId="0" borderId="10" xfId="33" applyFont="1" applyBorder="1"/>
    <xf numFmtId="164" fontId="211" fillId="29" borderId="11" xfId="34" applyNumberFormat="1" applyFont="1" applyFill="1" applyBorder="1" applyAlignment="1">
      <alignment horizontal="center" vertical="center"/>
    </xf>
    <xf numFmtId="0" fontId="206" fillId="0" borderId="97" xfId="33" applyFont="1" applyBorder="1"/>
    <xf numFmtId="0" fontId="206" fillId="0" borderId="91" xfId="33" applyFont="1" applyBorder="1"/>
    <xf numFmtId="0" fontId="212" fillId="0" borderId="0" xfId="33" applyFont="1"/>
    <xf numFmtId="184" fontId="212" fillId="28" borderId="12" xfId="33" applyNumberFormat="1" applyFont="1" applyFill="1" applyBorder="1" applyAlignment="1">
      <alignment horizontal="center" vertical="center"/>
    </xf>
    <xf numFmtId="182" fontId="212" fillId="28" borderId="12" xfId="33" applyNumberFormat="1" applyFont="1" applyFill="1" applyBorder="1" applyAlignment="1">
      <alignment horizontal="center" vertical="center"/>
    </xf>
    <xf numFmtId="164" fontId="212" fillId="28" borderId="12" xfId="34" applyNumberFormat="1" applyFont="1" applyFill="1" applyBorder="1" applyAlignment="1">
      <alignment horizontal="center" vertical="center"/>
    </xf>
    <xf numFmtId="184" fontId="212" fillId="28" borderId="13" xfId="33" applyNumberFormat="1" applyFont="1" applyFill="1" applyBorder="1" applyAlignment="1">
      <alignment horizontal="center" vertical="center"/>
    </xf>
    <xf numFmtId="182" fontId="212" fillId="28" borderId="13" xfId="33" applyNumberFormat="1" applyFont="1" applyFill="1" applyBorder="1" applyAlignment="1">
      <alignment horizontal="center" vertical="center"/>
    </xf>
    <xf numFmtId="164" fontId="212" fillId="28" borderId="13" xfId="34" applyNumberFormat="1" applyFont="1" applyFill="1" applyBorder="1" applyAlignment="1">
      <alignment horizontal="center" vertical="center"/>
    </xf>
    <xf numFmtId="0" fontId="212" fillId="0" borderId="0" xfId="33" applyFont="1" applyAlignment="1">
      <alignment horizontal="left"/>
    </xf>
    <xf numFmtId="0" fontId="15" fillId="13" borderId="8" xfId="0" applyFont="1" applyFill="1" applyBorder="1" applyAlignment="1">
      <alignment horizontal="center" vertical="center"/>
    </xf>
    <xf numFmtId="0" fontId="15" fillId="5" borderId="8" xfId="0" applyFont="1" applyFill="1" applyBorder="1" applyAlignment="1" applyProtection="1">
      <alignment horizontal="center" vertical="center"/>
      <protection locked="0"/>
    </xf>
    <xf numFmtId="0" fontId="23" fillId="0" borderId="0" xfId="0" quotePrefix="1" applyFont="1" applyAlignment="1">
      <alignment horizontal="left" vertical="center"/>
    </xf>
    <xf numFmtId="175" fontId="15" fillId="5" borderId="17" xfId="0" applyNumberFormat="1" applyFont="1" applyFill="1" applyBorder="1" applyAlignment="1" applyProtection="1">
      <alignment horizontal="center" vertical="center"/>
      <protection locked="0"/>
    </xf>
    <xf numFmtId="175" fontId="15" fillId="13" borderId="12" xfId="0" applyNumberFormat="1" applyFont="1" applyFill="1" applyBorder="1" applyAlignment="1">
      <alignment horizontal="center" vertical="center"/>
    </xf>
    <xf numFmtId="0" fontId="5" fillId="0" borderId="0" xfId="0" applyFont="1" applyAlignment="1">
      <alignment horizontal="right" vertical="top" wrapText="1"/>
    </xf>
    <xf numFmtId="0" fontId="14" fillId="0" borderId="0" xfId="0" applyFont="1" applyAlignment="1">
      <alignment horizontal="left" vertical="center"/>
    </xf>
    <xf numFmtId="0" fontId="94" fillId="0" borderId="0" xfId="0" applyFont="1" applyAlignment="1">
      <alignment wrapText="1"/>
    </xf>
    <xf numFmtId="0" fontId="150" fillId="0" borderId="0" xfId="0" applyFont="1" applyAlignment="1">
      <alignment vertical="center"/>
    </xf>
    <xf numFmtId="0" fontId="216" fillId="0" borderId="0" xfId="0" applyFont="1" applyAlignment="1">
      <alignment vertical="center"/>
    </xf>
    <xf numFmtId="0" fontId="0" fillId="0" borderId="0" xfId="0" applyProtection="1">
      <protection locked="0"/>
    </xf>
    <xf numFmtId="0" fontId="19" fillId="0" borderId="0" xfId="0" applyFont="1" applyProtection="1">
      <protection locked="0"/>
    </xf>
    <xf numFmtId="0" fontId="37" fillId="0" borderId="0" xfId="0" applyFont="1" applyAlignment="1" applyProtection="1">
      <alignment vertical="center"/>
      <protection locked="0"/>
    </xf>
    <xf numFmtId="0" fontId="33" fillId="0" borderId="0" xfId="0" applyFont="1" applyAlignment="1" applyProtection="1">
      <alignment vertical="center"/>
      <protection locked="0"/>
    </xf>
    <xf numFmtId="0" fontId="4" fillId="0" borderId="0" xfId="0" applyFont="1" applyProtection="1">
      <protection locked="0"/>
    </xf>
    <xf numFmtId="0" fontId="4" fillId="0" borderId="0" xfId="0" applyFont="1" applyAlignment="1" applyProtection="1">
      <alignment vertical="top"/>
      <protection locked="0"/>
    </xf>
    <xf numFmtId="0" fontId="19"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81" fillId="0" borderId="0" xfId="0" applyFont="1" applyAlignment="1" applyProtection="1">
      <alignment horizontal="left" vertical="center"/>
      <protection locked="0"/>
    </xf>
    <xf numFmtId="0" fontId="5" fillId="0" borderId="0" xfId="0" applyFont="1" applyAlignment="1" applyProtection="1">
      <alignment vertical="top"/>
      <protection locked="0"/>
    </xf>
    <xf numFmtId="0" fontId="5" fillId="0" borderId="0" xfId="0" applyFont="1" applyAlignment="1" applyProtection="1">
      <alignment horizontal="left"/>
      <protection locked="0"/>
    </xf>
    <xf numFmtId="0" fontId="11" fillId="0" borderId="0" xfId="0" applyFont="1" applyAlignment="1" applyProtection="1">
      <alignment horizontal="center" vertical="center"/>
      <protection locked="0"/>
    </xf>
    <xf numFmtId="0" fontId="26" fillId="0" borderId="0" xfId="0" applyFont="1" applyAlignment="1" applyProtection="1">
      <alignment vertical="center"/>
      <protection locked="0"/>
    </xf>
    <xf numFmtId="0" fontId="81" fillId="0" borderId="0" xfId="0" applyFont="1" applyAlignment="1">
      <alignment vertical="top" wrapText="1"/>
    </xf>
    <xf numFmtId="0" fontId="79" fillId="15" borderId="0" xfId="0" applyFont="1" applyFill="1" applyAlignment="1">
      <alignment vertical="center"/>
    </xf>
    <xf numFmtId="3" fontId="14" fillId="10" borderId="12" xfId="1" applyNumberFormat="1" applyFont="1" applyFill="1" applyBorder="1" applyAlignment="1" applyProtection="1">
      <alignment horizontal="center" vertical="center"/>
      <protection locked="0"/>
    </xf>
    <xf numFmtId="3" fontId="14" fillId="10" borderId="84" xfId="1" applyNumberFormat="1" applyFont="1" applyFill="1" applyBorder="1" applyAlignment="1" applyProtection="1">
      <alignment horizontal="center" vertical="center"/>
      <protection locked="0"/>
    </xf>
    <xf numFmtId="10" fontId="217" fillId="0" borderId="112" xfId="0" applyNumberFormat="1" applyFont="1" applyBorder="1" applyAlignment="1">
      <alignment horizontal="center" vertical="center"/>
    </xf>
    <xf numFmtId="10" fontId="217" fillId="0" borderId="106" xfId="0" applyNumberFormat="1" applyFont="1" applyBorder="1" applyAlignment="1">
      <alignment horizontal="center" vertical="center"/>
    </xf>
    <xf numFmtId="10" fontId="217" fillId="0" borderId="113" xfId="0" applyNumberFormat="1" applyFont="1" applyBorder="1" applyAlignment="1">
      <alignment horizontal="center" vertical="center"/>
    </xf>
    <xf numFmtId="0" fontId="28" fillId="0" borderId="0" xfId="0" applyFont="1" applyAlignment="1">
      <alignment vertical="center"/>
    </xf>
    <xf numFmtId="0" fontId="101" fillId="0" borderId="0" xfId="0" applyFont="1" applyAlignment="1">
      <alignment vertical="top" wrapText="1"/>
    </xf>
    <xf numFmtId="0" fontId="215" fillId="0" borderId="0" xfId="0" applyFont="1" applyAlignment="1">
      <alignment vertical="center"/>
    </xf>
    <xf numFmtId="0" fontId="36" fillId="0" borderId="14" xfId="0" applyFont="1" applyBorder="1"/>
    <xf numFmtId="0" fontId="28" fillId="0" borderId="0" xfId="0" applyFont="1" applyAlignment="1">
      <alignment horizontal="left" vertical="center"/>
    </xf>
    <xf numFmtId="0" fontId="14" fillId="0" borderId="14" xfId="0" applyFont="1" applyBorder="1" applyAlignment="1">
      <alignment horizontal="left" vertical="center"/>
    </xf>
    <xf numFmtId="0" fontId="94" fillId="0" borderId="9" xfId="0" applyFont="1" applyBorder="1" applyAlignment="1">
      <alignment vertical="top" wrapText="1"/>
    </xf>
    <xf numFmtId="0" fontId="102" fillId="0" borderId="0" xfId="0" applyFont="1" applyAlignment="1">
      <alignment horizontal="left"/>
    </xf>
    <xf numFmtId="0" fontId="20" fillId="0" borderId="15" xfId="13" applyFont="1" applyBorder="1" applyAlignment="1">
      <alignment horizontal="center"/>
    </xf>
    <xf numFmtId="3" fontId="86" fillId="10" borderId="15" xfId="13" applyNumberFormat="1" applyFont="1" applyFill="1" applyBorder="1" applyAlignment="1">
      <alignment horizontal="center"/>
    </xf>
    <xf numFmtId="0" fontId="144" fillId="0" borderId="27" xfId="13" applyFont="1" applyBorder="1" applyAlignment="1">
      <alignment vertical="center"/>
    </xf>
    <xf numFmtId="0" fontId="181" fillId="0" borderId="0" xfId="13" applyFont="1"/>
    <xf numFmtId="0" fontId="15" fillId="0" borderId="0" xfId="13" applyFont="1"/>
    <xf numFmtId="0" fontId="14" fillId="0" borderId="0" xfId="13" applyFont="1" applyAlignment="1">
      <alignment vertical="center"/>
    </xf>
    <xf numFmtId="0" fontId="112" fillId="0" borderId="15" xfId="13" applyFont="1" applyBorder="1" applyAlignment="1">
      <alignment horizontal="center"/>
    </xf>
    <xf numFmtId="176" fontId="112" fillId="0" borderId="15" xfId="13" applyNumberFormat="1" applyFont="1" applyBorder="1" applyAlignment="1">
      <alignment horizontal="center"/>
    </xf>
    <xf numFmtId="0" fontId="206" fillId="0" borderId="6" xfId="33" applyFont="1" applyBorder="1" applyAlignment="1">
      <alignment horizontal="center"/>
    </xf>
    <xf numFmtId="0" fontId="208" fillId="0" borderId="0" xfId="33" applyFont="1" applyAlignment="1">
      <alignment horizontal="center" wrapText="1"/>
    </xf>
    <xf numFmtId="0" fontId="206" fillId="28" borderId="12" xfId="33" applyFont="1" applyFill="1" applyBorder="1" applyAlignment="1">
      <alignment horizontal="center"/>
    </xf>
    <xf numFmtId="0" fontId="206" fillId="28" borderId="13" xfId="33" applyFont="1" applyFill="1" applyBorder="1" applyAlignment="1">
      <alignment horizontal="center"/>
    </xf>
    <xf numFmtId="0" fontId="10" fillId="0" borderId="50" xfId="13" applyFont="1" applyBorder="1"/>
    <xf numFmtId="0" fontId="10" fillId="0" borderId="55" xfId="13" applyFont="1" applyBorder="1" applyAlignment="1">
      <alignment horizontal="center"/>
    </xf>
    <xf numFmtId="0" fontId="144" fillId="0" borderId="55" xfId="13" applyFont="1" applyBorder="1" applyAlignment="1">
      <alignment horizontal="center"/>
    </xf>
    <xf numFmtId="0" fontId="9" fillId="0" borderId="0" xfId="13" applyFont="1" applyAlignment="1">
      <alignment horizontal="center" vertical="center"/>
    </xf>
    <xf numFmtId="0" fontId="6" fillId="0" borderId="0" xfId="13" applyFont="1" applyAlignment="1">
      <alignment horizontal="center" wrapText="1"/>
    </xf>
    <xf numFmtId="0" fontId="106" fillId="0" borderId="0" xfId="13" applyFont="1" applyAlignment="1">
      <alignment horizontal="center" wrapText="1"/>
    </xf>
    <xf numFmtId="182" fontId="212" fillId="13" borderId="94" xfId="33" applyNumberFormat="1" applyFont="1" applyFill="1" applyBorder="1" applyAlignment="1" applyProtection="1">
      <alignment horizontal="center" vertical="center"/>
      <protection locked="0"/>
    </xf>
    <xf numFmtId="182" fontId="212" fillId="13" borderId="12" xfId="33" applyNumberFormat="1" applyFont="1" applyFill="1" applyBorder="1" applyAlignment="1" applyProtection="1">
      <alignment horizontal="center" vertical="center"/>
      <protection locked="0"/>
    </xf>
    <xf numFmtId="183" fontId="212" fillId="13" borderId="12" xfId="33" applyNumberFormat="1" applyFont="1" applyFill="1" applyBorder="1" applyAlignment="1" applyProtection="1">
      <alignment horizontal="center" vertical="center"/>
      <protection locked="0"/>
    </xf>
    <xf numFmtId="182" fontId="212" fillId="13" borderId="95" xfId="33" applyNumberFormat="1" applyFont="1" applyFill="1" applyBorder="1" applyAlignment="1" applyProtection="1">
      <alignment horizontal="center" vertical="center"/>
      <protection locked="0"/>
    </xf>
    <xf numFmtId="182" fontId="212" fillId="13" borderId="13" xfId="33" applyNumberFormat="1" applyFont="1" applyFill="1" applyBorder="1" applyAlignment="1" applyProtection="1">
      <alignment horizontal="center" vertical="center"/>
      <protection locked="0"/>
    </xf>
    <xf numFmtId="183" fontId="212" fillId="13" borderId="13" xfId="33" applyNumberFormat="1" applyFont="1" applyFill="1" applyBorder="1" applyAlignment="1" applyProtection="1">
      <alignment horizontal="center" vertical="center"/>
      <protection locked="0"/>
    </xf>
    <xf numFmtId="0" fontId="92" fillId="0" borderId="0" xfId="0" applyFont="1" applyAlignment="1">
      <alignment vertical="center"/>
    </xf>
    <xf numFmtId="0" fontId="216" fillId="0" borderId="0" xfId="0" applyFont="1" applyAlignment="1">
      <alignment horizontal="center" vertical="center"/>
    </xf>
    <xf numFmtId="3" fontId="94" fillId="10" borderId="11" xfId="0" applyNumberFormat="1" applyFont="1" applyFill="1" applyBorder="1" applyAlignment="1" applyProtection="1">
      <alignment horizontal="center" vertical="center"/>
      <protection locked="0"/>
    </xf>
    <xf numFmtId="3" fontId="75" fillId="0" borderId="0" xfId="0" applyNumberFormat="1" applyFont="1" applyAlignment="1">
      <alignment vertical="top"/>
    </xf>
    <xf numFmtId="4" fontId="42" fillId="0" borderId="0" xfId="1" applyNumberFormat="1" applyFont="1" applyFill="1" applyBorder="1" applyAlignment="1" applyProtection="1">
      <alignment vertical="center"/>
    </xf>
    <xf numFmtId="0" fontId="14" fillId="0" borderId="0" xfId="0" applyFont="1" applyAlignment="1">
      <alignment horizontal="left" vertical="top"/>
    </xf>
    <xf numFmtId="3" fontId="217" fillId="0" borderId="108" xfId="0" applyNumberFormat="1" applyFont="1" applyBorder="1" applyAlignment="1">
      <alignment horizontal="center" vertical="center"/>
    </xf>
    <xf numFmtId="3" fontId="217" fillId="0" borderId="109" xfId="0" applyNumberFormat="1" applyFont="1" applyBorder="1" applyAlignment="1">
      <alignment horizontal="center" vertical="center"/>
    </xf>
    <xf numFmtId="3" fontId="218" fillId="0" borderId="110" xfId="0" applyNumberFormat="1" applyFont="1" applyBorder="1" applyAlignment="1">
      <alignment horizontal="center" vertical="center"/>
    </xf>
    <xf numFmtId="3" fontId="218" fillId="0" borderId="107" xfId="0" applyNumberFormat="1" applyFont="1" applyBorder="1" applyAlignment="1">
      <alignment horizontal="center" vertical="center"/>
    </xf>
    <xf numFmtId="3" fontId="218" fillId="0" borderId="111" xfId="0" applyNumberFormat="1" applyFont="1" applyBorder="1" applyAlignment="1">
      <alignment horizontal="center" vertical="center"/>
    </xf>
    <xf numFmtId="3" fontId="218" fillId="0" borderId="114" xfId="0" applyNumberFormat="1" applyFont="1" applyBorder="1" applyAlignment="1">
      <alignment horizontal="center" vertical="center"/>
    </xf>
    <xf numFmtId="0" fontId="62" fillId="0" borderId="0" xfId="0" applyFont="1" applyAlignment="1">
      <alignment vertical="top"/>
    </xf>
    <xf numFmtId="0" fontId="4" fillId="0" borderId="15" xfId="0" applyFont="1" applyBorder="1" applyAlignment="1">
      <alignment horizontal="left"/>
    </xf>
    <xf numFmtId="0" fontId="39" fillId="0" borderId="15" xfId="0" applyFont="1" applyBorder="1" applyAlignment="1">
      <alignment horizontal="left"/>
    </xf>
    <xf numFmtId="0" fontId="0" fillId="0" borderId="15" xfId="0" applyBorder="1" applyAlignment="1">
      <alignment horizontal="left"/>
    </xf>
    <xf numFmtId="0" fontId="0" fillId="0" borderId="59" xfId="0" applyBorder="1"/>
    <xf numFmtId="9" fontId="202" fillId="0" borderId="14" xfId="0" applyNumberFormat="1" applyFont="1" applyBorder="1" applyAlignment="1">
      <alignment horizontal="left"/>
    </xf>
    <xf numFmtId="0" fontId="0" fillId="0" borderId="14" xfId="0" applyBorder="1"/>
    <xf numFmtId="0" fontId="39" fillId="0" borderId="14" xfId="0" applyFont="1" applyBorder="1" applyAlignment="1">
      <alignment horizontal="left"/>
    </xf>
    <xf numFmtId="0" fontId="0" fillId="0" borderId="24" xfId="0" applyBorder="1"/>
    <xf numFmtId="10" fontId="15" fillId="13" borderId="13" xfId="0" applyNumberFormat="1" applyFont="1" applyFill="1" applyBorder="1" applyAlignment="1">
      <alignment horizontal="center" vertical="center"/>
    </xf>
    <xf numFmtId="0" fontId="15" fillId="0" borderId="9" xfId="0" applyFont="1" applyBorder="1" applyAlignment="1">
      <alignment vertical="top" wrapText="1"/>
    </xf>
    <xf numFmtId="0" fontId="5" fillId="0" borderId="9" xfId="0" applyFont="1" applyBorder="1" applyAlignment="1">
      <alignment vertical="top"/>
    </xf>
    <xf numFmtId="38" fontId="15" fillId="0" borderId="0" xfId="0" applyNumberFormat="1" applyFont="1" applyAlignment="1">
      <alignment horizontal="left" vertical="center"/>
    </xf>
    <xf numFmtId="38" fontId="15" fillId="0" borderId="0" xfId="0" applyNumberFormat="1" applyFont="1" applyAlignment="1">
      <alignment horizontal="center" vertical="center"/>
    </xf>
    <xf numFmtId="0" fontId="100" fillId="0" borderId="0" xfId="0" applyFont="1" applyAlignment="1">
      <alignment vertical="center"/>
    </xf>
    <xf numFmtId="175" fontId="14" fillId="10" borderId="88" xfId="0" applyNumberFormat="1" applyFont="1" applyFill="1" applyBorder="1" applyAlignment="1" applyProtection="1">
      <alignment horizontal="center" vertical="center"/>
      <protection locked="0"/>
    </xf>
    <xf numFmtId="0" fontId="46" fillId="0" borderId="0" xfId="0" applyFont="1"/>
    <xf numFmtId="0" fontId="80" fillId="0" borderId="0" xfId="0" applyFont="1" applyAlignment="1">
      <alignment vertical="center"/>
    </xf>
    <xf numFmtId="0" fontId="17" fillId="0" borderId="0" xfId="0" applyFont="1" applyAlignment="1">
      <alignment horizontal="right" vertical="center"/>
    </xf>
    <xf numFmtId="0" fontId="109" fillId="0" borderId="28" xfId="0" applyFont="1" applyBorder="1" applyAlignment="1">
      <alignment horizontal="center" vertical="center"/>
    </xf>
    <xf numFmtId="0" fontId="80"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0" fontId="50" fillId="0" borderId="0" xfId="10" applyNumberFormat="1" applyFont="1" applyFill="1" applyBorder="1" applyAlignment="1" applyProtection="1">
      <alignment horizontal="center" vertical="center"/>
    </xf>
    <xf numFmtId="38" fontId="4" fillId="0" borderId="0" xfId="13" applyNumberFormat="1" applyAlignment="1">
      <alignment horizontal="center" vertical="top"/>
    </xf>
    <xf numFmtId="1" fontId="4" fillId="10" borderId="0" xfId="13" applyNumberFormat="1" applyFill="1" applyAlignment="1">
      <alignment horizontal="right"/>
    </xf>
    <xf numFmtId="1" fontId="9" fillId="10" borderId="9" xfId="13" applyNumberFormat="1" applyFont="1" applyFill="1" applyBorder="1" applyAlignment="1">
      <alignment horizontal="left" vertical="top" wrapText="1"/>
    </xf>
    <xf numFmtId="180" fontId="9" fillId="10" borderId="9" xfId="13" applyNumberFormat="1" applyFont="1" applyFill="1" applyBorder="1" applyAlignment="1">
      <alignment horizontal="left" vertical="center"/>
    </xf>
    <xf numFmtId="182" fontId="212" fillId="10" borderId="94" xfId="33" applyNumberFormat="1" applyFont="1" applyFill="1" applyBorder="1" applyAlignment="1" applyProtection="1">
      <alignment horizontal="center" vertical="center"/>
      <protection locked="0"/>
    </xf>
    <xf numFmtId="182" fontId="212" fillId="10" borderId="12" xfId="33" applyNumberFormat="1" applyFont="1" applyFill="1" applyBorder="1" applyAlignment="1" applyProtection="1">
      <alignment horizontal="center" vertical="center"/>
      <protection locked="0"/>
    </xf>
    <xf numFmtId="183" fontId="212" fillId="10" borderId="12" xfId="33" applyNumberFormat="1" applyFont="1" applyFill="1" applyBorder="1" applyAlignment="1" applyProtection="1">
      <alignment horizontal="center" vertical="center"/>
      <protection locked="0"/>
    </xf>
    <xf numFmtId="182" fontId="212" fillId="10" borderId="95" xfId="33" applyNumberFormat="1" applyFont="1" applyFill="1" applyBorder="1" applyAlignment="1" applyProtection="1">
      <alignment horizontal="center" vertical="center"/>
      <protection locked="0"/>
    </xf>
    <xf numFmtId="182" fontId="212" fillId="10" borderId="13" xfId="33" applyNumberFormat="1" applyFont="1" applyFill="1" applyBorder="1" applyAlignment="1" applyProtection="1">
      <alignment horizontal="center" vertical="center"/>
      <protection locked="0"/>
    </xf>
    <xf numFmtId="183" fontId="212" fillId="10" borderId="13" xfId="33" applyNumberFormat="1" applyFont="1" applyFill="1" applyBorder="1" applyAlignment="1" applyProtection="1">
      <alignment horizontal="center" vertical="center"/>
      <protection locked="0"/>
    </xf>
    <xf numFmtId="0" fontId="206" fillId="0" borderId="7" xfId="33" applyFont="1" applyBorder="1" applyAlignment="1">
      <alignment horizontal="center" vertical="center"/>
    </xf>
    <xf numFmtId="0" fontId="206" fillId="0" borderId="8" xfId="33" applyFont="1" applyBorder="1" applyAlignment="1">
      <alignment horizontal="center" vertical="center"/>
    </xf>
    <xf numFmtId="3" fontId="4" fillId="10" borderId="40" xfId="13" applyNumberFormat="1" applyFill="1" applyBorder="1" applyAlignment="1">
      <alignment horizontal="center" vertical="center"/>
    </xf>
    <xf numFmtId="0" fontId="4" fillId="10" borderId="40" xfId="13" applyFill="1" applyBorder="1" applyAlignment="1">
      <alignment horizontal="center" vertical="center"/>
    </xf>
    <xf numFmtId="0" fontId="6" fillId="10" borderId="39" xfId="13" applyFont="1" applyFill="1" applyBorder="1" applyAlignment="1">
      <alignment horizontal="center" vertical="center" wrapText="1"/>
    </xf>
    <xf numFmtId="3" fontId="4" fillId="10" borderId="28" xfId="13" applyNumberFormat="1" applyFill="1" applyBorder="1" applyAlignment="1">
      <alignment horizontal="center" vertical="center"/>
    </xf>
    <xf numFmtId="0" fontId="4" fillId="10" borderId="28" xfId="13" applyFill="1" applyBorder="1" applyAlignment="1">
      <alignment horizontal="center" vertical="center"/>
    </xf>
    <xf numFmtId="0" fontId="6" fillId="10" borderId="37" xfId="13" applyFont="1" applyFill="1" applyBorder="1" applyAlignment="1">
      <alignment horizontal="center" vertical="center" wrapText="1"/>
    </xf>
    <xf numFmtId="3" fontId="4" fillId="10" borderId="38" xfId="13" applyNumberFormat="1" applyFill="1" applyBorder="1" applyAlignment="1">
      <alignment horizontal="center" vertical="center"/>
    </xf>
    <xf numFmtId="0" fontId="4" fillId="10" borderId="38" xfId="13" applyFill="1" applyBorder="1" applyAlignment="1">
      <alignment horizontal="center" vertical="center"/>
    </xf>
    <xf numFmtId="0" fontId="4" fillId="0" borderId="77" xfId="13" applyBorder="1" applyAlignment="1">
      <alignment vertical="center"/>
    </xf>
    <xf numFmtId="38" fontId="4" fillId="10" borderId="40" xfId="13" applyNumberFormat="1" applyFill="1" applyBorder="1" applyAlignment="1">
      <alignment horizontal="center" vertical="center"/>
    </xf>
    <xf numFmtId="38" fontId="4" fillId="10" borderId="39" xfId="13" applyNumberFormat="1" applyFill="1" applyBorder="1" applyAlignment="1">
      <alignment horizontal="center" vertical="center"/>
    </xf>
    <xf numFmtId="38" fontId="4" fillId="10" borderId="28" xfId="13" applyNumberFormat="1" applyFill="1" applyBorder="1" applyAlignment="1">
      <alignment horizontal="center" vertical="center"/>
    </xf>
    <xf numFmtId="38" fontId="4" fillId="10" borderId="18" xfId="13" applyNumberFormat="1" applyFill="1" applyBorder="1" applyAlignment="1">
      <alignment horizontal="center" vertical="center"/>
    </xf>
    <xf numFmtId="3" fontId="87" fillId="0" borderId="0" xfId="0" applyNumberFormat="1" applyFont="1" applyAlignment="1">
      <alignment horizontal="center" vertical="center" wrapText="1"/>
    </xf>
    <xf numFmtId="0" fontId="87" fillId="0" borderId="0" xfId="0" applyFont="1" applyAlignment="1">
      <alignment horizontal="justify" vertical="center" wrapText="1"/>
    </xf>
    <xf numFmtId="0" fontId="0" fillId="0" borderId="0" xfId="0" applyAlignment="1" applyProtection="1">
      <alignment vertical="center"/>
      <protection locked="0"/>
    </xf>
    <xf numFmtId="3" fontId="5" fillId="5" borderId="13" xfId="1" applyNumberFormat="1" applyFont="1" applyFill="1" applyBorder="1" applyAlignment="1" applyProtection="1">
      <alignment horizontal="center" vertical="center"/>
      <protection locked="0"/>
    </xf>
    <xf numFmtId="1" fontId="87" fillId="0" borderId="13" xfId="0" applyNumberFormat="1" applyFont="1" applyBorder="1" applyAlignment="1">
      <alignment horizontal="center" vertical="center"/>
    </xf>
    <xf numFmtId="0" fontId="173" fillId="0" borderId="0" xfId="0" applyFont="1" applyAlignment="1">
      <alignment horizontal="center" vertical="top" wrapText="1"/>
    </xf>
    <xf numFmtId="0" fontId="11" fillId="0" borderId="0" xfId="0" quotePrefix="1" applyFont="1" applyAlignment="1">
      <alignment horizontal="center" vertical="center" wrapText="1"/>
    </xf>
    <xf numFmtId="0" fontId="94" fillId="0" borderId="0" xfId="0" applyFont="1" applyAlignment="1">
      <alignment vertical="center" wrapText="1"/>
    </xf>
    <xf numFmtId="0" fontId="86" fillId="0" borderId="0" xfId="0" applyFont="1" applyAlignment="1">
      <alignment horizontal="left" vertical="center"/>
    </xf>
    <xf numFmtId="0" fontId="39" fillId="5" borderId="13" xfId="0" applyFont="1" applyFill="1" applyBorder="1" applyAlignment="1" applyProtection="1">
      <alignment horizontal="center" vertical="center"/>
      <protection locked="0"/>
    </xf>
    <xf numFmtId="0" fontId="20" fillId="0" borderId="0" xfId="0" quotePrefix="1" applyFont="1" applyAlignment="1">
      <alignment vertical="top"/>
    </xf>
    <xf numFmtId="0" fontId="11" fillId="0" borderId="0" xfId="0" quotePrefix="1" applyFont="1" applyAlignment="1">
      <alignment horizontal="left" vertical="top"/>
    </xf>
    <xf numFmtId="0" fontId="100" fillId="0" borderId="28" xfId="0" applyFont="1" applyBorder="1" applyAlignment="1">
      <alignment horizontal="center" vertical="center"/>
    </xf>
    <xf numFmtId="0" fontId="39" fillId="0" borderId="21" xfId="0" applyFont="1" applyBorder="1" applyAlignment="1">
      <alignment horizontal="left" vertical="top" wrapText="1"/>
    </xf>
    <xf numFmtId="181" fontId="9" fillId="0" borderId="78" xfId="0" applyNumberFormat="1" applyFont="1" applyBorder="1" applyAlignment="1">
      <alignment horizontal="center" vertical="center"/>
    </xf>
    <xf numFmtId="181" fontId="9" fillId="0" borderId="11" xfId="0" applyNumberFormat="1" applyFont="1" applyBorder="1" applyAlignment="1">
      <alignment horizontal="center" vertical="center"/>
    </xf>
    <xf numFmtId="0" fontId="9" fillId="10" borderId="11" xfId="0" applyFont="1" applyFill="1" applyBorder="1" applyAlignment="1" applyProtection="1">
      <alignment horizontal="center" vertical="center"/>
      <protection locked="0"/>
    </xf>
    <xf numFmtId="0" fontId="9" fillId="13" borderId="11" xfId="0" applyFont="1" applyFill="1" applyBorder="1" applyAlignment="1">
      <alignment horizontal="center" vertical="center"/>
    </xf>
    <xf numFmtId="181" fontId="25" fillId="0" borderId="78" xfId="0" applyNumberFormat="1" applyFont="1" applyBorder="1" applyAlignment="1">
      <alignment horizontal="center" vertical="center"/>
    </xf>
    <xf numFmtId="0" fontId="26" fillId="0" borderId="0" xfId="0" applyFont="1" applyAlignment="1">
      <alignment horizontal="left" vertical="center"/>
    </xf>
    <xf numFmtId="0" fontId="38" fillId="0" borderId="0" xfId="0" applyFont="1" applyAlignment="1">
      <alignment vertical="top"/>
    </xf>
    <xf numFmtId="0" fontId="98" fillId="0" borderId="0" xfId="0" applyFont="1" applyAlignment="1">
      <alignment horizontal="center" vertical="center"/>
    </xf>
    <xf numFmtId="0" fontId="80" fillId="0" borderId="0" xfId="0" applyFont="1" applyAlignment="1">
      <alignment horizontal="left" vertical="center"/>
    </xf>
    <xf numFmtId="38" fontId="15" fillId="0" borderId="61" xfId="0" applyNumberFormat="1" applyFont="1" applyBorder="1" applyAlignment="1">
      <alignment horizontal="center" vertical="top" wrapText="1"/>
    </xf>
    <xf numFmtId="0" fontId="17" fillId="0" borderId="0" xfId="0" applyFont="1" applyAlignment="1">
      <alignment horizontal="left"/>
    </xf>
    <xf numFmtId="38" fontId="9" fillId="5" borderId="73" xfId="0" applyNumberFormat="1" applyFont="1" applyFill="1" applyBorder="1" applyAlignment="1" applyProtection="1">
      <alignment horizontal="center" vertical="center"/>
      <protection locked="0"/>
    </xf>
    <xf numFmtId="38" fontId="9" fillId="13" borderId="89" xfId="0" applyNumberFormat="1" applyFont="1" applyFill="1" applyBorder="1" applyAlignment="1">
      <alignment horizontal="center" vertical="center"/>
    </xf>
    <xf numFmtId="0" fontId="106" fillId="0" borderId="0" xfId="0" applyFont="1" applyAlignment="1">
      <alignment vertical="center" wrapText="1"/>
    </xf>
    <xf numFmtId="0" fontId="131" fillId="0" borderId="0" xfId="0" applyFont="1" applyAlignment="1">
      <alignment vertical="center" wrapText="1"/>
    </xf>
    <xf numFmtId="0" fontId="97" fillId="0" borderId="0" xfId="0" applyFont="1" applyAlignment="1">
      <alignment vertical="center" wrapText="1"/>
    </xf>
    <xf numFmtId="0" fontId="87" fillId="0" borderId="0" xfId="0" applyFont="1" applyAlignment="1">
      <alignment horizontal="center" vertical="top"/>
    </xf>
    <xf numFmtId="49" fontId="15" fillId="0" borderId="0" xfId="0" quotePrefix="1" applyNumberFormat="1" applyFont="1" applyAlignment="1">
      <alignment horizontal="center" vertical="top"/>
    </xf>
    <xf numFmtId="0" fontId="223" fillId="0" borderId="0" xfId="0" applyFont="1" applyAlignment="1">
      <alignment vertical="center"/>
    </xf>
    <xf numFmtId="38" fontId="224" fillId="0" borderId="0" xfId="0" applyNumberFormat="1" applyFont="1" applyAlignment="1">
      <alignment horizontal="center" vertical="center"/>
    </xf>
    <xf numFmtId="38" fontId="11" fillId="5" borderId="13" xfId="0" applyNumberFormat="1" applyFont="1" applyFill="1" applyBorder="1" applyAlignment="1" applyProtection="1">
      <alignment horizontal="center" vertical="center"/>
      <protection locked="0"/>
    </xf>
    <xf numFmtId="0" fontId="204" fillId="0" borderId="0" xfId="0" applyFont="1"/>
    <xf numFmtId="38" fontId="11" fillId="13" borderId="13" xfId="0" applyNumberFormat="1" applyFont="1" applyFill="1" applyBorder="1" applyAlignment="1">
      <alignment horizontal="center" vertical="center"/>
    </xf>
    <xf numFmtId="0" fontId="5" fillId="0" borderId="4" xfId="0" applyFont="1" applyBorder="1" applyAlignment="1">
      <alignment vertical="top" wrapText="1"/>
    </xf>
    <xf numFmtId="0" fontId="5" fillId="5" borderId="13" xfId="0" applyFont="1" applyFill="1" applyBorder="1" applyAlignment="1" applyProtection="1">
      <alignment horizontal="center" vertical="center"/>
      <protection locked="0"/>
    </xf>
    <xf numFmtId="0" fontId="214" fillId="0" borderId="0" xfId="0" applyFont="1" applyAlignment="1">
      <alignment vertical="center" wrapText="1"/>
    </xf>
    <xf numFmtId="0" fontId="81" fillId="0" borderId="0" xfId="0" applyFont="1" applyAlignment="1">
      <alignment vertical="top"/>
    </xf>
    <xf numFmtId="0" fontId="75" fillId="0" borderId="28" xfId="0" applyFont="1" applyBorder="1" applyAlignment="1">
      <alignment vertical="center"/>
    </xf>
    <xf numFmtId="0" fontId="14" fillId="0" borderId="14" xfId="0" applyFont="1" applyBorder="1" applyAlignment="1" applyProtection="1">
      <alignment vertical="top" wrapText="1"/>
      <protection locked="0"/>
    </xf>
    <xf numFmtId="0" fontId="38" fillId="0" borderId="0" xfId="0" applyFont="1" applyAlignment="1">
      <alignment wrapText="1"/>
    </xf>
    <xf numFmtId="0" fontId="14" fillId="0" borderId="0" xfId="0" applyFont="1" applyAlignment="1">
      <alignment vertical="center" wrapText="1"/>
    </xf>
    <xf numFmtId="0" fontId="89" fillId="0" borderId="0" xfId="0" applyFont="1" applyAlignment="1">
      <alignment wrapText="1"/>
    </xf>
    <xf numFmtId="0" fontId="131" fillId="0" borderId="0" xfId="0" applyFont="1" applyAlignment="1">
      <alignment horizontal="right" vertical="center"/>
    </xf>
    <xf numFmtId="38" fontId="11" fillId="5" borderId="12" xfId="0" applyNumberFormat="1" applyFont="1" applyFill="1" applyBorder="1" applyAlignment="1" applyProtection="1">
      <alignment horizontal="center" vertical="top"/>
      <protection locked="0"/>
    </xf>
    <xf numFmtId="38" fontId="11" fillId="13" borderId="12" xfId="0" applyNumberFormat="1" applyFont="1" applyFill="1" applyBorder="1" applyAlignment="1">
      <alignment horizontal="center" vertical="top"/>
    </xf>
    <xf numFmtId="0" fontId="111" fillId="0" borderId="0" xfId="0" applyFont="1" applyAlignment="1">
      <alignment horizontal="right" vertical="center"/>
    </xf>
    <xf numFmtId="38" fontId="11" fillId="0" borderId="11" xfId="0" applyNumberFormat="1" applyFont="1" applyBorder="1" applyAlignment="1">
      <alignment horizontal="center" vertical="center"/>
    </xf>
    <xf numFmtId="0" fontId="14" fillId="0" borderId="0" xfId="0" applyFont="1" applyAlignment="1">
      <alignment horizontal="right" vertical="center" wrapText="1"/>
    </xf>
    <xf numFmtId="0" fontId="225" fillId="0" borderId="0" xfId="0" applyFont="1" applyAlignment="1">
      <alignment horizontal="right"/>
    </xf>
    <xf numFmtId="38" fontId="9" fillId="0" borderId="11" xfId="0" applyNumberFormat="1" applyFont="1" applyBorder="1" applyAlignment="1" applyProtection="1">
      <alignment horizontal="center" vertical="center"/>
      <protection locked="0"/>
    </xf>
    <xf numFmtId="0" fontId="38" fillId="0" borderId="0" xfId="0" applyFont="1" applyAlignment="1">
      <alignment horizontal="left"/>
    </xf>
    <xf numFmtId="0" fontId="59" fillId="0" borderId="33" xfId="0" applyFont="1" applyBorder="1" applyAlignment="1">
      <alignment vertical="top"/>
    </xf>
    <xf numFmtId="0" fontId="59" fillId="0" borderId="29" xfId="0" applyFont="1" applyBorder="1" applyAlignment="1">
      <alignment vertical="center"/>
    </xf>
    <xf numFmtId="0" fontId="42" fillId="0" borderId="14" xfId="0" applyFont="1" applyBorder="1" applyAlignment="1">
      <alignment vertical="center"/>
    </xf>
    <xf numFmtId="0" fontId="48" fillId="0" borderId="15" xfId="0" applyFont="1" applyBorder="1" applyAlignment="1">
      <alignment vertical="center"/>
    </xf>
    <xf numFmtId="0" fontId="42" fillId="0" borderId="15" xfId="0" applyFont="1" applyBorder="1" applyAlignment="1">
      <alignment vertical="center"/>
    </xf>
    <xf numFmtId="0" fontId="42" fillId="0" borderId="43" xfId="0" applyFont="1" applyBorder="1" applyAlignment="1">
      <alignment vertical="center"/>
    </xf>
    <xf numFmtId="0" fontId="60" fillId="0" borderId="33" xfId="0" applyFont="1" applyBorder="1" applyAlignment="1">
      <alignment vertical="top"/>
    </xf>
    <xf numFmtId="0" fontId="38" fillId="20" borderId="0" xfId="0" applyFont="1" applyFill="1"/>
    <xf numFmtId="0" fontId="38" fillId="20" borderId="0" xfId="0" applyFont="1" applyFill="1" applyAlignment="1">
      <alignment vertical="center"/>
    </xf>
    <xf numFmtId="0" fontId="41" fillId="20" borderId="0" xfId="0" applyFont="1" applyFill="1" applyAlignment="1">
      <alignment vertical="center"/>
    </xf>
    <xf numFmtId="0" fontId="37" fillId="20" borderId="0" xfId="0" applyFont="1" applyFill="1" applyAlignment="1">
      <alignment vertical="center" wrapText="1"/>
    </xf>
    <xf numFmtId="0" fontId="50" fillId="0" borderId="0" xfId="0" quotePrefix="1" applyFont="1" applyAlignment="1">
      <alignment vertical="center"/>
    </xf>
    <xf numFmtId="4" fontId="59" fillId="0" borderId="0" xfId="1" applyNumberFormat="1" applyFont="1" applyFill="1" applyBorder="1" applyAlignment="1" applyProtection="1">
      <alignment vertical="center"/>
    </xf>
    <xf numFmtId="0" fontId="98" fillId="0" borderId="0" xfId="0" applyFont="1" applyAlignment="1">
      <alignment horizontal="center"/>
    </xf>
    <xf numFmtId="0" fontId="39" fillId="5" borderId="12" xfId="0" applyFont="1" applyFill="1" applyBorder="1" applyAlignment="1" applyProtection="1">
      <alignment horizontal="center" vertical="center"/>
      <protection locked="0"/>
    </xf>
    <xf numFmtId="0" fontId="39" fillId="5" borderId="84" xfId="0" applyFont="1" applyFill="1" applyBorder="1" applyAlignment="1" applyProtection="1">
      <alignment horizontal="center" vertical="center"/>
      <protection locked="0"/>
    </xf>
    <xf numFmtId="0" fontId="39" fillId="5" borderId="17" xfId="0" applyFont="1" applyFill="1" applyBorder="1" applyAlignment="1" applyProtection="1">
      <alignment horizontal="center" vertical="center"/>
      <protection locked="0"/>
    </xf>
    <xf numFmtId="0" fontId="4" fillId="0" borderId="0" xfId="0" applyFont="1" applyAlignment="1">
      <alignment vertical="top" wrapText="1"/>
    </xf>
    <xf numFmtId="38" fontId="9" fillId="0" borderId="66" xfId="1" applyNumberFormat="1" applyFont="1" applyFill="1" applyBorder="1" applyAlignment="1" applyProtection="1">
      <alignment horizontal="right" vertical="center"/>
    </xf>
    <xf numFmtId="38" fontId="22" fillId="0" borderId="65" xfId="1" applyNumberFormat="1" applyFont="1" applyFill="1" applyBorder="1" applyAlignment="1" applyProtection="1">
      <alignment horizontal="right" vertical="center"/>
    </xf>
    <xf numFmtId="38" fontId="22" fillId="0" borderId="58" xfId="1" applyNumberFormat="1" applyFont="1" applyFill="1" applyBorder="1" applyAlignment="1" applyProtection="1">
      <alignment horizontal="right" vertical="center"/>
    </xf>
    <xf numFmtId="38" fontId="22" fillId="0" borderId="64" xfId="1" applyNumberFormat="1" applyFont="1" applyFill="1" applyBorder="1" applyAlignment="1" applyProtection="1">
      <alignment horizontal="right" vertical="center"/>
    </xf>
    <xf numFmtId="38" fontId="20" fillId="0" borderId="17" xfId="1" applyNumberFormat="1" applyFont="1" applyFill="1" applyBorder="1" applyAlignment="1" applyProtection="1">
      <alignment horizontal="right" vertical="center"/>
    </xf>
    <xf numFmtId="38" fontId="22" fillId="0" borderId="86" xfId="1" applyNumberFormat="1" applyFont="1" applyFill="1" applyBorder="1" applyAlignment="1" applyProtection="1">
      <alignment horizontal="right" vertical="center"/>
    </xf>
    <xf numFmtId="38" fontId="22" fillId="0" borderId="77" xfId="1" applyNumberFormat="1" applyFont="1" applyFill="1" applyBorder="1" applyAlignment="1" applyProtection="1">
      <alignment horizontal="right" vertical="center"/>
    </xf>
    <xf numFmtId="38" fontId="22" fillId="0" borderId="69" xfId="1" applyNumberFormat="1" applyFont="1" applyFill="1" applyBorder="1" applyAlignment="1" applyProtection="1">
      <alignment horizontal="right" vertical="center"/>
    </xf>
    <xf numFmtId="38" fontId="20" fillId="0" borderId="8" xfId="1" applyNumberFormat="1" applyFont="1" applyFill="1" applyBorder="1" applyAlignment="1" applyProtection="1">
      <alignment horizontal="right" vertical="center"/>
    </xf>
    <xf numFmtId="38" fontId="22" fillId="0" borderId="85" xfId="1" applyNumberFormat="1" applyFont="1" applyFill="1" applyBorder="1" applyAlignment="1" applyProtection="1">
      <alignment horizontal="right" vertical="center"/>
    </xf>
    <xf numFmtId="38" fontId="22" fillId="0" borderId="79" xfId="1" applyNumberFormat="1" applyFont="1" applyFill="1" applyBorder="1" applyAlignment="1" applyProtection="1">
      <alignment horizontal="right" vertical="center"/>
    </xf>
    <xf numFmtId="38" fontId="22" fillId="0" borderId="68" xfId="1" applyNumberFormat="1" applyFont="1" applyFill="1" applyBorder="1" applyAlignment="1" applyProtection="1">
      <alignment horizontal="right" vertical="center"/>
    </xf>
    <xf numFmtId="38" fontId="22" fillId="0" borderId="7" xfId="1" applyNumberFormat="1" applyFont="1" applyFill="1" applyBorder="1" applyAlignment="1" applyProtection="1">
      <alignment horizontal="right" vertical="center"/>
    </xf>
    <xf numFmtId="38" fontId="22" fillId="0" borderId="17" xfId="1" applyNumberFormat="1" applyFont="1" applyFill="1" applyBorder="1" applyAlignment="1" applyProtection="1">
      <alignment horizontal="right" vertical="center"/>
    </xf>
    <xf numFmtId="0" fontId="82" fillId="20" borderId="0" xfId="0" applyFont="1" applyFill="1" applyAlignment="1">
      <alignment horizontal="left" vertical="center"/>
    </xf>
    <xf numFmtId="0" fontId="98" fillId="20" borderId="0" xfId="0" applyFont="1" applyFill="1" applyAlignment="1">
      <alignment horizontal="left" vertical="center"/>
    </xf>
    <xf numFmtId="0" fontId="98" fillId="20" borderId="0" xfId="0" applyFont="1" applyFill="1" applyAlignment="1">
      <alignment horizontal="center" vertical="center"/>
    </xf>
    <xf numFmtId="0" fontId="98" fillId="20" borderId="0" xfId="0" applyFont="1" applyFill="1" applyAlignment="1">
      <alignment horizontal="center"/>
    </xf>
    <xf numFmtId="0" fontId="58" fillId="0" borderId="0" xfId="0" applyFont="1" applyAlignment="1">
      <alignment horizontal="left" vertical="center"/>
    </xf>
    <xf numFmtId="0" fontId="59" fillId="0" borderId="0" xfId="0" applyFont="1" applyAlignment="1">
      <alignment vertical="center"/>
    </xf>
    <xf numFmtId="4" fontId="42" fillId="0" borderId="0" xfId="1" applyNumberFormat="1" applyFont="1" applyFill="1" applyBorder="1" applyAlignment="1" applyProtection="1">
      <alignment horizontal="center" vertical="center"/>
    </xf>
    <xf numFmtId="0" fontId="59" fillId="0" borderId="0" xfId="0" applyFont="1" applyAlignment="1">
      <alignment horizontal="center" vertical="center"/>
    </xf>
    <xf numFmtId="4" fontId="59" fillId="0" borderId="43" xfId="0" applyNumberFormat="1" applyFont="1" applyBorder="1" applyAlignment="1">
      <alignment vertical="center"/>
    </xf>
    <xf numFmtId="0" fontId="195" fillId="0" borderId="32" xfId="0" applyFont="1" applyBorder="1" applyAlignment="1">
      <alignment horizontal="left" vertical="center"/>
    </xf>
    <xf numFmtId="0" fontId="84" fillId="0" borderId="0" xfId="0" applyFont="1" applyAlignment="1">
      <alignment horizontal="left" vertical="center"/>
    </xf>
    <xf numFmtId="3" fontId="5" fillId="0" borderId="19" xfId="0" applyNumberFormat="1" applyFont="1" applyBorder="1" applyAlignment="1">
      <alignment horizontal="right" vertical="top"/>
    </xf>
    <xf numFmtId="0" fontId="15" fillId="0" borderId="122" xfId="0" applyFont="1" applyBorder="1" applyAlignment="1">
      <alignment horizontal="left" vertical="center"/>
    </xf>
    <xf numFmtId="3" fontId="5" fillId="0" borderId="61" xfId="0" applyNumberFormat="1" applyFont="1" applyBorder="1" applyAlignment="1">
      <alignment vertical="top"/>
    </xf>
    <xf numFmtId="0" fontId="88" fillId="20" borderId="0" xfId="0" applyFont="1" applyFill="1"/>
    <xf numFmtId="9" fontId="17" fillId="0" borderId="9" xfId="0" applyNumberFormat="1" applyFont="1" applyBorder="1" applyAlignment="1">
      <alignment horizontal="center" vertical="center" wrapText="1"/>
    </xf>
    <xf numFmtId="0" fontId="39" fillId="0" borderId="15" xfId="0" applyFont="1" applyBorder="1" applyAlignment="1">
      <alignment vertical="center"/>
    </xf>
    <xf numFmtId="0" fontId="39" fillId="0" borderId="15" xfId="0" applyFont="1" applyBorder="1"/>
    <xf numFmtId="0" fontId="5" fillId="0" borderId="15" xfId="0" applyFont="1" applyBorder="1"/>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39" fillId="0" borderId="16" xfId="0" applyFont="1" applyBorder="1" applyAlignment="1">
      <alignment vertical="center"/>
    </xf>
    <xf numFmtId="0" fontId="39" fillId="0" borderId="16" xfId="0" applyFont="1" applyBorder="1"/>
    <xf numFmtId="0" fontId="5" fillId="0" borderId="16" xfId="0" applyFont="1" applyBorder="1"/>
    <xf numFmtId="0" fontId="5" fillId="0" borderId="39" xfId="0" applyFont="1" applyBorder="1" applyAlignment="1">
      <alignment horizontal="center" vertical="center" wrapText="1"/>
    </xf>
    <xf numFmtId="0" fontId="5" fillId="0" borderId="19" xfId="0" applyFont="1" applyBorder="1" applyAlignment="1">
      <alignment horizontal="center" vertical="center" wrapText="1"/>
    </xf>
    <xf numFmtId="0" fontId="39" fillId="0" borderId="42" xfId="0" applyFont="1" applyBorder="1" applyAlignment="1">
      <alignment vertical="center"/>
    </xf>
    <xf numFmtId="0" fontId="39" fillId="0" borderId="42" xfId="0" applyFont="1" applyBorder="1"/>
    <xf numFmtId="0" fontId="5" fillId="0" borderId="42" xfId="0" applyFont="1" applyBorder="1"/>
    <xf numFmtId="0" fontId="5" fillId="0" borderId="37" xfId="0" applyFont="1" applyBorder="1" applyAlignment="1">
      <alignment horizontal="center" vertical="center" wrapText="1"/>
    </xf>
    <xf numFmtId="0" fontId="5" fillId="0" borderId="18" xfId="0" applyFont="1" applyBorder="1" applyAlignment="1">
      <alignment horizontal="center" vertical="center" wrapText="1"/>
    </xf>
    <xf numFmtId="0" fontId="98" fillId="20" borderId="0" xfId="0" applyFont="1" applyFill="1"/>
    <xf numFmtId="0" fontId="79" fillId="0" borderId="0" xfId="0" applyFont="1" applyAlignment="1">
      <alignment vertical="center"/>
    </xf>
    <xf numFmtId="0" fontId="88" fillId="0" borderId="0" xfId="0" applyFont="1" applyAlignment="1">
      <alignment horizontal="center"/>
    </xf>
    <xf numFmtId="3" fontId="79" fillId="0" borderId="0" xfId="0" applyNumberFormat="1" applyFont="1" applyAlignment="1">
      <alignment horizontal="center"/>
    </xf>
    <xf numFmtId="39" fontId="14" fillId="5" borderId="12" xfId="1" applyNumberFormat="1" applyFont="1" applyFill="1" applyBorder="1" applyAlignment="1" applyProtection="1">
      <alignment horizontal="center" vertical="center"/>
      <protection locked="0"/>
    </xf>
    <xf numFmtId="39" fontId="14" fillId="5" borderId="84" xfId="1" applyNumberFormat="1" applyFont="1" applyFill="1" applyBorder="1" applyAlignment="1" applyProtection="1">
      <alignment horizontal="center" vertical="center"/>
      <protection locked="0"/>
    </xf>
    <xf numFmtId="39" fontId="14" fillId="5" borderId="17" xfId="1" applyNumberFormat="1" applyFont="1" applyFill="1" applyBorder="1" applyAlignment="1" applyProtection="1">
      <alignment horizontal="center" vertical="center"/>
      <protection locked="0"/>
    </xf>
    <xf numFmtId="39" fontId="14" fillId="5" borderId="13" xfId="1" applyNumberFormat="1" applyFont="1" applyFill="1" applyBorder="1" applyAlignment="1" applyProtection="1">
      <alignment horizontal="center" vertical="center"/>
      <protection locked="0"/>
    </xf>
    <xf numFmtId="4" fontId="81" fillId="0" borderId="0" xfId="0" applyNumberFormat="1" applyFont="1" applyAlignment="1">
      <alignment horizontal="left" vertical="center"/>
    </xf>
    <xf numFmtId="10" fontId="42" fillId="0" borderId="0" xfId="0" applyNumberFormat="1" applyFont="1" applyAlignment="1">
      <alignment horizontal="center" vertical="center"/>
    </xf>
    <xf numFmtId="0" fontId="15" fillId="5" borderId="66" xfId="0" applyFont="1" applyFill="1" applyBorder="1" applyAlignment="1" applyProtection="1">
      <alignment horizontal="center" vertical="center"/>
      <protection locked="0"/>
    </xf>
    <xf numFmtId="0" fontId="11" fillId="5" borderId="17" xfId="0" applyFont="1" applyFill="1" applyBorder="1" applyAlignment="1" applyProtection="1">
      <alignment horizontal="center" vertical="center"/>
      <protection locked="0"/>
    </xf>
    <xf numFmtId="0" fontId="14" fillId="13" borderId="17" xfId="0" applyFont="1" applyFill="1" applyBorder="1" applyAlignment="1">
      <alignment horizontal="center" vertical="center"/>
    </xf>
    <xf numFmtId="181" fontId="11" fillId="5" borderId="12" xfId="0" applyNumberFormat="1" applyFont="1" applyFill="1" applyBorder="1" applyAlignment="1" applyProtection="1">
      <alignment horizontal="center" vertical="center"/>
      <protection locked="0"/>
    </xf>
    <xf numFmtId="181" fontId="11" fillId="13" borderId="12" xfId="0" applyNumberFormat="1" applyFont="1" applyFill="1" applyBorder="1" applyAlignment="1">
      <alignment horizontal="center" vertical="center"/>
    </xf>
    <xf numFmtId="181" fontId="11" fillId="5" borderId="13" xfId="0" applyNumberFormat="1" applyFont="1" applyFill="1" applyBorder="1" applyAlignment="1" applyProtection="1">
      <alignment horizontal="center" vertical="center"/>
      <protection locked="0"/>
    </xf>
    <xf numFmtId="181" fontId="11" fillId="13" borderId="13" xfId="0" applyNumberFormat="1" applyFont="1" applyFill="1" applyBorder="1" applyAlignment="1">
      <alignment horizontal="center" vertical="center"/>
    </xf>
    <xf numFmtId="0" fontId="17" fillId="0" borderId="0" xfId="0" applyFont="1"/>
    <xf numFmtId="181" fontId="15" fillId="0" borderId="30" xfId="0" applyNumberFormat="1" applyFont="1" applyBorder="1" applyAlignment="1">
      <alignment horizontal="center" vertical="top" wrapText="1"/>
    </xf>
    <xf numFmtId="0" fontId="15" fillId="5" borderId="22" xfId="0" applyFont="1" applyFill="1" applyBorder="1" applyAlignment="1" applyProtection="1">
      <alignment horizontal="center" vertical="center"/>
      <protection locked="0"/>
    </xf>
    <xf numFmtId="0" fontId="5" fillId="0" borderId="125" xfId="0" applyFont="1" applyBorder="1" applyAlignment="1">
      <alignment horizontal="center" vertical="center" wrapText="1"/>
    </xf>
    <xf numFmtId="38" fontId="5" fillId="0" borderId="39" xfId="0" applyNumberFormat="1" applyFont="1" applyBorder="1" applyAlignment="1">
      <alignment horizontal="center" vertical="center" wrapText="1"/>
    </xf>
    <xf numFmtId="181" fontId="5" fillId="0" borderId="39" xfId="0" applyNumberFormat="1" applyFont="1" applyBorder="1" applyAlignment="1">
      <alignment horizontal="center" vertical="center" wrapText="1"/>
    </xf>
    <xf numFmtId="0" fontId="5" fillId="27" borderId="39" xfId="0" applyFont="1" applyFill="1" applyBorder="1" applyAlignment="1">
      <alignment horizontal="center" vertical="center" wrapText="1"/>
    </xf>
    <xf numFmtId="38" fontId="5" fillId="0" borderId="125" xfId="0" applyNumberFormat="1" applyFont="1" applyBorder="1" applyAlignment="1">
      <alignment horizontal="center" vertical="center" wrapText="1"/>
    </xf>
    <xf numFmtId="181" fontId="5" fillId="0" borderId="125" xfId="0" applyNumberFormat="1" applyFont="1" applyBorder="1" applyAlignment="1">
      <alignment horizontal="center" vertical="center" wrapText="1"/>
    </xf>
    <xf numFmtId="38" fontId="5" fillId="27" borderId="39" xfId="0" applyNumberFormat="1" applyFont="1" applyFill="1" applyBorder="1" applyAlignment="1">
      <alignment horizontal="center" vertical="center" wrapText="1"/>
    </xf>
    <xf numFmtId="0" fontId="5" fillId="27" borderId="19" xfId="0" applyFont="1" applyFill="1" applyBorder="1" applyAlignment="1">
      <alignment horizontal="center" vertical="center" wrapText="1"/>
    </xf>
    <xf numFmtId="38" fontId="5" fillId="0" borderId="19" xfId="0" applyNumberFormat="1" applyFont="1" applyBorder="1" applyAlignment="1">
      <alignment horizontal="center" vertical="center" wrapText="1"/>
    </xf>
    <xf numFmtId="181" fontId="5" fillId="0" borderId="19" xfId="0" applyNumberFormat="1" applyFont="1" applyBorder="1" applyAlignment="1">
      <alignment horizontal="center" vertical="center" wrapText="1"/>
    </xf>
    <xf numFmtId="38" fontId="5" fillId="0" borderId="65" xfId="0" applyNumberFormat="1" applyFont="1" applyBorder="1" applyAlignment="1">
      <alignment horizontal="center" vertical="center" wrapText="1"/>
    </xf>
    <xf numFmtId="186" fontId="11" fillId="0" borderId="0" xfId="0" applyNumberFormat="1" applyFont="1" applyAlignment="1">
      <alignment horizontal="center" vertical="center"/>
    </xf>
    <xf numFmtId="38" fontId="5" fillId="0" borderId="18" xfId="0" applyNumberFormat="1" applyFont="1" applyBorder="1" applyAlignment="1">
      <alignment horizontal="center" vertical="center" wrapText="1"/>
    </xf>
    <xf numFmtId="0" fontId="5" fillId="0" borderId="126" xfId="0" applyFont="1" applyBorder="1" applyAlignment="1">
      <alignment horizontal="center" vertical="center" wrapText="1"/>
    </xf>
    <xf numFmtId="0" fontId="81" fillId="0" borderId="55" xfId="0" applyFont="1" applyBorder="1" applyAlignment="1">
      <alignment horizontal="right" vertical="center"/>
    </xf>
    <xf numFmtId="0" fontId="109" fillId="0" borderId="0" xfId="0" quotePrefix="1" applyFont="1" applyAlignment="1">
      <alignment horizontal="center"/>
    </xf>
    <xf numFmtId="0" fontId="15" fillId="13" borderId="7" xfId="0" applyFont="1" applyFill="1" applyBorder="1" applyAlignment="1">
      <alignment horizontal="center" vertical="center"/>
    </xf>
    <xf numFmtId="0" fontId="15" fillId="5" borderId="7" xfId="0" applyFont="1" applyFill="1" applyBorder="1" applyAlignment="1" applyProtection="1">
      <alignment horizontal="center" vertical="center"/>
      <protection locked="0"/>
    </xf>
    <xf numFmtId="0" fontId="5" fillId="0" borderId="10" xfId="0" applyFont="1" applyBorder="1" applyAlignment="1">
      <alignment horizontal="right" vertical="center"/>
    </xf>
    <xf numFmtId="175" fontId="5" fillId="10" borderId="66" xfId="0" applyNumberFormat="1" applyFont="1" applyFill="1" applyBorder="1" applyAlignment="1" applyProtection="1">
      <alignment horizontal="center" vertical="center"/>
      <protection locked="0"/>
    </xf>
    <xf numFmtId="175" fontId="5" fillId="13" borderId="66" xfId="0" applyNumberFormat="1" applyFont="1" applyFill="1" applyBorder="1" applyAlignment="1">
      <alignment horizontal="center" vertical="center"/>
    </xf>
    <xf numFmtId="0" fontId="94" fillId="20" borderId="0" xfId="0" applyFont="1" applyFill="1"/>
    <xf numFmtId="0" fontId="0" fillId="20" borderId="0" xfId="0" applyFill="1"/>
    <xf numFmtId="0" fontId="103" fillId="0" borderId="0" xfId="6" applyFont="1" applyAlignment="1" applyProtection="1">
      <alignment horizontal="center"/>
    </xf>
    <xf numFmtId="0" fontId="87" fillId="0" borderId="9" xfId="0" applyFont="1" applyBorder="1" applyAlignment="1">
      <alignment vertical="center"/>
    </xf>
    <xf numFmtId="0" fontId="87" fillId="0" borderId="0" xfId="0" applyFont="1" applyAlignment="1">
      <alignment vertical="center" wrapText="1"/>
    </xf>
    <xf numFmtId="0" fontId="80" fillId="0" borderId="0" xfId="0" applyFont="1" applyAlignment="1">
      <alignment horizontal="right" vertical="center"/>
    </xf>
    <xf numFmtId="0" fontId="87" fillId="0" borderId="0" xfId="0" applyFont="1" applyAlignment="1">
      <alignment horizontal="right"/>
    </xf>
    <xf numFmtId="175" fontId="11" fillId="10" borderId="13" xfId="0" applyNumberFormat="1" applyFont="1" applyFill="1" applyBorder="1" applyAlignment="1" applyProtection="1">
      <alignment horizontal="center" vertical="center"/>
      <protection locked="0"/>
    </xf>
    <xf numFmtId="175" fontId="11" fillId="13" borderId="13" xfId="0" applyNumberFormat="1" applyFont="1" applyFill="1" applyBorder="1" applyAlignment="1">
      <alignment horizontal="center" vertical="center"/>
    </xf>
    <xf numFmtId="0" fontId="15" fillId="5" borderId="13" xfId="0" applyFont="1" applyFill="1" applyBorder="1" applyAlignment="1" applyProtection="1">
      <alignment horizontal="center"/>
      <protection locked="0"/>
    </xf>
    <xf numFmtId="0" fontId="15" fillId="13" borderId="13" xfId="0" applyFont="1" applyFill="1" applyBorder="1" applyAlignment="1">
      <alignment horizontal="center"/>
    </xf>
    <xf numFmtId="0" fontId="98" fillId="0" borderId="0" xfId="0" applyFont="1" applyAlignment="1">
      <alignment vertical="center"/>
    </xf>
    <xf numFmtId="3" fontId="98" fillId="0" borderId="0" xfId="0" applyNumberFormat="1" applyFont="1" applyAlignment="1">
      <alignment vertical="center"/>
    </xf>
    <xf numFmtId="0" fontId="5" fillId="0" borderId="28" xfId="0" applyFont="1" applyBorder="1" applyAlignment="1">
      <alignment horizontal="center" vertical="center" wrapText="1"/>
    </xf>
    <xf numFmtId="38" fontId="5" fillId="0" borderId="28" xfId="0" applyNumberFormat="1" applyFont="1" applyBorder="1" applyAlignment="1">
      <alignment horizontal="center" vertical="center" wrapText="1"/>
    </xf>
    <xf numFmtId="38" fontId="5" fillId="0" borderId="128" xfId="0" applyNumberFormat="1" applyFont="1" applyBorder="1" applyAlignment="1">
      <alignment horizontal="center" vertical="center" wrapText="1"/>
    </xf>
    <xf numFmtId="0" fontId="5" fillId="0" borderId="128" xfId="0" applyFont="1" applyBorder="1" applyAlignment="1">
      <alignment horizontal="center" vertical="center" wrapText="1"/>
    </xf>
    <xf numFmtId="0" fontId="5" fillId="27" borderId="28" xfId="0" applyFont="1" applyFill="1" applyBorder="1" applyAlignment="1">
      <alignment horizontal="center" vertical="center" wrapText="1"/>
    </xf>
    <xf numFmtId="0" fontId="5" fillId="27" borderId="128" xfId="0" applyFont="1" applyFill="1" applyBorder="1" applyAlignment="1">
      <alignment horizontal="center" vertical="center" wrapText="1"/>
    </xf>
    <xf numFmtId="38" fontId="5" fillId="0" borderId="64" xfId="0" applyNumberFormat="1" applyFont="1" applyBorder="1" applyAlignment="1">
      <alignment horizontal="center" vertical="center" wrapText="1"/>
    </xf>
    <xf numFmtId="38" fontId="5" fillId="27" borderId="28" xfId="0" applyNumberFormat="1" applyFont="1" applyFill="1" applyBorder="1" applyAlignment="1">
      <alignment horizontal="center" vertical="center" wrapText="1"/>
    </xf>
    <xf numFmtId="38" fontId="5" fillId="27" borderId="128" xfId="0" applyNumberFormat="1" applyFont="1" applyFill="1" applyBorder="1" applyAlignment="1">
      <alignment horizontal="center" vertical="center" wrapText="1"/>
    </xf>
    <xf numFmtId="38" fontId="5" fillId="0" borderId="40" xfId="0" applyNumberFormat="1" applyFont="1" applyBorder="1" applyAlignment="1">
      <alignment horizontal="center" vertical="center" wrapText="1"/>
    </xf>
    <xf numFmtId="38" fontId="5" fillId="0" borderId="127" xfId="0" applyNumberFormat="1" applyFont="1" applyBorder="1" applyAlignment="1">
      <alignment horizontal="center" vertical="center" wrapText="1"/>
    </xf>
    <xf numFmtId="0" fontId="39" fillId="0" borderId="4" xfId="0" applyFont="1" applyBorder="1" applyAlignment="1">
      <alignment vertical="center"/>
    </xf>
    <xf numFmtId="0" fontId="39" fillId="0" borderId="43" xfId="0" applyFont="1" applyBorder="1" applyAlignment="1">
      <alignment horizontal="left" vertical="center"/>
    </xf>
    <xf numFmtId="0" fontId="234" fillId="30" borderId="0" xfId="0" applyFont="1" applyFill="1"/>
    <xf numFmtId="0" fontId="81" fillId="0" borderId="0" xfId="0" applyFont="1" applyAlignment="1">
      <alignment horizontal="left" vertical="center" wrapText="1"/>
    </xf>
    <xf numFmtId="0" fontId="75" fillId="0" borderId="0" xfId="0" applyFont="1" applyAlignment="1">
      <alignment horizontal="right" vertical="center"/>
    </xf>
    <xf numFmtId="0" fontId="39" fillId="0" borderId="0" xfId="0" quotePrefix="1" applyFont="1" applyAlignment="1">
      <alignment vertical="top"/>
    </xf>
    <xf numFmtId="0" fontId="176" fillId="0" borderId="0" xfId="0" applyFont="1" applyAlignment="1">
      <alignment vertical="top" wrapText="1"/>
    </xf>
    <xf numFmtId="0" fontId="87" fillId="0" borderId="0" xfId="0" applyFont="1" applyAlignment="1">
      <alignment horizontal="center"/>
    </xf>
    <xf numFmtId="3" fontId="142" fillId="0" borderId="0" xfId="0" applyNumberFormat="1" applyFont="1" applyAlignment="1">
      <alignment vertical="center"/>
    </xf>
    <xf numFmtId="10" fontId="101" fillId="0" borderId="0" xfId="0" applyNumberFormat="1" applyFont="1" applyAlignment="1">
      <alignment vertical="center"/>
    </xf>
    <xf numFmtId="0" fontId="75" fillId="0" borderId="0" xfId="0" applyFont="1" applyAlignment="1">
      <alignment horizontal="center" vertical="center"/>
    </xf>
    <xf numFmtId="0" fontId="11" fillId="0" borderId="0" xfId="0" applyFont="1" applyAlignment="1">
      <alignment horizontal="center" vertical="top"/>
    </xf>
    <xf numFmtId="0" fontId="14" fillId="0" borderId="0" xfId="0" applyFont="1" applyAlignment="1">
      <alignment horizontal="center" vertical="top"/>
    </xf>
    <xf numFmtId="38" fontId="9" fillId="5" borderId="130" xfId="0" applyNumberFormat="1" applyFont="1" applyFill="1" applyBorder="1" applyAlignment="1" applyProtection="1">
      <alignment horizontal="center" vertical="center"/>
      <protection locked="0"/>
    </xf>
    <xf numFmtId="38" fontId="9" fillId="13" borderId="130" xfId="0" applyNumberFormat="1" applyFont="1" applyFill="1" applyBorder="1" applyAlignment="1">
      <alignment horizontal="center" vertical="center"/>
    </xf>
    <xf numFmtId="0" fontId="39" fillId="0" borderId="20" xfId="0" applyFont="1" applyBorder="1" applyAlignment="1">
      <alignment vertical="center"/>
    </xf>
    <xf numFmtId="0" fontId="38" fillId="0" borderId="14" xfId="0" applyFont="1" applyBorder="1" applyAlignment="1">
      <alignment vertical="center"/>
    </xf>
    <xf numFmtId="0" fontId="38" fillId="0" borderId="29" xfId="0" applyFont="1" applyBorder="1" applyAlignment="1">
      <alignment vertical="center"/>
    </xf>
    <xf numFmtId="0" fontId="39" fillId="0" borderId="6" xfId="0" applyFont="1" applyBorder="1" applyAlignment="1">
      <alignment vertical="center"/>
    </xf>
    <xf numFmtId="0" fontId="38" fillId="0" borderId="9" xfId="0" applyFont="1" applyBorder="1" applyAlignment="1">
      <alignment vertical="center"/>
    </xf>
    <xf numFmtId="0" fontId="38" fillId="0" borderId="62" xfId="0" applyFont="1" applyBorder="1" applyAlignment="1">
      <alignment vertical="center"/>
    </xf>
    <xf numFmtId="0" fontId="4" fillId="0" borderId="15"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42" xfId="0" applyFont="1" applyBorder="1" applyAlignment="1">
      <alignment vertical="center"/>
    </xf>
    <xf numFmtId="38" fontId="5" fillId="0" borderId="37" xfId="0" applyNumberFormat="1" applyFont="1" applyBorder="1" applyAlignment="1">
      <alignment horizontal="center" vertical="center" wrapText="1"/>
    </xf>
    <xf numFmtId="0" fontId="201" fillId="0" borderId="0" xfId="0" applyFont="1"/>
    <xf numFmtId="166" fontId="15" fillId="5" borderId="12" xfId="0" applyNumberFormat="1" applyFont="1" applyFill="1" applyBorder="1" applyAlignment="1" applyProtection="1">
      <alignment horizontal="center" vertical="center"/>
      <protection locked="0"/>
    </xf>
    <xf numFmtId="166" fontId="15" fillId="13" borderId="12" xfId="0" applyNumberFormat="1" applyFont="1" applyFill="1" applyBorder="1" applyAlignment="1">
      <alignment horizontal="center" vertical="center"/>
    </xf>
    <xf numFmtId="0" fontId="5" fillId="17" borderId="0" xfId="0" applyFont="1" applyFill="1" applyAlignment="1">
      <alignment vertical="top" wrapText="1"/>
    </xf>
    <xf numFmtId="0" fontId="9" fillId="17" borderId="0" xfId="0" applyFont="1" applyFill="1" applyAlignment="1">
      <alignment horizontal="center"/>
    </xf>
    <xf numFmtId="0" fontId="39" fillId="17" borderId="0" xfId="0" applyFont="1" applyFill="1" applyAlignment="1">
      <alignment vertical="center" wrapText="1"/>
    </xf>
    <xf numFmtId="0" fontId="235" fillId="30" borderId="0" xfId="0" applyFont="1" applyFill="1" applyAlignment="1">
      <alignment wrapText="1"/>
    </xf>
    <xf numFmtId="38" fontId="9" fillId="0" borderId="9" xfId="0" applyNumberFormat="1" applyFont="1" applyBorder="1" applyAlignment="1">
      <alignment horizontal="center" vertical="center"/>
    </xf>
    <xf numFmtId="38" fontId="9" fillId="5" borderId="66" xfId="0" applyNumberFormat="1" applyFont="1" applyFill="1" applyBorder="1" applyAlignment="1" applyProtection="1">
      <alignment horizontal="center" vertical="center"/>
      <protection locked="0"/>
    </xf>
    <xf numFmtId="38" fontId="9" fillId="13" borderId="66" xfId="0" applyNumberFormat="1" applyFont="1" applyFill="1" applyBorder="1" applyAlignment="1">
      <alignment horizontal="center" vertical="center"/>
    </xf>
    <xf numFmtId="0" fontId="89" fillId="0" borderId="0" xfId="0" applyFont="1" applyAlignment="1">
      <alignment horizontal="left"/>
    </xf>
    <xf numFmtId="0" fontId="236" fillId="0" borderId="0" xfId="0" applyFont="1" applyAlignment="1">
      <alignment horizontal="center"/>
    </xf>
    <xf numFmtId="0" fontId="89" fillId="0" borderId="0" xfId="0" applyFont="1" applyAlignment="1">
      <alignment horizontal="left" vertical="center"/>
    </xf>
    <xf numFmtId="0" fontId="237" fillId="0" borderId="0" xfId="0" applyFont="1"/>
    <xf numFmtId="0" fontId="236" fillId="0" borderId="0" xfId="0" applyFont="1"/>
    <xf numFmtId="38" fontId="5" fillId="0" borderId="38" xfId="0" applyNumberFormat="1" applyFont="1" applyBorder="1" applyAlignment="1">
      <alignment horizontal="center" vertical="center" wrapText="1"/>
    </xf>
    <xf numFmtId="38" fontId="5" fillId="0" borderId="129" xfId="0" applyNumberFormat="1" applyFont="1" applyBorder="1" applyAlignment="1">
      <alignment horizontal="center" vertical="center" wrapText="1"/>
    </xf>
    <xf numFmtId="0" fontId="42" fillId="5" borderId="66" xfId="0" applyFont="1" applyFill="1" applyBorder="1" applyAlignment="1" applyProtection="1">
      <alignment horizontal="center"/>
      <protection locked="0"/>
    </xf>
    <xf numFmtId="0" fontId="39" fillId="0" borderId="15" xfId="0" applyFont="1" applyBorder="1" applyAlignment="1">
      <alignment vertical="top"/>
    </xf>
    <xf numFmtId="0" fontId="39" fillId="0" borderId="15" xfId="0" applyFont="1" applyBorder="1" applyAlignment="1">
      <alignment vertical="top" wrapText="1"/>
    </xf>
    <xf numFmtId="0" fontId="39" fillId="0" borderId="43" xfId="0" applyFont="1" applyBorder="1" applyAlignment="1">
      <alignment vertical="top" wrapText="1"/>
    </xf>
    <xf numFmtId="0" fontId="72" fillId="0" borderId="0" xfId="0" applyFont="1" applyAlignment="1">
      <alignment horizontal="left" vertical="center"/>
    </xf>
    <xf numFmtId="0" fontId="88" fillId="0" borderId="0" xfId="0" applyFont="1" applyAlignment="1">
      <alignment horizontal="center" vertical="center"/>
    </xf>
    <xf numFmtId="3" fontId="88" fillId="0" borderId="0" xfId="0" applyNumberFormat="1" applyFont="1" applyAlignment="1">
      <alignment horizontal="center"/>
    </xf>
    <xf numFmtId="0" fontId="224" fillId="0" borderId="0" xfId="0" applyFont="1" applyAlignment="1">
      <alignment horizontal="right"/>
    </xf>
    <xf numFmtId="0" fontId="42" fillId="0" borderId="7" xfId="0" applyFont="1" applyBorder="1" applyAlignment="1">
      <alignment horizontal="left" vertical="center"/>
    </xf>
    <xf numFmtId="3" fontId="81" fillId="0" borderId="0" xfId="0" applyNumberFormat="1" applyFont="1" applyAlignment="1">
      <alignment horizontal="center" vertical="center"/>
    </xf>
    <xf numFmtId="0" fontId="94" fillId="0" borderId="0" xfId="0" applyFont="1" applyAlignment="1">
      <alignment horizontal="right"/>
    </xf>
    <xf numFmtId="0" fontId="174" fillId="0" borderId="0" xfId="0" applyFont="1" applyAlignment="1">
      <alignment vertical="top"/>
    </xf>
    <xf numFmtId="0" fontId="39" fillId="0" borderId="5" xfId="0" applyFont="1" applyBorder="1" applyAlignment="1">
      <alignment vertical="top" wrapText="1"/>
    </xf>
    <xf numFmtId="0" fontId="19" fillId="0" borderId="0" xfId="0" applyFont="1" applyAlignment="1">
      <alignment horizontal="center"/>
    </xf>
    <xf numFmtId="0" fontId="179" fillId="0" borderId="0" xfId="0" applyFont="1" applyAlignment="1">
      <alignment horizontal="right" vertical="center"/>
    </xf>
    <xf numFmtId="49" fontId="14" fillId="10" borderId="12" xfId="0" applyNumberFormat="1" applyFont="1" applyFill="1" applyBorder="1" applyAlignment="1" applyProtection="1">
      <alignment horizontal="center" vertical="center"/>
      <protection locked="0"/>
    </xf>
    <xf numFmtId="49" fontId="14" fillId="10" borderId="13" xfId="0" applyNumberFormat="1" applyFont="1" applyFill="1" applyBorder="1" applyAlignment="1" applyProtection="1">
      <alignment horizontal="center" vertical="center" wrapText="1"/>
      <protection locked="0"/>
    </xf>
    <xf numFmtId="38" fontId="109" fillId="0" borderId="13" xfId="0" applyNumberFormat="1" applyFont="1" applyBorder="1" applyAlignment="1">
      <alignment horizontal="center" vertical="center" wrapText="1"/>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94" fillId="0" borderId="0" xfId="0" applyFont="1" applyAlignment="1">
      <alignment horizontal="right" vertical="center"/>
    </xf>
    <xf numFmtId="0" fontId="238" fillId="0" borderId="0" xfId="0" quotePrefix="1" applyFont="1" applyAlignment="1">
      <alignment vertical="center"/>
    </xf>
    <xf numFmtId="0" fontId="107" fillId="0" borderId="0" xfId="0" applyFont="1" applyAlignment="1">
      <alignment vertical="center" wrapText="1"/>
    </xf>
    <xf numFmtId="0" fontId="107" fillId="0" borderId="0" xfId="0" applyFont="1" applyAlignment="1">
      <alignment wrapText="1"/>
    </xf>
    <xf numFmtId="0" fontId="239" fillId="0" borderId="0" xfId="0" applyFont="1" applyAlignment="1">
      <alignment vertical="center"/>
    </xf>
    <xf numFmtId="0" fontId="239" fillId="0" borderId="0" xfId="0" applyFont="1" applyAlignment="1">
      <alignment horizontal="right" vertical="center"/>
    </xf>
    <xf numFmtId="181" fontId="9" fillId="5" borderId="13" xfId="0" applyNumberFormat="1" applyFont="1" applyFill="1" applyBorder="1" applyAlignment="1" applyProtection="1">
      <alignment horizontal="center" vertical="center"/>
      <protection locked="0"/>
    </xf>
    <xf numFmtId="181" fontId="9" fillId="13" borderId="13" xfId="0" applyNumberFormat="1" applyFont="1" applyFill="1" applyBorder="1" applyAlignment="1">
      <alignment horizontal="center" vertical="center"/>
    </xf>
    <xf numFmtId="0" fontId="81" fillId="0" borderId="0" xfId="0" applyFont="1" applyAlignment="1">
      <alignment horizontal="right" vertical="center"/>
    </xf>
    <xf numFmtId="0" fontId="241" fillId="0" borderId="0" xfId="0" applyFont="1" applyAlignment="1">
      <alignment horizontal="left" vertical="center"/>
    </xf>
    <xf numFmtId="0" fontId="100" fillId="0" borderId="0" xfId="0" applyFont="1" applyAlignment="1">
      <alignment vertical="top" wrapText="1"/>
    </xf>
    <xf numFmtId="38" fontId="177" fillId="0" borderId="0" xfId="0" applyNumberFormat="1" applyFont="1" applyAlignment="1">
      <alignment vertical="center"/>
    </xf>
    <xf numFmtId="38" fontId="75" fillId="0" borderId="0" xfId="0" applyNumberFormat="1" applyFont="1" applyAlignment="1">
      <alignment horizontal="left" vertical="center"/>
    </xf>
    <xf numFmtId="0" fontId="109" fillId="0" borderId="0" xfId="0" applyFont="1" applyAlignment="1">
      <alignment horizontal="center" vertical="center"/>
    </xf>
    <xf numFmtId="0" fontId="48" fillId="0" borderId="0" xfId="0" applyFont="1" applyAlignment="1">
      <alignment vertical="center"/>
    </xf>
    <xf numFmtId="38" fontId="48" fillId="0" borderId="0" xfId="0" applyNumberFormat="1" applyFont="1" applyAlignment="1">
      <alignment horizontal="center" vertical="center"/>
    </xf>
    <xf numFmtId="187" fontId="39" fillId="0" borderId="0" xfId="0" applyNumberFormat="1" applyFont="1" applyAlignment="1">
      <alignment horizontal="center" vertical="center"/>
    </xf>
    <xf numFmtId="3" fontId="44" fillId="0" borderId="0" xfId="0" applyNumberFormat="1" applyFont="1" applyAlignment="1">
      <alignment horizontal="center" vertical="center"/>
    </xf>
    <xf numFmtId="0" fontId="42" fillId="0" borderId="0" xfId="0" applyFont="1" applyAlignment="1">
      <alignment horizontal="center" vertical="center" wrapText="1"/>
    </xf>
    <xf numFmtId="0" fontId="5" fillId="0" borderId="0" xfId="0" quotePrefix="1" applyFont="1" applyAlignment="1">
      <alignment horizontal="left" vertical="top"/>
    </xf>
    <xf numFmtId="0" fontId="109" fillId="0" borderId="0" xfId="0" applyFont="1" applyAlignment="1">
      <alignment horizontal="right" vertical="center"/>
    </xf>
    <xf numFmtId="0" fontId="87" fillId="0" borderId="0" xfId="0" applyFont="1" applyAlignment="1">
      <alignment horizontal="left" vertical="center"/>
    </xf>
    <xf numFmtId="0" fontId="131" fillId="0" borderId="0" xfId="0" applyFont="1" applyAlignment="1">
      <alignment horizontal="left" vertical="center"/>
    </xf>
    <xf numFmtId="0" fontId="58" fillId="0" borderId="24" xfId="0" applyFont="1" applyBorder="1" applyAlignment="1">
      <alignment horizontal="right" vertical="center"/>
    </xf>
    <xf numFmtId="166" fontId="160" fillId="0" borderId="0" xfId="0" applyNumberFormat="1" applyFont="1" applyAlignment="1">
      <alignment horizontal="center" vertical="center"/>
    </xf>
    <xf numFmtId="37" fontId="160" fillId="0" borderId="0" xfId="1" applyNumberFormat="1" applyFont="1" applyFill="1" applyBorder="1" applyAlignment="1" applyProtection="1">
      <alignment horizontal="center" vertical="center"/>
    </xf>
    <xf numFmtId="166" fontId="38" fillId="0" borderId="0" xfId="0" applyNumberFormat="1" applyFont="1" applyAlignment="1">
      <alignment horizontal="center" vertical="center"/>
    </xf>
    <xf numFmtId="166" fontId="160" fillId="0" borderId="71" xfId="0" applyNumberFormat="1" applyFont="1" applyBorder="1" applyAlignment="1">
      <alignment horizontal="center" vertical="center"/>
    </xf>
    <xf numFmtId="37" fontId="160" fillId="0" borderId="71" xfId="1" applyNumberFormat="1" applyFont="1" applyFill="1" applyBorder="1" applyAlignment="1" applyProtection="1">
      <alignment horizontal="center" vertical="center"/>
    </xf>
    <xf numFmtId="166" fontId="38" fillId="0" borderId="59" xfId="0" applyNumberFormat="1" applyFont="1" applyBorder="1" applyAlignment="1">
      <alignment horizontal="center" vertical="center"/>
    </xf>
    <xf numFmtId="4" fontId="90" fillId="0" borderId="0" xfId="0" applyNumberFormat="1" applyFont="1" applyAlignment="1">
      <alignment vertical="center"/>
    </xf>
    <xf numFmtId="0" fontId="105" fillId="0" borderId="0" xfId="0" applyFont="1" applyAlignment="1">
      <alignment horizontal="center" vertical="center"/>
    </xf>
    <xf numFmtId="164" fontId="42" fillId="5" borderId="12" xfId="1" applyNumberFormat="1" applyFont="1" applyFill="1" applyBorder="1" applyAlignment="1" applyProtection="1">
      <alignment horizontal="center" vertical="center"/>
      <protection locked="0"/>
    </xf>
    <xf numFmtId="0" fontId="4" fillId="20" borderId="0" xfId="0" applyFont="1" applyFill="1"/>
    <xf numFmtId="0" fontId="108" fillId="0" borderId="0" xfId="0" applyFont="1" applyAlignment="1">
      <alignment horizontal="center" wrapText="1"/>
    </xf>
    <xf numFmtId="0" fontId="91" fillId="26" borderId="0" xfId="0" applyFont="1" applyFill="1" applyAlignment="1">
      <alignment horizontal="center"/>
    </xf>
    <xf numFmtId="0" fontId="91" fillId="26" borderId="0" xfId="0" applyFont="1" applyFill="1"/>
    <xf numFmtId="0" fontId="97" fillId="0" borderId="0" xfId="0" applyFont="1" applyAlignment="1">
      <alignment horizontal="right" vertical="center"/>
    </xf>
    <xf numFmtId="0" fontId="106" fillId="0" borderId="4" xfId="0" applyFont="1" applyBorder="1" applyAlignment="1">
      <alignment vertical="center" wrapText="1"/>
    </xf>
    <xf numFmtId="0" fontId="75" fillId="0" borderId="0" xfId="0" applyFont="1" applyAlignment="1">
      <alignment vertical="center" wrapText="1"/>
    </xf>
    <xf numFmtId="0" fontId="80" fillId="0" borderId="0" xfId="0" applyFont="1" applyAlignment="1">
      <alignment horizontal="right"/>
    </xf>
    <xf numFmtId="0" fontId="109" fillId="0" borderId="0" xfId="0" applyFont="1" applyAlignment="1">
      <alignment vertical="center" wrapText="1"/>
    </xf>
    <xf numFmtId="0" fontId="222" fillId="0" borderId="0" xfId="0" applyFont="1" applyAlignment="1">
      <alignment vertical="center" wrapText="1"/>
    </xf>
    <xf numFmtId="0" fontId="12" fillId="0" borderId="0" xfId="0" applyFont="1" applyAlignment="1">
      <alignment horizontal="right" vertical="center"/>
    </xf>
    <xf numFmtId="4" fontId="38" fillId="5" borderId="19" xfId="0" applyNumberFormat="1" applyFont="1" applyFill="1" applyBorder="1" applyAlignment="1" applyProtection="1">
      <alignment horizontal="center" vertical="top" wrapText="1"/>
      <protection locked="0"/>
    </xf>
    <xf numFmtId="4" fontId="38" fillId="5" borderId="18" xfId="0" applyNumberFormat="1" applyFont="1" applyFill="1" applyBorder="1" applyAlignment="1" applyProtection="1">
      <alignment horizontal="center" vertical="top" wrapText="1"/>
      <protection locked="0"/>
    </xf>
    <xf numFmtId="0" fontId="233" fillId="0" borderId="0" xfId="0" applyFont="1" applyAlignment="1">
      <alignment vertical="top" wrapText="1"/>
    </xf>
    <xf numFmtId="14" fontId="112" fillId="10" borderId="0" xfId="13" applyNumberFormat="1" applyFont="1" applyFill="1" applyAlignment="1">
      <alignment horizontal="left" vertical="center"/>
    </xf>
    <xf numFmtId="3" fontId="112" fillId="0" borderId="0" xfId="13" quotePrefix="1" applyNumberFormat="1" applyFont="1" applyAlignment="1">
      <alignment horizontal="left" vertical="center"/>
    </xf>
    <xf numFmtId="38" fontId="112" fillId="0" borderId="0" xfId="13" quotePrefix="1" applyNumberFormat="1" applyFont="1" applyAlignment="1">
      <alignment horizontal="left" vertical="center"/>
    </xf>
    <xf numFmtId="3" fontId="112" fillId="0" borderId="0" xfId="13" applyNumberFormat="1" applyFont="1" applyAlignment="1">
      <alignment horizontal="left" vertical="center"/>
    </xf>
    <xf numFmtId="3" fontId="112" fillId="0" borderId="0" xfId="13" applyNumberFormat="1" applyFont="1" applyAlignment="1">
      <alignment vertical="center"/>
    </xf>
    <xf numFmtId="0" fontId="112" fillId="5" borderId="0" xfId="13" applyFont="1" applyFill="1" applyAlignment="1">
      <alignment vertical="center"/>
    </xf>
    <xf numFmtId="0" fontId="134" fillId="0" borderId="0" xfId="13" applyFont="1" applyAlignment="1">
      <alignment horizontal="center" vertical="center"/>
    </xf>
    <xf numFmtId="10" fontId="4" fillId="0" borderId="28" xfId="13" applyNumberFormat="1" applyBorder="1" applyAlignment="1">
      <alignment horizontal="center" vertical="center"/>
    </xf>
    <xf numFmtId="10" fontId="4" fillId="0" borderId="28" xfId="0" applyNumberFormat="1" applyFont="1" applyBorder="1" applyAlignment="1">
      <alignment horizontal="center" vertical="center"/>
    </xf>
    <xf numFmtId="180" fontId="112" fillId="0" borderId="0" xfId="13" applyNumberFormat="1" applyFont="1" applyAlignment="1">
      <alignment vertical="center"/>
    </xf>
    <xf numFmtId="3" fontId="112" fillId="10" borderId="0" xfId="13" applyNumberFormat="1" applyFont="1" applyFill="1" applyAlignment="1">
      <alignment horizontal="left" vertical="center"/>
    </xf>
    <xf numFmtId="0" fontId="112" fillId="10" borderId="32" xfId="13" applyFont="1" applyFill="1" applyBorder="1" applyAlignment="1">
      <alignment horizontal="right" vertical="center"/>
    </xf>
    <xf numFmtId="38" fontId="9" fillId="0" borderId="42" xfId="13" applyNumberFormat="1" applyFont="1" applyBorder="1" applyAlignment="1">
      <alignment horizontal="center"/>
    </xf>
    <xf numFmtId="0" fontId="5" fillId="0" borderId="4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38" xfId="0" applyFont="1" applyBorder="1" applyAlignment="1">
      <alignment horizontal="center" vertical="center" wrapText="1"/>
    </xf>
    <xf numFmtId="3" fontId="11" fillId="0" borderId="0" xfId="0" applyNumberFormat="1" applyFont="1" applyAlignment="1">
      <alignment horizontal="center" vertical="center"/>
    </xf>
    <xf numFmtId="4" fontId="39" fillId="0" borderId="0" xfId="0" applyNumberFormat="1" applyFont="1" applyAlignment="1">
      <alignment horizontal="center" vertical="center"/>
    </xf>
    <xf numFmtId="3" fontId="39" fillId="0" borderId="7" xfId="0" applyNumberFormat="1" applyFont="1" applyBorder="1" applyAlignment="1">
      <alignment horizontal="center" vertical="center"/>
    </xf>
    <xf numFmtId="3" fontId="39" fillId="0" borderId="8" xfId="0" applyNumberFormat="1" applyFont="1" applyBorder="1" applyAlignment="1">
      <alignment horizontal="center" vertical="center"/>
    </xf>
    <xf numFmtId="0" fontId="242" fillId="0" borderId="0" xfId="0" applyFont="1" applyAlignment="1">
      <alignment horizontal="right" vertical="center"/>
    </xf>
    <xf numFmtId="0" fontId="183" fillId="0" borderId="0" xfId="33" applyFont="1"/>
    <xf numFmtId="0" fontId="4" fillId="0" borderId="0" xfId="33" applyFont="1"/>
    <xf numFmtId="0" fontId="9" fillId="0" borderId="0" xfId="33" applyFont="1" applyAlignment="1">
      <alignment horizontal="center" vertical="center"/>
    </xf>
    <xf numFmtId="0" fontId="94" fillId="0" borderId="0" xfId="33" applyFont="1" applyAlignment="1">
      <alignment vertical="center"/>
    </xf>
    <xf numFmtId="49" fontId="94" fillId="0" borderId="0" xfId="33" applyNumberFormat="1" applyFont="1" applyAlignment="1">
      <alignment horizontal="center" vertical="center"/>
    </xf>
    <xf numFmtId="0" fontId="9" fillId="0" borderId="0" xfId="33" applyFont="1" applyAlignment="1">
      <alignment horizontal="right" vertical="center"/>
    </xf>
    <xf numFmtId="0" fontId="9" fillId="0" borderId="0" xfId="33" applyFont="1" applyAlignment="1">
      <alignment horizontal="center" vertical="center" wrapText="1"/>
    </xf>
    <xf numFmtId="0" fontId="25" fillId="0" borderId="0" xfId="33" applyFont="1"/>
    <xf numFmtId="0" fontId="10" fillId="0" borderId="0" xfId="33" applyFont="1"/>
    <xf numFmtId="0" fontId="131" fillId="0" borderId="0" xfId="33" applyFont="1" applyAlignment="1">
      <alignment vertical="center"/>
    </xf>
    <xf numFmtId="0" fontId="111" fillId="0" borderId="0" xfId="33" applyFont="1" applyAlignment="1">
      <alignment vertical="center" wrapText="1"/>
    </xf>
    <xf numFmtId="0" fontId="245" fillId="0" borderId="0" xfId="33" applyFont="1"/>
    <xf numFmtId="0" fontId="127" fillId="0" borderId="0" xfId="33" applyFont="1" applyAlignment="1">
      <alignment horizontal="left" vertical="top"/>
    </xf>
    <xf numFmtId="0" fontId="10" fillId="0" borderId="9" xfId="33" applyFont="1" applyBorder="1" applyAlignment="1">
      <alignment vertical="center"/>
    </xf>
    <xf numFmtId="0" fontId="131" fillId="0" borderId="9" xfId="33" applyFont="1" applyBorder="1" applyAlignment="1">
      <alignment vertical="center"/>
    </xf>
    <xf numFmtId="0" fontId="25" fillId="0" borderId="0" xfId="33" applyFont="1" applyAlignment="1">
      <alignment horizontal="center" vertical="center"/>
    </xf>
    <xf numFmtId="0" fontId="25" fillId="0" borderId="0" xfId="33" applyFont="1" applyAlignment="1">
      <alignment vertical="center"/>
    </xf>
    <xf numFmtId="0" fontId="10" fillId="0" borderId="0" xfId="33" applyFont="1" applyAlignment="1">
      <alignment vertical="center"/>
    </xf>
    <xf numFmtId="0" fontId="10" fillId="0" borderId="0" xfId="33" applyFont="1" applyAlignment="1">
      <alignment horizontal="center" vertical="center"/>
    </xf>
    <xf numFmtId="0" fontId="25" fillId="0" borderId="0" xfId="33" applyFont="1" applyAlignment="1">
      <alignment horizontal="right" vertical="center" wrapText="1"/>
    </xf>
    <xf numFmtId="0" fontId="245" fillId="0" borderId="0" xfId="33" applyFont="1" applyAlignment="1">
      <alignment vertical="center"/>
    </xf>
    <xf numFmtId="0" fontId="127" fillId="0" borderId="0" xfId="33" applyFont="1" applyAlignment="1">
      <alignment vertical="center"/>
    </xf>
    <xf numFmtId="0" fontId="127" fillId="0" borderId="0" xfId="33" applyFont="1" applyAlignment="1">
      <alignment vertical="center" wrapText="1"/>
    </xf>
    <xf numFmtId="0" fontId="127" fillId="0" borderId="0" xfId="33" applyFont="1" applyAlignment="1">
      <alignment horizontal="left" vertical="center"/>
    </xf>
    <xf numFmtId="0" fontId="247" fillId="0" borderId="0" xfId="33" applyFont="1" applyAlignment="1">
      <alignment horizontal="right" vertical="center"/>
    </xf>
    <xf numFmtId="0" fontId="247" fillId="0" borderId="0" xfId="33" applyFont="1" applyAlignment="1">
      <alignment horizontal="center" vertical="center" wrapText="1"/>
    </xf>
    <xf numFmtId="0" fontId="25" fillId="0" borderId="0" xfId="33" applyFont="1" applyAlignment="1">
      <alignment horizontal="right" vertical="center"/>
    </xf>
    <xf numFmtId="0" fontId="131" fillId="0" borderId="0" xfId="33" applyFont="1" applyAlignment="1">
      <alignment horizontal="center" vertical="center" wrapText="1"/>
    </xf>
    <xf numFmtId="0" fontId="131" fillId="0" borderId="0" xfId="33" applyFont="1" applyAlignment="1">
      <alignment horizontal="left" vertical="center"/>
    </xf>
    <xf numFmtId="10" fontId="25" fillId="0" borderId="0" xfId="33" applyNumberFormat="1" applyFont="1" applyAlignment="1" applyProtection="1">
      <alignment vertical="center"/>
      <protection locked="0"/>
    </xf>
    <xf numFmtId="10" fontId="25" fillId="0" borderId="0" xfId="33" applyNumberFormat="1" applyFont="1" applyAlignment="1">
      <alignment vertical="center"/>
    </xf>
    <xf numFmtId="0" fontId="127" fillId="0" borderId="9" xfId="33" applyFont="1" applyBorder="1" applyAlignment="1">
      <alignment horizontal="left" vertical="center"/>
    </xf>
    <xf numFmtId="0" fontId="10" fillId="0" borderId="0" xfId="33" applyFont="1" applyAlignment="1" applyProtection="1">
      <alignment vertical="center" wrapText="1"/>
      <protection locked="0"/>
    </xf>
    <xf numFmtId="0" fontId="25" fillId="5" borderId="12" xfId="33" applyFont="1" applyFill="1" applyBorder="1" applyAlignment="1" applyProtection="1">
      <alignment horizontal="center" vertical="center"/>
      <protection locked="0"/>
    </xf>
    <xf numFmtId="0" fontId="25" fillId="13" borderId="12" xfId="33" applyFont="1" applyFill="1" applyBorder="1" applyAlignment="1">
      <alignment horizontal="center" vertical="center"/>
    </xf>
    <xf numFmtId="0" fontId="25" fillId="5" borderId="13" xfId="33" applyFont="1" applyFill="1" applyBorder="1" applyAlignment="1" applyProtection="1">
      <alignment horizontal="center" vertical="center"/>
      <protection locked="0"/>
    </xf>
    <xf numFmtId="0" fontId="25" fillId="13" borderId="13" xfId="33" applyFont="1" applyFill="1" applyBorder="1" applyAlignment="1">
      <alignment horizontal="center" vertical="center"/>
    </xf>
    <xf numFmtId="0" fontId="111" fillId="0" borderId="0" xfId="33" applyFont="1" applyAlignment="1">
      <alignment vertical="center"/>
    </xf>
    <xf numFmtId="0" fontId="25" fillId="0" borderId="0" xfId="33" applyFont="1" applyAlignment="1">
      <alignment horizontal="right" vertical="top"/>
    </xf>
    <xf numFmtId="0" fontId="25" fillId="0" borderId="0" xfId="33" applyFont="1" applyAlignment="1">
      <alignment horizontal="left" vertical="top"/>
    </xf>
    <xf numFmtId="0" fontId="127" fillId="0" borderId="0" xfId="33" applyFont="1" applyAlignment="1">
      <alignment vertical="top"/>
    </xf>
    <xf numFmtId="0" fontId="10" fillId="0" borderId="0" xfId="33" applyFont="1" applyAlignment="1">
      <alignment vertical="top"/>
    </xf>
    <xf numFmtId="0" fontId="10" fillId="0" borderId="0" xfId="33" applyFont="1" applyAlignment="1">
      <alignment vertical="top" wrapText="1"/>
    </xf>
    <xf numFmtId="0" fontId="10" fillId="0" borderId="0" xfId="33" applyFont="1" applyAlignment="1">
      <alignment horizontal="right" vertical="top"/>
    </xf>
    <xf numFmtId="0" fontId="25" fillId="13" borderId="12" xfId="33" applyFont="1" applyFill="1" applyBorder="1" applyAlignment="1">
      <alignment horizontal="center" vertical="top"/>
    </xf>
    <xf numFmtId="0" fontId="245" fillId="0" borderId="0" xfId="33" applyFont="1" applyAlignment="1">
      <alignment vertical="top"/>
    </xf>
    <xf numFmtId="0" fontId="245" fillId="0" borderId="0" xfId="33" applyFont="1" applyAlignment="1">
      <alignment vertical="center" wrapText="1"/>
    </xf>
    <xf numFmtId="0" fontId="25" fillId="0" borderId="0" xfId="33" applyFont="1" applyAlignment="1" applyProtection="1">
      <alignment vertical="center"/>
      <protection locked="0"/>
    </xf>
    <xf numFmtId="0" fontId="25" fillId="0" borderId="0" xfId="33" applyFont="1" applyAlignment="1" applyProtection="1">
      <alignment horizontal="center" vertical="center"/>
      <protection locked="0"/>
    </xf>
    <xf numFmtId="0" fontId="247" fillId="0" borderId="0" xfId="33" applyFont="1" applyAlignment="1">
      <alignment horizontal="center" vertical="center"/>
    </xf>
    <xf numFmtId="0" fontId="247" fillId="0" borderId="0" xfId="33" applyFont="1" applyAlignment="1">
      <alignment horizontal="left" vertical="center"/>
    </xf>
    <xf numFmtId="38" fontId="25" fillId="0" borderId="0" xfId="33" applyNumberFormat="1" applyFont="1" applyAlignment="1">
      <alignment horizontal="center" vertical="center"/>
    </xf>
    <xf numFmtId="0" fontId="25" fillId="0" borderId="0" xfId="33" applyFont="1" applyAlignment="1">
      <alignment horizontal="left" vertical="center" wrapText="1"/>
    </xf>
    <xf numFmtId="0" fontId="10" fillId="0" borderId="0" xfId="33" applyFont="1" applyAlignment="1">
      <alignment horizontal="justify" vertical="center" wrapText="1"/>
    </xf>
    <xf numFmtId="3" fontId="10" fillId="0" borderId="0" xfId="34" applyNumberFormat="1" applyFont="1" applyFill="1" applyBorder="1" applyAlignment="1" applyProtection="1">
      <alignment horizontal="center" vertical="center"/>
      <protection locked="0"/>
    </xf>
    <xf numFmtId="9" fontId="25" fillId="0" borderId="0" xfId="33" applyNumberFormat="1" applyFont="1" applyAlignment="1">
      <alignment horizontal="center" vertical="center"/>
    </xf>
    <xf numFmtId="1" fontId="131" fillId="0" borderId="13" xfId="33" applyNumberFormat="1" applyFont="1" applyBorder="1" applyAlignment="1">
      <alignment horizontal="center" vertical="center"/>
    </xf>
    <xf numFmtId="0" fontId="10" fillId="0" borderId="0" xfId="33" applyFont="1" applyAlignment="1" applyProtection="1">
      <alignment vertical="center"/>
      <protection locked="0"/>
    </xf>
    <xf numFmtId="0" fontId="111" fillId="0" borderId="0" xfId="33" applyFont="1" applyAlignment="1">
      <alignment horizontal="right" vertical="center"/>
    </xf>
    <xf numFmtId="0" fontId="245" fillId="0" borderId="0" xfId="33" applyFont="1" applyAlignment="1">
      <alignment horizontal="left" vertical="center"/>
    </xf>
    <xf numFmtId="0" fontId="131" fillId="0" borderId="0" xfId="33" applyFont="1" applyAlignment="1">
      <alignment horizontal="right" vertical="center"/>
    </xf>
    <xf numFmtId="0" fontId="25" fillId="0" borderId="0" xfId="33" applyFont="1" applyAlignment="1">
      <alignment vertical="center" wrapText="1"/>
    </xf>
    <xf numFmtId="0" fontId="5" fillId="0" borderId="0" xfId="33" applyFont="1" applyAlignment="1">
      <alignment vertical="center"/>
    </xf>
    <xf numFmtId="0" fontId="5" fillId="0" borderId="0" xfId="33" applyFont="1" applyAlignment="1">
      <alignment horizontal="right" vertical="center"/>
    </xf>
    <xf numFmtId="0" fontId="5" fillId="0" borderId="0" xfId="33" applyFont="1" applyAlignment="1">
      <alignment horizontal="center" vertical="center" wrapText="1"/>
    </xf>
    <xf numFmtId="3" fontId="102" fillId="0" borderId="0" xfId="33" applyNumberFormat="1" applyFont="1" applyAlignment="1">
      <alignment horizontal="center" vertical="center"/>
    </xf>
    <xf numFmtId="0" fontId="224" fillId="0" borderId="0" xfId="37" applyFont="1" applyAlignment="1">
      <alignment vertical="center"/>
    </xf>
    <xf numFmtId="0" fontId="243" fillId="0" borderId="0" xfId="37" applyFont="1" applyAlignment="1">
      <alignment vertical="center"/>
    </xf>
    <xf numFmtId="9" fontId="10" fillId="0" borderId="0" xfId="38" applyFont="1" applyFill="1" applyBorder="1" applyAlignment="1" applyProtection="1">
      <alignment horizontal="left" vertical="center"/>
    </xf>
    <xf numFmtId="38" fontId="25" fillId="5" borderId="12" xfId="37" applyNumberFormat="1" applyFont="1" applyFill="1" applyBorder="1" applyAlignment="1" applyProtection="1">
      <alignment horizontal="center" vertical="center"/>
      <protection locked="0"/>
    </xf>
    <xf numFmtId="38" fontId="25" fillId="5" borderId="13" xfId="37" applyNumberFormat="1" applyFont="1" applyFill="1" applyBorder="1" applyAlignment="1" applyProtection="1">
      <alignment horizontal="center" vertical="center"/>
      <protection locked="0"/>
    </xf>
    <xf numFmtId="0" fontId="25" fillId="5" borderId="13" xfId="37" applyFont="1" applyFill="1" applyBorder="1" applyAlignment="1" applyProtection="1">
      <alignment horizontal="center" vertical="center"/>
      <protection locked="0"/>
    </xf>
    <xf numFmtId="181" fontId="25" fillId="5" borderId="13" xfId="37" applyNumberFormat="1" applyFont="1" applyFill="1" applyBorder="1" applyAlignment="1" applyProtection="1">
      <alignment horizontal="center" vertical="center"/>
      <protection locked="0"/>
    </xf>
    <xf numFmtId="38" fontId="25" fillId="5" borderId="66" xfId="37" applyNumberFormat="1" applyFont="1" applyFill="1" applyBorder="1" applyAlignment="1" applyProtection="1">
      <alignment horizontal="center" vertical="top"/>
      <protection locked="0"/>
    </xf>
    <xf numFmtId="38" fontId="25" fillId="5" borderId="66" xfId="37" applyNumberFormat="1" applyFont="1" applyFill="1" applyBorder="1" applyAlignment="1" applyProtection="1">
      <alignment horizontal="center" vertical="center"/>
      <protection locked="0"/>
    </xf>
    <xf numFmtId="0" fontId="243" fillId="0" borderId="0" xfId="37" applyFont="1" applyAlignment="1">
      <alignment horizontal="center" vertical="center"/>
    </xf>
    <xf numFmtId="38" fontId="25" fillId="5" borderId="12" xfId="37" applyNumberFormat="1" applyFont="1" applyFill="1" applyBorder="1" applyAlignment="1" applyProtection="1">
      <alignment horizontal="center" vertical="top"/>
      <protection locked="0"/>
    </xf>
    <xf numFmtId="0" fontId="25" fillId="5" borderId="13" xfId="37" applyFont="1" applyFill="1" applyBorder="1" applyAlignment="1" applyProtection="1">
      <alignment horizontal="center" vertical="top"/>
      <protection locked="0"/>
    </xf>
    <xf numFmtId="0" fontId="25" fillId="5" borderId="8" xfId="37" applyFont="1" applyFill="1" applyBorder="1" applyAlignment="1" applyProtection="1">
      <alignment horizontal="center" vertical="top"/>
      <protection locked="0"/>
    </xf>
    <xf numFmtId="38" fontId="25" fillId="5" borderId="73" xfId="37" applyNumberFormat="1" applyFont="1" applyFill="1" applyBorder="1" applyAlignment="1" applyProtection="1">
      <alignment horizontal="center" vertical="center"/>
      <protection locked="0"/>
    </xf>
    <xf numFmtId="0" fontId="25" fillId="5" borderId="8" xfId="37" applyFont="1" applyFill="1" applyBorder="1" applyAlignment="1" applyProtection="1">
      <alignment horizontal="center" vertical="center"/>
      <protection locked="0"/>
    </xf>
    <xf numFmtId="0" fontId="25" fillId="5" borderId="17" xfId="37" applyFont="1" applyFill="1" applyBorder="1" applyAlignment="1" applyProtection="1">
      <alignment horizontal="center" vertical="top"/>
      <protection locked="0"/>
    </xf>
    <xf numFmtId="38" fontId="25" fillId="10" borderId="17" xfId="37" applyNumberFormat="1" applyFont="1" applyFill="1" applyBorder="1" applyAlignment="1" applyProtection="1">
      <alignment horizontal="center" vertical="center"/>
      <protection locked="0"/>
    </xf>
    <xf numFmtId="38" fontId="224" fillId="0" borderId="0" xfId="37" applyNumberFormat="1" applyFont="1" applyAlignment="1">
      <alignment horizontal="center" vertical="center"/>
    </xf>
    <xf numFmtId="0" fontId="243" fillId="0" borderId="0" xfId="37" applyFont="1"/>
    <xf numFmtId="0" fontId="243" fillId="0" borderId="0" xfId="37" applyFont="1" applyAlignment="1">
      <alignment horizontal="left"/>
    </xf>
    <xf numFmtId="0" fontId="243" fillId="0" borderId="0" xfId="37" applyFont="1" applyAlignment="1">
      <alignment horizontal="left" vertical="center"/>
    </xf>
    <xf numFmtId="0" fontId="250" fillId="0" borderId="0" xfId="37" applyFont="1" applyAlignment="1">
      <alignment horizontal="left"/>
    </xf>
    <xf numFmtId="0" fontId="243" fillId="0" borderId="0" xfId="37" applyFont="1" applyAlignment="1">
      <alignment horizontal="center" vertical="top"/>
    </xf>
    <xf numFmtId="0" fontId="243" fillId="0" borderId="0" xfId="37" applyFont="1" applyAlignment="1">
      <alignment vertical="top"/>
    </xf>
    <xf numFmtId="0" fontId="243" fillId="0" borderId="0" xfId="37" applyFont="1" applyAlignment="1">
      <alignment horizontal="left" vertical="top"/>
    </xf>
    <xf numFmtId="0" fontId="224" fillId="0" borderId="0" xfId="37" applyFont="1"/>
    <xf numFmtId="0" fontId="243" fillId="0" borderId="0" xfId="37" applyFont="1" applyAlignment="1">
      <alignment vertical="top" wrapText="1"/>
    </xf>
    <xf numFmtId="0" fontId="11" fillId="0" borderId="0" xfId="0" applyFont="1" applyAlignment="1">
      <alignment horizontal="center"/>
    </xf>
    <xf numFmtId="0" fontId="23" fillId="0" borderId="0" xfId="0" applyFont="1" applyAlignment="1">
      <alignment horizontal="left"/>
    </xf>
    <xf numFmtId="38" fontId="25" fillId="5" borderId="13" xfId="37" applyNumberFormat="1" applyFont="1" applyFill="1" applyBorder="1" applyAlignment="1" applyProtection="1">
      <alignment horizontal="center" vertical="top"/>
      <protection locked="0"/>
    </xf>
    <xf numFmtId="0" fontId="243" fillId="0" borderId="0" xfId="37" applyFont="1" applyAlignment="1">
      <alignment vertical="center" wrapText="1"/>
    </xf>
    <xf numFmtId="0" fontId="42" fillId="0" borderId="7" xfId="0" applyFont="1" applyBorder="1" applyAlignment="1">
      <alignment vertical="center"/>
    </xf>
    <xf numFmtId="0" fontId="42" fillId="0" borderId="5" xfId="0" applyFont="1" applyBorder="1" applyAlignment="1">
      <alignment horizontal="left" vertical="center"/>
    </xf>
    <xf numFmtId="186" fontId="25" fillId="10" borderId="11" xfId="37" applyNumberFormat="1" applyFont="1" applyFill="1" applyBorder="1" applyAlignment="1" applyProtection="1">
      <alignment horizontal="center" vertical="center"/>
      <protection locked="0"/>
    </xf>
    <xf numFmtId="188" fontId="10" fillId="10" borderId="22" xfId="37" applyNumberFormat="1" applyFont="1" applyFill="1" applyBorder="1" applyAlignment="1" applyProtection="1">
      <alignment horizontal="center" vertical="center"/>
      <protection locked="0"/>
    </xf>
    <xf numFmtId="188" fontId="10" fillId="10" borderId="25" xfId="37" applyNumberFormat="1" applyFont="1" applyFill="1" applyBorder="1" applyAlignment="1" applyProtection="1">
      <alignment horizontal="center" vertical="center"/>
      <protection locked="0"/>
    </xf>
    <xf numFmtId="38" fontId="25" fillId="5" borderId="8" xfId="37" applyNumberFormat="1" applyFont="1" applyFill="1" applyBorder="1" applyAlignment="1" applyProtection="1">
      <alignment horizontal="center" vertical="center"/>
      <protection locked="0"/>
    </xf>
    <xf numFmtId="0" fontId="102" fillId="0" borderId="0" xfId="33" applyFont="1" applyAlignment="1">
      <alignment vertical="center"/>
    </xf>
    <xf numFmtId="0" fontId="183" fillId="0" borderId="0" xfId="33" applyFont="1" applyProtection="1">
      <protection locked="0"/>
    </xf>
    <xf numFmtId="0" fontId="245" fillId="0" borderId="0" xfId="33" applyFont="1" applyProtection="1">
      <protection locked="0"/>
    </xf>
    <xf numFmtId="0" fontId="245" fillId="0" borderId="0" xfId="33" applyFont="1" applyAlignment="1" applyProtection="1">
      <alignment vertical="center"/>
      <protection locked="0"/>
    </xf>
    <xf numFmtId="0" fontId="245" fillId="0" borderId="0" xfId="33" applyFont="1" applyAlignment="1" applyProtection="1">
      <alignment vertical="top"/>
      <protection locked="0"/>
    </xf>
    <xf numFmtId="0" fontId="245" fillId="0" borderId="0" xfId="33" applyFont="1" applyAlignment="1" applyProtection="1">
      <alignment horizontal="left" vertical="center"/>
      <protection locked="0"/>
    </xf>
    <xf numFmtId="0" fontId="25" fillId="5" borderId="8" xfId="33" applyFont="1" applyFill="1" applyBorder="1" applyAlignment="1" applyProtection="1">
      <alignment horizontal="center" vertical="center"/>
      <protection locked="0"/>
    </xf>
    <xf numFmtId="0" fontId="42" fillId="0" borderId="9" xfId="0" applyFont="1" applyBorder="1"/>
    <xf numFmtId="9" fontId="39" fillId="0" borderId="39" xfId="10" applyFont="1" applyFill="1" applyBorder="1" applyAlignment="1" applyProtection="1">
      <alignment horizontal="center" vertical="center"/>
    </xf>
    <xf numFmtId="9" fontId="39" fillId="0" borderId="19" xfId="10" applyFont="1" applyFill="1" applyBorder="1" applyAlignment="1" applyProtection="1">
      <alignment horizontal="center" vertical="center"/>
    </xf>
    <xf numFmtId="0" fontId="39" fillId="0" borderId="13" xfId="0" applyFont="1" applyBorder="1" applyAlignment="1">
      <alignment horizontal="center" vertical="center"/>
    </xf>
    <xf numFmtId="37" fontId="39" fillId="0" borderId="13" xfId="1" applyNumberFormat="1" applyFont="1" applyFill="1" applyBorder="1" applyAlignment="1" applyProtection="1">
      <alignment horizontal="center" vertical="center"/>
    </xf>
    <xf numFmtId="37" fontId="39" fillId="0" borderId="12" xfId="1" applyNumberFormat="1" applyFont="1" applyFill="1" applyBorder="1" applyAlignment="1" applyProtection="1">
      <alignment horizontal="center" vertical="center"/>
    </xf>
    <xf numFmtId="0" fontId="39" fillId="0" borderId="12" xfId="0" applyFont="1" applyBorder="1" applyAlignment="1">
      <alignment horizontal="center" vertical="center"/>
    </xf>
    <xf numFmtId="2" fontId="39" fillId="0" borderId="39" xfId="10" applyNumberFormat="1" applyFont="1" applyFill="1" applyBorder="1" applyAlignment="1" applyProtection="1">
      <alignment horizontal="center" vertical="center"/>
    </xf>
    <xf numFmtId="2" fontId="39" fillId="0" borderId="19" xfId="10" applyNumberFormat="1" applyFont="1" applyFill="1" applyBorder="1" applyAlignment="1" applyProtection="1">
      <alignment horizontal="center" vertical="center"/>
    </xf>
    <xf numFmtId="2" fontId="39" fillId="0" borderId="37" xfId="10" applyNumberFormat="1" applyFont="1" applyFill="1" applyBorder="1" applyAlignment="1" applyProtection="1">
      <alignment horizontal="center" vertical="center"/>
    </xf>
    <xf numFmtId="2" fontId="39" fillId="0" borderId="18" xfId="10" applyNumberFormat="1" applyFont="1" applyFill="1" applyBorder="1" applyAlignment="1" applyProtection="1">
      <alignment horizontal="center" vertical="center"/>
    </xf>
    <xf numFmtId="0" fontId="169" fillId="0" borderId="0" xfId="0" applyFont="1" applyAlignment="1">
      <alignment horizontal="center"/>
    </xf>
    <xf numFmtId="0" fontId="25" fillId="13" borderId="8" xfId="33" applyFont="1" applyFill="1" applyBorder="1" applyAlignment="1">
      <alignment horizontal="center" vertical="center"/>
    </xf>
    <xf numFmtId="0" fontId="225" fillId="0" borderId="0" xfId="33" applyFont="1" applyAlignment="1">
      <alignment vertical="center"/>
    </xf>
    <xf numFmtId="1" fontId="131" fillId="0" borderId="0" xfId="33" applyNumberFormat="1" applyFont="1" applyAlignment="1">
      <alignment horizontal="center" vertical="center"/>
    </xf>
    <xf numFmtId="0" fontId="25" fillId="0" borderId="0" xfId="33" applyFont="1" applyAlignment="1">
      <alignment vertical="top"/>
    </xf>
    <xf numFmtId="0" fontId="25" fillId="5" borderId="13" xfId="33" applyFont="1" applyFill="1" applyBorder="1" applyAlignment="1" applyProtection="1">
      <alignment horizontal="center" vertical="center" wrapText="1"/>
      <protection locked="0"/>
    </xf>
    <xf numFmtId="0" fontId="260" fillId="0" borderId="0" xfId="33" applyFont="1" applyAlignment="1">
      <alignment horizontal="right" vertical="top"/>
    </xf>
    <xf numFmtId="0" fontId="42" fillId="0" borderId="0" xfId="33" applyFont="1" applyAlignment="1">
      <alignment vertical="top"/>
    </xf>
    <xf numFmtId="0" fontId="38" fillId="0" borderId="0" xfId="33" applyFont="1" applyAlignment="1">
      <alignment vertical="top"/>
    </xf>
    <xf numFmtId="10" fontId="5" fillId="0" borderId="0" xfId="0" applyNumberFormat="1" applyFont="1" applyAlignment="1">
      <alignment horizontal="left" vertical="center"/>
    </xf>
    <xf numFmtId="181" fontId="25" fillId="5" borderId="11" xfId="37" applyNumberFormat="1" applyFont="1" applyFill="1" applyBorder="1" applyAlignment="1" applyProtection="1">
      <alignment horizontal="center" vertical="center"/>
      <protection locked="0"/>
    </xf>
    <xf numFmtId="38" fontId="25" fillId="10" borderId="7" xfId="37" applyNumberFormat="1" applyFont="1" applyFill="1" applyBorder="1" applyAlignment="1" applyProtection="1">
      <alignment horizontal="center" vertical="center"/>
      <protection locked="0"/>
    </xf>
    <xf numFmtId="0" fontId="131" fillId="0" borderId="0" xfId="37" applyFont="1" applyAlignment="1">
      <alignment vertical="center" wrapText="1"/>
    </xf>
    <xf numFmtId="0" fontId="131" fillId="0" borderId="0" xfId="37" applyFont="1" applyAlignment="1">
      <alignment vertical="top" wrapText="1"/>
    </xf>
    <xf numFmtId="0" fontId="10" fillId="0" borderId="0" xfId="37" applyFont="1"/>
    <xf numFmtId="0" fontId="10" fillId="0" borderId="0" xfId="37" applyFont="1" applyAlignment="1">
      <alignment vertical="center"/>
    </xf>
    <xf numFmtId="1" fontId="10" fillId="0" borderId="0" xfId="37" applyNumberFormat="1" applyFont="1" applyAlignment="1">
      <alignment horizontal="left" vertical="center"/>
    </xf>
    <xf numFmtId="0" fontId="25" fillId="0" borderId="0" xfId="37" applyFont="1" applyAlignment="1">
      <alignment horizontal="center" vertical="center"/>
    </xf>
    <xf numFmtId="0" fontId="25" fillId="0" borderId="0" xfId="37" applyFont="1" applyAlignment="1">
      <alignment vertical="center" wrapText="1"/>
    </xf>
    <xf numFmtId="0" fontId="25" fillId="0" borderId="0" xfId="37" applyFont="1" applyAlignment="1">
      <alignment vertical="top" wrapText="1"/>
    </xf>
    <xf numFmtId="0" fontId="25" fillId="0" borderId="8" xfId="37" applyFont="1" applyBorder="1" applyAlignment="1">
      <alignment horizontal="center" vertical="center"/>
    </xf>
    <xf numFmtId="0" fontId="25" fillId="0" borderId="5" xfId="37" applyFont="1" applyBorder="1" applyAlignment="1">
      <alignment vertical="center"/>
    </xf>
    <xf numFmtId="0" fontId="25" fillId="0" borderId="0" xfId="37" applyFont="1" applyAlignment="1">
      <alignment horizontal="center" wrapText="1"/>
    </xf>
    <xf numFmtId="0" fontId="25" fillId="0" borderId="0" xfId="37" applyFont="1" applyAlignment="1">
      <alignment vertical="center"/>
    </xf>
    <xf numFmtId="0" fontId="25" fillId="0" borderId="0" xfId="37" applyFont="1" applyAlignment="1">
      <alignment horizontal="center"/>
    </xf>
    <xf numFmtId="38" fontId="25" fillId="0" borderId="0" xfId="37" applyNumberFormat="1" applyFont="1" applyAlignment="1">
      <alignment horizontal="center" vertical="center"/>
    </xf>
    <xf numFmtId="38" fontId="10" fillId="0" borderId="0" xfId="37" applyNumberFormat="1" applyFont="1" applyAlignment="1">
      <alignment horizontal="center" vertical="center"/>
    </xf>
    <xf numFmtId="181" fontId="25" fillId="0" borderId="78" xfId="37" applyNumberFormat="1" applyFont="1" applyBorder="1" applyAlignment="1">
      <alignment horizontal="center" vertical="center"/>
    </xf>
    <xf numFmtId="0" fontId="131" fillId="0" borderId="0" xfId="37" applyFont="1" applyAlignment="1">
      <alignment vertical="center"/>
    </xf>
    <xf numFmtId="0" fontId="111" fillId="0" borderId="0" xfId="37" applyFont="1" applyAlignment="1">
      <alignment vertical="center" wrapText="1"/>
    </xf>
    <xf numFmtId="0" fontId="25" fillId="0" borderId="0" xfId="37" applyFont="1" applyAlignment="1">
      <alignment horizontal="right" vertical="center"/>
    </xf>
    <xf numFmtId="0" fontId="10" fillId="0" borderId="0" xfId="37" applyFont="1" applyAlignment="1">
      <alignment horizontal="center"/>
    </xf>
    <xf numFmtId="0" fontId="130" fillId="0" borderId="0" xfId="37" applyFont="1" applyAlignment="1">
      <alignment vertical="center"/>
    </xf>
    <xf numFmtId="0" fontId="127" fillId="0" borderId="0" xfId="37" applyFont="1" applyAlignment="1">
      <alignment vertical="center"/>
    </xf>
    <xf numFmtId="0" fontId="246" fillId="0" borderId="0" xfId="37" quotePrefix="1" applyFont="1" applyAlignment="1">
      <alignment vertical="center"/>
    </xf>
    <xf numFmtId="0" fontId="246" fillId="0" borderId="0" xfId="37" applyFont="1" applyAlignment="1">
      <alignment vertical="center"/>
    </xf>
    <xf numFmtId="0" fontId="10" fillId="0" borderId="0" xfId="37" applyFont="1" applyAlignment="1">
      <alignment wrapText="1"/>
    </xf>
    <xf numFmtId="0" fontId="259" fillId="0" borderId="57" xfId="37" applyFont="1" applyBorder="1" applyAlignment="1">
      <alignment horizontal="center" vertical="center"/>
    </xf>
    <xf numFmtId="0" fontId="257" fillId="0" borderId="57" xfId="37" applyFont="1" applyBorder="1" applyAlignment="1">
      <alignment horizontal="center" vertical="center"/>
    </xf>
    <xf numFmtId="3" fontId="25" fillId="0" borderId="0" xfId="37" applyNumberFormat="1" applyFont="1" applyAlignment="1">
      <alignment horizontal="center" vertical="center"/>
    </xf>
    <xf numFmtId="186" fontId="25" fillId="0" borderId="0" xfId="37" applyNumberFormat="1" applyFont="1" applyAlignment="1">
      <alignment horizontal="center" vertical="center"/>
    </xf>
    <xf numFmtId="0" fontId="252" fillId="0" borderId="0" xfId="37" applyFont="1" applyAlignment="1">
      <alignment vertical="center" wrapText="1"/>
    </xf>
    <xf numFmtId="0" fontId="10" fillId="0" borderId="0" xfId="37" applyFont="1" applyAlignment="1">
      <alignment horizontal="right"/>
    </xf>
    <xf numFmtId="38" fontId="25" fillId="0" borderId="11" xfId="37" applyNumberFormat="1" applyFont="1" applyBorder="1" applyAlignment="1">
      <alignment horizontal="center" vertical="center"/>
    </xf>
    <xf numFmtId="0" fontId="93" fillId="0" borderId="0" xfId="37" applyFont="1" applyAlignment="1">
      <alignment horizontal="center" vertical="center"/>
    </xf>
    <xf numFmtId="0" fontId="246" fillId="0" borderId="0" xfId="37" applyFont="1" applyAlignment="1">
      <alignment horizontal="left" vertical="center"/>
    </xf>
    <xf numFmtId="0" fontId="252" fillId="0" borderId="0" xfId="37" applyFont="1" applyAlignment="1">
      <alignment horizontal="center" vertical="center"/>
    </xf>
    <xf numFmtId="0" fontId="10" fillId="0" borderId="0" xfId="37" applyFont="1" applyAlignment="1">
      <alignment horizontal="right" vertical="center"/>
    </xf>
    <xf numFmtId="38" fontId="25" fillId="0" borderId="88" xfId="37" applyNumberFormat="1" applyFont="1" applyBorder="1" applyAlignment="1">
      <alignment horizontal="center" vertical="center"/>
    </xf>
    <xf numFmtId="0" fontId="252" fillId="0" borderId="0" xfId="37" applyFont="1" applyAlignment="1">
      <alignment horizontal="left" vertical="top"/>
    </xf>
    <xf numFmtId="0" fontId="25" fillId="0" borderId="0" xfId="37" quotePrefix="1" applyFont="1" applyAlignment="1">
      <alignment horizontal="left" vertical="center"/>
    </xf>
    <xf numFmtId="0" fontId="10" fillId="0" borderId="0" xfId="37" quotePrefix="1" applyFont="1" applyAlignment="1">
      <alignment horizontal="right" vertical="center"/>
    </xf>
    <xf numFmtId="0" fontId="25" fillId="0" borderId="0" xfId="37" quotePrefix="1" applyFont="1" applyAlignment="1">
      <alignment horizontal="left" vertical="top"/>
    </xf>
    <xf numFmtId="0" fontId="25" fillId="13" borderId="13" xfId="37" applyFont="1" applyFill="1" applyBorder="1" applyAlignment="1">
      <alignment horizontal="center" vertical="center"/>
    </xf>
    <xf numFmtId="0" fontId="246" fillId="0" borderId="0" xfId="37" quotePrefix="1" applyFont="1" applyAlignment="1">
      <alignment horizontal="center" vertical="center"/>
    </xf>
    <xf numFmtId="0" fontId="25" fillId="13" borderId="8" xfId="37" applyFont="1" applyFill="1" applyBorder="1" applyAlignment="1">
      <alignment horizontal="center" vertical="top"/>
    </xf>
    <xf numFmtId="0" fontId="25" fillId="13" borderId="13" xfId="37" applyFont="1" applyFill="1" applyBorder="1" applyAlignment="1">
      <alignment horizontal="center" vertical="top"/>
    </xf>
    <xf numFmtId="0" fontId="10" fillId="0" borderId="0" xfId="37" applyFont="1" applyAlignment="1">
      <alignment vertical="top"/>
    </xf>
    <xf numFmtId="0" fontId="10" fillId="0" borderId="0" xfId="37" applyFont="1" applyAlignment="1">
      <alignment horizontal="center" vertical="top"/>
    </xf>
    <xf numFmtId="0" fontId="10" fillId="0" borderId="0" xfId="37" applyFont="1" applyAlignment="1">
      <alignment horizontal="right" vertical="top"/>
    </xf>
    <xf numFmtId="0" fontId="252" fillId="0" borderId="0" xfId="37" applyFont="1" applyAlignment="1">
      <alignment horizontal="center" vertical="top"/>
    </xf>
    <xf numFmtId="0" fontId="252" fillId="0" borderId="0" xfId="37" applyFont="1" applyAlignment="1">
      <alignment vertical="top" wrapText="1"/>
    </xf>
    <xf numFmtId="0" fontId="127" fillId="0" borderId="9" xfId="37" applyFont="1" applyBorder="1" applyAlignment="1">
      <alignment vertical="top"/>
    </xf>
    <xf numFmtId="0" fontId="10" fillId="0" borderId="9" xfId="37" applyFont="1" applyBorder="1" applyAlignment="1">
      <alignment vertical="center"/>
    </xf>
    <xf numFmtId="0" fontId="10" fillId="0" borderId="9" xfId="37" applyFont="1" applyBorder="1" applyAlignment="1">
      <alignment horizontal="left" vertical="top" wrapText="1"/>
    </xf>
    <xf numFmtId="0" fontId="10" fillId="0" borderId="0" xfId="37" applyFont="1" applyAlignment="1">
      <alignment horizontal="center" vertical="top" wrapText="1"/>
    </xf>
    <xf numFmtId="0" fontId="25" fillId="0" borderId="0" xfId="37" applyFont="1" applyAlignment="1">
      <alignment horizontal="center" vertical="top" wrapText="1"/>
    </xf>
    <xf numFmtId="0" fontId="93" fillId="0" borderId="4" xfId="37" applyFont="1" applyBorder="1" applyAlignment="1">
      <alignment vertical="center"/>
    </xf>
    <xf numFmtId="0" fontId="127" fillId="0" borderId="0" xfId="37" applyFont="1" applyAlignment="1">
      <alignment horizontal="left"/>
    </xf>
    <xf numFmtId="0" fontId="131" fillId="0" borderId="0" xfId="37" applyFont="1" applyAlignment="1">
      <alignment horizontal="right" vertical="center"/>
    </xf>
    <xf numFmtId="0" fontId="176" fillId="0" borderId="0" xfId="37" applyFont="1" applyAlignment="1">
      <alignment vertical="center" wrapText="1"/>
    </xf>
    <xf numFmtId="0" fontId="10" fillId="0" borderId="0" xfId="37" quotePrefix="1" applyFont="1" applyAlignment="1">
      <alignment vertical="center"/>
    </xf>
    <xf numFmtId="0" fontId="131" fillId="0" borderId="0" xfId="37" applyFont="1" applyAlignment="1">
      <alignment horizontal="center"/>
    </xf>
    <xf numFmtId="0" fontId="10" fillId="0" borderId="0" xfId="37" quotePrefix="1" applyFont="1" applyAlignment="1">
      <alignment horizontal="right" vertical="top"/>
    </xf>
    <xf numFmtId="0" fontId="93" fillId="0" borderId="0" xfId="37" applyFont="1" applyAlignment="1">
      <alignment vertical="center"/>
    </xf>
    <xf numFmtId="0" fontId="25" fillId="0" borderId="0" xfId="37" applyFont="1"/>
    <xf numFmtId="0" fontId="25" fillId="0" borderId="0" xfId="37" applyFont="1" applyAlignment="1">
      <alignment horizontal="right"/>
    </xf>
    <xf numFmtId="181" fontId="25" fillId="17" borderId="11" xfId="37" applyNumberFormat="1" applyFont="1" applyFill="1" applyBorder="1" applyAlignment="1">
      <alignment horizontal="center" vertical="center"/>
    </xf>
    <xf numFmtId="0" fontId="25" fillId="0" borderId="0" xfId="37" quotePrefix="1" applyFont="1" applyAlignment="1">
      <alignment horizontal="center" vertical="center"/>
    </xf>
    <xf numFmtId="38" fontId="25" fillId="13" borderId="89" xfId="37" applyNumberFormat="1" applyFont="1" applyFill="1" applyBorder="1" applyAlignment="1">
      <alignment horizontal="center" vertical="center"/>
    </xf>
    <xf numFmtId="0" fontId="25" fillId="13" borderId="8" xfId="37" applyFont="1" applyFill="1" applyBorder="1" applyAlignment="1">
      <alignment horizontal="center" vertical="center"/>
    </xf>
    <xf numFmtId="0" fontId="10" fillId="0" borderId="0" xfId="37" quotePrefix="1" applyFont="1" applyAlignment="1">
      <alignment horizontal="left" vertical="top"/>
    </xf>
    <xf numFmtId="0" fontId="131" fillId="0" borderId="0" xfId="37" applyFont="1" applyAlignment="1">
      <alignment horizontal="left" vertical="center" wrapText="1"/>
    </xf>
    <xf numFmtId="0" fontId="111" fillId="0" borderId="0" xfId="37" applyFont="1" applyAlignment="1">
      <alignment horizontal="right"/>
    </xf>
    <xf numFmtId="3" fontId="14" fillId="0" borderId="37" xfId="37" applyNumberFormat="1" applyFont="1" applyBorder="1" applyAlignment="1">
      <alignment horizontal="center" vertical="center"/>
    </xf>
    <xf numFmtId="4" fontId="14" fillId="0" borderId="18" xfId="37" applyNumberFormat="1" applyFont="1" applyBorder="1" applyAlignment="1">
      <alignment horizontal="center" vertical="center"/>
    </xf>
    <xf numFmtId="3" fontId="14" fillId="0" borderId="18" xfId="37" applyNumberFormat="1" applyFont="1" applyBorder="1" applyAlignment="1">
      <alignment horizontal="center" vertical="center"/>
    </xf>
    <xf numFmtId="0" fontId="5" fillId="0" borderId="0" xfId="37" applyFont="1"/>
    <xf numFmtId="0" fontId="14" fillId="0" borderId="0" xfId="37" applyFont="1" applyAlignment="1">
      <alignment horizontal="right" vertical="center"/>
    </xf>
    <xf numFmtId="181" fontId="25" fillId="0" borderId="11" xfId="37" applyNumberFormat="1" applyFont="1" applyBorder="1" applyAlignment="1">
      <alignment horizontal="center" vertical="center"/>
    </xf>
    <xf numFmtId="0" fontId="14" fillId="0" borderId="0" xfId="37" applyFont="1" applyAlignment="1">
      <alignment horizontal="left" vertical="center"/>
    </xf>
    <xf numFmtId="0" fontId="4" fillId="0" borderId="0" xfId="37" applyAlignment="1">
      <alignment horizontal="center" vertical="center"/>
    </xf>
    <xf numFmtId="181" fontId="25" fillId="13" borderId="11" xfId="37" applyNumberFormat="1" applyFont="1" applyFill="1" applyBorder="1" applyAlignment="1">
      <alignment horizontal="center" vertical="center"/>
    </xf>
    <xf numFmtId="0" fontId="10" fillId="0" borderId="0" xfId="37" quotePrefix="1" applyFont="1" applyAlignment="1">
      <alignment horizontal="center" vertical="top"/>
    </xf>
    <xf numFmtId="0" fontId="25" fillId="13" borderId="17" xfId="37" applyFont="1" applyFill="1" applyBorder="1" applyAlignment="1">
      <alignment horizontal="center" vertical="top"/>
    </xf>
    <xf numFmtId="0" fontId="10" fillId="0" borderId="0" xfId="37" quotePrefix="1" applyFont="1" applyAlignment="1">
      <alignment horizontal="center" vertical="center"/>
    </xf>
    <xf numFmtId="0" fontId="127" fillId="0" borderId="9" xfId="37" applyFont="1" applyBorder="1" applyAlignment="1">
      <alignment vertical="center"/>
    </xf>
    <xf numFmtId="0" fontId="10" fillId="0" borderId="9" xfId="37" applyFont="1" applyBorder="1" applyAlignment="1">
      <alignment horizontal="left" vertical="center" wrapText="1"/>
    </xf>
    <xf numFmtId="0" fontId="246" fillId="0" borderId="0" xfId="37" quotePrefix="1" applyFont="1" applyAlignment="1">
      <alignment horizontal="left" vertical="center"/>
    </xf>
    <xf numFmtId="38" fontId="25" fillId="0" borderId="9" xfId="37" applyNumberFormat="1" applyFont="1" applyBorder="1" applyAlignment="1">
      <alignment horizontal="center" vertical="center"/>
    </xf>
    <xf numFmtId="0" fontId="4" fillId="0" borderId="0" xfId="37" applyAlignment="1">
      <alignment horizontal="right" vertical="center"/>
    </xf>
    <xf numFmtId="38" fontId="25" fillId="13" borderId="17" xfId="37" applyNumberFormat="1" applyFont="1" applyFill="1" applyBorder="1" applyAlignment="1">
      <alignment horizontal="center" vertical="center"/>
    </xf>
    <xf numFmtId="38" fontId="25" fillId="13" borderId="7" xfId="37" applyNumberFormat="1" applyFont="1" applyFill="1" applyBorder="1" applyAlignment="1">
      <alignment horizontal="center" vertical="center"/>
    </xf>
    <xf numFmtId="0" fontId="15" fillId="0" borderId="0" xfId="37" applyFont="1"/>
    <xf numFmtId="0" fontId="10" fillId="0" borderId="0" xfId="37" applyFont="1" applyAlignment="1">
      <alignment horizontal="right" vertical="center" wrapText="1"/>
    </xf>
    <xf numFmtId="0" fontId="5" fillId="0" borderId="0" xfId="37" applyFont="1" applyAlignment="1">
      <alignment vertical="center"/>
    </xf>
    <xf numFmtId="0" fontId="38" fillId="0" borderId="0" xfId="37" applyFont="1" applyAlignment="1">
      <alignment vertical="center"/>
    </xf>
    <xf numFmtId="0" fontId="252" fillId="0" borderId="0" xfId="37" applyFont="1" applyAlignment="1">
      <alignment horizontal="left" vertical="center"/>
    </xf>
    <xf numFmtId="38" fontId="25" fillId="13" borderId="13" xfId="37" applyNumberFormat="1" applyFont="1" applyFill="1" applyBorder="1" applyAlignment="1">
      <alignment horizontal="center" vertical="center"/>
    </xf>
    <xf numFmtId="38" fontId="25" fillId="13" borderId="12" xfId="37" applyNumberFormat="1" applyFont="1" applyFill="1" applyBorder="1" applyAlignment="1">
      <alignment horizontal="center" vertical="center"/>
    </xf>
    <xf numFmtId="0" fontId="4" fillId="0" borderId="0" xfId="37" applyAlignment="1">
      <alignment horizontal="center" vertical="top"/>
    </xf>
    <xf numFmtId="38" fontId="25" fillId="13" borderId="12" xfId="37" applyNumberFormat="1" applyFont="1" applyFill="1" applyBorder="1" applyAlignment="1">
      <alignment horizontal="center" vertical="top"/>
    </xf>
    <xf numFmtId="0" fontId="5" fillId="0" borderId="0" xfId="37" applyFont="1" applyAlignment="1">
      <alignment horizontal="right" vertical="center"/>
    </xf>
    <xf numFmtId="38" fontId="131" fillId="0" borderId="0" xfId="37" applyNumberFormat="1" applyFont="1" applyAlignment="1">
      <alignment vertical="center"/>
    </xf>
    <xf numFmtId="0" fontId="111" fillId="0" borderId="0" xfId="37" applyFont="1" applyAlignment="1">
      <alignment vertical="center"/>
    </xf>
    <xf numFmtId="0" fontId="256" fillId="0" borderId="0" xfId="0" applyFont="1" applyAlignment="1">
      <alignment horizontal="right" vertical="center"/>
    </xf>
    <xf numFmtId="0" fontId="127" fillId="0" borderId="0" xfId="37" applyFont="1" applyAlignment="1">
      <alignment vertical="top"/>
    </xf>
    <xf numFmtId="0" fontId="127" fillId="0" borderId="0" xfId="37" applyFont="1" applyAlignment="1">
      <alignment horizontal="right" vertical="center"/>
    </xf>
    <xf numFmtId="0" fontId="10" fillId="0" borderId="0" xfId="37" quotePrefix="1" applyFont="1" applyAlignment="1">
      <alignment vertical="top"/>
    </xf>
    <xf numFmtId="0" fontId="111" fillId="0" borderId="0" xfId="37" applyFont="1" applyAlignment="1">
      <alignment horizontal="left" vertical="center"/>
    </xf>
    <xf numFmtId="0" fontId="10" fillId="0" borderId="0" xfId="37" applyFont="1" applyAlignment="1">
      <alignment vertical="top" wrapText="1"/>
    </xf>
    <xf numFmtId="0" fontId="254" fillId="0" borderId="0" xfId="37" applyFont="1" applyAlignment="1">
      <alignment vertical="center"/>
    </xf>
    <xf numFmtId="0" fontId="5" fillId="0" borderId="7" xfId="33" applyFont="1" applyBorder="1" applyAlignment="1">
      <alignment horizontal="center" vertical="center"/>
    </xf>
    <xf numFmtId="181" fontId="25" fillId="13" borderId="13" xfId="37" applyNumberFormat="1" applyFont="1" applyFill="1" applyBorder="1" applyAlignment="1">
      <alignment horizontal="center" vertical="center"/>
    </xf>
    <xf numFmtId="0" fontId="25" fillId="0" borderId="0" xfId="37" applyFont="1" applyAlignment="1">
      <alignment vertical="top"/>
    </xf>
    <xf numFmtId="0" fontId="254" fillId="0" borderId="0" xfId="37" applyFont="1" applyAlignment="1">
      <alignment vertical="top"/>
    </xf>
    <xf numFmtId="167" fontId="10" fillId="0" borderId="0" xfId="37" applyNumberFormat="1" applyFont="1" applyAlignment="1">
      <alignment vertical="top" wrapText="1"/>
    </xf>
    <xf numFmtId="0" fontId="5" fillId="0" borderId="8" xfId="33" applyFont="1" applyBorder="1" applyAlignment="1">
      <alignment horizontal="center" vertical="center"/>
    </xf>
    <xf numFmtId="49" fontId="25" fillId="0" borderId="0" xfId="37" quotePrefix="1" applyNumberFormat="1" applyFont="1" applyAlignment="1">
      <alignment horizontal="left" vertical="top"/>
    </xf>
    <xf numFmtId="38" fontId="25" fillId="13" borderId="66" xfId="37" applyNumberFormat="1" applyFont="1" applyFill="1" applyBorder="1" applyAlignment="1">
      <alignment horizontal="center" vertical="center"/>
    </xf>
    <xf numFmtId="0" fontId="131" fillId="0" borderId="0" xfId="37" applyFont="1" applyAlignment="1">
      <alignment horizontal="center" vertical="top"/>
    </xf>
    <xf numFmtId="38" fontId="25" fillId="13" borderId="13" xfId="37" applyNumberFormat="1" applyFont="1" applyFill="1" applyBorder="1" applyAlignment="1">
      <alignment horizontal="center" vertical="top"/>
    </xf>
    <xf numFmtId="186" fontId="25" fillId="13" borderId="11" xfId="37" applyNumberFormat="1" applyFont="1" applyFill="1" applyBorder="1" applyAlignment="1">
      <alignment horizontal="center" vertical="center"/>
    </xf>
    <xf numFmtId="0" fontId="93" fillId="0" borderId="0" xfId="37" applyFont="1" applyAlignment="1">
      <alignment horizontal="left" vertical="center"/>
    </xf>
    <xf numFmtId="0" fontId="94" fillId="0" borderId="0" xfId="37" applyFont="1" applyAlignment="1">
      <alignment vertical="center"/>
    </xf>
    <xf numFmtId="0" fontId="4" fillId="0" borderId="0" xfId="37"/>
    <xf numFmtId="0" fontId="4" fillId="0" borderId="0" xfId="37" applyAlignment="1">
      <alignment vertical="center"/>
    </xf>
    <xf numFmtId="0" fontId="4" fillId="0" borderId="0" xfId="37" applyAlignment="1">
      <alignment horizontal="left" vertical="center" wrapText="1"/>
    </xf>
    <xf numFmtId="0" fontId="93" fillId="0" borderId="0" xfId="37" applyFont="1" applyAlignment="1">
      <alignment horizontal="center"/>
    </xf>
    <xf numFmtId="49" fontId="25" fillId="0" borderId="0" xfId="37" quotePrefix="1" applyNumberFormat="1" applyFont="1" applyAlignment="1">
      <alignment horizontal="left" vertical="center"/>
    </xf>
    <xf numFmtId="0" fontId="247" fillId="0" borderId="0" xfId="37" applyFont="1"/>
    <xf numFmtId="0" fontId="255" fillId="0" borderId="0" xfId="37" applyFont="1" applyAlignment="1">
      <alignment horizontal="right" vertical="center"/>
    </xf>
    <xf numFmtId="0" fontId="111" fillId="0" borderId="33" xfId="37" applyFont="1" applyBorder="1" applyAlignment="1">
      <alignment vertical="center"/>
    </xf>
    <xf numFmtId="0" fontId="246" fillId="0" borderId="14" xfId="37" applyFont="1" applyBorder="1" applyAlignment="1">
      <alignment vertical="center"/>
    </xf>
    <xf numFmtId="0" fontId="10" fillId="0" borderId="14" xfId="37" applyFont="1" applyBorder="1" applyAlignment="1">
      <alignment vertical="center"/>
    </xf>
    <xf numFmtId="0" fontId="253" fillId="0" borderId="42" xfId="37" applyFont="1" applyBorder="1" applyAlignment="1">
      <alignment horizontal="center" vertical="center"/>
    </xf>
    <xf numFmtId="0" fontId="258" fillId="0" borderId="42" xfId="37" applyFont="1" applyBorder="1" applyAlignment="1">
      <alignment horizontal="center" vertical="center"/>
    </xf>
    <xf numFmtId="0" fontId="131" fillId="0" borderId="29" xfId="37" applyFont="1" applyBorder="1" applyAlignment="1">
      <alignment horizontal="right" vertical="center"/>
    </xf>
    <xf numFmtId="0" fontId="10" fillId="0" borderId="30" xfId="37" applyFont="1" applyBorder="1" applyAlignment="1">
      <alignment vertical="center"/>
    </xf>
    <xf numFmtId="181" fontId="257" fillId="0" borderId="0" xfId="37" applyNumberFormat="1" applyFont="1" applyAlignment="1">
      <alignment horizontal="center" vertical="center"/>
    </xf>
    <xf numFmtId="0" fontId="131" fillId="0" borderId="31" xfId="37" applyFont="1" applyBorder="1" applyAlignment="1">
      <alignment horizontal="right" vertical="center"/>
    </xf>
    <xf numFmtId="38" fontId="259" fillId="0" borderId="0" xfId="37" applyNumberFormat="1" applyFont="1" applyAlignment="1">
      <alignment horizontal="center" vertical="center"/>
    </xf>
    <xf numFmtId="38" fontId="257" fillId="0" borderId="0" xfId="37" applyNumberFormat="1" applyFont="1" applyAlignment="1">
      <alignment horizontal="center" vertical="center"/>
    </xf>
    <xf numFmtId="0" fontId="10" fillId="0" borderId="32" xfId="37" applyFont="1" applyBorder="1" applyAlignment="1">
      <alignment vertical="center"/>
    </xf>
    <xf numFmtId="0" fontId="246" fillId="0" borderId="15" xfId="37" applyFont="1" applyBorder="1" applyAlignment="1">
      <alignment vertical="center"/>
    </xf>
    <xf numFmtId="0" fontId="10" fillId="0" borderId="15" xfId="37" applyFont="1" applyBorder="1" applyAlignment="1">
      <alignment vertical="center"/>
    </xf>
    <xf numFmtId="0" fontId="131" fillId="0" borderId="43" xfId="37" applyFont="1" applyBorder="1" applyAlignment="1">
      <alignment horizontal="right" vertical="center"/>
    </xf>
    <xf numFmtId="0" fontId="10" fillId="0" borderId="0" xfId="37" quotePrefix="1" applyFont="1" applyAlignment="1">
      <alignment horizontal="left" vertical="center"/>
    </xf>
    <xf numFmtId="0" fontId="109" fillId="0" borderId="0" xfId="37" applyFont="1" applyAlignment="1">
      <alignment horizontal="right" vertical="center"/>
    </xf>
    <xf numFmtId="0" fontId="131" fillId="0" borderId="0" xfId="37" applyFont="1"/>
    <xf numFmtId="0" fontId="25" fillId="0" borderId="0" xfId="37" quotePrefix="1" applyFont="1" applyAlignment="1">
      <alignment horizontal="center" vertical="top"/>
    </xf>
    <xf numFmtId="0" fontId="10" fillId="0" borderId="4" xfId="37" applyFont="1" applyBorder="1" applyAlignment="1">
      <alignment vertical="top" wrapText="1"/>
    </xf>
    <xf numFmtId="0" fontId="5" fillId="0" borderId="0" xfId="37" applyFont="1" applyAlignment="1">
      <alignment horizontal="center" vertical="center"/>
    </xf>
    <xf numFmtId="0" fontId="131" fillId="0" borderId="0" xfId="37" applyFont="1" applyAlignment="1">
      <alignment vertical="top"/>
    </xf>
    <xf numFmtId="186" fontId="25" fillId="0" borderId="11" xfId="37" applyNumberFormat="1" applyFont="1" applyBorder="1" applyAlignment="1">
      <alignment horizontal="center" vertical="center"/>
    </xf>
    <xf numFmtId="0" fontId="263" fillId="0" borderId="0" xfId="37" applyFont="1" applyAlignment="1">
      <alignment horizontal="center" vertical="center"/>
    </xf>
    <xf numFmtId="38" fontId="25" fillId="13" borderId="8" xfId="37" applyNumberFormat="1" applyFont="1" applyFill="1" applyBorder="1" applyAlignment="1">
      <alignment horizontal="center" vertical="center"/>
    </xf>
    <xf numFmtId="0" fontId="257" fillId="0" borderId="0" xfId="37" applyFont="1"/>
    <xf numFmtId="9" fontId="262" fillId="0" borderId="9" xfId="37" applyNumberFormat="1" applyFont="1" applyBorder="1" applyAlignment="1">
      <alignment horizontal="center" vertical="center" wrapText="1"/>
    </xf>
    <xf numFmtId="9" fontId="261" fillId="0" borderId="9" xfId="37" applyNumberFormat="1" applyFont="1" applyBorder="1" applyAlignment="1">
      <alignment horizontal="center" vertical="center" wrapText="1"/>
    </xf>
    <xf numFmtId="0" fontId="10" fillId="0" borderId="15" xfId="37" applyFont="1" applyBorder="1"/>
    <xf numFmtId="38" fontId="253" fillId="0" borderId="65" xfId="37" applyNumberFormat="1" applyFont="1" applyBorder="1" applyAlignment="1">
      <alignment horizontal="center" vertical="center" wrapText="1"/>
    </xf>
    <xf numFmtId="38" fontId="253" fillId="0" borderId="64" xfId="37" applyNumberFormat="1" applyFont="1" applyBorder="1" applyAlignment="1">
      <alignment horizontal="center" vertical="center" wrapText="1"/>
    </xf>
    <xf numFmtId="38" fontId="253" fillId="0" borderId="127" xfId="37" applyNumberFormat="1" applyFont="1" applyBorder="1" applyAlignment="1">
      <alignment horizontal="center" vertical="center" wrapText="1"/>
    </xf>
    <xf numFmtId="0" fontId="10" fillId="0" borderId="16" xfId="37" applyFont="1" applyBorder="1" applyAlignment="1">
      <alignment vertical="center"/>
    </xf>
    <xf numFmtId="38" fontId="253" fillId="0" borderId="39" xfId="37" applyNumberFormat="1" applyFont="1" applyBorder="1" applyAlignment="1">
      <alignment horizontal="center" vertical="center" wrapText="1"/>
    </xf>
    <xf numFmtId="38" fontId="253" fillId="0" borderId="128" xfId="37" applyNumberFormat="1" applyFont="1" applyBorder="1" applyAlignment="1">
      <alignment horizontal="center" vertical="center" wrapText="1"/>
    </xf>
    <xf numFmtId="38" fontId="258" fillId="0" borderId="125" xfId="37" applyNumberFormat="1" applyFont="1" applyBorder="1" applyAlignment="1">
      <alignment horizontal="center" vertical="center" wrapText="1"/>
    </xf>
    <xf numFmtId="38" fontId="258" fillId="0" borderId="19" xfId="37" applyNumberFormat="1" applyFont="1" applyBorder="1" applyAlignment="1">
      <alignment horizontal="center" vertical="center" wrapText="1"/>
    </xf>
    <xf numFmtId="38" fontId="258" fillId="0" borderId="39" xfId="37" applyNumberFormat="1" applyFont="1" applyBorder="1" applyAlignment="1">
      <alignment horizontal="center" vertical="center" wrapText="1"/>
    </xf>
    <xf numFmtId="0" fontId="10" fillId="0" borderId="16" xfId="37" applyFont="1" applyBorder="1"/>
    <xf numFmtId="38" fontId="253" fillId="0" borderId="19" xfId="37" applyNumberFormat="1" applyFont="1" applyBorder="1" applyAlignment="1">
      <alignment horizontal="center" vertical="center" wrapText="1"/>
    </xf>
    <xf numFmtId="181" fontId="253" fillId="0" borderId="39" xfId="37" applyNumberFormat="1" applyFont="1" applyBorder="1" applyAlignment="1">
      <alignment horizontal="center" vertical="center" wrapText="1"/>
    </xf>
    <xf numFmtId="181" fontId="253" fillId="0" borderId="19" xfId="37" applyNumberFormat="1" applyFont="1" applyBorder="1" applyAlignment="1">
      <alignment horizontal="center" vertical="center" wrapText="1"/>
    </xf>
    <xf numFmtId="0" fontId="253" fillId="0" borderId="39" xfId="37" applyFont="1" applyBorder="1" applyAlignment="1">
      <alignment horizontal="center" vertical="center" wrapText="1"/>
    </xf>
    <xf numFmtId="0" fontId="253" fillId="0" borderId="128" xfId="37" applyFont="1" applyBorder="1" applyAlignment="1">
      <alignment horizontal="center" vertical="center" wrapText="1"/>
    </xf>
    <xf numFmtId="181" fontId="258" fillId="0" borderId="125" xfId="37" applyNumberFormat="1" applyFont="1" applyBorder="1" applyAlignment="1">
      <alignment horizontal="center" vertical="center" wrapText="1"/>
    </xf>
    <xf numFmtId="181" fontId="258" fillId="0" borderId="19" xfId="37" applyNumberFormat="1" applyFont="1" applyBorder="1" applyAlignment="1">
      <alignment horizontal="center" vertical="center" wrapText="1"/>
    </xf>
    <xf numFmtId="0" fontId="258" fillId="0" borderId="39" xfId="37" applyFont="1" applyBorder="1" applyAlignment="1">
      <alignment horizontal="center" vertical="center" wrapText="1"/>
    </xf>
    <xf numFmtId="0" fontId="258" fillId="0" borderId="19" xfId="37" applyFont="1" applyBorder="1" applyAlignment="1">
      <alignment horizontal="center" vertical="center" wrapText="1"/>
    </xf>
    <xf numFmtId="0" fontId="253" fillId="0" borderId="19" xfId="37" applyFont="1" applyBorder="1" applyAlignment="1">
      <alignment horizontal="center" vertical="center" wrapText="1"/>
    </xf>
    <xf numFmtId="181" fontId="253" fillId="28" borderId="39" xfId="37" applyNumberFormat="1" applyFont="1" applyFill="1" applyBorder="1" applyAlignment="1">
      <alignment horizontal="center" vertical="center" wrapText="1"/>
    </xf>
    <xf numFmtId="181" fontId="253" fillId="28" borderId="128" xfId="37" applyNumberFormat="1" applyFont="1" applyFill="1" applyBorder="1" applyAlignment="1">
      <alignment horizontal="center" vertical="center" wrapText="1"/>
    </xf>
    <xf numFmtId="181" fontId="258" fillId="28" borderId="39" xfId="37" applyNumberFormat="1" applyFont="1" applyFill="1" applyBorder="1" applyAlignment="1">
      <alignment horizontal="center" vertical="center" wrapText="1"/>
    </xf>
    <xf numFmtId="181" fontId="258" fillId="28" borderId="19" xfId="37" applyNumberFormat="1" applyFont="1" applyFill="1" applyBorder="1" applyAlignment="1">
      <alignment horizontal="center" vertical="center" wrapText="1"/>
    </xf>
    <xf numFmtId="38" fontId="253" fillId="28" borderId="39" xfId="37" applyNumberFormat="1" applyFont="1" applyFill="1" applyBorder="1" applyAlignment="1">
      <alignment horizontal="center" vertical="center" wrapText="1"/>
    </xf>
    <xf numFmtId="38" fontId="253" fillId="28" borderId="128" xfId="37" applyNumberFormat="1" applyFont="1" applyFill="1" applyBorder="1" applyAlignment="1">
      <alignment horizontal="center" vertical="center" wrapText="1"/>
    </xf>
    <xf numFmtId="38" fontId="258" fillId="28" borderId="39" xfId="37" applyNumberFormat="1" applyFont="1" applyFill="1" applyBorder="1" applyAlignment="1">
      <alignment horizontal="center" vertical="center" wrapText="1"/>
    </xf>
    <xf numFmtId="38" fontId="258" fillId="28" borderId="19" xfId="37" applyNumberFormat="1" applyFont="1" applyFill="1" applyBorder="1" applyAlignment="1">
      <alignment horizontal="center" vertical="center" wrapText="1"/>
    </xf>
    <xf numFmtId="0" fontId="253" fillId="28" borderId="19" xfId="37" applyFont="1" applyFill="1" applyBorder="1" applyAlignment="1">
      <alignment horizontal="center" vertical="center" wrapText="1"/>
    </xf>
    <xf numFmtId="0" fontId="253" fillId="28" borderId="39" xfId="37" applyFont="1" applyFill="1" applyBorder="1" applyAlignment="1">
      <alignment horizontal="center" vertical="center" wrapText="1"/>
    </xf>
    <xf numFmtId="0" fontId="258" fillId="28" borderId="19" xfId="37" applyFont="1" applyFill="1" applyBorder="1" applyAlignment="1">
      <alignment horizontal="center" vertical="center" wrapText="1"/>
    </xf>
    <xf numFmtId="0" fontId="258" fillId="28" borderId="39" xfId="37" applyFont="1" applyFill="1" applyBorder="1" applyAlignment="1">
      <alignment horizontal="center" vertical="center" wrapText="1"/>
    </xf>
    <xf numFmtId="38" fontId="253" fillId="28" borderId="19" xfId="37" applyNumberFormat="1" applyFont="1" applyFill="1" applyBorder="1" applyAlignment="1">
      <alignment horizontal="center" vertical="center" wrapText="1"/>
    </xf>
    <xf numFmtId="0" fontId="258" fillId="28" borderId="125" xfId="37" applyFont="1" applyFill="1" applyBorder="1" applyAlignment="1">
      <alignment horizontal="center" vertical="center" wrapText="1"/>
    </xf>
    <xf numFmtId="0" fontId="10" fillId="0" borderId="42" xfId="37" applyFont="1" applyBorder="1" applyAlignment="1">
      <alignment vertical="center"/>
    </xf>
    <xf numFmtId="0" fontId="10" fillId="0" borderId="42" xfId="37" applyFont="1" applyBorder="1"/>
    <xf numFmtId="0" fontId="253" fillId="0" borderId="37" xfId="37" applyFont="1" applyBorder="1" applyAlignment="1">
      <alignment horizontal="center" vertical="center" wrapText="1"/>
    </xf>
    <xf numFmtId="38" fontId="253" fillId="0" borderId="60" xfId="37" applyNumberFormat="1" applyFont="1" applyBorder="1" applyAlignment="1">
      <alignment horizontal="center" vertical="center" wrapText="1"/>
    </xf>
    <xf numFmtId="38" fontId="253" fillId="0" borderId="37" xfId="37" applyNumberFormat="1" applyFont="1" applyBorder="1" applyAlignment="1">
      <alignment horizontal="center" vertical="center" wrapText="1"/>
    </xf>
    <xf numFmtId="38" fontId="253" fillId="0" borderId="129" xfId="37" applyNumberFormat="1" applyFont="1" applyBorder="1" applyAlignment="1">
      <alignment horizontal="center" vertical="center" wrapText="1"/>
    </xf>
    <xf numFmtId="0" fontId="258" fillId="0" borderId="126" xfId="37" applyFont="1" applyBorder="1" applyAlignment="1">
      <alignment horizontal="center" vertical="center" wrapText="1"/>
    </xf>
    <xf numFmtId="38" fontId="258" fillId="0" borderId="18" xfId="37" applyNumberFormat="1" applyFont="1" applyBorder="1" applyAlignment="1">
      <alignment horizontal="center" vertical="center" wrapText="1"/>
    </xf>
    <xf numFmtId="38" fontId="258" fillId="0" borderId="37" xfId="37" applyNumberFormat="1" applyFont="1" applyBorder="1" applyAlignment="1">
      <alignment horizontal="center" vertical="center" wrapText="1"/>
    </xf>
    <xf numFmtId="0" fontId="259" fillId="0" borderId="0" xfId="37" applyFont="1" applyAlignment="1">
      <alignment vertical="center"/>
    </xf>
    <xf numFmtId="0" fontId="257" fillId="0" borderId="0" xfId="37" applyFont="1" applyAlignment="1">
      <alignment vertical="center"/>
    </xf>
    <xf numFmtId="186" fontId="253" fillId="0" borderId="0" xfId="37" applyNumberFormat="1" applyFont="1" applyAlignment="1">
      <alignment horizontal="center" vertical="center"/>
    </xf>
    <xf numFmtId="186" fontId="258" fillId="0" borderId="0" xfId="37" applyNumberFormat="1" applyFont="1" applyAlignment="1">
      <alignment horizontal="center" vertical="center"/>
    </xf>
    <xf numFmtId="38" fontId="10" fillId="0" borderId="28" xfId="13" applyNumberFormat="1" applyFont="1" applyBorder="1" applyAlignment="1">
      <alignment horizontal="center"/>
    </xf>
    <xf numFmtId="0" fontId="10" fillId="0" borderId="28" xfId="13" applyFont="1" applyBorder="1" applyAlignment="1">
      <alignment horizontal="center"/>
    </xf>
    <xf numFmtId="3" fontId="10" fillId="0" borderId="28" xfId="13" applyNumberFormat="1" applyFont="1" applyBorder="1" applyAlignment="1">
      <alignment horizontal="center"/>
    </xf>
    <xf numFmtId="6" fontId="4" fillId="0" borderId="32" xfId="13" applyNumberFormat="1" applyBorder="1" applyAlignment="1">
      <alignment horizontal="center" vertical="top"/>
    </xf>
    <xf numFmtId="6" fontId="4" fillId="0" borderId="15" xfId="13" applyNumberFormat="1" applyBorder="1" applyAlignment="1">
      <alignment horizontal="center" vertical="top"/>
    </xf>
    <xf numFmtId="185" fontId="4" fillId="0" borderId="43" xfId="13" applyNumberFormat="1" applyBorder="1" applyAlignment="1">
      <alignment horizontal="center" vertical="top"/>
    </xf>
    <xf numFmtId="38" fontId="4" fillId="0" borderId="17" xfId="37" applyNumberFormat="1" applyBorder="1" applyAlignment="1">
      <alignment horizontal="center" vertical="center"/>
    </xf>
    <xf numFmtId="0" fontId="9" fillId="0" borderId="0" xfId="37" applyFont="1" applyAlignment="1">
      <alignment vertical="center"/>
    </xf>
    <xf numFmtId="0" fontId="102" fillId="0" borderId="0" xfId="37" applyFont="1" applyAlignment="1">
      <alignment horizontal="right" vertical="center"/>
    </xf>
    <xf numFmtId="38" fontId="4" fillId="10" borderId="19" xfId="13" applyNumberFormat="1" applyFill="1" applyBorder="1" applyAlignment="1">
      <alignment horizontal="center" vertical="center"/>
    </xf>
    <xf numFmtId="38" fontId="4" fillId="10" borderId="37" xfId="13" applyNumberFormat="1" applyFill="1" applyBorder="1" applyAlignment="1">
      <alignment horizontal="center" vertical="center"/>
    </xf>
    <xf numFmtId="38" fontId="4" fillId="10" borderId="38" xfId="13" applyNumberFormat="1" applyFill="1" applyBorder="1" applyAlignment="1">
      <alignment horizontal="center" vertical="center"/>
    </xf>
    <xf numFmtId="0" fontId="250" fillId="0" borderId="0" xfId="37" quotePrefix="1" applyFont="1" applyAlignment="1">
      <alignment vertical="center"/>
    </xf>
    <xf numFmtId="0" fontId="250" fillId="0" borderId="0" xfId="37" applyFont="1" applyAlignment="1">
      <alignment vertical="center"/>
    </xf>
    <xf numFmtId="9" fontId="265" fillId="0" borderId="0" xfId="37" applyNumberFormat="1" applyFont="1" applyAlignment="1">
      <alignment horizontal="center" vertical="center" wrapText="1"/>
    </xf>
    <xf numFmtId="0" fontId="243" fillId="0" borderId="0" xfId="37" applyFont="1" applyAlignment="1">
      <alignment horizontal="right" vertical="center"/>
    </xf>
    <xf numFmtId="0" fontId="243" fillId="0" borderId="0" xfId="37" applyFont="1" applyAlignment="1">
      <alignment horizontal="center" vertical="center" wrapText="1"/>
    </xf>
    <xf numFmtId="38" fontId="243" fillId="0" borderId="0" xfId="37" applyNumberFormat="1" applyFont="1" applyAlignment="1">
      <alignment horizontal="center" vertical="center" wrapText="1"/>
    </xf>
    <xf numFmtId="183" fontId="243" fillId="0" borderId="0" xfId="37" applyNumberFormat="1" applyFont="1" applyAlignment="1">
      <alignment horizontal="center" vertical="center" wrapText="1"/>
    </xf>
    <xf numFmtId="0" fontId="224" fillId="0" borderId="0" xfId="37" applyFont="1" applyAlignment="1">
      <alignment horizontal="right" vertical="center"/>
    </xf>
    <xf numFmtId="3" fontId="224" fillId="0" borderId="0" xfId="37" applyNumberFormat="1" applyFont="1" applyAlignment="1">
      <alignment horizontal="center" vertical="center"/>
    </xf>
    <xf numFmtId="186" fontId="224" fillId="0" borderId="0" xfId="37" applyNumberFormat="1" applyFont="1" applyAlignment="1">
      <alignment horizontal="center" vertical="center"/>
    </xf>
    <xf numFmtId="0" fontId="228" fillId="0" borderId="0" xfId="0" applyFont="1"/>
    <xf numFmtId="0" fontId="228" fillId="0" borderId="0" xfId="0" applyFont="1" applyAlignment="1">
      <alignment vertical="center"/>
    </xf>
    <xf numFmtId="0" fontId="83" fillId="0" borderId="0" xfId="0" applyFont="1" applyAlignment="1">
      <alignment vertical="center"/>
    </xf>
    <xf numFmtId="0" fontId="229" fillId="0" borderId="0" xfId="0" applyFont="1" applyAlignment="1">
      <alignment vertical="center" wrapText="1"/>
    </xf>
    <xf numFmtId="0" fontId="4" fillId="20" borderId="0" xfId="0" applyFont="1" applyFill="1" applyAlignment="1">
      <alignment horizontal="center"/>
    </xf>
    <xf numFmtId="0" fontId="243" fillId="0" borderId="0" xfId="33" applyFont="1" applyAlignment="1">
      <alignment vertical="center"/>
    </xf>
    <xf numFmtId="0" fontId="243" fillId="0" borderId="0" xfId="33" applyFont="1" applyAlignment="1">
      <alignment horizontal="left" vertical="center"/>
    </xf>
    <xf numFmtId="0" fontId="243" fillId="0" borderId="0" xfId="33" applyFont="1" applyAlignment="1">
      <alignment horizontal="center" vertical="center"/>
    </xf>
    <xf numFmtId="0" fontId="224" fillId="0" borderId="0" xfId="33" applyFont="1" applyAlignment="1">
      <alignment horizontal="center" vertical="center"/>
    </xf>
    <xf numFmtId="0" fontId="250" fillId="0" borderId="0" xfId="33" applyFont="1" applyAlignment="1">
      <alignment vertical="center"/>
    </xf>
    <xf numFmtId="0" fontId="224" fillId="0" borderId="0" xfId="33" applyFont="1" applyAlignment="1">
      <alignment vertical="center"/>
    </xf>
    <xf numFmtId="181" fontId="10" fillId="0" borderId="28" xfId="37" applyNumberFormat="1" applyFont="1" applyBorder="1" applyAlignment="1">
      <alignment horizontal="center" vertical="center"/>
    </xf>
    <xf numFmtId="0" fontId="10" fillId="0" borderId="33" xfId="37" applyFont="1" applyBorder="1" applyAlignment="1">
      <alignment horizontal="center" vertical="center"/>
    </xf>
    <xf numFmtId="0" fontId="25" fillId="5" borderId="12" xfId="37" applyFont="1" applyFill="1" applyBorder="1" applyAlignment="1" applyProtection="1">
      <alignment horizontal="center" vertical="top"/>
      <protection locked="0"/>
    </xf>
    <xf numFmtId="183" fontId="0" fillId="0" borderId="0" xfId="1" applyNumberFormat="1" applyFont="1" applyFill="1" applyBorder="1" applyAlignment="1">
      <alignment horizontal="center"/>
    </xf>
    <xf numFmtId="0" fontId="175" fillId="0" borderId="0" xfId="0" applyFont="1"/>
    <xf numFmtId="0" fontId="267" fillId="0" borderId="0" xfId="0" applyFont="1" applyAlignment="1">
      <alignment horizontal="center"/>
    </xf>
    <xf numFmtId="0" fontId="268" fillId="0" borderId="0" xfId="0" applyFont="1"/>
    <xf numFmtId="185" fontId="0" fillId="0" borderId="0" xfId="0" applyNumberFormat="1" applyAlignment="1">
      <alignment horizontal="center"/>
    </xf>
    <xf numFmtId="189" fontId="0" fillId="0" borderId="0" xfId="2" applyNumberFormat="1" applyFont="1" applyFill="1" applyBorder="1" applyAlignment="1">
      <alignment horizontal="center"/>
    </xf>
    <xf numFmtId="0" fontId="266" fillId="0" borderId="0" xfId="0" applyFont="1" applyAlignment="1">
      <alignment wrapText="1"/>
    </xf>
    <xf numFmtId="0" fontId="25" fillId="0" borderId="13" xfId="37" applyFont="1" applyBorder="1" applyAlignment="1">
      <alignment horizontal="center" vertical="center"/>
    </xf>
    <xf numFmtId="0" fontId="39" fillId="0" borderId="0" xfId="37" applyFont="1" applyAlignment="1">
      <alignment horizontal="left" vertical="center"/>
    </xf>
    <xf numFmtId="0" fontId="38" fillId="0" borderId="0" xfId="0" applyFont="1" applyAlignment="1">
      <alignment horizontal="left" vertical="center" wrapText="1"/>
    </xf>
    <xf numFmtId="0" fontId="111" fillId="0" borderId="0" xfId="37" applyFont="1" applyAlignment="1">
      <alignment horizontal="center" vertical="center" wrapText="1"/>
    </xf>
    <xf numFmtId="0" fontId="10" fillId="0" borderId="15" xfId="33" applyFont="1" applyBorder="1" applyAlignment="1">
      <alignment horizontal="left" vertical="top"/>
    </xf>
    <xf numFmtId="0" fontId="25" fillId="0" borderId="15" xfId="33" applyFont="1" applyBorder="1" applyAlignment="1">
      <alignment horizontal="left" vertical="top" wrapText="1"/>
    </xf>
    <xf numFmtId="0" fontId="245" fillId="0" borderId="15" xfId="33" applyFont="1" applyBorder="1" applyAlignment="1">
      <alignment horizontal="left" vertical="center"/>
    </xf>
    <xf numFmtId="0" fontId="106" fillId="0" borderId="0" xfId="37" applyFont="1" applyAlignment="1">
      <alignment vertical="center" wrapText="1"/>
    </xf>
    <xf numFmtId="0" fontId="131" fillId="0" borderId="58" xfId="37" applyFont="1" applyBorder="1" applyAlignment="1">
      <alignment horizontal="center"/>
    </xf>
    <xf numFmtId="38" fontId="25" fillId="0" borderId="8" xfId="37" applyNumberFormat="1" applyFont="1" applyBorder="1" applyAlignment="1">
      <alignment horizontal="center" vertical="center"/>
    </xf>
    <xf numFmtId="0" fontId="92" fillId="0" borderId="0" xfId="0" applyFont="1" applyAlignment="1">
      <alignment horizontal="center"/>
    </xf>
    <xf numFmtId="0" fontId="92" fillId="0" borderId="0" xfId="0" applyFont="1" applyAlignment="1">
      <alignment horizontal="center" vertical="center"/>
    </xf>
    <xf numFmtId="0" fontId="79" fillId="0" borderId="0" xfId="0" applyFont="1" applyAlignment="1">
      <alignment horizontal="center"/>
    </xf>
    <xf numFmtId="0" fontId="131" fillId="0" borderId="0" xfId="33" applyFont="1" applyAlignment="1" applyProtection="1">
      <alignment vertical="center"/>
      <protection locked="0"/>
    </xf>
    <xf numFmtId="10" fontId="10" fillId="0" borderId="5" xfId="33" applyNumberFormat="1" applyFont="1" applyBorder="1" applyAlignment="1">
      <alignment horizontal="left" vertical="center"/>
    </xf>
    <xf numFmtId="0" fontId="103" fillId="0" borderId="0" xfId="6" applyFont="1" applyAlignment="1" applyProtection="1">
      <alignment vertical="center"/>
    </xf>
    <xf numFmtId="0" fontId="103" fillId="0" borderId="0" xfId="6" applyFont="1" applyAlignment="1" applyProtection="1">
      <alignment vertical="top"/>
    </xf>
    <xf numFmtId="4" fontId="5" fillId="0" borderId="0" xfId="0" applyNumberFormat="1" applyFont="1" applyAlignment="1">
      <alignment horizontal="left" vertical="center"/>
    </xf>
    <xf numFmtId="0" fontId="35" fillId="0" borderId="0" xfId="0" applyFont="1" applyAlignment="1">
      <alignment vertical="center"/>
    </xf>
    <xf numFmtId="37" fontId="42" fillId="5" borderId="13" xfId="0" applyNumberFormat="1" applyFont="1" applyFill="1" applyBorder="1" applyAlignment="1" applyProtection="1">
      <alignment horizontal="left" vertical="center"/>
      <protection locked="0"/>
    </xf>
    <xf numFmtId="0" fontId="4" fillId="0" borderId="4" xfId="39" applyFont="1" applyBorder="1" applyAlignment="1">
      <alignment vertical="center"/>
    </xf>
    <xf numFmtId="0" fontId="4" fillId="0" borderId="21" xfId="39" applyFont="1" applyBorder="1" applyAlignment="1">
      <alignment vertical="center"/>
    </xf>
    <xf numFmtId="0" fontId="4" fillId="0" borderId="16" xfId="0" applyFont="1" applyBorder="1" applyAlignment="1">
      <alignment vertical="center"/>
    </xf>
    <xf numFmtId="0" fontId="136" fillId="0" borderId="0" xfId="0" applyFont="1" applyAlignment="1">
      <alignment vertical="center" wrapText="1"/>
    </xf>
    <xf numFmtId="0" fontId="4" fillId="0" borderId="6" xfId="39" applyFont="1" applyBorder="1" applyAlignment="1">
      <alignment vertical="center"/>
    </xf>
    <xf numFmtId="0" fontId="4" fillId="0" borderId="13" xfId="0" applyFont="1" applyBorder="1" applyAlignment="1">
      <alignment vertical="center"/>
    </xf>
    <xf numFmtId="0" fontId="270" fillId="20" borderId="0" xfId="33" applyFont="1" applyFill="1" applyAlignment="1" applyProtection="1">
      <alignment horizontal="center"/>
      <protection locked="0"/>
    </xf>
    <xf numFmtId="0" fontId="271" fillId="20" borderId="0" xfId="33" applyFont="1" applyFill="1" applyAlignment="1" applyProtection="1">
      <alignment horizontal="center"/>
      <protection locked="0"/>
    </xf>
    <xf numFmtId="0" fontId="271" fillId="0" borderId="0" xfId="33" applyFont="1" applyAlignment="1" applyProtection="1">
      <alignment horizontal="center"/>
      <protection locked="0"/>
    </xf>
    <xf numFmtId="1" fontId="271" fillId="20" borderId="0" xfId="37" applyNumberFormat="1" applyFont="1" applyFill="1" applyAlignment="1">
      <alignment horizontal="center"/>
    </xf>
    <xf numFmtId="1" fontId="271" fillId="20" borderId="0" xfId="37" applyNumberFormat="1" applyFont="1" applyFill="1" applyAlignment="1">
      <alignment horizontal="center" vertical="center"/>
    </xf>
    <xf numFmtId="0" fontId="271" fillId="0" borderId="0" xfId="37" applyFont="1" applyAlignment="1">
      <alignment horizontal="center"/>
    </xf>
    <xf numFmtId="39" fontId="4" fillId="0" borderId="0" xfId="1" applyNumberFormat="1" applyFont="1" applyFill="1" applyBorder="1" applyAlignment="1" applyProtection="1">
      <alignment horizontal="right"/>
    </xf>
    <xf numFmtId="0" fontId="270" fillId="20" borderId="0" xfId="0" applyFont="1" applyFill="1"/>
    <xf numFmtId="0" fontId="272" fillId="20" borderId="0" xfId="0" applyFont="1" applyFill="1" applyAlignment="1">
      <alignment horizontal="center"/>
    </xf>
    <xf numFmtId="0" fontId="270" fillId="20" borderId="0" xfId="0" applyFont="1" applyFill="1" applyAlignment="1">
      <alignment vertical="center"/>
    </xf>
    <xf numFmtId="0" fontId="272" fillId="20" borderId="0" xfId="0" applyFont="1" applyFill="1" applyAlignment="1">
      <alignment horizontal="center" vertical="center"/>
    </xf>
    <xf numFmtId="0" fontId="270" fillId="20" borderId="0" xfId="0" applyFont="1" applyFill="1" applyAlignment="1">
      <alignment horizontal="center"/>
    </xf>
    <xf numFmtId="0" fontId="270" fillId="20" borderId="0" xfId="0" applyFont="1" applyFill="1" applyAlignment="1">
      <alignment horizontal="center" vertical="center"/>
    </xf>
    <xf numFmtId="0" fontId="273" fillId="20" borderId="0" xfId="0" applyFont="1" applyFill="1"/>
    <xf numFmtId="0" fontId="273" fillId="20" borderId="0" xfId="0" applyFont="1" applyFill="1" applyAlignment="1">
      <alignment horizontal="center"/>
    </xf>
    <xf numFmtId="0" fontId="274" fillId="0" borderId="0" xfId="0" applyFont="1" applyAlignment="1">
      <alignment vertical="center"/>
    </xf>
    <xf numFmtId="0" fontId="275" fillId="20" borderId="0" xfId="13" applyFont="1" applyFill="1" applyAlignment="1">
      <alignment horizontal="center"/>
    </xf>
    <xf numFmtId="0" fontId="276" fillId="20" borderId="0" xfId="13" applyFont="1" applyFill="1" applyAlignment="1">
      <alignment horizontal="center"/>
    </xf>
    <xf numFmtId="0" fontId="275" fillId="0" borderId="0" xfId="13" applyFont="1" applyAlignment="1">
      <alignment horizontal="center"/>
    </xf>
    <xf numFmtId="0" fontId="276" fillId="0" borderId="0" xfId="13" applyFont="1"/>
    <xf numFmtId="0" fontId="275" fillId="0" borderId="0" xfId="13" applyFont="1"/>
    <xf numFmtId="0" fontId="274" fillId="20" borderId="0" xfId="0" applyFont="1" applyFill="1"/>
    <xf numFmtId="0" fontId="274" fillId="20" borderId="0" xfId="0" applyFont="1" applyFill="1" applyAlignment="1">
      <alignment horizontal="center" vertical="center"/>
    </xf>
    <xf numFmtId="0" fontId="274" fillId="20" borderId="0" xfId="0" applyFont="1" applyFill="1" applyAlignment="1">
      <alignment vertical="center"/>
    </xf>
    <xf numFmtId="0" fontId="277" fillId="20" borderId="0" xfId="0" applyFont="1" applyFill="1" applyAlignment="1">
      <alignment vertical="center"/>
    </xf>
    <xf numFmtId="0" fontId="277" fillId="20" borderId="0" xfId="0" applyFont="1" applyFill="1"/>
    <xf numFmtId="0" fontId="277" fillId="0" borderId="0" xfId="0" applyFont="1"/>
    <xf numFmtId="49" fontId="10" fillId="0" borderId="0" xfId="37" quotePrefix="1" applyNumberFormat="1" applyFont="1" applyAlignment="1">
      <alignment horizontal="left" vertical="center"/>
    </xf>
    <xf numFmtId="0" fontId="82" fillId="0" borderId="0" xfId="0" applyFont="1" applyAlignment="1">
      <alignment vertical="center"/>
    </xf>
    <xf numFmtId="0" fontId="82" fillId="0" borderId="0" xfId="0" applyFont="1" applyAlignment="1">
      <alignment horizontal="center" vertical="center"/>
    </xf>
    <xf numFmtId="49" fontId="224" fillId="0" borderId="0" xfId="0" applyNumberFormat="1" applyFont="1" applyAlignment="1">
      <alignment vertical="center"/>
    </xf>
    <xf numFmtId="0" fontId="228" fillId="0" borderId="0" xfId="0" applyFont="1" applyAlignment="1">
      <alignment horizontal="left" vertical="center"/>
    </xf>
    <xf numFmtId="0" fontId="82" fillId="0" borderId="0" xfId="0" applyFont="1" applyAlignment="1">
      <alignment horizontal="right" vertical="center"/>
    </xf>
    <xf numFmtId="0" fontId="91" fillId="0" borderId="0" xfId="0" applyFont="1" applyAlignment="1">
      <alignment vertical="center"/>
    </xf>
    <xf numFmtId="0" fontId="98" fillId="0" borderId="0" xfId="0" applyFont="1" applyAlignment="1">
      <alignment horizontal="left" vertical="center"/>
    </xf>
    <xf numFmtId="42" fontId="98" fillId="0" borderId="0" xfId="2" applyNumberFormat="1" applyFont="1" applyFill="1" applyBorder="1" applyAlignment="1" applyProtection="1">
      <alignment vertical="center"/>
    </xf>
    <xf numFmtId="42" fontId="88" fillId="0" borderId="0" xfId="2" applyNumberFormat="1" applyFont="1" applyFill="1" applyBorder="1" applyAlignment="1" applyProtection="1">
      <alignment vertical="center"/>
    </xf>
    <xf numFmtId="0" fontId="82" fillId="0" borderId="0" xfId="0" applyFont="1" applyAlignment="1">
      <alignment horizontal="left" vertical="center"/>
    </xf>
    <xf numFmtId="0" fontId="98" fillId="0" borderId="0" xfId="0" applyFont="1" applyAlignment="1">
      <alignment horizontal="right" vertical="center"/>
    </xf>
    <xf numFmtId="0" fontId="99" fillId="0" borderId="0" xfId="0" quotePrefix="1" applyFont="1" applyAlignment="1">
      <alignment horizontal="center"/>
    </xf>
    <xf numFmtId="0" fontId="224" fillId="0" borderId="0" xfId="33" applyFont="1" applyAlignment="1">
      <alignment horizontal="right" vertical="top"/>
    </xf>
    <xf numFmtId="0" fontId="243" fillId="0" borderId="0" xfId="33" applyFont="1" applyAlignment="1">
      <alignment horizontal="left" vertical="top"/>
    </xf>
    <xf numFmtId="0" fontId="228" fillId="0" borderId="0" xfId="33" applyFont="1" applyAlignment="1">
      <alignment vertical="top"/>
    </xf>
    <xf numFmtId="0" fontId="98" fillId="0" borderId="0" xfId="33" applyFont="1" applyAlignment="1">
      <alignment vertical="top"/>
    </xf>
    <xf numFmtId="0" fontId="91" fillId="0" borderId="0" xfId="0" applyFont="1" applyAlignment="1">
      <alignment vertical="top"/>
    </xf>
    <xf numFmtId="167" fontId="98" fillId="0" borderId="0" xfId="0" applyNumberFormat="1" applyFont="1" applyAlignment="1">
      <alignment vertical="center"/>
    </xf>
    <xf numFmtId="164" fontId="98" fillId="0" borderId="0" xfId="1" applyNumberFormat="1" applyFont="1" applyFill="1" applyBorder="1" applyAlignment="1" applyProtection="1">
      <alignment horizontal="center" vertical="center"/>
    </xf>
    <xf numFmtId="0" fontId="98" fillId="0" borderId="0" xfId="0" quotePrefix="1" applyFont="1" applyAlignment="1">
      <alignment horizontal="left" vertical="center"/>
    </xf>
    <xf numFmtId="0" fontId="82" fillId="0" borderId="0" xfId="0" applyFont="1" applyAlignment="1">
      <alignment horizontal="center"/>
    </xf>
    <xf numFmtId="177" fontId="98" fillId="0" borderId="0" xfId="0" applyNumberFormat="1" applyFont="1" applyAlignment="1">
      <alignment vertical="center"/>
    </xf>
    <xf numFmtId="0" fontId="82" fillId="0" borderId="0" xfId="0" applyFont="1" applyAlignment="1">
      <alignment horizontal="left"/>
    </xf>
    <xf numFmtId="10" fontId="82" fillId="0" borderId="0" xfId="10" applyNumberFormat="1" applyFont="1" applyFill="1" applyBorder="1" applyAlignment="1" applyProtection="1">
      <alignment horizontal="center" vertical="center"/>
    </xf>
    <xf numFmtId="0" fontId="98" fillId="0" borderId="0" xfId="0" applyFont="1" applyAlignment="1">
      <alignment horizontal="left"/>
    </xf>
    <xf numFmtId="6" fontId="98" fillId="0" borderId="0" xfId="0" applyNumberFormat="1" applyFont="1" applyAlignment="1">
      <alignment vertical="center"/>
    </xf>
    <xf numFmtId="0" fontId="228" fillId="0" borderId="0" xfId="0" applyFont="1" applyAlignment="1">
      <alignment vertical="top"/>
    </xf>
    <xf numFmtId="49" fontId="285" fillId="0" borderId="0" xfId="0" applyNumberFormat="1" applyFont="1" applyAlignment="1">
      <alignment vertical="center"/>
    </xf>
    <xf numFmtId="37" fontId="98" fillId="0" borderId="0" xfId="0" applyNumberFormat="1" applyFont="1" applyAlignment="1">
      <alignment horizontal="left" vertical="center"/>
    </xf>
    <xf numFmtId="164" fontId="98" fillId="0" borderId="0" xfId="1" applyNumberFormat="1" applyFont="1" applyFill="1" applyBorder="1" applyAlignment="1" applyProtection="1">
      <alignment vertical="center"/>
    </xf>
    <xf numFmtId="166" fontId="98" fillId="0" borderId="0" xfId="10" applyNumberFormat="1" applyFont="1" applyFill="1" applyBorder="1" applyAlignment="1" applyProtection="1">
      <alignment vertical="center"/>
    </xf>
    <xf numFmtId="3" fontId="98" fillId="0" borderId="0" xfId="1" applyNumberFormat="1" applyFont="1" applyFill="1" applyBorder="1" applyAlignment="1" applyProtection="1">
      <alignment vertical="center"/>
    </xf>
    <xf numFmtId="38" fontId="82" fillId="0" borderId="0" xfId="2" applyNumberFormat="1" applyFont="1" applyFill="1" applyBorder="1" applyAlignment="1" applyProtection="1">
      <alignment vertical="center"/>
    </xf>
    <xf numFmtId="38" fontId="82" fillId="0" borderId="0" xfId="0" applyNumberFormat="1" applyFont="1" applyAlignment="1">
      <alignment vertical="center"/>
    </xf>
    <xf numFmtId="38" fontId="98" fillId="0" borderId="0" xfId="0" applyNumberFormat="1" applyFont="1" applyAlignment="1">
      <alignment vertical="center"/>
    </xf>
    <xf numFmtId="166" fontId="98" fillId="0" borderId="0" xfId="0" applyNumberFormat="1" applyFont="1" applyAlignment="1">
      <alignment horizontal="center" vertical="center"/>
    </xf>
    <xf numFmtId="38" fontId="98" fillId="0" borderId="0" xfId="2" applyNumberFormat="1" applyFont="1" applyFill="1" applyBorder="1" applyAlignment="1" applyProtection="1">
      <alignment vertical="center"/>
    </xf>
    <xf numFmtId="10" fontId="98" fillId="0" borderId="0" xfId="0" applyNumberFormat="1" applyFont="1" applyAlignment="1">
      <alignment horizontal="center" vertical="center"/>
    </xf>
    <xf numFmtId="0" fontId="228" fillId="0" borderId="0" xfId="0" applyFont="1" applyAlignment="1">
      <alignment horizontal="center" vertical="center"/>
    </xf>
    <xf numFmtId="38" fontId="82" fillId="0" borderId="0" xfId="0" applyNumberFormat="1" applyFont="1" applyAlignment="1">
      <alignment horizontal="center" vertical="center"/>
    </xf>
    <xf numFmtId="38" fontId="98" fillId="0" borderId="0" xfId="2" applyNumberFormat="1" applyFont="1" applyFill="1" applyBorder="1" applyAlignment="1" applyProtection="1">
      <alignment horizontal="center" vertical="center"/>
    </xf>
    <xf numFmtId="37" fontId="228" fillId="0" borderId="0" xfId="0" applyNumberFormat="1" applyFont="1" applyAlignment="1">
      <alignment vertical="center"/>
    </xf>
    <xf numFmtId="0" fontId="228" fillId="0" borderId="0" xfId="0" applyFont="1" applyAlignment="1">
      <alignment horizontal="right" vertical="center"/>
    </xf>
    <xf numFmtId="166" fontId="98" fillId="0" borderId="0" xfId="0" applyNumberFormat="1" applyFont="1" applyAlignment="1">
      <alignment vertical="center"/>
    </xf>
    <xf numFmtId="0" fontId="286" fillId="0" borderId="0" xfId="0" applyFont="1" applyAlignment="1">
      <alignment vertical="center"/>
    </xf>
    <xf numFmtId="0" fontId="287" fillId="0" borderId="0" xfId="0" quotePrefix="1" applyFont="1" applyAlignment="1">
      <alignment vertical="center"/>
    </xf>
    <xf numFmtId="0" fontId="286" fillId="0" borderId="0" xfId="0" applyFont="1" applyAlignment="1">
      <alignment horizontal="center" vertical="center"/>
    </xf>
    <xf numFmtId="3" fontId="228" fillId="0" borderId="0" xfId="0" applyNumberFormat="1" applyFont="1" applyAlignment="1">
      <alignment vertical="center"/>
    </xf>
    <xf numFmtId="4" fontId="228" fillId="0" borderId="0" xfId="0" applyNumberFormat="1" applyFont="1" applyAlignment="1">
      <alignment vertical="center"/>
    </xf>
    <xf numFmtId="9" fontId="228" fillId="0" borderId="0" xfId="0" applyNumberFormat="1" applyFont="1" applyAlignment="1">
      <alignment horizontal="center" vertical="center"/>
    </xf>
    <xf numFmtId="0" fontId="285" fillId="0" borderId="0" xfId="0" applyFont="1" applyAlignment="1">
      <alignment vertical="top"/>
    </xf>
    <xf numFmtId="164" fontId="82" fillId="0" borderId="0" xfId="1" applyNumberFormat="1" applyFont="1" applyFill="1" applyBorder="1" applyAlignment="1" applyProtection="1">
      <alignment vertical="center"/>
    </xf>
    <xf numFmtId="0" fontId="285" fillId="0" borderId="0" xfId="0" applyFont="1" applyAlignment="1">
      <alignment vertical="center"/>
    </xf>
    <xf numFmtId="4" fontId="98" fillId="0" borderId="0" xfId="0" applyNumberFormat="1" applyFont="1" applyAlignment="1">
      <alignment horizontal="right" vertical="center"/>
    </xf>
    <xf numFmtId="0" fontId="92" fillId="0" borderId="0" xfId="0" applyFont="1" applyAlignment="1">
      <alignment vertical="top"/>
    </xf>
    <xf numFmtId="0" fontId="288" fillId="0" borderId="0" xfId="0" applyFont="1" applyAlignment="1">
      <alignment horizontal="center" vertical="center"/>
    </xf>
    <xf numFmtId="4" fontId="82" fillId="0" borderId="0" xfId="0" applyNumberFormat="1" applyFont="1" applyAlignment="1">
      <alignment horizontal="right" vertical="center"/>
    </xf>
    <xf numFmtId="0" fontId="281" fillId="0" borderId="0" xfId="0" applyFont="1" applyAlignment="1">
      <alignment horizontal="right" vertical="center"/>
    </xf>
    <xf numFmtId="164" fontId="82" fillId="0" borderId="0" xfId="1" applyNumberFormat="1" applyFont="1" applyFill="1" applyBorder="1" applyAlignment="1" applyProtection="1">
      <alignment horizontal="center" vertical="center"/>
    </xf>
    <xf numFmtId="0" fontId="91" fillId="0" borderId="0" xfId="0" applyFont="1" applyAlignment="1">
      <alignment horizontal="right" vertical="center"/>
    </xf>
    <xf numFmtId="3" fontId="82" fillId="0" borderId="0" xfId="0" applyNumberFormat="1" applyFont="1" applyAlignment="1">
      <alignment horizontal="center" vertical="center"/>
    </xf>
    <xf numFmtId="164" fontId="281" fillId="0" borderId="0" xfId="1" applyNumberFormat="1" applyFont="1" applyFill="1" applyBorder="1" applyAlignment="1" applyProtection="1">
      <alignment horizontal="right" vertical="center"/>
    </xf>
    <xf numFmtId="171" fontId="82" fillId="0" borderId="0" xfId="0" applyNumberFormat="1" applyFont="1" applyAlignment="1">
      <alignment vertical="center"/>
    </xf>
    <xf numFmtId="171" fontId="82" fillId="0" borderId="0" xfId="0" applyNumberFormat="1" applyFont="1" applyAlignment="1">
      <alignment horizontal="center" vertical="center"/>
    </xf>
    <xf numFmtId="166" fontId="83" fillId="0" borderId="0" xfId="0" applyNumberFormat="1" applyFont="1" applyAlignment="1">
      <alignment horizontal="center" vertical="center"/>
    </xf>
    <xf numFmtId="0" fontId="99" fillId="0" borderId="0" xfId="0" applyFont="1" applyAlignment="1">
      <alignment vertical="center"/>
    </xf>
    <xf numFmtId="166" fontId="228" fillId="0" borderId="0" xfId="0" applyNumberFormat="1" applyFont="1" applyAlignment="1">
      <alignment horizontal="center" vertical="center"/>
    </xf>
    <xf numFmtId="37" fontId="228" fillId="0" borderId="0" xfId="1" applyNumberFormat="1" applyFont="1" applyFill="1" applyBorder="1" applyAlignment="1" applyProtection="1">
      <alignment horizontal="center" vertical="center"/>
    </xf>
    <xf numFmtId="37" fontId="83" fillId="0" borderId="0" xfId="0" applyNumberFormat="1" applyFont="1" applyAlignment="1">
      <alignment horizontal="center" vertical="center"/>
    </xf>
    <xf numFmtId="0" fontId="289" fillId="0" borderId="0" xfId="0" applyFont="1" applyAlignment="1">
      <alignment horizontal="left" vertical="center"/>
    </xf>
    <xf numFmtId="164" fontId="289" fillId="0" borderId="0" xfId="0" applyNumberFormat="1" applyFont="1" applyAlignment="1">
      <alignment vertical="center"/>
    </xf>
    <xf numFmtId="0" fontId="289" fillId="0" borderId="0" xfId="0" applyFont="1" applyAlignment="1">
      <alignment vertical="top"/>
    </xf>
    <xf numFmtId="0" fontId="289" fillId="0" borderId="0" xfId="0" applyFont="1" applyAlignment="1">
      <alignment vertical="center"/>
    </xf>
    <xf numFmtId="4" fontId="289" fillId="0" borderId="0" xfId="1" applyNumberFormat="1" applyFont="1" applyFill="1" applyBorder="1" applyAlignment="1" applyProtection="1">
      <alignment horizontal="right" vertical="center"/>
    </xf>
    <xf numFmtId="171" fontId="291" fillId="0" borderId="0" xfId="0" applyNumberFormat="1" applyFont="1" applyAlignment="1">
      <alignment horizontal="left" vertical="center"/>
    </xf>
    <xf numFmtId="4" fontId="289" fillId="0" borderId="0" xfId="1" applyNumberFormat="1" applyFont="1" applyFill="1" applyBorder="1" applyAlignment="1" applyProtection="1">
      <alignment vertical="center"/>
    </xf>
    <xf numFmtId="171" fontId="291" fillId="0" borderId="0" xfId="0" applyNumberFormat="1" applyFont="1" applyAlignment="1">
      <alignment vertical="center"/>
    </xf>
    <xf numFmtId="0" fontId="291" fillId="0" borderId="0" xfId="0" applyFont="1" applyAlignment="1">
      <alignment vertical="center"/>
    </xf>
    <xf numFmtId="0" fontId="282" fillId="0" borderId="0" xfId="0" applyFont="1" applyAlignment="1">
      <alignment horizontal="left" vertical="center"/>
    </xf>
    <xf numFmtId="4" fontId="289" fillId="0" borderId="0" xfId="0" applyNumberFormat="1" applyFont="1" applyAlignment="1">
      <alignment vertical="center"/>
    </xf>
    <xf numFmtId="4" fontId="82" fillId="0" borderId="0" xfId="0" applyNumberFormat="1" applyFont="1" applyAlignment="1">
      <alignment horizontal="left" vertical="center"/>
    </xf>
    <xf numFmtId="0" fontId="290" fillId="0" borderId="0" xfId="0" applyFont="1" applyAlignment="1">
      <alignment vertical="top"/>
    </xf>
    <xf numFmtId="0" fontId="98" fillId="0" borderId="0" xfId="0" applyFont="1" applyAlignment="1">
      <alignment horizontal="left" vertical="top"/>
    </xf>
    <xf numFmtId="10" fontId="98" fillId="0" borderId="0" xfId="0" applyNumberFormat="1" applyFont="1" applyAlignment="1">
      <alignment horizontal="center"/>
    </xf>
    <xf numFmtId="164" fontId="98" fillId="0" borderId="0" xfId="1" applyNumberFormat="1" applyFont="1" applyFill="1" applyBorder="1" applyAlignment="1" applyProtection="1">
      <alignment horizontal="center"/>
    </xf>
    <xf numFmtId="3" fontId="98" fillId="0" borderId="0" xfId="0" applyNumberFormat="1" applyFont="1" applyAlignment="1">
      <alignment horizontal="left" vertical="center"/>
    </xf>
    <xf numFmtId="0" fontId="291" fillId="0" borderId="0" xfId="0" applyFont="1" applyAlignment="1">
      <alignment horizontal="center" vertical="center"/>
    </xf>
    <xf numFmtId="37" fontId="289" fillId="0" borderId="0" xfId="0" applyNumberFormat="1" applyFont="1" applyAlignment="1">
      <alignment horizontal="center" vertical="center"/>
    </xf>
    <xf numFmtId="0" fontId="289" fillId="0" borderId="0" xfId="0" applyFont="1" applyAlignment="1">
      <alignment horizontal="right" vertical="center"/>
    </xf>
    <xf numFmtId="0" fontId="289" fillId="0" borderId="0" xfId="0" applyFont="1" applyAlignment="1">
      <alignment horizontal="center" vertical="center"/>
    </xf>
    <xf numFmtId="0" fontId="99" fillId="0" borderId="0" xfId="0" applyFont="1" applyAlignment="1">
      <alignment horizontal="center" vertical="center"/>
    </xf>
    <xf numFmtId="38" fontId="91" fillId="0" borderId="0" xfId="0" applyNumberFormat="1" applyFont="1" applyAlignment="1">
      <alignment horizontal="left" vertical="center"/>
    </xf>
    <xf numFmtId="38" fontId="79" fillId="0" borderId="0" xfId="0" applyNumberFormat="1" applyFont="1" applyAlignment="1">
      <alignment vertical="center"/>
    </xf>
    <xf numFmtId="164" fontId="98" fillId="0" borderId="0" xfId="1" applyNumberFormat="1" applyFont="1" applyFill="1" applyBorder="1" applyAlignment="1" applyProtection="1"/>
    <xf numFmtId="38" fontId="291" fillId="0" borderId="0" xfId="0" applyNumberFormat="1" applyFont="1" applyAlignment="1">
      <alignment horizontal="center" vertical="center"/>
    </xf>
    <xf numFmtId="0" fontId="108" fillId="0" borderId="0" xfId="0" applyFont="1" applyAlignment="1">
      <alignment vertical="center"/>
    </xf>
    <xf numFmtId="3" fontId="108" fillId="0" borderId="0" xfId="0" applyNumberFormat="1" applyFont="1" applyAlignment="1">
      <alignment horizontal="center" vertical="center"/>
    </xf>
    <xf numFmtId="164" fontId="289" fillId="0" borderId="0" xfId="1" applyNumberFormat="1" applyFont="1" applyFill="1" applyBorder="1" applyAlignment="1" applyProtection="1">
      <alignment vertical="center"/>
    </xf>
    <xf numFmtId="164" fontId="99" fillId="0" borderId="0" xfId="1" applyNumberFormat="1" applyFont="1" applyFill="1" applyBorder="1" applyAlignment="1" applyProtection="1">
      <alignment horizontal="left" vertical="center"/>
    </xf>
    <xf numFmtId="38" fontId="91" fillId="0" borderId="0" xfId="0" applyNumberFormat="1" applyFont="1" applyAlignment="1">
      <alignment horizontal="center" vertical="center"/>
    </xf>
    <xf numFmtId="187" fontId="91" fillId="0" borderId="0" xfId="0" applyNumberFormat="1" applyFont="1" applyAlignment="1">
      <alignment horizontal="center" vertical="center"/>
    </xf>
    <xf numFmtId="164" fontId="99" fillId="0" borderId="0" xfId="1" applyNumberFormat="1" applyFont="1" applyFill="1" applyBorder="1" applyAlignment="1" applyProtection="1">
      <alignment vertical="top"/>
    </xf>
    <xf numFmtId="3" fontId="98" fillId="0" borderId="0" xfId="0" applyNumberFormat="1" applyFont="1" applyAlignment="1">
      <alignment horizontal="right" vertical="center"/>
    </xf>
    <xf numFmtId="38" fontId="99" fillId="0" borderId="0" xfId="0" applyNumberFormat="1" applyFont="1" applyAlignment="1">
      <alignment horizontal="center" vertical="center"/>
    </xf>
    <xf numFmtId="187" fontId="99" fillId="0" borderId="0" xfId="0" applyNumberFormat="1" applyFont="1" applyAlignment="1">
      <alignment horizontal="center" vertical="center"/>
    </xf>
    <xf numFmtId="0" fontId="88" fillId="0" borderId="0" xfId="0" applyFont="1" applyAlignment="1">
      <alignment vertical="top"/>
    </xf>
    <xf numFmtId="0" fontId="91" fillId="0" borderId="0" xfId="0" applyFont="1" applyAlignment="1">
      <alignment horizontal="left" vertical="center"/>
    </xf>
    <xf numFmtId="9" fontId="91" fillId="0" borderId="0" xfId="0" applyNumberFormat="1" applyFont="1" applyAlignment="1">
      <alignment horizontal="center"/>
    </xf>
    <xf numFmtId="0" fontId="91" fillId="0" borderId="0" xfId="0" applyFont="1" applyAlignment="1">
      <alignment horizontal="center"/>
    </xf>
    <xf numFmtId="38" fontId="91" fillId="0" borderId="0" xfId="0" applyNumberFormat="1" applyFont="1" applyAlignment="1">
      <alignment vertical="center"/>
    </xf>
    <xf numFmtId="37" fontId="98" fillId="0" borderId="0" xfId="1" applyNumberFormat="1" applyFont="1" applyFill="1" applyBorder="1" applyAlignment="1" applyProtection="1">
      <alignment horizontal="center" vertical="center"/>
    </xf>
    <xf numFmtId="0" fontId="83" fillId="0" borderId="0" xfId="0" applyFont="1" applyAlignment="1">
      <alignment horizontal="left" vertical="center"/>
    </xf>
    <xf numFmtId="4" fontId="293" fillId="0" borderId="0" xfId="0" applyNumberFormat="1" applyFont="1" applyAlignment="1">
      <alignment vertical="center"/>
    </xf>
    <xf numFmtId="3" fontId="83" fillId="0" borderId="0" xfId="0" applyNumberFormat="1" applyFont="1" applyAlignment="1">
      <alignment horizontal="left" vertical="center"/>
    </xf>
    <xf numFmtId="3" fontId="98" fillId="0" borderId="0" xfId="0" applyNumberFormat="1" applyFont="1" applyAlignment="1">
      <alignment horizontal="center" vertical="center"/>
    </xf>
    <xf numFmtId="164" fontId="99" fillId="0" borderId="0" xfId="1" applyNumberFormat="1" applyFont="1" applyFill="1" applyBorder="1" applyAlignment="1" applyProtection="1">
      <alignment vertical="center"/>
    </xf>
    <xf numFmtId="0" fontId="281" fillId="0" borderId="0" xfId="0" applyFont="1" applyAlignment="1">
      <alignment horizontal="center" vertical="center"/>
    </xf>
    <xf numFmtId="38" fontId="82" fillId="0" borderId="0" xfId="0" applyNumberFormat="1" applyFont="1" applyAlignment="1">
      <alignment horizontal="right" vertical="center"/>
    </xf>
    <xf numFmtId="6" fontId="98" fillId="0" borderId="0" xfId="0" applyNumberFormat="1" applyFont="1" applyAlignment="1">
      <alignment horizontal="center" vertical="center"/>
    </xf>
    <xf numFmtId="164" fontId="98" fillId="0" borderId="0" xfId="1" applyNumberFormat="1" applyFont="1" applyFill="1" applyBorder="1" applyAlignment="1" applyProtection="1">
      <alignment horizontal="left" vertical="center"/>
    </xf>
    <xf numFmtId="0" fontId="285" fillId="0" borderId="0" xfId="0" applyFont="1" applyAlignment="1">
      <alignment horizontal="left" vertical="center"/>
    </xf>
    <xf numFmtId="3" fontId="91" fillId="0" borderId="0" xfId="0" applyNumberFormat="1" applyFont="1" applyAlignment="1">
      <alignment horizontal="left" vertical="center"/>
    </xf>
    <xf numFmtId="0" fontId="281" fillId="0" borderId="0" xfId="0" applyFont="1" applyAlignment="1">
      <alignment horizontal="left" vertical="center"/>
    </xf>
    <xf numFmtId="4" fontId="98" fillId="0" borderId="0" xfId="1" applyNumberFormat="1" applyFont="1" applyFill="1" applyBorder="1" applyAlignment="1" applyProtection="1">
      <alignment vertical="center"/>
    </xf>
    <xf numFmtId="4" fontId="98" fillId="0" borderId="0" xfId="1" applyNumberFormat="1" applyFont="1" applyFill="1" applyBorder="1" applyAlignment="1" applyProtection="1">
      <alignment horizontal="center" vertical="center"/>
    </xf>
    <xf numFmtId="0" fontId="285" fillId="0" borderId="0" xfId="0" applyFont="1" applyAlignment="1">
      <alignment horizontal="left" vertical="top"/>
    </xf>
    <xf numFmtId="0" fontId="290" fillId="0" borderId="0" xfId="0" applyFont="1" applyAlignment="1">
      <alignment horizontal="right" vertical="center"/>
    </xf>
    <xf numFmtId="0" fontId="98" fillId="0" borderId="0" xfId="0" quotePrefix="1" applyFont="1" applyAlignment="1">
      <alignment horizontal="center" vertical="center"/>
    </xf>
    <xf numFmtId="0" fontId="293" fillId="0" borderId="0" xfId="0" applyFont="1" applyAlignment="1">
      <alignment vertical="center"/>
    </xf>
    <xf numFmtId="10" fontId="98" fillId="0" borderId="0" xfId="0" applyNumberFormat="1" applyFont="1" applyAlignment="1">
      <alignment vertical="center"/>
    </xf>
    <xf numFmtId="10" fontId="82" fillId="0" borderId="0" xfId="0" applyNumberFormat="1" applyFont="1" applyAlignment="1">
      <alignment vertical="center"/>
    </xf>
    <xf numFmtId="9" fontId="91" fillId="0" borderId="0" xfId="0" applyNumberFormat="1" applyFont="1" applyAlignment="1">
      <alignment vertical="center"/>
    </xf>
    <xf numFmtId="0" fontId="98" fillId="0" borderId="0" xfId="0" quotePrefix="1" applyFont="1" applyAlignment="1">
      <alignment horizontal="right" vertical="center"/>
    </xf>
    <xf numFmtId="0" fontId="293" fillId="0" borderId="0" xfId="0" applyFont="1" applyAlignment="1">
      <alignment horizontal="left" vertical="center"/>
    </xf>
    <xf numFmtId="38" fontId="228" fillId="0" borderId="0" xfId="0" applyNumberFormat="1" applyFont="1" applyAlignment="1">
      <alignment vertical="center"/>
    </xf>
    <xf numFmtId="164" fontId="228" fillId="0" borderId="0" xfId="1" applyNumberFormat="1" applyFont="1" applyFill="1" applyBorder="1" applyAlignment="1" applyProtection="1">
      <alignment horizontal="center" vertical="center"/>
    </xf>
    <xf numFmtId="168" fontId="98" fillId="0" borderId="0" xfId="0" applyNumberFormat="1" applyFont="1" applyAlignment="1">
      <alignment vertical="center"/>
    </xf>
    <xf numFmtId="170" fontId="98" fillId="0" borderId="0" xfId="0" applyNumberFormat="1" applyFont="1" applyAlignment="1">
      <alignment vertical="center"/>
    </xf>
    <xf numFmtId="38" fontId="98" fillId="0" borderId="0" xfId="0" applyNumberFormat="1" applyFont="1" applyAlignment="1">
      <alignment horizontal="center" vertical="center"/>
    </xf>
    <xf numFmtId="0" fontId="99" fillId="0" borderId="0" xfId="0" applyFont="1" applyAlignment="1">
      <alignment horizontal="left" vertical="center"/>
    </xf>
    <xf numFmtId="0" fontId="82" fillId="0" borderId="0" xfId="0" applyFont="1" applyAlignment="1">
      <alignment vertical="top"/>
    </xf>
    <xf numFmtId="0" fontId="98" fillId="0" borderId="0" xfId="0" applyFont="1" applyAlignment="1">
      <alignment vertical="top"/>
    </xf>
    <xf numFmtId="0" fontId="229" fillId="0" borderId="0" xfId="0" applyFont="1" applyAlignment="1">
      <alignment vertical="center"/>
    </xf>
    <xf numFmtId="0" fontId="229" fillId="0" borderId="0" xfId="13" applyFont="1" applyAlignment="1">
      <alignment vertical="center"/>
    </xf>
    <xf numFmtId="0" fontId="88" fillId="0" borderId="0" xfId="13" applyFont="1"/>
    <xf numFmtId="0" fontId="243" fillId="0" borderId="0" xfId="13" applyFont="1" applyAlignment="1">
      <alignment vertical="top"/>
    </xf>
    <xf numFmtId="0" fontId="79" fillId="0" borderId="0" xfId="13" applyFont="1" applyAlignment="1">
      <alignment vertical="top"/>
    </xf>
    <xf numFmtId="0" fontId="296" fillId="0" borderId="0" xfId="13" applyFont="1" applyAlignment="1">
      <alignment horizontal="center" vertical="center"/>
    </xf>
    <xf numFmtId="0" fontId="88" fillId="0" borderId="0" xfId="13" applyFont="1" applyAlignment="1">
      <alignment vertical="center"/>
    </xf>
    <xf numFmtId="0" fontId="99" fillId="0" borderId="0" xfId="13" applyFont="1" applyAlignment="1">
      <alignment horizontal="center" vertical="center"/>
    </xf>
    <xf numFmtId="0" fontId="91" fillId="0" borderId="0" xfId="13" applyFont="1"/>
    <xf numFmtId="0" fontId="79" fillId="0" borderId="0" xfId="13" applyFont="1" applyAlignment="1">
      <alignment vertical="center"/>
    </xf>
    <xf numFmtId="0" fontId="91" fillId="0" borderId="0" xfId="13" applyFont="1" applyAlignment="1">
      <alignment vertical="center"/>
    </xf>
    <xf numFmtId="0" fontId="228" fillId="0" borderId="0" xfId="1" applyNumberFormat="1" applyFont="1" applyFill="1" applyBorder="1" applyAlignment="1" applyProtection="1">
      <alignment vertical="top"/>
    </xf>
    <xf numFmtId="0" fontId="91" fillId="0" borderId="0" xfId="1" applyNumberFormat="1" applyFont="1" applyFill="1" applyBorder="1" applyAlignment="1" applyProtection="1">
      <alignment vertical="top"/>
    </xf>
    <xf numFmtId="0" fontId="291" fillId="0" borderId="0" xfId="13" applyFont="1" applyAlignment="1">
      <alignment horizontal="right" vertical="center"/>
    </xf>
    <xf numFmtId="164" fontId="91" fillId="0" borderId="0" xfId="1" applyNumberFormat="1" applyFont="1" applyFill="1" applyBorder="1" applyAlignment="1" applyProtection="1">
      <alignment horizontal="right" vertical="center"/>
    </xf>
    <xf numFmtId="0" fontId="91" fillId="0" borderId="0" xfId="13" applyFont="1" applyAlignment="1">
      <alignment horizontal="left" vertical="center"/>
    </xf>
    <xf numFmtId="6" fontId="91" fillId="0" borderId="0" xfId="13" applyNumberFormat="1" applyFont="1" applyAlignment="1">
      <alignment horizontal="center" vertical="center"/>
    </xf>
    <xf numFmtId="164" fontId="91" fillId="0" borderId="0" xfId="1" applyNumberFormat="1" applyFont="1" applyFill="1" applyBorder="1" applyAlignment="1" applyProtection="1">
      <alignment vertical="center"/>
    </xf>
    <xf numFmtId="0" fontId="91" fillId="0" borderId="0" xfId="13" applyFont="1" applyAlignment="1">
      <alignment horizontal="right" vertical="center"/>
    </xf>
    <xf numFmtId="49" fontId="79" fillId="0" borderId="0" xfId="0" applyNumberFormat="1" applyFont="1"/>
    <xf numFmtId="0" fontId="297" fillId="0" borderId="0" xfId="0" applyFont="1"/>
    <xf numFmtId="174" fontId="88" fillId="0" borderId="0" xfId="0" applyNumberFormat="1" applyFont="1" applyAlignment="1">
      <alignment vertical="center"/>
    </xf>
    <xf numFmtId="0" fontId="79" fillId="0" borderId="0" xfId="0" applyFont="1" applyAlignment="1">
      <alignment horizontal="center" vertical="center"/>
    </xf>
    <xf numFmtId="0" fontId="88" fillId="0" borderId="0" xfId="39" applyFont="1" applyAlignment="1">
      <alignment vertical="center"/>
    </xf>
    <xf numFmtId="0" fontId="223" fillId="0" borderId="0" xfId="0" applyFont="1" applyAlignment="1">
      <alignment horizontal="left" vertical="center"/>
    </xf>
    <xf numFmtId="3" fontId="91" fillId="0" borderId="0" xfId="0" applyNumberFormat="1" applyFont="1" applyAlignment="1">
      <alignment vertical="top"/>
    </xf>
    <xf numFmtId="0" fontId="223" fillId="0" borderId="0" xfId="0" applyFont="1"/>
    <xf numFmtId="0" fontId="223" fillId="0" borderId="0" xfId="0" applyFont="1" applyAlignment="1">
      <alignment horizontal="center"/>
    </xf>
    <xf numFmtId="0" fontId="223" fillId="0" borderId="0" xfId="0" applyFont="1" applyAlignment="1">
      <alignment textRotation="90"/>
    </xf>
    <xf numFmtId="0" fontId="91" fillId="0" borderId="0" xfId="24" applyFont="1" applyAlignment="1">
      <alignment vertical="top"/>
    </xf>
    <xf numFmtId="0" fontId="223" fillId="0" borderId="0" xfId="0" applyFont="1" applyAlignment="1">
      <alignment horizontal="center" vertical="center"/>
    </xf>
    <xf numFmtId="49" fontId="79" fillId="0" borderId="0" xfId="0" quotePrefix="1" applyNumberFormat="1" applyFont="1" applyAlignment="1">
      <alignment vertical="center"/>
    </xf>
    <xf numFmtId="0" fontId="236" fillId="0" borderId="0" xfId="0" applyFont="1" applyAlignment="1">
      <alignment horizontal="left" vertical="center"/>
    </xf>
    <xf numFmtId="3" fontId="79" fillId="0" borderId="0" xfId="0" applyNumberFormat="1" applyFont="1" applyAlignment="1">
      <alignment horizontal="center" vertical="center"/>
    </xf>
    <xf numFmtId="0" fontId="79" fillId="0" borderId="0" xfId="0" applyFont="1" applyAlignment="1">
      <alignment horizontal="left"/>
    </xf>
    <xf numFmtId="3" fontId="89" fillId="0" borderId="0" xfId="0" applyNumberFormat="1" applyFont="1" applyAlignment="1">
      <alignment vertical="top"/>
    </xf>
    <xf numFmtId="175" fontId="92" fillId="0" borderId="0" xfId="0" applyNumberFormat="1" applyFont="1" applyAlignment="1">
      <alignment horizontal="center" vertical="center"/>
    </xf>
    <xf numFmtId="3" fontId="89" fillId="0" borderId="0" xfId="0" applyNumberFormat="1" applyFont="1" applyAlignment="1">
      <alignment horizontal="right" vertical="top"/>
    </xf>
    <xf numFmtId="0" fontId="299" fillId="0" borderId="0" xfId="0" applyFont="1" applyAlignment="1">
      <alignment vertical="center"/>
    </xf>
    <xf numFmtId="0" fontId="302" fillId="0" borderId="0" xfId="0" applyFont="1" applyAlignment="1">
      <alignment horizontal="center" vertical="center"/>
    </xf>
    <xf numFmtId="0" fontId="293" fillId="0" borderId="0" xfId="0" applyFont="1" applyAlignment="1">
      <alignment horizontal="center" vertical="center"/>
    </xf>
    <xf numFmtId="3" fontId="92" fillId="0" borderId="0" xfId="10" applyNumberFormat="1" applyFont="1" applyFill="1" applyBorder="1" applyAlignment="1" applyProtection="1">
      <alignment horizontal="center" vertical="center"/>
    </xf>
    <xf numFmtId="1" fontId="92" fillId="0" borderId="0" xfId="1" applyNumberFormat="1" applyFont="1" applyFill="1" applyBorder="1" applyAlignment="1" applyProtection="1">
      <alignment horizontal="center" vertical="center"/>
    </xf>
    <xf numFmtId="39" fontId="92" fillId="0" borderId="0" xfId="1" applyNumberFormat="1" applyFont="1" applyFill="1" applyBorder="1" applyAlignment="1" applyProtection="1">
      <alignment horizontal="center" vertical="center"/>
    </xf>
    <xf numFmtId="3" fontId="92" fillId="0" borderId="0" xfId="1" applyNumberFormat="1" applyFont="1" applyFill="1" applyBorder="1" applyAlignment="1" applyProtection="1">
      <alignment horizontal="center" vertical="center"/>
    </xf>
    <xf numFmtId="3" fontId="228" fillId="0" borderId="0" xfId="1" applyNumberFormat="1" applyFont="1" applyFill="1" applyBorder="1" applyAlignment="1" applyProtection="1">
      <alignment horizontal="center" vertical="center"/>
    </xf>
    <xf numFmtId="38" fontId="92" fillId="0" borderId="0" xfId="1" applyNumberFormat="1" applyFont="1" applyFill="1" applyBorder="1" applyAlignment="1" applyProtection="1">
      <alignment horizontal="center" vertical="center"/>
    </xf>
    <xf numFmtId="3" fontId="92" fillId="0" borderId="0" xfId="0" applyNumberFormat="1" applyFont="1" applyAlignment="1">
      <alignment horizontal="center" vertical="center"/>
    </xf>
    <xf numFmtId="10" fontId="92" fillId="0" borderId="0" xfId="0" applyNumberFormat="1" applyFont="1" applyAlignment="1">
      <alignment horizontal="center" vertical="center"/>
    </xf>
    <xf numFmtId="0" fontId="236" fillId="0" borderId="0" xfId="0" applyFont="1" applyAlignment="1">
      <alignment vertical="center"/>
    </xf>
    <xf numFmtId="0" fontId="223" fillId="0" borderId="0" xfId="0" applyFont="1" applyAlignment="1">
      <alignment horizontal="right" vertical="center"/>
    </xf>
    <xf numFmtId="37" fontId="92" fillId="0" borderId="0" xfId="1" applyNumberFormat="1" applyFont="1" applyFill="1" applyBorder="1" applyAlignment="1" applyProtection="1">
      <alignment horizontal="center" vertical="center"/>
    </xf>
    <xf numFmtId="37" fontId="89" fillId="0" borderId="0" xfId="1" applyNumberFormat="1" applyFont="1" applyFill="1" applyBorder="1" applyAlignment="1" applyProtection="1">
      <alignment horizontal="center" vertical="center"/>
    </xf>
    <xf numFmtId="164" fontId="236" fillId="0" borderId="0" xfId="1" applyNumberFormat="1" applyFont="1" applyFill="1" applyBorder="1" applyAlignment="1" applyProtection="1">
      <alignment vertical="center"/>
    </xf>
    <xf numFmtId="0" fontId="89" fillId="0" borderId="0" xfId="0" applyFont="1" applyAlignment="1">
      <alignment horizontal="center" vertical="center"/>
    </xf>
    <xf numFmtId="164" fontId="89" fillId="0" borderId="0" xfId="1" applyNumberFormat="1" applyFont="1" applyFill="1" applyBorder="1" applyAlignment="1" applyProtection="1">
      <alignment horizontal="center" vertical="center"/>
    </xf>
    <xf numFmtId="0" fontId="92" fillId="0" borderId="0" xfId="0" applyFont="1" applyAlignment="1">
      <alignment horizontal="right" vertical="center"/>
    </xf>
    <xf numFmtId="164" fontId="92" fillId="0" borderId="0" xfId="1" applyNumberFormat="1" applyFont="1" applyFill="1" applyBorder="1" applyAlignment="1" applyProtection="1">
      <alignment horizontal="center" vertical="center"/>
    </xf>
    <xf numFmtId="2" fontId="223" fillId="0" borderId="0" xfId="0" applyNumberFormat="1" applyFont="1" applyAlignment="1">
      <alignment vertical="top"/>
    </xf>
    <xf numFmtId="0" fontId="91" fillId="0" borderId="0" xfId="0" applyFont="1" applyAlignment="1">
      <alignment horizontal="left" vertical="center" wrapText="1"/>
    </xf>
    <xf numFmtId="0" fontId="288" fillId="0" borderId="0" xfId="0" applyFont="1" applyAlignment="1">
      <alignment horizontal="left" vertical="center"/>
    </xf>
    <xf numFmtId="0" fontId="224" fillId="0" borderId="0" xfId="0" applyFont="1" applyAlignment="1">
      <alignment horizontal="center"/>
    </xf>
    <xf numFmtId="0" fontId="223" fillId="0" borderId="0" xfId="0" applyFont="1" applyAlignment="1">
      <alignment vertical="top"/>
    </xf>
    <xf numFmtId="38" fontId="88" fillId="0" borderId="0" xfId="1" applyNumberFormat="1" applyFont="1" applyFill="1" applyBorder="1" applyAlignment="1" applyProtection="1">
      <alignment horizontal="right" vertical="center"/>
    </xf>
    <xf numFmtId="0" fontId="304" fillId="0" borderId="0" xfId="0" applyFont="1" applyAlignment="1">
      <alignment vertical="center"/>
    </xf>
    <xf numFmtId="0" fontId="304" fillId="0" borderId="0" xfId="0" applyFont="1"/>
    <xf numFmtId="0" fontId="297" fillId="0" borderId="0" xfId="0" applyFont="1" applyAlignment="1">
      <alignment vertical="center"/>
    </xf>
    <xf numFmtId="0" fontId="305" fillId="0" borderId="0" xfId="0" applyFont="1" applyAlignment="1">
      <alignment vertical="center"/>
    </xf>
    <xf numFmtId="38" fontId="304" fillId="0" borderId="0" xfId="1" applyNumberFormat="1" applyFont="1" applyFill="1" applyBorder="1" applyAlignment="1" applyProtection="1">
      <alignment horizontal="right" vertical="center"/>
    </xf>
    <xf numFmtId="38" fontId="79" fillId="0" borderId="0" xfId="1" applyNumberFormat="1" applyFont="1" applyFill="1" applyBorder="1" applyAlignment="1" applyProtection="1">
      <alignment horizontal="right" vertical="center"/>
    </xf>
    <xf numFmtId="0" fontId="79" fillId="0" borderId="0" xfId="0" applyFont="1" applyAlignment="1">
      <alignment vertical="top"/>
    </xf>
    <xf numFmtId="0" fontId="301" fillId="0" borderId="0" xfId="0" applyFont="1" applyAlignment="1">
      <alignment vertical="center"/>
    </xf>
    <xf numFmtId="10" fontId="88" fillId="0" borderId="0" xfId="0" applyNumberFormat="1" applyFont="1" applyAlignment="1">
      <alignment horizontal="center" vertical="center"/>
    </xf>
    <xf numFmtId="3" fontId="88" fillId="0" borderId="0" xfId="0" applyNumberFormat="1" applyFont="1" applyAlignment="1">
      <alignment horizontal="center" vertical="center"/>
    </xf>
    <xf numFmtId="38" fontId="88" fillId="0" borderId="0" xfId="0" applyNumberFormat="1" applyFont="1" applyAlignment="1">
      <alignment horizontal="right" vertical="center"/>
    </xf>
    <xf numFmtId="38" fontId="88" fillId="0" borderId="0" xfId="0" applyNumberFormat="1" applyFont="1"/>
    <xf numFmtId="10" fontId="89" fillId="0" borderId="0" xfId="0" applyNumberFormat="1" applyFont="1" applyAlignment="1">
      <alignment horizontal="left" vertical="center"/>
    </xf>
    <xf numFmtId="0" fontId="223" fillId="0" borderId="0" xfId="0" applyFont="1" applyAlignment="1">
      <alignment horizontal="left"/>
    </xf>
    <xf numFmtId="38" fontId="88" fillId="0" borderId="0" xfId="0" applyNumberFormat="1" applyFont="1" applyAlignment="1">
      <alignment horizontal="center" vertical="center"/>
    </xf>
    <xf numFmtId="0" fontId="88" fillId="0" borderId="0" xfId="0" applyFont="1" applyAlignment="1">
      <alignment horizontal="left" vertical="top"/>
    </xf>
    <xf numFmtId="0" fontId="92" fillId="0" borderId="0" xfId="0" applyFont="1" applyAlignment="1">
      <alignment horizontal="left" vertical="center"/>
    </xf>
    <xf numFmtId="0" fontId="297" fillId="0" borderId="0" xfId="0" applyFont="1" applyAlignment="1">
      <alignment horizontal="left" vertical="center"/>
    </xf>
    <xf numFmtId="0" fontId="305" fillId="0" borderId="0" xfId="0" applyFont="1" applyAlignment="1">
      <alignment horizontal="left" vertical="center"/>
    </xf>
    <xf numFmtId="38" fontId="244" fillId="0" borderId="0" xfId="1" applyNumberFormat="1" applyFont="1" applyFill="1" applyBorder="1" applyAlignment="1" applyProtection="1">
      <alignment horizontal="right" vertical="center"/>
    </xf>
    <xf numFmtId="38" fontId="88" fillId="0" borderId="0" xfId="0" applyNumberFormat="1" applyFont="1" applyAlignment="1">
      <alignment vertical="center"/>
    </xf>
    <xf numFmtId="38" fontId="88" fillId="0" borderId="0" xfId="1" applyNumberFormat="1" applyFont="1" applyFill="1" applyBorder="1" applyAlignment="1" applyProtection="1">
      <alignment vertical="center"/>
    </xf>
    <xf numFmtId="38" fontId="304" fillId="0" borderId="0" xfId="1" applyNumberFormat="1" applyFont="1" applyFill="1" applyBorder="1" applyAlignment="1" applyProtection="1">
      <alignment vertical="center"/>
    </xf>
    <xf numFmtId="0" fontId="244" fillId="0" borderId="0" xfId="0" applyFont="1" applyAlignment="1">
      <alignment vertical="center"/>
    </xf>
    <xf numFmtId="38" fontId="244" fillId="0" borderId="0" xfId="1" applyNumberFormat="1" applyFont="1" applyFill="1" applyBorder="1" applyAlignment="1" applyProtection="1">
      <alignment vertical="center"/>
    </xf>
    <xf numFmtId="38" fontId="79" fillId="0" borderId="0" xfId="1" applyNumberFormat="1" applyFont="1" applyFill="1" applyBorder="1" applyAlignment="1" applyProtection="1">
      <alignment vertical="center"/>
    </xf>
    <xf numFmtId="3" fontId="88" fillId="0" borderId="0" xfId="0" applyNumberFormat="1" applyFont="1" applyAlignment="1">
      <alignment vertical="center"/>
    </xf>
    <xf numFmtId="0" fontId="79" fillId="0" borderId="0" xfId="0" quotePrefix="1" applyFont="1" applyAlignment="1">
      <alignment horizontal="center" vertical="center"/>
    </xf>
    <xf numFmtId="164" fontId="92" fillId="0" borderId="0" xfId="0" applyNumberFormat="1" applyFont="1" applyAlignment="1">
      <alignment vertical="center"/>
    </xf>
    <xf numFmtId="10" fontId="92" fillId="0" borderId="0" xfId="0" applyNumberFormat="1" applyFont="1" applyAlignment="1">
      <alignment vertical="center"/>
    </xf>
    <xf numFmtId="0" fontId="92" fillId="0" borderId="0" xfId="0" applyFont="1" applyAlignment="1">
      <alignment horizontal="left"/>
    </xf>
    <xf numFmtId="9" fontId="92" fillId="0" borderId="0" xfId="10" applyFont="1" applyFill="1" applyBorder="1" applyAlignment="1" applyProtection="1"/>
    <xf numFmtId="0" fontId="306" fillId="0" borderId="0" xfId="0" applyFont="1"/>
    <xf numFmtId="0" fontId="223" fillId="0" borderId="0" xfId="1" applyNumberFormat="1" applyFont="1" applyFill="1" applyBorder="1" applyAlignment="1" applyProtection="1">
      <alignment horizontal="center"/>
    </xf>
    <xf numFmtId="0" fontId="224" fillId="0" borderId="0" xfId="1" applyNumberFormat="1" applyFont="1" applyFill="1" applyBorder="1" applyAlignment="1" applyProtection="1">
      <alignment horizontal="center"/>
    </xf>
    <xf numFmtId="3" fontId="92" fillId="0" borderId="0" xfId="0" applyNumberFormat="1" applyFont="1" applyAlignment="1">
      <alignment vertical="center"/>
    </xf>
    <xf numFmtId="164" fontId="92" fillId="0" borderId="0" xfId="1" applyNumberFormat="1" applyFont="1" applyFill="1" applyBorder="1" applyAlignment="1" applyProtection="1">
      <alignment vertical="center"/>
    </xf>
    <xf numFmtId="44" fontId="92" fillId="0" borderId="0" xfId="0" applyNumberFormat="1" applyFont="1"/>
    <xf numFmtId="44" fontId="88" fillId="0" borderId="0" xfId="0" applyNumberFormat="1" applyFont="1"/>
    <xf numFmtId="0" fontId="79" fillId="0" borderId="0" xfId="0" applyFont="1" applyAlignment="1">
      <alignment horizontal="left" vertical="center"/>
    </xf>
    <xf numFmtId="0" fontId="79" fillId="0" borderId="0" xfId="0" applyFont="1" applyAlignment="1">
      <alignment horizontal="right" vertical="center"/>
    </xf>
    <xf numFmtId="0" fontId="308" fillId="0" borderId="0" xfId="0" applyFont="1" applyAlignment="1">
      <alignment vertical="center"/>
    </xf>
    <xf numFmtId="3" fontId="88" fillId="0" borderId="0" xfId="1" applyNumberFormat="1" applyFont="1" applyFill="1" applyBorder="1" applyAlignment="1" applyProtection="1">
      <alignment vertical="center"/>
    </xf>
    <xf numFmtId="4" fontId="89" fillId="0" borderId="0" xfId="0" applyNumberFormat="1" applyFont="1" applyAlignment="1">
      <alignment horizontal="left" vertical="center"/>
    </xf>
    <xf numFmtId="4" fontId="92" fillId="0" borderId="0" xfId="1" applyNumberFormat="1" applyFont="1" applyFill="1" applyBorder="1" applyAlignment="1" applyProtection="1">
      <alignment horizontal="center" vertical="center"/>
    </xf>
    <xf numFmtId="0" fontId="244" fillId="0" borderId="0" xfId="0" applyFont="1" applyAlignment="1">
      <alignment horizontal="right" vertical="center"/>
    </xf>
    <xf numFmtId="0" fontId="88" fillId="0" borderId="0" xfId="0" applyFont="1" applyAlignment="1">
      <alignment horizontal="left" vertical="center"/>
    </xf>
    <xf numFmtId="38" fontId="89" fillId="0" borderId="0" xfId="0" applyNumberFormat="1" applyFont="1" applyAlignment="1">
      <alignment vertical="center"/>
    </xf>
    <xf numFmtId="0" fontId="309" fillId="0" borderId="0" xfId="0" applyFont="1" applyAlignment="1">
      <alignment vertical="center"/>
    </xf>
    <xf numFmtId="3" fontId="88" fillId="0" borderId="0" xfId="1" applyNumberFormat="1" applyFont="1" applyFill="1" applyBorder="1" applyAlignment="1" applyProtection="1">
      <alignment horizontal="right" vertical="center"/>
    </xf>
    <xf numFmtId="3" fontId="92" fillId="0" borderId="0" xfId="1" applyNumberFormat="1" applyFont="1" applyFill="1" applyBorder="1" applyAlignment="1" applyProtection="1">
      <alignment horizontal="right" vertical="center"/>
    </xf>
    <xf numFmtId="1" fontId="310" fillId="0" borderId="0" xfId="0" applyNumberFormat="1" applyFont="1"/>
    <xf numFmtId="0" fontId="311" fillId="0" borderId="0" xfId="0" applyFont="1"/>
    <xf numFmtId="0" fontId="311" fillId="0" borderId="0" xfId="0" applyFont="1" applyAlignment="1">
      <alignment horizontal="center"/>
    </xf>
    <xf numFmtId="3" fontId="89" fillId="0" borderId="0" xfId="0" applyNumberFormat="1" applyFont="1" applyAlignment="1">
      <alignment horizontal="center" vertical="center"/>
    </xf>
    <xf numFmtId="3" fontId="223" fillId="0" borderId="0" xfId="0" applyNumberFormat="1" applyFont="1" applyAlignment="1">
      <alignment horizontal="center" vertical="center"/>
    </xf>
    <xf numFmtId="38" fontId="88" fillId="0" borderId="0" xfId="1" applyNumberFormat="1" applyFont="1" applyFill="1" applyBorder="1" applyAlignment="1" applyProtection="1">
      <alignment horizontal="left" vertical="center"/>
    </xf>
    <xf numFmtId="49" fontId="223" fillId="0" borderId="0" xfId="0" applyNumberFormat="1" applyFont="1" applyAlignment="1">
      <alignment vertical="center"/>
    </xf>
    <xf numFmtId="10" fontId="88" fillId="0" borderId="0" xfId="0" applyNumberFormat="1" applyFont="1" applyAlignment="1">
      <alignment horizontal="left"/>
    </xf>
    <xf numFmtId="164" fontId="88" fillId="0" borderId="0" xfId="1" applyNumberFormat="1" applyFont="1" applyFill="1" applyBorder="1" applyAlignment="1" applyProtection="1">
      <alignment horizontal="right"/>
    </xf>
    <xf numFmtId="0" fontId="88" fillId="0" borderId="0" xfId="0" applyFont="1" applyAlignment="1">
      <alignment horizontal="left"/>
    </xf>
    <xf numFmtId="10" fontId="88" fillId="0" borderId="0" xfId="0" applyNumberFormat="1" applyFont="1" applyAlignment="1">
      <alignment horizontal="center"/>
    </xf>
    <xf numFmtId="3" fontId="79" fillId="0" borderId="0" xfId="0" applyNumberFormat="1" applyFont="1" applyAlignment="1">
      <alignment horizontal="right"/>
    </xf>
    <xf numFmtId="0" fontId="88" fillId="0" borderId="0" xfId="0" applyFont="1" applyAlignment="1">
      <alignment horizontal="right"/>
    </xf>
    <xf numFmtId="0" fontId="88" fillId="0" borderId="0" xfId="0" applyFont="1" applyAlignment="1">
      <alignment horizontal="right" vertical="center"/>
    </xf>
    <xf numFmtId="0" fontId="88" fillId="0" borderId="0" xfId="0" quotePrefix="1" applyFont="1" applyAlignment="1">
      <alignment horizontal="left" vertical="center"/>
    </xf>
    <xf numFmtId="3" fontId="88" fillId="0" borderId="0" xfId="10" applyNumberFormat="1" applyFont="1" applyFill="1" applyBorder="1" applyAlignment="1" applyProtection="1">
      <alignment horizontal="right" vertical="center"/>
    </xf>
    <xf numFmtId="166" fontId="88" fillId="0" borderId="0" xfId="10" applyNumberFormat="1" applyFont="1" applyFill="1" applyBorder="1" applyAlignment="1" applyProtection="1">
      <alignment horizontal="right" vertical="center"/>
    </xf>
    <xf numFmtId="164" fontId="88" fillId="0" borderId="0" xfId="1" applyNumberFormat="1" applyFont="1" applyFill="1" applyBorder="1" applyAlignment="1" applyProtection="1"/>
    <xf numFmtId="43" fontId="88" fillId="0" borderId="0" xfId="1" applyFont="1" applyFill="1" applyBorder="1" applyAlignment="1" applyProtection="1"/>
    <xf numFmtId="39" fontId="88" fillId="0" borderId="0" xfId="1" applyNumberFormat="1" applyFont="1" applyFill="1" applyBorder="1" applyAlignment="1" applyProtection="1">
      <alignment horizontal="right"/>
    </xf>
    <xf numFmtId="164" fontId="79" fillId="0" borderId="0" xfId="1" applyNumberFormat="1" applyFont="1" applyFill="1" applyBorder="1" applyAlignment="1" applyProtection="1"/>
    <xf numFmtId="0" fontId="79" fillId="0" borderId="0" xfId="33" applyFont="1" applyAlignment="1">
      <alignment vertical="center"/>
    </xf>
    <xf numFmtId="0" fontId="88" fillId="0" borderId="0" xfId="33" applyFont="1"/>
    <xf numFmtId="0" fontId="244" fillId="0" borderId="0" xfId="33" applyFont="1" applyAlignment="1">
      <alignment vertical="center"/>
    </xf>
    <xf numFmtId="49" fontId="79" fillId="0" borderId="0" xfId="33" applyNumberFormat="1" applyFont="1" applyAlignment="1">
      <alignment vertical="center"/>
    </xf>
    <xf numFmtId="0" fontId="79" fillId="0" borderId="0" xfId="33" applyFont="1" applyAlignment="1">
      <alignment horizontal="center" vertical="center"/>
    </xf>
    <xf numFmtId="0" fontId="79" fillId="0" borderId="0" xfId="33" applyFont="1" applyAlignment="1">
      <alignment horizontal="right" vertical="center"/>
    </xf>
    <xf numFmtId="0" fontId="229" fillId="0" borderId="0" xfId="33" applyFont="1" applyAlignment="1">
      <alignment vertical="center"/>
    </xf>
    <xf numFmtId="0" fontId="224" fillId="0" borderId="0" xfId="33" applyFont="1"/>
    <xf numFmtId="0" fontId="243" fillId="0" borderId="0" xfId="33" applyFont="1"/>
    <xf numFmtId="0" fontId="265" fillId="0" borderId="0" xfId="33" applyFont="1" applyAlignment="1">
      <alignment horizontal="left" vertical="top"/>
    </xf>
    <xf numFmtId="0" fontId="88" fillId="0" borderId="0" xfId="33" applyFont="1" applyAlignment="1">
      <alignment vertical="top"/>
    </xf>
    <xf numFmtId="0" fontId="224" fillId="0" borderId="0" xfId="33" applyFont="1" applyAlignment="1">
      <alignment horizontal="left" vertical="center"/>
    </xf>
    <xf numFmtId="0" fontId="224" fillId="0" borderId="0" xfId="33" applyFont="1" applyAlignment="1">
      <alignment horizontal="right" vertical="center"/>
    </xf>
    <xf numFmtId="0" fontId="265" fillId="0" borderId="0" xfId="33" applyFont="1" applyAlignment="1">
      <alignment vertical="center"/>
    </xf>
    <xf numFmtId="0" fontId="243" fillId="0" borderId="0" xfId="33" applyFont="1" applyAlignment="1">
      <alignment vertical="top"/>
    </xf>
    <xf numFmtId="0" fontId="312" fillId="0" borderId="0" xfId="33" applyFont="1" applyAlignment="1">
      <alignment horizontal="right" vertical="center"/>
    </xf>
    <xf numFmtId="0" fontId="312" fillId="0" borderId="0" xfId="33" applyFont="1" applyAlignment="1">
      <alignment horizontal="center" vertical="center"/>
    </xf>
    <xf numFmtId="0" fontId="265" fillId="0" borderId="0" xfId="33" applyFont="1" applyAlignment="1">
      <alignment horizontal="left" vertical="center"/>
    </xf>
    <xf numFmtId="10" fontId="224" fillId="0" borderId="0" xfId="33" applyNumberFormat="1" applyFont="1" applyAlignment="1">
      <alignment vertical="center"/>
    </xf>
    <xf numFmtId="10" fontId="243" fillId="0" borderId="0" xfId="10" applyNumberFormat="1" applyFont="1" applyFill="1" applyBorder="1" applyAlignment="1" applyProtection="1">
      <alignment vertical="center"/>
    </xf>
    <xf numFmtId="10" fontId="243" fillId="0" borderId="0" xfId="33" applyNumberFormat="1" applyFont="1" applyAlignment="1">
      <alignment horizontal="left" vertical="center"/>
    </xf>
    <xf numFmtId="0" fontId="224" fillId="0" borderId="0" xfId="33" applyFont="1" applyAlignment="1">
      <alignment vertical="top"/>
    </xf>
    <xf numFmtId="0" fontId="243" fillId="0" borderId="0" xfId="33" applyFont="1" applyAlignment="1">
      <alignment horizontal="right" vertical="center"/>
    </xf>
    <xf numFmtId="0" fontId="224" fillId="0" borderId="0" xfId="33" applyFont="1" applyAlignment="1">
      <alignment horizontal="left" vertical="top"/>
    </xf>
    <xf numFmtId="0" fontId="224" fillId="0" borderId="0" xfId="33" applyFont="1" applyAlignment="1">
      <alignment horizontal="center" vertical="top"/>
    </xf>
    <xf numFmtId="0" fontId="265" fillId="0" borderId="0" xfId="33" applyFont="1" applyAlignment="1">
      <alignment vertical="top"/>
    </xf>
    <xf numFmtId="0" fontId="243" fillId="0" borderId="0" xfId="33" applyFont="1" applyAlignment="1">
      <alignment horizontal="right" vertical="top"/>
    </xf>
    <xf numFmtId="0" fontId="89" fillId="0" borderId="0" xfId="33" applyFont="1" applyAlignment="1">
      <alignment vertical="center"/>
    </xf>
    <xf numFmtId="0" fontId="89" fillId="0" borderId="0" xfId="33" applyFont="1" applyAlignment="1">
      <alignment horizontal="center" vertical="center"/>
    </xf>
    <xf numFmtId="3" fontId="92" fillId="0" borderId="0" xfId="33" applyNumberFormat="1" applyFont="1" applyAlignment="1">
      <alignment horizontal="center" vertical="center"/>
    </xf>
    <xf numFmtId="0" fontId="89" fillId="0" borderId="0" xfId="33" applyFont="1" applyAlignment="1">
      <alignment horizontal="right" vertical="center"/>
    </xf>
    <xf numFmtId="0" fontId="92" fillId="0" borderId="0" xfId="33" applyFont="1" applyAlignment="1">
      <alignment vertical="center"/>
    </xf>
    <xf numFmtId="0" fontId="312" fillId="0" borderId="0" xfId="33" applyFont="1" applyAlignment="1">
      <alignment horizontal="left" vertical="center"/>
    </xf>
    <xf numFmtId="38" fontId="224" fillId="0" borderId="0" xfId="33" applyNumberFormat="1" applyFont="1" applyAlignment="1">
      <alignment vertical="center"/>
    </xf>
    <xf numFmtId="38" fontId="224" fillId="0" borderId="0" xfId="33" applyNumberFormat="1" applyFont="1" applyAlignment="1">
      <alignment horizontal="center" vertical="center"/>
    </xf>
    <xf numFmtId="1" fontId="224" fillId="0" borderId="0" xfId="33" applyNumberFormat="1" applyFont="1" applyAlignment="1">
      <alignment vertical="center"/>
    </xf>
    <xf numFmtId="9" fontId="224" fillId="0" borderId="0" xfId="33" applyNumberFormat="1" applyFont="1" applyAlignment="1">
      <alignment vertical="center"/>
    </xf>
    <xf numFmtId="38" fontId="229" fillId="0" borderId="0" xfId="33" applyNumberFormat="1" applyFont="1" applyAlignment="1">
      <alignment vertical="center"/>
    </xf>
    <xf numFmtId="0" fontId="312" fillId="0" borderId="0" xfId="33" applyFont="1"/>
    <xf numFmtId="0" fontId="243" fillId="0" borderId="0" xfId="33" applyFont="1" applyAlignment="1">
      <alignment horizontal="justify" vertical="center"/>
    </xf>
    <xf numFmtId="3" fontId="243" fillId="0" borderId="0" xfId="34" applyNumberFormat="1" applyFont="1" applyFill="1" applyBorder="1" applyAlignment="1" applyProtection="1">
      <alignment horizontal="center" vertical="center"/>
    </xf>
    <xf numFmtId="1" fontId="224" fillId="0" borderId="0" xfId="33" applyNumberFormat="1" applyFont="1" applyAlignment="1">
      <alignment horizontal="center" vertical="center"/>
    </xf>
    <xf numFmtId="9" fontId="224" fillId="0" borderId="0" xfId="33" applyNumberFormat="1" applyFont="1" applyAlignment="1">
      <alignment horizontal="center" vertical="center"/>
    </xf>
    <xf numFmtId="0" fontId="224" fillId="0" borderId="0" xfId="37" applyFont="1" applyAlignment="1">
      <alignment vertical="top"/>
    </xf>
    <xf numFmtId="1" fontId="243" fillId="0" borderId="0" xfId="37" applyNumberFormat="1" applyFont="1" applyAlignment="1">
      <alignment vertical="center"/>
    </xf>
    <xf numFmtId="0" fontId="296" fillId="0" borderId="0" xfId="37" applyFont="1" applyAlignment="1">
      <alignment vertical="center"/>
    </xf>
    <xf numFmtId="49" fontId="224" fillId="0" borderId="0" xfId="37" applyNumberFormat="1" applyFont="1" applyAlignment="1">
      <alignment vertical="center"/>
    </xf>
    <xf numFmtId="38" fontId="243" fillId="0" borderId="0" xfId="37" applyNumberFormat="1" applyFont="1" applyAlignment="1">
      <alignment horizontal="center" vertical="center"/>
    </xf>
    <xf numFmtId="181" fontId="224" fillId="0" borderId="0" xfId="37" applyNumberFormat="1" applyFont="1" applyAlignment="1">
      <alignment horizontal="center" vertical="center"/>
    </xf>
    <xf numFmtId="0" fontId="265" fillId="0" borderId="0" xfId="37" applyFont="1" applyAlignment="1">
      <alignment vertical="center"/>
    </xf>
    <xf numFmtId="0" fontId="236" fillId="0" borderId="0" xfId="37" applyFont="1" applyAlignment="1">
      <alignment vertical="center"/>
    </xf>
    <xf numFmtId="3" fontId="224" fillId="0" borderId="0" xfId="37" applyNumberFormat="1" applyFont="1" applyAlignment="1">
      <alignment vertical="center"/>
    </xf>
    <xf numFmtId="0" fontId="229" fillId="0" borderId="0" xfId="37" applyFont="1" applyAlignment="1">
      <alignment vertical="center"/>
    </xf>
    <xf numFmtId="0" fontId="243" fillId="0" borderId="0" xfId="37" applyFont="1" applyAlignment="1">
      <alignment horizontal="right"/>
    </xf>
    <xf numFmtId="0" fontId="250" fillId="0" borderId="0" xfId="37" applyFont="1" applyAlignment="1">
      <alignment horizontal="left" vertical="center"/>
    </xf>
    <xf numFmtId="0" fontId="250" fillId="0" borderId="0" xfId="37" applyFont="1" applyAlignment="1">
      <alignment horizontal="center" vertical="center"/>
    </xf>
    <xf numFmtId="0" fontId="250" fillId="0" borderId="0" xfId="37" applyFont="1" applyAlignment="1">
      <alignment horizontal="left" vertical="top"/>
    </xf>
    <xf numFmtId="0" fontId="224" fillId="0" borderId="0" xfId="37" applyFont="1" applyAlignment="1">
      <alignment horizontal="left" vertical="center"/>
    </xf>
    <xf numFmtId="0" fontId="224" fillId="0" borderId="0" xfId="37" quotePrefix="1" applyFont="1" applyAlignment="1">
      <alignment horizontal="left" vertical="center"/>
    </xf>
    <xf numFmtId="0" fontId="243" fillId="0" borderId="0" xfId="37" quotePrefix="1" applyFont="1" applyAlignment="1">
      <alignment horizontal="right" vertical="center"/>
    </xf>
    <xf numFmtId="0" fontId="224" fillId="0" borderId="0" xfId="37" quotePrefix="1" applyFont="1" applyAlignment="1">
      <alignment horizontal="left" vertical="top"/>
    </xf>
    <xf numFmtId="0" fontId="250" fillId="0" borderId="0" xfId="37" quotePrefix="1" applyFont="1" applyAlignment="1">
      <alignment horizontal="center" vertical="center"/>
    </xf>
    <xf numFmtId="0" fontId="224" fillId="0" borderId="0" xfId="37" applyFont="1" applyAlignment="1">
      <alignment horizontal="center" vertical="top"/>
    </xf>
    <xf numFmtId="0" fontId="224" fillId="0" borderId="0" xfId="37" quotePrefix="1" applyFont="1" applyAlignment="1">
      <alignment vertical="top"/>
    </xf>
    <xf numFmtId="0" fontId="243" fillId="0" borderId="0" xfId="37" applyFont="1" applyAlignment="1">
      <alignment horizontal="right" vertical="top"/>
    </xf>
    <xf numFmtId="0" fontId="250" fillId="0" borderId="0" xfId="37" applyFont="1" applyAlignment="1">
      <alignment horizontal="center" vertical="top"/>
    </xf>
    <xf numFmtId="0" fontId="250" fillId="0" borderId="0" xfId="37" applyFont="1" applyAlignment="1">
      <alignment vertical="top"/>
    </xf>
    <xf numFmtId="0" fontId="265" fillId="0" borderId="0" xfId="37" applyFont="1" applyAlignment="1">
      <alignment vertical="top"/>
    </xf>
    <xf numFmtId="38" fontId="224" fillId="0" borderId="0" xfId="37" applyNumberFormat="1" applyFont="1" applyAlignment="1">
      <alignment vertical="center"/>
    </xf>
    <xf numFmtId="0" fontId="265" fillId="0" borderId="0" xfId="37" applyFont="1" applyAlignment="1">
      <alignment horizontal="left"/>
    </xf>
    <xf numFmtId="0" fontId="243" fillId="0" borderId="0" xfId="37" quotePrefix="1" applyFont="1"/>
    <xf numFmtId="0" fontId="88" fillId="0" borderId="0" xfId="37" applyFont="1"/>
    <xf numFmtId="0" fontId="243" fillId="0" borderId="0" xfId="37" quotePrefix="1" applyFont="1" applyAlignment="1">
      <alignment vertical="center"/>
    </xf>
    <xf numFmtId="0" fontId="224" fillId="0" borderId="0" xfId="37" applyFont="1" applyAlignment="1">
      <alignment horizontal="left" vertical="top"/>
    </xf>
    <xf numFmtId="0" fontId="250" fillId="0" borderId="0" xfId="37" quotePrefix="1" applyFont="1" applyAlignment="1">
      <alignment vertical="top"/>
    </xf>
    <xf numFmtId="0" fontId="224" fillId="0" borderId="0" xfId="37" applyFont="1" applyAlignment="1">
      <alignment horizontal="right"/>
    </xf>
    <xf numFmtId="0" fontId="224" fillId="0" borderId="0" xfId="37" quotePrefix="1" applyFont="1" applyAlignment="1">
      <alignment horizontal="center" vertical="center"/>
    </xf>
    <xf numFmtId="0" fontId="243" fillId="0" borderId="0" xfId="37" quotePrefix="1" applyFont="1" applyAlignment="1">
      <alignment vertical="top"/>
    </xf>
    <xf numFmtId="0" fontId="265" fillId="0" borderId="0" xfId="37" applyFont="1"/>
    <xf numFmtId="3" fontId="243" fillId="0" borderId="0" xfId="37" applyNumberFormat="1" applyFont="1" applyAlignment="1">
      <alignment vertical="center"/>
    </xf>
    <xf numFmtId="0" fontId="89" fillId="0" borderId="0" xfId="37" applyFont="1" applyAlignment="1">
      <alignment vertical="center"/>
    </xf>
    <xf numFmtId="0" fontId="92" fillId="0" borderId="0" xfId="37" applyFont="1"/>
    <xf numFmtId="3" fontId="92" fillId="0" borderId="0" xfId="37" applyNumberFormat="1" applyFont="1" applyAlignment="1">
      <alignment horizontal="center" vertical="center"/>
    </xf>
    <xf numFmtId="4" fontId="92" fillId="0" borderId="0" xfId="37" applyNumberFormat="1" applyFont="1" applyAlignment="1">
      <alignment horizontal="center" vertical="center"/>
    </xf>
    <xf numFmtId="4" fontId="243" fillId="0" borderId="0" xfId="37" applyNumberFormat="1" applyFont="1" applyAlignment="1">
      <alignment vertical="center"/>
    </xf>
    <xf numFmtId="38" fontId="243" fillId="0" borderId="0" xfId="37" applyNumberFormat="1" applyFont="1" applyAlignment="1">
      <alignment vertical="center"/>
    </xf>
    <xf numFmtId="0" fontId="89" fillId="0" borderId="0" xfId="37" applyFont="1"/>
    <xf numFmtId="0" fontId="92" fillId="0" borderId="0" xfId="37" applyFont="1" applyAlignment="1">
      <alignment horizontal="right" vertical="center"/>
    </xf>
    <xf numFmtId="0" fontId="92" fillId="0" borderId="0" xfId="37" applyFont="1" applyAlignment="1">
      <alignment horizontal="left" vertical="center"/>
    </xf>
    <xf numFmtId="0" fontId="88" fillId="0" borderId="0" xfId="37" applyFont="1" applyAlignment="1">
      <alignment horizontal="center" vertical="center"/>
    </xf>
    <xf numFmtId="0" fontId="243" fillId="0" borderId="0" xfId="37" quotePrefix="1" applyFont="1" applyAlignment="1">
      <alignment horizontal="right" vertical="top"/>
    </xf>
    <xf numFmtId="0" fontId="243" fillId="0" borderId="0" xfId="37" quotePrefix="1" applyFont="1" applyAlignment="1">
      <alignment horizontal="center" vertical="top"/>
    </xf>
    <xf numFmtId="0" fontId="243" fillId="0" borderId="0" xfId="37" quotePrefix="1" applyFont="1" applyAlignment="1">
      <alignment horizontal="center" vertical="center"/>
    </xf>
    <xf numFmtId="0" fontId="250" fillId="0" borderId="0" xfId="37" quotePrefix="1" applyFont="1" applyAlignment="1">
      <alignment horizontal="left" vertical="center"/>
    </xf>
    <xf numFmtId="0" fontId="88" fillId="0" borderId="0" xfId="37" applyFont="1" applyAlignment="1">
      <alignment horizontal="right" vertical="center"/>
    </xf>
    <xf numFmtId="0" fontId="236" fillId="0" borderId="0" xfId="37" applyFont="1"/>
    <xf numFmtId="0" fontId="224" fillId="0" borderId="0" xfId="37" quotePrefix="1" applyFont="1" applyAlignment="1">
      <alignment vertical="center"/>
    </xf>
    <xf numFmtId="10" fontId="224" fillId="0" borderId="0" xfId="37" applyNumberFormat="1" applyFont="1" applyAlignment="1">
      <alignment vertical="center"/>
    </xf>
    <xf numFmtId="10" fontId="92" fillId="0" borderId="0" xfId="37" applyNumberFormat="1" applyFont="1" applyAlignment="1">
      <alignment vertical="center"/>
    </xf>
    <xf numFmtId="0" fontId="92" fillId="0" borderId="0" xfId="37" applyFont="1" applyAlignment="1">
      <alignment vertical="center"/>
    </xf>
    <xf numFmtId="0" fontId="91" fillId="0" borderId="0" xfId="37" applyFont="1"/>
    <xf numFmtId="10" fontId="243" fillId="0" borderId="0" xfId="37" applyNumberFormat="1" applyFont="1" applyAlignment="1">
      <alignment horizontal="center" vertical="center"/>
    </xf>
    <xf numFmtId="0" fontId="228" fillId="0" borderId="0" xfId="37" applyFont="1" applyAlignment="1">
      <alignment vertical="center"/>
    </xf>
    <xf numFmtId="38" fontId="88" fillId="0" borderId="0" xfId="37" applyNumberFormat="1" applyFont="1" applyAlignment="1">
      <alignment horizontal="center" vertical="center"/>
    </xf>
    <xf numFmtId="0" fontId="91" fillId="0" borderId="0" xfId="37" applyFont="1" applyAlignment="1">
      <alignment horizontal="left" vertical="center"/>
    </xf>
    <xf numFmtId="0" fontId="88" fillId="0" borderId="0" xfId="37" applyFont="1" applyAlignment="1">
      <alignment horizontal="center" vertical="top"/>
    </xf>
    <xf numFmtId="38" fontId="224" fillId="0" borderId="0" xfId="37" applyNumberFormat="1" applyFont="1" applyAlignment="1">
      <alignment horizontal="center" vertical="top"/>
    </xf>
    <xf numFmtId="0" fontId="88" fillId="0" borderId="0" xfId="37" applyFont="1" applyAlignment="1">
      <alignment vertical="top"/>
    </xf>
    <xf numFmtId="0" fontId="91" fillId="0" borderId="0" xfId="37" applyFont="1" applyAlignment="1">
      <alignment horizontal="right" vertical="center"/>
    </xf>
    <xf numFmtId="0" fontId="250" fillId="0" borderId="0" xfId="37" quotePrefix="1" applyFont="1"/>
    <xf numFmtId="0" fontId="250" fillId="0" borderId="0" xfId="37" applyFont="1"/>
    <xf numFmtId="38" fontId="224" fillId="0" borderId="0" xfId="37" applyNumberFormat="1" applyFont="1" applyAlignment="1">
      <alignment horizontal="center"/>
    </xf>
    <xf numFmtId="0" fontId="89" fillId="0" borderId="0" xfId="37" applyFont="1" applyAlignment="1">
      <alignment horizontal="right" vertical="center"/>
    </xf>
    <xf numFmtId="9" fontId="243" fillId="0" borderId="0" xfId="38" applyFont="1" applyFill="1" applyBorder="1" applyAlignment="1" applyProtection="1">
      <alignment horizontal="left" vertical="center"/>
    </xf>
    <xf numFmtId="40" fontId="224" fillId="0" borderId="0" xfId="37" applyNumberFormat="1" applyFont="1" applyAlignment="1">
      <alignment horizontal="center" vertical="center"/>
    </xf>
    <xf numFmtId="0" fontId="224" fillId="0" borderId="0" xfId="37" quotePrefix="1" applyFont="1" applyAlignment="1">
      <alignment horizontal="right" vertical="center"/>
    </xf>
    <xf numFmtId="9" fontId="224" fillId="0" borderId="0" xfId="38" applyFont="1" applyFill="1" applyBorder="1" applyAlignment="1" applyProtection="1">
      <alignment horizontal="center" vertical="top"/>
    </xf>
    <xf numFmtId="10" fontId="224" fillId="0" borderId="0" xfId="37" applyNumberFormat="1" applyFont="1" applyAlignment="1">
      <alignment horizontal="center" vertical="center"/>
    </xf>
    <xf numFmtId="0" fontId="315" fillId="0" borderId="0" xfId="0" applyFont="1" applyAlignment="1">
      <alignment horizontal="right" vertical="center"/>
    </xf>
    <xf numFmtId="0" fontId="243" fillId="0" borderId="0" xfId="37" quotePrefix="1" applyFont="1" applyAlignment="1">
      <alignment horizontal="left" vertical="center"/>
    </xf>
    <xf numFmtId="183" fontId="224" fillId="0" borderId="0" xfId="37" applyNumberFormat="1" applyFont="1" applyAlignment="1">
      <alignment horizontal="center" vertical="center"/>
    </xf>
    <xf numFmtId="0" fontId="265" fillId="0" borderId="0" xfId="37" applyFont="1" applyAlignment="1">
      <alignment horizontal="right" vertical="center"/>
    </xf>
    <xf numFmtId="38" fontId="88" fillId="0" borderId="0" xfId="37" applyNumberFormat="1" applyFont="1" applyAlignment="1">
      <alignment vertical="center"/>
    </xf>
    <xf numFmtId="185" fontId="92" fillId="0" borderId="0" xfId="37" applyNumberFormat="1" applyFont="1" applyAlignment="1">
      <alignment horizontal="center" vertical="center"/>
    </xf>
    <xf numFmtId="168" fontId="243" fillId="0" borderId="0" xfId="37" applyNumberFormat="1" applyFont="1" applyAlignment="1">
      <alignment vertical="center"/>
    </xf>
    <xf numFmtId="167" fontId="88" fillId="0" borderId="0" xfId="37" applyNumberFormat="1" applyFont="1" applyAlignment="1">
      <alignment horizontal="left" vertical="center"/>
    </xf>
    <xf numFmtId="0" fontId="316" fillId="0" borderId="0" xfId="37" applyFont="1" applyAlignment="1">
      <alignment vertical="center"/>
    </xf>
    <xf numFmtId="181" fontId="243" fillId="0" borderId="0" xfId="37" applyNumberFormat="1" applyFont="1" applyAlignment="1">
      <alignment horizontal="center" vertical="center"/>
    </xf>
    <xf numFmtId="0" fontId="91" fillId="0" borderId="0" xfId="33" applyFont="1" applyAlignment="1">
      <alignment horizontal="center" vertical="center"/>
    </xf>
    <xf numFmtId="183" fontId="224" fillId="0" borderId="0" xfId="37" applyNumberFormat="1" applyFont="1" applyAlignment="1">
      <alignment horizontal="center" vertical="top"/>
    </xf>
    <xf numFmtId="0" fontId="99" fillId="0" borderId="0" xfId="33" applyFont="1" applyAlignment="1">
      <alignment vertical="center"/>
    </xf>
    <xf numFmtId="167" fontId="243" fillId="0" borderId="0" xfId="37" applyNumberFormat="1" applyFont="1" applyAlignment="1">
      <alignment vertical="top"/>
    </xf>
    <xf numFmtId="183" fontId="243" fillId="0" borderId="0" xfId="37" applyNumberFormat="1" applyFont="1" applyAlignment="1">
      <alignment horizontal="center" vertical="center"/>
    </xf>
    <xf numFmtId="49" fontId="224" fillId="0" borderId="0" xfId="37" quotePrefix="1" applyNumberFormat="1" applyFont="1" applyAlignment="1">
      <alignment horizontal="left" vertical="top"/>
    </xf>
    <xf numFmtId="0" fontId="79" fillId="0" borderId="0" xfId="37" applyFont="1" applyAlignment="1">
      <alignment vertical="center"/>
    </xf>
    <xf numFmtId="0" fontId="79" fillId="0" borderId="0" xfId="37" applyFont="1"/>
    <xf numFmtId="0" fontId="88" fillId="0" borderId="0" xfId="37" applyFont="1" applyAlignment="1">
      <alignment vertical="center"/>
    </xf>
    <xf numFmtId="0" fontId="88" fillId="0" borderId="0" xfId="37" applyFont="1" applyAlignment="1">
      <alignment horizontal="left" vertical="center"/>
    </xf>
    <xf numFmtId="0" fontId="79" fillId="0" borderId="0" xfId="37" applyFont="1" applyAlignment="1">
      <alignment horizontal="left" vertical="center"/>
    </xf>
    <xf numFmtId="38" fontId="79" fillId="0" borderId="0" xfId="37" applyNumberFormat="1" applyFont="1" applyAlignment="1">
      <alignment horizontal="center" vertical="center"/>
    </xf>
    <xf numFmtId="49" fontId="224" fillId="0" borderId="0" xfId="37" quotePrefix="1" applyNumberFormat="1" applyFont="1" applyAlignment="1">
      <alignment horizontal="left" vertical="center"/>
    </xf>
    <xf numFmtId="0" fontId="317" fillId="0" borderId="0" xfId="37" applyFont="1" applyAlignment="1">
      <alignment horizontal="right" vertical="center"/>
    </xf>
    <xf numFmtId="0" fontId="312" fillId="0" borderId="0" xfId="37" applyFont="1"/>
    <xf numFmtId="0" fontId="79" fillId="0" borderId="0" xfId="37" applyFont="1" applyAlignment="1">
      <alignment horizontal="center" vertical="center"/>
    </xf>
    <xf numFmtId="49" fontId="243" fillId="0" borderId="0" xfId="37" applyNumberFormat="1" applyFont="1" applyAlignment="1">
      <alignment vertical="center"/>
    </xf>
    <xf numFmtId="0" fontId="265" fillId="0" borderId="0" xfId="37" applyFont="1" applyAlignment="1">
      <alignment horizontal="center"/>
    </xf>
    <xf numFmtId="10" fontId="88" fillId="0" borderId="0" xfId="37" applyNumberFormat="1" applyFont="1" applyAlignment="1">
      <alignment vertical="center"/>
    </xf>
    <xf numFmtId="10" fontId="88" fillId="0" borderId="0" xfId="37" applyNumberFormat="1" applyFont="1" applyAlignment="1">
      <alignment horizontal="center" vertical="center"/>
    </xf>
    <xf numFmtId="10" fontId="243" fillId="0" borderId="0" xfId="37" applyNumberFormat="1" applyFont="1" applyAlignment="1">
      <alignment vertical="center"/>
    </xf>
    <xf numFmtId="0" fontId="318" fillId="0" borderId="0" xfId="0" applyFont="1" applyAlignment="1">
      <alignment horizontal="center"/>
    </xf>
    <xf numFmtId="185" fontId="88" fillId="0" borderId="0" xfId="0" applyNumberFormat="1" applyFont="1" applyAlignment="1">
      <alignment horizontal="center"/>
    </xf>
    <xf numFmtId="183" fontId="88" fillId="0" borderId="0" xfId="1" applyNumberFormat="1" applyFont="1" applyFill="1" applyBorder="1" applyAlignment="1" applyProtection="1">
      <alignment horizontal="center"/>
    </xf>
    <xf numFmtId="189" fontId="88" fillId="0" borderId="0" xfId="2" applyNumberFormat="1" applyFont="1" applyFill="1" applyBorder="1" applyAlignment="1" applyProtection="1">
      <alignment horizontal="center"/>
    </xf>
    <xf numFmtId="0" fontId="99" fillId="0" borderId="0" xfId="37" applyFont="1" applyAlignment="1">
      <alignment horizontal="right" vertical="center"/>
    </xf>
    <xf numFmtId="0" fontId="224" fillId="0" borderId="0" xfId="37" quotePrefix="1" applyFont="1" applyAlignment="1">
      <alignment horizontal="center" vertical="top"/>
    </xf>
    <xf numFmtId="175" fontId="243" fillId="0" borderId="0" xfId="37" applyNumberFormat="1" applyFont="1" applyAlignment="1">
      <alignment vertical="center"/>
    </xf>
    <xf numFmtId="10" fontId="79" fillId="0" borderId="0" xfId="10" applyNumberFormat="1" applyFont="1" applyFill="1" applyBorder="1" applyAlignment="1" applyProtection="1">
      <alignment horizontal="center" vertical="center"/>
    </xf>
    <xf numFmtId="0" fontId="89" fillId="0" borderId="0" xfId="37" applyFont="1" applyAlignment="1">
      <alignment horizontal="center" vertical="center"/>
    </xf>
    <xf numFmtId="188" fontId="88" fillId="0" borderId="0" xfId="37" applyNumberFormat="1" applyFont="1" applyAlignment="1">
      <alignment horizontal="center" vertical="top"/>
    </xf>
    <xf numFmtId="10" fontId="79" fillId="0" borderId="0" xfId="37" applyNumberFormat="1" applyFont="1" applyAlignment="1">
      <alignment horizontal="center" vertical="center"/>
    </xf>
    <xf numFmtId="186" fontId="243" fillId="0" borderId="0" xfId="37" applyNumberFormat="1" applyFont="1" applyAlignment="1">
      <alignment horizontal="center" vertical="center"/>
    </xf>
    <xf numFmtId="186" fontId="243" fillId="0" borderId="0" xfId="0" applyNumberFormat="1" applyFont="1" applyAlignment="1">
      <alignment horizontal="center" vertical="center"/>
    </xf>
    <xf numFmtId="188" fontId="243" fillId="0" borderId="0" xfId="37" applyNumberFormat="1" applyFont="1" applyAlignment="1">
      <alignment horizontal="center" vertical="center"/>
    </xf>
    <xf numFmtId="0" fontId="319" fillId="0" borderId="0" xfId="33" applyFont="1"/>
    <xf numFmtId="0" fontId="320" fillId="0" borderId="0" xfId="33" applyFont="1"/>
    <xf numFmtId="0" fontId="320" fillId="0" borderId="0" xfId="33" applyFont="1" applyAlignment="1">
      <alignment horizontal="left" vertical="center"/>
    </xf>
    <xf numFmtId="0" fontId="320" fillId="0" borderId="0" xfId="33" applyFont="1" applyAlignment="1">
      <alignment vertical="center"/>
    </xf>
    <xf numFmtId="164" fontId="320" fillId="0" borderId="0" xfId="34" applyNumberFormat="1" applyFont="1" applyFill="1" applyBorder="1" applyAlignment="1" applyProtection="1">
      <alignment vertical="center"/>
    </xf>
    <xf numFmtId="0" fontId="280" fillId="0" borderId="0" xfId="33" applyFont="1"/>
    <xf numFmtId="14" fontId="320" fillId="0" borderId="0" xfId="34" applyNumberFormat="1" applyFont="1" applyFill="1" applyBorder="1" applyAlignment="1" applyProtection="1">
      <alignment vertical="center"/>
    </xf>
    <xf numFmtId="0" fontId="285" fillId="0" borderId="0" xfId="33" applyFont="1" applyAlignment="1">
      <alignment vertical="center"/>
    </xf>
    <xf numFmtId="0" fontId="320" fillId="0" borderId="0" xfId="33" applyFont="1" applyAlignment="1">
      <alignment horizontal="center" vertical="center"/>
    </xf>
    <xf numFmtId="164" fontId="320" fillId="0" borderId="0" xfId="34" applyNumberFormat="1" applyFont="1" applyFill="1" applyBorder="1" applyAlignment="1" applyProtection="1">
      <alignment horizontal="center" vertical="center"/>
    </xf>
    <xf numFmtId="164" fontId="285" fillId="0" borderId="0" xfId="34" applyNumberFormat="1" applyFont="1" applyFill="1" applyBorder="1" applyAlignment="1" applyProtection="1">
      <alignment vertical="center"/>
    </xf>
    <xf numFmtId="43" fontId="320" fillId="0" borderId="0" xfId="34" applyFont="1" applyFill="1" applyBorder="1" applyAlignment="1" applyProtection="1">
      <alignment vertical="center"/>
    </xf>
    <xf numFmtId="166" fontId="320" fillId="0" borderId="0" xfId="35" applyNumberFormat="1" applyFont="1" applyFill="1" applyBorder="1" applyAlignment="1" applyProtection="1">
      <alignment vertical="center"/>
    </xf>
    <xf numFmtId="0" fontId="320" fillId="0" borderId="0" xfId="33" applyFont="1" applyAlignment="1">
      <alignment horizontal="center"/>
    </xf>
    <xf numFmtId="0" fontId="320" fillId="0" borderId="0" xfId="33" applyFont="1" applyAlignment="1">
      <alignment horizontal="left"/>
    </xf>
    <xf numFmtId="166" fontId="320" fillId="0" borderId="0" xfId="35" applyNumberFormat="1" applyFont="1" applyFill="1" applyBorder="1" applyAlignment="1" applyProtection="1"/>
    <xf numFmtId="0" fontId="321" fillId="0" borderId="0" xfId="33" applyFont="1"/>
    <xf numFmtId="0" fontId="98" fillId="0" borderId="0" xfId="33" applyFont="1" applyAlignment="1">
      <alignment horizontal="left"/>
    </xf>
    <xf numFmtId="0" fontId="285" fillId="0" borderId="0" xfId="33" applyFont="1" applyAlignment="1">
      <alignment horizontal="center"/>
    </xf>
    <xf numFmtId="164" fontId="285" fillId="0" borderId="0" xfId="34" applyNumberFormat="1" applyFont="1" applyFill="1" applyBorder="1" applyAlignment="1" applyProtection="1"/>
    <xf numFmtId="182" fontId="98" fillId="0" borderId="0" xfId="33" applyNumberFormat="1" applyFont="1" applyAlignment="1">
      <alignment vertical="center"/>
    </xf>
    <xf numFmtId="183" fontId="98" fillId="0" borderId="0" xfId="33" applyNumberFormat="1" applyFont="1" applyAlignment="1">
      <alignment vertical="center"/>
    </xf>
    <xf numFmtId="37" fontId="98" fillId="0" borderId="0" xfId="34" applyNumberFormat="1" applyFont="1" applyFill="1" applyBorder="1" applyAlignment="1" applyProtection="1">
      <alignment vertical="center"/>
    </xf>
    <xf numFmtId="184" fontId="98" fillId="0" borderId="0" xfId="33" applyNumberFormat="1" applyFont="1" applyAlignment="1">
      <alignment vertical="center"/>
    </xf>
    <xf numFmtId="0" fontId="98" fillId="0" borderId="0" xfId="33" applyFont="1"/>
    <xf numFmtId="164" fontId="98" fillId="0" borderId="0" xfId="34" applyNumberFormat="1" applyFont="1" applyFill="1" applyBorder="1" applyAlignment="1" applyProtection="1">
      <alignment vertical="center"/>
    </xf>
    <xf numFmtId="184" fontId="98" fillId="0" borderId="0" xfId="33" applyNumberFormat="1" applyFont="1" applyAlignment="1">
      <alignment horizontal="center" vertical="center"/>
    </xf>
    <xf numFmtId="182" fontId="98" fillId="0" borderId="0" xfId="33" applyNumberFormat="1" applyFont="1" applyAlignment="1">
      <alignment horizontal="center" vertical="center"/>
    </xf>
    <xf numFmtId="164" fontId="98" fillId="0" borderId="0" xfId="34" applyNumberFormat="1" applyFont="1" applyFill="1" applyBorder="1" applyAlignment="1" applyProtection="1">
      <alignment horizontal="center" vertical="center"/>
    </xf>
    <xf numFmtId="0" fontId="320" fillId="0" borderId="0" xfId="33" applyFont="1" applyAlignment="1">
      <alignment horizontal="right" vertical="center"/>
    </xf>
    <xf numFmtId="0" fontId="285" fillId="0" borderId="0" xfId="33" applyFont="1" applyAlignment="1">
      <alignment horizontal="right"/>
    </xf>
    <xf numFmtId="182" fontId="320" fillId="0" borderId="0" xfId="33" applyNumberFormat="1" applyFont="1" applyAlignment="1">
      <alignment horizontal="center"/>
    </xf>
    <xf numFmtId="164" fontId="285" fillId="0" borderId="0" xfId="34" applyNumberFormat="1" applyFont="1" applyFill="1" applyBorder="1" applyAlignment="1" applyProtection="1">
      <alignment horizontal="center" vertical="center"/>
    </xf>
    <xf numFmtId="0" fontId="285" fillId="0" borderId="0" xfId="33" applyFont="1"/>
    <xf numFmtId="182" fontId="320" fillId="0" borderId="0" xfId="33" applyNumberFormat="1" applyFont="1" applyAlignment="1">
      <alignment vertical="center"/>
    </xf>
    <xf numFmtId="37" fontId="320" fillId="0" borderId="0" xfId="34" applyNumberFormat="1" applyFont="1" applyFill="1" applyBorder="1" applyAlignment="1" applyProtection="1">
      <alignment vertical="center"/>
    </xf>
    <xf numFmtId="37" fontId="320" fillId="0" borderId="0" xfId="33" applyNumberFormat="1" applyFont="1" applyAlignment="1">
      <alignment vertical="center"/>
    </xf>
    <xf numFmtId="182" fontId="320" fillId="0" borderId="0" xfId="33" applyNumberFormat="1" applyFont="1" applyAlignment="1">
      <alignment horizontal="center" vertical="center"/>
    </xf>
    <xf numFmtId="164" fontId="320" fillId="0" borderId="0" xfId="34" applyNumberFormat="1" applyFont="1" applyFill="1" applyBorder="1" applyAlignment="1" applyProtection="1"/>
    <xf numFmtId="164" fontId="280" fillId="0" borderId="0" xfId="34" applyNumberFormat="1" applyFont="1" applyFill="1" applyBorder="1" applyAlignment="1" applyProtection="1">
      <alignment horizontal="center" vertical="center"/>
    </xf>
    <xf numFmtId="0" fontId="39" fillId="0" borderId="0" xfId="37" applyFont="1" applyAlignment="1">
      <alignment wrapText="1"/>
    </xf>
    <xf numFmtId="0" fontId="278" fillId="0" borderId="0" xfId="37" applyFont="1" applyAlignment="1">
      <alignment vertical="center" wrapText="1"/>
    </xf>
    <xf numFmtId="38" fontId="25" fillId="5" borderId="7" xfId="37" applyNumberFormat="1" applyFont="1" applyFill="1" applyBorder="1" applyAlignment="1" applyProtection="1">
      <alignment horizontal="center" vertical="center"/>
      <protection locked="0"/>
    </xf>
    <xf numFmtId="2" fontId="9" fillId="5" borderId="13" xfId="10" applyNumberFormat="1" applyFont="1" applyFill="1" applyBorder="1" applyAlignment="1" applyProtection="1">
      <alignment horizontal="center" vertical="center"/>
      <protection locked="0"/>
    </xf>
    <xf numFmtId="2" fontId="9" fillId="13" borderId="13" xfId="10" applyNumberFormat="1" applyFont="1" applyFill="1" applyBorder="1" applyAlignment="1" applyProtection="1">
      <alignment horizontal="center" vertical="center"/>
    </xf>
    <xf numFmtId="0" fontId="323" fillId="33" borderId="150" xfId="0" applyFont="1" applyFill="1" applyBorder="1" applyAlignment="1">
      <alignment vertical="center" wrapText="1"/>
    </xf>
    <xf numFmtId="0" fontId="323" fillId="33" borderId="153" xfId="0" applyFont="1" applyFill="1" applyBorder="1" applyAlignment="1">
      <alignment horizontal="center" vertical="center" wrapText="1"/>
    </xf>
    <xf numFmtId="9" fontId="325" fillId="33" borderId="154" xfId="0" applyNumberFormat="1" applyFont="1" applyFill="1" applyBorder="1" applyAlignment="1">
      <alignment horizontal="center" vertical="center" wrapText="1"/>
    </xf>
    <xf numFmtId="0" fontId="325" fillId="33" borderId="155" xfId="0" applyFont="1" applyFill="1" applyBorder="1" applyAlignment="1">
      <alignment horizontal="center" vertical="center" wrapText="1"/>
    </xf>
    <xf numFmtId="0" fontId="325" fillId="33" borderId="154" xfId="0" applyFont="1" applyFill="1" applyBorder="1" applyAlignment="1">
      <alignment horizontal="center" vertical="center" wrapText="1"/>
    </xf>
    <xf numFmtId="0" fontId="322" fillId="34" borderId="153" xfId="0" applyFont="1" applyFill="1" applyBorder="1" applyAlignment="1">
      <alignment horizontal="center" vertical="center" wrapText="1"/>
    </xf>
    <xf numFmtId="0" fontId="322" fillId="0" borderId="153" xfId="0" applyFont="1" applyBorder="1" applyAlignment="1">
      <alignment horizontal="center" vertical="center" wrapText="1"/>
    </xf>
    <xf numFmtId="0" fontId="9" fillId="0" borderId="157" xfId="0" applyFont="1" applyBorder="1" applyAlignment="1">
      <alignment horizontal="center"/>
    </xf>
    <xf numFmtId="0" fontId="9" fillId="0" borderId="0" xfId="0" applyFont="1" applyAlignment="1">
      <alignment horizontal="right"/>
    </xf>
    <xf numFmtId="0" fontId="0" fillId="20" borderId="0" xfId="0" applyFill="1" applyAlignment="1">
      <alignment horizontal="center"/>
    </xf>
    <xf numFmtId="10" fontId="10" fillId="0" borderId="58" xfId="37" applyNumberFormat="1" applyFont="1" applyBorder="1" applyAlignment="1">
      <alignment horizontal="center" vertical="center"/>
    </xf>
    <xf numFmtId="0" fontId="5" fillId="13" borderId="23" xfId="37" applyFont="1" applyFill="1" applyBorder="1" applyAlignment="1">
      <alignment vertical="top" wrapText="1"/>
    </xf>
    <xf numFmtId="0" fontId="5" fillId="13" borderId="26" xfId="37" applyFont="1" applyFill="1" applyBorder="1" applyAlignment="1">
      <alignment vertical="top" wrapText="1"/>
    </xf>
    <xf numFmtId="49" fontId="10" fillId="10" borderId="22" xfId="37" applyNumberFormat="1" applyFont="1" applyFill="1" applyBorder="1" applyAlignment="1" applyProtection="1">
      <alignment horizontal="center" vertical="top" wrapText="1"/>
      <protection locked="0"/>
    </xf>
    <xf numFmtId="49" fontId="10" fillId="10" borderId="25" xfId="37" applyNumberFormat="1" applyFont="1" applyFill="1" applyBorder="1" applyAlignment="1" applyProtection="1">
      <alignment horizontal="center" vertical="top" wrapText="1"/>
      <protection locked="0"/>
    </xf>
    <xf numFmtId="40" fontId="131" fillId="0" borderId="0" xfId="37" applyNumberFormat="1" applyFont="1" applyAlignment="1">
      <alignment horizontal="center" vertical="center"/>
    </xf>
    <xf numFmtId="10" fontId="253" fillId="0" borderId="0" xfId="37" applyNumberFormat="1" applyFont="1" applyAlignment="1">
      <alignment horizontal="center" vertical="center"/>
    </xf>
    <xf numFmtId="186" fontId="25" fillId="0" borderId="0" xfId="37" applyNumberFormat="1" applyFont="1" applyAlignment="1" applyProtection="1">
      <alignment horizontal="center" vertical="center"/>
      <protection locked="0"/>
    </xf>
    <xf numFmtId="0" fontId="0" fillId="0" borderId="56" xfId="0" applyBorder="1" applyAlignment="1">
      <alignment wrapText="1"/>
    </xf>
    <xf numFmtId="38" fontId="10" fillId="0" borderId="12" xfId="37" applyNumberFormat="1" applyFont="1" applyBorder="1" applyAlignment="1">
      <alignment horizontal="center" vertical="center"/>
    </xf>
    <xf numFmtId="38" fontId="10" fillId="0" borderId="13" xfId="37" applyNumberFormat="1" applyFont="1" applyBorder="1" applyAlignment="1">
      <alignment horizontal="center" vertical="center"/>
    </xf>
    <xf numFmtId="181" fontId="10" fillId="0" borderId="40" xfId="37" applyNumberFormat="1" applyFont="1" applyBorder="1" applyAlignment="1">
      <alignment horizontal="center" vertical="center"/>
    </xf>
    <xf numFmtId="181" fontId="10" fillId="0" borderId="39" xfId="37" applyNumberFormat="1" applyFont="1" applyBorder="1" applyAlignment="1">
      <alignment horizontal="center" vertical="center"/>
    </xf>
    <xf numFmtId="181" fontId="10" fillId="0" borderId="19" xfId="37" applyNumberFormat="1" applyFont="1" applyBorder="1" applyAlignment="1">
      <alignment horizontal="center" vertical="center"/>
    </xf>
    <xf numFmtId="181" fontId="10" fillId="0" borderId="37" xfId="37" applyNumberFormat="1" applyFont="1" applyBorder="1" applyAlignment="1">
      <alignment horizontal="center" vertical="center"/>
    </xf>
    <xf numFmtId="181" fontId="10" fillId="0" borderId="38" xfId="37" applyNumberFormat="1" applyFont="1" applyBorder="1" applyAlignment="1">
      <alignment horizontal="center" vertical="center"/>
    </xf>
    <xf numFmtId="181" fontId="10" fillId="0" borderId="18" xfId="37" applyNumberFormat="1" applyFont="1" applyBorder="1" applyAlignment="1">
      <alignment horizontal="center" vertical="center"/>
    </xf>
    <xf numFmtId="0" fontId="243" fillId="0" borderId="0" xfId="33" applyFont="1" applyAlignment="1" applyProtection="1">
      <alignment vertical="center"/>
      <protection locked="0"/>
    </xf>
    <xf numFmtId="0" fontId="326" fillId="0" borderId="0" xfId="0" applyFont="1"/>
    <xf numFmtId="8" fontId="27" fillId="0" borderId="0" xfId="0" applyNumberFormat="1" applyFont="1" applyAlignment="1">
      <alignment vertical="center"/>
    </xf>
    <xf numFmtId="8" fontId="27" fillId="0" borderId="0" xfId="0" applyNumberFormat="1" applyFont="1" applyAlignment="1">
      <alignment horizontal="right" vertical="center"/>
    </xf>
    <xf numFmtId="176" fontId="4" fillId="0" borderId="0" xfId="0" applyNumberFormat="1" applyFont="1" applyAlignment="1">
      <alignment horizontal="center"/>
    </xf>
    <xf numFmtId="176" fontId="4" fillId="0" borderId="14" xfId="0" applyNumberFormat="1" applyFont="1" applyBorder="1" applyAlignment="1">
      <alignment horizontal="center"/>
    </xf>
    <xf numFmtId="176" fontId="4" fillId="0" borderId="15" xfId="0" applyNumberFormat="1" applyFont="1" applyBorder="1" applyAlignment="1">
      <alignment horizontal="center"/>
    </xf>
    <xf numFmtId="8" fontId="4" fillId="0" borderId="0" xfId="0" applyNumberFormat="1" applyFont="1"/>
    <xf numFmtId="8" fontId="14" fillId="0" borderId="0" xfId="0" applyNumberFormat="1" applyFont="1" applyAlignment="1">
      <alignment horizontal="center"/>
    </xf>
    <xf numFmtId="0" fontId="14" fillId="0" borderId="4" xfId="0" applyFont="1" applyBorder="1" applyAlignment="1">
      <alignment horizontal="center"/>
    </xf>
    <xf numFmtId="8" fontId="14" fillId="0" borderId="15" xfId="0" applyNumberFormat="1" applyFont="1" applyBorder="1" applyAlignment="1">
      <alignment horizontal="center"/>
    </xf>
    <xf numFmtId="0" fontId="14" fillId="0" borderId="14" xfId="0" applyFont="1" applyBorder="1" applyAlignment="1">
      <alignment horizontal="center"/>
    </xf>
    <xf numFmtId="8" fontId="14" fillId="0" borderId="14" xfId="0" applyNumberFormat="1"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21" xfId="0" applyFont="1" applyBorder="1" applyAlignment="1">
      <alignment horizontal="center"/>
    </xf>
    <xf numFmtId="0" fontId="4" fillId="0" borderId="5" xfId="0" applyFont="1" applyBorder="1" applyAlignment="1">
      <alignment vertical="center"/>
    </xf>
    <xf numFmtId="0" fontId="4" fillId="0" borderId="7" xfId="0" applyFont="1" applyBorder="1"/>
    <xf numFmtId="0" fontId="4" fillId="5" borderId="12" xfId="0" applyFont="1" applyFill="1" applyBorder="1" applyAlignment="1" applyProtection="1">
      <alignment horizontal="center" vertical="center"/>
      <protection locked="0"/>
    </xf>
    <xf numFmtId="0" fontId="4" fillId="0" borderId="59" xfId="0" applyFont="1" applyBorder="1" applyAlignment="1">
      <alignment vertical="center"/>
    </xf>
    <xf numFmtId="0" fontId="4" fillId="0" borderId="17" xfId="0" applyFont="1" applyBorder="1"/>
    <xf numFmtId="0" fontId="4" fillId="0" borderId="24" xfId="0" applyFont="1" applyBorder="1" applyAlignment="1">
      <alignment vertical="center"/>
    </xf>
    <xf numFmtId="0" fontId="4" fillId="0" borderId="24" xfId="0" applyFont="1" applyBorder="1"/>
    <xf numFmtId="0" fontId="4" fillId="0" borderId="66" xfId="0" applyFont="1" applyBorder="1"/>
    <xf numFmtId="0" fontId="4" fillId="0" borderId="5" xfId="0" applyFont="1" applyBorder="1"/>
    <xf numFmtId="0" fontId="4" fillId="0" borderId="59" xfId="0" applyFont="1" applyBorder="1"/>
    <xf numFmtId="0" fontId="4" fillId="0" borderId="10" xfId="0" applyFont="1" applyBorder="1" applyAlignment="1">
      <alignment vertical="center"/>
    </xf>
    <xf numFmtId="0" fontId="4" fillId="0" borderId="10" xfId="0" applyFont="1" applyBorder="1"/>
    <xf numFmtId="0" fontId="4" fillId="0" borderId="8" xfId="0" applyFont="1" applyBorder="1"/>
    <xf numFmtId="0" fontId="4" fillId="5" borderId="13" xfId="0" applyFont="1" applyFill="1" applyBorder="1" applyAlignment="1" applyProtection="1">
      <alignment horizontal="center" vertical="center"/>
      <protection locked="0"/>
    </xf>
    <xf numFmtId="38" fontId="4" fillId="0" borderId="86" xfId="1" applyNumberFormat="1" applyFont="1" applyFill="1" applyBorder="1" applyAlignment="1" applyProtection="1">
      <alignment horizontal="right" vertical="center"/>
    </xf>
    <xf numFmtId="38" fontId="4" fillId="0" borderId="77" xfId="1" applyNumberFormat="1" applyFont="1" applyFill="1" applyBorder="1" applyAlignment="1" applyProtection="1">
      <alignment horizontal="right" vertical="center"/>
    </xf>
    <xf numFmtId="38" fontId="4" fillId="0" borderId="69" xfId="1" applyNumberFormat="1" applyFont="1" applyFill="1" applyBorder="1" applyAlignment="1" applyProtection="1">
      <alignment horizontal="right" vertical="center"/>
    </xf>
    <xf numFmtId="38" fontId="4" fillId="0" borderId="0" xfId="0" applyNumberFormat="1" applyFont="1" applyAlignment="1">
      <alignment horizontal="right" vertical="center"/>
    </xf>
    <xf numFmtId="38" fontId="4" fillId="5" borderId="13" xfId="1" applyNumberFormat="1" applyFont="1" applyFill="1" applyBorder="1" applyAlignment="1" applyProtection="1">
      <alignment horizontal="right" vertical="center"/>
      <protection locked="0"/>
    </xf>
    <xf numFmtId="38" fontId="4" fillId="0" borderId="13" xfId="1" applyNumberFormat="1" applyFont="1" applyFill="1" applyBorder="1" applyAlignment="1" applyProtection="1">
      <alignment horizontal="right" vertical="center"/>
    </xf>
    <xf numFmtId="38" fontId="4" fillId="10" borderId="13" xfId="0" applyNumberFormat="1" applyFont="1" applyFill="1" applyBorder="1" applyAlignment="1" applyProtection="1">
      <alignment horizontal="center" vertical="center"/>
      <protection locked="0"/>
    </xf>
    <xf numFmtId="0" fontId="4" fillId="0" borderId="14" xfId="0" applyFont="1" applyBorder="1" applyAlignment="1">
      <alignment vertical="center"/>
    </xf>
    <xf numFmtId="38" fontId="4" fillId="0" borderId="66" xfId="1" applyNumberFormat="1" applyFont="1" applyFill="1" applyBorder="1" applyAlignment="1" applyProtection="1">
      <alignment horizontal="right" vertical="center"/>
    </xf>
    <xf numFmtId="38" fontId="4" fillId="0" borderId="0" xfId="0" applyNumberFormat="1" applyFont="1" applyAlignment="1">
      <alignment vertical="center"/>
    </xf>
    <xf numFmtId="3" fontId="4" fillId="0" borderId="28" xfId="0" applyNumberFormat="1" applyFont="1" applyBorder="1" applyAlignment="1">
      <alignment vertical="center"/>
    </xf>
    <xf numFmtId="3" fontId="4" fillId="0" borderId="0" xfId="0" applyNumberFormat="1" applyFont="1" applyAlignment="1">
      <alignment vertical="center"/>
    </xf>
    <xf numFmtId="3" fontId="4" fillId="0" borderId="0" xfId="0" applyNumberFormat="1" applyFont="1" applyAlignment="1" applyProtection="1">
      <alignment vertical="center"/>
      <protection locked="0"/>
    </xf>
    <xf numFmtId="44" fontId="4" fillId="0" borderId="0" xfId="0" applyNumberFormat="1" applyFont="1"/>
    <xf numFmtId="3" fontId="4" fillId="0" borderId="11" xfId="1" applyNumberFormat="1" applyFont="1" applyFill="1" applyBorder="1" applyAlignment="1" applyProtection="1">
      <alignment vertical="center"/>
    </xf>
    <xf numFmtId="38" fontId="4" fillId="0" borderId="0" xfId="1" applyNumberFormat="1" applyFont="1" applyFill="1" applyBorder="1" applyAlignment="1" applyProtection="1">
      <alignment horizontal="right" vertical="center"/>
    </xf>
    <xf numFmtId="3" fontId="4" fillId="0" borderId="11" xfId="0" applyNumberFormat="1" applyFont="1" applyBorder="1" applyAlignment="1">
      <alignment vertical="center"/>
    </xf>
    <xf numFmtId="38" fontId="4" fillId="0" borderId="0" xfId="0" applyNumberFormat="1" applyFont="1" applyAlignment="1">
      <alignment horizontal="center" vertical="center"/>
    </xf>
    <xf numFmtId="3" fontId="4" fillId="0" borderId="0" xfId="1" applyNumberFormat="1" applyFont="1" applyFill="1" applyBorder="1" applyAlignment="1" applyProtection="1">
      <alignment vertical="center"/>
    </xf>
    <xf numFmtId="3" fontId="4" fillId="11" borderId="11" xfId="1" applyNumberFormat="1" applyFont="1" applyFill="1" applyBorder="1" applyAlignment="1" applyProtection="1">
      <alignment horizontal="right" vertical="center"/>
      <protection locked="0"/>
    </xf>
    <xf numFmtId="3" fontId="4" fillId="11" borderId="11" xfId="0" applyNumberFormat="1" applyFont="1" applyFill="1" applyBorder="1" applyAlignment="1" applyProtection="1">
      <alignment horizontal="center" vertical="center"/>
      <protection locked="0"/>
    </xf>
    <xf numFmtId="10" fontId="4" fillId="0" borderId="0" xfId="0" applyNumberFormat="1" applyFont="1" applyAlignment="1">
      <alignment horizontal="left"/>
    </xf>
    <xf numFmtId="10" fontId="4" fillId="0" borderId="0" xfId="0" applyNumberFormat="1" applyFont="1" applyAlignment="1">
      <alignment horizontal="center"/>
    </xf>
    <xf numFmtId="0" fontId="4" fillId="0" borderId="0" xfId="0" applyFont="1" applyAlignment="1">
      <alignment horizontal="right"/>
    </xf>
    <xf numFmtId="0" fontId="4" fillId="0" borderId="0" xfId="0" quotePrefix="1" applyFont="1" applyAlignment="1">
      <alignment horizontal="left" vertical="center"/>
    </xf>
    <xf numFmtId="0" fontId="4" fillId="5" borderId="13" xfId="0" applyFont="1" applyFill="1" applyBorder="1" applyAlignment="1" applyProtection="1">
      <alignment horizontal="right" vertical="center"/>
      <protection locked="0"/>
    </xf>
    <xf numFmtId="166" fontId="4" fillId="5" borderId="13" xfId="10" applyNumberFormat="1" applyFont="1" applyFill="1" applyBorder="1" applyAlignment="1" applyProtection="1">
      <alignment horizontal="right" vertical="center"/>
      <protection locked="0"/>
    </xf>
    <xf numFmtId="164" fontId="4" fillId="0" borderId="0" xfId="1" applyNumberFormat="1" applyFont="1" applyFill="1" applyBorder="1" applyProtection="1"/>
    <xf numFmtId="164" fontId="4" fillId="0" borderId="5" xfId="1" applyNumberFormat="1" applyFont="1" applyFill="1" applyBorder="1" applyProtection="1"/>
    <xf numFmtId="3" fontId="4" fillId="0" borderId="0" xfId="0" applyNumberFormat="1" applyFont="1" applyAlignment="1">
      <alignment horizontal="center"/>
    </xf>
    <xf numFmtId="164" fontId="4" fillId="0" borderId="10" xfId="1" applyNumberFormat="1" applyFont="1" applyFill="1" applyBorder="1" applyProtection="1"/>
    <xf numFmtId="164" fontId="4" fillId="6" borderId="12" xfId="1" applyNumberFormat="1" applyFont="1" applyFill="1" applyBorder="1" applyProtection="1">
      <protection locked="0"/>
    </xf>
    <xf numFmtId="164" fontId="4" fillId="5" borderId="12" xfId="1" applyNumberFormat="1" applyFont="1" applyFill="1" applyBorder="1" applyProtection="1">
      <protection locked="0"/>
    </xf>
    <xf numFmtId="164" fontId="4" fillId="6" borderId="66" xfId="1" applyNumberFormat="1" applyFont="1" applyFill="1" applyBorder="1" applyProtection="1">
      <protection locked="0"/>
    </xf>
    <xf numFmtId="164" fontId="4" fillId="6" borderId="13" xfId="1" applyNumberFormat="1" applyFont="1" applyFill="1" applyBorder="1" applyProtection="1">
      <protection locked="0"/>
    </xf>
    <xf numFmtId="43" fontId="4" fillId="0" borderId="0" xfId="1" applyFont="1" applyFill="1" applyBorder="1" applyProtection="1"/>
    <xf numFmtId="43" fontId="4" fillId="0" borderId="5" xfId="1" applyFont="1" applyFill="1" applyBorder="1" applyProtection="1"/>
    <xf numFmtId="39" fontId="4" fillId="0" borderId="10" xfId="1" applyNumberFormat="1" applyFont="1" applyFill="1" applyBorder="1" applyAlignment="1" applyProtection="1">
      <alignment horizontal="right"/>
    </xf>
    <xf numFmtId="164" fontId="4" fillId="0" borderId="0" xfId="1" applyNumberFormat="1" applyFont="1" applyFill="1" applyProtection="1"/>
    <xf numFmtId="39" fontId="4" fillId="0" borderId="5" xfId="1" applyNumberFormat="1" applyFont="1" applyFill="1" applyBorder="1" applyAlignment="1" applyProtection="1">
      <alignment horizontal="right"/>
    </xf>
    <xf numFmtId="0" fontId="4" fillId="0" borderId="6" xfId="0" applyFont="1" applyBorder="1"/>
    <xf numFmtId="0" fontId="4" fillId="0" borderId="9" xfId="0" applyFont="1" applyBorder="1"/>
    <xf numFmtId="164" fontId="4" fillId="0" borderId="0" xfId="1" applyNumberFormat="1" applyFont="1" applyFill="1" applyBorder="1" applyAlignment="1" applyProtection="1">
      <alignment horizontal="righ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top"/>
    </xf>
    <xf numFmtId="38" fontId="10" fillId="0" borderId="0" xfId="0" applyNumberFormat="1" applyFont="1" applyAlignment="1">
      <alignment horizontal="center" vertical="center"/>
    </xf>
    <xf numFmtId="0" fontId="10" fillId="0" borderId="0" xfId="37" applyFont="1" applyAlignment="1">
      <alignment horizontal="left"/>
    </xf>
    <xf numFmtId="0" fontId="10" fillId="17" borderId="0" xfId="37" applyFont="1" applyFill="1"/>
    <xf numFmtId="0" fontId="243" fillId="17" borderId="0" xfId="37" applyFont="1" applyFill="1" applyAlignment="1">
      <alignment vertical="center"/>
    </xf>
    <xf numFmtId="3" fontId="25" fillId="17" borderId="0" xfId="37" applyNumberFormat="1" applyFont="1" applyFill="1" applyAlignment="1">
      <alignment horizontal="center" vertical="center"/>
    </xf>
    <xf numFmtId="0" fontId="10" fillId="17" borderId="0" xfId="37" applyFont="1" applyFill="1" applyAlignment="1">
      <alignment vertical="top"/>
    </xf>
    <xf numFmtId="0" fontId="10" fillId="17" borderId="0" xfId="37" applyFont="1" applyFill="1" applyAlignment="1" applyProtection="1">
      <alignment vertical="center"/>
      <protection locked="0"/>
    </xf>
    <xf numFmtId="0" fontId="127" fillId="17" borderId="0" xfId="37" applyFont="1" applyFill="1"/>
    <xf numFmtId="3" fontId="10" fillId="17" borderId="0" xfId="37" applyNumberFormat="1" applyFont="1" applyFill="1" applyAlignment="1" applyProtection="1">
      <alignment vertical="center"/>
      <protection locked="0"/>
    </xf>
    <xf numFmtId="3" fontId="10" fillId="17" borderId="0" xfId="37" applyNumberFormat="1" applyFont="1" applyFill="1" applyAlignment="1" applyProtection="1">
      <alignment horizontal="center" vertical="center"/>
      <protection locked="0"/>
    </xf>
    <xf numFmtId="3" fontId="10" fillId="17" borderId="0" xfId="37" applyNumberFormat="1" applyFont="1" applyFill="1" applyAlignment="1">
      <alignment horizontal="center" vertical="center"/>
    </xf>
    <xf numFmtId="3" fontId="10" fillId="0" borderId="0" xfId="37" applyNumberFormat="1" applyFont="1" applyAlignment="1">
      <alignment vertical="center"/>
    </xf>
    <xf numFmtId="4" fontId="132" fillId="0" borderId="0" xfId="37" applyNumberFormat="1" applyFont="1" applyAlignment="1">
      <alignment vertical="center"/>
    </xf>
    <xf numFmtId="38" fontId="10" fillId="0" borderId="0" xfId="37" applyNumberFormat="1" applyFont="1" applyAlignment="1">
      <alignment vertical="center"/>
    </xf>
    <xf numFmtId="0" fontId="0" fillId="0" borderId="0" xfId="37" applyFont="1" applyAlignment="1">
      <alignment horizontal="center" vertical="center"/>
    </xf>
    <xf numFmtId="0" fontId="0" fillId="0" borderId="0" xfId="37" applyFont="1" applyAlignment="1">
      <alignment horizontal="right" vertical="center" wrapText="1"/>
    </xf>
    <xf numFmtId="0" fontId="25" fillId="17" borderId="0" xfId="37" applyFont="1" applyFill="1" applyAlignment="1">
      <alignment horizontal="center" vertical="center"/>
    </xf>
    <xf numFmtId="0" fontId="10" fillId="17" borderId="0" xfId="37" applyFont="1" applyFill="1" applyAlignment="1">
      <alignment vertical="center"/>
    </xf>
    <xf numFmtId="0" fontId="10" fillId="17" borderId="0" xfId="37" applyFont="1" applyFill="1" applyAlignment="1" applyProtection="1">
      <alignment horizontal="center" vertical="top"/>
      <protection locked="0"/>
    </xf>
    <xf numFmtId="0" fontId="131" fillId="17" borderId="0" xfId="37" applyFont="1" applyFill="1" applyAlignment="1">
      <alignment vertical="center" wrapText="1"/>
    </xf>
    <xf numFmtId="0" fontId="334" fillId="0" borderId="0" xfId="0" applyFont="1"/>
    <xf numFmtId="38" fontId="131" fillId="0" borderId="0" xfId="37" applyNumberFormat="1" applyFont="1" applyAlignment="1">
      <alignment horizontal="center" vertical="center"/>
    </xf>
    <xf numFmtId="38" fontId="131" fillId="0" borderId="164" xfId="37" applyNumberFormat="1" applyFont="1" applyBorder="1" applyAlignment="1">
      <alignment horizontal="center" vertical="center"/>
    </xf>
    <xf numFmtId="0" fontId="258" fillId="0" borderId="0" xfId="37" applyFont="1" applyAlignment="1">
      <alignment horizontal="center" vertical="center"/>
    </xf>
    <xf numFmtId="0" fontId="111" fillId="0" borderId="182" xfId="37" applyFont="1" applyBorder="1" applyAlignment="1">
      <alignment vertical="center"/>
    </xf>
    <xf numFmtId="0" fontId="111" fillId="0" borderId="183" xfId="37" applyFont="1" applyBorder="1" applyAlignment="1">
      <alignment vertical="center"/>
    </xf>
    <xf numFmtId="0" fontId="246" fillId="0" borderId="183" xfId="37" applyFont="1" applyBorder="1" applyAlignment="1">
      <alignment vertical="center"/>
    </xf>
    <xf numFmtId="0" fontId="10" fillId="0" borderId="183" xfId="37" applyFont="1" applyBorder="1" applyAlignment="1">
      <alignment vertical="center"/>
    </xf>
    <xf numFmtId="0" fontId="4" fillId="0" borderId="188" xfId="37" applyBorder="1" applyAlignment="1">
      <alignment vertical="center"/>
    </xf>
    <xf numFmtId="181" fontId="257" fillId="0" borderId="189" xfId="37" applyNumberFormat="1" applyFont="1" applyBorder="1" applyAlignment="1">
      <alignment horizontal="center" vertical="center"/>
    </xf>
    <xf numFmtId="0" fontId="111" fillId="0" borderId="188" xfId="37" applyFont="1" applyBorder="1" applyAlignment="1">
      <alignment vertical="center"/>
    </xf>
    <xf numFmtId="38" fontId="257" fillId="0" borderId="189" xfId="37" applyNumberFormat="1" applyFont="1" applyBorder="1" applyAlignment="1">
      <alignment horizontal="center" vertical="center"/>
    </xf>
    <xf numFmtId="0" fontId="4" fillId="0" borderId="185" xfId="37" applyBorder="1" applyAlignment="1">
      <alignment vertical="center"/>
    </xf>
    <xf numFmtId="0" fontId="4" fillId="0" borderId="186" xfId="37" applyBorder="1" applyAlignment="1">
      <alignment vertical="center"/>
    </xf>
    <xf numFmtId="0" fontId="10" fillId="0" borderId="186" xfId="37" applyFont="1" applyBorder="1" applyAlignment="1">
      <alignment vertical="center"/>
    </xf>
    <xf numFmtId="38" fontId="259" fillId="0" borderId="186" xfId="37" applyNumberFormat="1" applyFont="1" applyBorder="1" applyAlignment="1">
      <alignment horizontal="center" vertical="center"/>
    </xf>
    <xf numFmtId="0" fontId="253" fillId="0" borderId="190" xfId="37" applyFont="1" applyBorder="1" applyAlignment="1">
      <alignment horizontal="right" vertical="center"/>
    </xf>
    <xf numFmtId="0" fontId="258" fillId="0" borderId="191" xfId="37" applyFont="1" applyBorder="1" applyAlignment="1">
      <alignment horizontal="center" vertical="center"/>
    </xf>
    <xf numFmtId="181" fontId="257" fillId="0" borderId="192" xfId="37" applyNumberFormat="1" applyFont="1" applyBorder="1" applyAlignment="1">
      <alignment horizontal="center" vertical="center"/>
    </xf>
    <xf numFmtId="0" fontId="10" fillId="0" borderId="188" xfId="37" applyFont="1" applyBorder="1" applyAlignment="1">
      <alignment vertical="center"/>
    </xf>
    <xf numFmtId="0" fontId="10" fillId="0" borderId="185" xfId="37" applyFont="1" applyBorder="1" applyAlignment="1">
      <alignment vertical="center"/>
    </xf>
    <xf numFmtId="0" fontId="246" fillId="0" borderId="186" xfId="37" applyFont="1" applyBorder="1" applyAlignment="1">
      <alignment vertical="center"/>
    </xf>
    <xf numFmtId="0" fontId="10" fillId="0" borderId="187" xfId="37" applyFont="1" applyBorder="1" applyAlignment="1">
      <alignment vertical="center"/>
    </xf>
    <xf numFmtId="0" fontId="253" fillId="0" borderId="183" xfId="37" applyFont="1" applyBorder="1" applyAlignment="1">
      <alignment horizontal="center" vertical="center"/>
    </xf>
    <xf numFmtId="0" fontId="10" fillId="17" borderId="0" xfId="37" applyFont="1" applyFill="1" applyAlignment="1" applyProtection="1">
      <alignment horizontal="left" vertical="center"/>
      <protection locked="0"/>
    </xf>
    <xf numFmtId="0" fontId="111" fillId="0" borderId="0" xfId="37" applyFont="1" applyAlignment="1">
      <alignment horizontal="center"/>
    </xf>
    <xf numFmtId="0" fontId="4" fillId="0" borderId="23" xfId="37" applyBorder="1" applyAlignment="1">
      <alignment horizontal="center" vertical="center"/>
    </xf>
    <xf numFmtId="0" fontId="25" fillId="17" borderId="0" xfId="37" applyFont="1" applyFill="1" applyAlignment="1">
      <alignment vertical="center"/>
    </xf>
    <xf numFmtId="0" fontId="4" fillId="17" borderId="0" xfId="37" applyFill="1" applyAlignment="1">
      <alignment horizontal="center" vertical="center"/>
    </xf>
    <xf numFmtId="0" fontId="4" fillId="17" borderId="0" xfId="37" applyFill="1" applyAlignment="1">
      <alignment vertical="center"/>
    </xf>
    <xf numFmtId="0" fontId="94" fillId="17" borderId="0" xfId="37" applyFont="1" applyFill="1" applyAlignment="1">
      <alignment horizontal="center" vertical="center"/>
    </xf>
    <xf numFmtId="0" fontId="94" fillId="17" borderId="0" xfId="37" applyFont="1" applyFill="1" applyAlignment="1">
      <alignment vertical="center"/>
    </xf>
    <xf numFmtId="0" fontId="9" fillId="0" borderId="26" xfId="37" applyFont="1" applyBorder="1" applyAlignment="1">
      <alignment horizontal="center" vertical="center"/>
    </xf>
    <xf numFmtId="0" fontId="111" fillId="0" borderId="0" xfId="37" applyFont="1"/>
    <xf numFmtId="10" fontId="10" fillId="17" borderId="0" xfId="37" applyNumberFormat="1" applyFont="1" applyFill="1" applyAlignment="1" applyProtection="1">
      <alignment horizontal="center" vertical="center" wrapText="1"/>
      <protection locked="0"/>
    </xf>
    <xf numFmtId="0" fontId="252" fillId="17" borderId="0" xfId="37" applyFont="1" applyFill="1" applyAlignment="1">
      <alignment horizontal="left" vertical="top"/>
    </xf>
    <xf numFmtId="0" fontId="263" fillId="17" borderId="0" xfId="37" applyFont="1" applyFill="1" applyAlignment="1">
      <alignment horizontal="center" vertical="center"/>
    </xf>
    <xf numFmtId="10" fontId="25" fillId="0" borderId="0" xfId="37" applyNumberFormat="1" applyFont="1" applyAlignment="1">
      <alignment vertical="center"/>
    </xf>
    <xf numFmtId="10" fontId="25" fillId="17" borderId="0" xfId="37" applyNumberFormat="1" applyFont="1" applyFill="1" applyAlignment="1">
      <alignment vertical="center"/>
    </xf>
    <xf numFmtId="0" fontId="0" fillId="17" borderId="0" xfId="0" applyFill="1"/>
    <xf numFmtId="10" fontId="10" fillId="17" borderId="0" xfId="37" applyNumberFormat="1" applyFont="1" applyFill="1" applyAlignment="1">
      <alignment horizontal="center" vertical="center"/>
    </xf>
    <xf numFmtId="10" fontId="14" fillId="0" borderId="208" xfId="37" applyNumberFormat="1" applyFont="1" applyBorder="1" applyAlignment="1">
      <alignment horizontal="center" vertical="center"/>
    </xf>
    <xf numFmtId="0" fontId="131" fillId="0" borderId="209" xfId="37" applyFont="1" applyBorder="1" applyAlignment="1">
      <alignment horizontal="center"/>
    </xf>
    <xf numFmtId="181" fontId="257" fillId="0" borderId="187" xfId="37" applyNumberFormat="1" applyFont="1" applyBorder="1" applyAlignment="1">
      <alignment horizontal="center" vertical="center"/>
    </xf>
    <xf numFmtId="181" fontId="257" fillId="0" borderId="189" xfId="0" applyNumberFormat="1" applyFont="1" applyBorder="1" applyAlignment="1">
      <alignment horizontal="center" vertical="center"/>
    </xf>
    <xf numFmtId="49" fontId="14" fillId="10" borderId="40"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7"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14" fillId="0" borderId="0" xfId="37" applyFont="1" applyAlignment="1">
      <alignment horizontal="center"/>
    </xf>
    <xf numFmtId="0" fontId="327" fillId="0" borderId="0" xfId="0" applyFont="1" applyAlignment="1">
      <alignment vertical="center"/>
    </xf>
    <xf numFmtId="0" fontId="42" fillId="17" borderId="0" xfId="0" applyFont="1" applyFill="1" applyAlignment="1">
      <alignment vertical="center"/>
    </xf>
    <xf numFmtId="0" fontId="39" fillId="17" borderId="0" xfId="0" applyFont="1" applyFill="1" applyAlignment="1">
      <alignment horizontal="center"/>
    </xf>
    <xf numFmtId="0" fontId="0" fillId="17" borderId="0" xfId="0" applyFill="1" applyAlignment="1">
      <alignment horizontal="center"/>
    </xf>
    <xf numFmtId="38" fontId="39" fillId="17" borderId="0" xfId="0" applyNumberFormat="1" applyFont="1" applyFill="1" applyAlignment="1">
      <alignment horizontal="center" vertical="center"/>
    </xf>
    <xf numFmtId="38" fontId="39" fillId="17" borderId="0" xfId="0" applyNumberFormat="1" applyFont="1" applyFill="1" applyAlignment="1">
      <alignment vertical="center"/>
    </xf>
    <xf numFmtId="38" fontId="50" fillId="17" borderId="0" xfId="0" applyNumberFormat="1" applyFont="1" applyFill="1" applyAlignment="1">
      <alignment vertical="center"/>
    </xf>
    <xf numFmtId="38" fontId="39" fillId="27" borderId="52" xfId="0" applyNumberFormat="1" applyFont="1" applyFill="1" applyBorder="1" applyAlignment="1">
      <alignment horizontal="center" vertical="center"/>
    </xf>
    <xf numFmtId="38" fontId="39" fillId="0" borderId="43" xfId="0" applyNumberFormat="1" applyFont="1" applyBorder="1" applyAlignment="1">
      <alignment horizontal="center" vertical="center"/>
    </xf>
    <xf numFmtId="38" fontId="39" fillId="27" borderId="60" xfId="0" applyNumberFormat="1" applyFont="1" applyFill="1" applyBorder="1" applyAlignment="1">
      <alignment horizontal="center" vertical="center"/>
    </xf>
    <xf numFmtId="38" fontId="39" fillId="0" borderId="32" xfId="0" applyNumberFormat="1" applyFont="1" applyBorder="1" applyAlignment="1">
      <alignment horizontal="center" vertical="center"/>
    </xf>
    <xf numFmtId="38" fontId="39" fillId="0" borderId="17" xfId="0" applyNumberFormat="1" applyFont="1" applyBorder="1" applyAlignment="1">
      <alignment horizontal="center" vertical="center"/>
    </xf>
    <xf numFmtId="38" fontId="39" fillId="27" borderId="26" xfId="0" applyNumberFormat="1" applyFont="1" applyFill="1" applyBorder="1" applyAlignment="1">
      <alignment horizontal="center" vertical="center"/>
    </xf>
    <xf numFmtId="38" fontId="39" fillId="0" borderId="18" xfId="0" applyNumberFormat="1" applyFont="1" applyBorder="1" applyAlignment="1">
      <alignment horizontal="center" vertical="center"/>
    </xf>
    <xf numFmtId="38" fontId="39" fillId="0" borderId="87" xfId="0" applyNumberFormat="1" applyFont="1" applyBorder="1" applyAlignment="1">
      <alignment horizontal="center" vertical="center"/>
    </xf>
    <xf numFmtId="38" fontId="39" fillId="27" borderId="24" xfId="0" applyNumberFormat="1" applyFont="1" applyFill="1" applyBorder="1" applyAlignment="1">
      <alignment horizontal="center" vertical="center"/>
    </xf>
    <xf numFmtId="0" fontId="39" fillId="27" borderId="72" xfId="0" applyFont="1" applyFill="1" applyBorder="1" applyAlignment="1">
      <alignment horizontal="center" vertical="center"/>
    </xf>
    <xf numFmtId="0" fontId="39" fillId="27" borderId="37" xfId="0" applyFont="1" applyFill="1" applyBorder="1" applyAlignment="1">
      <alignment horizontal="center" vertical="center"/>
    </xf>
    <xf numFmtId="4" fontId="39" fillId="0" borderId="72" xfId="0" applyNumberFormat="1" applyFont="1" applyBorder="1" applyAlignment="1">
      <alignment horizontal="center" vertical="center"/>
    </xf>
    <xf numFmtId="4" fontId="39" fillId="0" borderId="37" xfId="0" applyNumberFormat="1" applyFont="1" applyBorder="1" applyAlignment="1">
      <alignment horizontal="center" vertical="center"/>
    </xf>
    <xf numFmtId="43" fontId="10" fillId="17" borderId="0" xfId="1" applyFont="1" applyFill="1" applyAlignment="1" applyProtection="1">
      <alignment horizontal="center" vertical="center"/>
      <protection locked="0"/>
    </xf>
    <xf numFmtId="0" fontId="274" fillId="0" borderId="0" xfId="0" applyFont="1" applyAlignment="1">
      <alignment horizontal="center"/>
    </xf>
    <xf numFmtId="0" fontId="25" fillId="5" borderId="207" xfId="33" applyFont="1" applyFill="1" applyBorder="1" applyAlignment="1" applyProtection="1">
      <alignment horizontal="center" vertical="center" wrapText="1"/>
      <protection locked="0"/>
    </xf>
    <xf numFmtId="0" fontId="25" fillId="5" borderId="66" xfId="33" applyFont="1" applyFill="1" applyBorder="1" applyAlignment="1" applyProtection="1">
      <alignment horizontal="center" vertical="center" wrapText="1"/>
      <protection locked="0"/>
    </xf>
    <xf numFmtId="0" fontId="336" fillId="0" borderId="0" xfId="0" applyFont="1"/>
    <xf numFmtId="0" fontId="336" fillId="27" borderId="207" xfId="0" applyFont="1" applyFill="1" applyBorder="1" applyAlignment="1">
      <alignment horizontal="center"/>
    </xf>
    <xf numFmtId="0" fontId="336" fillId="27" borderId="207" xfId="0" applyFont="1" applyFill="1" applyBorder="1" applyAlignment="1">
      <alignment horizontal="center" vertical="center"/>
    </xf>
    <xf numFmtId="38" fontId="336" fillId="0" borderId="207" xfId="0" applyNumberFormat="1" applyFont="1" applyBorder="1" applyAlignment="1">
      <alignment horizontal="center"/>
    </xf>
    <xf numFmtId="10" fontId="336" fillId="0" borderId="207" xfId="0" applyNumberFormat="1" applyFont="1" applyBorder="1" applyAlignment="1">
      <alignment horizontal="center" vertical="center"/>
    </xf>
    <xf numFmtId="10" fontId="336" fillId="0" borderId="207" xfId="0" applyNumberFormat="1" applyFont="1" applyBorder="1" applyAlignment="1">
      <alignment horizontal="center"/>
    </xf>
    <xf numFmtId="0" fontId="194" fillId="0" borderId="0" xfId="37" applyFont="1" applyAlignment="1">
      <alignment horizontal="left" vertical="center"/>
    </xf>
    <xf numFmtId="0" fontId="25" fillId="0" borderId="12" xfId="37" applyFont="1" applyBorder="1" applyAlignment="1">
      <alignment horizontal="center" vertical="center"/>
    </xf>
    <xf numFmtId="0" fontId="42" fillId="0" borderId="0" xfId="0" applyFont="1" applyProtection="1">
      <protection locked="0"/>
    </xf>
    <xf numFmtId="0" fontId="206" fillId="0" borderId="36" xfId="33" applyFont="1" applyBorder="1"/>
    <xf numFmtId="0" fontId="113" fillId="0" borderId="0" xfId="13" applyFont="1"/>
    <xf numFmtId="0" fontId="130" fillId="0" borderId="0" xfId="13" applyFont="1"/>
    <xf numFmtId="0" fontId="37" fillId="0" borderId="0" xfId="0" applyFont="1" applyAlignment="1">
      <alignment horizontal="center" vertical="center" wrapText="1"/>
    </xf>
    <xf numFmtId="0" fontId="42" fillId="0" borderId="4" xfId="0" applyFont="1" applyBorder="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42" fillId="0" borderId="0" xfId="0" applyFont="1" applyAlignment="1">
      <alignment horizontal="center" vertical="center"/>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42" fillId="0" borderId="6" xfId="0" applyFont="1" applyBorder="1" applyAlignment="1">
      <alignment vertical="center"/>
    </xf>
    <xf numFmtId="0" fontId="42" fillId="0" borderId="9" xfId="0" applyFont="1" applyBorder="1" applyAlignment="1">
      <alignment vertical="center"/>
    </xf>
    <xf numFmtId="0" fontId="25" fillId="0" borderId="0" xfId="0" applyFont="1" applyAlignment="1">
      <alignment horizontal="center"/>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9" fillId="0" borderId="0" xfId="0" applyFont="1" applyAlignment="1">
      <alignment horizontal="center" wrapText="1"/>
    </xf>
    <xf numFmtId="0" fontId="39" fillId="0" borderId="9"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4" fontId="59" fillId="0" borderId="15" xfId="1" applyNumberFormat="1" applyFont="1" applyFill="1" applyBorder="1" applyAlignment="1" applyProtection="1">
      <alignment horizontal="right" vertical="center"/>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50" fillId="0" borderId="0" xfId="0" applyFont="1" applyAlignment="1">
      <alignment horizontal="left"/>
    </xf>
    <xf numFmtId="171" fontId="50" fillId="0" borderId="0" xfId="0" applyNumberFormat="1" applyFont="1" applyAlignment="1">
      <alignment horizontal="center" vertical="center"/>
    </xf>
    <xf numFmtId="0" fontId="4" fillId="0" borderId="0" xfId="0" applyFont="1" applyAlignment="1">
      <alignment horizontal="left" vertical="top"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11" fillId="0" borderId="0" xfId="0" applyFont="1" applyAlignment="1">
      <alignment horizontal="center" vertical="center" wrapText="1"/>
    </xf>
    <xf numFmtId="0" fontId="9" fillId="0" borderId="0" xfId="0" applyFont="1" applyAlignment="1">
      <alignment horizontal="center" vertical="center"/>
    </xf>
    <xf numFmtId="0" fontId="107" fillId="0" borderId="0" xfId="0" applyFont="1" applyAlignment="1">
      <alignment horizontal="center" vertical="center" wrapText="1"/>
    </xf>
    <xf numFmtId="0" fontId="11" fillId="0" borderId="0" xfId="0" applyFont="1" applyAlignment="1">
      <alignment horizontal="center" wrapText="1"/>
    </xf>
    <xf numFmtId="0" fontId="10" fillId="0" borderId="0" xfId="33" applyFont="1" applyAlignment="1">
      <alignment horizontal="left" vertical="center" wrapText="1"/>
    </xf>
    <xf numFmtId="0" fontId="10" fillId="0" borderId="0" xfId="33" applyFont="1" applyAlignment="1">
      <alignment horizontal="left" vertical="top" wrapText="1"/>
    </xf>
    <xf numFmtId="0" fontId="25" fillId="5" borderId="12" xfId="33" applyFont="1" applyFill="1" applyBorder="1" applyAlignment="1" applyProtection="1">
      <alignment horizontal="center" vertical="top"/>
      <protection locked="0"/>
    </xf>
    <xf numFmtId="0" fontId="10" fillId="0" borderId="0" xfId="33" applyFont="1" applyAlignment="1">
      <alignment vertical="center" wrapText="1"/>
    </xf>
    <xf numFmtId="0" fontId="10" fillId="0" borderId="0" xfId="33" applyFont="1" applyAlignment="1">
      <alignment horizontal="left" vertical="center"/>
    </xf>
    <xf numFmtId="0" fontId="25" fillId="0" borderId="0" xfId="33" applyFont="1" applyAlignment="1">
      <alignment horizontal="left" vertical="center"/>
    </xf>
    <xf numFmtId="0" fontId="10" fillId="0" borderId="9" xfId="33" applyFont="1" applyBorder="1" applyAlignment="1">
      <alignment horizontal="left" vertical="center" wrapText="1"/>
    </xf>
    <xf numFmtId="0" fontId="10" fillId="0" borderId="0" xfId="33" applyFont="1" applyAlignment="1">
      <alignment horizontal="righ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0" fontId="25" fillId="0" borderId="0" xfId="37" applyFont="1" applyAlignment="1">
      <alignment horizontal="left" vertical="top"/>
    </xf>
    <xf numFmtId="0" fontId="10" fillId="0" borderId="0" xfId="37" applyFont="1" applyAlignment="1">
      <alignment horizontal="center" vertical="center"/>
    </xf>
    <xf numFmtId="0" fontId="10" fillId="0" borderId="0" xfId="37" applyFont="1" applyAlignment="1">
      <alignment horizontal="center" vertical="center" wrapText="1"/>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0" borderId="0" xfId="37" applyFont="1" applyAlignment="1">
      <alignment vertical="center" wrapText="1"/>
    </xf>
    <xf numFmtId="181" fontId="259" fillId="0" borderId="0" xfId="37" applyNumberFormat="1" applyFont="1" applyAlignment="1">
      <alignment horizontal="center" vertical="center"/>
    </xf>
    <xf numFmtId="181" fontId="259" fillId="0" borderId="186" xfId="37" applyNumberFormat="1" applyFont="1" applyBorder="1" applyAlignment="1">
      <alignment horizontal="center" vertical="center"/>
    </xf>
    <xf numFmtId="0" fontId="253" fillId="0" borderId="190" xfId="37" applyFont="1" applyBorder="1" applyAlignment="1">
      <alignment horizontal="center" vertical="center"/>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5" fillId="0" borderId="0" xfId="37" applyFont="1" applyAlignment="1">
      <alignment horizontal="center" vertical="center" wrapText="1"/>
    </xf>
    <xf numFmtId="0" fontId="25" fillId="0" borderId="0" xfId="37" applyFont="1" applyAlignment="1">
      <alignment horizontal="left" vertical="center"/>
    </xf>
    <xf numFmtId="0" fontId="10" fillId="17" borderId="0" xfId="37" applyFont="1" applyFill="1" applyAlignment="1">
      <alignment horizontal="center" vertical="center"/>
    </xf>
    <xf numFmtId="0" fontId="25" fillId="0" borderId="9" xfId="37" applyFont="1" applyBorder="1" applyAlignment="1">
      <alignment horizontal="left" vertical="top" wrapText="1"/>
    </xf>
    <xf numFmtId="0" fontId="10" fillId="0" borderId="0" xfId="37" applyFont="1" applyAlignment="1">
      <alignment horizontal="left" vertical="center" wrapText="1"/>
    </xf>
    <xf numFmtId="0" fontId="25" fillId="0" borderId="0" xfId="37" applyFont="1" applyAlignment="1">
      <alignment horizontal="center" vertical="center" wrapText="1"/>
    </xf>
    <xf numFmtId="0" fontId="10" fillId="0" borderId="0" xfId="37" applyFont="1" applyAlignment="1">
      <alignment horizontal="left" vertical="top"/>
    </xf>
    <xf numFmtId="0" fontId="71" fillId="0" borderId="0" xfId="13" applyFont="1" applyAlignment="1">
      <alignment horizontal="left"/>
    </xf>
    <xf numFmtId="0" fontId="206" fillId="0" borderId="0" xfId="33" applyFont="1" applyAlignment="1">
      <alignment horizontal="center"/>
    </xf>
    <xf numFmtId="0" fontId="206" fillId="0" borderId="4" xfId="33" applyFont="1" applyBorder="1" applyAlignment="1">
      <alignment horizontal="center"/>
    </xf>
    <xf numFmtId="0" fontId="206" fillId="0" borderId="0" xfId="33" applyFont="1" applyAlignment="1">
      <alignment horizontal="right" vertical="center"/>
    </xf>
    <xf numFmtId="0" fontId="39" fillId="0" borderId="0" xfId="0" applyFont="1" applyAlignment="1">
      <alignment horizontal="center" vertical="center" wrapText="1"/>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38" fontId="39" fillId="0" borderId="13" xfId="0" applyNumberFormat="1" applyFont="1" applyBorder="1" applyAlignment="1">
      <alignment horizontal="center" vertical="center"/>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horizontal="center" wrapText="1"/>
    </xf>
    <xf numFmtId="0" fontId="5" fillId="0" borderId="0" xfId="0" applyFont="1" applyAlignment="1">
      <alignment horizontal="left" vertical="center" wrapText="1"/>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5" fillId="0" borderId="0" xfId="0" applyFont="1" applyAlignment="1">
      <alignment horizontal="center" vertical="center"/>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13" borderId="8" xfId="0" applyFont="1" applyFill="1" applyBorder="1" applyAlignment="1">
      <alignment horizontal="center" vertical="top"/>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38" fontId="9" fillId="5" borderId="12" xfId="0" applyNumberFormat="1" applyFont="1" applyFill="1" applyBorder="1" applyAlignment="1" applyProtection="1">
      <alignment horizontal="center" vertical="center"/>
      <protection locked="0"/>
    </xf>
    <xf numFmtId="0" fontId="14" fillId="0" borderId="0" xfId="0" applyFont="1" applyAlignment="1">
      <alignment horizontal="center"/>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38" fontId="39" fillId="0" borderId="0" xfId="0" applyNumberFormat="1" applyFont="1" applyAlignment="1">
      <alignment horizontal="center" vertical="center"/>
    </xf>
    <xf numFmtId="0" fontId="15" fillId="0" borderId="0" xfId="0" applyFont="1" applyAlignment="1">
      <alignment horizontal="center"/>
    </xf>
    <xf numFmtId="0" fontId="5" fillId="0" borderId="9" xfId="0" applyFont="1" applyBorder="1" applyAlignment="1">
      <alignment horizontal="left" vertical="center" wrapText="1"/>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38" fontId="9" fillId="5" borderId="17" xfId="0" applyNumberFormat="1" applyFont="1" applyFill="1" applyBorder="1" applyAlignment="1" applyProtection="1">
      <alignment horizontal="center" vertical="center"/>
      <protection locked="0"/>
    </xf>
    <xf numFmtId="38" fontId="9" fillId="13" borderId="17" xfId="0" applyNumberFormat="1" applyFont="1" applyFill="1" applyBorder="1" applyAlignment="1">
      <alignment horizontal="center" vertical="center"/>
    </xf>
    <xf numFmtId="0" fontId="6" fillId="0" borderId="0" xfId="13" applyFont="1" applyAlignment="1">
      <alignment horizontal="center"/>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30" fillId="0" borderId="0" xfId="13" applyFont="1" applyAlignment="1">
      <alignment horizontal="left"/>
    </xf>
    <xf numFmtId="0" fontId="10" fillId="0" borderId="0" xfId="13" applyFont="1" applyAlignment="1">
      <alignment horizontal="left"/>
    </xf>
    <xf numFmtId="0" fontId="112" fillId="0" borderId="0" xfId="13" applyFont="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5" fillId="0" borderId="0" xfId="13" applyFont="1" applyAlignment="1">
      <alignment horizontal="center"/>
    </xf>
    <xf numFmtId="0" fontId="4" fillId="0" borderId="0" xfId="13" applyAlignment="1">
      <alignment horizontal="center"/>
    </xf>
    <xf numFmtId="0" fontId="9" fillId="0" borderId="0" xfId="13" applyFont="1" applyAlignment="1">
      <alignment horizontal="center"/>
    </xf>
    <xf numFmtId="0" fontId="9" fillId="10" borderId="9" xfId="13" applyFont="1" applyFill="1" applyBorder="1" applyAlignment="1">
      <alignment horizontal="left"/>
    </xf>
    <xf numFmtId="167" fontId="4" fillId="10" borderId="16" xfId="13" applyNumberFormat="1" applyFill="1" applyBorder="1" applyAlignment="1">
      <alignment horizontal="left"/>
    </xf>
    <xf numFmtId="0" fontId="4" fillId="0" borderId="0" xfId="13" applyAlignment="1">
      <alignment horizontal="justify" vertical="top" wrapText="1"/>
    </xf>
    <xf numFmtId="0" fontId="50" fillId="5" borderId="211" xfId="0" applyFont="1" applyFill="1" applyBorder="1" applyAlignment="1">
      <alignment horizontal="center" vertical="center"/>
    </xf>
    <xf numFmtId="0" fontId="50" fillId="6" borderId="211" xfId="0" applyFont="1" applyFill="1" applyBorder="1" applyAlignment="1">
      <alignment horizontal="center" vertical="center"/>
    </xf>
    <xf numFmtId="0" fontId="50" fillId="16" borderId="217" xfId="0" applyFont="1" applyFill="1" applyBorder="1" applyAlignment="1">
      <alignment vertical="center"/>
    </xf>
    <xf numFmtId="164" fontId="42" fillId="5" borderId="225" xfId="1" applyNumberFormat="1" applyFont="1" applyFill="1" applyBorder="1" applyAlignment="1" applyProtection="1">
      <alignment horizontal="center" vertical="center"/>
      <protection locked="0"/>
    </xf>
    <xf numFmtId="0" fontId="42" fillId="0" borderId="217" xfId="0" applyFont="1" applyBorder="1" applyAlignment="1">
      <alignment horizontal="center" vertical="center"/>
    </xf>
    <xf numFmtId="0" fontId="81" fillId="0" borderId="217" xfId="0" applyFont="1" applyBorder="1" applyAlignment="1">
      <alignment horizontal="center" vertical="center"/>
    </xf>
    <xf numFmtId="0" fontId="42" fillId="5" borderId="225" xfId="0" applyFont="1" applyFill="1" applyBorder="1" applyAlignment="1" applyProtection="1">
      <alignment horizontal="center"/>
      <protection locked="0"/>
    </xf>
    <xf numFmtId="0" fontId="42" fillId="5" borderId="221" xfId="0" applyFont="1" applyFill="1" applyBorder="1" applyAlignment="1" applyProtection="1">
      <alignment horizontal="center"/>
      <protection locked="0"/>
    </xf>
    <xf numFmtId="0" fontId="42" fillId="5" borderId="219" xfId="0" applyFont="1" applyFill="1" applyBorder="1" applyAlignment="1" applyProtection="1">
      <alignment horizontal="center"/>
      <protection locked="0"/>
    </xf>
    <xf numFmtId="167" fontId="42" fillId="0" borderId="220" xfId="0" applyNumberFormat="1" applyFont="1" applyBorder="1" applyAlignment="1" applyProtection="1">
      <alignment vertical="center"/>
      <protection locked="0"/>
    </xf>
    <xf numFmtId="0" fontId="81" fillId="0" borderId="226" xfId="0" applyFont="1" applyBorder="1" applyAlignment="1" applyProtection="1">
      <alignment horizontal="center" vertical="center"/>
      <protection locked="0"/>
    </xf>
    <xf numFmtId="0" fontId="42" fillId="5" borderId="228" xfId="0" applyFont="1" applyFill="1" applyBorder="1" applyAlignment="1" applyProtection="1">
      <alignment horizontal="center" vertical="top"/>
      <protection locked="0"/>
    </xf>
    <xf numFmtId="0" fontId="42" fillId="5" borderId="225" xfId="0" applyFont="1" applyFill="1" applyBorder="1" applyAlignment="1" applyProtection="1">
      <alignment horizontal="center" vertical="top"/>
      <protection locked="0"/>
    </xf>
    <xf numFmtId="173" fontId="42" fillId="5" borderId="225" xfId="10" applyNumberFormat="1" applyFont="1" applyFill="1" applyBorder="1" applyAlignment="1" applyProtection="1">
      <alignment horizontal="center" vertical="top"/>
      <protection locked="0"/>
    </xf>
    <xf numFmtId="0" fontId="42" fillId="5" borderId="229" xfId="0" applyFont="1" applyFill="1" applyBorder="1" applyAlignment="1" applyProtection="1">
      <alignment horizontal="center" vertical="top"/>
      <protection locked="0"/>
    </xf>
    <xf numFmtId="0" fontId="270" fillId="20" borderId="215" xfId="0" applyFont="1" applyFill="1" applyBorder="1" applyAlignment="1">
      <alignment vertical="center"/>
    </xf>
    <xf numFmtId="0" fontId="4" fillId="0" borderId="215" xfId="0" applyFont="1" applyBorder="1" applyAlignment="1">
      <alignment vertical="center"/>
    </xf>
    <xf numFmtId="0" fontId="42" fillId="5" borderId="225" xfId="0" applyFont="1" applyFill="1" applyBorder="1" applyAlignment="1" applyProtection="1">
      <alignment horizontal="center" vertical="center"/>
      <protection locked="0"/>
    </xf>
    <xf numFmtId="37" fontId="42" fillId="5" borderId="225" xfId="0" applyNumberFormat="1" applyFont="1" applyFill="1" applyBorder="1" applyAlignment="1" applyProtection="1">
      <alignment horizontal="left" vertical="center"/>
      <protection locked="0"/>
    </xf>
    <xf numFmtId="0" fontId="42" fillId="5" borderId="217" xfId="0" applyFont="1" applyFill="1" applyBorder="1" applyAlignment="1" applyProtection="1">
      <alignment horizontal="center" vertical="center"/>
      <protection locked="0"/>
    </xf>
    <xf numFmtId="3" fontId="42" fillId="10" borderId="217" xfId="0" applyNumberFormat="1" applyFont="1" applyFill="1" applyBorder="1" applyAlignment="1" applyProtection="1">
      <alignment horizontal="left" vertical="center"/>
      <protection locked="0"/>
    </xf>
    <xf numFmtId="3" fontId="42" fillId="0" borderId="215" xfId="0" applyNumberFormat="1" applyFont="1" applyBorder="1" applyAlignment="1">
      <alignment vertical="center"/>
    </xf>
    <xf numFmtId="0" fontId="38" fillId="0" borderId="215" xfId="0" applyFont="1" applyBorder="1" applyAlignment="1">
      <alignment vertical="center"/>
    </xf>
    <xf numFmtId="0" fontId="42" fillId="5" borderId="231" xfId="0" applyFont="1" applyFill="1" applyBorder="1" applyAlignment="1" applyProtection="1">
      <alignment horizontal="center" vertical="center"/>
      <protection locked="0"/>
    </xf>
    <xf numFmtId="0" fontId="38" fillId="0" borderId="224" xfId="0" applyFont="1" applyBorder="1" applyAlignment="1">
      <alignment horizontal="left" vertical="center"/>
    </xf>
    <xf numFmtId="0" fontId="38" fillId="0" borderId="216" xfId="0" applyFont="1" applyBorder="1" applyAlignment="1">
      <alignment vertical="center"/>
    </xf>
    <xf numFmtId="0" fontId="42" fillId="0" borderId="215" xfId="0" applyFont="1" applyBorder="1" applyAlignment="1">
      <alignment vertical="center"/>
    </xf>
    <xf numFmtId="166" fontId="42" fillId="5" borderId="225" xfId="0" applyNumberFormat="1" applyFont="1" applyFill="1" applyBorder="1" applyAlignment="1" applyProtection="1">
      <alignment horizontal="center" vertical="center"/>
      <protection locked="0"/>
    </xf>
    <xf numFmtId="166" fontId="42" fillId="0" borderId="218" xfId="0" applyNumberFormat="1" applyFont="1" applyBorder="1" applyAlignment="1">
      <alignment horizontal="center" vertical="center"/>
    </xf>
    <xf numFmtId="0" fontId="42" fillId="0" borderId="220" xfId="0" applyFont="1" applyBorder="1" applyAlignment="1">
      <alignment horizontal="center" vertical="center"/>
    </xf>
    <xf numFmtId="10" fontId="42" fillId="0" borderId="217" xfId="0" applyNumberFormat="1" applyFont="1" applyBorder="1" applyAlignment="1">
      <alignment horizontal="center" vertical="center"/>
    </xf>
    <xf numFmtId="166" fontId="42" fillId="5" borderId="217" xfId="0" applyNumberFormat="1" applyFont="1" applyFill="1" applyBorder="1" applyAlignment="1" applyProtection="1">
      <alignment horizontal="center" vertical="center"/>
      <protection locked="0"/>
    </xf>
    <xf numFmtId="9" fontId="38" fillId="0" borderId="220" xfId="0" applyNumberFormat="1" applyFont="1" applyBorder="1" applyAlignment="1">
      <alignment horizontal="center" vertical="center"/>
    </xf>
    <xf numFmtId="176" fontId="0" fillId="5" borderId="217" xfId="0" applyNumberFormat="1" applyFill="1" applyBorder="1" applyAlignment="1" applyProtection="1">
      <alignment horizontal="center" vertical="center"/>
      <protection locked="0"/>
    </xf>
    <xf numFmtId="10" fontId="0" fillId="5" borderId="217" xfId="0" applyNumberFormat="1" applyFill="1" applyBorder="1" applyAlignment="1" applyProtection="1">
      <alignment horizontal="center" vertical="center"/>
      <protection locked="0"/>
    </xf>
    <xf numFmtId="3" fontId="0" fillId="5" borderId="217" xfId="0" applyNumberFormat="1" applyFill="1" applyBorder="1" applyAlignment="1" applyProtection="1">
      <alignment horizontal="center" vertical="center"/>
      <protection locked="0"/>
    </xf>
    <xf numFmtId="176" fontId="0" fillId="5" borderId="217" xfId="0" applyNumberFormat="1" applyFill="1" applyBorder="1" applyProtection="1">
      <protection locked="0"/>
    </xf>
    <xf numFmtId="166" fontId="0" fillId="5" borderId="217" xfId="0" applyNumberFormat="1" applyFill="1" applyBorder="1" applyAlignment="1" applyProtection="1">
      <alignment horizontal="center"/>
      <protection locked="0"/>
    </xf>
    <xf numFmtId="10" fontId="0" fillId="5" borderId="217" xfId="0" applyNumberFormat="1" applyFill="1" applyBorder="1" applyAlignment="1" applyProtection="1">
      <alignment horizontal="center"/>
      <protection locked="0"/>
    </xf>
    <xf numFmtId="3" fontId="0" fillId="5" borderId="217" xfId="0" applyNumberFormat="1" applyFill="1" applyBorder="1" applyAlignment="1" applyProtection="1">
      <alignment horizontal="center"/>
      <protection locked="0"/>
    </xf>
    <xf numFmtId="0" fontId="59" fillId="0" borderId="218" xfId="0" applyFont="1" applyBorder="1" applyAlignment="1">
      <alignment horizontal="left" vertical="center"/>
    </xf>
    <xf numFmtId="0" fontId="42" fillId="0" borderId="220" xfId="0" applyFont="1" applyBorder="1" applyAlignment="1">
      <alignment vertical="center"/>
    </xf>
    <xf numFmtId="0" fontId="50" fillId="0" borderId="220" xfId="0" applyFont="1" applyBorder="1" applyAlignment="1">
      <alignment horizontal="center" vertical="center"/>
    </xf>
    <xf numFmtId="4" fontId="42" fillId="13" borderId="230" xfId="0" applyNumberFormat="1" applyFont="1" applyFill="1" applyBorder="1" applyAlignment="1" applyProtection="1">
      <alignment horizontal="right" vertical="center"/>
      <protection locked="0"/>
    </xf>
    <xf numFmtId="0" fontId="59" fillId="5" borderId="225" xfId="0" applyFont="1" applyFill="1" applyBorder="1" applyAlignment="1" applyProtection="1">
      <alignment horizontal="center" vertical="center"/>
      <protection locked="0"/>
    </xf>
    <xf numFmtId="38" fontId="80" fillId="0" borderId="215" xfId="0" applyNumberFormat="1" applyFont="1" applyBorder="1" applyAlignment="1">
      <alignment horizontal="center" vertical="center"/>
    </xf>
    <xf numFmtId="187" fontId="80" fillId="0" borderId="215" xfId="0" applyNumberFormat="1" applyFont="1" applyBorder="1" applyAlignment="1">
      <alignment horizontal="center" vertical="center"/>
    </xf>
    <xf numFmtId="38" fontId="39" fillId="0" borderId="234" xfId="0" applyNumberFormat="1" applyFont="1" applyBorder="1" applyAlignment="1">
      <alignment horizontal="center" vertical="center"/>
    </xf>
    <xf numFmtId="38" fontId="39" fillId="0" borderId="230" xfId="0" applyNumberFormat="1" applyFont="1" applyBorder="1" applyAlignment="1">
      <alignment horizontal="center" vertical="center"/>
    </xf>
    <xf numFmtId="0" fontId="39" fillId="27" borderId="229" xfId="0" applyFont="1" applyFill="1" applyBorder="1" applyAlignment="1">
      <alignment horizontal="center" vertical="center"/>
    </xf>
    <xf numFmtId="38" fontId="39" fillId="27" borderId="228" xfId="0" applyNumberFormat="1" applyFont="1" applyFill="1" applyBorder="1" applyAlignment="1">
      <alignment horizontal="center" vertical="center"/>
    </xf>
    <xf numFmtId="164" fontId="39" fillId="0" borderId="229" xfId="0" applyNumberFormat="1" applyFont="1" applyBorder="1" applyAlignment="1">
      <alignment horizontal="center" vertical="center"/>
    </xf>
    <xf numFmtId="38" fontId="39" fillId="0" borderId="223" xfId="0" applyNumberFormat="1" applyFont="1" applyBorder="1" applyAlignment="1">
      <alignment horizontal="center" vertical="center"/>
    </xf>
    <xf numFmtId="38" fontId="39" fillId="0" borderId="225" xfId="0" applyNumberFormat="1" applyFont="1" applyBorder="1" applyAlignment="1">
      <alignment horizontal="center" vertical="center"/>
    </xf>
    <xf numFmtId="37" fontId="42" fillId="5" borderId="217" xfId="1" applyNumberFormat="1" applyFont="1" applyFill="1" applyBorder="1" applyAlignment="1" applyProtection="1">
      <alignment horizontal="center" vertical="center"/>
      <protection locked="0"/>
    </xf>
    <xf numFmtId="4" fontId="42" fillId="13" borderId="217" xfId="0" applyNumberFormat="1" applyFont="1" applyFill="1" applyBorder="1" applyAlignment="1" applyProtection="1">
      <alignment horizontal="right" vertical="center"/>
      <protection locked="0"/>
    </xf>
    <xf numFmtId="0" fontId="58" fillId="0" borderId="218" xfId="0" applyFont="1" applyBorder="1" applyAlignment="1">
      <alignment horizontal="left" vertical="center"/>
    </xf>
    <xf numFmtId="0" fontId="59" fillId="0" borderId="220" xfId="0" applyFont="1" applyBorder="1" applyAlignment="1">
      <alignment vertical="center"/>
    </xf>
    <xf numFmtId="0" fontId="59" fillId="0" borderId="220" xfId="0" applyFont="1" applyBorder="1" applyAlignment="1">
      <alignment horizontal="center" vertical="center"/>
    </xf>
    <xf numFmtId="164" fontId="38" fillId="5" borderId="238" xfId="1" applyNumberFormat="1" applyFont="1" applyFill="1" applyBorder="1" applyAlignment="1" applyProtection="1">
      <alignment horizontal="center" vertical="center"/>
      <protection locked="0"/>
    </xf>
    <xf numFmtId="0" fontId="144" fillId="0" borderId="217" xfId="13" applyFont="1" applyBorder="1" applyAlignment="1">
      <alignment horizontal="center" vertical="center" wrapText="1"/>
    </xf>
    <xf numFmtId="0" fontId="0" fillId="0" borderId="224" xfId="0" applyBorder="1" applyAlignment="1">
      <alignment vertical="center"/>
    </xf>
    <xf numFmtId="0" fontId="4" fillId="0" borderId="216" xfId="0" applyFont="1" applyBorder="1" applyAlignment="1">
      <alignment vertical="center"/>
    </xf>
    <xf numFmtId="0" fontId="9" fillId="5" borderId="225" xfId="0" applyFont="1" applyFill="1" applyBorder="1" applyAlignment="1" applyProtection="1">
      <alignment horizontal="center" vertical="center"/>
      <protection locked="0"/>
    </xf>
    <xf numFmtId="0" fontId="4" fillId="0" borderId="226" xfId="0" applyFont="1" applyBorder="1"/>
    <xf numFmtId="0" fontId="0" fillId="5" borderId="225" xfId="0" applyFill="1" applyBorder="1" applyAlignment="1" applyProtection="1">
      <alignment horizontal="center" vertical="center"/>
      <protection locked="0"/>
    </xf>
    <xf numFmtId="0" fontId="4" fillId="5" borderId="217" xfId="0" applyFont="1" applyFill="1" applyBorder="1" applyAlignment="1" applyProtection="1">
      <alignment horizontal="center" vertical="center"/>
      <protection locked="0"/>
    </xf>
    <xf numFmtId="0" fontId="4" fillId="5" borderId="225" xfId="0" applyFont="1" applyFill="1" applyBorder="1" applyAlignment="1" applyProtection="1">
      <alignment horizontal="center" vertical="center"/>
      <protection locked="0"/>
    </xf>
    <xf numFmtId="3" fontId="14" fillId="5" borderId="225" xfId="10" applyNumberFormat="1" applyFont="1" applyFill="1" applyBorder="1" applyAlignment="1" applyProtection="1">
      <alignment horizontal="center" vertical="center"/>
      <protection locked="0"/>
    </xf>
    <xf numFmtId="1" fontId="14" fillId="5" borderId="225" xfId="1" applyNumberFormat="1" applyFont="1" applyFill="1" applyBorder="1" applyAlignment="1" applyProtection="1">
      <alignment horizontal="center" vertical="center"/>
      <protection locked="0"/>
    </xf>
    <xf numFmtId="39" fontId="14" fillId="5" borderId="225" xfId="1" applyNumberFormat="1" applyFont="1" applyFill="1" applyBorder="1" applyAlignment="1" applyProtection="1">
      <alignment horizontal="center" vertical="center"/>
      <protection locked="0"/>
    </xf>
    <xf numFmtId="3" fontId="14" fillId="5" borderId="225" xfId="1" applyNumberFormat="1" applyFont="1" applyFill="1" applyBorder="1" applyAlignment="1" applyProtection="1">
      <alignment horizontal="center" vertical="center"/>
      <protection locked="0"/>
    </xf>
    <xf numFmtId="3" fontId="14" fillId="10" borderId="225" xfId="1" applyNumberFormat="1" applyFont="1" applyFill="1" applyBorder="1" applyAlignment="1" applyProtection="1">
      <alignment horizontal="center" vertical="center"/>
      <protection locked="0"/>
    </xf>
    <xf numFmtId="3" fontId="38" fillId="5" borderId="225" xfId="1" applyNumberFormat="1" applyFont="1" applyFill="1" applyBorder="1" applyAlignment="1" applyProtection="1">
      <alignment horizontal="center" vertical="center"/>
      <protection locked="0"/>
    </xf>
    <xf numFmtId="38" fontId="14" fillId="0" borderId="225" xfId="1" applyNumberFormat="1" applyFont="1" applyFill="1" applyBorder="1" applyAlignment="1" applyProtection="1">
      <alignment horizontal="center" vertical="center"/>
    </xf>
    <xf numFmtId="0" fontId="38" fillId="5" borderId="225" xfId="0" applyFont="1" applyFill="1" applyBorder="1" applyAlignment="1" applyProtection="1">
      <alignment horizontal="center" vertical="center"/>
      <protection locked="0"/>
    </xf>
    <xf numFmtId="0" fontId="39" fillId="5" borderId="225" xfId="0" applyFont="1" applyFill="1" applyBorder="1" applyAlignment="1" applyProtection="1">
      <alignment horizontal="center" vertical="center"/>
      <protection locked="0"/>
    </xf>
    <xf numFmtId="0" fontId="14" fillId="5" borderId="225" xfId="0" applyFont="1" applyFill="1" applyBorder="1" applyAlignment="1" applyProtection="1">
      <alignment horizontal="center" vertical="center"/>
      <protection locked="0"/>
    </xf>
    <xf numFmtId="10" fontId="14" fillId="13" borderId="228" xfId="0" applyNumberFormat="1" applyFont="1" applyFill="1" applyBorder="1" applyAlignment="1" applyProtection="1">
      <alignment horizontal="center" vertical="center"/>
      <protection locked="0"/>
    </xf>
    <xf numFmtId="0" fontId="188" fillId="0" borderId="221" xfId="0" applyFont="1" applyBorder="1" applyAlignment="1">
      <alignment horizontal="center" vertical="center"/>
    </xf>
    <xf numFmtId="164" fontId="188" fillId="0" borderId="223" xfId="1" applyNumberFormat="1" applyFont="1" applyFill="1" applyBorder="1" applyAlignment="1" applyProtection="1">
      <alignment horizontal="center" vertical="center"/>
    </xf>
    <xf numFmtId="164" fontId="14" fillId="0" borderId="217" xfId="1" applyNumberFormat="1" applyFont="1" applyFill="1" applyBorder="1" applyAlignment="1" applyProtection="1">
      <alignment horizontal="center" vertical="center"/>
    </xf>
    <xf numFmtId="38" fontId="4" fillId="0" borderId="240" xfId="1" applyNumberFormat="1" applyFont="1" applyFill="1" applyBorder="1" applyAlignment="1" applyProtection="1">
      <alignment horizontal="right" vertical="center"/>
    </xf>
    <xf numFmtId="38" fontId="4" fillId="0" borderId="241" xfId="1" applyNumberFormat="1" applyFont="1" applyFill="1" applyBorder="1" applyAlignment="1" applyProtection="1">
      <alignment horizontal="right" vertical="center"/>
    </xf>
    <xf numFmtId="38" fontId="4" fillId="0" borderId="242"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horizontal="right" vertical="center"/>
    </xf>
    <xf numFmtId="38" fontId="4" fillId="0" borderId="220" xfId="1" applyNumberFormat="1" applyFont="1" applyFill="1" applyBorder="1" applyAlignment="1" applyProtection="1">
      <alignment horizontal="right" vertical="center"/>
    </xf>
    <xf numFmtId="38" fontId="22" fillId="0" borderId="220" xfId="1" applyNumberFormat="1" applyFont="1" applyFill="1" applyBorder="1" applyAlignment="1" applyProtection="1">
      <alignment horizontal="right" vertical="center"/>
    </xf>
    <xf numFmtId="38" fontId="9" fillId="0" borderId="215" xfId="1" applyNumberFormat="1" applyFont="1" applyFill="1" applyBorder="1" applyAlignment="1" applyProtection="1">
      <alignment horizontal="right" vertical="center"/>
    </xf>
    <xf numFmtId="10" fontId="217" fillId="0" borderId="243" xfId="0" applyNumberFormat="1" applyFont="1" applyBorder="1" applyAlignment="1">
      <alignment horizontal="center" vertical="center"/>
    </xf>
    <xf numFmtId="10" fontId="217" fillId="0" borderId="244" xfId="0" applyNumberFormat="1" applyFont="1" applyBorder="1" applyAlignment="1">
      <alignment horizontal="center" vertical="center"/>
    </xf>
    <xf numFmtId="10" fontId="217" fillId="0" borderId="245" xfId="0" applyNumberFormat="1" applyFont="1" applyBorder="1" applyAlignment="1">
      <alignment horizontal="center" vertical="center"/>
    </xf>
    <xf numFmtId="38" fontId="4" fillId="0" borderId="240" xfId="0" applyNumberFormat="1" applyFont="1" applyBorder="1"/>
    <xf numFmtId="38" fontId="4" fillId="0" borderId="241" xfId="0" applyNumberFormat="1" applyFont="1" applyBorder="1"/>
    <xf numFmtId="38" fontId="4" fillId="0" borderId="242" xfId="0" applyNumberFormat="1" applyFont="1" applyBorder="1"/>
    <xf numFmtId="38" fontId="9" fillId="0" borderId="220" xfId="1" applyNumberFormat="1" applyFont="1" applyFill="1" applyBorder="1" applyAlignment="1" applyProtection="1">
      <alignment horizontal="right" vertical="center"/>
    </xf>
    <xf numFmtId="38" fontId="4" fillId="5" borderId="225" xfId="1" applyNumberFormat="1" applyFont="1" applyFill="1" applyBorder="1" applyAlignment="1" applyProtection="1">
      <alignment horizontal="right" vertical="center"/>
      <protection locked="0"/>
    </xf>
    <xf numFmtId="38" fontId="4" fillId="0" borderId="225" xfId="1" applyNumberFormat="1" applyFont="1" applyFill="1" applyBorder="1" applyAlignment="1" applyProtection="1">
      <alignment horizontal="right" vertical="center"/>
    </xf>
    <xf numFmtId="38" fontId="4" fillId="0" borderId="231" xfId="1" applyNumberFormat="1" applyFont="1" applyFill="1" applyBorder="1" applyAlignment="1" applyProtection="1">
      <alignment horizontal="right" vertical="center"/>
    </xf>
    <xf numFmtId="38" fontId="4" fillId="0" borderId="246" xfId="1" applyNumberFormat="1" applyFont="1" applyFill="1" applyBorder="1" applyAlignment="1" applyProtection="1">
      <alignment horizontal="right" vertical="center"/>
    </xf>
    <xf numFmtId="38" fontId="4" fillId="0" borderId="247" xfId="1" applyNumberFormat="1" applyFont="1" applyFill="1" applyBorder="1" applyAlignment="1" applyProtection="1">
      <alignment horizontal="right" vertical="center"/>
    </xf>
    <xf numFmtId="38" fontId="4" fillId="0" borderId="217" xfId="1" applyNumberFormat="1" applyFont="1" applyFill="1" applyBorder="1" applyAlignment="1" applyProtection="1">
      <alignment horizontal="right" vertical="center"/>
    </xf>
    <xf numFmtId="38" fontId="4" fillId="10" borderId="225" xfId="0" applyNumberFormat="1" applyFont="1" applyFill="1" applyBorder="1" applyAlignment="1" applyProtection="1">
      <alignment horizontal="center" vertical="center"/>
      <protection locked="0"/>
    </xf>
    <xf numFmtId="38" fontId="9" fillId="0" borderId="231" xfId="1" applyNumberFormat="1" applyFont="1" applyFill="1" applyBorder="1" applyAlignment="1" applyProtection="1">
      <alignment horizontal="right" vertical="center"/>
    </xf>
    <xf numFmtId="38" fontId="9" fillId="0" borderId="246" xfId="1" applyNumberFormat="1" applyFont="1" applyFill="1" applyBorder="1" applyAlignment="1" applyProtection="1">
      <alignment horizontal="right" vertical="center"/>
    </xf>
    <xf numFmtId="38" fontId="9" fillId="0" borderId="247" xfId="1" applyNumberFormat="1" applyFont="1" applyFill="1" applyBorder="1" applyAlignment="1" applyProtection="1">
      <alignment horizontal="right" vertical="center"/>
    </xf>
    <xf numFmtId="38" fontId="9" fillId="0" borderId="217" xfId="1" applyNumberFormat="1" applyFont="1" applyFill="1" applyBorder="1" applyAlignment="1" applyProtection="1">
      <alignment horizontal="right" vertical="center"/>
    </xf>
    <xf numFmtId="38" fontId="9" fillId="0" borderId="226"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vertical="center"/>
    </xf>
    <xf numFmtId="38" fontId="22" fillId="0" borderId="220" xfId="1" applyNumberFormat="1" applyFont="1" applyFill="1" applyBorder="1" applyAlignment="1" applyProtection="1">
      <alignment vertical="center"/>
    </xf>
    <xf numFmtId="38" fontId="4" fillId="0" borderId="231" xfId="1" applyNumberFormat="1" applyFont="1" applyFill="1" applyBorder="1" applyAlignment="1" applyProtection="1">
      <alignment vertical="center"/>
    </xf>
    <xf numFmtId="38" fontId="4" fillId="0" borderId="246" xfId="1" applyNumberFormat="1" applyFont="1" applyFill="1" applyBorder="1" applyAlignment="1" applyProtection="1">
      <alignment vertical="center"/>
    </xf>
    <xf numFmtId="38" fontId="4" fillId="0" borderId="247" xfId="1" applyNumberFormat="1" applyFont="1" applyFill="1" applyBorder="1" applyAlignment="1" applyProtection="1">
      <alignment vertical="center"/>
    </xf>
    <xf numFmtId="38" fontId="20" fillId="0" borderId="220" xfId="1" applyNumberFormat="1" applyFont="1" applyFill="1" applyBorder="1" applyAlignment="1" applyProtection="1">
      <alignment vertical="center"/>
    </xf>
    <xf numFmtId="38" fontId="9" fillId="0" borderId="215" xfId="1" applyNumberFormat="1" applyFont="1" applyFill="1" applyBorder="1" applyAlignment="1" applyProtection="1">
      <alignment vertical="center"/>
    </xf>
    <xf numFmtId="10" fontId="14" fillId="0" borderId="217" xfId="0" applyNumberFormat="1" applyFont="1" applyBorder="1" applyAlignment="1">
      <alignment vertical="center"/>
    </xf>
    <xf numFmtId="3" fontId="14" fillId="5" borderId="225" xfId="0" applyNumberFormat="1" applyFont="1" applyFill="1" applyBorder="1" applyAlignment="1" applyProtection="1">
      <alignment vertical="center"/>
      <protection locked="0"/>
    </xf>
    <xf numFmtId="164" fontId="14" fillId="0" borderId="217" xfId="1" applyNumberFormat="1" applyFont="1" applyFill="1" applyBorder="1" applyAlignment="1" applyProtection="1">
      <alignment vertical="center"/>
    </xf>
    <xf numFmtId="3" fontId="14" fillId="5" borderId="225" xfId="10" applyNumberFormat="1" applyFont="1" applyFill="1" applyBorder="1" applyAlignment="1" applyProtection="1">
      <alignment vertical="center"/>
      <protection locked="0"/>
    </xf>
    <xf numFmtId="0" fontId="9" fillId="0" borderId="215" xfId="0" applyFont="1" applyBorder="1"/>
    <xf numFmtId="0" fontId="9" fillId="6" borderId="217" xfId="0" applyFont="1" applyFill="1" applyBorder="1" applyAlignment="1">
      <alignment horizontal="center" vertical="center"/>
    </xf>
    <xf numFmtId="164" fontId="4" fillId="5" borderId="217" xfId="1" applyNumberFormat="1" applyFont="1" applyFill="1" applyBorder="1" applyAlignment="1" applyProtection="1">
      <alignment horizontal="right"/>
      <protection locked="0"/>
    </xf>
    <xf numFmtId="10" fontId="4" fillId="5" borderId="217" xfId="0" applyNumberFormat="1" applyFont="1" applyFill="1" applyBorder="1" applyAlignment="1" applyProtection="1">
      <alignment horizontal="left"/>
      <protection locked="0"/>
    </xf>
    <xf numFmtId="0" fontId="4" fillId="5" borderId="225" xfId="0" applyFont="1" applyFill="1" applyBorder="1" applyAlignment="1" applyProtection="1">
      <alignment horizontal="right" vertical="center"/>
      <protection locked="0"/>
    </xf>
    <xf numFmtId="3" fontId="4" fillId="5" borderId="225" xfId="10" applyNumberFormat="1" applyFont="1" applyFill="1" applyBorder="1" applyAlignment="1" applyProtection="1">
      <alignment horizontal="right" vertical="center"/>
      <protection locked="0"/>
    </xf>
    <xf numFmtId="0" fontId="4" fillId="0" borderId="224" xfId="0" applyFont="1" applyBorder="1"/>
    <xf numFmtId="164" fontId="4" fillId="0" borderId="215" xfId="1" applyNumberFormat="1" applyFont="1" applyFill="1" applyBorder="1" applyProtection="1"/>
    <xf numFmtId="164" fontId="4" fillId="0" borderId="216" xfId="1" applyNumberFormat="1" applyFont="1" applyFill="1" applyBorder="1" applyProtection="1"/>
    <xf numFmtId="164" fontId="4" fillId="6" borderId="217" xfId="1" applyNumberFormat="1" applyFont="1" applyFill="1" applyBorder="1" applyProtection="1">
      <protection locked="0"/>
    </xf>
    <xf numFmtId="164" fontId="4" fillId="11" borderId="225" xfId="1" applyNumberFormat="1" applyFont="1" applyFill="1" applyBorder="1" applyProtection="1">
      <protection locked="0"/>
    </xf>
    <xf numFmtId="164" fontId="4" fillId="6" borderId="225" xfId="1" applyNumberFormat="1" applyFont="1" applyFill="1" applyBorder="1" applyProtection="1">
      <protection locked="0"/>
    </xf>
    <xf numFmtId="0" fontId="25" fillId="13" borderId="217" xfId="33" applyFont="1" applyFill="1" applyBorder="1" applyAlignment="1">
      <alignment horizontal="center" vertical="center"/>
    </xf>
    <xf numFmtId="0" fontId="25" fillId="5" borderId="225" xfId="33" applyFont="1" applyFill="1" applyBorder="1" applyAlignment="1" applyProtection="1">
      <alignment horizontal="center" vertical="center"/>
      <protection locked="0"/>
    </xf>
    <xf numFmtId="0" fontId="25" fillId="13" borderId="225" xfId="33" applyFont="1" applyFill="1" applyBorder="1" applyAlignment="1">
      <alignment horizontal="center" vertical="center"/>
    </xf>
    <xf numFmtId="1" fontId="131" fillId="0" borderId="225" xfId="33" applyNumberFormat="1" applyFont="1" applyBorder="1" applyAlignment="1">
      <alignment horizontal="center" vertical="center"/>
    </xf>
    <xf numFmtId="1" fontId="131" fillId="0" borderId="217" xfId="33" applyNumberFormat="1" applyFont="1" applyBorder="1" applyAlignment="1">
      <alignment horizontal="center" vertical="center"/>
    </xf>
    <xf numFmtId="0" fontId="10" fillId="0" borderId="215" xfId="33" applyFont="1" applyBorder="1" applyAlignment="1">
      <alignment horizontal="left" vertical="center" wrapText="1"/>
    </xf>
    <xf numFmtId="0" fontId="25" fillId="5" borderId="225" xfId="33" applyFont="1" applyFill="1" applyBorder="1" applyAlignment="1" applyProtection="1">
      <alignment horizontal="center" vertical="center" wrapText="1"/>
      <protection locked="0"/>
    </xf>
    <xf numFmtId="0" fontId="25" fillId="5" borderId="217" xfId="33" applyFont="1" applyFill="1" applyBorder="1" applyAlignment="1" applyProtection="1">
      <alignment horizontal="center" vertical="center"/>
      <protection locked="0"/>
    </xf>
    <xf numFmtId="0" fontId="25" fillId="0" borderId="226" xfId="37" applyFont="1" applyBorder="1" applyAlignment="1">
      <alignment horizontal="center" vertical="center"/>
    </xf>
    <xf numFmtId="0" fontId="25" fillId="0" borderId="224" xfId="37" applyFont="1" applyBorder="1" applyAlignment="1">
      <alignment horizontal="center" vertical="center"/>
    </xf>
    <xf numFmtId="0" fontId="25" fillId="5" borderId="225" xfId="37" applyFont="1" applyFill="1" applyBorder="1" applyAlignment="1" applyProtection="1">
      <alignment horizontal="center" vertical="center"/>
      <protection locked="0"/>
    </xf>
    <xf numFmtId="0" fontId="25" fillId="13" borderId="225" xfId="37" applyFont="1" applyFill="1" applyBorder="1" applyAlignment="1">
      <alignment horizontal="center" vertical="center"/>
    </xf>
    <xf numFmtId="38" fontId="25" fillId="0" borderId="217" xfId="37" applyNumberFormat="1" applyFont="1" applyBorder="1" applyAlignment="1">
      <alignment horizontal="center" vertical="center"/>
    </xf>
    <xf numFmtId="0" fontId="25" fillId="5" borderId="225" xfId="37" applyFont="1" applyFill="1" applyBorder="1" applyAlignment="1" applyProtection="1">
      <alignment horizontal="center" vertical="top"/>
      <protection locked="0"/>
    </xf>
    <xf numFmtId="0" fontId="25" fillId="13" borderId="225" xfId="37" applyFont="1" applyFill="1" applyBorder="1" applyAlignment="1">
      <alignment horizontal="center" vertical="top"/>
    </xf>
    <xf numFmtId="0" fontId="25" fillId="5" borderId="217" xfId="37" applyFont="1" applyFill="1" applyBorder="1" applyAlignment="1" applyProtection="1">
      <alignment horizontal="center" vertical="top"/>
      <protection locked="0"/>
    </xf>
    <xf numFmtId="0" fontId="25" fillId="13" borderId="217" xfId="37" applyFont="1" applyFill="1" applyBorder="1" applyAlignment="1">
      <alignment horizontal="center" vertical="top"/>
    </xf>
    <xf numFmtId="3" fontId="14" fillId="0" borderId="229" xfId="37" applyNumberFormat="1" applyFont="1" applyBorder="1" applyAlignment="1">
      <alignment horizontal="center" vertical="center"/>
    </xf>
    <xf numFmtId="4" fontId="14" fillId="0" borderId="228" xfId="37" applyNumberFormat="1" applyFont="1" applyBorder="1" applyAlignment="1">
      <alignment horizontal="center" vertical="center"/>
    </xf>
    <xf numFmtId="3" fontId="14" fillId="0" borderId="228" xfId="37" applyNumberFormat="1" applyFont="1" applyBorder="1" applyAlignment="1">
      <alignment horizontal="center" vertical="center"/>
    </xf>
    <xf numFmtId="38" fontId="4" fillId="0" borderId="217" xfId="37" applyNumberFormat="1" applyBorder="1" applyAlignment="1">
      <alignment horizontal="center" vertical="center"/>
    </xf>
    <xf numFmtId="38" fontId="25" fillId="10" borderId="217" xfId="37" applyNumberFormat="1" applyFont="1" applyFill="1" applyBorder="1" applyAlignment="1" applyProtection="1">
      <alignment horizontal="center" vertical="center"/>
      <protection locked="0"/>
    </xf>
    <xf numFmtId="38" fontId="25" fillId="13" borderId="217" xfId="37" applyNumberFormat="1" applyFont="1" applyFill="1" applyBorder="1" applyAlignment="1">
      <alignment horizontal="center" vertical="center"/>
    </xf>
    <xf numFmtId="0" fontId="25" fillId="13" borderId="217" xfId="37" applyFont="1" applyFill="1" applyBorder="1" applyAlignment="1">
      <alignment horizontal="center" vertical="center"/>
    </xf>
    <xf numFmtId="38" fontId="25" fillId="5" borderId="226" xfId="37" applyNumberFormat="1" applyFont="1" applyFill="1" applyBorder="1" applyAlignment="1" applyProtection="1">
      <alignment horizontal="center" vertical="center"/>
      <protection locked="0"/>
    </xf>
    <xf numFmtId="38" fontId="25" fillId="13" borderId="226" xfId="37" applyNumberFormat="1" applyFont="1" applyFill="1" applyBorder="1" applyAlignment="1">
      <alignment horizontal="center" vertical="center"/>
    </xf>
    <xf numFmtId="38" fontId="25" fillId="5" borderId="225" xfId="37" applyNumberFormat="1" applyFont="1" applyFill="1" applyBorder="1" applyAlignment="1" applyProtection="1">
      <alignment horizontal="center" vertical="center"/>
      <protection locked="0"/>
    </xf>
    <xf numFmtId="38" fontId="25" fillId="13" borderId="225" xfId="37" applyNumberFormat="1" applyFont="1" applyFill="1" applyBorder="1" applyAlignment="1">
      <alignment horizontal="center" vertical="center"/>
    </xf>
    <xf numFmtId="38" fontId="25" fillId="5" borderId="217" xfId="37" applyNumberFormat="1" applyFont="1" applyFill="1" applyBorder="1" applyAlignment="1" applyProtection="1">
      <alignment horizontal="center" vertical="center"/>
      <protection locked="0"/>
    </xf>
    <xf numFmtId="38" fontId="25" fillId="0" borderId="220" xfId="37" applyNumberFormat="1" applyFont="1" applyBorder="1" applyAlignment="1">
      <alignment horizontal="center" vertical="center"/>
    </xf>
    <xf numFmtId="2" fontId="25" fillId="0" borderId="225" xfId="37" applyNumberFormat="1" applyFont="1" applyBorder="1" applyAlignment="1">
      <alignment horizontal="center" vertical="center"/>
    </xf>
    <xf numFmtId="0" fontId="25" fillId="0" borderId="225" xfId="37" applyFont="1" applyBorder="1" applyAlignment="1">
      <alignment horizontal="center" vertical="center"/>
    </xf>
    <xf numFmtId="38" fontId="10" fillId="0" borderId="217" xfId="37" applyNumberFormat="1" applyFont="1" applyBorder="1" applyAlignment="1">
      <alignment horizontal="center" vertical="center"/>
    </xf>
    <xf numFmtId="0" fontId="25" fillId="5" borderId="217" xfId="37" applyFont="1" applyFill="1" applyBorder="1" applyAlignment="1" applyProtection="1">
      <alignment horizontal="center" vertical="center"/>
      <protection locked="0"/>
    </xf>
    <xf numFmtId="181" fontId="25" fillId="5" borderId="217" xfId="37" applyNumberFormat="1" applyFont="1" applyFill="1" applyBorder="1" applyAlignment="1" applyProtection="1">
      <alignment horizontal="center" vertical="center"/>
      <protection locked="0"/>
    </xf>
    <xf numFmtId="181" fontId="25" fillId="13" borderId="217" xfId="37" applyNumberFormat="1" applyFont="1" applyFill="1" applyBorder="1" applyAlignment="1">
      <alignment horizontal="center" vertical="center"/>
    </xf>
    <xf numFmtId="168" fontId="4" fillId="10" borderId="217" xfId="37" applyNumberFormat="1" applyFill="1" applyBorder="1" applyAlignment="1" applyProtection="1">
      <alignment vertical="center"/>
      <protection locked="0"/>
    </xf>
    <xf numFmtId="168" fontId="4" fillId="13" borderId="217" xfId="37" applyNumberFormat="1" applyFill="1" applyBorder="1" applyAlignment="1">
      <alignment vertical="center"/>
    </xf>
    <xf numFmtId="181" fontId="10" fillId="0" borderId="217" xfId="37" applyNumberFormat="1" applyFont="1" applyBorder="1" applyAlignment="1">
      <alignment horizontal="center" vertical="center"/>
    </xf>
    <xf numFmtId="0" fontId="39" fillId="0" borderId="217" xfId="33" applyFont="1" applyBorder="1" applyAlignment="1">
      <alignment horizontal="center" vertical="center"/>
    </xf>
    <xf numFmtId="38" fontId="25" fillId="13" borderId="226" xfId="37" applyNumberFormat="1" applyFont="1" applyFill="1" applyBorder="1" applyAlignment="1">
      <alignment horizontal="center" vertical="top"/>
    </xf>
    <xf numFmtId="0" fontId="5" fillId="0" borderId="226" xfId="33" applyFont="1" applyBorder="1" applyAlignment="1">
      <alignment horizontal="center" vertical="center"/>
    </xf>
    <xf numFmtId="38" fontId="10" fillId="0" borderId="225" xfId="37" applyNumberFormat="1" applyFont="1" applyBorder="1" applyAlignment="1">
      <alignment horizontal="center" vertical="center"/>
    </xf>
    <xf numFmtId="49" fontId="10" fillId="10" borderId="221" xfId="37" applyNumberFormat="1" applyFont="1" applyFill="1" applyBorder="1" applyAlignment="1" applyProtection="1">
      <alignment horizontal="center" vertical="top" wrapText="1"/>
      <protection locked="0"/>
    </xf>
    <xf numFmtId="49" fontId="14" fillId="10" borderId="22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181" fontId="10" fillId="0" borderId="229" xfId="37" applyNumberFormat="1" applyFont="1" applyBorder="1" applyAlignment="1">
      <alignment horizontal="center" vertical="center"/>
    </xf>
    <xf numFmtId="181" fontId="10" fillId="0" borderId="228" xfId="37" applyNumberFormat="1" applyFont="1" applyBorder="1" applyAlignment="1">
      <alignment horizontal="center" vertical="center"/>
    </xf>
    <xf numFmtId="0" fontId="5" fillId="13" borderId="223" xfId="37" applyFont="1" applyFill="1" applyBorder="1" applyAlignment="1">
      <alignment vertical="top" wrapText="1"/>
    </xf>
    <xf numFmtId="38" fontId="9" fillId="0" borderId="217" xfId="37" applyNumberFormat="1" applyFont="1" applyBorder="1" applyAlignment="1">
      <alignment horizontal="center" vertical="center"/>
    </xf>
    <xf numFmtId="38" fontId="4" fillId="0" borderId="226" xfId="37" applyNumberFormat="1" applyBorder="1" applyAlignment="1">
      <alignment horizontal="center" vertical="center"/>
    </xf>
    <xf numFmtId="181" fontId="25" fillId="0" borderId="217" xfId="37" applyNumberFormat="1" applyFont="1" applyBorder="1" applyAlignment="1">
      <alignment horizontal="center" vertical="center"/>
    </xf>
    <xf numFmtId="0" fontId="9" fillId="0" borderId="219" xfId="37" applyFont="1" applyBorder="1" applyAlignment="1">
      <alignment horizontal="center" vertical="center"/>
    </xf>
    <xf numFmtId="0" fontId="4" fillId="0" borderId="223" xfId="37" applyBorder="1" applyAlignment="1">
      <alignment horizontal="center" vertical="center"/>
    </xf>
    <xf numFmtId="188" fontId="10" fillId="10" borderId="221" xfId="37" applyNumberFormat="1" applyFont="1" applyFill="1" applyBorder="1" applyAlignment="1" applyProtection="1">
      <alignment horizontal="center" vertical="center"/>
      <protection locked="0"/>
    </xf>
    <xf numFmtId="38" fontId="253" fillId="0" borderId="229" xfId="37" applyNumberFormat="1" applyFont="1" applyBorder="1" applyAlignment="1">
      <alignment horizontal="center" vertical="center" wrapText="1"/>
    </xf>
    <xf numFmtId="38" fontId="258" fillId="0" borderId="258" xfId="37" applyNumberFormat="1" applyFont="1" applyBorder="1" applyAlignment="1">
      <alignment horizontal="center" vertical="center" wrapText="1"/>
    </xf>
    <xf numFmtId="38" fontId="258" fillId="0" borderId="228" xfId="37" applyNumberFormat="1" applyFont="1" applyBorder="1" applyAlignment="1">
      <alignment horizontal="center" vertical="center" wrapText="1"/>
    </xf>
    <xf numFmtId="38" fontId="258" fillId="0" borderId="229" xfId="37" applyNumberFormat="1" applyFont="1" applyBorder="1" applyAlignment="1">
      <alignment horizontal="center" vertical="center" wrapText="1"/>
    </xf>
    <xf numFmtId="10" fontId="25" fillId="0" borderId="220" xfId="37" applyNumberFormat="1" applyFont="1" applyBorder="1" applyAlignment="1">
      <alignment vertical="center"/>
    </xf>
    <xf numFmtId="10" fontId="25" fillId="0" borderId="219" xfId="37" applyNumberFormat="1" applyFont="1" applyBorder="1" applyAlignment="1">
      <alignment vertical="center"/>
    </xf>
    <xf numFmtId="10" fontId="14" fillId="0" borderId="241" xfId="37" applyNumberFormat="1" applyFont="1" applyBorder="1" applyAlignment="1">
      <alignment horizontal="center" vertical="center"/>
    </xf>
    <xf numFmtId="0" fontId="14" fillId="0" borderId="241" xfId="37" applyFont="1" applyBorder="1" applyAlignment="1">
      <alignment horizontal="center" vertical="center"/>
    </xf>
    <xf numFmtId="0" fontId="9" fillId="35" borderId="217" xfId="0" applyFont="1" applyFill="1" applyBorder="1" applyAlignment="1">
      <alignment horizontal="center" vertical="center" wrapText="1"/>
    </xf>
    <xf numFmtId="0" fontId="0" fillId="0" borderId="217" xfId="0" applyBorder="1" applyAlignment="1">
      <alignment wrapText="1"/>
    </xf>
    <xf numFmtId="0" fontId="71" fillId="0" borderId="224" xfId="33" applyFont="1" applyBorder="1" applyAlignment="1">
      <alignment horizontal="left" vertical="center"/>
    </xf>
    <xf numFmtId="0" fontId="71" fillId="0" borderId="215" xfId="33" applyFont="1" applyBorder="1" applyAlignment="1">
      <alignment vertical="center"/>
    </xf>
    <xf numFmtId="0" fontId="206" fillId="0" borderId="216" xfId="33" applyFont="1" applyBorder="1" applyAlignment="1">
      <alignment vertical="center"/>
    </xf>
    <xf numFmtId="0" fontId="206" fillId="0" borderId="217" xfId="33" applyFont="1" applyBorder="1" applyAlignment="1">
      <alignment horizontal="center" vertical="center"/>
    </xf>
    <xf numFmtId="0" fontId="206" fillId="0" borderId="220" xfId="33" applyFont="1" applyBorder="1" applyAlignment="1">
      <alignment vertical="center"/>
    </xf>
    <xf numFmtId="0" fontId="206" fillId="0" borderId="220" xfId="33" applyFont="1" applyBorder="1" applyAlignment="1">
      <alignment horizontal="center" vertical="center"/>
    </xf>
    <xf numFmtId="164" fontId="206" fillId="0" borderId="220" xfId="34" applyNumberFormat="1" applyFont="1" applyBorder="1" applyAlignment="1">
      <alignment horizontal="center" vertical="center"/>
    </xf>
    <xf numFmtId="0" fontId="208" fillId="0" borderId="220" xfId="33" applyFont="1" applyBorder="1" applyAlignment="1">
      <alignment vertical="center"/>
    </xf>
    <xf numFmtId="0" fontId="206" fillId="0" borderId="226" xfId="33" applyFont="1" applyBorder="1" applyAlignment="1">
      <alignment horizontal="center" vertical="center"/>
    </xf>
    <xf numFmtId="0" fontId="206" fillId="0" borderId="215" xfId="33" applyFont="1" applyBorder="1" applyAlignment="1">
      <alignment vertical="center"/>
    </xf>
    <xf numFmtId="0" fontId="206" fillId="0" borderId="239" xfId="33" applyFont="1" applyBorder="1" applyAlignment="1">
      <alignment vertical="center"/>
    </xf>
    <xf numFmtId="182" fontId="212" fillId="10" borderId="264" xfId="33" applyNumberFormat="1" applyFont="1" applyFill="1" applyBorder="1" applyAlignment="1" applyProtection="1">
      <alignment horizontal="center" vertical="center"/>
      <protection locked="0"/>
    </xf>
    <xf numFmtId="182" fontId="212" fillId="10" borderId="225" xfId="33" applyNumberFormat="1" applyFont="1" applyFill="1" applyBorder="1" applyAlignment="1" applyProtection="1">
      <alignment horizontal="center" vertical="center"/>
      <protection locked="0"/>
    </xf>
    <xf numFmtId="183" fontId="212" fillId="10" borderId="225" xfId="33" applyNumberFormat="1" applyFont="1" applyFill="1" applyBorder="1" applyAlignment="1" applyProtection="1">
      <alignment horizontal="center" vertical="center"/>
      <protection locked="0"/>
    </xf>
    <xf numFmtId="184" fontId="212" fillId="28" borderId="225" xfId="33" applyNumberFormat="1" applyFont="1" applyFill="1" applyBorder="1" applyAlignment="1">
      <alignment horizontal="center" vertical="center"/>
    </xf>
    <xf numFmtId="182" fontId="212" fillId="28" borderId="225" xfId="33" applyNumberFormat="1" applyFont="1" applyFill="1" applyBorder="1" applyAlignment="1">
      <alignment horizontal="center" vertical="center"/>
    </xf>
    <xf numFmtId="164" fontId="212" fillId="28" borderId="225" xfId="34" applyNumberFormat="1" applyFont="1" applyFill="1" applyBorder="1" applyAlignment="1">
      <alignment horizontal="center" vertical="center"/>
    </xf>
    <xf numFmtId="0" fontId="206" fillId="0" borderId="215" xfId="33" applyFont="1" applyBorder="1" applyAlignment="1">
      <alignment horizontal="right" vertical="center"/>
    </xf>
    <xf numFmtId="0" fontId="208" fillId="0" borderId="265" xfId="33" applyFont="1" applyBorder="1" applyAlignment="1">
      <alignment horizontal="right"/>
    </xf>
    <xf numFmtId="164" fontId="206" fillId="28" borderId="265" xfId="34" applyNumberFormat="1" applyFont="1" applyFill="1" applyBorder="1" applyAlignment="1">
      <alignment horizontal="center" vertical="center"/>
    </xf>
    <xf numFmtId="164" fontId="206" fillId="28" borderId="266" xfId="34" applyNumberFormat="1" applyFont="1" applyFill="1" applyBorder="1" applyAlignment="1">
      <alignment horizontal="center" vertical="center"/>
    </xf>
    <xf numFmtId="164" fontId="208" fillId="29" borderId="238" xfId="34" applyNumberFormat="1" applyFont="1" applyFill="1" applyBorder="1" applyAlignment="1">
      <alignment horizontal="center" vertical="center"/>
    </xf>
    <xf numFmtId="0" fontId="206" fillId="0" borderId="224" xfId="33" applyFont="1" applyBorder="1"/>
    <xf numFmtId="0" fontId="206" fillId="0" borderId="216" xfId="33" applyFont="1" applyBorder="1"/>
    <xf numFmtId="0" fontId="84" fillId="0" borderId="217" xfId="33" applyFont="1" applyBorder="1" applyAlignment="1">
      <alignment horizontal="center" wrapText="1"/>
    </xf>
    <xf numFmtId="182" fontId="206" fillId="28" borderId="225" xfId="33" applyNumberFormat="1" applyFont="1" applyFill="1" applyBorder="1" applyAlignment="1">
      <alignment horizontal="center" vertical="center"/>
    </xf>
    <xf numFmtId="0" fontId="206" fillId="28" borderId="225" xfId="33" applyFont="1" applyFill="1" applyBorder="1" applyAlignment="1">
      <alignment horizontal="center"/>
    </xf>
    <xf numFmtId="0" fontId="208" fillId="0" borderId="259" xfId="33" applyFont="1" applyBorder="1" applyAlignment="1">
      <alignment horizontal="center"/>
    </xf>
    <xf numFmtId="182" fontId="206" fillId="0" borderId="239" xfId="33" applyNumberFormat="1" applyFont="1" applyBorder="1" applyAlignment="1">
      <alignment horizontal="center"/>
    </xf>
    <xf numFmtId="0" fontId="208" fillId="0" borderId="239" xfId="33" applyFont="1" applyBorder="1" applyAlignment="1">
      <alignment horizontal="center"/>
    </xf>
    <xf numFmtId="0" fontId="208" fillId="0" borderId="239" xfId="33" applyFont="1" applyBorder="1"/>
    <xf numFmtId="0" fontId="208" fillId="0" borderId="239" xfId="33" applyFont="1" applyBorder="1" applyAlignment="1">
      <alignment horizontal="right"/>
    </xf>
    <xf numFmtId="164" fontId="208" fillId="29" borderId="238" xfId="34" applyNumberFormat="1" applyFont="1" applyFill="1" applyBorder="1" applyAlignment="1">
      <alignment horizontal="center"/>
    </xf>
    <xf numFmtId="0" fontId="206" fillId="0" borderId="268" xfId="33" applyFont="1" applyBorder="1" applyAlignment="1">
      <alignment horizontal="center"/>
    </xf>
    <xf numFmtId="0" fontId="206" fillId="0" borderId="215" xfId="33" applyFont="1" applyBorder="1"/>
    <xf numFmtId="164" fontId="206" fillId="28" borderId="266" xfId="34" applyNumberFormat="1" applyFont="1" applyFill="1" applyBorder="1"/>
    <xf numFmtId="164" fontId="206" fillId="28" borderId="265" xfId="34" applyNumberFormat="1" applyFont="1" applyFill="1" applyBorder="1"/>
    <xf numFmtId="0" fontId="206" fillId="0" borderId="259" xfId="33" applyFont="1" applyBorder="1" applyAlignment="1">
      <alignment horizontal="center"/>
    </xf>
    <xf numFmtId="0" fontId="206" fillId="0" borderId="239" xfId="33" applyFont="1" applyBorder="1"/>
    <xf numFmtId="0" fontId="39" fillId="0" borderId="217" xfId="0" applyFont="1" applyBorder="1" applyAlignment="1">
      <alignment horizontal="center" vertical="center"/>
    </xf>
    <xf numFmtId="3" fontId="39" fillId="0" borderId="217" xfId="10" applyNumberFormat="1" applyFont="1" applyFill="1" applyBorder="1" applyAlignment="1" applyProtection="1">
      <alignment horizontal="center" vertical="center"/>
    </xf>
    <xf numFmtId="9" fontId="39" fillId="0" borderId="217"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217" xfId="10" applyNumberFormat="1" applyFont="1" applyFill="1" applyBorder="1" applyAlignment="1" applyProtection="1">
      <alignment horizontal="center" vertical="center"/>
    </xf>
    <xf numFmtId="3" fontId="39" fillId="0" borderId="217" xfId="10" applyNumberFormat="1" applyFont="1" applyBorder="1" applyAlignment="1" applyProtection="1">
      <alignment horizontal="center" vertical="center"/>
    </xf>
    <xf numFmtId="9" fontId="39" fillId="20" borderId="217" xfId="10" applyFont="1" applyFill="1" applyBorder="1" applyAlignment="1" applyProtection="1">
      <alignment horizontal="center" vertical="center"/>
    </xf>
    <xf numFmtId="37" fontId="39" fillId="0" borderId="225" xfId="1" applyNumberFormat="1" applyFont="1" applyFill="1" applyBorder="1" applyAlignment="1" applyProtection="1">
      <alignment horizontal="center" vertical="center"/>
    </xf>
    <xf numFmtId="0" fontId="39" fillId="0" borderId="225" xfId="0" applyFont="1" applyBorder="1" applyAlignment="1">
      <alignment horizontal="center" vertical="center"/>
    </xf>
    <xf numFmtId="9" fontId="39" fillId="0" borderId="225" xfId="10" applyFont="1" applyBorder="1" applyAlignment="1" applyProtection="1">
      <alignment horizontal="center" vertical="center"/>
    </xf>
    <xf numFmtId="9" fontId="39" fillId="0" borderId="225" xfId="10" applyFont="1" applyFill="1" applyBorder="1" applyAlignment="1" applyProtection="1">
      <alignment horizontal="center" vertical="center"/>
    </xf>
    <xf numFmtId="0" fontId="39" fillId="20" borderId="217" xfId="0" applyFont="1" applyFill="1" applyBorder="1" applyAlignment="1">
      <alignment horizontal="center" vertical="center"/>
    </xf>
    <xf numFmtId="1" fontId="39" fillId="20" borderId="217" xfId="10" applyNumberFormat="1" applyFont="1" applyFill="1" applyBorder="1" applyAlignment="1" applyProtection="1">
      <alignment horizontal="center" vertical="center"/>
    </xf>
    <xf numFmtId="0" fontId="47" fillId="0" borderId="217" xfId="0" applyFont="1" applyBorder="1" applyAlignment="1">
      <alignment horizontal="center" vertical="top" wrapText="1"/>
    </xf>
    <xf numFmtId="9" fontId="47" fillId="0" borderId="217" xfId="0" applyNumberFormat="1" applyFont="1" applyBorder="1" applyAlignment="1">
      <alignment horizontal="center" vertical="center" wrapText="1"/>
    </xf>
    <xf numFmtId="0" fontId="47" fillId="0" borderId="217" xfId="0" applyFont="1" applyBorder="1" applyAlignment="1">
      <alignment horizontal="center" vertical="center" wrapText="1"/>
    </xf>
    <xf numFmtId="0" fontId="177" fillId="32" borderId="217" xfId="0" applyFont="1" applyFill="1" applyBorder="1" applyAlignment="1">
      <alignment horizontal="center" vertical="center"/>
    </xf>
    <xf numFmtId="0" fontId="39" fillId="5" borderId="220" xfId="0" applyFont="1" applyFill="1" applyBorder="1" applyAlignment="1">
      <alignment horizontal="left"/>
    </xf>
    <xf numFmtId="0" fontId="39" fillId="5" borderId="219" xfId="0" applyFont="1" applyFill="1" applyBorder="1" applyAlignment="1">
      <alignment horizontal="left"/>
    </xf>
    <xf numFmtId="0" fontId="39" fillId="5" borderId="218" xfId="0" applyFont="1" applyFill="1" applyBorder="1" applyAlignment="1">
      <alignment horizontal="left"/>
    </xf>
    <xf numFmtId="0" fontId="4" fillId="0" borderId="218" xfId="0" applyFont="1" applyBorder="1"/>
    <xf numFmtId="0" fontId="11" fillId="0" borderId="220" xfId="0" applyFont="1" applyBorder="1" applyAlignment="1">
      <alignment horizontal="right" vertical="center"/>
    </xf>
    <xf numFmtId="0" fontId="87" fillId="0" borderId="220" xfId="0" applyFont="1" applyBorder="1" applyAlignment="1">
      <alignment vertical="center"/>
    </xf>
    <xf numFmtId="0" fontId="11" fillId="0" borderId="220" xfId="0" applyFont="1" applyBorder="1" applyAlignment="1">
      <alignment horizontal="center" vertical="center"/>
    </xf>
    <xf numFmtId="0" fontId="4" fillId="0" borderId="219" xfId="0" applyFont="1" applyBorder="1"/>
    <xf numFmtId="1" fontId="15" fillId="5" borderId="217" xfId="0" applyNumberFormat="1" applyFont="1" applyFill="1" applyBorder="1" applyAlignment="1" applyProtection="1">
      <alignment horizontal="center" vertical="center"/>
      <protection locked="0"/>
    </xf>
    <xf numFmtId="1" fontId="15" fillId="13" borderId="217" xfId="0" applyNumberFormat="1" applyFont="1" applyFill="1" applyBorder="1" applyAlignment="1">
      <alignment horizontal="center" vertical="center"/>
    </xf>
    <xf numFmtId="0" fontId="15" fillId="5" borderId="225" xfId="0" applyFont="1" applyFill="1" applyBorder="1" applyAlignment="1" applyProtection="1">
      <alignment horizontal="center" vertical="center"/>
      <protection locked="0"/>
    </xf>
    <xf numFmtId="0" fontId="15" fillId="13" borderId="225" xfId="0" applyFont="1" applyFill="1" applyBorder="1" applyAlignment="1">
      <alignment horizontal="center" vertical="center"/>
    </xf>
    <xf numFmtId="0" fontId="15" fillId="5" borderId="217" xfId="0" applyFont="1" applyFill="1" applyBorder="1" applyAlignment="1" applyProtection="1">
      <alignment horizontal="center" vertical="center"/>
      <protection locked="0"/>
    </xf>
    <xf numFmtId="0" fontId="15" fillId="13" borderId="217" xfId="0" applyFont="1" applyFill="1" applyBorder="1" applyAlignment="1">
      <alignment horizontal="center" vertical="center"/>
    </xf>
    <xf numFmtId="10" fontId="15" fillId="5" borderId="217" xfId="0" applyNumberFormat="1" applyFont="1" applyFill="1" applyBorder="1" applyAlignment="1" applyProtection="1">
      <alignment horizontal="center" vertical="center"/>
      <protection locked="0"/>
    </xf>
    <xf numFmtId="10" fontId="15" fillId="13" borderId="217" xfId="0" applyNumberFormat="1" applyFont="1" applyFill="1" applyBorder="1" applyAlignment="1">
      <alignment horizontal="center" vertical="center"/>
    </xf>
    <xf numFmtId="10" fontId="15" fillId="0" borderId="215" xfId="0" applyNumberFormat="1" applyFont="1" applyBorder="1" applyAlignment="1">
      <alignment vertical="center"/>
    </xf>
    <xf numFmtId="10" fontId="5" fillId="0" borderId="216" xfId="0" applyNumberFormat="1" applyFont="1" applyBorder="1" applyAlignment="1">
      <alignment horizontal="right" vertical="center"/>
    </xf>
    <xf numFmtId="0" fontId="15" fillId="5" borderId="221" xfId="0" applyFont="1" applyFill="1" applyBorder="1" applyAlignment="1" applyProtection="1">
      <alignment horizontal="center" vertical="center"/>
      <protection locked="0"/>
    </xf>
    <xf numFmtId="0" fontId="15" fillId="13" borderId="226" xfId="0" applyFont="1" applyFill="1" applyBorder="1" applyAlignment="1">
      <alignment horizontal="center" vertical="center"/>
    </xf>
    <xf numFmtId="175" fontId="5" fillId="10" borderId="217" xfId="0" applyNumberFormat="1" applyFont="1" applyFill="1" applyBorder="1" applyAlignment="1" applyProtection="1">
      <alignment horizontal="center" vertical="center"/>
      <protection locked="0"/>
    </xf>
    <xf numFmtId="175" fontId="5" fillId="13" borderId="217" xfId="0" applyNumberFormat="1" applyFont="1" applyFill="1" applyBorder="1" applyAlignment="1">
      <alignment horizontal="center" vertical="center"/>
    </xf>
    <xf numFmtId="0" fontId="5" fillId="0" borderId="215" xfId="0" applyFont="1" applyBorder="1" applyAlignment="1">
      <alignment horizontal="left" vertical="center" wrapText="1"/>
    </xf>
    <xf numFmtId="0" fontId="4" fillId="0" borderId="215" xfId="0" applyFont="1" applyBorder="1"/>
    <xf numFmtId="0" fontId="5" fillId="0" borderId="216" xfId="0" applyFont="1" applyBorder="1" applyAlignment="1">
      <alignment horizontal="right" vertical="center"/>
    </xf>
    <xf numFmtId="0" fontId="15" fillId="5" borderId="225" xfId="0" applyFont="1" applyFill="1" applyBorder="1" applyAlignment="1" applyProtection="1">
      <alignment horizontal="center" vertical="top"/>
      <protection locked="0"/>
    </xf>
    <xf numFmtId="0" fontId="15" fillId="13" borderId="225" xfId="0" applyFont="1" applyFill="1" applyBorder="1" applyAlignment="1">
      <alignment horizontal="center" vertical="top"/>
    </xf>
    <xf numFmtId="0" fontId="15" fillId="13" borderId="228" xfId="0" applyFont="1" applyFill="1" applyBorder="1" applyAlignment="1">
      <alignment horizontal="center" vertical="center"/>
    </xf>
    <xf numFmtId="4" fontId="38" fillId="5" borderId="228" xfId="0" applyNumberFormat="1" applyFont="1" applyFill="1" applyBorder="1" applyAlignment="1" applyProtection="1">
      <alignment horizontal="center" vertical="top" wrapText="1"/>
      <protection locked="0"/>
    </xf>
    <xf numFmtId="0" fontId="5" fillId="0" borderId="215" xfId="0" applyFont="1" applyBorder="1" applyAlignment="1">
      <alignment vertical="center"/>
    </xf>
    <xf numFmtId="0" fontId="5" fillId="0" borderId="215" xfId="0" applyFont="1" applyBorder="1" applyAlignment="1">
      <alignment vertical="center" wrapText="1"/>
    </xf>
    <xf numFmtId="0" fontId="15" fillId="5" borderId="217" xfId="0" applyFont="1" applyFill="1" applyBorder="1" applyAlignment="1" applyProtection="1">
      <alignment horizontal="center" vertical="top"/>
      <protection locked="0"/>
    </xf>
    <xf numFmtId="0" fontId="15" fillId="13" borderId="217" xfId="0" applyFont="1" applyFill="1" applyBorder="1" applyAlignment="1">
      <alignment horizontal="center" vertical="top"/>
    </xf>
    <xf numFmtId="3" fontId="5" fillId="5" borderId="225" xfId="1" applyNumberFormat="1" applyFont="1" applyFill="1" applyBorder="1" applyAlignment="1" applyProtection="1">
      <alignment horizontal="center" vertical="center"/>
      <protection locked="0"/>
    </xf>
    <xf numFmtId="1" fontId="87" fillId="0" borderId="225" xfId="0" applyNumberFormat="1" applyFont="1" applyBorder="1" applyAlignment="1">
      <alignment horizontal="center" vertical="center"/>
    </xf>
    <xf numFmtId="3" fontId="5" fillId="5" borderId="217" xfId="1" applyNumberFormat="1" applyFont="1" applyFill="1" applyBorder="1" applyAlignment="1" applyProtection="1">
      <alignment horizontal="center" vertical="center"/>
      <protection locked="0"/>
    </xf>
    <xf numFmtId="1" fontId="87" fillId="0" borderId="217" xfId="0" applyNumberFormat="1" applyFont="1" applyBorder="1" applyAlignment="1">
      <alignment horizontal="center" vertical="center"/>
    </xf>
    <xf numFmtId="0" fontId="4" fillId="0" borderId="216" xfId="0" applyFont="1" applyBorder="1"/>
    <xf numFmtId="10" fontId="87" fillId="0" borderId="217" xfId="0" applyNumberFormat="1" applyFont="1" applyBorder="1" applyAlignment="1">
      <alignment horizontal="center" vertical="center"/>
    </xf>
    <xf numFmtId="38" fontId="15" fillId="10" borderId="217" xfId="0" applyNumberFormat="1" applyFont="1" applyFill="1" applyBorder="1" applyAlignment="1" applyProtection="1">
      <alignment horizontal="left" vertical="center"/>
      <protection locked="0"/>
    </xf>
    <xf numFmtId="0" fontId="15" fillId="5" borderId="226" xfId="0" applyFont="1" applyFill="1" applyBorder="1" applyAlignment="1" applyProtection="1">
      <alignment horizontal="center" vertical="center"/>
      <protection locked="0"/>
    </xf>
    <xf numFmtId="0" fontId="11" fillId="5" borderId="225" xfId="0" applyFont="1" applyFill="1" applyBorder="1" applyAlignment="1" applyProtection="1">
      <alignment horizontal="center" vertical="center"/>
      <protection locked="0"/>
    </xf>
    <xf numFmtId="0" fontId="14" fillId="13" borderId="225" xfId="0" applyFont="1" applyFill="1" applyBorder="1" applyAlignment="1">
      <alignment horizontal="center" vertical="center"/>
    </xf>
    <xf numFmtId="3" fontId="5" fillId="5" borderId="231" xfId="1" applyNumberFormat="1" applyFont="1" applyFill="1" applyBorder="1" applyAlignment="1" applyProtection="1">
      <alignment horizontal="center" vertical="center"/>
      <protection locked="0"/>
    </xf>
    <xf numFmtId="3" fontId="5" fillId="13" borderId="231" xfId="1" applyNumberFormat="1" applyFont="1" applyFill="1" applyBorder="1" applyAlignment="1" applyProtection="1">
      <alignment horizontal="center" vertical="center"/>
    </xf>
    <xf numFmtId="0" fontId="15" fillId="13" borderId="217" xfId="0" applyFont="1" applyFill="1" applyBorder="1" applyAlignment="1">
      <alignment vertical="top"/>
    </xf>
    <xf numFmtId="0" fontId="9" fillId="0" borderId="224" xfId="0" applyFont="1" applyBorder="1" applyAlignment="1">
      <alignment horizontal="center" vertical="center"/>
    </xf>
    <xf numFmtId="0" fontId="9" fillId="0" borderId="226" xfId="0" applyFont="1" applyBorder="1" applyAlignment="1">
      <alignment horizontal="center" vertical="center"/>
    </xf>
    <xf numFmtId="0" fontId="39" fillId="0" borderId="215" xfId="0" applyFont="1" applyBorder="1" applyAlignment="1">
      <alignment vertical="top"/>
    </xf>
    <xf numFmtId="0" fontId="39" fillId="0" borderId="215" xfId="0" applyFont="1" applyBorder="1" applyAlignment="1">
      <alignment vertical="top" wrapText="1"/>
    </xf>
    <xf numFmtId="0" fontId="39" fillId="0" borderId="269" xfId="0" applyFont="1" applyBorder="1" applyAlignment="1">
      <alignment vertical="top" wrapText="1"/>
    </xf>
    <xf numFmtId="38" fontId="15" fillId="0" borderId="270" xfId="0" applyNumberFormat="1" applyFont="1" applyBorder="1" applyAlignment="1">
      <alignment horizontal="center" vertical="top" wrapText="1"/>
    </xf>
    <xf numFmtId="0" fontId="5" fillId="0" borderId="229" xfId="0" applyFont="1" applyBorder="1" applyAlignment="1">
      <alignment horizontal="center" vertical="center" wrapText="1"/>
    </xf>
    <xf numFmtId="0" fontId="5" fillId="0" borderId="228" xfId="0" applyFont="1" applyBorder="1" applyAlignment="1">
      <alignment horizontal="center" vertical="center" wrapText="1"/>
    </xf>
    <xf numFmtId="38" fontId="5" fillId="0" borderId="229" xfId="0" applyNumberFormat="1" applyFont="1" applyBorder="1" applyAlignment="1">
      <alignment horizontal="center" vertical="center" wrapText="1"/>
    </xf>
    <xf numFmtId="38" fontId="5" fillId="0" borderId="258" xfId="0" applyNumberFormat="1" applyFont="1" applyBorder="1" applyAlignment="1">
      <alignment horizontal="center" vertical="center" wrapText="1"/>
    </xf>
    <xf numFmtId="38" fontId="5" fillId="0" borderId="228" xfId="0" applyNumberFormat="1" applyFont="1" applyBorder="1" applyAlignment="1">
      <alignment horizontal="center" vertical="center" wrapText="1"/>
    </xf>
    <xf numFmtId="0" fontId="100" fillId="0" borderId="217" xfId="0" applyFont="1" applyBorder="1" applyAlignment="1">
      <alignment horizontal="center" vertical="center"/>
    </xf>
    <xf numFmtId="0" fontId="42" fillId="0" borderId="225" xfId="0" applyFont="1" applyBorder="1" applyAlignment="1">
      <alignment horizontal="center" vertical="center"/>
    </xf>
    <xf numFmtId="38" fontId="109" fillId="0" borderId="225" xfId="0" applyNumberFormat="1" applyFont="1" applyBorder="1" applyAlignment="1">
      <alignment horizontal="center" vertical="center" wrapText="1"/>
    </xf>
    <xf numFmtId="3" fontId="4" fillId="0" borderId="217" xfId="0" applyNumberFormat="1" applyFont="1" applyBorder="1" applyAlignment="1">
      <alignment horizontal="center" vertical="center"/>
    </xf>
    <xf numFmtId="3" fontId="9" fillId="0" borderId="225" xfId="0" applyNumberFormat="1" applyFont="1" applyBorder="1" applyAlignment="1">
      <alignment horizontal="center" vertical="center"/>
    </xf>
    <xf numFmtId="3" fontId="9" fillId="0" borderId="217" xfId="0" applyNumberFormat="1" applyFont="1" applyBorder="1" applyAlignment="1">
      <alignment horizontal="center" vertical="center"/>
    </xf>
    <xf numFmtId="0" fontId="9" fillId="0" borderId="217" xfId="0" applyFont="1" applyBorder="1" applyAlignment="1">
      <alignment horizontal="center" vertical="center"/>
    </xf>
    <xf numFmtId="0" fontId="9" fillId="13" borderId="228" xfId="0" applyFont="1" applyFill="1" applyBorder="1" applyAlignment="1">
      <alignment horizontal="center" vertical="top" wrapText="1"/>
    </xf>
    <xf numFmtId="0" fontId="15" fillId="0" borderId="228" xfId="0" applyFont="1" applyBorder="1" applyAlignment="1">
      <alignment horizontal="center" vertical="top" wrapText="1"/>
    </xf>
    <xf numFmtId="38" fontId="14" fillId="0" borderId="217" xfId="0" applyNumberFormat="1" applyFont="1" applyBorder="1" applyAlignment="1">
      <alignment horizontal="center" vertical="center"/>
    </xf>
    <xf numFmtId="40" fontId="101" fillId="0" borderId="217" xfId="0" applyNumberFormat="1" applyFont="1" applyBorder="1" applyAlignment="1">
      <alignment horizontal="center" vertical="center"/>
    </xf>
    <xf numFmtId="1" fontId="11" fillId="5" borderId="217" xfId="0" applyNumberFormat="1" applyFont="1" applyFill="1" applyBorder="1" applyAlignment="1" applyProtection="1">
      <alignment horizontal="center" vertical="center"/>
      <protection locked="0"/>
    </xf>
    <xf numFmtId="1" fontId="11" fillId="13" borderId="217" xfId="0" applyNumberFormat="1" applyFont="1" applyFill="1" applyBorder="1" applyAlignment="1">
      <alignment horizontal="center" vertical="center"/>
    </xf>
    <xf numFmtId="10" fontId="152" fillId="0" borderId="217" xfId="0" applyNumberFormat="1" applyFont="1" applyBorder="1" applyAlignment="1">
      <alignment horizontal="center" vertical="center"/>
    </xf>
    <xf numFmtId="10" fontId="153" fillId="0" borderId="217" xfId="0" applyNumberFormat="1" applyFont="1" applyBorder="1" applyAlignment="1">
      <alignment horizontal="center" vertical="center"/>
    </xf>
    <xf numFmtId="38" fontId="14" fillId="0" borderId="225" xfId="0" applyNumberFormat="1" applyFont="1" applyBorder="1" applyAlignment="1">
      <alignment horizontal="center" vertical="center"/>
    </xf>
    <xf numFmtId="0" fontId="11" fillId="13" borderId="225" xfId="0" applyFont="1" applyFill="1" applyBorder="1" applyAlignment="1">
      <alignment horizontal="center" vertical="center"/>
    </xf>
    <xf numFmtId="168" fontId="39" fillId="10" borderId="217" xfId="0" applyNumberFormat="1" applyFont="1" applyFill="1" applyBorder="1" applyAlignment="1" applyProtection="1">
      <alignment vertical="center"/>
      <protection locked="0"/>
    </xf>
    <xf numFmtId="168" fontId="38" fillId="13" borderId="217" xfId="0" applyNumberFormat="1" applyFont="1" applyFill="1" applyBorder="1" applyAlignment="1">
      <alignment vertical="center"/>
    </xf>
    <xf numFmtId="181" fontId="4" fillId="0" borderId="217" xfId="0" applyNumberFormat="1" applyFont="1" applyBorder="1" applyAlignment="1">
      <alignment horizontal="center" vertical="center"/>
    </xf>
    <xf numFmtId="38" fontId="9" fillId="13" borderId="226" xfId="0" applyNumberFormat="1" applyFont="1" applyFill="1" applyBorder="1" applyAlignment="1">
      <alignment horizontal="center" vertical="top"/>
    </xf>
    <xf numFmtId="185" fontId="39" fillId="10" borderId="218" xfId="0" applyNumberFormat="1" applyFont="1" applyFill="1" applyBorder="1" applyAlignment="1" applyProtection="1">
      <alignment horizontal="center" vertical="center"/>
      <protection locked="0"/>
    </xf>
    <xf numFmtId="185" fontId="39" fillId="13" borderId="217" xfId="0" applyNumberFormat="1" applyFont="1" applyFill="1" applyBorder="1" applyAlignment="1">
      <alignment horizontal="center" vertical="center"/>
    </xf>
    <xf numFmtId="167" fontId="39" fillId="10" borderId="242" xfId="0" applyNumberFormat="1" applyFont="1" applyFill="1" applyBorder="1" applyAlignment="1" applyProtection="1">
      <alignment vertical="top" wrapText="1"/>
      <protection locked="0"/>
    </xf>
    <xf numFmtId="38" fontId="4" fillId="0" borderId="217" xfId="0" applyNumberFormat="1" applyFont="1" applyBorder="1" applyAlignment="1">
      <alignment horizontal="center" vertical="center"/>
    </xf>
    <xf numFmtId="0" fontId="5" fillId="0" borderId="226" xfId="0" applyFont="1" applyBorder="1" applyAlignment="1">
      <alignment horizontal="center" vertical="center"/>
    </xf>
    <xf numFmtId="38" fontId="11" fillId="0" borderId="217" xfId="0" applyNumberFormat="1" applyFont="1" applyBorder="1" applyAlignment="1">
      <alignment horizontal="center" vertical="center"/>
    </xf>
    <xf numFmtId="38" fontId="11" fillId="5" borderId="217" xfId="0" applyNumberFormat="1" applyFont="1" applyFill="1" applyBorder="1" applyAlignment="1" applyProtection="1">
      <alignment horizontal="center" vertical="center"/>
      <protection locked="0"/>
    </xf>
    <xf numFmtId="38" fontId="11" fillId="13" borderId="217" xfId="0" applyNumberFormat="1" applyFont="1" applyFill="1" applyBorder="1" applyAlignment="1">
      <alignment horizontal="center" vertical="center"/>
    </xf>
    <xf numFmtId="38" fontId="11" fillId="5" borderId="225" xfId="0" applyNumberFormat="1" applyFont="1" applyFill="1" applyBorder="1" applyAlignment="1" applyProtection="1">
      <alignment horizontal="center" vertical="center"/>
      <protection locked="0"/>
    </xf>
    <xf numFmtId="38" fontId="11" fillId="13" borderId="225" xfId="0" applyNumberFormat="1" applyFont="1" applyFill="1" applyBorder="1" applyAlignment="1">
      <alignment horizontal="center" vertical="center"/>
    </xf>
    <xf numFmtId="38" fontId="9" fillId="5" borderId="217" xfId="0" applyNumberFormat="1" applyFont="1" applyFill="1" applyBorder="1" applyAlignment="1" applyProtection="1">
      <alignment horizontal="center" vertical="center"/>
      <protection locked="0"/>
    </xf>
    <xf numFmtId="38" fontId="9" fillId="13" borderId="217" xfId="0" applyNumberFormat="1" applyFont="1" applyFill="1" applyBorder="1" applyAlignment="1">
      <alignment horizontal="center" vertical="center"/>
    </xf>
    <xf numFmtId="10" fontId="14" fillId="17" borderId="225" xfId="0" applyNumberFormat="1" applyFont="1" applyFill="1" applyBorder="1" applyAlignment="1">
      <alignment horizontal="center" vertical="center"/>
    </xf>
    <xf numFmtId="10" fontId="15" fillId="0" borderId="217" xfId="0" applyNumberFormat="1" applyFont="1" applyBorder="1" applyAlignment="1">
      <alignment horizontal="center" vertical="center"/>
    </xf>
    <xf numFmtId="38" fontId="9" fillId="5" borderId="225" xfId="0" applyNumberFormat="1" applyFont="1" applyFill="1" applyBorder="1" applyAlignment="1" applyProtection="1">
      <alignment horizontal="center" vertical="center"/>
      <protection locked="0"/>
    </xf>
    <xf numFmtId="38" fontId="9" fillId="13" borderId="225" xfId="0" applyNumberFormat="1" applyFont="1" applyFill="1" applyBorder="1" applyAlignment="1">
      <alignment horizontal="center" vertical="center"/>
    </xf>
    <xf numFmtId="0" fontId="5" fillId="5" borderId="225" xfId="0" applyFont="1" applyFill="1" applyBorder="1" applyAlignment="1" applyProtection="1">
      <alignment horizontal="center" vertical="center"/>
      <protection locked="0"/>
    </xf>
    <xf numFmtId="38" fontId="9" fillId="0" borderId="217" xfId="0" applyNumberFormat="1" applyFont="1" applyBorder="1" applyAlignment="1">
      <alignment horizontal="center" vertical="center"/>
    </xf>
    <xf numFmtId="0" fontId="9" fillId="13" borderId="217" xfId="0" applyFont="1" applyFill="1" applyBorder="1" applyAlignment="1">
      <alignment horizontal="center" vertical="center"/>
    </xf>
    <xf numFmtId="0" fontId="109" fillId="0" borderId="217" xfId="0" applyFont="1" applyBorder="1" applyAlignment="1">
      <alignment horizontal="center" vertical="center"/>
    </xf>
    <xf numFmtId="3" fontId="11" fillId="0" borderId="217" xfId="0" applyNumberFormat="1" applyFont="1" applyBorder="1" applyAlignment="1">
      <alignment horizontal="center" vertical="center"/>
    </xf>
    <xf numFmtId="38" fontId="9" fillId="13" borderId="217" xfId="0" applyNumberFormat="1" applyFont="1" applyFill="1" applyBorder="1" applyAlignment="1" applyProtection="1">
      <alignment horizontal="center" vertical="center"/>
      <protection locked="0"/>
    </xf>
    <xf numFmtId="3" fontId="142" fillId="0" borderId="217" xfId="0" applyNumberFormat="1" applyFont="1" applyBorder="1" applyAlignment="1">
      <alignment horizontal="center" vertical="center"/>
    </xf>
    <xf numFmtId="10" fontId="101" fillId="0" borderId="217" xfId="0" applyNumberFormat="1" applyFont="1" applyBorder="1" applyAlignment="1">
      <alignment horizontal="center" vertical="center"/>
    </xf>
    <xf numFmtId="38" fontId="9" fillId="0" borderId="220" xfId="0" applyNumberFormat="1" applyFont="1" applyBorder="1" applyAlignment="1">
      <alignment horizontal="center" vertical="center"/>
    </xf>
    <xf numFmtId="38" fontId="9" fillId="10" borderId="217" xfId="0" applyNumberFormat="1" applyFont="1" applyFill="1" applyBorder="1" applyAlignment="1" applyProtection="1">
      <alignment horizontal="center" vertical="center"/>
      <protection locked="0"/>
    </xf>
    <xf numFmtId="5" fontId="112" fillId="0" borderId="235" xfId="13" applyNumberFormat="1" applyFont="1" applyBorder="1"/>
    <xf numFmtId="0" fontId="112" fillId="0" borderId="215" xfId="13" applyFont="1" applyBorder="1" applyAlignment="1">
      <alignment vertical="center"/>
    </xf>
    <xf numFmtId="6" fontId="112" fillId="0" borderId="215" xfId="13" applyNumberFormat="1" applyFont="1" applyBorder="1" applyAlignment="1">
      <alignment vertical="center"/>
    </xf>
    <xf numFmtId="0" fontId="6" fillId="0" borderId="215" xfId="13" applyFont="1" applyBorder="1" applyAlignment="1">
      <alignment vertical="center"/>
    </xf>
    <xf numFmtId="6" fontId="6" fillId="0" borderId="215" xfId="13" applyNumberFormat="1" applyFont="1" applyBorder="1" applyAlignment="1">
      <alignment vertical="center"/>
    </xf>
    <xf numFmtId="0" fontId="10" fillId="0" borderId="218" xfId="13" applyFont="1" applyBorder="1" applyAlignment="1">
      <alignment vertical="center"/>
    </xf>
    <xf numFmtId="0" fontId="10" fillId="0" borderId="220" xfId="13" applyFont="1" applyBorder="1" applyAlignment="1">
      <alignment vertical="center"/>
    </xf>
    <xf numFmtId="0" fontId="25" fillId="0" borderId="220" xfId="13" applyFont="1" applyBorder="1" applyAlignment="1">
      <alignment horizontal="right" vertical="center"/>
    </xf>
    <xf numFmtId="3" fontId="9" fillId="0" borderId="215" xfId="13" applyNumberFormat="1" applyFont="1" applyBorder="1" applyAlignment="1">
      <alignment horizontal="center"/>
    </xf>
    <xf numFmtId="10" fontId="9" fillId="10" borderId="220" xfId="13" applyNumberFormat="1" applyFont="1" applyFill="1" applyBorder="1" applyAlignment="1">
      <alignment horizontal="left"/>
    </xf>
    <xf numFmtId="0" fontId="206" fillId="11" borderId="217" xfId="33" applyFont="1" applyFill="1" applyBorder="1" applyAlignment="1">
      <alignment horizontal="center" vertical="center"/>
    </xf>
    <xf numFmtId="0" fontId="206" fillId="11" borderId="226" xfId="33" applyFont="1" applyFill="1" applyBorder="1" applyAlignment="1">
      <alignment horizontal="center" vertical="center"/>
    </xf>
    <xf numFmtId="182" fontId="212" fillId="13" borderId="264" xfId="33" applyNumberFormat="1" applyFont="1" applyFill="1" applyBorder="1" applyAlignment="1" applyProtection="1">
      <alignment horizontal="center" vertical="center"/>
      <protection locked="0"/>
    </xf>
    <xf numFmtId="182" fontId="212" fillId="13" borderId="225" xfId="33" applyNumberFormat="1" applyFont="1" applyFill="1" applyBorder="1" applyAlignment="1" applyProtection="1">
      <alignment horizontal="center" vertical="center"/>
      <protection locked="0"/>
    </xf>
    <xf numFmtId="183" fontId="212" fillId="13" borderId="225" xfId="33" applyNumberFormat="1" applyFont="1" applyFill="1" applyBorder="1" applyAlignment="1" applyProtection="1">
      <alignment horizontal="center" vertical="center"/>
      <protection locked="0"/>
    </xf>
    <xf numFmtId="38" fontId="4" fillId="10" borderId="229" xfId="13" applyNumberFormat="1" applyFill="1" applyBorder="1" applyAlignment="1">
      <alignment horizontal="center" vertical="center"/>
    </xf>
    <xf numFmtId="38" fontId="4" fillId="10" borderId="228" xfId="13" applyNumberFormat="1" applyFill="1" applyBorder="1" applyAlignment="1">
      <alignment horizontal="center" vertical="center"/>
    </xf>
    <xf numFmtId="0" fontId="6" fillId="10" borderId="229" xfId="13" applyFont="1" applyFill="1" applyBorder="1" applyAlignment="1">
      <alignment horizontal="center" vertical="center" wrapText="1"/>
    </xf>
    <xf numFmtId="0" fontId="10" fillId="5" borderId="218" xfId="33" applyFont="1" applyFill="1" applyBorder="1" applyAlignment="1" applyProtection="1">
      <alignment horizontal="left" vertical="top" wrapText="1"/>
      <protection locked="0"/>
    </xf>
    <xf numFmtId="0" fontId="10" fillId="5" borderId="220" xfId="33" applyFont="1" applyFill="1" applyBorder="1" applyAlignment="1" applyProtection="1">
      <alignment horizontal="left" vertical="top" wrapText="1"/>
      <protection locked="0"/>
    </xf>
    <xf numFmtId="0" fontId="10" fillId="5" borderId="219" xfId="33" applyFont="1" applyFill="1" applyBorder="1" applyAlignment="1" applyProtection="1">
      <alignment horizontal="left" vertical="top" wrapText="1"/>
      <protection locked="0"/>
    </xf>
    <xf numFmtId="0" fontId="10" fillId="13" borderId="218" xfId="33" applyFont="1" applyFill="1" applyBorder="1" applyAlignment="1">
      <alignment horizontal="left" vertical="center" wrapText="1"/>
    </xf>
    <xf numFmtId="0" fontId="10" fillId="13" borderId="220" xfId="33" applyFont="1" applyFill="1" applyBorder="1" applyAlignment="1">
      <alignment horizontal="left" vertical="center" wrapText="1"/>
    </xf>
    <xf numFmtId="0" fontId="10" fillId="13" borderId="219" xfId="33" applyFont="1" applyFill="1" applyBorder="1" applyAlignment="1">
      <alignment horizontal="left" vertical="center" wrapText="1"/>
    </xf>
    <xf numFmtId="0" fontId="25" fillId="13" borderId="218" xfId="33" applyFont="1" applyFill="1" applyBorder="1" applyAlignment="1">
      <alignment horizontal="center" vertical="center"/>
    </xf>
    <xf numFmtId="0" fontId="25" fillId="13" borderId="219" xfId="33" applyFont="1" applyFill="1" applyBorder="1" applyAlignment="1">
      <alignment horizontal="center" vertical="center"/>
    </xf>
    <xf numFmtId="0" fontId="10" fillId="0" borderId="0" xfId="33" applyFont="1" applyAlignment="1">
      <alignment horizontal="left" vertical="center" wrapText="1"/>
    </xf>
    <xf numFmtId="0" fontId="10" fillId="0" borderId="5" xfId="33" applyFont="1" applyBorder="1" applyAlignment="1">
      <alignment horizontal="left" vertical="center" wrapText="1"/>
    </xf>
    <xf numFmtId="0" fontId="25" fillId="5" borderId="225" xfId="33" applyFont="1" applyFill="1" applyBorder="1" applyAlignment="1" applyProtection="1">
      <alignment horizontal="center" vertical="center"/>
      <protection locked="0"/>
    </xf>
    <xf numFmtId="0" fontId="10" fillId="0" borderId="0" xfId="33" applyFont="1" applyAlignment="1">
      <alignment horizontal="justify" vertical="top" wrapText="1"/>
    </xf>
    <xf numFmtId="0" fontId="10" fillId="0" borderId="5" xfId="33" applyFont="1" applyBorder="1" applyAlignment="1">
      <alignment horizontal="justify" vertical="top" wrapText="1"/>
    </xf>
    <xf numFmtId="0" fontId="25" fillId="5" borderId="13" xfId="33" applyFont="1" applyFill="1" applyBorder="1" applyAlignment="1" applyProtection="1">
      <alignment horizontal="center" vertical="top"/>
      <protection locked="0"/>
    </xf>
    <xf numFmtId="0" fontId="25" fillId="5" borderId="252" xfId="33" applyFont="1" applyFill="1" applyBorder="1" applyAlignment="1" applyProtection="1">
      <alignment horizontal="center" vertical="center"/>
      <protection locked="0"/>
    </xf>
    <xf numFmtId="0" fontId="25" fillId="13" borderId="217" xfId="33" applyFont="1" applyFill="1" applyBorder="1" applyAlignment="1">
      <alignment horizontal="center" vertical="center"/>
    </xf>
    <xf numFmtId="0" fontId="25" fillId="5" borderId="217" xfId="33" applyFont="1" applyFill="1" applyBorder="1" applyAlignment="1" applyProtection="1">
      <alignment horizontal="center" vertical="center"/>
      <protection locked="0"/>
    </xf>
    <xf numFmtId="0" fontId="10" fillId="0" borderId="0" xfId="33" applyFont="1" applyAlignment="1">
      <alignment horizontal="left" vertical="top" wrapText="1"/>
    </xf>
    <xf numFmtId="0" fontId="10" fillId="0" borderId="5" xfId="33" applyFont="1" applyBorder="1" applyAlignment="1">
      <alignment horizontal="left" vertical="top" wrapText="1"/>
    </xf>
    <xf numFmtId="0" fontId="25" fillId="5" borderId="12"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top"/>
      <protection locked="0"/>
    </xf>
    <xf numFmtId="0" fontId="25" fillId="5" borderId="221" xfId="33" applyFont="1" applyFill="1" applyBorder="1" applyAlignment="1" applyProtection="1">
      <alignment horizontal="center" vertical="top"/>
      <protection locked="0"/>
    </xf>
    <xf numFmtId="0" fontId="25" fillId="5" borderId="223" xfId="33" applyFont="1" applyFill="1" applyBorder="1" applyAlignment="1" applyProtection="1">
      <alignment horizontal="center" vertical="top"/>
      <protection locked="0"/>
    </xf>
    <xf numFmtId="0" fontId="10" fillId="0" borderId="0" xfId="33" applyFont="1" applyAlignment="1">
      <alignment vertical="center"/>
    </xf>
    <xf numFmtId="0" fontId="25" fillId="5" borderId="22" xfId="33" applyFont="1" applyFill="1" applyBorder="1" applyAlignment="1" applyProtection="1">
      <alignment horizontal="center" vertical="center"/>
      <protection locked="0"/>
    </xf>
    <xf numFmtId="0" fontId="25" fillId="5" borderId="23" xfId="33" applyFont="1" applyFill="1" applyBorder="1" applyAlignment="1" applyProtection="1">
      <alignment horizontal="center" vertical="center"/>
      <protection locked="0"/>
    </xf>
    <xf numFmtId="0" fontId="10" fillId="0" borderId="0" xfId="33" applyFont="1" applyAlignment="1">
      <alignment vertical="center" wrapText="1"/>
    </xf>
    <xf numFmtId="0" fontId="25" fillId="5" borderId="25" xfId="33" applyFont="1" applyFill="1" applyBorder="1" applyAlignment="1" applyProtection="1">
      <alignment horizontal="center" vertical="center"/>
      <protection locked="0"/>
    </xf>
    <xf numFmtId="0" fontId="25" fillId="5" borderId="26" xfId="33" applyFont="1" applyFill="1" applyBorder="1" applyAlignment="1" applyProtection="1">
      <alignment horizontal="center" vertical="center"/>
      <protection locked="0"/>
    </xf>
    <xf numFmtId="0" fontId="10" fillId="5" borderId="218" xfId="33" applyFont="1" applyFill="1" applyBorder="1" applyAlignment="1" applyProtection="1">
      <alignment horizontal="left" vertical="center" wrapText="1"/>
      <protection locked="0"/>
    </xf>
    <xf numFmtId="0" fontId="10" fillId="5" borderId="220" xfId="33" applyFont="1" applyFill="1" applyBorder="1" applyAlignment="1" applyProtection="1">
      <alignment horizontal="left" vertical="center" wrapText="1"/>
      <protection locked="0"/>
    </xf>
    <xf numFmtId="0" fontId="10" fillId="5" borderId="9" xfId="33" applyFont="1" applyFill="1" applyBorder="1" applyAlignment="1" applyProtection="1">
      <alignment horizontal="left" vertical="center" wrapText="1"/>
      <protection locked="0"/>
    </xf>
    <xf numFmtId="0" fontId="10" fillId="5" borderId="10" xfId="33" applyFont="1" applyFill="1" applyBorder="1" applyAlignment="1" applyProtection="1">
      <alignment horizontal="left" vertical="center" wrapText="1"/>
      <protection locked="0"/>
    </xf>
    <xf numFmtId="0" fontId="25" fillId="5" borderId="221" xfId="33" applyFont="1" applyFill="1" applyBorder="1" applyAlignment="1" applyProtection="1">
      <alignment horizontal="center" vertical="center"/>
      <protection locked="0"/>
    </xf>
    <xf numFmtId="0" fontId="25" fillId="5" borderId="223" xfId="33" applyFont="1" applyFill="1" applyBorder="1" applyAlignment="1" applyProtection="1">
      <alignment horizontal="center" vertical="center"/>
      <protection locked="0"/>
    </xf>
    <xf numFmtId="0" fontId="10" fillId="0" borderId="36" xfId="33" applyFont="1" applyBorder="1" applyAlignment="1">
      <alignment horizontal="left" vertical="top" wrapText="1"/>
    </xf>
    <xf numFmtId="0" fontId="25" fillId="5" borderId="35" xfId="33" applyFont="1" applyFill="1" applyBorder="1" applyAlignment="1" applyProtection="1">
      <alignment horizontal="center" vertical="top"/>
      <protection locked="0"/>
    </xf>
    <xf numFmtId="0" fontId="25" fillId="5" borderId="48" xfId="33" applyFont="1" applyFill="1" applyBorder="1" applyAlignment="1" applyProtection="1">
      <alignment horizontal="center" vertical="top"/>
      <protection locked="0"/>
    </xf>
    <xf numFmtId="0" fontId="10" fillId="13" borderId="141" xfId="33" applyFont="1" applyFill="1" applyBorder="1" applyAlignment="1">
      <alignment horizontal="left" vertical="center" wrapText="1"/>
    </xf>
    <xf numFmtId="0" fontId="10" fillId="13" borderId="143" xfId="33" applyFont="1" applyFill="1" applyBorder="1" applyAlignment="1">
      <alignment horizontal="left" vertical="center" wrapText="1"/>
    </xf>
    <xf numFmtId="0" fontId="10" fillId="13" borderId="144" xfId="33" applyFont="1" applyFill="1" applyBorder="1" applyAlignment="1">
      <alignment horizontal="left" vertical="center" wrapText="1"/>
    </xf>
    <xf numFmtId="0" fontId="10" fillId="0" borderId="0" xfId="33" applyFont="1" applyAlignment="1">
      <alignment horizontal="left" vertical="center"/>
    </xf>
    <xf numFmtId="0" fontId="10" fillId="0" borderId="15" xfId="33" applyFont="1" applyBorder="1" applyAlignment="1">
      <alignment horizontal="left" vertical="top" wrapText="1"/>
    </xf>
    <xf numFmtId="0" fontId="10" fillId="0" borderId="59" xfId="33" applyFont="1" applyBorder="1" applyAlignment="1">
      <alignment horizontal="left" vertical="top" wrapText="1"/>
    </xf>
    <xf numFmtId="0" fontId="10" fillId="5" borderId="141" xfId="33" applyFont="1" applyFill="1" applyBorder="1" applyAlignment="1" applyProtection="1">
      <alignment horizontal="left" vertical="top" wrapText="1"/>
      <protection locked="0"/>
    </xf>
    <xf numFmtId="0" fontId="10" fillId="5" borderId="143" xfId="33" applyFont="1" applyFill="1" applyBorder="1" applyAlignment="1" applyProtection="1">
      <alignment horizontal="left" vertical="top" wrapText="1"/>
      <protection locked="0"/>
    </xf>
    <xf numFmtId="0" fontId="10" fillId="5" borderId="144" xfId="33" applyFont="1" applyFill="1" applyBorder="1" applyAlignment="1" applyProtection="1">
      <alignment horizontal="left" vertical="top" wrapText="1"/>
      <protection locked="0"/>
    </xf>
    <xf numFmtId="0" fontId="25" fillId="5" borderId="218" xfId="33" applyFont="1" applyFill="1" applyBorder="1" applyAlignment="1" applyProtection="1">
      <alignment horizontal="center" vertical="center"/>
      <protection locked="0"/>
    </xf>
    <xf numFmtId="0" fontId="25" fillId="5" borderId="220" xfId="33" applyFont="1" applyFill="1" applyBorder="1" applyAlignment="1" applyProtection="1">
      <alignment horizontal="center" vertical="center"/>
      <protection locked="0"/>
    </xf>
    <xf numFmtId="0" fontId="25" fillId="5" borderId="219" xfId="33" applyFont="1" applyFill="1" applyBorder="1" applyAlignment="1" applyProtection="1">
      <alignment horizontal="center" vertical="center"/>
      <protection locked="0"/>
    </xf>
    <xf numFmtId="0" fontId="10" fillId="5" borderId="145" xfId="33" applyFont="1" applyFill="1" applyBorder="1" applyAlignment="1" applyProtection="1">
      <alignment horizontal="left" vertical="top" wrapText="1"/>
      <protection locked="0"/>
    </xf>
    <xf numFmtId="0" fontId="10" fillId="5" borderId="142" xfId="33" applyFont="1" applyFill="1" applyBorder="1" applyAlignment="1" applyProtection="1">
      <alignment horizontal="left" vertical="top" wrapText="1"/>
      <protection locked="0"/>
    </xf>
    <xf numFmtId="0" fontId="10" fillId="13" borderId="145" xfId="33" applyFont="1" applyFill="1" applyBorder="1" applyAlignment="1">
      <alignment horizontal="left" vertical="center" wrapText="1"/>
    </xf>
    <xf numFmtId="0" fontId="10" fillId="13" borderId="142" xfId="33" applyFont="1" applyFill="1" applyBorder="1" applyAlignment="1">
      <alignment horizontal="left" vertical="center" wrapText="1"/>
    </xf>
    <xf numFmtId="0" fontId="25" fillId="13" borderId="248" xfId="33" applyFont="1" applyFill="1" applyBorder="1" applyAlignment="1">
      <alignment horizontal="center" vertical="center"/>
    </xf>
    <xf numFmtId="0" fontId="10" fillId="13" borderId="248" xfId="33" applyFont="1" applyFill="1" applyBorder="1" applyAlignment="1">
      <alignment horizontal="left" vertical="center" wrapText="1"/>
    </xf>
    <xf numFmtId="0" fontId="25" fillId="13" borderId="224" xfId="33" applyFont="1" applyFill="1" applyBorder="1" applyAlignment="1">
      <alignment horizontal="center" vertical="center"/>
    </xf>
    <xf numFmtId="0" fontId="25" fillId="13" borderId="243" xfId="33" applyFont="1" applyFill="1" applyBorder="1" applyAlignment="1">
      <alignment horizontal="center" vertical="center"/>
    </xf>
    <xf numFmtId="0" fontId="25" fillId="5" borderId="249" xfId="33" applyFont="1" applyFill="1" applyBorder="1" applyAlignment="1" applyProtection="1">
      <alignment horizontal="center" vertical="center"/>
      <protection locked="0"/>
    </xf>
    <xf numFmtId="0" fontId="25" fillId="5" borderId="146" xfId="33" applyFont="1" applyFill="1" applyBorder="1" applyAlignment="1" applyProtection="1">
      <alignment horizontal="center" vertical="center"/>
      <protection locked="0"/>
    </xf>
    <xf numFmtId="0" fontId="25" fillId="5" borderId="20" xfId="33" applyFont="1" applyFill="1" applyBorder="1" applyAlignment="1" applyProtection="1">
      <alignment horizontal="center" vertical="top"/>
      <protection locked="0"/>
    </xf>
    <xf numFmtId="0" fontId="25" fillId="5" borderId="149" xfId="33" applyFont="1" applyFill="1" applyBorder="1" applyAlignment="1" applyProtection="1">
      <alignment horizontal="center" vertical="top"/>
      <protection locked="0"/>
    </xf>
    <xf numFmtId="0" fontId="10" fillId="5" borderId="221" xfId="33" applyFont="1" applyFill="1" applyBorder="1" applyAlignment="1" applyProtection="1">
      <alignment horizontal="left" vertical="center" wrapText="1"/>
      <protection locked="0"/>
    </xf>
    <xf numFmtId="0" fontId="10" fillId="5" borderId="251"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wrapText="1"/>
      <protection locked="0"/>
    </xf>
    <xf numFmtId="0" fontId="10" fillId="5" borderId="148" xfId="33" applyFont="1" applyFill="1" applyBorder="1" applyAlignment="1" applyProtection="1">
      <alignment horizontal="left" vertical="center" wrapText="1"/>
      <protection locked="0"/>
    </xf>
    <xf numFmtId="0" fontId="10" fillId="5" borderId="248" xfId="33" applyFont="1" applyFill="1" applyBorder="1" applyAlignment="1" applyProtection="1">
      <alignment horizontal="left" vertical="top" wrapText="1"/>
      <protection locked="0"/>
    </xf>
    <xf numFmtId="0" fontId="25" fillId="5" borderId="147" xfId="33" applyFont="1" applyFill="1" applyBorder="1" applyAlignment="1" applyProtection="1">
      <alignment horizontal="center" vertical="center"/>
      <protection locked="0"/>
    </xf>
    <xf numFmtId="0" fontId="10" fillId="5" borderId="221" xfId="33" applyFont="1" applyFill="1" applyBorder="1" applyAlignment="1" applyProtection="1">
      <alignment horizontal="left" vertical="top" wrapText="1"/>
      <protection locked="0"/>
    </xf>
    <xf numFmtId="0" fontId="10" fillId="5" borderId="222" xfId="33" applyFont="1" applyFill="1" applyBorder="1" applyAlignment="1" applyProtection="1">
      <alignment horizontal="left" vertical="top" wrapText="1"/>
      <protection locked="0"/>
    </xf>
    <xf numFmtId="0" fontId="10" fillId="5" borderId="223" xfId="33" applyFont="1" applyFill="1" applyBorder="1" applyAlignment="1" applyProtection="1">
      <alignment horizontal="left" vertical="top" wrapText="1"/>
      <protection locked="0"/>
    </xf>
    <xf numFmtId="0" fontId="10" fillId="5" borderId="13" xfId="33" applyFont="1" applyFill="1" applyBorder="1" applyAlignment="1" applyProtection="1">
      <alignment horizontal="left" vertical="top" wrapText="1"/>
      <protection locked="0"/>
    </xf>
    <xf numFmtId="0" fontId="4" fillId="5" borderId="218" xfId="33" applyFont="1" applyFill="1" applyBorder="1" applyAlignment="1" applyProtection="1">
      <alignment horizontal="left" vertical="center" wrapText="1"/>
      <protection locked="0"/>
    </xf>
    <xf numFmtId="0" fontId="4" fillId="5" borderId="220" xfId="33" applyFont="1" applyFill="1" applyBorder="1" applyAlignment="1" applyProtection="1">
      <alignment horizontal="left" vertical="center" wrapText="1"/>
      <protection locked="0"/>
    </xf>
    <xf numFmtId="0" fontId="4" fillId="5" borderId="219" xfId="33" applyFont="1" applyFill="1" applyBorder="1" applyAlignment="1" applyProtection="1">
      <alignment horizontal="left" vertical="center" wrapText="1"/>
      <protection locked="0"/>
    </xf>
    <xf numFmtId="0" fontId="25" fillId="5" borderId="25" xfId="33" applyFont="1" applyFill="1" applyBorder="1" applyAlignment="1" applyProtection="1">
      <alignment horizontal="center" vertical="top"/>
      <protection locked="0"/>
    </xf>
    <xf numFmtId="0" fontId="25" fillId="5" borderId="26" xfId="33" applyFont="1" applyFill="1" applyBorder="1" applyAlignment="1" applyProtection="1">
      <alignment horizontal="center" vertical="top"/>
      <protection locked="0"/>
    </xf>
    <xf numFmtId="0" fontId="332" fillId="0" borderId="0" xfId="33" applyFont="1" applyAlignment="1">
      <alignment horizontal="justify" vertical="top" wrapText="1"/>
    </xf>
    <xf numFmtId="0" fontId="249" fillId="0" borderId="0" xfId="33" applyFont="1" applyAlignment="1">
      <alignment horizontal="center"/>
    </xf>
    <xf numFmtId="38" fontId="106" fillId="0" borderId="218" xfId="33" applyNumberFormat="1" applyFont="1" applyBorder="1" applyAlignment="1">
      <alignment horizontal="center" vertical="center"/>
    </xf>
    <xf numFmtId="0" fontId="106" fillId="0" borderId="219" xfId="33" applyFont="1" applyBorder="1" applyAlignment="1">
      <alignment horizontal="center" vertical="center"/>
    </xf>
    <xf numFmtId="0" fontId="10" fillId="0" borderId="9" xfId="33" applyFont="1" applyBorder="1" applyAlignment="1">
      <alignment horizontal="center" vertical="center"/>
    </xf>
    <xf numFmtId="0" fontId="25" fillId="5" borderId="224" xfId="33" applyFont="1" applyFill="1" applyBorder="1" applyAlignment="1" applyProtection="1">
      <alignment horizontal="center" vertical="top"/>
      <protection locked="0"/>
    </xf>
    <xf numFmtId="0" fontId="25" fillId="5" borderId="216" xfId="33" applyFont="1" applyFill="1" applyBorder="1" applyAlignment="1" applyProtection="1">
      <alignment horizontal="center" vertical="top"/>
      <protection locked="0"/>
    </xf>
    <xf numFmtId="0" fontId="10" fillId="5" borderId="217" xfId="33" applyFont="1" applyFill="1" applyBorder="1" applyAlignment="1" applyProtection="1">
      <alignment horizontal="left" vertical="top" wrapText="1"/>
      <protection locked="0"/>
    </xf>
    <xf numFmtId="0" fontId="10" fillId="13" borderId="217" xfId="33" applyFont="1" applyFill="1" applyBorder="1" applyAlignment="1">
      <alignment horizontal="left" vertical="center" wrapText="1"/>
    </xf>
    <xf numFmtId="0" fontId="10" fillId="5" borderId="218" xfId="33" applyFont="1" applyFill="1" applyBorder="1" applyAlignment="1" applyProtection="1">
      <alignment horizontal="left" vertical="center"/>
      <protection locked="0"/>
    </xf>
    <xf numFmtId="0" fontId="10" fillId="5" borderId="220" xfId="33" applyFont="1" applyFill="1" applyBorder="1" applyAlignment="1" applyProtection="1">
      <alignment horizontal="left" vertical="center"/>
      <protection locked="0"/>
    </xf>
    <xf numFmtId="0" fontId="10" fillId="5" borderId="219" xfId="33" applyFont="1" applyFill="1" applyBorder="1" applyAlignment="1" applyProtection="1">
      <alignment horizontal="left" vertical="center"/>
      <protection locked="0"/>
    </xf>
    <xf numFmtId="0" fontId="25" fillId="13" borderId="226" xfId="33" applyFont="1" applyFill="1" applyBorder="1" applyAlignment="1">
      <alignment horizontal="center" vertical="center"/>
    </xf>
    <xf numFmtId="0" fontId="10" fillId="5" borderId="22" xfId="33" applyFont="1" applyFill="1" applyBorder="1" applyAlignment="1" applyProtection="1">
      <alignment vertical="top" wrapText="1"/>
      <protection locked="0"/>
    </xf>
    <xf numFmtId="0" fontId="10" fillId="5" borderId="16" xfId="33" applyFont="1" applyFill="1" applyBorder="1" applyAlignment="1" applyProtection="1">
      <alignment vertical="top" wrapText="1"/>
      <protection locked="0"/>
    </xf>
    <xf numFmtId="0" fontId="10" fillId="5" borderId="23" xfId="33" applyFont="1" applyFill="1" applyBorder="1" applyAlignment="1" applyProtection="1">
      <alignment vertical="top" wrapText="1"/>
      <protection locked="0"/>
    </xf>
    <xf numFmtId="0" fontId="10" fillId="5" borderId="22" xfId="33" applyFont="1" applyFill="1" applyBorder="1" applyAlignment="1" applyProtection="1">
      <alignment horizontal="left" vertical="top" wrapText="1"/>
      <protection locked="0"/>
    </xf>
    <xf numFmtId="0" fontId="10" fillId="5" borderId="16" xfId="33" applyFont="1" applyFill="1" applyBorder="1" applyAlignment="1" applyProtection="1">
      <alignment horizontal="left" vertical="top" wrapText="1"/>
      <protection locked="0"/>
    </xf>
    <xf numFmtId="0" fontId="10" fillId="5" borderId="23" xfId="33" applyFont="1" applyFill="1" applyBorder="1" applyAlignment="1" applyProtection="1">
      <alignment horizontal="left" vertical="top" wrapText="1"/>
      <protection locked="0"/>
    </xf>
    <xf numFmtId="0" fontId="10" fillId="5" borderId="25" xfId="33" applyFont="1" applyFill="1" applyBorder="1" applyAlignment="1" applyProtection="1">
      <alignment vertical="top" wrapText="1"/>
      <protection locked="0"/>
    </xf>
    <xf numFmtId="0" fontId="10" fillId="5" borderId="42" xfId="33" applyFont="1" applyFill="1" applyBorder="1" applyAlignment="1" applyProtection="1">
      <alignment vertical="top" wrapText="1"/>
      <protection locked="0"/>
    </xf>
    <xf numFmtId="0" fontId="10" fillId="5" borderId="26" xfId="33" applyFont="1" applyFill="1" applyBorder="1" applyAlignment="1" applyProtection="1">
      <alignment vertical="top" wrapText="1"/>
      <protection locked="0"/>
    </xf>
    <xf numFmtId="0" fontId="10" fillId="5" borderId="25" xfId="33" applyFont="1" applyFill="1" applyBorder="1" applyAlignment="1" applyProtection="1">
      <alignment horizontal="left" vertical="top" wrapText="1"/>
      <protection locked="0"/>
    </xf>
    <xf numFmtId="0" fontId="10" fillId="5" borderId="42" xfId="33" applyFont="1" applyFill="1" applyBorder="1" applyAlignment="1" applyProtection="1">
      <alignment horizontal="left" vertical="top" wrapText="1"/>
      <protection locked="0"/>
    </xf>
    <xf numFmtId="0" fontId="10" fillId="5" borderId="26" xfId="33" applyFont="1" applyFill="1" applyBorder="1" applyAlignment="1" applyProtection="1">
      <alignment horizontal="left" vertical="top" wrapText="1"/>
      <protection locked="0"/>
    </xf>
    <xf numFmtId="0" fontId="10" fillId="10" borderId="218" xfId="33" applyFont="1" applyFill="1" applyBorder="1" applyAlignment="1" applyProtection="1">
      <alignment horizontal="left" vertical="center" wrapText="1"/>
      <protection locked="0"/>
    </xf>
    <xf numFmtId="0" fontId="10" fillId="10" borderId="220" xfId="33" applyFont="1" applyFill="1" applyBorder="1" applyAlignment="1" applyProtection="1">
      <alignment horizontal="left" vertical="center" wrapText="1"/>
      <protection locked="0"/>
    </xf>
    <xf numFmtId="0" fontId="10" fillId="10" borderId="0" xfId="33" applyFont="1" applyFill="1" applyAlignment="1" applyProtection="1">
      <alignment horizontal="left" vertical="center" wrapText="1"/>
      <protection locked="0"/>
    </xf>
    <xf numFmtId="0" fontId="10" fillId="10" borderId="5"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protection locked="0"/>
    </xf>
    <xf numFmtId="0" fontId="10" fillId="5" borderId="42" xfId="33" applyFont="1" applyFill="1" applyBorder="1" applyAlignment="1" applyProtection="1">
      <alignment horizontal="left" vertical="center"/>
      <protection locked="0"/>
    </xf>
    <xf numFmtId="0" fontId="10" fillId="5" borderId="26" xfId="33" applyFont="1" applyFill="1" applyBorder="1" applyAlignment="1" applyProtection="1">
      <alignment horizontal="left" vertical="center"/>
      <protection locked="0"/>
    </xf>
    <xf numFmtId="0" fontId="10" fillId="5" borderId="221" xfId="33" applyFont="1" applyFill="1" applyBorder="1" applyAlignment="1" applyProtection="1">
      <alignment vertical="top" wrapText="1"/>
      <protection locked="0"/>
    </xf>
    <xf numFmtId="0" fontId="10" fillId="5" borderId="222" xfId="33" applyFont="1" applyFill="1" applyBorder="1" applyAlignment="1" applyProtection="1">
      <alignment vertical="top" wrapText="1"/>
      <protection locked="0"/>
    </xf>
    <xf numFmtId="0" fontId="10" fillId="5" borderId="223" xfId="33" applyFont="1" applyFill="1" applyBorder="1" applyAlignment="1" applyProtection="1">
      <alignment vertical="top" wrapText="1"/>
      <protection locked="0"/>
    </xf>
    <xf numFmtId="0" fontId="10" fillId="5" borderId="224" xfId="33" applyFont="1" applyFill="1" applyBorder="1" applyAlignment="1" applyProtection="1">
      <alignment vertical="center"/>
      <protection locked="0"/>
    </xf>
    <xf numFmtId="0" fontId="10" fillId="5" borderId="215" xfId="33" applyFont="1" applyFill="1" applyBorder="1" applyAlignment="1" applyProtection="1">
      <alignment vertical="center"/>
      <protection locked="0"/>
    </xf>
    <xf numFmtId="0" fontId="10" fillId="5" borderId="216" xfId="33" applyFont="1" applyFill="1" applyBorder="1" applyAlignment="1" applyProtection="1">
      <alignment vertical="center"/>
      <protection locked="0"/>
    </xf>
    <xf numFmtId="0" fontId="25" fillId="0" borderId="0" xfId="33" applyFont="1" applyAlignment="1">
      <alignment horizontal="left" vertical="center"/>
    </xf>
    <xf numFmtId="0" fontId="10" fillId="5" borderId="22" xfId="33" applyFont="1" applyFill="1" applyBorder="1" applyAlignment="1" applyProtection="1">
      <alignment vertical="center"/>
      <protection locked="0"/>
    </xf>
    <xf numFmtId="0" fontId="10" fillId="5" borderId="16" xfId="33" applyFont="1" applyFill="1" applyBorder="1" applyAlignment="1" applyProtection="1">
      <alignment vertical="center"/>
      <protection locked="0"/>
    </xf>
    <xf numFmtId="0" fontId="10" fillId="5" borderId="23" xfId="33" applyFont="1" applyFill="1" applyBorder="1" applyAlignment="1" applyProtection="1">
      <alignment vertical="center"/>
      <protection locked="0"/>
    </xf>
    <xf numFmtId="0" fontId="10" fillId="5" borderId="221" xfId="33" applyFont="1" applyFill="1" applyBorder="1" applyAlignment="1" applyProtection="1">
      <alignment horizontal="left" vertical="center"/>
      <protection locked="0"/>
    </xf>
    <xf numFmtId="0" fontId="10" fillId="5" borderId="222" xfId="33" applyFont="1" applyFill="1" applyBorder="1" applyAlignment="1" applyProtection="1">
      <alignment horizontal="left" vertical="center"/>
      <protection locked="0"/>
    </xf>
    <xf numFmtId="0" fontId="10" fillId="5" borderId="223" xfId="33" applyFont="1" applyFill="1" applyBorder="1" applyAlignment="1" applyProtection="1">
      <alignment horizontal="left" vertical="center"/>
      <protection locked="0"/>
    </xf>
    <xf numFmtId="0" fontId="10" fillId="0" borderId="9" xfId="33" applyFont="1" applyBorder="1" applyAlignment="1">
      <alignment horizontal="left" vertical="center" wrapText="1"/>
    </xf>
    <xf numFmtId="0" fontId="25" fillId="5" borderId="218" xfId="33" applyFont="1" applyFill="1" applyBorder="1" applyAlignment="1" applyProtection="1">
      <alignment horizontal="center" vertical="center" wrapText="1"/>
      <protection locked="0"/>
    </xf>
    <xf numFmtId="0" fontId="25" fillId="5" borderId="220" xfId="33" applyFont="1" applyFill="1" applyBorder="1" applyAlignment="1" applyProtection="1">
      <alignment horizontal="center" vertical="center" wrapText="1"/>
      <protection locked="0"/>
    </xf>
    <xf numFmtId="0" fontId="25" fillId="5" borderId="219" xfId="33" applyFont="1" applyFill="1" applyBorder="1" applyAlignment="1" applyProtection="1">
      <alignment horizontal="center" vertical="center" wrapText="1"/>
      <protection locked="0"/>
    </xf>
    <xf numFmtId="0" fontId="25" fillId="13" borderId="220" xfId="33" applyFont="1" applyFill="1" applyBorder="1" applyAlignment="1">
      <alignment horizontal="center" vertical="center"/>
    </xf>
    <xf numFmtId="0" fontId="10" fillId="5" borderId="219" xfId="33" applyFont="1" applyFill="1" applyBorder="1" applyAlignment="1" applyProtection="1">
      <alignment horizontal="left" vertical="center" wrapText="1"/>
      <protection locked="0"/>
    </xf>
    <xf numFmtId="0" fontId="10" fillId="0" borderId="0" xfId="33" applyFont="1" applyAlignment="1">
      <alignment horizontal="right" vertical="center"/>
    </xf>
    <xf numFmtId="0" fontId="4" fillId="13" borderId="138" xfId="33" applyFont="1" applyFill="1" applyBorder="1" applyAlignment="1">
      <alignment horizontal="justify" vertical="top" wrapText="1"/>
    </xf>
    <xf numFmtId="0" fontId="4" fillId="13" borderId="139" xfId="33" applyFont="1" applyFill="1" applyBorder="1" applyAlignment="1">
      <alignment horizontal="justify" vertical="top" wrapText="1"/>
    </xf>
    <xf numFmtId="0" fontId="4" fillId="13" borderId="140" xfId="33" applyFont="1" applyFill="1" applyBorder="1" applyAlignment="1">
      <alignment horizontal="justify" vertical="top" wrapText="1"/>
    </xf>
    <xf numFmtId="0" fontId="25" fillId="13" borderId="141" xfId="33" applyFont="1" applyFill="1" applyBorder="1" applyAlignment="1">
      <alignment horizontal="center" vertical="center"/>
    </xf>
    <xf numFmtId="0" fontId="25" fillId="13" borderId="142" xfId="33" applyFont="1" applyFill="1" applyBorder="1" applyAlignment="1">
      <alignment horizontal="center" vertical="center"/>
    </xf>
    <xf numFmtId="0" fontId="25" fillId="13" borderId="250" xfId="33" applyFont="1" applyFill="1" applyBorder="1" applyAlignment="1">
      <alignment horizontal="center" vertical="center"/>
    </xf>
    <xf numFmtId="0" fontId="4" fillId="13" borderId="136" xfId="33" applyFont="1" applyFill="1" applyBorder="1" applyAlignment="1">
      <alignment horizontal="justify" vertical="top" wrapText="1"/>
    </xf>
    <xf numFmtId="0" fontId="4" fillId="13" borderId="22" xfId="33" applyFont="1" applyFill="1" applyBorder="1" applyAlignment="1">
      <alignment horizontal="justify" vertical="top" wrapText="1"/>
    </xf>
    <xf numFmtId="0" fontId="4" fillId="13" borderId="137" xfId="33" applyFont="1" applyFill="1" applyBorder="1" applyAlignment="1">
      <alignment horizontal="justify" vertical="top" wrapText="1"/>
    </xf>
    <xf numFmtId="0" fontId="106" fillId="0" borderId="0" xfId="33" applyFont="1" applyAlignment="1">
      <alignment horizontal="center" vertical="center" wrapText="1"/>
    </xf>
    <xf numFmtId="0" fontId="93" fillId="13" borderId="218" xfId="33" applyFont="1" applyFill="1" applyBorder="1" applyAlignment="1">
      <alignment horizontal="center" vertical="center"/>
    </xf>
    <xf numFmtId="0" fontId="93" fillId="13" borderId="217" xfId="33" applyFont="1" applyFill="1" applyBorder="1" applyAlignment="1">
      <alignment horizontal="center" vertical="center"/>
    </xf>
    <xf numFmtId="0" fontId="4" fillId="13" borderId="133" xfId="33" applyFont="1" applyFill="1" applyBorder="1" applyAlignment="1">
      <alignment horizontal="justify" vertical="top" wrapText="1"/>
    </xf>
    <xf numFmtId="0" fontId="4" fillId="13" borderId="134" xfId="33" applyFont="1" applyFill="1" applyBorder="1" applyAlignment="1">
      <alignment horizontal="justify" vertical="top" wrapText="1"/>
    </xf>
    <xf numFmtId="0" fontId="4" fillId="13" borderId="135" xfId="33" applyFont="1" applyFill="1" applyBorder="1" applyAlignment="1">
      <alignment horizontal="justify" vertical="top" wrapText="1"/>
    </xf>
    <xf numFmtId="0" fontId="29" fillId="8" borderId="218" xfId="33" applyFont="1" applyFill="1" applyBorder="1" applyAlignment="1">
      <alignment horizontal="center" vertical="center"/>
    </xf>
    <xf numFmtId="0" fontId="244" fillId="0" borderId="0" xfId="33" applyFont="1" applyAlignment="1">
      <alignment horizontal="center" vertical="center"/>
    </xf>
    <xf numFmtId="0" fontId="9" fillId="5" borderId="226" xfId="33" applyFont="1" applyFill="1" applyBorder="1" applyAlignment="1">
      <alignment horizontal="center" vertical="center" wrapText="1"/>
    </xf>
    <xf numFmtId="0" fontId="9" fillId="5" borderId="217" xfId="33" applyFont="1" applyFill="1" applyBorder="1" applyAlignment="1">
      <alignment horizontal="center" vertical="center" wrapText="1"/>
    </xf>
    <xf numFmtId="0" fontId="9" fillId="13" borderId="226" xfId="33" applyFont="1" applyFill="1" applyBorder="1" applyAlignment="1">
      <alignment horizontal="center" vertical="center" wrapText="1"/>
    </xf>
    <xf numFmtId="0" fontId="9" fillId="13" borderId="217" xfId="33" applyFont="1" applyFill="1" applyBorder="1" applyAlignment="1">
      <alignment horizontal="center" vertical="center" wrapText="1"/>
    </xf>
    <xf numFmtId="0" fontId="20" fillId="0" borderId="0" xfId="33" applyFont="1" applyAlignment="1">
      <alignment horizontal="left" vertical="center"/>
    </xf>
    <xf numFmtId="49" fontId="94" fillId="20" borderId="0" xfId="33" applyNumberFormat="1" applyFont="1" applyFill="1" applyAlignment="1">
      <alignment horizontal="center" vertical="center"/>
    </xf>
    <xf numFmtId="0" fontId="94" fillId="20" borderId="0" xfId="33" applyFont="1" applyFill="1" applyAlignment="1">
      <alignment horizontal="center" vertical="center"/>
    </xf>
    <xf numFmtId="0" fontId="10" fillId="5" borderId="42" xfId="33" applyFont="1" applyFill="1" applyBorder="1" applyAlignment="1" applyProtection="1">
      <alignment horizontal="left" vertical="center" wrapText="1"/>
      <protection locked="0"/>
    </xf>
    <xf numFmtId="0" fontId="10" fillId="5" borderId="26" xfId="33" applyFont="1" applyFill="1" applyBorder="1" applyAlignment="1" applyProtection="1">
      <alignment horizontal="left" vertical="center" wrapText="1"/>
      <protection locked="0"/>
    </xf>
    <xf numFmtId="0" fontId="10" fillId="5" borderId="222" xfId="33" applyFont="1" applyFill="1" applyBorder="1" applyAlignment="1" applyProtection="1">
      <alignment horizontal="left" vertical="center" wrapText="1"/>
      <protection locked="0"/>
    </xf>
    <xf numFmtId="0" fontId="10" fillId="5" borderId="15" xfId="33" applyFont="1" applyFill="1" applyBorder="1" applyAlignment="1" applyProtection="1">
      <alignment horizontal="left" vertical="center" wrapText="1"/>
      <protection locked="0"/>
    </xf>
    <xf numFmtId="0" fontId="10" fillId="5" borderId="59" xfId="33" applyFont="1" applyFill="1" applyBorder="1" applyAlignment="1" applyProtection="1">
      <alignment horizontal="left" vertical="center" wrapText="1"/>
      <protection locked="0"/>
    </xf>
    <xf numFmtId="10" fontId="10" fillId="5" borderId="224" xfId="10" applyNumberFormat="1" applyFont="1" applyFill="1" applyBorder="1" applyAlignment="1" applyProtection="1">
      <alignment horizontal="center" vertical="center" wrapText="1"/>
      <protection locked="0"/>
    </xf>
    <xf numFmtId="10" fontId="10" fillId="5" borderId="216" xfId="10" applyNumberFormat="1" applyFont="1" applyFill="1" applyBorder="1" applyAlignment="1" applyProtection="1">
      <alignment horizontal="center" vertical="center" wrapText="1"/>
      <protection locked="0"/>
    </xf>
    <xf numFmtId="10" fontId="10" fillId="5" borderId="25" xfId="10" applyNumberFormat="1" applyFont="1" applyFill="1" applyBorder="1" applyAlignment="1" applyProtection="1">
      <alignment horizontal="center" vertical="center" wrapText="1"/>
      <protection locked="0"/>
    </xf>
    <xf numFmtId="10" fontId="10" fillId="5" borderId="26" xfId="10" applyNumberFormat="1" applyFont="1" applyFill="1" applyBorder="1" applyAlignment="1" applyProtection="1">
      <alignment horizontal="center" vertical="center" wrapText="1"/>
      <protection locked="0"/>
    </xf>
    <xf numFmtId="10" fontId="10" fillId="5" borderId="221" xfId="10" applyNumberFormat="1" applyFont="1" applyFill="1" applyBorder="1" applyAlignment="1" applyProtection="1">
      <alignment horizontal="center" vertical="center" wrapText="1"/>
      <protection locked="0"/>
    </xf>
    <xf numFmtId="10" fontId="10" fillId="5" borderId="223" xfId="10" applyNumberFormat="1" applyFont="1" applyFill="1" applyBorder="1" applyAlignment="1" applyProtection="1">
      <alignment horizontal="center" vertical="center" wrapText="1"/>
      <protection locked="0"/>
    </xf>
    <xf numFmtId="0" fontId="10" fillId="5" borderId="218" xfId="33" applyFont="1" applyFill="1" applyBorder="1" applyAlignment="1" applyProtection="1">
      <alignment horizontal="left" vertical="top"/>
      <protection locked="0"/>
    </xf>
    <xf numFmtId="0" fontId="10" fillId="5" borderId="220" xfId="33" applyFont="1" applyFill="1" applyBorder="1" applyAlignment="1" applyProtection="1">
      <alignment horizontal="left" vertical="top"/>
      <protection locked="0"/>
    </xf>
    <xf numFmtId="0" fontId="10" fillId="5" borderId="215" xfId="33" applyFont="1" applyFill="1" applyBorder="1" applyAlignment="1" applyProtection="1">
      <alignment horizontal="left" vertical="top"/>
      <protection locked="0"/>
    </xf>
    <xf numFmtId="0" fontId="10" fillId="5" borderId="216" xfId="33" applyFont="1" applyFill="1" applyBorder="1" applyAlignment="1" applyProtection="1">
      <alignment horizontal="left" vertical="top"/>
      <protection locked="0"/>
    </xf>
    <xf numFmtId="0" fontId="42" fillId="0" borderId="0" xfId="0" applyFont="1" applyAlignment="1" applyProtection="1">
      <alignment horizontal="justify" vertical="top" wrapText="1"/>
      <protection locked="0"/>
    </xf>
    <xf numFmtId="0" fontId="37" fillId="0" borderId="0" xfId="0" applyFont="1" applyAlignment="1">
      <alignment horizontal="center" vertical="center" wrapText="1"/>
    </xf>
    <xf numFmtId="0" fontId="38" fillId="0" borderId="0" xfId="33" applyFont="1" applyAlignment="1">
      <alignment horizontal="left" vertical="top"/>
    </xf>
    <xf numFmtId="0" fontId="38" fillId="0" borderId="5" xfId="33" applyFont="1" applyBorder="1" applyAlignment="1">
      <alignment horizontal="left" vertical="top"/>
    </xf>
    <xf numFmtId="0" fontId="41" fillId="0" borderId="0" xfId="33" applyFont="1" applyAlignment="1">
      <alignment horizontal="left" vertical="top"/>
    </xf>
    <xf numFmtId="0" fontId="39" fillId="0" borderId="0" xfId="0" applyFont="1" applyAlignment="1">
      <alignment horizontal="left" vertical="top"/>
    </xf>
    <xf numFmtId="0" fontId="39" fillId="0" borderId="5" xfId="0" applyFont="1" applyBorder="1" applyAlignment="1">
      <alignment horizontal="left" vertical="top"/>
    </xf>
    <xf numFmtId="167" fontId="42" fillId="5" borderId="22" xfId="0" applyNumberFormat="1" applyFont="1" applyFill="1" applyBorder="1" applyAlignment="1" applyProtection="1">
      <alignment horizontal="left" vertical="center"/>
      <protection locked="0"/>
    </xf>
    <xf numFmtId="167" fontId="42" fillId="5" borderId="16" xfId="0" applyNumberFormat="1" applyFont="1" applyFill="1" applyBorder="1" applyAlignment="1" applyProtection="1">
      <alignment horizontal="left" vertical="center"/>
      <protection locked="0"/>
    </xf>
    <xf numFmtId="167" fontId="42" fillId="5" borderId="23" xfId="0" applyNumberFormat="1" applyFont="1" applyFill="1" applyBorder="1" applyAlignment="1" applyProtection="1">
      <alignment horizontal="left" vertical="center"/>
      <protection locked="0"/>
    </xf>
    <xf numFmtId="0" fontId="42" fillId="5" borderId="6" xfId="0" applyFont="1" applyFill="1" applyBorder="1" applyAlignment="1" applyProtection="1">
      <alignment horizontal="left" vertical="center"/>
      <protection locked="0"/>
    </xf>
    <xf numFmtId="0" fontId="42" fillId="5" borderId="9" xfId="0" applyFont="1" applyFill="1" applyBorder="1" applyAlignment="1" applyProtection="1">
      <alignment horizontal="left" vertical="center"/>
      <protection locked="0"/>
    </xf>
    <xf numFmtId="0" fontId="42" fillId="5" borderId="220" xfId="0" applyFont="1" applyFill="1" applyBorder="1" applyAlignment="1" applyProtection="1">
      <alignment horizontal="left" vertical="center"/>
      <protection locked="0"/>
    </xf>
    <xf numFmtId="0" fontId="42" fillId="5" borderId="219" xfId="0" applyFont="1" applyFill="1" applyBorder="1" applyAlignment="1" applyProtection="1">
      <alignment horizontal="left" vertical="center"/>
      <protection locked="0"/>
    </xf>
    <xf numFmtId="167" fontId="42" fillId="5" borderId="25" xfId="0" applyNumberFormat="1" applyFont="1" applyFill="1" applyBorder="1" applyAlignment="1" applyProtection="1">
      <alignment horizontal="left" vertical="center"/>
      <protection locked="0"/>
    </xf>
    <xf numFmtId="167" fontId="42" fillId="5" borderId="42" xfId="0" applyNumberFormat="1" applyFont="1" applyFill="1" applyBorder="1" applyAlignment="1" applyProtection="1">
      <alignment horizontal="left" vertical="center"/>
      <protection locked="0"/>
    </xf>
    <xf numFmtId="167" fontId="42" fillId="5" borderId="26" xfId="0" applyNumberFormat="1" applyFont="1" applyFill="1" applyBorder="1" applyAlignment="1" applyProtection="1">
      <alignment horizontal="left" vertical="center"/>
      <protection locked="0"/>
    </xf>
    <xf numFmtId="0" fontId="42" fillId="5" borderId="221" xfId="0" applyFont="1" applyFill="1" applyBorder="1" applyAlignment="1" applyProtection="1">
      <alignment horizontal="left" vertical="center"/>
      <protection locked="0"/>
    </xf>
    <xf numFmtId="0" fontId="42" fillId="5" borderId="222" xfId="0" applyFont="1" applyFill="1" applyBorder="1" applyAlignment="1" applyProtection="1">
      <alignment horizontal="left" vertical="center"/>
      <protection locked="0"/>
    </xf>
    <xf numFmtId="0" fontId="42" fillId="5" borderId="223" xfId="0" applyFont="1" applyFill="1" applyBorder="1" applyAlignment="1" applyProtection="1">
      <alignment horizontal="left" vertical="center"/>
      <protection locked="0"/>
    </xf>
    <xf numFmtId="0" fontId="42" fillId="5" borderId="224" xfId="0" applyFont="1" applyFill="1" applyBorder="1" applyAlignment="1" applyProtection="1">
      <alignment horizontal="left" vertical="center"/>
      <protection locked="0"/>
    </xf>
    <xf numFmtId="0" fontId="37" fillId="0" borderId="4" xfId="0" applyFont="1" applyBorder="1" applyAlignment="1">
      <alignment horizontal="center" vertical="center" wrapText="1"/>
    </xf>
    <xf numFmtId="0" fontId="42" fillId="5" borderId="215" xfId="0" applyFont="1" applyFill="1" applyBorder="1" applyAlignment="1" applyProtection="1">
      <alignment horizontal="left" vertical="center"/>
      <protection locked="0"/>
    </xf>
    <xf numFmtId="0" fontId="42" fillId="5" borderId="216" xfId="0" applyFont="1" applyFill="1" applyBorder="1" applyAlignment="1" applyProtection="1">
      <alignment horizontal="left" vertical="center"/>
      <protection locked="0"/>
    </xf>
    <xf numFmtId="0" fontId="42" fillId="5" borderId="20" xfId="0" applyFont="1" applyFill="1" applyBorder="1" applyAlignment="1" applyProtection="1">
      <alignment horizontal="left" vertical="center"/>
      <protection locked="0"/>
    </xf>
    <xf numFmtId="0" fontId="42" fillId="5" borderId="14" xfId="0" applyFont="1" applyFill="1" applyBorder="1" applyAlignment="1" applyProtection="1">
      <alignment horizontal="left" vertical="center"/>
      <protection locked="0"/>
    </xf>
    <xf numFmtId="0" fontId="42" fillId="5" borderId="24" xfId="0" applyFont="1" applyFill="1" applyBorder="1" applyAlignment="1" applyProtection="1">
      <alignment horizontal="left" vertical="center"/>
      <protection locked="0"/>
    </xf>
    <xf numFmtId="0" fontId="42" fillId="6" borderId="25" xfId="0" applyFont="1" applyFill="1" applyBorder="1" applyAlignment="1" applyProtection="1">
      <alignment horizontal="left" vertical="center"/>
      <protection locked="0"/>
    </xf>
    <xf numFmtId="0" fontId="42" fillId="6" borderId="26" xfId="0" applyFont="1" applyFill="1" applyBorder="1" applyAlignment="1" applyProtection="1">
      <alignment horizontal="left" vertical="center"/>
      <protection locked="0"/>
    </xf>
    <xf numFmtId="0" fontId="42" fillId="5" borderId="42" xfId="0" applyFont="1" applyFill="1" applyBorder="1" applyAlignment="1" applyProtection="1">
      <alignment horizontal="left" vertical="center"/>
      <protection locked="0"/>
    </xf>
    <xf numFmtId="0" fontId="42" fillId="5" borderId="26" xfId="0" applyFont="1" applyFill="1" applyBorder="1" applyAlignment="1" applyProtection="1">
      <alignment horizontal="left" vertical="center"/>
      <protection locked="0"/>
    </xf>
    <xf numFmtId="177" fontId="42" fillId="5" borderId="224" xfId="0" applyNumberFormat="1" applyFont="1" applyFill="1" applyBorder="1" applyAlignment="1" applyProtection="1">
      <alignment horizontal="left" vertical="center"/>
      <protection locked="0"/>
    </xf>
    <xf numFmtId="177" fontId="42" fillId="5" borderId="5" xfId="0" applyNumberFormat="1" applyFont="1" applyFill="1" applyBorder="1" applyAlignment="1" applyProtection="1">
      <alignment horizontal="left" vertical="center"/>
      <protection locked="0"/>
    </xf>
    <xf numFmtId="6" fontId="42" fillId="5" borderId="224" xfId="0" applyNumberFormat="1" applyFont="1" applyFill="1" applyBorder="1" applyAlignment="1" applyProtection="1">
      <alignment horizontal="center" vertical="center"/>
      <protection locked="0"/>
    </xf>
    <xf numFmtId="6" fontId="42" fillId="5" borderId="0" xfId="0" applyNumberFormat="1" applyFont="1" applyFill="1" applyAlignment="1" applyProtection="1">
      <alignment horizontal="center" vertical="center"/>
      <protection locked="0"/>
    </xf>
    <xf numFmtId="6" fontId="42" fillId="5" borderId="221" xfId="0" applyNumberFormat="1" applyFont="1" applyFill="1" applyBorder="1" applyAlignment="1" applyProtection="1">
      <alignment horizontal="center" vertical="center"/>
      <protection locked="0"/>
    </xf>
    <xf numFmtId="6" fontId="42" fillId="5" borderId="223" xfId="0" applyNumberFormat="1" applyFont="1" applyFill="1" applyBorder="1" applyAlignment="1" applyProtection="1">
      <alignment horizontal="center" vertical="center"/>
      <protection locked="0"/>
    </xf>
    <xf numFmtId="6" fontId="42" fillId="5" borderId="25" xfId="0" applyNumberFormat="1" applyFont="1" applyFill="1" applyBorder="1" applyAlignment="1" applyProtection="1">
      <alignment horizontal="center" vertical="center"/>
      <protection locked="0"/>
    </xf>
    <xf numFmtId="6" fontId="42" fillId="5" borderId="26" xfId="0" applyNumberFormat="1" applyFont="1" applyFill="1" applyBorder="1" applyAlignment="1" applyProtection="1">
      <alignment horizontal="center" vertical="center"/>
      <protection locked="0"/>
    </xf>
    <xf numFmtId="0" fontId="38" fillId="5" borderId="218" xfId="0" applyFont="1" applyFill="1" applyBorder="1" applyAlignment="1" applyProtection="1">
      <alignment horizontal="left" vertical="top" wrapText="1"/>
      <protection locked="0"/>
    </xf>
    <xf numFmtId="0" fontId="38" fillId="5" borderId="220" xfId="0" applyFont="1" applyFill="1" applyBorder="1" applyAlignment="1" applyProtection="1">
      <alignment horizontal="left" vertical="top" wrapText="1"/>
      <protection locked="0"/>
    </xf>
    <xf numFmtId="0" fontId="38" fillId="5" borderId="219" xfId="0" applyFont="1" applyFill="1" applyBorder="1" applyAlignment="1" applyProtection="1">
      <alignment horizontal="left" vertical="top" wrapText="1"/>
      <protection locked="0"/>
    </xf>
    <xf numFmtId="0" fontId="38" fillId="4" borderId="218" xfId="0" applyFont="1" applyFill="1" applyBorder="1" applyAlignment="1" applyProtection="1">
      <alignment horizontal="left" vertical="top" wrapText="1"/>
      <protection locked="0"/>
    </xf>
    <xf numFmtId="0" fontId="38" fillId="4" borderId="220" xfId="0" applyFont="1" applyFill="1" applyBorder="1" applyAlignment="1" applyProtection="1">
      <alignment horizontal="left" vertical="top" wrapText="1"/>
      <protection locked="0"/>
    </xf>
    <xf numFmtId="0" fontId="38" fillId="4" borderId="219" xfId="0" applyFont="1" applyFill="1" applyBorder="1" applyAlignment="1" applyProtection="1">
      <alignment horizontal="left" vertical="top" wrapText="1"/>
      <protection locked="0"/>
    </xf>
    <xf numFmtId="0" fontId="51" fillId="8" borderId="212" xfId="0" applyFont="1" applyFill="1" applyBorder="1" applyAlignment="1">
      <alignment horizontal="center" vertical="center"/>
    </xf>
    <xf numFmtId="0" fontId="51" fillId="8" borderId="213" xfId="0" applyFont="1" applyFill="1" applyBorder="1" applyAlignment="1">
      <alignment horizontal="center" vertical="center"/>
    </xf>
    <xf numFmtId="0" fontId="51" fillId="8" borderId="214" xfId="0" applyFont="1" applyFill="1" applyBorder="1" applyAlignment="1">
      <alignment horizontal="center" vertical="center"/>
    </xf>
    <xf numFmtId="0" fontId="337" fillId="0" borderId="0" xfId="0" applyFont="1" applyAlignment="1">
      <alignment horizontal="justify" vertical="center" wrapText="1"/>
    </xf>
    <xf numFmtId="0" fontId="81" fillId="0" borderId="0" xfId="0" applyFont="1" applyAlignment="1">
      <alignment horizontal="justify" vertical="center" wrapText="1"/>
    </xf>
    <xf numFmtId="49" fontId="131" fillId="20" borderId="0" xfId="0" applyNumberFormat="1" applyFont="1" applyFill="1" applyAlignment="1" applyProtection="1">
      <alignment horizontal="center" vertical="center" wrapText="1"/>
      <protection locked="0"/>
    </xf>
    <xf numFmtId="0" fontId="52" fillId="16" borderId="41" xfId="0" applyFont="1" applyFill="1" applyBorder="1" applyAlignment="1" applyProtection="1">
      <alignment horizontal="center" vertical="center"/>
      <protection locked="0"/>
    </xf>
    <xf numFmtId="0" fontId="52" fillId="16" borderId="27" xfId="0" applyFont="1" applyFill="1" applyBorder="1" applyAlignment="1" applyProtection="1">
      <alignment horizontal="center" vertical="center"/>
      <protection locked="0"/>
    </xf>
    <xf numFmtId="0" fontId="214" fillId="20" borderId="215" xfId="0" applyFont="1" applyFill="1" applyBorder="1" applyAlignment="1">
      <alignment horizontal="center" vertical="center" wrapText="1"/>
    </xf>
    <xf numFmtId="0" fontId="214" fillId="20" borderId="216" xfId="0" applyFont="1" applyFill="1" applyBorder="1" applyAlignment="1">
      <alignment horizontal="center" vertical="center" wrapText="1"/>
    </xf>
    <xf numFmtId="0" fontId="214" fillId="20" borderId="4" xfId="0" applyFont="1" applyFill="1" applyBorder="1" applyAlignment="1">
      <alignment horizontal="center" vertical="center" wrapText="1"/>
    </xf>
    <xf numFmtId="0" fontId="214" fillId="20" borderId="0" xfId="0" applyFont="1" applyFill="1" applyAlignment="1">
      <alignment horizontal="center" vertical="center" wrapText="1"/>
    </xf>
    <xf numFmtId="0" fontId="214" fillId="20" borderId="5" xfId="0" applyFont="1" applyFill="1" applyBorder="1" applyAlignment="1">
      <alignment horizontal="center" vertical="center" wrapText="1"/>
    </xf>
    <xf numFmtId="0" fontId="214" fillId="20" borderId="6" xfId="0" applyFont="1" applyFill="1" applyBorder="1" applyAlignment="1">
      <alignment horizontal="center" vertical="center" wrapText="1"/>
    </xf>
    <xf numFmtId="0" fontId="214" fillId="20" borderId="9" xfId="0" applyFont="1" applyFill="1" applyBorder="1" applyAlignment="1">
      <alignment horizontal="center" vertical="center" wrapText="1"/>
    </xf>
    <xf numFmtId="0" fontId="214" fillId="20" borderId="10" xfId="0" applyFont="1" applyFill="1" applyBorder="1" applyAlignment="1">
      <alignment horizontal="center" vertical="center" wrapText="1"/>
    </xf>
    <xf numFmtId="42" fontId="42" fillId="0" borderId="218" xfId="2" applyNumberFormat="1" applyFont="1" applyFill="1" applyBorder="1" applyAlignment="1" applyProtection="1">
      <alignment horizontal="center" vertical="center"/>
    </xf>
    <xf numFmtId="42" fontId="42" fillId="0" borderId="219" xfId="2" applyNumberFormat="1" applyFont="1" applyFill="1" applyBorder="1" applyAlignment="1" applyProtection="1">
      <alignment horizontal="center" vertical="center"/>
    </xf>
    <xf numFmtId="42" fontId="4" fillId="0" borderId="218" xfId="2" applyNumberFormat="1" applyFont="1" applyFill="1" applyBorder="1" applyAlignment="1" applyProtection="1">
      <alignment horizontal="center" vertical="center"/>
    </xf>
    <xf numFmtId="42" fontId="4" fillId="0" borderId="219" xfId="2" applyNumberFormat="1" applyFont="1" applyFill="1" applyBorder="1" applyAlignment="1" applyProtection="1">
      <alignment horizontal="center" vertical="center"/>
    </xf>
    <xf numFmtId="0" fontId="100" fillId="5" borderId="218" xfId="0" applyFont="1" applyFill="1" applyBorder="1" applyAlignment="1" applyProtection="1">
      <alignment horizontal="left" vertical="center"/>
      <protection locked="0"/>
    </xf>
    <xf numFmtId="0" fontId="100" fillId="5" borderId="220" xfId="0" applyFont="1" applyFill="1" applyBorder="1" applyAlignment="1" applyProtection="1">
      <alignment horizontal="left" vertical="center"/>
      <protection locked="0"/>
    </xf>
    <xf numFmtId="0" fontId="100" fillId="5" borderId="219" xfId="0" applyFont="1" applyFill="1" applyBorder="1" applyAlignment="1" applyProtection="1">
      <alignment horizontal="left" vertical="center"/>
      <protection locked="0"/>
    </xf>
    <xf numFmtId="0" fontId="42" fillId="5" borderId="218" xfId="0" applyFont="1" applyFill="1" applyBorder="1" applyAlignment="1" applyProtection="1">
      <alignment horizontal="center" vertical="center"/>
      <protection locked="0"/>
    </xf>
    <xf numFmtId="0" fontId="42" fillId="5" borderId="219" xfId="0" applyFont="1" applyFill="1" applyBorder="1" applyAlignment="1" applyProtection="1">
      <alignment horizontal="center" vertical="center"/>
      <protection locked="0"/>
    </xf>
    <xf numFmtId="0" fontId="39" fillId="5" borderId="123" xfId="0" applyFont="1" applyFill="1" applyBorder="1" applyAlignment="1" applyProtection="1">
      <alignment horizontal="left" vertical="top" wrapText="1"/>
      <protection locked="0"/>
    </xf>
    <xf numFmtId="0" fontId="39" fillId="5" borderId="42" xfId="0" applyFont="1" applyFill="1" applyBorder="1" applyAlignment="1" applyProtection="1">
      <alignment horizontal="left" vertical="top" wrapText="1"/>
      <protection locked="0"/>
    </xf>
    <xf numFmtId="0" fontId="39" fillId="5" borderId="26" xfId="0" applyFont="1" applyFill="1" applyBorder="1" applyAlignment="1" applyProtection="1">
      <alignment horizontal="left" vertical="top" wrapText="1"/>
      <protection locked="0"/>
    </xf>
    <xf numFmtId="0" fontId="39" fillId="5" borderId="124" xfId="0" applyFont="1" applyFill="1" applyBorder="1" applyAlignment="1" applyProtection="1">
      <alignment horizontal="left" vertical="top" wrapText="1"/>
      <protection locked="0"/>
    </xf>
    <xf numFmtId="0" fontId="39" fillId="5" borderId="16" xfId="0" applyFont="1" applyFill="1" applyBorder="1" applyAlignment="1" applyProtection="1">
      <alignment horizontal="left" vertical="top" wrapText="1"/>
      <protection locked="0"/>
    </xf>
    <xf numFmtId="0" fontId="39" fillId="5" borderId="23" xfId="0" applyFont="1" applyFill="1" applyBorder="1" applyAlignment="1" applyProtection="1">
      <alignment horizontal="left" vertical="top" wrapText="1"/>
      <protection locked="0"/>
    </xf>
    <xf numFmtId="0" fontId="39" fillId="5" borderId="227" xfId="0" applyFont="1" applyFill="1" applyBorder="1" applyAlignment="1" applyProtection="1">
      <alignment horizontal="left" vertical="top" wrapText="1"/>
      <protection locked="0"/>
    </xf>
    <xf numFmtId="0" fontId="39" fillId="5" borderId="222" xfId="0" applyFont="1" applyFill="1" applyBorder="1" applyAlignment="1" applyProtection="1">
      <alignment horizontal="left" vertical="top" wrapText="1"/>
      <protection locked="0"/>
    </xf>
    <xf numFmtId="0" fontId="39" fillId="5" borderId="223" xfId="0" applyFont="1" applyFill="1" applyBorder="1" applyAlignment="1" applyProtection="1">
      <alignment horizontal="left" vertical="top" wrapText="1"/>
      <protection locked="0"/>
    </xf>
    <xf numFmtId="169" fontId="42" fillId="5" borderId="218" xfId="0" applyNumberFormat="1" applyFont="1" applyFill="1" applyBorder="1" applyAlignment="1" applyProtection="1">
      <alignment horizontal="center" vertical="center"/>
      <protection locked="0"/>
    </xf>
    <xf numFmtId="0" fontId="42" fillId="0" borderId="219" xfId="0" applyFont="1" applyBorder="1" applyProtection="1">
      <protection locked="0"/>
    </xf>
    <xf numFmtId="0" fontId="42" fillId="10" borderId="22" xfId="0" applyFont="1" applyFill="1" applyBorder="1" applyAlignment="1" applyProtection="1">
      <alignment horizontal="center" vertical="center"/>
      <protection locked="0"/>
    </xf>
    <xf numFmtId="0" fontId="42" fillId="10" borderId="23" xfId="0" applyFont="1" applyFill="1" applyBorder="1" applyAlignment="1" applyProtection="1">
      <alignment horizontal="center" vertical="center"/>
      <protection locked="0"/>
    </xf>
    <xf numFmtId="167" fontId="42" fillId="5" borderId="6" xfId="0" applyNumberFormat="1" applyFont="1" applyFill="1" applyBorder="1" applyAlignment="1" applyProtection="1">
      <alignment horizontal="left" vertical="center"/>
      <protection locked="0"/>
    </xf>
    <xf numFmtId="167" fontId="42" fillId="5" borderId="219" xfId="0" applyNumberFormat="1" applyFont="1" applyFill="1" applyBorder="1" applyAlignment="1" applyProtection="1">
      <alignment horizontal="left" vertical="center"/>
      <protection locked="0"/>
    </xf>
    <xf numFmtId="0" fontId="42" fillId="5" borderId="218" xfId="0" applyFont="1" applyFill="1" applyBorder="1" applyAlignment="1" applyProtection="1">
      <alignment horizontal="left" vertical="center"/>
      <protection locked="0"/>
    </xf>
    <xf numFmtId="0" fontId="42" fillId="5" borderId="10" xfId="0" applyFont="1" applyFill="1" applyBorder="1" applyAlignment="1" applyProtection="1">
      <alignment horizontal="left" vertical="center"/>
      <protection locked="0"/>
    </xf>
    <xf numFmtId="0" fontId="42" fillId="0" borderId="222" xfId="0" applyFont="1" applyBorder="1" applyProtection="1">
      <protection locked="0"/>
    </xf>
    <xf numFmtId="0" fontId="42" fillId="0" borderId="223" xfId="0" applyFont="1" applyBorder="1" applyProtection="1">
      <protection locked="0"/>
    </xf>
    <xf numFmtId="0" fontId="42" fillId="0" borderId="14" xfId="0" applyFont="1" applyBorder="1" applyProtection="1">
      <protection locked="0"/>
    </xf>
    <xf numFmtId="0" fontId="42" fillId="0" borderId="42" xfId="0" applyFont="1" applyBorder="1" applyProtection="1">
      <protection locked="0"/>
    </xf>
    <xf numFmtId="0" fontId="42" fillId="0" borderId="24" xfId="0" applyFont="1" applyBorder="1" applyProtection="1">
      <protection locked="0"/>
    </xf>
    <xf numFmtId="0" fontId="42" fillId="5" borderId="22" xfId="0" applyFont="1" applyFill="1" applyBorder="1" applyAlignment="1" applyProtection="1">
      <alignment horizontal="left" vertical="center"/>
      <protection locked="0"/>
    </xf>
    <xf numFmtId="0" fontId="42" fillId="0" borderId="16" xfId="0" applyFont="1" applyBorder="1" applyProtection="1">
      <protection locked="0"/>
    </xf>
    <xf numFmtId="0" fontId="42" fillId="0" borderId="23" xfId="0" applyFont="1" applyBorder="1" applyProtection="1">
      <protection locked="0"/>
    </xf>
    <xf numFmtId="0" fontId="42" fillId="0" borderId="26" xfId="0" applyFont="1" applyBorder="1" applyProtection="1">
      <protection locked="0"/>
    </xf>
    <xf numFmtId="169" fontId="42" fillId="5" borderId="22" xfId="0" applyNumberFormat="1" applyFont="1" applyFill="1" applyBorder="1" applyAlignment="1" applyProtection="1">
      <alignment horizontal="left" vertical="center"/>
      <protection locked="0"/>
    </xf>
    <xf numFmtId="0" fontId="42" fillId="0" borderId="23" xfId="0" applyFont="1" applyBorder="1" applyAlignment="1" applyProtection="1">
      <alignment horizontal="left"/>
      <protection locked="0"/>
    </xf>
    <xf numFmtId="0" fontId="51" fillId="8" borderId="218" xfId="0" applyFont="1" applyFill="1" applyBorder="1" applyAlignment="1">
      <alignment horizontal="center" vertical="center"/>
    </xf>
    <xf numFmtId="0" fontId="51" fillId="8" borderId="220" xfId="0" applyFont="1" applyFill="1" applyBorder="1" applyAlignment="1">
      <alignment horizontal="center" vertical="center"/>
    </xf>
    <xf numFmtId="0" fontId="51" fillId="8" borderId="219" xfId="0" applyFont="1" applyFill="1" applyBorder="1" applyAlignment="1">
      <alignment horizontal="center" vertical="center"/>
    </xf>
    <xf numFmtId="0" fontId="42" fillId="5" borderId="25" xfId="0" applyFont="1" applyFill="1" applyBorder="1" applyAlignment="1" applyProtection="1">
      <alignment horizontal="left" vertical="center"/>
      <protection locked="0"/>
    </xf>
    <xf numFmtId="49" fontId="81" fillId="20" borderId="41" xfId="0" applyNumberFormat="1" applyFont="1" applyFill="1" applyBorder="1" applyAlignment="1">
      <alignment horizontal="center" vertical="center"/>
    </xf>
    <xf numFmtId="49" fontId="81" fillId="20" borderId="1" xfId="0" applyNumberFormat="1" applyFont="1" applyFill="1" applyBorder="1" applyAlignment="1">
      <alignment horizontal="center" vertical="center"/>
    </xf>
    <xf numFmtId="49" fontId="81" fillId="20" borderId="27" xfId="0" applyNumberFormat="1" applyFont="1" applyFill="1" applyBorder="1" applyAlignment="1">
      <alignment horizontal="center" vertical="center"/>
    </xf>
    <xf numFmtId="167" fontId="42" fillId="5" borderId="221" xfId="0" applyNumberFormat="1" applyFont="1" applyFill="1" applyBorder="1" applyAlignment="1" applyProtection="1">
      <alignment horizontal="left" vertical="center"/>
      <protection locked="0"/>
    </xf>
    <xf numFmtId="167" fontId="42" fillId="0" borderId="222" xfId="0" applyNumberFormat="1" applyFont="1" applyBorder="1" applyProtection="1">
      <protection locked="0"/>
    </xf>
    <xf numFmtId="167" fontId="42" fillId="0" borderId="223" xfId="0" applyNumberFormat="1" applyFont="1" applyBorder="1" applyProtection="1">
      <protection locked="0"/>
    </xf>
    <xf numFmtId="0" fontId="42" fillId="5" borderId="4" xfId="0" applyFont="1" applyFill="1" applyBorder="1" applyAlignment="1" applyProtection="1">
      <alignment horizontal="left" vertical="center"/>
      <protection locked="0"/>
    </xf>
    <xf numFmtId="0" fontId="42" fillId="0" borderId="9" xfId="0" applyFont="1" applyBorder="1" applyProtection="1">
      <protection locked="0"/>
    </xf>
    <xf numFmtId="0" fontId="42" fillId="0" borderId="0" xfId="0" applyFont="1" applyProtection="1">
      <protection locked="0"/>
    </xf>
    <xf numFmtId="0" fontId="42" fillId="0" borderId="215" xfId="0" applyFont="1" applyBorder="1" applyProtection="1">
      <protection locked="0"/>
    </xf>
    <xf numFmtId="0" fontId="42" fillId="0" borderId="10" xfId="0" applyFont="1" applyBorder="1" applyProtection="1">
      <protection locked="0"/>
    </xf>
    <xf numFmtId="0" fontId="42" fillId="5" borderId="21" xfId="0" applyFont="1" applyFill="1" applyBorder="1" applyAlignment="1" applyProtection="1">
      <alignment horizontal="left" vertical="center"/>
      <protection locked="0"/>
    </xf>
    <xf numFmtId="0" fontId="42" fillId="0" borderId="15" xfId="0" applyFont="1" applyBorder="1" applyProtection="1">
      <protection locked="0"/>
    </xf>
    <xf numFmtId="0" fontId="42" fillId="0" borderId="59" xfId="0" applyFont="1" applyBorder="1" applyProtection="1">
      <protection locked="0"/>
    </xf>
    <xf numFmtId="169" fontId="42" fillId="5" borderId="25" xfId="0" applyNumberFormat="1" applyFont="1" applyFill="1" applyBorder="1" applyAlignment="1" applyProtection="1">
      <alignment horizontal="center" vertical="center"/>
      <protection locked="0"/>
    </xf>
    <xf numFmtId="0" fontId="39" fillId="0" borderId="25" xfId="0" applyFont="1" applyBorder="1" applyAlignment="1">
      <alignment horizontal="left" vertical="top" wrapText="1"/>
    </xf>
    <xf numFmtId="0" fontId="39" fillId="0" borderId="42" xfId="0" applyFont="1" applyBorder="1" applyAlignment="1">
      <alignment horizontal="left" vertical="top" wrapText="1"/>
    </xf>
    <xf numFmtId="0" fontId="39" fillId="0" borderId="26" xfId="0" applyFont="1" applyBorder="1" applyAlignment="1">
      <alignment horizontal="left" vertical="top" wrapText="1"/>
    </xf>
    <xf numFmtId="0" fontId="39" fillId="5" borderId="25" xfId="0" applyFont="1" applyFill="1" applyBorder="1" applyAlignment="1" applyProtection="1">
      <alignment horizontal="left" vertical="top" wrapText="1"/>
      <protection locked="0"/>
    </xf>
    <xf numFmtId="0" fontId="39" fillId="5" borderId="60" xfId="0" applyFont="1" applyFill="1" applyBorder="1" applyAlignment="1" applyProtection="1">
      <alignment horizontal="left" vertical="top" wrapText="1"/>
      <protection locked="0"/>
    </xf>
    <xf numFmtId="0" fontId="39" fillId="0" borderId="22"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left" vertical="top" wrapText="1"/>
    </xf>
    <xf numFmtId="0" fontId="39" fillId="5" borderId="22" xfId="0" applyFont="1" applyFill="1" applyBorder="1" applyAlignment="1" applyProtection="1">
      <alignment horizontal="left" vertical="top" wrapText="1"/>
      <protection locked="0"/>
    </xf>
    <xf numFmtId="0" fontId="39" fillId="5" borderId="53" xfId="0" applyFont="1" applyFill="1" applyBorder="1" applyAlignment="1" applyProtection="1">
      <alignment horizontal="left" vertical="top" wrapText="1"/>
      <protection locked="0"/>
    </xf>
    <xf numFmtId="0" fontId="39" fillId="0" borderId="221" xfId="0" applyFont="1" applyBorder="1" applyAlignment="1">
      <alignment horizontal="left" vertical="top" wrapText="1"/>
    </xf>
    <xf numFmtId="0" fontId="39" fillId="0" borderId="222" xfId="0" applyFont="1" applyBorder="1" applyAlignment="1">
      <alignment horizontal="left" vertical="top" wrapText="1"/>
    </xf>
    <xf numFmtId="0" fontId="39" fillId="0" borderId="223" xfId="0" applyFont="1" applyBorder="1" applyAlignment="1">
      <alignment horizontal="left" vertical="top" wrapText="1"/>
    </xf>
    <xf numFmtId="0" fontId="39" fillId="5" borderId="221" xfId="0" applyFont="1" applyFill="1" applyBorder="1" applyAlignment="1" applyProtection="1">
      <alignment horizontal="left" vertical="top" wrapText="1"/>
      <protection locked="0"/>
    </xf>
    <xf numFmtId="0" fontId="39" fillId="5" borderId="230" xfId="0" applyFont="1" applyFill="1" applyBorder="1" applyAlignment="1" applyProtection="1">
      <alignment horizontal="left" vertical="top" wrapText="1"/>
      <protection locked="0"/>
    </xf>
    <xf numFmtId="0" fontId="42" fillId="0" borderId="224" xfId="0" applyFont="1" applyBorder="1" applyAlignment="1">
      <alignment horizontal="left" vertical="top" wrapText="1"/>
    </xf>
    <xf numFmtId="0" fontId="42" fillId="0" borderId="215" xfId="0" applyFont="1" applyBorder="1" applyAlignment="1">
      <alignment horizontal="left" vertical="top" wrapText="1"/>
    </xf>
    <xf numFmtId="0" fontId="42" fillId="0" borderId="4" xfId="0" applyFont="1" applyBorder="1" applyAlignment="1">
      <alignment horizontal="left" vertical="top" wrapText="1"/>
    </xf>
    <xf numFmtId="0" fontId="42" fillId="0" borderId="0" xfId="0" applyFont="1" applyAlignment="1">
      <alignment horizontal="left" vertical="top" wrapText="1"/>
    </xf>
    <xf numFmtId="0" fontId="42" fillId="0" borderId="6" xfId="0" applyFont="1" applyBorder="1" applyAlignment="1">
      <alignment horizontal="left" vertical="top" wrapText="1"/>
    </xf>
    <xf numFmtId="0" fontId="42" fillId="0" borderId="9" xfId="0" applyFont="1" applyBorder="1" applyAlignment="1">
      <alignment horizontal="left" vertical="top" wrapText="1"/>
    </xf>
    <xf numFmtId="0" fontId="42" fillId="0" borderId="224" xfId="0" applyFont="1" applyBorder="1" applyAlignment="1">
      <alignment horizontal="center" vertical="top" wrapText="1"/>
    </xf>
    <xf numFmtId="0" fontId="42" fillId="0" borderId="215" xfId="0" applyFont="1" applyBorder="1" applyAlignment="1">
      <alignment horizontal="center" vertical="top" wrapText="1"/>
    </xf>
    <xf numFmtId="0" fontId="42" fillId="0" borderId="216" xfId="0" applyFont="1" applyBorder="1" applyAlignment="1">
      <alignment horizontal="center" vertical="top" wrapText="1"/>
    </xf>
    <xf numFmtId="0" fontId="42" fillId="0" borderId="4" xfId="0" applyFont="1" applyBorder="1" applyAlignment="1">
      <alignment horizontal="center" vertical="top" wrapText="1"/>
    </xf>
    <xf numFmtId="0" fontId="42" fillId="0" borderId="0" xfId="0" applyFont="1" applyAlignment="1">
      <alignment horizontal="center" vertical="top" wrapText="1"/>
    </xf>
    <xf numFmtId="0" fontId="42" fillId="0" borderId="5" xfId="0" applyFont="1" applyBorder="1" applyAlignment="1">
      <alignment horizontal="center" vertical="top" wrapText="1"/>
    </xf>
    <xf numFmtId="0" fontId="42" fillId="0" borderId="226" xfId="0" applyFont="1" applyBorder="1" applyAlignment="1">
      <alignment horizontal="center" vertical="top" wrapText="1"/>
    </xf>
    <xf numFmtId="0" fontId="42" fillId="0" borderId="7" xfId="0" applyFont="1" applyBorder="1" applyAlignment="1">
      <alignment horizontal="center" vertical="top" wrapText="1"/>
    </xf>
    <xf numFmtId="0" fontId="42" fillId="0" borderId="8" xfId="0" applyFont="1" applyBorder="1" applyAlignment="1">
      <alignment horizontal="center" vertical="top" wrapText="1"/>
    </xf>
    <xf numFmtId="0" fontId="50" fillId="0" borderId="226" xfId="0" applyFont="1" applyBorder="1" applyAlignment="1">
      <alignment horizontal="center" vertical="top" wrapText="1"/>
    </xf>
    <xf numFmtId="0" fontId="50" fillId="0" borderId="7" xfId="0" applyFont="1" applyBorder="1" applyAlignment="1">
      <alignment horizontal="center" vertical="top" wrapText="1"/>
    </xf>
    <xf numFmtId="0" fontId="50" fillId="0" borderId="8" xfId="0" applyFont="1" applyBorder="1" applyAlignment="1">
      <alignment horizontal="center" vertical="top" wrapText="1"/>
    </xf>
    <xf numFmtId="0" fontId="80" fillId="0" borderId="224" xfId="0" applyFont="1" applyBorder="1" applyAlignment="1">
      <alignment horizontal="center" vertical="top" wrapText="1"/>
    </xf>
    <xf numFmtId="0" fontId="80" fillId="0" borderId="215" xfId="0" applyFont="1" applyBorder="1" applyAlignment="1">
      <alignment horizontal="center" vertical="top" wrapText="1"/>
    </xf>
    <xf numFmtId="0" fontId="80" fillId="0" borderId="216" xfId="0" applyFont="1" applyBorder="1" applyAlignment="1">
      <alignment horizontal="center" vertical="top" wrapText="1"/>
    </xf>
    <xf numFmtId="0" fontId="80" fillId="0" borderId="4" xfId="0" applyFont="1" applyBorder="1" applyAlignment="1">
      <alignment horizontal="center" vertical="top" wrapText="1"/>
    </xf>
    <xf numFmtId="0" fontId="80" fillId="0" borderId="0" xfId="0" applyFont="1" applyAlignment="1">
      <alignment horizontal="center" vertical="top" wrapText="1"/>
    </xf>
    <xf numFmtId="0" fontId="80" fillId="0" borderId="5" xfId="0" applyFont="1" applyBorder="1" applyAlignment="1">
      <alignment horizontal="center" vertical="top" wrapText="1"/>
    </xf>
    <xf numFmtId="0" fontId="39" fillId="0" borderId="20" xfId="0" applyFont="1" applyBorder="1" applyAlignment="1">
      <alignment horizontal="center" wrapText="1"/>
    </xf>
    <xf numFmtId="0" fontId="39" fillId="0" borderId="14" xfId="0" applyFont="1" applyBorder="1" applyAlignment="1">
      <alignment horizontal="center" wrapText="1"/>
    </xf>
    <xf numFmtId="0" fontId="39" fillId="0" borderId="29" xfId="0" applyFont="1" applyBorder="1" applyAlignment="1">
      <alignment horizontal="center" wrapText="1"/>
    </xf>
    <xf numFmtId="0" fontId="39" fillId="0" borderId="6" xfId="0" applyFont="1" applyBorder="1" applyAlignment="1">
      <alignment horizontal="center" wrapText="1"/>
    </xf>
    <xf numFmtId="0" fontId="39" fillId="0" borderId="9" xfId="0" applyFont="1" applyBorder="1" applyAlignment="1">
      <alignment horizontal="center" wrapText="1"/>
    </xf>
    <xf numFmtId="0" fontId="39" fillId="0" borderId="62" xfId="0" applyFont="1" applyBorder="1" applyAlignment="1">
      <alignment horizontal="center" wrapText="1"/>
    </xf>
    <xf numFmtId="0" fontId="42" fillId="0" borderId="9" xfId="0" applyFont="1" applyBorder="1" applyAlignment="1">
      <alignment horizontal="center"/>
    </xf>
    <xf numFmtId="0" fontId="42" fillId="0" borderId="10" xfId="0" applyFont="1" applyBorder="1" applyAlignment="1">
      <alignment horizontal="center"/>
    </xf>
    <xf numFmtId="0" fontId="42" fillId="0" borderId="218" xfId="0" applyFont="1" applyBorder="1" applyAlignment="1" applyProtection="1">
      <alignment horizontal="left" vertical="center" wrapText="1"/>
      <protection locked="0"/>
    </xf>
    <xf numFmtId="0" fontId="42" fillId="0" borderId="220" xfId="0" applyFont="1" applyBorder="1" applyAlignment="1" applyProtection="1">
      <alignment horizontal="left" vertical="center" wrapText="1"/>
      <protection locked="0"/>
    </xf>
    <xf numFmtId="0" fontId="42" fillId="0" borderId="219" xfId="0" applyFont="1" applyBorder="1" applyAlignment="1" applyProtection="1">
      <alignment horizontal="left" vertical="center" wrapText="1"/>
      <protection locked="0"/>
    </xf>
    <xf numFmtId="0" fontId="42" fillId="10" borderId="30" xfId="0" applyFont="1" applyFill="1" applyBorder="1" applyAlignment="1" applyProtection="1">
      <alignment horizontal="left" vertical="top" wrapText="1"/>
      <protection locked="0"/>
    </xf>
    <xf numFmtId="0" fontId="42" fillId="10" borderId="0" xfId="0" applyFont="1" applyFill="1" applyAlignment="1" applyProtection="1">
      <alignment horizontal="left" vertical="top" wrapText="1"/>
      <protection locked="0"/>
    </xf>
    <xf numFmtId="0" fontId="42" fillId="10" borderId="36" xfId="0" applyFont="1" applyFill="1" applyBorder="1" applyAlignment="1" applyProtection="1">
      <alignment horizontal="left" vertical="top" wrapText="1"/>
      <protection locked="0"/>
    </xf>
    <xf numFmtId="0" fontId="42" fillId="0" borderId="0" xfId="0" applyFont="1" applyAlignment="1">
      <alignment horizontal="right" vertical="center" wrapText="1"/>
    </xf>
    <xf numFmtId="0" fontId="42" fillId="5" borderId="22" xfId="0" applyFont="1" applyFill="1" applyBorder="1" applyAlignment="1" applyProtection="1">
      <alignment horizontal="left" vertical="center" wrapText="1"/>
      <protection locked="0"/>
    </xf>
    <xf numFmtId="0" fontId="42" fillId="5" borderId="16" xfId="0" applyFont="1" applyFill="1" applyBorder="1" applyAlignment="1" applyProtection="1">
      <alignment horizontal="left" vertical="center" wrapText="1"/>
      <protection locked="0"/>
    </xf>
    <xf numFmtId="0" fontId="42" fillId="5" borderId="23" xfId="0" applyFont="1" applyFill="1" applyBorder="1" applyAlignment="1" applyProtection="1">
      <alignment horizontal="left" vertical="center" wrapText="1"/>
      <protection locked="0"/>
    </xf>
    <xf numFmtId="38" fontId="42" fillId="5" borderId="22" xfId="0" applyNumberFormat="1" applyFont="1" applyFill="1" applyBorder="1" applyAlignment="1" applyProtection="1">
      <alignment horizontal="right" vertical="center"/>
      <protection locked="0"/>
    </xf>
    <xf numFmtId="38" fontId="42" fillId="5" borderId="23" xfId="0" applyNumberFormat="1" applyFont="1" applyFill="1" applyBorder="1" applyAlignment="1" applyProtection="1">
      <alignment horizontal="right" vertical="center"/>
      <protection locked="0"/>
    </xf>
    <xf numFmtId="0" fontId="37" fillId="0" borderId="0" xfId="0" applyFont="1" applyAlignment="1">
      <alignment horizontal="left" vertical="center" wrapText="1"/>
    </xf>
    <xf numFmtId="0" fontId="42" fillId="5" borderId="25" xfId="0" applyFont="1" applyFill="1" applyBorder="1" applyAlignment="1" applyProtection="1">
      <alignment horizontal="left" vertical="center" wrapText="1"/>
      <protection locked="0"/>
    </xf>
    <xf numFmtId="0" fontId="42" fillId="5" borderId="26" xfId="0" applyFont="1" applyFill="1" applyBorder="1" applyAlignment="1" applyProtection="1">
      <alignment horizontal="left" vertical="center" wrapText="1"/>
      <protection locked="0"/>
    </xf>
    <xf numFmtId="0" fontId="42" fillId="5" borderId="42" xfId="0" applyFont="1" applyFill="1" applyBorder="1" applyAlignment="1" applyProtection="1">
      <alignment horizontal="left" vertical="center" wrapText="1"/>
      <protection locked="0"/>
    </xf>
    <xf numFmtId="38" fontId="42" fillId="5" borderId="25" xfId="0" applyNumberFormat="1" applyFont="1" applyFill="1" applyBorder="1" applyAlignment="1" applyProtection="1">
      <alignment horizontal="right" vertical="center"/>
      <protection locked="0"/>
    </xf>
    <xf numFmtId="38" fontId="42" fillId="5" borderId="26" xfId="0"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center" vertical="center"/>
    </xf>
    <xf numFmtId="38" fontId="50" fillId="0" borderId="219" xfId="2" applyNumberFormat="1" applyFont="1" applyFill="1" applyBorder="1" applyAlignment="1" applyProtection="1">
      <alignment horizontal="center" vertical="center"/>
    </xf>
    <xf numFmtId="38" fontId="50" fillId="0" borderId="232" xfId="2" applyNumberFormat="1" applyFont="1" applyFill="1" applyBorder="1" applyAlignment="1" applyProtection="1">
      <alignment horizontal="center" vertical="center"/>
    </xf>
    <xf numFmtId="38" fontId="50" fillId="0" borderId="233" xfId="2" applyNumberFormat="1" applyFont="1" applyFill="1" applyBorder="1" applyAlignment="1" applyProtection="1">
      <alignment horizontal="center" vertical="center"/>
    </xf>
    <xf numFmtId="38" fontId="50" fillId="0" borderId="41" xfId="0" applyNumberFormat="1" applyFont="1" applyBorder="1" applyAlignment="1">
      <alignment horizontal="center" vertical="center"/>
    </xf>
    <xf numFmtId="38" fontId="50" fillId="0" borderId="27" xfId="0" applyNumberFormat="1" applyFont="1" applyBorder="1" applyAlignment="1">
      <alignment horizontal="center" vertical="center"/>
    </xf>
    <xf numFmtId="0" fontId="38" fillId="13" borderId="30" xfId="0" applyFont="1" applyFill="1" applyBorder="1" applyAlignment="1" applyProtection="1">
      <alignment horizontal="left" vertical="top" wrapText="1"/>
      <protection locked="0"/>
    </xf>
    <xf numFmtId="0" fontId="38" fillId="13" borderId="31" xfId="0" applyFont="1" applyFill="1" applyBorder="1" applyAlignment="1" applyProtection="1">
      <alignment horizontal="left" vertical="top" wrapText="1"/>
      <protection locked="0"/>
    </xf>
    <xf numFmtId="0" fontId="38" fillId="13" borderId="32" xfId="0" applyFont="1" applyFill="1" applyBorder="1" applyAlignment="1" applyProtection="1">
      <alignment horizontal="left" vertical="top" wrapText="1"/>
      <protection locked="0"/>
    </xf>
    <xf numFmtId="0" fontId="38" fillId="13" borderId="43" xfId="0" applyFont="1" applyFill="1" applyBorder="1" applyAlignment="1" applyProtection="1">
      <alignment horizontal="left" vertical="top" wrapText="1"/>
      <protection locked="0"/>
    </xf>
    <xf numFmtId="0" fontId="42" fillId="5" borderId="221" xfId="0" applyFont="1" applyFill="1" applyBorder="1" applyAlignment="1" applyProtection="1">
      <alignment horizontal="left" vertical="center" wrapText="1"/>
      <protection locked="0"/>
    </xf>
    <xf numFmtId="0" fontId="42" fillId="5" borderId="223" xfId="0" applyFont="1" applyFill="1" applyBorder="1" applyAlignment="1" applyProtection="1">
      <alignment horizontal="left" vertical="center" wrapText="1"/>
      <protection locked="0"/>
    </xf>
    <xf numFmtId="0" fontId="42" fillId="0" borderId="224" xfId="0" applyFont="1" applyBorder="1" applyAlignment="1">
      <alignment vertical="center"/>
    </xf>
    <xf numFmtId="0" fontId="42" fillId="0" borderId="215" xfId="0" applyFont="1" applyBorder="1" applyAlignment="1">
      <alignment vertical="center"/>
    </xf>
    <xf numFmtId="0" fontId="42" fillId="0" borderId="216" xfId="0" applyFont="1" applyBorder="1" applyAlignment="1">
      <alignment vertical="center"/>
    </xf>
    <xf numFmtId="0" fontId="42" fillId="5" borderId="222" xfId="0" applyFont="1" applyFill="1" applyBorder="1" applyAlignment="1" applyProtection="1">
      <alignment horizontal="left" vertical="center" wrapText="1"/>
      <protection locked="0"/>
    </xf>
    <xf numFmtId="38" fontId="42" fillId="5" borderId="221" xfId="0" applyNumberFormat="1" applyFont="1" applyFill="1" applyBorder="1" applyAlignment="1" applyProtection="1">
      <alignment horizontal="right" vertical="center"/>
      <protection locked="0"/>
    </xf>
    <xf numFmtId="38" fontId="42" fillId="5" borderId="223" xfId="0" applyNumberFormat="1" applyFont="1" applyFill="1" applyBorder="1" applyAlignment="1" applyProtection="1">
      <alignment horizontal="right" vertical="center"/>
      <protection locked="0"/>
    </xf>
    <xf numFmtId="0" fontId="38" fillId="13" borderId="33" xfId="0" applyFont="1" applyFill="1" applyBorder="1" applyAlignment="1" applyProtection="1">
      <alignment horizontal="left" vertical="top" wrapText="1"/>
      <protection locked="0"/>
    </xf>
    <xf numFmtId="0" fontId="38" fillId="13" borderId="29" xfId="0" applyFont="1" applyFill="1" applyBorder="1" applyAlignment="1" applyProtection="1">
      <alignment horizontal="left" vertical="top" wrapText="1"/>
      <protection locked="0"/>
    </xf>
    <xf numFmtId="0" fontId="42" fillId="0" borderId="4" xfId="0" applyFont="1" applyBorder="1" applyAlignment="1">
      <alignment vertical="center"/>
    </xf>
    <xf numFmtId="0" fontId="42" fillId="0" borderId="0" xfId="0" applyFont="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61" fillId="0" borderId="0" xfId="0" quotePrefix="1" applyFont="1" applyAlignment="1">
      <alignment horizontal="center" vertical="center"/>
    </xf>
    <xf numFmtId="3" fontId="38" fillId="0" borderId="0" xfId="0" applyNumberFormat="1" applyFont="1" applyAlignment="1">
      <alignment horizontal="center" vertical="center"/>
    </xf>
    <xf numFmtId="4" fontId="38" fillId="0" borderId="0" xfId="0" applyNumberFormat="1" applyFont="1" applyAlignment="1">
      <alignment horizontal="center" vertical="center"/>
    </xf>
    <xf numFmtId="3" fontId="42" fillId="10" borderId="25" xfId="0" applyNumberFormat="1" applyFont="1" applyFill="1" applyBorder="1" applyAlignment="1" applyProtection="1">
      <alignment horizontal="right" vertical="center"/>
      <protection locked="0"/>
    </xf>
    <xf numFmtId="3" fontId="42" fillId="10" borderId="26" xfId="0" applyNumberFormat="1" applyFont="1" applyFill="1" applyBorder="1" applyAlignment="1" applyProtection="1">
      <alignment horizontal="right" vertical="center"/>
      <protection locked="0"/>
    </xf>
    <xf numFmtId="38" fontId="42" fillId="6" borderId="218" xfId="2" applyNumberFormat="1" applyFont="1" applyFill="1" applyBorder="1" applyAlignment="1" applyProtection="1">
      <alignment horizontal="center" vertical="center"/>
      <protection locked="0"/>
    </xf>
    <xf numFmtId="38" fontId="42" fillId="6" borderId="219" xfId="2" applyNumberFormat="1" applyFont="1" applyFill="1" applyBorder="1" applyAlignment="1" applyProtection="1">
      <alignment horizontal="center" vertical="center"/>
      <protection locked="0"/>
    </xf>
    <xf numFmtId="37" fontId="38" fillId="0" borderId="53" xfId="0" applyNumberFormat="1" applyFont="1" applyBorder="1" applyAlignment="1">
      <alignment horizontal="center" vertical="center"/>
    </xf>
    <xf numFmtId="37" fontId="38" fillId="0" borderId="51" xfId="0" applyNumberFormat="1" applyFont="1" applyBorder="1" applyAlignment="1">
      <alignment horizontal="center" vertical="center"/>
    </xf>
    <xf numFmtId="166" fontId="42" fillId="0" borderId="53" xfId="0" applyNumberFormat="1" applyFont="1" applyBorder="1" applyAlignment="1">
      <alignment horizontal="center" vertical="center"/>
    </xf>
    <xf numFmtId="166" fontId="42" fillId="0" borderId="51" xfId="0" applyNumberFormat="1" applyFont="1" applyBorder="1" applyAlignment="1">
      <alignment horizontal="center" vertical="center"/>
    </xf>
    <xf numFmtId="38" fontId="42" fillId="0" borderId="30" xfId="2" applyNumberFormat="1" applyFont="1" applyFill="1" applyBorder="1" applyAlignment="1" applyProtection="1">
      <alignment horizontal="right" vertical="center"/>
      <protection locked="0"/>
    </xf>
    <xf numFmtId="38" fontId="42" fillId="0" borderId="31" xfId="2" applyNumberFormat="1" applyFont="1" applyFill="1" applyBorder="1" applyAlignment="1" applyProtection="1">
      <alignment horizontal="right" vertical="center"/>
      <protection locked="0"/>
    </xf>
    <xf numFmtId="3" fontId="42" fillId="0" borderId="53" xfId="0" applyNumberFormat="1" applyFont="1" applyBorder="1" applyAlignment="1">
      <alignment horizontal="center" vertical="center"/>
    </xf>
    <xf numFmtId="3" fontId="42" fillId="0" borderId="51" xfId="0" applyNumberFormat="1" applyFont="1" applyBorder="1" applyAlignment="1">
      <alignment horizontal="center" vertical="center"/>
    </xf>
    <xf numFmtId="38" fontId="42" fillId="6" borderId="22" xfId="2" applyNumberFormat="1" applyFont="1" applyFill="1" applyBorder="1" applyAlignment="1" applyProtection="1">
      <alignment horizontal="center" vertical="center"/>
      <protection locked="0"/>
    </xf>
    <xf numFmtId="38" fontId="42" fillId="6" borderId="23" xfId="2" applyNumberFormat="1" applyFont="1" applyFill="1" applyBorder="1" applyAlignment="1" applyProtection="1">
      <alignment horizontal="center" vertical="center"/>
      <protection locked="0"/>
    </xf>
    <xf numFmtId="0" fontId="42" fillId="5" borderId="218" xfId="0" applyFont="1" applyFill="1" applyBorder="1" applyAlignment="1" applyProtection="1">
      <alignment horizontal="left" vertical="center" wrapText="1"/>
      <protection locked="0"/>
    </xf>
    <xf numFmtId="0" fontId="42" fillId="5" borderId="219"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center" vertical="center"/>
      <protection locked="0"/>
    </xf>
    <xf numFmtId="0" fontId="42" fillId="5" borderId="26" xfId="0" applyFont="1" applyFill="1" applyBorder="1" applyAlignment="1" applyProtection="1">
      <alignment horizontal="center" vertical="center"/>
      <protection locked="0"/>
    </xf>
    <xf numFmtId="38" fontId="42" fillId="6" borderId="25" xfId="2" applyNumberFormat="1" applyFont="1" applyFill="1" applyBorder="1" applyAlignment="1" applyProtection="1">
      <alignment horizontal="center" vertical="center"/>
      <protection locked="0"/>
    </xf>
    <xf numFmtId="38" fontId="42" fillId="6" borderId="26" xfId="2" applyNumberFormat="1" applyFont="1" applyFill="1" applyBorder="1" applyAlignment="1" applyProtection="1">
      <alignment horizontal="center" vertical="center"/>
      <protection locked="0"/>
    </xf>
    <xf numFmtId="0" fontId="42" fillId="0" borderId="220" xfId="0" applyFont="1" applyBorder="1" applyAlignment="1">
      <alignment horizontal="center" vertical="center"/>
    </xf>
    <xf numFmtId="38" fontId="42" fillId="0" borderId="220" xfId="2" applyNumberFormat="1" applyFont="1" applyFill="1" applyBorder="1" applyAlignment="1" applyProtection="1">
      <alignment horizontal="center" vertical="center"/>
    </xf>
    <xf numFmtId="0" fontId="42" fillId="5" borderId="22" xfId="0" applyFont="1" applyFill="1" applyBorder="1" applyAlignment="1" applyProtection="1">
      <alignment horizontal="center" vertical="center"/>
      <protection locked="0"/>
    </xf>
    <xf numFmtId="0" fontId="42" fillId="5" borderId="23" xfId="0" applyFont="1" applyFill="1" applyBorder="1" applyAlignment="1" applyProtection="1">
      <alignment horizontal="center" vertical="center"/>
      <protection locked="0"/>
    </xf>
    <xf numFmtId="0" fontId="42" fillId="5" borderId="221" xfId="0" applyFont="1" applyFill="1" applyBorder="1" applyAlignment="1" applyProtection="1">
      <alignment horizontal="center" vertical="center"/>
      <protection locked="0"/>
    </xf>
    <xf numFmtId="0" fontId="42" fillId="5" borderId="223" xfId="0" applyFont="1" applyFill="1" applyBorder="1" applyAlignment="1" applyProtection="1">
      <alignment horizontal="center" vertical="center"/>
      <protection locked="0"/>
    </xf>
    <xf numFmtId="38" fontId="42" fillId="6" borderId="221" xfId="2" applyNumberFormat="1" applyFont="1" applyFill="1" applyBorder="1" applyAlignment="1" applyProtection="1">
      <alignment horizontal="center" vertical="center"/>
      <protection locked="0"/>
    </xf>
    <xf numFmtId="38" fontId="42" fillId="6" borderId="223" xfId="2" applyNumberFormat="1" applyFont="1" applyFill="1" applyBorder="1" applyAlignment="1" applyProtection="1">
      <alignment horizontal="center" vertical="center"/>
      <protection locked="0"/>
    </xf>
    <xf numFmtId="0" fontId="42" fillId="0" borderId="0" xfId="0" applyFont="1" applyAlignment="1">
      <alignment horizontal="center" vertical="center"/>
    </xf>
    <xf numFmtId="0" fontId="42" fillId="0" borderId="0" xfId="0" applyFont="1" applyAlignment="1">
      <alignment horizontal="center" wrapText="1"/>
    </xf>
    <xf numFmtId="0" fontId="42" fillId="0" borderId="9" xfId="0" applyFont="1" applyBorder="1" applyAlignment="1">
      <alignment horizontal="center" wrapText="1"/>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164" fontId="42" fillId="5" borderId="25" xfId="1" applyNumberFormat="1" applyFont="1" applyFill="1" applyBorder="1" applyAlignment="1" applyProtection="1">
      <alignment horizontal="right" vertical="center"/>
      <protection locked="0"/>
    </xf>
    <xf numFmtId="164" fontId="42" fillId="5" borderId="26" xfId="1"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right" vertical="center"/>
    </xf>
    <xf numFmtId="38" fontId="50" fillId="0" borderId="219" xfId="2" applyNumberFormat="1" applyFont="1" applyFill="1" applyBorder="1" applyAlignment="1" applyProtection="1">
      <alignment horizontal="right" vertical="center"/>
    </xf>
    <xf numFmtId="38" fontId="50" fillId="11" borderId="218" xfId="2" applyNumberFormat="1" applyFont="1" applyFill="1" applyBorder="1" applyAlignment="1" applyProtection="1">
      <alignment horizontal="right" vertical="center"/>
      <protection locked="0"/>
    </xf>
    <xf numFmtId="38" fontId="50" fillId="11" borderId="219" xfId="2" applyNumberFormat="1" applyFont="1" applyFill="1" applyBorder="1" applyAlignment="1" applyProtection="1">
      <alignment horizontal="right" vertical="center"/>
      <protection locked="0"/>
    </xf>
    <xf numFmtId="38" fontId="50" fillId="0" borderId="218" xfId="0" applyNumberFormat="1" applyFont="1" applyBorder="1" applyAlignment="1">
      <alignment horizontal="right" vertical="center"/>
    </xf>
    <xf numFmtId="38" fontId="50" fillId="0" borderId="219" xfId="0" applyNumberFormat="1" applyFont="1" applyBorder="1" applyAlignment="1">
      <alignment horizontal="right" vertical="center"/>
    </xf>
    <xf numFmtId="164" fontId="42" fillId="5" borderId="22" xfId="1" applyNumberFormat="1" applyFont="1" applyFill="1" applyBorder="1" applyAlignment="1" applyProtection="1">
      <alignment horizontal="right" vertical="center"/>
      <protection locked="0"/>
    </xf>
    <xf numFmtId="164" fontId="42" fillId="5" borderId="23" xfId="1" applyNumberFormat="1" applyFont="1" applyFill="1" applyBorder="1" applyAlignment="1" applyProtection="1">
      <alignment horizontal="right" vertical="center"/>
      <protection locked="0"/>
    </xf>
    <xf numFmtId="164" fontId="42" fillId="5" borderId="221" xfId="1" applyNumberFormat="1" applyFont="1" applyFill="1" applyBorder="1" applyAlignment="1" applyProtection="1">
      <alignment horizontal="right" vertical="center"/>
      <protection locked="0"/>
    </xf>
    <xf numFmtId="164" fontId="42" fillId="5" borderId="223" xfId="1" applyNumberFormat="1" applyFont="1" applyFill="1" applyBorder="1" applyAlignment="1" applyProtection="1">
      <alignment horizontal="right" vertical="center"/>
      <protection locked="0"/>
    </xf>
    <xf numFmtId="166" fontId="42" fillId="0" borderId="224" xfId="10" applyNumberFormat="1" applyFont="1" applyFill="1" applyBorder="1" applyAlignment="1" applyProtection="1">
      <alignment vertical="center"/>
    </xf>
    <xf numFmtId="166" fontId="42" fillId="0" borderId="215" xfId="10" applyNumberFormat="1" applyFont="1" applyFill="1" applyBorder="1" applyAlignment="1" applyProtection="1">
      <alignment vertical="center"/>
    </xf>
    <xf numFmtId="0" fontId="42" fillId="0" borderId="215" xfId="0" applyFont="1" applyBorder="1" applyAlignment="1">
      <alignment horizontal="center" vertical="center"/>
    </xf>
    <xf numFmtId="166" fontId="42" fillId="0" borderId="4" xfId="10" applyNumberFormat="1" applyFont="1" applyFill="1" applyBorder="1" applyAlignment="1" applyProtection="1">
      <alignment vertical="center"/>
    </xf>
    <xf numFmtId="166" fontId="42" fillId="0" borderId="0" xfId="10" applyNumberFormat="1" applyFont="1" applyFill="1" applyBorder="1" applyAlignment="1" applyProtection="1">
      <alignment vertical="center"/>
    </xf>
    <xf numFmtId="166" fontId="42" fillId="5" borderId="22" xfId="10" applyNumberFormat="1" applyFont="1" applyFill="1" applyBorder="1" applyAlignment="1" applyProtection="1">
      <alignment horizontal="center" vertical="center"/>
      <protection locked="0"/>
    </xf>
    <xf numFmtId="166" fontId="42" fillId="5" borderId="23" xfId="10" applyNumberFormat="1" applyFont="1" applyFill="1" applyBorder="1" applyAlignment="1" applyProtection="1">
      <alignment horizontal="center" vertical="center"/>
      <protection locked="0"/>
    </xf>
    <xf numFmtId="0" fontId="9" fillId="0" borderId="0" xfId="0" applyFont="1" applyAlignment="1">
      <alignment horizontal="left" vertical="center"/>
    </xf>
    <xf numFmtId="3" fontId="42" fillId="5" borderId="22" xfId="0" applyNumberFormat="1" applyFont="1" applyFill="1" applyBorder="1" applyAlignment="1" applyProtection="1">
      <alignment horizontal="center" vertical="center"/>
      <protection locked="0"/>
    </xf>
    <xf numFmtId="3" fontId="42" fillId="5" borderId="23" xfId="0" applyNumberFormat="1" applyFont="1" applyFill="1" applyBorder="1" applyAlignment="1" applyProtection="1">
      <alignment horizontal="center" vertical="center"/>
      <protection locked="0"/>
    </xf>
    <xf numFmtId="0" fontId="42" fillId="0" borderId="6" xfId="0" applyFont="1" applyBorder="1" applyAlignment="1">
      <alignment vertical="center"/>
    </xf>
    <xf numFmtId="0" fontId="42" fillId="0" borderId="9" xfId="0" applyFont="1" applyBorder="1" applyAlignment="1">
      <alignment vertical="center"/>
    </xf>
    <xf numFmtId="166" fontId="42" fillId="5" borderId="25" xfId="10" applyNumberFormat="1" applyFont="1" applyFill="1" applyBorder="1" applyAlignment="1" applyProtection="1">
      <alignment horizontal="center" vertical="center"/>
      <protection locked="0"/>
    </xf>
    <xf numFmtId="166" fontId="42" fillId="5" borderId="26" xfId="10" applyNumberFormat="1" applyFont="1" applyFill="1" applyBorder="1" applyAlignment="1" applyProtection="1">
      <alignment horizontal="center" vertical="center"/>
      <protection locked="0"/>
    </xf>
    <xf numFmtId="3" fontId="42" fillId="5" borderId="25" xfId="0" applyNumberFormat="1" applyFont="1" applyFill="1" applyBorder="1" applyAlignment="1" applyProtection="1">
      <alignment horizontal="center" vertical="center"/>
      <protection locked="0"/>
    </xf>
    <xf numFmtId="3" fontId="42" fillId="5" borderId="26" xfId="0" applyNumberFormat="1" applyFont="1" applyFill="1" applyBorder="1" applyAlignment="1" applyProtection="1">
      <alignment horizontal="center" vertical="center"/>
      <protection locked="0"/>
    </xf>
    <xf numFmtId="166" fontId="42" fillId="5" borderId="221" xfId="10" applyNumberFormat="1" applyFont="1" applyFill="1" applyBorder="1" applyAlignment="1" applyProtection="1">
      <alignment horizontal="center" vertical="center"/>
      <protection locked="0"/>
    </xf>
    <xf numFmtId="166" fontId="42" fillId="5" borderId="223" xfId="10" applyNumberFormat="1" applyFont="1" applyFill="1" applyBorder="1" applyAlignment="1" applyProtection="1">
      <alignment horizontal="center" vertical="center"/>
      <protection locked="0"/>
    </xf>
    <xf numFmtId="3" fontId="42" fillId="5" borderId="221" xfId="1" applyNumberFormat="1" applyFont="1" applyFill="1" applyBorder="1" applyAlignment="1" applyProtection="1">
      <alignment horizontal="center" vertical="center"/>
      <protection locked="0"/>
    </xf>
    <xf numFmtId="3" fontId="42" fillId="5" borderId="223" xfId="1" applyNumberFormat="1" applyFont="1" applyFill="1" applyBorder="1" applyAlignment="1" applyProtection="1">
      <alignment horizontal="center" vertical="center"/>
      <protection locked="0"/>
    </xf>
    <xf numFmtId="0" fontId="38" fillId="10" borderId="22" xfId="0" applyFont="1" applyFill="1" applyBorder="1" applyAlignment="1" applyProtection="1">
      <alignment horizontal="left" vertical="center"/>
      <protection locked="0"/>
    </xf>
    <xf numFmtId="0" fontId="38" fillId="10" borderId="16" xfId="0" applyFont="1" applyFill="1" applyBorder="1" applyAlignment="1" applyProtection="1">
      <alignment horizontal="left" vertical="center"/>
      <protection locked="0"/>
    </xf>
    <xf numFmtId="0" fontId="38" fillId="10" borderId="23" xfId="0" applyFont="1" applyFill="1" applyBorder="1" applyAlignment="1" applyProtection="1">
      <alignment horizontal="left" vertical="center"/>
      <protection locked="0"/>
    </xf>
    <xf numFmtId="0" fontId="38" fillId="5" borderId="53" xfId="0" applyFont="1" applyFill="1" applyBorder="1" applyAlignment="1" applyProtection="1">
      <alignment horizontal="left" vertical="center"/>
      <protection locked="0"/>
    </xf>
    <xf numFmtId="0" fontId="38" fillId="5" borderId="16" xfId="0" applyFont="1" applyFill="1" applyBorder="1" applyAlignment="1" applyProtection="1">
      <alignment horizontal="left" vertical="center"/>
      <protection locked="0"/>
    </xf>
    <xf numFmtId="0" fontId="38" fillId="5" borderId="23" xfId="0" applyFont="1" applyFill="1" applyBorder="1" applyAlignment="1" applyProtection="1">
      <alignment horizontal="left" vertical="center"/>
      <protection locked="0"/>
    </xf>
    <xf numFmtId="0" fontId="38" fillId="10" borderId="20" xfId="0" applyFont="1" applyFill="1" applyBorder="1" applyAlignment="1" applyProtection="1">
      <alignment horizontal="left" vertical="center"/>
      <protection locked="0"/>
    </xf>
    <xf numFmtId="0" fontId="38" fillId="10" borderId="14" xfId="0" applyFont="1" applyFill="1" applyBorder="1" applyAlignment="1" applyProtection="1">
      <alignment horizontal="left" vertical="center"/>
      <protection locked="0"/>
    </xf>
    <xf numFmtId="0" fontId="38" fillId="10" borderId="24" xfId="0" applyFont="1" applyFill="1" applyBorder="1" applyAlignment="1" applyProtection="1">
      <alignment horizontal="left" vertical="center"/>
      <protection locked="0"/>
    </xf>
    <xf numFmtId="0" fontId="38" fillId="10" borderId="25" xfId="0" applyFont="1" applyFill="1" applyBorder="1" applyAlignment="1" applyProtection="1">
      <alignment horizontal="left" vertical="center"/>
      <protection locked="0"/>
    </xf>
    <xf numFmtId="0" fontId="38" fillId="10" borderId="42" xfId="0" applyFont="1" applyFill="1" applyBorder="1" applyAlignment="1" applyProtection="1">
      <alignment horizontal="left" vertical="center"/>
      <protection locked="0"/>
    </xf>
    <xf numFmtId="0" fontId="38" fillId="10" borderId="26" xfId="0" applyFont="1" applyFill="1" applyBorder="1" applyAlignment="1" applyProtection="1">
      <alignment horizontal="left" vertical="center"/>
      <protection locked="0"/>
    </xf>
    <xf numFmtId="3" fontId="42" fillId="10" borderId="218" xfId="0" applyNumberFormat="1" applyFont="1" applyFill="1" applyBorder="1" applyAlignment="1" applyProtection="1">
      <alignment horizontal="left" vertical="center"/>
      <protection locked="0"/>
    </xf>
    <xf numFmtId="3" fontId="42" fillId="10" borderId="219" xfId="0" applyNumberFormat="1" applyFont="1" applyFill="1" applyBorder="1" applyAlignment="1" applyProtection="1">
      <alignment horizontal="left" vertical="center"/>
      <protection locked="0"/>
    </xf>
    <xf numFmtId="0" fontId="83" fillId="12" borderId="0" xfId="0" applyFont="1" applyFill="1" applyAlignment="1">
      <alignment horizontal="center" vertical="center"/>
    </xf>
    <xf numFmtId="49" fontId="97" fillId="20" borderId="218" xfId="0" applyNumberFormat="1" applyFont="1" applyFill="1" applyBorder="1" applyAlignment="1">
      <alignment horizontal="center" vertical="center"/>
    </xf>
    <xf numFmtId="49" fontId="97" fillId="20" borderId="220" xfId="0" applyNumberFormat="1" applyFont="1" applyFill="1" applyBorder="1" applyAlignment="1">
      <alignment horizontal="center" vertical="center"/>
    </xf>
    <xf numFmtId="49" fontId="97" fillId="20" borderId="219" xfId="0" applyNumberFormat="1" applyFont="1" applyFill="1" applyBorder="1" applyAlignment="1">
      <alignment horizontal="center" vertical="center"/>
    </xf>
    <xf numFmtId="0" fontId="38" fillId="10" borderId="218" xfId="0" applyFont="1" applyFill="1" applyBorder="1" applyAlignment="1" applyProtection="1">
      <alignment horizontal="left" vertical="center"/>
      <protection locked="0"/>
    </xf>
    <xf numFmtId="0" fontId="38" fillId="10" borderId="220" xfId="0" applyFont="1" applyFill="1" applyBorder="1" applyAlignment="1" applyProtection="1">
      <alignment horizontal="left" vertical="center"/>
      <protection locked="0"/>
    </xf>
    <xf numFmtId="0" fontId="38" fillId="10" borderId="219" xfId="0" applyFont="1" applyFill="1" applyBorder="1" applyAlignment="1" applyProtection="1">
      <alignment horizontal="left" vertical="center"/>
      <protection locked="0"/>
    </xf>
    <xf numFmtId="0" fontId="38" fillId="5" borderId="230" xfId="0" applyFont="1" applyFill="1" applyBorder="1" applyAlignment="1" applyProtection="1">
      <alignment horizontal="left" vertical="center"/>
      <protection locked="0"/>
    </xf>
    <xf numFmtId="0" fontId="38" fillId="5" borderId="222" xfId="0" applyFont="1" applyFill="1" applyBorder="1" applyAlignment="1" applyProtection="1">
      <alignment horizontal="left" vertical="center"/>
      <protection locked="0"/>
    </xf>
    <xf numFmtId="0" fontId="38" fillId="5" borderId="223" xfId="0" applyFont="1" applyFill="1" applyBorder="1" applyAlignment="1" applyProtection="1">
      <alignment horizontal="left" vertical="center"/>
      <protection locked="0"/>
    </xf>
    <xf numFmtId="0" fontId="25" fillId="0" borderId="0" xfId="0" applyFont="1" applyAlignment="1">
      <alignment horizontal="center"/>
    </xf>
    <xf numFmtId="0" fontId="25" fillId="0" borderId="0" xfId="0" applyFont="1" applyAlignment="1">
      <alignment horizontal="center" vertical="top" wrapText="1"/>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215" xfId="0" applyNumberFormat="1" applyFont="1" applyBorder="1" applyAlignment="1">
      <alignment horizontal="center"/>
    </xf>
    <xf numFmtId="8" fontId="4" fillId="0" borderId="14" xfId="0" applyNumberFormat="1" applyFont="1" applyBorder="1" applyAlignment="1">
      <alignment horizontal="center"/>
    </xf>
    <xf numFmtId="0" fontId="29" fillId="8" borderId="218" xfId="0" applyFont="1" applyFill="1" applyBorder="1" applyAlignment="1">
      <alignment horizontal="center" vertical="center"/>
    </xf>
    <xf numFmtId="0" fontId="29" fillId="8" borderId="220" xfId="0" applyFont="1" applyFill="1" applyBorder="1" applyAlignment="1">
      <alignment horizontal="center" vertical="center"/>
    </xf>
    <xf numFmtId="0" fontId="29" fillId="8" borderId="219" xfId="0" applyFont="1" applyFill="1" applyBorder="1" applyAlignment="1">
      <alignment horizontal="center" vertical="center"/>
    </xf>
    <xf numFmtId="0" fontId="9" fillId="0" borderId="9" xfId="0" applyFont="1" applyBorder="1" applyAlignment="1">
      <alignment horizontal="center" vertical="center" wrapText="1"/>
    </xf>
    <xf numFmtId="0" fontId="26"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0" fillId="0" borderId="0" xfId="0" applyAlignment="1">
      <alignment horizontal="center" wrapText="1"/>
    </xf>
    <xf numFmtId="0" fontId="14" fillId="13" borderId="60" xfId="0" applyFont="1" applyFill="1" applyBorder="1" applyAlignment="1" applyProtection="1">
      <alignment horizontal="left" vertical="top" wrapText="1"/>
      <protection locked="0"/>
    </xf>
    <xf numFmtId="0" fontId="14" fillId="13" borderId="52" xfId="0" applyFont="1" applyFill="1" applyBorder="1" applyAlignment="1" applyProtection="1">
      <alignment horizontal="left" vertical="top" wrapText="1"/>
      <protection locked="0"/>
    </xf>
    <xf numFmtId="164" fontId="42" fillId="0" borderId="44" xfId="1" applyNumberFormat="1" applyFont="1" applyFill="1" applyBorder="1" applyAlignment="1" applyProtection="1">
      <alignment horizontal="right" vertical="center"/>
    </xf>
    <xf numFmtId="164" fontId="42" fillId="0" borderId="45" xfId="1" applyNumberFormat="1" applyFont="1" applyFill="1" applyBorder="1" applyAlignment="1" applyProtection="1">
      <alignment horizontal="right" vertical="center"/>
    </xf>
    <xf numFmtId="0" fontId="336" fillId="0" borderId="141" xfId="0" applyFont="1" applyBorder="1" applyAlignment="1">
      <alignment horizontal="center" vertical="center"/>
    </xf>
    <xf numFmtId="0" fontId="336" fillId="0" borderId="144" xfId="0" applyFont="1" applyBorder="1" applyAlignment="1">
      <alignment horizontal="center" vertical="center"/>
    </xf>
    <xf numFmtId="0" fontId="202" fillId="0" borderId="0" xfId="0" applyFont="1" applyAlignment="1">
      <alignment horizontal="center" wrapText="1"/>
    </xf>
    <xf numFmtId="0" fontId="39" fillId="0" borderId="164" xfId="0" applyFont="1" applyBorder="1" applyAlignment="1">
      <alignment horizontal="center" vertical="center"/>
    </xf>
    <xf numFmtId="0" fontId="14" fillId="13" borderId="53" xfId="0" applyFont="1" applyFill="1" applyBorder="1" applyAlignment="1" applyProtection="1">
      <alignment horizontal="left" vertical="top" wrapText="1"/>
      <protection locked="0"/>
    </xf>
    <xf numFmtId="0" fontId="14" fillId="13" borderId="51" xfId="0" applyFont="1" applyFill="1" applyBorder="1" applyAlignment="1" applyProtection="1">
      <alignment horizontal="left" vertical="top" wrapText="1"/>
      <protection locked="0"/>
    </xf>
    <xf numFmtId="0" fontId="39" fillId="0" borderId="0" xfId="0" applyFont="1" applyAlignment="1">
      <alignment horizontal="center" wrapText="1"/>
    </xf>
    <xf numFmtId="3" fontId="109" fillId="0" borderId="0" xfId="0" applyNumberFormat="1" applyFont="1" applyAlignment="1">
      <alignment horizontal="center" vertical="top" wrapText="1"/>
    </xf>
    <xf numFmtId="0" fontId="80" fillId="0" borderId="0" xfId="0" applyFont="1" applyAlignment="1">
      <alignment horizontal="center" wrapText="1"/>
    </xf>
    <xf numFmtId="0" fontId="80" fillId="0" borderId="9" xfId="0" applyFont="1" applyBorder="1" applyAlignment="1">
      <alignment horizontal="center" wrapText="1"/>
    </xf>
    <xf numFmtId="38" fontId="50" fillId="0" borderId="221" xfId="0" applyNumberFormat="1" applyFont="1" applyBorder="1" applyAlignment="1">
      <alignment horizontal="center" vertical="center"/>
    </xf>
    <xf numFmtId="38" fontId="50" fillId="0" borderId="223" xfId="0" applyNumberFormat="1" applyFont="1" applyBorder="1" applyAlignment="1">
      <alignment horizontal="center" vertical="center"/>
    </xf>
    <xf numFmtId="38" fontId="50" fillId="0" borderId="25" xfId="0" applyNumberFormat="1" applyFont="1" applyBorder="1" applyAlignment="1">
      <alignment horizontal="center" vertical="center"/>
    </xf>
    <xf numFmtId="38" fontId="50" fillId="0" borderId="26" xfId="0" applyNumberFormat="1" applyFont="1" applyBorder="1" applyAlignment="1">
      <alignment horizontal="center" vertical="center"/>
    </xf>
    <xf numFmtId="0" fontId="39" fillId="0" borderId="9" xfId="0" applyFont="1" applyBorder="1" applyAlignment="1">
      <alignment horizontal="center" vertical="center"/>
    </xf>
    <xf numFmtId="0" fontId="14" fillId="13" borderId="230" xfId="0" applyFont="1" applyFill="1" applyBorder="1" applyAlignment="1" applyProtection="1">
      <alignment horizontal="left" vertical="top" wrapText="1"/>
      <protection locked="0"/>
    </xf>
    <xf numFmtId="0" fontId="14" fillId="13" borderId="234" xfId="0" applyFont="1" applyFill="1" applyBorder="1" applyAlignment="1" applyProtection="1">
      <alignment horizontal="left" vertical="top" wrapText="1"/>
      <protection locked="0"/>
    </xf>
    <xf numFmtId="38" fontId="42" fillId="0" borderId="221" xfId="0" applyNumberFormat="1" applyFont="1" applyBorder="1" applyAlignment="1">
      <alignment horizontal="center" vertical="center"/>
    </xf>
    <xf numFmtId="38" fontId="42" fillId="0" borderId="222" xfId="0" applyNumberFormat="1" applyFont="1" applyBorder="1" applyAlignment="1">
      <alignment horizontal="center" vertical="center"/>
    </xf>
    <xf numFmtId="38" fontId="42" fillId="0" borderId="223" xfId="0" applyNumberFormat="1" applyFont="1" applyBorder="1" applyAlignment="1">
      <alignment horizontal="center" vertical="center"/>
    </xf>
    <xf numFmtId="0" fontId="46" fillId="0" borderId="46"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0" xfId="0" applyFont="1" applyAlignment="1">
      <alignment horizontal="center" vertical="center" wrapText="1"/>
    </xf>
    <xf numFmtId="0" fontId="46" fillId="0" borderId="36" xfId="0" applyFont="1" applyBorder="1" applyAlignment="1">
      <alignment horizontal="center" vertical="center" wrapText="1"/>
    </xf>
    <xf numFmtId="0" fontId="46" fillId="0" borderId="92"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97"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36" xfId="0" applyFont="1" applyBorder="1" applyAlignment="1">
      <alignment horizontal="center" vertical="center" wrapText="1"/>
    </xf>
    <xf numFmtId="38" fontId="42" fillId="0" borderId="22" xfId="0" applyNumberFormat="1" applyFont="1" applyBorder="1" applyAlignment="1">
      <alignment horizontal="center" vertical="center"/>
    </xf>
    <xf numFmtId="38" fontId="42" fillId="0" borderId="23" xfId="0" applyNumberFormat="1" applyFont="1" applyBorder="1" applyAlignment="1">
      <alignment horizontal="center" vertical="center"/>
    </xf>
    <xf numFmtId="10" fontId="42" fillId="5" borderId="22" xfId="0" applyNumberFormat="1" applyFont="1" applyFill="1" applyBorder="1" applyAlignment="1" applyProtection="1">
      <alignment horizontal="center" vertical="center"/>
      <protection locked="0"/>
    </xf>
    <xf numFmtId="10" fontId="42" fillId="5" borderId="23" xfId="0" applyNumberFormat="1" applyFont="1" applyFill="1" applyBorder="1" applyAlignment="1" applyProtection="1">
      <alignment horizontal="center" vertical="center"/>
      <protection locked="0"/>
    </xf>
    <xf numFmtId="38" fontId="42" fillId="0" borderId="218" xfId="0" applyNumberFormat="1" applyFont="1" applyBorder="1" applyAlignment="1">
      <alignment horizontal="center" vertical="center"/>
    </xf>
    <xf numFmtId="38" fontId="42" fillId="0" borderId="219" xfId="0" applyNumberFormat="1" applyFont="1" applyBorder="1" applyAlignment="1">
      <alignment horizontal="center" vertical="center"/>
    </xf>
    <xf numFmtId="0" fontId="39" fillId="10" borderId="224" xfId="0" applyFont="1" applyFill="1" applyBorder="1" applyAlignment="1" applyProtection="1">
      <alignment horizontal="center" vertical="center" wrapText="1"/>
      <protection locked="0"/>
    </xf>
    <xf numFmtId="0" fontId="39" fillId="10" borderId="215" xfId="0" applyFont="1" applyFill="1" applyBorder="1" applyAlignment="1" applyProtection="1">
      <alignment horizontal="center" vertical="center" wrapText="1"/>
      <protection locked="0"/>
    </xf>
    <xf numFmtId="0" fontId="39" fillId="10" borderId="216" xfId="0" applyFont="1" applyFill="1" applyBorder="1" applyAlignment="1" applyProtection="1">
      <alignment horizontal="center" vertical="center" wrapText="1"/>
      <protection locked="0"/>
    </xf>
    <xf numFmtId="0" fontId="39" fillId="10" borderId="4" xfId="0" applyFont="1" applyFill="1" applyBorder="1" applyAlignment="1" applyProtection="1">
      <alignment horizontal="center" vertical="center" wrapText="1"/>
      <protection locked="0"/>
    </xf>
    <xf numFmtId="0" fontId="39" fillId="10" borderId="0" xfId="0" applyFont="1" applyFill="1" applyAlignment="1" applyProtection="1">
      <alignment horizontal="center" vertical="center" wrapText="1"/>
      <protection locked="0"/>
    </xf>
    <xf numFmtId="0" fontId="39" fillId="10" borderId="5" xfId="0" applyFont="1" applyFill="1" applyBorder="1" applyAlignment="1" applyProtection="1">
      <alignment horizontal="center" vertical="center" wrapText="1"/>
      <protection locked="0"/>
    </xf>
    <xf numFmtId="0" fontId="39" fillId="10" borderId="6" xfId="0" applyFont="1" applyFill="1" applyBorder="1" applyAlignment="1" applyProtection="1">
      <alignment horizontal="center" vertical="center" wrapText="1"/>
      <protection locked="0"/>
    </xf>
    <xf numFmtId="0" fontId="39" fillId="10" borderId="9" xfId="0" applyFont="1" applyFill="1" applyBorder="1" applyAlignment="1" applyProtection="1">
      <alignment horizontal="center" vertical="center" wrapText="1"/>
      <protection locked="0"/>
    </xf>
    <xf numFmtId="0" fontId="39" fillId="10" borderId="10" xfId="0" applyFont="1" applyFill="1" applyBorder="1" applyAlignment="1" applyProtection="1">
      <alignment horizontal="center" vertical="center" wrapText="1"/>
      <protection locked="0"/>
    </xf>
    <xf numFmtId="10" fontId="42" fillId="0" borderId="220" xfId="0" applyNumberFormat="1" applyFont="1" applyBorder="1" applyAlignment="1">
      <alignment horizontal="center" vertical="center"/>
    </xf>
    <xf numFmtId="0" fontId="38" fillId="5" borderId="217" xfId="0" applyFont="1" applyFill="1" applyBorder="1" applyAlignment="1" applyProtection="1">
      <alignment horizontal="left" vertical="top" wrapText="1"/>
      <protection locked="0"/>
    </xf>
    <xf numFmtId="0" fontId="38" fillId="13" borderId="217" xfId="0" applyFont="1" applyFill="1" applyBorder="1" applyAlignment="1" applyProtection="1">
      <alignment horizontal="left" vertical="top" wrapText="1"/>
      <protection locked="0"/>
    </xf>
    <xf numFmtId="38" fontId="50" fillId="10" borderId="218" xfId="0" applyNumberFormat="1" applyFont="1" applyFill="1" applyBorder="1" applyAlignment="1" applyProtection="1">
      <alignment horizontal="center" vertical="center"/>
      <protection locked="0"/>
    </xf>
    <xf numFmtId="38" fontId="50" fillId="10" borderId="220" xfId="0" applyNumberFormat="1" applyFont="1" applyFill="1" applyBorder="1" applyAlignment="1" applyProtection="1">
      <alignment horizontal="center" vertical="center"/>
      <protection locked="0"/>
    </xf>
    <xf numFmtId="38" fontId="50" fillId="10" borderId="219" xfId="0" applyNumberFormat="1" applyFont="1" applyFill="1" applyBorder="1" applyAlignment="1" applyProtection="1">
      <alignment horizontal="center" vertical="center"/>
      <protection locked="0"/>
    </xf>
    <xf numFmtId="0" fontId="75" fillId="0" borderId="53" xfId="0" applyFont="1" applyBorder="1" applyAlignment="1">
      <alignment horizontal="left" vertical="center"/>
    </xf>
    <xf numFmtId="0" fontId="75" fillId="0" borderId="51" xfId="0" applyFont="1" applyBorder="1" applyAlignment="1">
      <alignment horizontal="left" vertical="center"/>
    </xf>
    <xf numFmtId="0" fontId="52" fillId="0" borderId="0" xfId="0" applyFont="1" applyAlignment="1">
      <alignment horizontal="center" vertical="top" wrapText="1"/>
    </xf>
    <xf numFmtId="38" fontId="81" fillId="0" borderId="218" xfId="0" applyNumberFormat="1" applyFont="1" applyBorder="1" applyAlignment="1">
      <alignment horizontal="center" vertical="center"/>
    </xf>
    <xf numFmtId="38" fontId="81" fillId="0" borderId="220" xfId="0" applyNumberFormat="1" applyFont="1" applyBorder="1" applyAlignment="1">
      <alignment horizontal="center" vertical="center"/>
    </xf>
    <xf numFmtId="38" fontId="81" fillId="0" borderId="219" xfId="0" applyNumberFormat="1" applyFont="1" applyBorder="1" applyAlignment="1">
      <alignment horizontal="center" vertical="center"/>
    </xf>
    <xf numFmtId="38" fontId="50" fillId="0" borderId="1" xfId="0" applyNumberFormat="1" applyFont="1" applyBorder="1" applyAlignment="1">
      <alignment horizontal="center" vertical="center"/>
    </xf>
    <xf numFmtId="38" fontId="38" fillId="0" borderId="236" xfId="0" applyNumberFormat="1" applyFont="1" applyBorder="1" applyAlignment="1">
      <alignment horizontal="center" vertical="center"/>
    </xf>
    <xf numFmtId="38" fontId="38" fillId="0" borderId="237" xfId="0" applyNumberFormat="1" applyFont="1" applyBorder="1" applyAlignment="1">
      <alignment horizontal="center" vertical="center"/>
    </xf>
    <xf numFmtId="38" fontId="38" fillId="0" borderId="238" xfId="0" applyNumberFormat="1" applyFont="1" applyBorder="1" applyAlignment="1">
      <alignment horizontal="center" vertical="center"/>
    </xf>
    <xf numFmtId="38" fontId="42" fillId="0" borderId="220" xfId="0" applyNumberFormat="1" applyFont="1" applyBorder="1" applyAlignment="1">
      <alignment horizontal="center" vertical="center"/>
    </xf>
    <xf numFmtId="38" fontId="42" fillId="0" borderId="131" xfId="0" applyNumberFormat="1" applyFont="1" applyBorder="1" applyAlignment="1">
      <alignment horizontal="center" vertical="center"/>
    </xf>
    <xf numFmtId="38" fontId="42" fillId="0" borderId="132" xfId="0" applyNumberFormat="1" applyFont="1" applyBorder="1" applyAlignment="1">
      <alignment horizontal="center" vertical="center"/>
    </xf>
    <xf numFmtId="0" fontId="4" fillId="13" borderId="230" xfId="0" applyFont="1" applyFill="1" applyBorder="1" applyAlignment="1" applyProtection="1">
      <alignment horizontal="left" vertical="top" wrapText="1"/>
      <protection locked="0"/>
    </xf>
    <xf numFmtId="0" fontId="4" fillId="13" borderId="234" xfId="0" applyFont="1" applyFill="1" applyBorder="1" applyAlignment="1" applyProtection="1">
      <alignment horizontal="left" vertical="top" wrapText="1"/>
      <protection locked="0"/>
    </xf>
    <xf numFmtId="168" fontId="42" fillId="0" borderId="232" xfId="0" applyNumberFormat="1" applyFont="1" applyBorder="1" applyAlignment="1">
      <alignment horizontal="center" vertical="center"/>
    </xf>
    <xf numFmtId="168" fontId="42" fillId="0" borderId="239" xfId="0" applyNumberFormat="1" applyFont="1" applyBorder="1" applyAlignment="1">
      <alignment horizontal="center" vertical="center"/>
    </xf>
    <xf numFmtId="168" fontId="42" fillId="0" borderId="233" xfId="0" applyNumberFormat="1" applyFont="1" applyBorder="1" applyAlignment="1">
      <alignment horizontal="center" vertical="center"/>
    </xf>
    <xf numFmtId="170" fontId="42" fillId="5" borderId="218" xfId="0" applyNumberFormat="1" applyFont="1" applyFill="1" applyBorder="1" applyAlignment="1" applyProtection="1">
      <alignment horizontal="center" vertical="center"/>
      <protection locked="0"/>
    </xf>
    <xf numFmtId="170" fontId="42" fillId="5" borderId="219" xfId="0" applyNumberFormat="1" applyFont="1" applyFill="1" applyBorder="1" applyAlignment="1" applyProtection="1">
      <alignment horizontal="center" vertical="center"/>
      <protection locked="0"/>
    </xf>
    <xf numFmtId="38" fontId="42" fillId="0" borderId="16" xfId="0" applyNumberFormat="1" applyFont="1" applyBorder="1" applyAlignment="1">
      <alignment horizontal="center" vertical="center"/>
    </xf>
    <xf numFmtId="38" fontId="42" fillId="0" borderId="25" xfId="0" applyNumberFormat="1" applyFont="1" applyBorder="1" applyAlignment="1">
      <alignment horizontal="center" vertical="center"/>
    </xf>
    <xf numFmtId="38" fontId="42" fillId="0" borderId="42" xfId="0" applyNumberFormat="1" applyFont="1" applyBorder="1" applyAlignment="1">
      <alignment horizontal="center" vertical="center"/>
    </xf>
    <xf numFmtId="38" fontId="42" fillId="0" borderId="26" xfId="0" applyNumberFormat="1" applyFont="1" applyBorder="1" applyAlignment="1">
      <alignment horizontal="center" vertical="center"/>
    </xf>
    <xf numFmtId="10" fontId="50" fillId="0" borderId="22" xfId="0" applyNumberFormat="1" applyFont="1" applyBorder="1" applyAlignment="1">
      <alignment horizontal="center" vertical="center"/>
    </xf>
    <xf numFmtId="10" fontId="50" fillId="0" borderId="23" xfId="0" applyNumberFormat="1" applyFont="1" applyBorder="1" applyAlignment="1">
      <alignment horizontal="center" vertical="center"/>
    </xf>
    <xf numFmtId="9" fontId="39" fillId="10" borderId="218" xfId="0" applyNumberFormat="1" applyFont="1" applyFill="1" applyBorder="1" applyAlignment="1" applyProtection="1">
      <alignment horizontal="center" vertical="center"/>
      <protection locked="0"/>
    </xf>
    <xf numFmtId="9" fontId="39" fillId="10" borderId="220" xfId="0" applyNumberFormat="1" applyFont="1" applyFill="1" applyBorder="1" applyAlignment="1" applyProtection="1">
      <alignment horizontal="center" vertical="center"/>
      <protection locked="0"/>
    </xf>
    <xf numFmtId="9" fontId="39" fillId="10" borderId="219" xfId="0" applyNumberFormat="1" applyFont="1" applyFill="1" applyBorder="1" applyAlignment="1" applyProtection="1">
      <alignment horizontal="center" vertical="center"/>
      <protection locked="0"/>
    </xf>
    <xf numFmtId="38" fontId="42" fillId="0" borderId="224" xfId="0" applyNumberFormat="1" applyFont="1" applyBorder="1" applyAlignment="1">
      <alignment horizontal="center" vertical="center"/>
    </xf>
    <xf numFmtId="38" fontId="42" fillId="0" borderId="216" xfId="0" applyNumberFormat="1" applyFont="1" applyBorder="1" applyAlignment="1">
      <alignment horizontal="center" vertical="center"/>
    </xf>
    <xf numFmtId="0" fontId="46" fillId="0" borderId="4" xfId="0" applyFont="1" applyBorder="1" applyAlignment="1">
      <alignment horizontal="center" vertical="center" wrapText="1"/>
    </xf>
    <xf numFmtId="0" fontId="42" fillId="5" borderId="9" xfId="0" applyFont="1" applyFill="1" applyBorder="1" applyAlignment="1" applyProtection="1">
      <alignment horizontal="left" vertical="center" wrapText="1"/>
      <protection locked="0"/>
    </xf>
    <xf numFmtId="0" fontId="42" fillId="5" borderId="10" xfId="0" applyFont="1" applyFill="1" applyBorder="1" applyAlignment="1" applyProtection="1">
      <alignment horizontal="left" vertical="center" wrapText="1"/>
      <protection locked="0"/>
    </xf>
    <xf numFmtId="38" fontId="50" fillId="5" borderId="25" xfId="0" applyNumberFormat="1" applyFont="1" applyFill="1" applyBorder="1" applyAlignment="1" applyProtection="1">
      <alignment horizontal="center" vertical="center"/>
      <protection locked="0"/>
    </xf>
    <xf numFmtId="38" fontId="50" fillId="5" borderId="26" xfId="0" applyNumberFormat="1" applyFont="1" applyFill="1" applyBorder="1" applyAlignment="1" applyProtection="1">
      <alignment horizontal="center" vertical="center"/>
      <protection locked="0"/>
    </xf>
    <xf numFmtId="38" fontId="50" fillId="5" borderId="22" xfId="0" applyNumberFormat="1" applyFont="1" applyFill="1" applyBorder="1" applyAlignment="1" applyProtection="1">
      <alignment horizontal="center" vertical="center"/>
      <protection locked="0"/>
    </xf>
    <xf numFmtId="38" fontId="50" fillId="5" borderId="23" xfId="0" applyNumberFormat="1" applyFont="1" applyFill="1" applyBorder="1" applyAlignment="1" applyProtection="1">
      <alignment horizontal="center" vertical="center"/>
      <protection locked="0"/>
    </xf>
    <xf numFmtId="4" fontId="42" fillId="0" borderId="220" xfId="1" applyNumberFormat="1" applyFont="1" applyFill="1" applyBorder="1" applyAlignment="1" applyProtection="1">
      <alignment horizontal="center" vertical="center"/>
    </xf>
    <xf numFmtId="4" fontId="42" fillId="0" borderId="220" xfId="1" applyNumberFormat="1" applyFont="1" applyFill="1" applyBorder="1" applyAlignment="1" applyProtection="1">
      <alignment vertical="center"/>
    </xf>
    <xf numFmtId="4" fontId="42" fillId="0" borderId="219" xfId="1" applyNumberFormat="1" applyFont="1" applyFill="1" applyBorder="1" applyAlignment="1" applyProtection="1">
      <alignment vertical="center"/>
    </xf>
    <xf numFmtId="0" fontId="50" fillId="0" borderId="46"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48" xfId="0" applyFont="1" applyBorder="1" applyAlignment="1">
      <alignment horizontal="center" vertical="center" wrapText="1"/>
    </xf>
    <xf numFmtId="38" fontId="50" fillId="5" borderId="221" xfId="0" applyNumberFormat="1" applyFont="1" applyFill="1" applyBorder="1" applyAlignment="1" applyProtection="1">
      <alignment horizontal="center" vertical="center"/>
      <protection locked="0"/>
    </xf>
    <xf numFmtId="38" fontId="50" fillId="5" borderId="223" xfId="0" applyNumberFormat="1" applyFont="1" applyFill="1" applyBorder="1" applyAlignment="1" applyProtection="1">
      <alignment horizontal="center" vertical="center"/>
      <protection locked="0"/>
    </xf>
    <xf numFmtId="164" fontId="50" fillId="0" borderId="41" xfId="1" applyNumberFormat="1" applyFont="1" applyFill="1" applyBorder="1" applyAlignment="1" applyProtection="1">
      <alignment horizontal="center" vertical="center"/>
    </xf>
    <xf numFmtId="164" fontId="50" fillId="0" borderId="27" xfId="1" applyNumberFormat="1" applyFont="1" applyFill="1" applyBorder="1" applyAlignment="1" applyProtection="1">
      <alignment horizontal="center" vertical="center"/>
    </xf>
    <xf numFmtId="0" fontId="14" fillId="13" borderId="221" xfId="0" applyFont="1" applyFill="1" applyBorder="1" applyAlignment="1" applyProtection="1">
      <alignment horizontal="left" vertical="top" wrapText="1"/>
      <protection locked="0"/>
    </xf>
    <xf numFmtId="0" fontId="38" fillId="5" borderId="9" xfId="0" applyFont="1" applyFill="1" applyBorder="1" applyAlignment="1" applyProtection="1">
      <alignment horizontal="left" vertical="center" wrapText="1"/>
      <protection locked="0"/>
    </xf>
    <xf numFmtId="0" fontId="38" fillId="5" borderId="10" xfId="0" applyFont="1" applyFill="1" applyBorder="1" applyAlignment="1" applyProtection="1">
      <alignment horizontal="left" vertical="center" wrapText="1"/>
      <protection locked="0"/>
    </xf>
    <xf numFmtId="164" fontId="50" fillId="0" borderId="46" xfId="1" applyNumberFormat="1" applyFont="1" applyFill="1" applyBorder="1" applyAlignment="1" applyProtection="1">
      <alignment horizontal="center" vertical="center" wrapText="1"/>
    </xf>
    <xf numFmtId="164" fontId="50" fillId="0" borderId="47" xfId="1" applyNumberFormat="1" applyFont="1" applyFill="1" applyBorder="1" applyAlignment="1" applyProtection="1">
      <alignment horizontal="center" vertical="center" wrapText="1"/>
    </xf>
    <xf numFmtId="164" fontId="50" fillId="0" borderId="35" xfId="1" applyNumberFormat="1" applyFont="1" applyFill="1" applyBorder="1" applyAlignment="1" applyProtection="1">
      <alignment horizontal="center" vertical="center" wrapText="1"/>
    </xf>
    <xf numFmtId="164" fontId="50" fillId="0" borderId="48" xfId="1" applyNumberFormat="1" applyFont="1" applyFill="1" applyBorder="1" applyAlignment="1" applyProtection="1">
      <alignment horizontal="center" vertical="center" wrapText="1"/>
    </xf>
    <xf numFmtId="0" fontId="50" fillId="0" borderId="41" xfId="0" applyFont="1" applyBorder="1" applyAlignment="1">
      <alignment horizontal="center" vertical="center"/>
    </xf>
    <xf numFmtId="0" fontId="50" fillId="0" borderId="27" xfId="0" applyFont="1" applyBorder="1" applyAlignment="1">
      <alignment horizontal="center" vertical="center"/>
    </xf>
    <xf numFmtId="164" fontId="42" fillId="5" borderId="74" xfId="1" applyNumberFormat="1" applyFont="1" applyFill="1" applyBorder="1" applyAlignment="1" applyProtection="1">
      <alignment horizontal="right" vertical="center"/>
      <protection locked="0"/>
    </xf>
    <xf numFmtId="164" fontId="42" fillId="5" borderId="75" xfId="1" applyNumberFormat="1" applyFont="1" applyFill="1" applyBorder="1" applyAlignment="1" applyProtection="1">
      <alignment horizontal="right" vertical="center"/>
      <protection locked="0"/>
    </xf>
    <xf numFmtId="0" fontId="39" fillId="0" borderId="37" xfId="0" applyFont="1" applyBorder="1" applyAlignment="1">
      <alignment horizontal="center" vertical="center"/>
    </xf>
    <xf numFmtId="0" fontId="39" fillId="0" borderId="18" xfId="0" applyFont="1" applyBorder="1" applyAlignment="1">
      <alignment horizontal="center" vertical="center"/>
    </xf>
    <xf numFmtId="0" fontId="39" fillId="0" borderId="65" xfId="0" applyFont="1" applyBorder="1" applyAlignment="1">
      <alignment horizontal="center" vertical="center"/>
    </xf>
    <xf numFmtId="0" fontId="39" fillId="0" borderId="64" xfId="0" applyFont="1" applyBorder="1" applyAlignment="1">
      <alignment horizontal="center" vertical="center"/>
    </xf>
    <xf numFmtId="164" fontId="42" fillId="5" borderId="217" xfId="1" applyNumberFormat="1" applyFont="1" applyFill="1" applyBorder="1" applyAlignment="1" applyProtection="1">
      <alignment horizontal="right" vertical="center"/>
      <protection locked="0"/>
    </xf>
    <xf numFmtId="164" fontId="42" fillId="5" borderId="218" xfId="1" applyNumberFormat="1" applyFont="1" applyFill="1" applyBorder="1" applyAlignment="1" applyProtection="1">
      <alignment horizontal="right" vertical="center"/>
      <protection locked="0"/>
    </xf>
    <xf numFmtId="164" fontId="42" fillId="5" borderId="219" xfId="1" applyNumberFormat="1" applyFont="1" applyFill="1" applyBorder="1" applyAlignment="1" applyProtection="1">
      <alignment horizontal="right" vertical="center"/>
      <protection locked="0"/>
    </xf>
    <xf numFmtId="0" fontId="39" fillId="0" borderId="229" xfId="0" applyFont="1" applyBorder="1" applyAlignment="1">
      <alignment horizontal="center" vertical="center"/>
    </xf>
    <xf numFmtId="0" fontId="39" fillId="0" borderId="228"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0" fontId="38" fillId="5" borderId="15" xfId="0" applyFont="1" applyFill="1" applyBorder="1" applyAlignment="1" applyProtection="1">
      <alignment horizontal="left" vertical="center" wrapText="1"/>
      <protection locked="0"/>
    </xf>
    <xf numFmtId="0" fontId="38" fillId="5" borderId="59" xfId="0" applyFont="1" applyFill="1" applyBorder="1" applyAlignment="1" applyProtection="1">
      <alignment horizontal="left" vertical="center" wrapText="1"/>
      <protection locked="0"/>
    </xf>
    <xf numFmtId="0" fontId="38" fillId="5" borderId="42" xfId="0" applyFont="1" applyFill="1" applyBorder="1" applyAlignment="1" applyProtection="1">
      <alignment horizontal="left" vertical="center" wrapText="1"/>
      <protection locked="0"/>
    </xf>
    <xf numFmtId="0" fontId="38" fillId="5" borderId="26" xfId="0" applyFont="1" applyFill="1" applyBorder="1" applyAlignment="1" applyProtection="1">
      <alignment horizontal="left" vertical="center" wrapText="1"/>
      <protection locked="0"/>
    </xf>
    <xf numFmtId="164" fontId="59" fillId="0" borderId="0" xfId="1" applyNumberFormat="1" applyFont="1" applyFill="1" applyAlignment="1" applyProtection="1">
      <alignment horizontal="center" vertical="center"/>
    </xf>
    <xf numFmtId="164" fontId="59" fillId="0" borderId="5" xfId="1" applyNumberFormat="1" applyFont="1" applyFill="1" applyBorder="1" applyAlignment="1" applyProtection="1">
      <alignment horizontal="center" vertical="center"/>
    </xf>
    <xf numFmtId="164" fontId="109" fillId="0" borderId="4" xfId="1" applyNumberFormat="1" applyFont="1" applyFill="1" applyBorder="1" applyAlignment="1" applyProtection="1">
      <alignment horizontal="center" vertical="top" wrapText="1"/>
    </xf>
    <xf numFmtId="164" fontId="109" fillId="0" borderId="0" xfId="1" applyNumberFormat="1" applyFont="1" applyFill="1" applyAlignment="1" applyProtection="1">
      <alignment horizontal="center" vertical="top" wrapText="1"/>
    </xf>
    <xf numFmtId="164" fontId="109" fillId="0" borderId="5" xfId="1" applyNumberFormat="1" applyFont="1" applyFill="1" applyBorder="1" applyAlignment="1" applyProtection="1">
      <alignment horizontal="center" vertical="top" wrapText="1"/>
    </xf>
    <xf numFmtId="0" fontId="42" fillId="0" borderId="30" xfId="0" applyFont="1" applyBorder="1" applyAlignment="1">
      <alignment horizontal="center" vertical="center" wrapText="1"/>
    </xf>
    <xf numFmtId="4" fontId="59" fillId="0" borderId="32" xfId="0" applyNumberFormat="1" applyFont="1" applyBorder="1" applyAlignment="1">
      <alignment horizontal="right" vertical="center"/>
    </xf>
    <xf numFmtId="4" fontId="59" fillId="0" borderId="43" xfId="0" applyNumberFormat="1" applyFont="1" applyBorder="1" applyAlignment="1">
      <alignment horizontal="right" vertical="center"/>
    </xf>
    <xf numFmtId="4" fontId="59" fillId="0" borderId="15" xfId="1" applyNumberFormat="1" applyFont="1" applyFill="1" applyBorder="1" applyAlignment="1" applyProtection="1">
      <alignment horizontal="right" vertical="center"/>
    </xf>
    <xf numFmtId="0" fontId="48" fillId="0" borderId="15" xfId="0" applyFont="1" applyBorder="1" applyAlignment="1">
      <alignment horizontal="left" vertical="center"/>
    </xf>
    <xf numFmtId="0" fontId="14" fillId="13" borderId="33" xfId="0" applyFont="1" applyFill="1" applyBorder="1" applyAlignment="1" applyProtection="1">
      <alignment horizontal="left" vertical="top" wrapText="1"/>
      <protection locked="0"/>
    </xf>
    <xf numFmtId="0" fontId="14" fillId="13" borderId="29" xfId="0" applyFont="1" applyFill="1" applyBorder="1" applyAlignment="1" applyProtection="1">
      <alignment horizontal="left" vertical="top" wrapText="1"/>
      <protection locked="0"/>
    </xf>
    <xf numFmtId="0" fontId="14" fillId="13" borderId="30" xfId="0" applyFont="1" applyFill="1" applyBorder="1" applyAlignment="1" applyProtection="1">
      <alignment horizontal="left" vertical="top" wrapText="1"/>
      <protection locked="0"/>
    </xf>
    <xf numFmtId="0" fontId="14" fillId="13" borderId="31" xfId="0" applyFont="1" applyFill="1" applyBorder="1" applyAlignment="1" applyProtection="1">
      <alignment horizontal="left" vertical="top" wrapText="1"/>
      <protection locked="0"/>
    </xf>
    <xf numFmtId="0" fontId="14" fillId="13" borderId="32" xfId="0" applyFont="1" applyFill="1" applyBorder="1" applyAlignment="1" applyProtection="1">
      <alignment horizontal="left" vertical="top" wrapText="1"/>
      <protection locked="0"/>
    </xf>
    <xf numFmtId="0" fontId="14" fillId="13" borderId="43" xfId="0" applyFont="1" applyFill="1" applyBorder="1" applyAlignment="1" applyProtection="1">
      <alignment horizontal="left" vertical="top" wrapText="1"/>
      <protection locked="0"/>
    </xf>
    <xf numFmtId="0" fontId="50" fillId="0" borderId="33" xfId="0" applyFont="1" applyBorder="1" applyAlignment="1">
      <alignment horizontal="left" vertical="center" wrapText="1"/>
    </xf>
    <xf numFmtId="0" fontId="50" fillId="0" borderId="32" xfId="0" applyFont="1" applyBorder="1" applyAlignment="1">
      <alignment horizontal="left" vertical="center" wrapText="1"/>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48" fillId="0" borderId="14" xfId="0" applyFont="1" applyBorder="1" applyAlignment="1">
      <alignment horizontal="left" vertical="center"/>
    </xf>
    <xf numFmtId="0" fontId="48" fillId="0" borderId="29" xfId="0" applyFont="1" applyBorder="1" applyAlignment="1">
      <alignment horizontal="left" vertical="center"/>
    </xf>
    <xf numFmtId="0" fontId="50" fillId="0" borderId="0" xfId="0" applyFont="1" applyAlignment="1">
      <alignment horizontal="left"/>
    </xf>
    <xf numFmtId="0" fontId="50" fillId="0" borderId="33" xfId="0" applyFont="1" applyBorder="1" applyAlignment="1">
      <alignment horizontal="center" vertical="center" wrapText="1"/>
    </xf>
    <xf numFmtId="0" fontId="50" fillId="0" borderId="32" xfId="0" applyFont="1" applyBorder="1" applyAlignment="1">
      <alignment horizontal="center" vertical="center" wrapText="1"/>
    </xf>
    <xf numFmtId="164" fontId="59" fillId="0" borderId="220" xfId="0" applyNumberFormat="1" applyFont="1" applyBorder="1" applyAlignment="1">
      <alignment horizontal="center" vertical="center"/>
    </xf>
    <xf numFmtId="164" fontId="59" fillId="0" borderId="219" xfId="0" applyNumberFormat="1" applyFont="1" applyBorder="1" applyAlignment="1">
      <alignment horizontal="center" vertical="center"/>
    </xf>
    <xf numFmtId="0" fontId="14" fillId="0" borderId="9" xfId="0" applyFont="1" applyBorder="1" applyAlignment="1" applyProtection="1">
      <alignment wrapText="1"/>
      <protection locked="0"/>
    </xf>
    <xf numFmtId="0" fontId="14" fillId="0" borderId="10" xfId="0" applyFont="1" applyBorder="1" applyAlignment="1" applyProtection="1">
      <alignment wrapText="1"/>
      <protection locked="0"/>
    </xf>
    <xf numFmtId="0" fontId="100" fillId="0" borderId="70" xfId="0" applyFont="1" applyBorder="1" applyAlignment="1">
      <alignment horizontal="center" vertical="center"/>
    </xf>
    <xf numFmtId="171" fontId="50" fillId="0" borderId="0" xfId="0" applyNumberFormat="1" applyFont="1" applyAlignment="1">
      <alignment horizontal="center" vertical="center"/>
    </xf>
    <xf numFmtId="164" fontId="42" fillId="5" borderId="118" xfId="1" applyNumberFormat="1" applyFont="1" applyFill="1" applyBorder="1" applyAlignment="1" applyProtection="1">
      <alignment horizontal="right" vertical="center"/>
      <protection locked="0"/>
    </xf>
    <xf numFmtId="164" fontId="42" fillId="5" borderId="119" xfId="1" applyNumberFormat="1" applyFont="1" applyFill="1" applyBorder="1" applyAlignment="1" applyProtection="1">
      <alignment horizontal="right" vertical="center"/>
      <protection locked="0"/>
    </xf>
    <xf numFmtId="164" fontId="42" fillId="0" borderId="235" xfId="1" applyNumberFormat="1" applyFont="1" applyFill="1" applyBorder="1" applyAlignment="1" applyProtection="1">
      <alignment horizontal="right" vertical="center"/>
    </xf>
    <xf numFmtId="164" fontId="42" fillId="5" borderId="224" xfId="1" applyNumberFormat="1" applyFont="1" applyFill="1" applyBorder="1" applyAlignment="1" applyProtection="1">
      <alignment horizontal="right" vertical="center"/>
      <protection locked="0"/>
    </xf>
    <xf numFmtId="164" fontId="42" fillId="5" borderId="216" xfId="1" applyNumberFormat="1" applyFont="1" applyFill="1" applyBorder="1" applyAlignment="1" applyProtection="1">
      <alignment horizontal="right" vertical="center"/>
      <protection locked="0"/>
    </xf>
    <xf numFmtId="0" fontId="51" fillId="8" borderId="4" xfId="0" applyFont="1" applyFill="1" applyBorder="1" applyAlignment="1">
      <alignment horizontal="center" vertical="center"/>
    </xf>
    <xf numFmtId="0" fontId="51" fillId="8" borderId="0" xfId="0" applyFont="1" applyFill="1" applyAlignment="1">
      <alignment horizontal="center" vertical="center"/>
    </xf>
    <xf numFmtId="0" fontId="82" fillId="14" borderId="0" xfId="0" applyFont="1" applyFill="1" applyAlignment="1">
      <alignment horizontal="center" vertical="center"/>
    </xf>
    <xf numFmtId="49" fontId="131" fillId="20" borderId="0" xfId="0" applyNumberFormat="1" applyFont="1" applyFill="1" applyAlignment="1">
      <alignment horizontal="center" vertical="center"/>
    </xf>
    <xf numFmtId="0" fontId="131" fillId="20" borderId="0" xfId="0" applyFont="1" applyFill="1" applyAlignment="1">
      <alignment horizontal="center" vertical="center"/>
    </xf>
    <xf numFmtId="0" fontId="38" fillId="0" borderId="33" xfId="1" applyNumberFormat="1" applyFont="1" applyFill="1" applyBorder="1" applyAlignment="1" applyProtection="1">
      <alignment horizontal="left" vertical="top" wrapText="1"/>
    </xf>
    <xf numFmtId="0" fontId="38" fillId="0" borderId="14" xfId="1" applyNumberFormat="1" applyFont="1" applyFill="1" applyBorder="1" applyAlignment="1" applyProtection="1">
      <alignment horizontal="left" vertical="top" wrapText="1"/>
    </xf>
    <xf numFmtId="0" fontId="38" fillId="0" borderId="29" xfId="1" applyNumberFormat="1" applyFont="1" applyFill="1" applyBorder="1" applyAlignment="1" applyProtection="1">
      <alignment horizontal="left" vertical="top" wrapText="1"/>
    </xf>
    <xf numFmtId="0" fontId="38" fillId="0" borderId="32" xfId="1" applyNumberFormat="1" applyFont="1" applyFill="1" applyBorder="1" applyAlignment="1" applyProtection="1">
      <alignment horizontal="left" vertical="top" wrapText="1"/>
    </xf>
    <xf numFmtId="0" fontId="38" fillId="0" borderId="15" xfId="1" applyNumberFormat="1" applyFont="1" applyFill="1" applyBorder="1" applyAlignment="1" applyProtection="1">
      <alignment horizontal="left" vertical="top" wrapText="1"/>
    </xf>
    <xf numFmtId="0" fontId="38" fillId="0" borderId="43" xfId="1" applyNumberFormat="1" applyFont="1" applyFill="1" applyBorder="1" applyAlignment="1" applyProtection="1">
      <alignment horizontal="left" vertical="top" wrapText="1"/>
    </xf>
    <xf numFmtId="0" fontId="39" fillId="5" borderId="226" xfId="1" applyNumberFormat="1" applyFont="1" applyFill="1" applyBorder="1" applyAlignment="1" applyProtection="1">
      <alignment horizontal="left" vertical="top" wrapText="1"/>
      <protection locked="0"/>
    </xf>
    <xf numFmtId="0" fontId="39" fillId="5" borderId="7" xfId="1" applyNumberFormat="1" applyFont="1" applyFill="1" applyBorder="1" applyAlignment="1" applyProtection="1">
      <alignment horizontal="left" vertical="top" wrapText="1"/>
      <protection locked="0"/>
    </xf>
    <xf numFmtId="0" fontId="39" fillId="5" borderId="8" xfId="1" applyNumberFormat="1" applyFont="1" applyFill="1" applyBorder="1" applyAlignment="1" applyProtection="1">
      <alignment horizontal="left" vertical="top" wrapText="1"/>
      <protection locked="0"/>
    </xf>
    <xf numFmtId="0" fontId="39" fillId="5" borderId="225" xfId="1" applyNumberFormat="1" applyFont="1" applyFill="1" applyBorder="1" applyAlignment="1" applyProtection="1">
      <alignment horizontal="left" vertical="top" wrapText="1"/>
      <protection locked="0"/>
    </xf>
    <xf numFmtId="0" fontId="39" fillId="5" borderId="12" xfId="1" applyNumberFormat="1" applyFont="1" applyFill="1" applyBorder="1" applyAlignment="1" applyProtection="1">
      <alignment horizontal="left" vertical="top" wrapText="1"/>
      <protection locked="0"/>
    </xf>
    <xf numFmtId="0" fontId="39" fillId="5" borderId="13" xfId="1" applyNumberFormat="1" applyFont="1" applyFill="1" applyBorder="1" applyAlignment="1" applyProtection="1">
      <alignment horizontal="left" vertical="top" wrapText="1"/>
      <protection locked="0"/>
    </xf>
    <xf numFmtId="0" fontId="38" fillId="0" borderId="60" xfId="1" applyNumberFormat="1" applyFont="1" applyFill="1" applyBorder="1" applyAlignment="1" applyProtection="1">
      <alignment horizontal="left" vertical="top" wrapText="1"/>
    </xf>
    <xf numFmtId="0" fontId="38" fillId="0" borderId="42" xfId="1" applyNumberFormat="1" applyFont="1" applyFill="1" applyBorder="1" applyAlignment="1" applyProtection="1">
      <alignment horizontal="left" vertical="top" wrapText="1"/>
    </xf>
    <xf numFmtId="0" fontId="38" fillId="0" borderId="52" xfId="1" applyNumberFormat="1" applyFont="1" applyFill="1" applyBorder="1" applyAlignment="1" applyProtection="1">
      <alignment horizontal="left" vertical="top" wrapText="1"/>
    </xf>
    <xf numFmtId="0" fontId="163" fillId="8" borderId="4" xfId="13" applyFont="1" applyFill="1" applyBorder="1" applyAlignment="1">
      <alignment horizontal="center" vertical="center"/>
    </xf>
    <xf numFmtId="0" fontId="163" fillId="8" borderId="0" xfId="13" applyFont="1" applyFill="1" applyAlignment="1">
      <alignment horizontal="center" vertical="center"/>
    </xf>
    <xf numFmtId="0" fontId="10" fillId="13" borderId="218" xfId="13" applyFont="1" applyFill="1" applyBorder="1" applyAlignment="1">
      <alignment horizontal="justify" vertical="top" wrapText="1"/>
    </xf>
    <xf numFmtId="0" fontId="10" fillId="13" borderId="220" xfId="13" applyFont="1" applyFill="1" applyBorder="1" applyAlignment="1">
      <alignment horizontal="justify" vertical="top" wrapText="1"/>
    </xf>
    <xf numFmtId="0" fontId="10" fillId="13" borderId="219" xfId="13" applyFont="1" applyFill="1" applyBorder="1" applyAlignment="1">
      <alignment horizontal="justify" vertical="top" wrapText="1"/>
    </xf>
    <xf numFmtId="0" fontId="9" fillId="0" borderId="0" xfId="13" applyFont="1" applyAlignment="1">
      <alignment horizontal="left" vertical="top" wrapText="1"/>
    </xf>
    <xf numFmtId="0" fontId="0" fillId="5" borderId="22" xfId="0" applyFill="1" applyBorder="1" applyAlignment="1" applyProtection="1">
      <alignment horizontal="left" vertical="center"/>
      <protection locked="0"/>
    </xf>
    <xf numFmtId="0" fontId="0" fillId="5" borderId="23" xfId="0" applyFill="1" applyBorder="1" applyAlignment="1" applyProtection="1">
      <alignment horizontal="left" vertical="center"/>
      <protection locked="0"/>
    </xf>
    <xf numFmtId="0" fontId="5" fillId="10" borderId="218" xfId="0" applyFont="1" applyFill="1" applyBorder="1" applyAlignment="1" applyProtection="1">
      <alignment horizontal="left" vertical="center"/>
      <protection locked="0"/>
    </xf>
    <xf numFmtId="0" fontId="5" fillId="10" borderId="220" xfId="0" applyFont="1" applyFill="1" applyBorder="1" applyAlignment="1" applyProtection="1">
      <alignment horizontal="left" vertical="center"/>
      <protection locked="0"/>
    </xf>
    <xf numFmtId="0" fontId="5" fillId="10" borderId="219" xfId="0" applyFont="1" applyFill="1" applyBorder="1" applyAlignment="1" applyProtection="1">
      <alignment horizontal="left" vertical="center"/>
      <protection locked="0"/>
    </xf>
    <xf numFmtId="0" fontId="14" fillId="5" borderId="218" xfId="0" applyFont="1" applyFill="1" applyBorder="1" applyAlignment="1" applyProtection="1">
      <alignment horizontal="left" vertical="top" wrapText="1"/>
      <protection locked="0"/>
    </xf>
    <xf numFmtId="0" fontId="14" fillId="5" borderId="220" xfId="0" applyFont="1" applyFill="1" applyBorder="1" applyAlignment="1" applyProtection="1">
      <alignment horizontal="left" vertical="top" wrapText="1"/>
      <protection locked="0"/>
    </xf>
    <xf numFmtId="0" fontId="14" fillId="5" borderId="219" xfId="0" applyFont="1" applyFill="1" applyBorder="1" applyAlignment="1" applyProtection="1">
      <alignment horizontal="left" vertical="top" wrapText="1"/>
      <protection locked="0"/>
    </xf>
    <xf numFmtId="0" fontId="14" fillId="13" borderId="218" xfId="0" applyFont="1" applyFill="1" applyBorder="1" applyAlignment="1" applyProtection="1">
      <alignment horizontal="left" vertical="top" wrapText="1"/>
      <protection locked="0"/>
    </xf>
    <xf numFmtId="0" fontId="14" fillId="13" borderId="220" xfId="0" applyFont="1" applyFill="1" applyBorder="1" applyAlignment="1" applyProtection="1">
      <alignment horizontal="left" vertical="top" wrapText="1"/>
      <protection locked="0"/>
    </xf>
    <xf numFmtId="0" fontId="14" fillId="13" borderId="219" xfId="0" applyFont="1" applyFill="1" applyBorder="1" applyAlignment="1" applyProtection="1">
      <alignment horizontal="left" vertical="top" wrapText="1"/>
      <protection locked="0"/>
    </xf>
    <xf numFmtId="0" fontId="269" fillId="0" borderId="0" xfId="0" applyFont="1" applyAlignment="1">
      <alignment horizontal="center" vertical="center" wrapText="1"/>
    </xf>
    <xf numFmtId="0" fontId="0" fillId="5" borderId="221" xfId="0" applyFill="1" applyBorder="1" applyAlignment="1" applyProtection="1">
      <alignment horizontal="left" vertical="center"/>
      <protection locked="0"/>
    </xf>
    <xf numFmtId="0" fontId="0" fillId="5" borderId="223" xfId="0" applyFill="1" applyBorder="1" applyAlignment="1" applyProtection="1">
      <alignment horizontal="left" vertical="center"/>
      <protection locked="0"/>
    </xf>
    <xf numFmtId="0" fontId="9" fillId="0" borderId="0" xfId="0" applyFont="1" applyAlignment="1">
      <alignment horizontal="center"/>
    </xf>
    <xf numFmtId="0" fontId="4" fillId="5" borderId="218" xfId="0" applyFont="1" applyFill="1" applyBorder="1" applyAlignment="1" applyProtection="1">
      <alignment horizontal="left" vertical="center" wrapText="1"/>
      <protection locked="0"/>
    </xf>
    <xf numFmtId="0" fontId="4" fillId="5" borderId="220" xfId="0" applyFont="1" applyFill="1" applyBorder="1" applyAlignment="1" applyProtection="1">
      <alignment horizontal="left" vertical="center" wrapText="1"/>
      <protection locked="0"/>
    </xf>
    <xf numFmtId="0" fontId="4" fillId="5" borderId="219" xfId="0" applyFont="1" applyFill="1" applyBorder="1" applyAlignment="1" applyProtection="1">
      <alignment horizontal="left" vertical="center" wrapText="1"/>
      <protection locked="0"/>
    </xf>
    <xf numFmtId="174" fontId="4" fillId="5" borderId="218" xfId="0" applyNumberFormat="1" applyFont="1" applyFill="1" applyBorder="1" applyAlignment="1" applyProtection="1">
      <alignment horizontal="left" vertical="center"/>
      <protection locked="0"/>
    </xf>
    <xf numFmtId="174" fontId="4" fillId="5" borderId="219" xfId="0" applyNumberFormat="1" applyFont="1" applyFill="1" applyBorder="1" applyAlignment="1" applyProtection="1">
      <alignment horizontal="left" vertical="center"/>
      <protection locked="0"/>
    </xf>
    <xf numFmtId="0" fontId="4" fillId="5" borderId="218" xfId="0" applyFont="1" applyFill="1" applyBorder="1" applyAlignment="1" applyProtection="1">
      <alignment horizontal="left" vertical="center"/>
      <protection locked="0"/>
    </xf>
    <xf numFmtId="0" fontId="4" fillId="5" borderId="219" xfId="0" applyFont="1" applyFill="1" applyBorder="1" applyAlignment="1" applyProtection="1">
      <alignment horizontal="left" vertical="center"/>
      <protection locked="0"/>
    </xf>
    <xf numFmtId="0" fontId="29" fillId="8" borderId="4" xfId="0" applyFont="1" applyFill="1" applyBorder="1" applyAlignment="1">
      <alignment horizontal="center" vertical="center"/>
    </xf>
    <xf numFmtId="0" fontId="29" fillId="8" borderId="0" xfId="0" applyFont="1" applyFill="1" applyAlignment="1">
      <alignment horizontal="center" vertical="center"/>
    </xf>
    <xf numFmtId="49" fontId="94" fillId="20" borderId="0" xfId="0" applyNumberFormat="1" applyFont="1" applyFill="1" applyAlignment="1">
      <alignment horizontal="center"/>
    </xf>
    <xf numFmtId="0" fontId="9" fillId="10" borderId="218" xfId="0" applyFont="1" applyFill="1" applyBorder="1" applyAlignment="1" applyProtection="1">
      <alignment horizontal="left" vertical="center"/>
      <protection locked="0"/>
    </xf>
    <xf numFmtId="0" fontId="9" fillId="10" borderId="219" xfId="0" applyFont="1" applyFill="1" applyBorder="1" applyAlignment="1" applyProtection="1">
      <alignment horizontal="left" vertical="center"/>
      <protection locked="0"/>
    </xf>
    <xf numFmtId="0" fontId="39" fillId="5" borderId="217" xfId="0" applyFont="1" applyFill="1" applyBorder="1" applyAlignment="1" applyProtection="1">
      <alignment horizontal="left" vertical="top" wrapText="1"/>
      <protection locked="0"/>
    </xf>
    <xf numFmtId="0" fontId="39" fillId="4" borderId="217" xfId="0" applyFont="1" applyFill="1" applyBorder="1" applyAlignment="1" applyProtection="1">
      <alignment horizontal="left" vertical="top" wrapText="1"/>
      <protection locked="0"/>
    </xf>
    <xf numFmtId="0" fontId="5" fillId="5" borderId="218" xfId="0" applyFont="1" applyFill="1" applyBorder="1" applyAlignment="1" applyProtection="1">
      <alignment horizontal="left" vertical="center"/>
      <protection locked="0"/>
    </xf>
    <xf numFmtId="0" fontId="5" fillId="5" borderId="220" xfId="0" applyFont="1" applyFill="1" applyBorder="1" applyAlignment="1" applyProtection="1">
      <alignment horizontal="left" vertical="center"/>
      <protection locked="0"/>
    </xf>
    <xf numFmtId="0" fontId="5" fillId="5" borderId="219" xfId="0" applyFont="1" applyFill="1" applyBorder="1" applyAlignment="1" applyProtection="1">
      <alignment horizontal="left" vertical="center"/>
      <protection locked="0"/>
    </xf>
    <xf numFmtId="38" fontId="5" fillId="5" borderId="218" xfId="0" applyNumberFormat="1" applyFont="1" applyFill="1" applyBorder="1" applyAlignment="1" applyProtection="1">
      <alignment horizontal="left" vertical="center" wrapText="1"/>
      <protection locked="0"/>
    </xf>
    <xf numFmtId="38" fontId="5" fillId="5" borderId="220" xfId="0" applyNumberFormat="1" applyFont="1" applyFill="1" applyBorder="1" applyAlignment="1" applyProtection="1">
      <alignment horizontal="left" vertical="center" wrapText="1"/>
      <protection locked="0"/>
    </xf>
    <xf numFmtId="38" fontId="5" fillId="5" borderId="219" xfId="0" applyNumberFormat="1" applyFont="1" applyFill="1" applyBorder="1" applyAlignment="1" applyProtection="1">
      <alignment horizontal="left" vertical="center" wrapText="1"/>
      <protection locked="0"/>
    </xf>
    <xf numFmtId="38" fontId="4" fillId="0" borderId="6" xfId="1" applyNumberFormat="1" applyFont="1" applyFill="1" applyBorder="1" applyAlignment="1" applyProtection="1">
      <alignment horizontal="right" vertical="center"/>
    </xf>
    <xf numFmtId="38" fontId="4" fillId="0" borderId="10" xfId="1" applyNumberFormat="1" applyFont="1" applyFill="1" applyBorder="1" applyAlignment="1" applyProtection="1">
      <alignment horizontal="right" vertical="center"/>
    </xf>
    <xf numFmtId="3" fontId="4" fillId="0" borderId="44" xfId="0" applyNumberFormat="1" applyFont="1" applyBorder="1" applyAlignment="1">
      <alignment horizontal="right" vertical="center"/>
    </xf>
    <xf numFmtId="3" fontId="4" fillId="0" borderId="45" xfId="0" applyNumberFormat="1" applyFont="1" applyBorder="1" applyAlignment="1">
      <alignment horizontal="right" vertical="center"/>
    </xf>
    <xf numFmtId="0" fontId="4" fillId="13" borderId="25" xfId="0" applyFont="1" applyFill="1" applyBorder="1" applyAlignment="1" applyProtection="1">
      <alignment horizontal="left" vertical="top" wrapText="1"/>
      <protection locked="0"/>
    </xf>
    <xf numFmtId="0" fontId="4" fillId="13" borderId="42" xfId="0" applyFont="1" applyFill="1" applyBorder="1" applyAlignment="1" applyProtection="1">
      <alignment horizontal="left" vertical="top" wrapText="1"/>
      <protection locked="0"/>
    </xf>
    <xf numFmtId="0" fontId="4" fillId="13" borderId="26" xfId="0" applyFont="1" applyFill="1" applyBorder="1" applyAlignment="1" applyProtection="1">
      <alignment horizontal="left" vertical="top" wrapText="1"/>
      <protection locked="0"/>
    </xf>
    <xf numFmtId="3" fontId="4" fillId="5" borderId="218" xfId="0" applyNumberFormat="1" applyFont="1" applyFill="1" applyBorder="1" applyAlignment="1" applyProtection="1">
      <alignment horizontal="center" vertical="center"/>
      <protection locked="0"/>
    </xf>
    <xf numFmtId="3" fontId="4" fillId="5" borderId="219" xfId="0" applyNumberFormat="1" applyFont="1" applyFill="1" applyBorder="1" applyAlignment="1" applyProtection="1">
      <alignment horizontal="center" vertical="center"/>
      <protection locked="0"/>
    </xf>
    <xf numFmtId="0" fontId="4" fillId="13" borderId="218" xfId="0" applyFont="1" applyFill="1" applyBorder="1" applyAlignment="1" applyProtection="1">
      <alignment horizontal="left" vertical="top" wrapText="1"/>
      <protection locked="0"/>
    </xf>
    <xf numFmtId="0" fontId="4" fillId="13" borderId="220" xfId="0" applyFont="1" applyFill="1" applyBorder="1" applyAlignment="1" applyProtection="1">
      <alignment horizontal="left" vertical="top" wrapText="1"/>
      <protection locked="0"/>
    </xf>
    <xf numFmtId="0" fontId="4" fillId="13" borderId="219" xfId="0" applyFont="1" applyFill="1" applyBorder="1" applyAlignment="1" applyProtection="1">
      <alignment horizontal="left" vertical="top" wrapText="1"/>
      <protection locked="0"/>
    </xf>
    <xf numFmtId="3" fontId="4" fillId="5" borderId="22" xfId="0" applyNumberFormat="1" applyFont="1" applyFill="1" applyBorder="1" applyAlignment="1" applyProtection="1">
      <alignment horizontal="center" vertical="center"/>
      <protection locked="0"/>
    </xf>
    <xf numFmtId="3" fontId="4" fillId="5" borderId="23" xfId="0" applyNumberFormat="1" applyFont="1" applyFill="1" applyBorder="1" applyAlignment="1" applyProtection="1">
      <alignment horizontal="center" vertical="center"/>
      <protection locked="0"/>
    </xf>
    <xf numFmtId="0" fontId="4" fillId="5" borderId="22" xfId="0" applyFont="1" applyFill="1" applyBorder="1" applyAlignment="1" applyProtection="1">
      <alignment horizontal="center" vertical="center"/>
      <protection locked="0"/>
    </xf>
    <xf numFmtId="0" fontId="4" fillId="5" borderId="23" xfId="0" applyFont="1" applyFill="1" applyBorder="1" applyAlignment="1" applyProtection="1">
      <alignment horizontal="center" vertical="center"/>
      <protection locked="0"/>
    </xf>
    <xf numFmtId="0" fontId="4" fillId="5" borderId="221" xfId="0" applyFont="1" applyFill="1" applyBorder="1" applyAlignment="1" applyProtection="1">
      <alignment horizontal="center" vertical="center"/>
      <protection locked="0"/>
    </xf>
    <xf numFmtId="0" fontId="4" fillId="5" borderId="223" xfId="0" applyFont="1" applyFill="1" applyBorder="1" applyAlignment="1" applyProtection="1">
      <alignment horizontal="center" vertical="center"/>
      <protection locked="0"/>
    </xf>
    <xf numFmtId="3" fontId="4" fillId="10" borderId="25" xfId="0" applyNumberFormat="1" applyFont="1" applyFill="1" applyBorder="1" applyAlignment="1" applyProtection="1">
      <alignment horizontal="center" vertical="center"/>
      <protection locked="0"/>
    </xf>
    <xf numFmtId="3" fontId="4" fillId="10" borderId="26" xfId="0" applyNumberFormat="1" applyFont="1" applyFill="1" applyBorder="1" applyAlignment="1" applyProtection="1">
      <alignment horizontal="center" vertical="center"/>
      <protection locked="0"/>
    </xf>
    <xf numFmtId="0" fontId="94" fillId="0" borderId="14" xfId="0" applyFont="1" applyBorder="1" applyAlignment="1">
      <alignment horizontal="center" vertical="center" wrapText="1"/>
    </xf>
    <xf numFmtId="0" fontId="94" fillId="0" borderId="0" xfId="0" applyFont="1" applyAlignment="1">
      <alignment horizontal="center" vertical="center" wrapText="1"/>
    </xf>
    <xf numFmtId="0" fontId="101" fillId="0" borderId="0" xfId="0" applyFont="1" applyAlignment="1">
      <alignment horizontal="center" vertical="center" wrapText="1"/>
    </xf>
    <xf numFmtId="0" fontId="101" fillId="0" borderId="31" xfId="0" applyFont="1" applyBorder="1" applyAlignment="1">
      <alignment horizontal="center" vertical="center" wrapText="1"/>
    </xf>
    <xf numFmtId="38" fontId="4" fillId="0" borderId="44" xfId="1" applyNumberFormat="1" applyFont="1" applyFill="1" applyBorder="1" applyAlignment="1" applyProtection="1">
      <alignment horizontal="right" vertical="center"/>
    </xf>
    <xf numFmtId="38" fontId="4" fillId="0" borderId="45" xfId="1" applyNumberFormat="1" applyFont="1" applyFill="1" applyBorder="1" applyAlignment="1" applyProtection="1">
      <alignment horizontal="right" vertical="center"/>
    </xf>
    <xf numFmtId="1" fontId="168" fillId="0" borderId="30" xfId="0" applyNumberFormat="1" applyFont="1" applyBorder="1" applyAlignment="1">
      <alignment horizontal="center"/>
    </xf>
    <xf numFmtId="1" fontId="168" fillId="0" borderId="0" xfId="0" applyNumberFormat="1" applyFont="1" applyAlignment="1">
      <alignment horizontal="center"/>
    </xf>
    <xf numFmtId="1" fontId="168" fillId="0" borderId="31" xfId="0" applyNumberFormat="1" applyFont="1" applyBorder="1" applyAlignment="1">
      <alignment horizontal="center"/>
    </xf>
    <xf numFmtId="38" fontId="5" fillId="5" borderId="53" xfId="0" applyNumberFormat="1" applyFont="1" applyFill="1" applyBorder="1" applyAlignment="1" applyProtection="1">
      <alignment horizontal="left" vertical="center" wrapText="1"/>
      <protection locked="0"/>
    </xf>
    <xf numFmtId="38" fontId="5" fillId="5" borderId="51" xfId="0" applyNumberFormat="1" applyFont="1" applyFill="1" applyBorder="1" applyAlignment="1" applyProtection="1">
      <alignment horizontal="left" vertical="center" wrapText="1"/>
      <protection locked="0"/>
    </xf>
    <xf numFmtId="3" fontId="4" fillId="5" borderId="22" xfId="0" applyNumberFormat="1" applyFont="1" applyFill="1" applyBorder="1" applyAlignment="1" applyProtection="1">
      <alignment horizontal="right" vertical="center"/>
      <protection locked="0"/>
    </xf>
    <xf numFmtId="3" fontId="4" fillId="5" borderId="23" xfId="0" applyNumberFormat="1" applyFont="1" applyFill="1" applyBorder="1" applyAlignment="1" applyProtection="1">
      <alignment horizontal="right" vertical="center"/>
      <protection locked="0"/>
    </xf>
    <xf numFmtId="38" fontId="4" fillId="5" borderId="22" xfId="1" applyNumberFormat="1" applyFont="1" applyFill="1" applyBorder="1" applyAlignment="1" applyProtection="1">
      <alignment horizontal="right" vertical="center"/>
      <protection locked="0"/>
    </xf>
    <xf numFmtId="38" fontId="4" fillId="5" borderId="23" xfId="1" applyNumberFormat="1" applyFont="1" applyFill="1" applyBorder="1" applyAlignment="1" applyProtection="1">
      <alignment horizontal="right" vertical="center"/>
      <protection locked="0"/>
    </xf>
    <xf numFmtId="3" fontId="4" fillId="5" borderId="221" xfId="0" applyNumberFormat="1" applyFont="1" applyFill="1" applyBorder="1" applyAlignment="1" applyProtection="1">
      <alignment horizontal="right" vertical="center"/>
      <protection locked="0"/>
    </xf>
    <xf numFmtId="3" fontId="4" fillId="5" borderId="223" xfId="0" applyNumberFormat="1" applyFont="1" applyFill="1" applyBorder="1" applyAlignment="1" applyProtection="1">
      <alignment horizontal="right" vertical="center"/>
      <protection locked="0"/>
    </xf>
    <xf numFmtId="0" fontId="4" fillId="13" borderId="22" xfId="0" applyFont="1" applyFill="1" applyBorder="1" applyAlignment="1" applyProtection="1">
      <alignment horizontal="left" vertical="top" wrapText="1"/>
      <protection locked="0"/>
    </xf>
    <xf numFmtId="0" fontId="4" fillId="13" borderId="16" xfId="0" applyFont="1" applyFill="1" applyBorder="1" applyAlignment="1" applyProtection="1">
      <alignment horizontal="left" vertical="top" wrapText="1"/>
      <protection locked="0"/>
    </xf>
    <xf numFmtId="0" fontId="4" fillId="13" borderId="23" xfId="0" applyFont="1" applyFill="1" applyBorder="1" applyAlignment="1" applyProtection="1">
      <alignment horizontal="left" vertical="top" wrapText="1"/>
      <protection locked="0"/>
    </xf>
    <xf numFmtId="38" fontId="4" fillId="5" borderId="22" xfId="1" applyNumberFormat="1" applyFont="1" applyFill="1" applyBorder="1" applyAlignment="1" applyProtection="1">
      <alignment vertical="center"/>
      <protection locked="0"/>
    </xf>
    <xf numFmtId="38" fontId="4" fillId="5" borderId="23" xfId="1" applyNumberFormat="1" applyFont="1" applyFill="1" applyBorder="1" applyAlignment="1" applyProtection="1">
      <alignment vertical="center"/>
      <protection locked="0"/>
    </xf>
    <xf numFmtId="3" fontId="4" fillId="5" borderId="74" xfId="0" applyNumberFormat="1" applyFont="1" applyFill="1" applyBorder="1" applyAlignment="1" applyProtection="1">
      <alignment horizontal="right" vertical="center"/>
      <protection locked="0"/>
    </xf>
    <xf numFmtId="3" fontId="4" fillId="5" borderId="75" xfId="0" applyNumberFormat="1" applyFont="1" applyFill="1" applyBorder="1" applyAlignment="1" applyProtection="1">
      <alignment horizontal="right" vertical="center"/>
      <protection locked="0"/>
    </xf>
    <xf numFmtId="38" fontId="4" fillId="5" borderId="74" xfId="1" applyNumberFormat="1" applyFont="1" applyFill="1" applyBorder="1" applyAlignment="1" applyProtection="1">
      <alignment horizontal="right" vertical="center"/>
      <protection locked="0"/>
    </xf>
    <xf numFmtId="38" fontId="4" fillId="5" borderId="75" xfId="1" applyNumberFormat="1" applyFont="1" applyFill="1" applyBorder="1" applyAlignment="1" applyProtection="1">
      <alignment horizontal="right" vertical="center"/>
      <protection locked="0"/>
    </xf>
    <xf numFmtId="164" fontId="14" fillId="11" borderId="217" xfId="0" applyNumberFormat="1" applyFont="1" applyFill="1" applyBorder="1" applyAlignment="1" applyProtection="1">
      <alignment horizontal="center" vertical="center"/>
      <protection locked="0"/>
    </xf>
    <xf numFmtId="0" fontId="14" fillId="5" borderId="218" xfId="0" applyFont="1" applyFill="1" applyBorder="1" applyAlignment="1" applyProtection="1">
      <alignment horizontal="left" vertical="center"/>
      <protection locked="0"/>
    </xf>
    <xf numFmtId="0" fontId="14" fillId="5" borderId="220" xfId="0" applyFont="1" applyFill="1" applyBorder="1" applyAlignment="1" applyProtection="1">
      <alignment horizontal="left" vertical="center"/>
      <protection locked="0"/>
    </xf>
    <xf numFmtId="0" fontId="14" fillId="5" borderId="219" xfId="0" applyFont="1" applyFill="1" applyBorder="1" applyAlignment="1" applyProtection="1">
      <alignment horizontal="left" vertical="center"/>
      <protection locked="0"/>
    </xf>
    <xf numFmtId="38" fontId="177" fillId="0" borderId="41" xfId="0" applyNumberFormat="1" applyFont="1" applyBorder="1" applyAlignment="1">
      <alignment horizontal="center" vertical="center"/>
    </xf>
    <xf numFmtId="38" fontId="177" fillId="0" borderId="1" xfId="0" applyNumberFormat="1" applyFont="1" applyBorder="1" applyAlignment="1">
      <alignment horizontal="center" vertical="center"/>
    </xf>
    <xf numFmtId="38" fontId="177" fillId="0" borderId="27" xfId="0" applyNumberFormat="1" applyFont="1" applyBorder="1" applyAlignment="1">
      <alignment horizontal="center" vertical="center"/>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wrapText="1"/>
    </xf>
    <xf numFmtId="0" fontId="4" fillId="13" borderId="221" xfId="0" applyFont="1" applyFill="1" applyBorder="1" applyAlignment="1" applyProtection="1">
      <alignment horizontal="left" vertical="top" wrapText="1"/>
      <protection locked="0"/>
    </xf>
    <xf numFmtId="0" fontId="4" fillId="13" borderId="222" xfId="0" applyFont="1" applyFill="1" applyBorder="1" applyAlignment="1" applyProtection="1">
      <alignment horizontal="left" vertical="top" wrapText="1"/>
      <protection locked="0"/>
    </xf>
    <xf numFmtId="0" fontId="4" fillId="13" borderId="223" xfId="0" applyFont="1" applyFill="1" applyBorder="1" applyAlignment="1" applyProtection="1">
      <alignment horizontal="left" vertical="top" wrapText="1"/>
      <protection locked="0"/>
    </xf>
    <xf numFmtId="0" fontId="14" fillId="0" borderId="0" xfId="0" applyFont="1" applyAlignment="1">
      <alignment horizontal="left" vertical="top" wrapText="1"/>
    </xf>
    <xf numFmtId="0" fontId="172" fillId="0" borderId="0" xfId="0" applyFont="1" applyAlignment="1">
      <alignment horizontal="right"/>
    </xf>
    <xf numFmtId="0" fontId="81" fillId="5" borderId="25" xfId="0" applyFont="1" applyFill="1" applyBorder="1" applyAlignment="1" applyProtection="1">
      <alignment horizontal="left" vertical="center"/>
      <protection locked="0"/>
    </xf>
    <xf numFmtId="0" fontId="81" fillId="5" borderId="26" xfId="0" applyFont="1" applyFill="1" applyBorder="1" applyAlignment="1" applyProtection="1">
      <alignment horizontal="left" vertical="center"/>
      <protection locked="0"/>
    </xf>
    <xf numFmtId="0" fontId="33" fillId="0" borderId="0" xfId="0" applyFont="1" applyAlignment="1">
      <alignment horizontal="left" vertical="top"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4" fillId="0" borderId="0" xfId="0" applyFont="1" applyAlignment="1">
      <alignment horizontal="left" vertical="center" wrapText="1"/>
    </xf>
    <xf numFmtId="0" fontId="92" fillId="0" borderId="0" xfId="0" applyFont="1" applyAlignment="1">
      <alignment horizont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9" fillId="0" borderId="0" xfId="0" applyFont="1" applyAlignment="1">
      <alignment horizontal="center" vertical="center"/>
    </xf>
    <xf numFmtId="0" fontId="39" fillId="10" borderId="218" xfId="0" applyFont="1" applyFill="1" applyBorder="1" applyAlignment="1" applyProtection="1">
      <alignment horizontal="left" vertical="center"/>
      <protection locked="0"/>
    </xf>
    <xf numFmtId="0" fontId="39" fillId="10" borderId="219" xfId="0" applyFont="1" applyFill="1" applyBorder="1" applyAlignment="1" applyProtection="1">
      <alignment horizontal="left" vertical="center"/>
      <protection locked="0"/>
    </xf>
    <xf numFmtId="0" fontId="107" fillId="0" borderId="0" xfId="0" applyFont="1" applyAlignment="1">
      <alignment horizontal="center" vertical="center" wrapText="1"/>
    </xf>
    <xf numFmtId="0" fontId="107" fillId="0" borderId="9" xfId="0" applyFont="1" applyBorder="1" applyAlignment="1">
      <alignment horizontal="center" vertical="center" wrapText="1"/>
    </xf>
    <xf numFmtId="0" fontId="11" fillId="0" borderId="53" xfId="0" applyFont="1" applyBorder="1" applyAlignment="1">
      <alignment horizontal="center" vertical="center"/>
    </xf>
    <xf numFmtId="0" fontId="11" fillId="0" borderId="51" xfId="0" applyFont="1" applyBorder="1" applyAlignment="1">
      <alignment horizontal="center" vertical="center"/>
    </xf>
    <xf numFmtId="0" fontId="11" fillId="0" borderId="215" xfId="0" applyFont="1" applyBorder="1" applyAlignment="1">
      <alignment horizontal="center" wrapText="1"/>
    </xf>
    <xf numFmtId="0" fontId="11" fillId="0" borderId="9" xfId="0" applyFont="1" applyBorder="1" applyAlignment="1">
      <alignment horizontal="center"/>
    </xf>
    <xf numFmtId="0" fontId="33" fillId="0" borderId="0" xfId="0" applyFont="1" applyAlignment="1">
      <alignment horizontal="center" textRotation="90" wrapText="1"/>
    </xf>
    <xf numFmtId="0" fontId="62" fillId="0" borderId="4" xfId="24" applyFont="1" applyBorder="1" applyAlignment="1">
      <alignment horizontal="center" vertical="top"/>
    </xf>
    <xf numFmtId="0" fontId="62" fillId="0" borderId="0" xfId="24" applyFont="1" applyAlignment="1">
      <alignment horizontal="center" vertical="top"/>
    </xf>
    <xf numFmtId="49" fontId="94" fillId="20" borderId="0" xfId="0" quotePrefix="1" applyNumberFormat="1" applyFont="1" applyFill="1" applyAlignment="1">
      <alignment horizontal="center" vertical="center" wrapText="1"/>
    </xf>
    <xf numFmtId="0" fontId="11" fillId="0" borderId="0" xfId="0" applyFont="1" applyAlignment="1">
      <alignment horizontal="center" wrapText="1"/>
    </xf>
    <xf numFmtId="0" fontId="11" fillId="0" borderId="9" xfId="0" applyFont="1" applyBorder="1" applyAlignment="1">
      <alignment horizontal="center" wrapText="1"/>
    </xf>
    <xf numFmtId="3" fontId="75" fillId="0" borderId="0" xfId="0" applyNumberFormat="1" applyFont="1" applyAlignment="1">
      <alignment horizontal="left" vertical="top"/>
    </xf>
    <xf numFmtId="3" fontId="4" fillId="5" borderId="20" xfId="0" applyNumberFormat="1" applyFont="1" applyFill="1" applyBorder="1" applyAlignment="1" applyProtection="1">
      <alignment horizontal="right" vertical="center"/>
      <protection locked="0"/>
    </xf>
    <xf numFmtId="3" fontId="4" fillId="5" borderId="24" xfId="0" applyNumberFormat="1" applyFont="1" applyFill="1" applyBorder="1" applyAlignment="1" applyProtection="1">
      <alignment horizontal="right" vertical="center"/>
      <protection locked="0"/>
    </xf>
    <xf numFmtId="38" fontId="4" fillId="5" borderId="221" xfId="1" applyNumberFormat="1" applyFont="1" applyFill="1" applyBorder="1" applyAlignment="1" applyProtection="1">
      <alignment vertical="center"/>
      <protection locked="0"/>
    </xf>
    <xf numFmtId="38" fontId="4" fillId="5" borderId="223" xfId="1" applyNumberFormat="1" applyFont="1" applyFill="1" applyBorder="1" applyAlignment="1" applyProtection="1">
      <alignment vertical="center"/>
      <protection locked="0"/>
    </xf>
    <xf numFmtId="0" fontId="12" fillId="0" borderId="0" xfId="0" applyFont="1" applyAlignment="1">
      <alignment horizontal="left" vertical="center" wrapText="1"/>
    </xf>
    <xf numFmtId="38" fontId="4" fillId="5" borderId="221" xfId="1" applyNumberFormat="1" applyFont="1" applyFill="1" applyBorder="1" applyAlignment="1" applyProtection="1">
      <alignment horizontal="right" vertical="center"/>
      <protection locked="0"/>
    </xf>
    <xf numFmtId="38" fontId="4" fillId="5" borderId="223" xfId="1" applyNumberFormat="1" applyFont="1" applyFill="1" applyBorder="1" applyAlignment="1" applyProtection="1">
      <alignment horizontal="right" vertical="center"/>
      <protection locked="0"/>
    </xf>
    <xf numFmtId="3" fontId="42" fillId="0" borderId="218" xfId="1" applyNumberFormat="1" applyFont="1" applyFill="1" applyBorder="1" applyAlignment="1" applyProtection="1">
      <alignment horizontal="center" vertical="center"/>
    </xf>
    <xf numFmtId="3" fontId="42" fillId="0" borderId="219" xfId="1" applyNumberFormat="1" applyFont="1" applyFill="1" applyBorder="1" applyAlignment="1" applyProtection="1">
      <alignment horizontal="center" vertical="center"/>
    </xf>
    <xf numFmtId="3" fontId="42" fillId="5" borderId="25" xfId="1" applyNumberFormat="1" applyFont="1" applyFill="1" applyBorder="1" applyAlignment="1" applyProtection="1">
      <alignment horizontal="center" vertical="center"/>
      <protection locked="0"/>
    </xf>
    <xf numFmtId="3" fontId="42" fillId="5" borderId="26" xfId="1" applyNumberFormat="1" applyFont="1" applyFill="1" applyBorder="1" applyAlignment="1" applyProtection="1">
      <alignment horizontal="center" vertical="center"/>
      <protection locked="0"/>
    </xf>
    <xf numFmtId="0" fontId="81" fillId="10" borderId="221" xfId="0" applyFont="1" applyFill="1" applyBorder="1" applyAlignment="1" applyProtection="1">
      <alignment horizontal="left" vertical="center"/>
      <protection locked="0"/>
    </xf>
    <xf numFmtId="0" fontId="81" fillId="10" borderId="223" xfId="0" applyFont="1" applyFill="1" applyBorder="1" applyAlignment="1" applyProtection="1">
      <alignment horizontal="left" vertical="center"/>
      <protection locked="0"/>
    </xf>
    <xf numFmtId="0" fontId="187" fillId="0" borderId="224" xfId="0" applyFont="1" applyBorder="1" applyAlignment="1">
      <alignment horizontal="center" vertical="center"/>
    </xf>
    <xf numFmtId="0" fontId="187" fillId="0" borderId="216" xfId="0" applyFont="1" applyBorder="1" applyAlignment="1">
      <alignment horizontal="center" vertical="center"/>
    </xf>
    <xf numFmtId="164" fontId="187" fillId="0" borderId="215" xfId="1" applyNumberFormat="1" applyFont="1" applyFill="1" applyBorder="1" applyAlignment="1" applyProtection="1">
      <alignment horizontal="right" vertical="center" wrapText="1"/>
    </xf>
    <xf numFmtId="164" fontId="187" fillId="0" borderId="0" xfId="1" applyNumberFormat="1" applyFont="1" applyFill="1" applyBorder="1" applyAlignment="1" applyProtection="1">
      <alignment horizontal="right" vertical="center" wrapText="1"/>
    </xf>
    <xf numFmtId="2" fontId="172" fillId="0" borderId="6" xfId="0" applyNumberFormat="1" applyFont="1" applyBorder="1" applyAlignment="1">
      <alignment horizontal="center" vertical="top"/>
    </xf>
    <xf numFmtId="2" fontId="172" fillId="0" borderId="10" xfId="0" applyNumberFormat="1" applyFont="1" applyBorder="1" applyAlignment="1">
      <alignment horizontal="center" vertical="top"/>
    </xf>
    <xf numFmtId="0" fontId="74" fillId="0" borderId="0" xfId="0" applyFont="1" applyAlignment="1">
      <alignment horizontal="left" vertical="top" wrapText="1"/>
    </xf>
    <xf numFmtId="0" fontId="92" fillId="0" borderId="0" xfId="0" applyFont="1" applyAlignment="1">
      <alignment horizontal="center" vertical="center" wrapText="1"/>
    </xf>
    <xf numFmtId="0" fontId="38" fillId="0" borderId="220" xfId="0" applyFont="1" applyBorder="1" applyAlignment="1" applyProtection="1">
      <alignment horizontal="left" vertical="top" wrapText="1"/>
      <protection locked="0"/>
    </xf>
    <xf numFmtId="0" fontId="38" fillId="0" borderId="219" xfId="0" applyFont="1" applyBorder="1" applyAlignment="1" applyProtection="1">
      <alignment horizontal="left" vertical="top" wrapText="1"/>
      <protection locked="0"/>
    </xf>
    <xf numFmtId="0" fontId="38" fillId="13" borderId="218" xfId="0" applyFont="1" applyFill="1" applyBorder="1" applyAlignment="1" applyProtection="1">
      <alignment horizontal="left" vertical="top" wrapText="1"/>
      <protection locked="0"/>
    </xf>
    <xf numFmtId="0" fontId="38" fillId="13" borderId="220" xfId="0" applyFont="1" applyFill="1" applyBorder="1" applyAlignment="1" applyProtection="1">
      <alignment horizontal="left" vertical="top" wrapText="1"/>
      <protection locked="0"/>
    </xf>
    <xf numFmtId="0" fontId="38" fillId="13" borderId="219" xfId="0" applyFont="1" applyFill="1" applyBorder="1" applyAlignment="1" applyProtection="1">
      <alignment horizontal="left" vertical="top" wrapText="1"/>
      <protection locked="0"/>
    </xf>
    <xf numFmtId="0" fontId="14" fillId="0" borderId="226"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217" xfId="0" applyFont="1" applyBorder="1" applyAlignment="1">
      <alignment horizontal="center" wrapText="1"/>
    </xf>
    <xf numFmtId="0" fontId="29" fillId="9" borderId="218" xfId="0" applyFont="1" applyFill="1" applyBorder="1" applyAlignment="1">
      <alignment horizontal="center" vertical="center"/>
    </xf>
    <xf numFmtId="0" fontId="0" fillId="0" borderId="220" xfId="0" applyBorder="1"/>
    <xf numFmtId="0" fontId="0" fillId="0" borderId="219" xfId="0" applyBorder="1"/>
    <xf numFmtId="0" fontId="79" fillId="12" borderId="0" xfId="0" applyFont="1" applyFill="1" applyAlignment="1">
      <alignment horizontal="center" vertical="center"/>
    </xf>
    <xf numFmtId="49" fontId="101" fillId="20" borderId="0" xfId="0" applyNumberFormat="1" applyFont="1" applyFill="1" applyAlignment="1">
      <alignment horizontal="center" vertical="center" wrapText="1"/>
    </xf>
    <xf numFmtId="0" fontId="101" fillId="20" borderId="0" xfId="0" applyFont="1" applyFill="1" applyAlignment="1">
      <alignment horizontal="center" vertical="center" wrapText="1"/>
    </xf>
    <xf numFmtId="0" fontId="10" fillId="5" borderId="218" xfId="37" applyFont="1" applyFill="1" applyBorder="1" applyAlignment="1" applyProtection="1">
      <alignment horizontal="left" vertical="top" wrapText="1"/>
      <protection locked="0"/>
    </xf>
    <xf numFmtId="0" fontId="10" fillId="5" borderId="220" xfId="37" applyFont="1" applyFill="1" applyBorder="1" applyAlignment="1" applyProtection="1">
      <alignment horizontal="left" vertical="top" wrapText="1"/>
      <protection locked="0"/>
    </xf>
    <xf numFmtId="0" fontId="10" fillId="5" borderId="219" xfId="37" applyFont="1" applyFill="1" applyBorder="1" applyAlignment="1" applyProtection="1">
      <alignment horizontal="left" vertical="top" wrapText="1"/>
      <protection locked="0"/>
    </xf>
    <xf numFmtId="0" fontId="10" fillId="13" borderId="218" xfId="37" applyFont="1" applyFill="1" applyBorder="1" applyAlignment="1">
      <alignment horizontal="left" vertical="top" wrapText="1"/>
    </xf>
    <xf numFmtId="0" fontId="10" fillId="13" borderId="220" xfId="37" applyFont="1" applyFill="1" applyBorder="1" applyAlignment="1">
      <alignment horizontal="left" vertical="top" wrapText="1"/>
    </xf>
    <xf numFmtId="0" fontId="10" fillId="13" borderId="219" xfId="37" applyFont="1" applyFill="1" applyBorder="1" applyAlignment="1">
      <alignment horizontal="left" vertical="top" wrapText="1"/>
    </xf>
    <xf numFmtId="0" fontId="10" fillId="10" borderId="221" xfId="37" applyFont="1" applyFill="1" applyBorder="1" applyAlignment="1" applyProtection="1">
      <alignment horizontal="center" vertical="top" wrapText="1"/>
      <protection locked="0"/>
    </xf>
    <xf numFmtId="0" fontId="10" fillId="10" borderId="223" xfId="37" applyFont="1" applyFill="1" applyBorder="1" applyAlignment="1" applyProtection="1">
      <alignment horizontal="center" vertical="top" wrapText="1"/>
      <protection locked="0"/>
    </xf>
    <xf numFmtId="0" fontId="10" fillId="10" borderId="22" xfId="37" applyFont="1" applyFill="1" applyBorder="1" applyAlignment="1" applyProtection="1">
      <alignment horizontal="center" vertical="top" wrapText="1"/>
      <protection locked="0"/>
    </xf>
    <xf numFmtId="0" fontId="10" fillId="10" borderId="23" xfId="37" applyFont="1" applyFill="1" applyBorder="1" applyAlignment="1" applyProtection="1">
      <alignment horizontal="center" vertical="top" wrapText="1"/>
      <protection locked="0"/>
    </xf>
    <xf numFmtId="0" fontId="10" fillId="10" borderId="25" xfId="37" applyFont="1" applyFill="1" applyBorder="1" applyAlignment="1" applyProtection="1">
      <alignment horizontal="center" vertical="top" wrapText="1"/>
      <protection locked="0"/>
    </xf>
    <xf numFmtId="0" fontId="10" fillId="10" borderId="26" xfId="37" applyFont="1" applyFill="1" applyBorder="1" applyAlignment="1" applyProtection="1">
      <alignment horizontal="center" vertical="top" wrapText="1"/>
      <protection locked="0"/>
    </xf>
    <xf numFmtId="0" fontId="4" fillId="0" borderId="188" xfId="37" applyBorder="1" applyAlignment="1">
      <alignment horizontal="left" vertical="center"/>
    </xf>
    <xf numFmtId="0" fontId="4" fillId="0" borderId="0" xfId="37" applyAlignment="1">
      <alignment horizontal="lef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10" fontId="4" fillId="0" borderId="193" xfId="37" applyNumberFormat="1" applyBorder="1" applyAlignment="1">
      <alignment horizontal="center" vertical="center"/>
    </xf>
    <xf numFmtId="10" fontId="4" fillId="0" borderId="206" xfId="37" applyNumberFormat="1" applyBorder="1" applyAlignment="1">
      <alignment horizontal="center" vertical="center"/>
    </xf>
    <xf numFmtId="10" fontId="4" fillId="0" borderId="194" xfId="37" applyNumberFormat="1" applyBorder="1" applyAlignment="1">
      <alignment horizontal="center" vertical="center"/>
    </xf>
    <xf numFmtId="10" fontId="9" fillId="0" borderId="158" xfId="37" applyNumberFormat="1" applyFont="1" applyBorder="1" applyAlignment="1">
      <alignment horizontal="center" vertical="center"/>
    </xf>
    <xf numFmtId="10" fontId="9" fillId="0" borderId="159" xfId="37" applyNumberFormat="1" applyFont="1" applyBorder="1" applyAlignment="1">
      <alignment horizontal="center" vertical="center"/>
    </xf>
    <xf numFmtId="10" fontId="9" fillId="0" borderId="160" xfId="37" applyNumberFormat="1" applyFont="1" applyBorder="1" applyAlignment="1">
      <alignment horizontal="center" vertical="center"/>
    </xf>
    <xf numFmtId="0" fontId="335" fillId="0" borderId="0" xfId="0" applyFont="1" applyAlignment="1">
      <alignment horizontal="center"/>
    </xf>
    <xf numFmtId="0" fontId="25" fillId="0" borderId="0" xfId="37" applyFont="1" applyAlignment="1">
      <alignment horizontal="left" vertical="top"/>
    </xf>
    <xf numFmtId="0" fontId="10" fillId="0" borderId="0" xfId="37" applyFont="1" applyAlignment="1">
      <alignment horizontal="center" vertical="center"/>
    </xf>
    <xf numFmtId="0" fontId="10" fillId="10" borderId="257" xfId="37" applyFont="1" applyFill="1" applyBorder="1" applyAlignment="1" applyProtection="1">
      <alignment horizontal="center"/>
      <protection locked="0"/>
    </xf>
    <xf numFmtId="0" fontId="10" fillId="10" borderId="220" xfId="37" applyFont="1" applyFill="1" applyBorder="1" applyAlignment="1" applyProtection="1">
      <alignment horizontal="center"/>
      <protection locked="0"/>
    </xf>
    <xf numFmtId="0" fontId="10" fillId="10" borderId="219" xfId="37" applyFont="1" applyFill="1" applyBorder="1" applyAlignment="1" applyProtection="1">
      <alignment horizontal="center"/>
      <protection locked="0"/>
    </xf>
    <xf numFmtId="188" fontId="4" fillId="10" borderId="22" xfId="37" applyNumberFormat="1" applyFill="1" applyBorder="1" applyAlignment="1" applyProtection="1">
      <alignment horizontal="center" vertical="top"/>
      <protection locked="0"/>
    </xf>
    <xf numFmtId="188" fontId="4" fillId="10" borderId="23" xfId="37" applyNumberFormat="1" applyFill="1" applyBorder="1" applyAlignment="1" applyProtection="1">
      <alignment horizontal="center" vertical="top"/>
      <protection locked="0"/>
    </xf>
    <xf numFmtId="188" fontId="4" fillId="10" borderId="25" xfId="37" applyNumberFormat="1" applyFill="1" applyBorder="1" applyAlignment="1" applyProtection="1">
      <alignment horizontal="center" vertical="top"/>
      <protection locked="0"/>
    </xf>
    <xf numFmtId="188" fontId="4" fillId="10" borderId="26" xfId="37" applyNumberFormat="1" applyFill="1" applyBorder="1" applyAlignment="1" applyProtection="1">
      <alignment horizontal="center" vertical="top"/>
      <protection locked="0"/>
    </xf>
    <xf numFmtId="188" fontId="4" fillId="10" borderId="221" xfId="37" applyNumberFormat="1" applyFill="1" applyBorder="1" applyAlignment="1" applyProtection="1">
      <alignment horizontal="center" vertical="top"/>
      <protection locked="0"/>
    </xf>
    <xf numFmtId="188" fontId="4" fillId="10" borderId="223" xfId="37" applyNumberFormat="1" applyFill="1" applyBorder="1" applyAlignment="1" applyProtection="1">
      <alignment horizontal="center" vertical="top"/>
      <protection locked="0"/>
    </xf>
    <xf numFmtId="10" fontId="10" fillId="10" borderId="25" xfId="37" applyNumberFormat="1" applyFont="1" applyFill="1" applyBorder="1" applyAlignment="1" applyProtection="1">
      <alignment horizontal="center" vertical="center"/>
      <protection locked="0"/>
    </xf>
    <xf numFmtId="10" fontId="10" fillId="10" borderId="42" xfId="37" applyNumberFormat="1" applyFont="1" applyFill="1" applyBorder="1" applyAlignment="1" applyProtection="1">
      <alignment horizontal="center" vertical="center"/>
      <protection locked="0"/>
    </xf>
    <xf numFmtId="10" fontId="10" fillId="10" borderId="26" xfId="37" applyNumberFormat="1" applyFont="1" applyFill="1" applyBorder="1" applyAlignment="1" applyProtection="1">
      <alignment horizontal="center" vertical="center"/>
      <protection locked="0"/>
    </xf>
    <xf numFmtId="10" fontId="4" fillId="10" borderId="176" xfId="37" applyNumberFormat="1" applyFill="1" applyBorder="1" applyAlignment="1" applyProtection="1">
      <alignment horizontal="center" vertical="center"/>
      <protection locked="0"/>
    </xf>
    <xf numFmtId="10" fontId="4" fillId="10" borderId="192" xfId="37" applyNumberFormat="1" applyFill="1" applyBorder="1" applyAlignment="1" applyProtection="1">
      <alignment horizontal="center" vertical="center"/>
      <protection locked="0"/>
    </xf>
    <xf numFmtId="10" fontId="4" fillId="13" borderId="204" xfId="37" applyNumberFormat="1" applyFill="1" applyBorder="1" applyAlignment="1">
      <alignment horizontal="center" vertical="center"/>
    </xf>
    <xf numFmtId="10" fontId="4" fillId="13" borderId="175" xfId="37" applyNumberFormat="1" applyFill="1" applyBorder="1" applyAlignment="1">
      <alignment horizontal="center" vertical="center"/>
    </xf>
    <xf numFmtId="10" fontId="4" fillId="13" borderId="192" xfId="37" applyNumberFormat="1" applyFill="1" applyBorder="1" applyAlignment="1">
      <alignment horizontal="center" vertical="center"/>
    </xf>
    <xf numFmtId="10" fontId="4" fillId="13" borderId="172" xfId="37" applyNumberFormat="1" applyFill="1" applyBorder="1" applyAlignment="1">
      <alignment horizontal="center" vertical="center"/>
    </xf>
    <xf numFmtId="10" fontId="4" fillId="10" borderId="177" xfId="37" applyNumberFormat="1" applyFill="1" applyBorder="1" applyAlignment="1" applyProtection="1">
      <alignment horizontal="center" vertical="center"/>
      <protection locked="0"/>
    </xf>
    <xf numFmtId="10" fontId="4" fillId="10" borderId="205" xfId="37" applyNumberFormat="1" applyFill="1" applyBorder="1" applyAlignment="1" applyProtection="1">
      <alignment horizontal="center" vertical="center"/>
      <protection locked="0"/>
    </xf>
    <xf numFmtId="0" fontId="10" fillId="5" borderId="199" xfId="37" applyFont="1" applyFill="1" applyBorder="1" applyAlignment="1" applyProtection="1">
      <alignment horizontal="center" vertical="center"/>
      <protection locked="0"/>
    </xf>
    <xf numFmtId="0" fontId="10" fillId="5" borderId="159" xfId="37" applyFont="1" applyFill="1" applyBorder="1" applyAlignment="1" applyProtection="1">
      <alignment horizontal="center" vertical="center"/>
      <protection locked="0"/>
    </xf>
    <xf numFmtId="0" fontId="10" fillId="5" borderId="200" xfId="37" applyFont="1" applyFill="1" applyBorder="1" applyAlignment="1" applyProtection="1">
      <alignment horizontal="center" vertical="center"/>
      <protection locked="0"/>
    </xf>
    <xf numFmtId="0" fontId="4" fillId="5" borderId="218" xfId="37" applyFill="1" applyBorder="1" applyAlignment="1" applyProtection="1">
      <alignment horizontal="left" vertical="top" wrapText="1"/>
      <protection locked="0"/>
    </xf>
    <xf numFmtId="0" fontId="4" fillId="5" borderId="220" xfId="37" applyFill="1" applyBorder="1" applyAlignment="1" applyProtection="1">
      <alignment horizontal="left" vertical="top" wrapText="1"/>
      <protection locked="0"/>
    </xf>
    <xf numFmtId="0" fontId="4" fillId="5" borderId="219" xfId="37" applyFill="1" applyBorder="1" applyAlignment="1" applyProtection="1">
      <alignment horizontal="left" vertical="top" wrapText="1"/>
      <protection locked="0"/>
    </xf>
    <xf numFmtId="0" fontId="10" fillId="10" borderId="218" xfId="37" applyFont="1" applyFill="1" applyBorder="1" applyAlignment="1" applyProtection="1">
      <alignment horizontal="left" vertical="center"/>
      <protection locked="0"/>
    </xf>
    <xf numFmtId="0" fontId="10" fillId="10" borderId="220" xfId="37" applyFont="1" applyFill="1" applyBorder="1" applyAlignment="1" applyProtection="1">
      <alignment horizontal="left" vertical="center"/>
      <protection locked="0"/>
    </xf>
    <xf numFmtId="0" fontId="10" fillId="10" borderId="219" xfId="37" applyFont="1" applyFill="1" applyBorder="1" applyAlignment="1" applyProtection="1">
      <alignment horizontal="left" vertical="center"/>
      <protection locked="0"/>
    </xf>
    <xf numFmtId="0" fontId="10" fillId="0" borderId="0" xfId="37" applyFont="1" applyAlignment="1">
      <alignment horizontal="center" vertical="center" wrapText="1"/>
    </xf>
    <xf numFmtId="0" fontId="4" fillId="31" borderId="222" xfId="37" applyFill="1" applyBorder="1" applyAlignment="1" applyProtection="1">
      <alignment horizontal="center" vertical="center"/>
      <protection locked="0"/>
    </xf>
    <xf numFmtId="0" fontId="4" fillId="31" borderId="223" xfId="37" applyFill="1" applyBorder="1" applyAlignment="1" applyProtection="1">
      <alignment horizontal="center" vertical="center"/>
      <protection locked="0"/>
    </xf>
    <xf numFmtId="0" fontId="4" fillId="10" borderId="16" xfId="37" applyFill="1" applyBorder="1" applyAlignment="1" applyProtection="1">
      <alignment horizontal="center" vertical="center"/>
      <protection locked="0"/>
    </xf>
    <xf numFmtId="0" fontId="4" fillId="10" borderId="23" xfId="37" applyFill="1" applyBorder="1" applyAlignment="1" applyProtection="1">
      <alignment horizontal="center" vertical="center"/>
      <protection locked="0"/>
    </xf>
    <xf numFmtId="0" fontId="4" fillId="10" borderId="42" xfId="37" applyFill="1" applyBorder="1" applyAlignment="1" applyProtection="1">
      <alignment horizontal="center" vertical="center"/>
      <protection locked="0"/>
    </xf>
    <xf numFmtId="0" fontId="4" fillId="10" borderId="26" xfId="37" applyFill="1" applyBorder="1" applyAlignment="1" applyProtection="1">
      <alignment horizontal="center" vertical="center"/>
      <protection locked="0"/>
    </xf>
    <xf numFmtId="10" fontId="10" fillId="10" borderId="22" xfId="37" applyNumberFormat="1" applyFont="1" applyFill="1" applyBorder="1" applyAlignment="1" applyProtection="1">
      <alignment horizontal="center" vertical="center"/>
      <protection locked="0"/>
    </xf>
    <xf numFmtId="10" fontId="10" fillId="10" borderId="16" xfId="37" applyNumberFormat="1" applyFont="1" applyFill="1" applyBorder="1" applyAlignment="1" applyProtection="1">
      <alignment horizontal="center" vertical="center"/>
      <protection locked="0"/>
    </xf>
    <xf numFmtId="10" fontId="10" fillId="10" borderId="23" xfId="37" applyNumberFormat="1" applyFont="1" applyFill="1" applyBorder="1" applyAlignment="1" applyProtection="1">
      <alignment horizontal="center" vertical="center"/>
      <protection locked="0"/>
    </xf>
    <xf numFmtId="0" fontId="10" fillId="5" borderId="257" xfId="37" applyFont="1" applyFill="1" applyBorder="1" applyAlignment="1" applyProtection="1">
      <alignment horizontal="center" vertical="center"/>
      <protection locked="0"/>
    </xf>
    <xf numFmtId="0" fontId="10" fillId="5" borderId="220" xfId="37" applyFont="1" applyFill="1" applyBorder="1" applyAlignment="1" applyProtection="1">
      <alignment horizontal="center" vertical="center"/>
      <protection locked="0"/>
    </xf>
    <xf numFmtId="0" fontId="10" fillId="5" borderId="219" xfId="37" applyFont="1" applyFill="1" applyBorder="1" applyAlignment="1" applyProtection="1">
      <alignment horizontal="center" vertical="center"/>
      <protection locked="0"/>
    </xf>
    <xf numFmtId="0" fontId="10" fillId="5" borderId="218" xfId="37" applyFont="1" applyFill="1" applyBorder="1" applyAlignment="1" applyProtection="1">
      <alignment horizontal="center" vertical="center"/>
      <protection locked="0"/>
    </xf>
    <xf numFmtId="167" fontId="10" fillId="5" borderId="218" xfId="37" applyNumberFormat="1" applyFont="1" applyFill="1" applyBorder="1" applyAlignment="1" applyProtection="1">
      <alignment horizontal="center" vertical="center"/>
      <protection locked="0"/>
    </xf>
    <xf numFmtId="167" fontId="10" fillId="5" borderId="219" xfId="37" applyNumberFormat="1" applyFont="1" applyFill="1" applyBorder="1" applyAlignment="1" applyProtection="1">
      <alignment horizontal="center" vertical="center"/>
      <protection locked="0"/>
    </xf>
    <xf numFmtId="167" fontId="10" fillId="5" borderId="220" xfId="37" applyNumberFormat="1" applyFont="1" applyFill="1" applyBorder="1" applyAlignment="1" applyProtection="1">
      <alignment horizontal="center" vertical="center"/>
      <protection locked="0"/>
    </xf>
    <xf numFmtId="167" fontId="10" fillId="5" borderId="250" xfId="37" applyNumberFormat="1" applyFont="1" applyFill="1" applyBorder="1" applyAlignment="1" applyProtection="1">
      <alignment horizontal="center" vertical="center"/>
      <protection locked="0"/>
    </xf>
    <xf numFmtId="0" fontId="10" fillId="0" borderId="0" xfId="37" applyFont="1" applyAlignment="1">
      <alignment horizontal="center"/>
    </xf>
    <xf numFmtId="0" fontId="4" fillId="0" borderId="0" xfId="37" applyAlignment="1">
      <alignment horizontal="center" wrapText="1"/>
    </xf>
    <xf numFmtId="0" fontId="4" fillId="0" borderId="9" xfId="37" applyBorder="1" applyAlignment="1">
      <alignment horizontal="center" wrapText="1"/>
    </xf>
    <xf numFmtId="38" fontId="10" fillId="0" borderId="221" xfId="37" applyNumberFormat="1" applyFont="1" applyBorder="1" applyAlignment="1">
      <alignment horizontal="center" vertical="center"/>
    </xf>
    <xf numFmtId="38" fontId="10" fillId="0" borderId="223" xfId="37" applyNumberFormat="1" applyFont="1" applyBorder="1" applyAlignment="1">
      <alignment horizontal="center" vertical="center"/>
    </xf>
    <xf numFmtId="38" fontId="10" fillId="0" borderId="22" xfId="37" applyNumberFormat="1" applyFont="1" applyBorder="1" applyAlignment="1">
      <alignment horizontal="center" vertical="center"/>
    </xf>
    <xf numFmtId="38" fontId="10" fillId="0" borderId="23" xfId="37" applyNumberFormat="1" applyFont="1" applyBorder="1" applyAlignment="1">
      <alignment horizontal="center" vertical="center"/>
    </xf>
    <xf numFmtId="0" fontId="10" fillId="10" borderId="221" xfId="37" applyFont="1" applyFill="1" applyBorder="1" applyAlignment="1" applyProtection="1">
      <alignment vertical="top" wrapText="1"/>
      <protection locked="0"/>
    </xf>
    <xf numFmtId="0" fontId="10" fillId="10" borderId="223" xfId="37" applyFont="1" applyFill="1" applyBorder="1" applyAlignment="1" applyProtection="1">
      <alignment vertical="top" wrapText="1"/>
      <protection locked="0"/>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5" borderId="141" xfId="37" applyFont="1" applyFill="1" applyBorder="1" applyAlignment="1" applyProtection="1">
      <alignment horizontal="center" vertical="center"/>
      <protection locked="0"/>
    </xf>
    <xf numFmtId="0" fontId="10" fillId="5" borderId="144" xfId="37" applyFont="1" applyFill="1" applyBorder="1" applyAlignment="1" applyProtection="1">
      <alignment horizontal="center" vertical="center"/>
      <protection locked="0"/>
    </xf>
    <xf numFmtId="0" fontId="10" fillId="5" borderId="174" xfId="37" applyFont="1" applyFill="1" applyBorder="1" applyAlignment="1" applyProtection="1">
      <alignment horizontal="center" vertical="center"/>
      <protection locked="0"/>
    </xf>
    <xf numFmtId="0" fontId="10" fillId="5" borderId="175" xfId="37" applyFont="1" applyFill="1" applyBorder="1" applyAlignment="1" applyProtection="1">
      <alignment horizontal="center" vertical="center"/>
      <protection locked="0"/>
    </xf>
    <xf numFmtId="0" fontId="10" fillId="5" borderId="177" xfId="37" applyFont="1" applyFill="1" applyBorder="1" applyAlignment="1" applyProtection="1">
      <alignment horizontal="center" vertical="center"/>
      <protection locked="0"/>
    </xf>
    <xf numFmtId="0" fontId="10" fillId="5" borderId="178" xfId="37" applyFont="1" applyFill="1" applyBorder="1" applyAlignment="1" applyProtection="1">
      <alignment horizontal="center" vertical="center"/>
      <protection locked="0"/>
    </xf>
    <xf numFmtId="0" fontId="10" fillId="5" borderId="179" xfId="37" applyFont="1" applyFill="1" applyBorder="1" applyAlignment="1" applyProtection="1">
      <alignment horizontal="center" vertical="center"/>
      <protection locked="0"/>
    </xf>
    <xf numFmtId="0" fontId="10" fillId="5" borderId="173" xfId="37" applyFont="1" applyFill="1" applyBorder="1" applyAlignment="1" applyProtection="1">
      <alignment horizontal="center" vertical="center"/>
      <protection locked="0"/>
    </xf>
    <xf numFmtId="0" fontId="10" fillId="5" borderId="176" xfId="37" applyFont="1" applyFill="1" applyBorder="1" applyAlignment="1" applyProtection="1">
      <alignment horizontal="center" vertical="center"/>
      <protection locked="0"/>
    </xf>
    <xf numFmtId="0" fontId="10" fillId="5" borderId="172" xfId="37" applyFont="1" applyFill="1" applyBorder="1" applyAlignment="1" applyProtection="1">
      <alignment horizontal="center" vertical="center"/>
      <protection locked="0"/>
    </xf>
    <xf numFmtId="0" fontId="10" fillId="0" borderId="0" xfId="37" applyFont="1" applyAlignment="1">
      <alignment vertical="center" wrapText="1"/>
    </xf>
    <xf numFmtId="0" fontId="14" fillId="0" borderId="0" xfId="37" applyFont="1" applyAlignment="1">
      <alignment horizontal="center" vertical="center"/>
    </xf>
    <xf numFmtId="0" fontId="14" fillId="0" borderId="162" xfId="37" applyFont="1" applyBorder="1" applyAlignment="1">
      <alignment horizontal="center" vertical="center"/>
    </xf>
    <xf numFmtId="10" fontId="10" fillId="0" borderId="164" xfId="37" applyNumberFormat="1" applyFont="1" applyBorder="1" applyAlignment="1">
      <alignment horizontal="center" vertical="center"/>
    </xf>
    <xf numFmtId="10" fontId="10" fillId="0" borderId="165" xfId="37" applyNumberFormat="1" applyFont="1" applyBorder="1" applyAlignment="1">
      <alignment horizontal="center" vertical="center"/>
    </xf>
    <xf numFmtId="10" fontId="25" fillId="0" borderId="158" xfId="37" applyNumberFormat="1" applyFont="1" applyBorder="1" applyAlignment="1">
      <alignment horizontal="center" vertical="center"/>
    </xf>
    <xf numFmtId="10" fontId="25" fillId="0" borderId="143" xfId="37" applyNumberFormat="1" applyFont="1" applyBorder="1" applyAlignment="1">
      <alignment horizontal="center" vertical="center"/>
    </xf>
    <xf numFmtId="10" fontId="25" fillId="0" borderId="144" xfId="37" applyNumberFormat="1" applyFont="1" applyBorder="1" applyAlignment="1">
      <alignment horizontal="center" vertical="center"/>
    </xf>
    <xf numFmtId="181" fontId="259" fillId="0" borderId="0" xfId="37" applyNumberFormat="1" applyFont="1" applyAlignment="1">
      <alignment horizontal="center" vertical="center"/>
    </xf>
    <xf numFmtId="181" fontId="259" fillId="0" borderId="186" xfId="37" applyNumberFormat="1" applyFont="1" applyBorder="1" applyAlignment="1">
      <alignment horizontal="center" vertical="center"/>
    </xf>
    <xf numFmtId="181" fontId="259" fillId="0" borderId="193" xfId="37" applyNumberFormat="1" applyFont="1" applyBorder="1" applyAlignment="1">
      <alignment horizontal="center" vertical="center"/>
    </xf>
    <xf numFmtId="181" fontId="259" fillId="0" borderId="194" xfId="37" applyNumberFormat="1" applyFont="1" applyBorder="1" applyAlignment="1">
      <alignment horizontal="center" vertical="center"/>
    </xf>
    <xf numFmtId="181" fontId="259" fillId="0" borderId="183" xfId="37" applyNumberFormat="1" applyFont="1" applyBorder="1" applyAlignment="1">
      <alignment horizontal="center" vertical="center"/>
    </xf>
    <xf numFmtId="4" fontId="10" fillId="10" borderId="12" xfId="37" applyNumberFormat="1" applyFont="1" applyFill="1" applyBorder="1" applyAlignment="1" applyProtection="1">
      <alignment horizontal="center" vertical="top"/>
      <protection locked="0"/>
    </xf>
    <xf numFmtId="3" fontId="10" fillId="10" borderId="12" xfId="37" applyNumberFormat="1" applyFont="1" applyFill="1" applyBorder="1" applyAlignment="1" applyProtection="1">
      <alignment horizontal="center" vertical="center"/>
      <protection locked="0"/>
    </xf>
    <xf numFmtId="0" fontId="25" fillId="0" borderId="166" xfId="37" applyFont="1" applyBorder="1" applyAlignment="1">
      <alignment horizontal="center" vertical="center"/>
    </xf>
    <xf numFmtId="0" fontId="25" fillId="0" borderId="168" xfId="37" applyFont="1" applyBorder="1" applyAlignment="1">
      <alignment horizontal="center" vertical="center"/>
    </xf>
    <xf numFmtId="0" fontId="4" fillId="0" borderId="256" xfId="37" applyBorder="1" applyAlignment="1">
      <alignment horizontal="center" vertical="center"/>
    </xf>
    <xf numFmtId="0" fontId="4" fillId="0" borderId="249" xfId="37" applyBorder="1" applyAlignment="1">
      <alignment horizontal="center" vertical="center"/>
    </xf>
    <xf numFmtId="0" fontId="4" fillId="0" borderId="136" xfId="37" applyBorder="1" applyAlignment="1">
      <alignment horizontal="center" vertical="center"/>
    </xf>
    <xf numFmtId="0" fontId="4" fillId="0" borderId="146" xfId="37" applyBorder="1" applyAlignment="1">
      <alignment horizontal="center" vertical="center"/>
    </xf>
    <xf numFmtId="0" fontId="94" fillId="0" borderId="138" xfId="37" applyFont="1" applyBorder="1" applyAlignment="1">
      <alignment horizontal="center" vertical="center"/>
    </xf>
    <xf numFmtId="0" fontId="94" fillId="0" borderId="181" xfId="37" applyFont="1" applyBorder="1" applyAlignment="1">
      <alignment horizontal="center" vertical="center"/>
    </xf>
    <xf numFmtId="10" fontId="10" fillId="13" borderId="221" xfId="37" applyNumberFormat="1" applyFont="1" applyFill="1" applyBorder="1" applyAlignment="1">
      <alignment horizontal="center" vertical="center"/>
    </xf>
    <xf numFmtId="10" fontId="10" fillId="13" borderId="222" xfId="37" applyNumberFormat="1" applyFont="1" applyFill="1" applyBorder="1" applyAlignment="1">
      <alignment horizontal="center" vertical="center"/>
    </xf>
    <xf numFmtId="10" fontId="10" fillId="13" borderId="223" xfId="37" applyNumberFormat="1" applyFont="1" applyFill="1" applyBorder="1" applyAlignment="1">
      <alignment horizontal="center" vertical="center"/>
    </xf>
    <xf numFmtId="10" fontId="10" fillId="10" borderId="221" xfId="37" applyNumberFormat="1" applyFont="1" applyFill="1" applyBorder="1" applyAlignment="1" applyProtection="1">
      <alignment horizontal="center" vertical="center"/>
      <protection locked="0"/>
    </xf>
    <xf numFmtId="10" fontId="10" fillId="10" borderId="222" xfId="37" applyNumberFormat="1" applyFont="1" applyFill="1" applyBorder="1" applyAlignment="1" applyProtection="1">
      <alignment horizontal="center" vertical="center"/>
      <protection locked="0"/>
    </xf>
    <xf numFmtId="10" fontId="10" fillId="10" borderId="223" xfId="37" applyNumberFormat="1" applyFont="1" applyFill="1" applyBorder="1" applyAlignment="1" applyProtection="1">
      <alignment horizontal="center" vertical="center"/>
      <protection locked="0"/>
    </xf>
    <xf numFmtId="10" fontId="10" fillId="13" borderId="22" xfId="37" applyNumberFormat="1" applyFont="1" applyFill="1" applyBorder="1" applyAlignment="1">
      <alignment horizontal="center" vertical="center"/>
    </xf>
    <xf numFmtId="10" fontId="10" fillId="13" borderId="16" xfId="37" applyNumberFormat="1" applyFont="1" applyFill="1" applyBorder="1" applyAlignment="1">
      <alignment horizontal="center" vertical="center"/>
    </xf>
    <xf numFmtId="10" fontId="10" fillId="13" borderId="23" xfId="37" applyNumberFormat="1" applyFont="1" applyFill="1" applyBorder="1" applyAlignment="1">
      <alignment horizontal="center" vertical="center"/>
    </xf>
    <xf numFmtId="10" fontId="10" fillId="13" borderId="25" xfId="37" applyNumberFormat="1" applyFont="1" applyFill="1" applyBorder="1" applyAlignment="1">
      <alignment horizontal="center" vertical="center"/>
    </xf>
    <xf numFmtId="10" fontId="10" fillId="13" borderId="42" xfId="37" applyNumberFormat="1" applyFont="1" applyFill="1" applyBorder="1" applyAlignment="1">
      <alignment horizontal="center" vertical="center"/>
    </xf>
    <xf numFmtId="10" fontId="10" fillId="13" borderId="26" xfId="37" applyNumberFormat="1" applyFont="1" applyFill="1" applyBorder="1" applyAlignment="1">
      <alignment horizontal="center" vertical="center"/>
    </xf>
    <xf numFmtId="4" fontId="10" fillId="10" borderId="13" xfId="37" applyNumberFormat="1" applyFont="1" applyFill="1" applyBorder="1" applyAlignment="1" applyProtection="1">
      <alignment horizontal="center" vertical="top"/>
      <protection locked="0"/>
    </xf>
    <xf numFmtId="3" fontId="10" fillId="10" borderId="13" xfId="37" applyNumberFormat="1" applyFont="1" applyFill="1" applyBorder="1" applyAlignment="1" applyProtection="1">
      <alignment horizontal="center" vertical="center"/>
      <protection locked="0"/>
    </xf>
    <xf numFmtId="10" fontId="4" fillId="10" borderId="174" xfId="37" applyNumberFormat="1" applyFill="1" applyBorder="1" applyAlignment="1" applyProtection="1">
      <alignment horizontal="center" vertical="center"/>
      <protection locked="0"/>
    </xf>
    <xf numFmtId="10" fontId="4" fillId="10" borderId="204" xfId="37" applyNumberFormat="1" applyFill="1" applyBorder="1" applyAlignment="1" applyProtection="1">
      <alignment horizontal="center" vertical="center"/>
      <protection locked="0"/>
    </xf>
    <xf numFmtId="10" fontId="4" fillId="13" borderId="205" xfId="37" applyNumberFormat="1" applyFill="1" applyBorder="1" applyAlignment="1">
      <alignment horizontal="center" vertical="center"/>
    </xf>
    <xf numFmtId="10" fontId="4" fillId="13" borderId="178" xfId="37" applyNumberFormat="1" applyFill="1" applyBorder="1" applyAlignment="1">
      <alignment horizontal="center" vertical="center"/>
    </xf>
    <xf numFmtId="181" fontId="259" fillId="0" borderId="159" xfId="37" applyNumberFormat="1" applyFont="1" applyBorder="1" applyAlignment="1">
      <alignment horizontal="center" vertical="center"/>
    </xf>
    <xf numFmtId="0" fontId="253" fillId="0" borderId="190" xfId="37" applyFont="1" applyBorder="1" applyAlignment="1">
      <alignment horizontal="center" vertical="center"/>
    </xf>
    <xf numFmtId="0" fontId="4" fillId="10" borderId="221" xfId="37" applyFill="1" applyBorder="1" applyAlignment="1" applyProtection="1">
      <alignment horizontal="left" vertical="center" wrapText="1"/>
      <protection locked="0"/>
    </xf>
    <xf numFmtId="0" fontId="4" fillId="10" borderId="222" xfId="37" applyFill="1" applyBorder="1" applyAlignment="1" applyProtection="1">
      <alignment horizontal="left" vertical="center" wrapText="1"/>
      <protection locked="0"/>
    </xf>
    <xf numFmtId="0" fontId="4" fillId="10" borderId="223" xfId="37" applyFill="1" applyBorder="1" applyAlignment="1" applyProtection="1">
      <alignment horizontal="left" vertical="center" wrapText="1"/>
      <protection locked="0"/>
    </xf>
    <xf numFmtId="0" fontId="4" fillId="10" borderId="22" xfId="37" applyFill="1" applyBorder="1" applyAlignment="1" applyProtection="1">
      <alignment horizontal="left" vertical="center" wrapText="1"/>
      <protection locked="0"/>
    </xf>
    <xf numFmtId="0" fontId="4" fillId="10" borderId="16" xfId="37" applyFill="1" applyBorder="1" applyAlignment="1" applyProtection="1">
      <alignment horizontal="left" vertical="center" wrapText="1"/>
      <protection locked="0"/>
    </xf>
    <xf numFmtId="0" fontId="4" fillId="10" borderId="23" xfId="37" applyFill="1" applyBorder="1" applyAlignment="1" applyProtection="1">
      <alignment horizontal="left" vertical="center" wrapText="1"/>
      <protection locked="0"/>
    </xf>
    <xf numFmtId="0" fontId="4" fillId="10" borderId="25" xfId="37" applyFill="1" applyBorder="1" applyAlignment="1" applyProtection="1">
      <alignment horizontal="left" vertical="center" wrapText="1"/>
      <protection locked="0"/>
    </xf>
    <xf numFmtId="0" fontId="4" fillId="10" borderId="42" xfId="37" applyFill="1" applyBorder="1" applyAlignment="1" applyProtection="1">
      <alignment horizontal="left" vertical="center" wrapText="1"/>
      <protection locked="0"/>
    </xf>
    <xf numFmtId="0" fontId="4" fillId="10" borderId="26" xfId="37" applyFill="1" applyBorder="1" applyAlignment="1" applyProtection="1">
      <alignment horizontal="left" vertical="center" wrapText="1"/>
      <protection locked="0"/>
    </xf>
    <xf numFmtId="49" fontId="10" fillId="10" borderId="12" xfId="37" applyNumberFormat="1" applyFont="1" applyFill="1" applyBorder="1" applyAlignment="1" applyProtection="1">
      <alignment horizontal="left" vertical="center"/>
      <protection locked="0"/>
    </xf>
    <xf numFmtId="0" fontId="258" fillId="0" borderId="218" xfId="37" applyFont="1" applyBorder="1" applyAlignment="1">
      <alignment horizontal="center" vertical="center" wrapText="1"/>
    </xf>
    <xf numFmtId="0" fontId="258" fillId="0" borderId="219" xfId="37" applyFont="1" applyBorder="1" applyAlignment="1">
      <alignment horizontal="center" vertical="center" wrapText="1"/>
    </xf>
    <xf numFmtId="0" fontId="224" fillId="0" borderId="0" xfId="37" applyFont="1" applyAlignment="1">
      <alignment horizontal="center" vertical="center" wrapText="1"/>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253" fillId="0" borderId="218" xfId="37" applyFont="1" applyBorder="1" applyAlignment="1">
      <alignment horizontal="center" vertical="center" wrapText="1"/>
    </xf>
    <xf numFmtId="0" fontId="253" fillId="0" borderId="219" xfId="37" applyFont="1" applyBorder="1" applyAlignment="1">
      <alignment horizontal="center" vertical="center" wrapText="1"/>
    </xf>
    <xf numFmtId="0" fontId="258" fillId="0" borderId="217" xfId="37" applyFont="1" applyBorder="1" applyAlignment="1">
      <alignment horizontal="center" vertical="center" wrapText="1"/>
    </xf>
    <xf numFmtId="0" fontId="136" fillId="20" borderId="4" xfId="37" applyFont="1" applyFill="1" applyBorder="1" applyAlignment="1">
      <alignment horizontal="left" vertical="top" wrapText="1"/>
    </xf>
    <xf numFmtId="0" fontId="136" fillId="20" borderId="0" xfId="37" applyFont="1" applyFill="1" applyAlignment="1">
      <alignment horizontal="left" vertical="top" wrapText="1"/>
    </xf>
    <xf numFmtId="0" fontId="127" fillId="0" borderId="0" xfId="37" applyFont="1" applyAlignment="1">
      <alignment horizontal="left" vertical="center" wrapText="1"/>
    </xf>
    <xf numFmtId="0" fontId="25" fillId="0" borderId="55" xfId="37" applyFont="1" applyBorder="1" applyAlignment="1">
      <alignment horizontal="center" vertical="center"/>
    </xf>
    <xf numFmtId="0" fontId="253" fillId="0" borderId="41" xfId="37" applyFont="1" applyBorder="1" applyAlignment="1">
      <alignment horizontal="center" vertical="center"/>
    </xf>
    <xf numFmtId="0" fontId="253" fillId="0" borderId="1" xfId="37" applyFont="1" applyBorder="1" applyAlignment="1">
      <alignment horizontal="center" vertical="center"/>
    </xf>
    <xf numFmtId="0" fontId="253" fillId="0" borderId="27" xfId="37" applyFont="1" applyBorder="1" applyAlignment="1">
      <alignment horizontal="center" vertical="center"/>
    </xf>
    <xf numFmtId="0" fontId="258" fillId="0" borderId="41" xfId="37" applyFont="1" applyBorder="1" applyAlignment="1">
      <alignment horizontal="center" vertical="center"/>
    </xf>
    <xf numFmtId="0" fontId="258" fillId="0" borderId="1" xfId="37" applyFont="1" applyBorder="1" applyAlignment="1">
      <alignment horizontal="center" vertical="center"/>
    </xf>
    <xf numFmtId="0" fontId="258" fillId="0" borderId="27" xfId="37" applyFont="1" applyBorder="1" applyAlignment="1">
      <alignment horizontal="center" vertical="center"/>
    </xf>
    <xf numFmtId="0" fontId="10" fillId="10" borderId="13" xfId="37" applyFont="1" applyFill="1" applyBorder="1" applyAlignment="1" applyProtection="1">
      <alignment horizontal="left" vertical="center"/>
      <protection locked="0"/>
    </xf>
    <xf numFmtId="0" fontId="10" fillId="10" borderId="25" xfId="37" applyFont="1" applyFill="1" applyBorder="1" applyAlignment="1" applyProtection="1">
      <alignment horizontal="center" vertical="center"/>
      <protection locked="0"/>
    </xf>
    <xf numFmtId="0" fontId="10" fillId="10" borderId="42" xfId="37" applyFont="1" applyFill="1" applyBorder="1" applyAlignment="1" applyProtection="1">
      <alignment horizontal="center" vertical="center"/>
      <protection locked="0"/>
    </xf>
    <xf numFmtId="0" fontId="10" fillId="10" borderId="26" xfId="37" applyFont="1" applyFill="1" applyBorder="1" applyAlignment="1" applyProtection="1">
      <alignment horizontal="center" vertical="center"/>
      <protection locked="0"/>
    </xf>
    <xf numFmtId="0" fontId="10" fillId="10" borderId="14" xfId="37" applyFont="1" applyFill="1" applyBorder="1" applyAlignment="1" applyProtection="1">
      <alignment horizontal="center" vertical="center"/>
      <protection locked="0"/>
    </xf>
    <xf numFmtId="0" fontId="10" fillId="10" borderId="24" xfId="37" applyFont="1" applyFill="1" applyBorder="1" applyAlignment="1" applyProtection="1">
      <alignment horizontal="center" vertical="center"/>
      <protection locked="0"/>
    </xf>
    <xf numFmtId="0" fontId="5" fillId="0" borderId="215" xfId="37" applyFont="1" applyBorder="1" applyAlignment="1">
      <alignment horizontal="right" vertical="center"/>
    </xf>
    <xf numFmtId="10" fontId="10" fillId="10" borderId="141" xfId="37" applyNumberFormat="1" applyFont="1" applyFill="1" applyBorder="1" applyAlignment="1" applyProtection="1">
      <alignment horizontal="center" vertical="center" wrapText="1"/>
      <protection locked="0"/>
    </xf>
    <xf numFmtId="10" fontId="10" fillId="10" borderId="144" xfId="37" applyNumberFormat="1" applyFont="1" applyFill="1" applyBorder="1" applyAlignment="1" applyProtection="1">
      <alignment horizontal="center" vertical="center" wrapText="1"/>
      <protection locked="0"/>
    </xf>
    <xf numFmtId="0" fontId="5" fillId="0" borderId="215" xfId="37" applyFont="1" applyBorder="1" applyAlignment="1">
      <alignment horizontal="center" vertical="center"/>
    </xf>
    <xf numFmtId="0" fontId="127" fillId="0" borderId="9" xfId="37" applyFont="1" applyBorder="1" applyAlignment="1">
      <alignment horizontal="left" vertical="center"/>
    </xf>
    <xf numFmtId="0" fontId="10" fillId="10" borderId="12" xfId="37" applyFont="1" applyFill="1" applyBorder="1" applyAlignment="1" applyProtection="1">
      <alignment horizontal="left" vertical="center"/>
      <protection locked="0"/>
    </xf>
    <xf numFmtId="0" fontId="10" fillId="10" borderId="22" xfId="37" applyFont="1" applyFill="1" applyBorder="1" applyAlignment="1" applyProtection="1">
      <alignment horizontal="center" vertical="center"/>
      <protection locked="0"/>
    </xf>
    <xf numFmtId="0" fontId="10" fillId="10" borderId="16" xfId="37" applyFont="1" applyFill="1" applyBorder="1" applyAlignment="1" applyProtection="1">
      <alignment horizontal="center" vertical="center"/>
      <protection locked="0"/>
    </xf>
    <xf numFmtId="0" fontId="10" fillId="10" borderId="23" xfId="37" applyFont="1" applyFill="1" applyBorder="1" applyAlignment="1" applyProtection="1">
      <alignment horizontal="center" vertical="center"/>
      <protection locked="0"/>
    </xf>
    <xf numFmtId="0" fontId="10" fillId="10" borderId="22" xfId="37" applyFont="1" applyFill="1" applyBorder="1" applyAlignment="1" applyProtection="1">
      <alignment horizontal="left" vertical="center"/>
      <protection locked="0"/>
    </xf>
    <xf numFmtId="0" fontId="10" fillId="10" borderId="16" xfId="37" applyFont="1" applyFill="1" applyBorder="1" applyAlignment="1" applyProtection="1">
      <alignment horizontal="left" vertical="center"/>
      <protection locked="0"/>
    </xf>
    <xf numFmtId="0" fontId="10" fillId="10" borderId="23" xfId="37" applyFont="1" applyFill="1" applyBorder="1" applyAlignment="1" applyProtection="1">
      <alignment horizontal="left" vertical="center"/>
      <protection locked="0"/>
    </xf>
    <xf numFmtId="0" fontId="10" fillId="10" borderId="225" xfId="37" applyFont="1" applyFill="1" applyBorder="1" applyAlignment="1" applyProtection="1">
      <alignment horizontal="left" vertical="center"/>
      <protection locked="0"/>
    </xf>
    <xf numFmtId="0" fontId="10" fillId="10" borderId="221" xfId="37" applyFont="1" applyFill="1" applyBorder="1" applyAlignment="1" applyProtection="1">
      <alignment horizontal="center" vertical="center"/>
      <protection locked="0"/>
    </xf>
    <xf numFmtId="0" fontId="10" fillId="10" borderId="222" xfId="37" applyFont="1" applyFill="1" applyBorder="1" applyAlignment="1" applyProtection="1">
      <alignment horizontal="center" vertical="center"/>
      <protection locked="0"/>
    </xf>
    <xf numFmtId="0" fontId="10" fillId="10" borderId="223" xfId="37" applyFont="1" applyFill="1" applyBorder="1" applyAlignment="1" applyProtection="1">
      <alignment horizontal="center" vertical="center"/>
      <protection locked="0"/>
    </xf>
    <xf numFmtId="0" fontId="25" fillId="10" borderId="218" xfId="37" applyFont="1" applyFill="1" applyBorder="1" applyAlignment="1" applyProtection="1">
      <alignment horizontal="center" vertical="center"/>
      <protection locked="0"/>
    </xf>
    <xf numFmtId="0" fontId="25" fillId="10" borderId="220" xfId="37" applyFont="1" applyFill="1" applyBorder="1" applyAlignment="1" applyProtection="1">
      <alignment horizontal="center" vertical="center"/>
      <protection locked="0"/>
    </xf>
    <xf numFmtId="0" fontId="25" fillId="10" borderId="219" xfId="37" applyFont="1" applyFill="1" applyBorder="1" applyAlignment="1" applyProtection="1">
      <alignment horizontal="center" vertical="center"/>
      <protection locked="0"/>
    </xf>
    <xf numFmtId="0" fontId="5" fillId="0" borderId="0" xfId="37" applyFont="1" applyAlignment="1">
      <alignment horizontal="center" vertical="center" wrapText="1"/>
    </xf>
    <xf numFmtId="0" fontId="131" fillId="0" borderId="0" xfId="37" applyFont="1" applyAlignment="1">
      <alignment horizontal="center" vertical="center" wrapText="1"/>
    </xf>
    <xf numFmtId="0" fontId="106" fillId="0" borderId="182" xfId="37" applyFont="1" applyBorder="1" applyAlignment="1">
      <alignment horizontal="center" vertical="center" wrapText="1"/>
    </xf>
    <xf numFmtId="0" fontId="106" fillId="0" borderId="183" xfId="37" applyFont="1" applyBorder="1" applyAlignment="1">
      <alignment horizontal="center" vertical="center" wrapText="1"/>
    </xf>
    <xf numFmtId="0" fontId="106" fillId="0" borderId="184" xfId="37" applyFont="1" applyBorder="1" applyAlignment="1">
      <alignment horizontal="center" vertical="center" wrapText="1"/>
    </xf>
    <xf numFmtId="0" fontId="106" fillId="0" borderId="185" xfId="37" applyFont="1" applyBorder="1" applyAlignment="1">
      <alignment horizontal="center" vertical="center" wrapText="1"/>
    </xf>
    <xf numFmtId="0" fontId="106" fillId="0" borderId="186" xfId="37" applyFont="1" applyBorder="1" applyAlignment="1">
      <alignment horizontal="center" vertical="center" wrapText="1"/>
    </xf>
    <xf numFmtId="0" fontId="106" fillId="0" borderId="187" xfId="37" applyFont="1" applyBorder="1" applyAlignment="1">
      <alignment horizontal="center" vertical="center" wrapText="1"/>
    </xf>
    <xf numFmtId="10" fontId="10" fillId="10" borderId="207" xfId="37" applyNumberFormat="1" applyFont="1" applyFill="1" applyBorder="1" applyAlignment="1" applyProtection="1">
      <alignment horizontal="center" vertical="center" wrapText="1"/>
      <protection locked="0"/>
    </xf>
    <xf numFmtId="0" fontId="10" fillId="10" borderId="207" xfId="37" applyFont="1" applyFill="1" applyBorder="1" applyAlignment="1" applyProtection="1">
      <alignment horizontal="center" vertical="top"/>
      <protection locked="0"/>
    </xf>
    <xf numFmtId="0" fontId="4" fillId="0" borderId="162" xfId="37" applyBorder="1" applyAlignment="1">
      <alignment horizontal="left" vertical="center"/>
    </xf>
    <xf numFmtId="0" fontId="111" fillId="0" borderId="182" xfId="37" applyFont="1" applyBorder="1" applyAlignment="1">
      <alignment horizontal="left" vertical="center"/>
    </xf>
    <xf numFmtId="0" fontId="111" fillId="0" borderId="183" xfId="37" applyFont="1" applyBorder="1" applyAlignment="1">
      <alignment horizontal="left" vertical="center"/>
    </xf>
    <xf numFmtId="0" fontId="25" fillId="0" borderId="0" xfId="37" applyFont="1" applyAlignment="1">
      <alignment horizontal="left" vertical="center"/>
    </xf>
    <xf numFmtId="3" fontId="10" fillId="10" borderId="225" xfId="37" applyNumberFormat="1" applyFont="1" applyFill="1" applyBorder="1" applyAlignment="1" applyProtection="1">
      <alignment horizontal="center" vertical="center"/>
      <protection locked="0"/>
    </xf>
    <xf numFmtId="0" fontId="4" fillId="10" borderId="221" xfId="37" applyFill="1" applyBorder="1" applyAlignment="1" applyProtection="1">
      <alignment horizontal="center" vertical="top"/>
      <protection locked="0"/>
    </xf>
    <xf numFmtId="0" fontId="4" fillId="10" borderId="222" xfId="37" applyFill="1" applyBorder="1" applyAlignment="1" applyProtection="1">
      <alignment horizontal="center" vertical="top"/>
      <protection locked="0"/>
    </xf>
    <xf numFmtId="0" fontId="4" fillId="10" borderId="223" xfId="37" applyFill="1" applyBorder="1" applyAlignment="1" applyProtection="1">
      <alignment horizontal="center" vertical="top"/>
      <protection locked="0"/>
    </xf>
    <xf numFmtId="0" fontId="4" fillId="10" borderId="22" xfId="37" applyFill="1" applyBorder="1" applyAlignment="1" applyProtection="1">
      <alignment horizontal="center" vertical="top"/>
      <protection locked="0"/>
    </xf>
    <xf numFmtId="0" fontId="4" fillId="10" borderId="16" xfId="37" applyFill="1" applyBorder="1" applyAlignment="1" applyProtection="1">
      <alignment horizontal="center" vertical="top"/>
      <protection locked="0"/>
    </xf>
    <xf numFmtId="0" fontId="4" fillId="10" borderId="23" xfId="37" applyFill="1" applyBorder="1" applyAlignment="1" applyProtection="1">
      <alignment horizontal="center" vertical="top"/>
      <protection locked="0"/>
    </xf>
    <xf numFmtId="0" fontId="4" fillId="10" borderId="25" xfId="37" applyFill="1" applyBorder="1" applyAlignment="1" applyProtection="1">
      <alignment horizontal="center" vertical="top"/>
      <protection locked="0"/>
    </xf>
    <xf numFmtId="0" fontId="4" fillId="10" borderId="42" xfId="37" applyFill="1" applyBorder="1" applyAlignment="1" applyProtection="1">
      <alignment horizontal="center" vertical="top"/>
      <protection locked="0"/>
    </xf>
    <xf numFmtId="0" fontId="4" fillId="10" borderId="26" xfId="37" applyFill="1" applyBorder="1" applyAlignment="1" applyProtection="1">
      <alignment horizontal="center" vertical="top"/>
      <protection locked="0"/>
    </xf>
    <xf numFmtId="4" fontId="10" fillId="10" borderId="225" xfId="37" applyNumberFormat="1" applyFont="1" applyFill="1" applyBorder="1" applyAlignment="1" applyProtection="1">
      <alignment horizontal="center" vertical="top"/>
      <protection locked="0"/>
    </xf>
    <xf numFmtId="0" fontId="80" fillId="0" borderId="5" xfId="33" applyFont="1" applyBorder="1" applyAlignment="1">
      <alignment horizontal="center" vertical="center"/>
    </xf>
    <xf numFmtId="0" fontId="94" fillId="0" borderId="0" xfId="37" applyFont="1" applyAlignment="1">
      <alignment horizontal="center" vertical="center"/>
    </xf>
    <xf numFmtId="0" fontId="10" fillId="10" borderId="22" xfId="37" applyFont="1" applyFill="1" applyBorder="1" applyAlignment="1" applyProtection="1">
      <alignment vertical="top" wrapText="1"/>
      <protection locked="0"/>
    </xf>
    <xf numFmtId="0" fontId="10" fillId="10" borderId="23" xfId="37" applyFont="1" applyFill="1" applyBorder="1" applyAlignment="1" applyProtection="1">
      <alignment vertical="top" wrapText="1"/>
      <protection locked="0"/>
    </xf>
    <xf numFmtId="0" fontId="10" fillId="10" borderId="25" xfId="37" applyFont="1" applyFill="1" applyBorder="1" applyAlignment="1" applyProtection="1">
      <alignment vertical="top" wrapText="1"/>
      <protection locked="0"/>
    </xf>
    <xf numFmtId="0" fontId="10" fillId="10" borderId="26" xfId="37" applyFont="1" applyFill="1" applyBorder="1" applyAlignment="1" applyProtection="1">
      <alignment vertical="top" wrapText="1"/>
      <protection locked="0"/>
    </xf>
    <xf numFmtId="38" fontId="10" fillId="0" borderId="25" xfId="37" applyNumberFormat="1" applyFont="1" applyBorder="1" applyAlignment="1">
      <alignment horizontal="center" vertical="center"/>
    </xf>
    <xf numFmtId="38" fontId="10" fillId="0" borderId="26" xfId="37" applyNumberFormat="1" applyFont="1" applyBorder="1" applyAlignment="1">
      <alignment horizontal="center" vertical="center"/>
    </xf>
    <xf numFmtId="0" fontId="10" fillId="17" borderId="0" xfId="37" applyFont="1" applyFill="1" applyAlignment="1">
      <alignment horizontal="center" vertical="center"/>
    </xf>
    <xf numFmtId="0" fontId="10" fillId="5" borderId="143" xfId="37" applyFont="1" applyFill="1" applyBorder="1" applyAlignment="1" applyProtection="1">
      <alignment horizontal="center" vertical="center"/>
      <protection locked="0"/>
    </xf>
    <xf numFmtId="0" fontId="10" fillId="5" borderId="203" xfId="37" applyFont="1" applyFill="1" applyBorder="1" applyAlignment="1" applyProtection="1">
      <alignment horizontal="center" vertical="center"/>
      <protection locked="0"/>
    </xf>
    <xf numFmtId="0" fontId="127" fillId="0" borderId="9" xfId="37" applyFont="1" applyBorder="1" applyAlignment="1">
      <alignment horizontal="center" wrapText="1"/>
    </xf>
    <xf numFmtId="0" fontId="127" fillId="0" borderId="164" xfId="37" applyFont="1" applyBorder="1" applyAlignment="1">
      <alignment horizontal="center" wrapText="1"/>
    </xf>
    <xf numFmtId="49" fontId="10" fillId="10" borderId="13" xfId="37" applyNumberFormat="1" applyFont="1" applyFill="1" applyBorder="1" applyAlignment="1" applyProtection="1">
      <alignment horizontal="left" vertical="center"/>
      <protection locked="0"/>
    </xf>
    <xf numFmtId="49" fontId="10" fillId="10" borderId="225" xfId="37" applyNumberFormat="1" applyFont="1" applyFill="1" applyBorder="1" applyAlignment="1" applyProtection="1">
      <alignment horizontal="left" vertical="center"/>
      <protection locked="0"/>
    </xf>
    <xf numFmtId="0" fontId="25" fillId="0" borderId="9" xfId="37" applyFont="1" applyBorder="1" applyAlignment="1">
      <alignment horizontal="left" vertical="top" wrapText="1"/>
    </xf>
    <xf numFmtId="0" fontId="10" fillId="5" borderId="196" xfId="37" applyFont="1" applyFill="1" applyBorder="1" applyAlignment="1" applyProtection="1">
      <alignment horizontal="center" vertical="center"/>
      <protection locked="0"/>
    </xf>
    <xf numFmtId="0" fontId="10" fillId="5" borderId="195" xfId="37" applyFont="1" applyFill="1" applyBorder="1" applyAlignment="1" applyProtection="1">
      <alignment horizontal="center" vertical="center"/>
      <protection locked="0"/>
    </xf>
    <xf numFmtId="0" fontId="10" fillId="5" borderId="201" xfId="37" applyFont="1" applyFill="1" applyBorder="1" applyAlignment="1" applyProtection="1">
      <alignment horizontal="center" vertical="center"/>
      <protection locked="0"/>
    </xf>
    <xf numFmtId="0" fontId="10" fillId="5" borderId="202" xfId="37" applyFont="1" applyFill="1" applyBorder="1" applyAlignment="1" applyProtection="1">
      <alignment horizontal="center" vertical="center"/>
      <protection locked="0"/>
    </xf>
    <xf numFmtId="0" fontId="10" fillId="5" borderId="197" xfId="37" applyFont="1" applyFill="1" applyBorder="1" applyAlignment="1" applyProtection="1">
      <alignment horizontal="center" vertical="center"/>
      <protection locked="0"/>
    </xf>
    <xf numFmtId="0" fontId="10" fillId="5" borderId="198" xfId="37" applyFont="1" applyFill="1" applyBorder="1" applyAlignment="1" applyProtection="1">
      <alignment horizontal="center" vertical="center"/>
      <protection locked="0"/>
    </xf>
    <xf numFmtId="0" fontId="10" fillId="17" borderId="0" xfId="37" applyFont="1" applyFill="1" applyAlignment="1" applyProtection="1">
      <alignment horizontal="center" vertical="center"/>
      <protection locked="0"/>
    </xf>
    <xf numFmtId="0" fontId="10" fillId="13" borderId="60" xfId="37" applyFont="1" applyFill="1" applyBorder="1" applyAlignment="1">
      <alignment horizontal="center" vertical="center"/>
    </xf>
    <xf numFmtId="0" fontId="10" fillId="13" borderId="26" xfId="37" applyFont="1" applyFill="1" applyBorder="1" applyAlignment="1">
      <alignment horizontal="center" vertical="center"/>
    </xf>
    <xf numFmtId="38" fontId="4" fillId="0" borderId="0" xfId="37" applyNumberFormat="1" applyAlignment="1">
      <alignment horizontal="center" vertical="center" wrapText="1"/>
    </xf>
    <xf numFmtId="38" fontId="4" fillId="0" borderId="9" xfId="37" applyNumberFormat="1" applyBorder="1" applyAlignment="1">
      <alignment horizontal="center" vertical="center" wrapText="1"/>
    </xf>
    <xf numFmtId="0" fontId="10" fillId="13" borderId="230" xfId="37" applyFont="1" applyFill="1" applyBorder="1" applyAlignment="1">
      <alignment horizontal="center" vertical="center"/>
    </xf>
    <xf numFmtId="0" fontId="10" fillId="13" borderId="223" xfId="37" applyFont="1" applyFill="1" applyBorder="1" applyAlignment="1">
      <alignment horizontal="center" vertical="center"/>
    </xf>
    <xf numFmtId="0" fontId="10" fillId="5" borderId="222" xfId="37" applyFont="1" applyFill="1" applyBorder="1" applyAlignment="1" applyProtection="1">
      <alignment horizontal="center" vertical="center"/>
      <protection locked="0"/>
    </xf>
    <xf numFmtId="0" fontId="10" fillId="5" borderId="234" xfId="37" applyFont="1" applyFill="1" applyBorder="1" applyAlignment="1" applyProtection="1">
      <alignment horizontal="center" vertical="center"/>
      <protection locked="0"/>
    </xf>
    <xf numFmtId="0" fontId="10" fillId="5" borderId="42" xfId="37" applyFont="1" applyFill="1" applyBorder="1" applyAlignment="1" applyProtection="1">
      <alignment horizontal="center" vertical="center"/>
      <protection locked="0"/>
    </xf>
    <xf numFmtId="0" fontId="10" fillId="5" borderId="52" xfId="37" applyFont="1" applyFill="1" applyBorder="1" applyAlignment="1" applyProtection="1">
      <alignment horizontal="center" vertical="center"/>
      <protection locked="0"/>
    </xf>
    <xf numFmtId="0" fontId="10" fillId="13" borderId="256" xfId="37" applyFont="1" applyFill="1" applyBorder="1" applyAlignment="1">
      <alignment horizontal="center" vertical="center"/>
    </xf>
    <xf numFmtId="0" fontId="10" fillId="13" borderId="222" xfId="37" applyFont="1" applyFill="1" applyBorder="1" applyAlignment="1">
      <alignment horizontal="center" vertical="center"/>
    </xf>
    <xf numFmtId="0" fontId="10" fillId="13" borderId="180" xfId="37" applyFont="1" applyFill="1" applyBorder="1" applyAlignment="1">
      <alignment horizontal="center" vertical="center"/>
    </xf>
    <xf numFmtId="0" fontId="10" fillId="13" borderId="42" xfId="37" applyFont="1" applyFill="1" applyBorder="1" applyAlignment="1">
      <alignment horizontal="center" vertical="center"/>
    </xf>
    <xf numFmtId="0" fontId="10" fillId="5" borderId="221" xfId="37" applyFont="1" applyFill="1" applyBorder="1" applyAlignment="1" applyProtection="1">
      <alignment horizontal="center" vertical="center"/>
      <protection locked="0"/>
    </xf>
    <xf numFmtId="0" fontId="10" fillId="5" borderId="249" xfId="37" applyFont="1" applyFill="1" applyBorder="1" applyAlignment="1" applyProtection="1">
      <alignment horizontal="center" vertical="center"/>
      <protection locked="0"/>
    </xf>
    <xf numFmtId="0" fontId="10" fillId="5" borderId="25" xfId="37" applyFont="1" applyFill="1" applyBorder="1" applyAlignment="1" applyProtection="1">
      <alignment horizontal="center" vertical="center"/>
      <protection locked="0"/>
    </xf>
    <xf numFmtId="0" fontId="10" fillId="5" borderId="147" xfId="37" applyFont="1" applyFill="1" applyBorder="1" applyAlignment="1" applyProtection="1">
      <alignment horizontal="center" vertical="center"/>
      <protection locked="0"/>
    </xf>
    <xf numFmtId="0" fontId="10" fillId="0" borderId="0" xfId="37" applyFont="1" applyAlignment="1">
      <alignment horizontal="left" vertical="center" wrapText="1"/>
    </xf>
    <xf numFmtId="0" fontId="39" fillId="0" borderId="0" xfId="37" applyFont="1" applyAlignment="1">
      <alignment horizontal="center" vertical="top" wrapText="1"/>
    </xf>
    <xf numFmtId="0" fontId="39" fillId="0" borderId="0" xfId="37" applyFont="1" applyAlignment="1">
      <alignment horizontal="center" vertical="top"/>
    </xf>
    <xf numFmtId="10" fontId="253" fillId="0" borderId="141" xfId="37" applyNumberFormat="1" applyFont="1" applyBorder="1" applyAlignment="1">
      <alignment horizontal="center" vertical="center"/>
    </xf>
    <xf numFmtId="10" fontId="253" fillId="0" borderId="144" xfId="37" applyNumberFormat="1" applyFont="1" applyBorder="1" applyAlignment="1">
      <alignment horizontal="center" vertical="center"/>
    </xf>
    <xf numFmtId="40" fontId="131" fillId="0" borderId="141" xfId="37" applyNumberFormat="1" applyFont="1" applyBorder="1" applyAlignment="1">
      <alignment horizontal="center" vertical="center"/>
    </xf>
    <xf numFmtId="40" fontId="131" fillId="0" borderId="144" xfId="37" applyNumberFormat="1" applyFont="1" applyBorder="1" applyAlignment="1">
      <alignment horizontal="center" vertical="center"/>
    </xf>
    <xf numFmtId="9" fontId="10" fillId="0" borderId="0" xfId="38" applyFont="1" applyFill="1" applyBorder="1" applyAlignment="1" applyProtection="1">
      <alignment horizontal="center" vertical="center"/>
    </xf>
    <xf numFmtId="3" fontId="10" fillId="0" borderId="221" xfId="37" applyNumberFormat="1" applyFont="1" applyBorder="1" applyAlignment="1">
      <alignment horizontal="center" vertical="center"/>
    </xf>
    <xf numFmtId="3" fontId="10" fillId="0" borderId="222" xfId="37" applyNumberFormat="1" applyFont="1" applyBorder="1" applyAlignment="1">
      <alignment horizontal="center" vertical="center"/>
    </xf>
    <xf numFmtId="3" fontId="10" fillId="0" borderId="223" xfId="37" applyNumberFormat="1" applyFont="1" applyBorder="1" applyAlignment="1">
      <alignment horizontal="center" vertical="center"/>
    </xf>
    <xf numFmtId="0" fontId="10" fillId="0" borderId="218" xfId="37" applyFont="1" applyBorder="1" applyAlignment="1">
      <alignment horizontal="center" vertical="center"/>
    </xf>
    <xf numFmtId="0" fontId="10" fillId="0" borderId="219" xfId="37" applyFont="1" applyBorder="1" applyAlignment="1">
      <alignment horizontal="center" vertical="center"/>
    </xf>
    <xf numFmtId="38" fontId="10" fillId="0" borderId="42" xfId="37" applyNumberFormat="1" applyFont="1" applyBorder="1" applyAlignment="1">
      <alignment horizontal="center" vertical="center"/>
    </xf>
    <xf numFmtId="3" fontId="10" fillId="0" borderId="141" xfId="37" applyNumberFormat="1" applyFont="1" applyBorder="1" applyAlignment="1">
      <alignment horizontal="center" vertical="center"/>
    </xf>
    <xf numFmtId="3" fontId="10" fillId="0" borderId="143" xfId="37" applyNumberFormat="1" applyFont="1" applyBorder="1" applyAlignment="1">
      <alignment horizontal="center" vertical="center"/>
    </xf>
    <xf numFmtId="3" fontId="10" fillId="0" borderId="144" xfId="37" applyNumberFormat="1" applyFont="1" applyBorder="1" applyAlignment="1">
      <alignment horizontal="center" vertical="center"/>
    </xf>
    <xf numFmtId="38" fontId="10" fillId="0" borderId="141" xfId="37" applyNumberFormat="1" applyFont="1" applyBorder="1" applyAlignment="1">
      <alignment horizontal="center" vertical="center"/>
    </xf>
    <xf numFmtId="38" fontId="10" fillId="0" borderId="143" xfId="37" applyNumberFormat="1" applyFont="1" applyBorder="1" applyAlignment="1">
      <alignment horizontal="center" vertical="center"/>
    </xf>
    <xf numFmtId="38" fontId="10" fillId="0" borderId="144" xfId="37" applyNumberFormat="1" applyFont="1" applyBorder="1" applyAlignment="1">
      <alignment horizontal="center" vertical="center"/>
    </xf>
    <xf numFmtId="3" fontId="10" fillId="0" borderId="41" xfId="37" applyNumberFormat="1" applyFont="1" applyBorder="1" applyAlignment="1">
      <alignment horizontal="center" vertical="center"/>
    </xf>
    <xf numFmtId="3" fontId="10" fillId="0" borderId="1" xfId="37" applyNumberFormat="1" applyFont="1" applyBorder="1" applyAlignment="1">
      <alignment horizontal="center" vertical="center"/>
    </xf>
    <xf numFmtId="3" fontId="10" fillId="0" borderId="27" xfId="37" applyNumberFormat="1" applyFont="1" applyBorder="1" applyAlignment="1">
      <alignment horizontal="center" vertical="center"/>
    </xf>
    <xf numFmtId="4" fontId="132" fillId="0" borderId="218" xfId="37" applyNumberFormat="1" applyFont="1" applyBorder="1" applyAlignment="1">
      <alignment horizontal="center" vertical="center"/>
    </xf>
    <xf numFmtId="4" fontId="132" fillId="0" borderId="220" xfId="37" applyNumberFormat="1" applyFont="1" applyBorder="1" applyAlignment="1">
      <alignment horizontal="center" vertical="center"/>
    </xf>
    <xf numFmtId="4" fontId="132" fillId="0" borderId="219" xfId="37" applyNumberFormat="1" applyFont="1" applyBorder="1" applyAlignment="1">
      <alignment horizontal="center" vertical="center"/>
    </xf>
    <xf numFmtId="3" fontId="10" fillId="13" borderId="22" xfId="37" applyNumberFormat="1" applyFont="1" applyFill="1" applyBorder="1" applyAlignment="1">
      <alignment horizontal="center" vertical="center"/>
    </xf>
    <xf numFmtId="3" fontId="10" fillId="13" borderId="16" xfId="37" applyNumberFormat="1" applyFont="1" applyFill="1" applyBorder="1" applyAlignment="1">
      <alignment horizontal="center" vertical="center"/>
    </xf>
    <xf numFmtId="3" fontId="10" fillId="13" borderId="23" xfId="37" applyNumberFormat="1" applyFont="1" applyFill="1" applyBorder="1" applyAlignment="1">
      <alignment horizontal="center" vertical="center"/>
    </xf>
    <xf numFmtId="3" fontId="10" fillId="13" borderId="20" xfId="37" applyNumberFormat="1" applyFont="1" applyFill="1" applyBorder="1" applyAlignment="1">
      <alignment horizontal="center" vertical="center"/>
    </xf>
    <xf numFmtId="3" fontId="10" fillId="13" borderId="14" xfId="37" applyNumberFormat="1" applyFont="1" applyFill="1" applyBorder="1" applyAlignment="1">
      <alignment horizontal="center" vertical="center"/>
    </xf>
    <xf numFmtId="3" fontId="10" fillId="13" borderId="24" xfId="37" applyNumberFormat="1" applyFont="1" applyFill="1" applyBorder="1" applyAlignment="1">
      <alignment horizontal="center" vertical="center"/>
    </xf>
    <xf numFmtId="3" fontId="10" fillId="10" borderId="141" xfId="37" applyNumberFormat="1" applyFont="1" applyFill="1" applyBorder="1" applyAlignment="1" applyProtection="1">
      <alignment horizontal="center" vertical="center"/>
      <protection locked="0"/>
    </xf>
    <xf numFmtId="3" fontId="10" fillId="10" borderId="143" xfId="37" applyNumberFormat="1" applyFont="1" applyFill="1" applyBorder="1" applyAlignment="1" applyProtection="1">
      <alignment horizontal="center" vertical="center"/>
      <protection locked="0"/>
    </xf>
    <xf numFmtId="3" fontId="10" fillId="10" borderId="144" xfId="37" applyNumberFormat="1" applyFont="1" applyFill="1" applyBorder="1" applyAlignment="1" applyProtection="1">
      <alignment horizontal="center" vertical="center"/>
      <protection locked="0"/>
    </xf>
    <xf numFmtId="3" fontId="10" fillId="10" borderId="158" xfId="37" applyNumberFormat="1" applyFont="1" applyFill="1" applyBorder="1" applyAlignment="1" applyProtection="1">
      <alignment horizontal="center" vertical="center"/>
      <protection locked="0"/>
    </xf>
    <xf numFmtId="3" fontId="10" fillId="10" borderId="159" xfId="37" applyNumberFormat="1" applyFont="1" applyFill="1" applyBorder="1" applyAlignment="1" applyProtection="1">
      <alignment horizontal="center" vertical="center"/>
      <protection locked="0"/>
    </xf>
    <xf numFmtId="3" fontId="10" fillId="10" borderId="160" xfId="37" applyNumberFormat="1" applyFont="1" applyFill="1" applyBorder="1" applyAlignment="1" applyProtection="1">
      <alignment horizontal="center" vertical="center"/>
      <protection locked="0"/>
    </xf>
    <xf numFmtId="3" fontId="10" fillId="0" borderId="169" xfId="37" applyNumberFormat="1" applyFont="1" applyBorder="1" applyAlignment="1">
      <alignment horizontal="center" vertical="center"/>
    </xf>
    <xf numFmtId="3" fontId="10" fillId="0" borderId="170" xfId="37" applyNumberFormat="1" applyFont="1" applyBorder="1" applyAlignment="1">
      <alignment horizontal="center" vertical="center"/>
    </xf>
    <xf numFmtId="3" fontId="10" fillId="0" borderId="171" xfId="37" applyNumberFormat="1" applyFont="1" applyBorder="1" applyAlignment="1">
      <alignment horizontal="center" vertical="center"/>
    </xf>
    <xf numFmtId="3" fontId="10" fillId="0" borderId="158" xfId="37" applyNumberFormat="1" applyFont="1" applyBorder="1" applyAlignment="1">
      <alignment horizontal="center" vertical="center"/>
    </xf>
    <xf numFmtId="3" fontId="10" fillId="0" borderId="159" xfId="37" applyNumberFormat="1" applyFont="1" applyBorder="1" applyAlignment="1">
      <alignment horizontal="center" vertical="center"/>
    </xf>
    <xf numFmtId="3" fontId="10" fillId="0" borderId="160" xfId="37" applyNumberFormat="1" applyFont="1" applyBorder="1" applyAlignment="1">
      <alignment horizontal="center" vertical="center"/>
    </xf>
    <xf numFmtId="4" fontId="132" fillId="0" borderId="158" xfId="37" applyNumberFormat="1" applyFont="1" applyBorder="1" applyAlignment="1">
      <alignment horizontal="center" vertical="center"/>
    </xf>
    <xf numFmtId="4" fontId="132" fillId="0" borderId="159" xfId="37" applyNumberFormat="1" applyFont="1" applyBorder="1" applyAlignment="1">
      <alignment horizontal="center" vertical="center"/>
    </xf>
    <xf numFmtId="4" fontId="132" fillId="0" borderId="160" xfId="37" applyNumberFormat="1" applyFont="1" applyBorder="1" applyAlignment="1">
      <alignment horizontal="center" vertical="center"/>
    </xf>
    <xf numFmtId="0" fontId="127" fillId="0" borderId="0" xfId="37" applyFont="1" applyAlignment="1">
      <alignment horizontal="center"/>
    </xf>
    <xf numFmtId="3" fontId="10" fillId="13" borderId="221" xfId="37" applyNumberFormat="1" applyFont="1" applyFill="1" applyBorder="1" applyAlignment="1">
      <alignment horizontal="center" vertical="center"/>
    </xf>
    <xf numFmtId="3" fontId="10" fillId="13" borderId="222" xfId="37" applyNumberFormat="1" applyFont="1" applyFill="1" applyBorder="1" applyAlignment="1">
      <alignment horizontal="center" vertical="center"/>
    </xf>
    <xf numFmtId="3" fontId="10" fillId="13" borderId="223" xfId="37" applyNumberFormat="1" applyFont="1" applyFill="1" applyBorder="1" applyAlignment="1">
      <alignment horizontal="center" vertical="center"/>
    </xf>
    <xf numFmtId="0" fontId="127" fillId="0" borderId="164" xfId="37" applyFont="1" applyBorder="1" applyAlignment="1">
      <alignment horizontal="center"/>
    </xf>
    <xf numFmtId="0" fontId="251" fillId="8" borderId="218" xfId="37" applyFont="1" applyFill="1" applyBorder="1" applyAlignment="1">
      <alignment horizontal="center" vertical="center"/>
    </xf>
    <xf numFmtId="0" fontId="251" fillId="8" borderId="220" xfId="37" applyFont="1" applyFill="1" applyBorder="1" applyAlignment="1">
      <alignment horizontal="center" vertical="center"/>
    </xf>
    <xf numFmtId="0" fontId="251" fillId="8" borderId="219" xfId="37" applyFont="1" applyFill="1" applyBorder="1" applyAlignment="1">
      <alignment horizontal="center" vertical="center"/>
    </xf>
    <xf numFmtId="0" fontId="156" fillId="0" borderId="0" xfId="37" applyFont="1" applyAlignment="1">
      <alignment horizontal="left" vertical="center" wrapText="1"/>
    </xf>
    <xf numFmtId="49" fontId="131" fillId="20" borderId="0" xfId="37" applyNumberFormat="1" applyFont="1" applyFill="1" applyAlignment="1">
      <alignment horizontal="center" vertical="center"/>
    </xf>
    <xf numFmtId="0" fontId="131" fillId="20" borderId="0" xfId="37" applyFont="1" applyFill="1" applyAlignment="1">
      <alignment horizontal="center" vertical="center"/>
    </xf>
    <xf numFmtId="0" fontId="25" fillId="0" borderId="79" xfId="37" applyFont="1" applyBorder="1" applyAlignment="1">
      <alignment horizontal="center" vertical="center"/>
    </xf>
    <xf numFmtId="0" fontId="25" fillId="0" borderId="58" xfId="37" applyFont="1" applyBorder="1" applyAlignment="1">
      <alignment horizontal="center" vertical="center"/>
    </xf>
    <xf numFmtId="0" fontId="87" fillId="0" borderId="0" xfId="37" applyFont="1" applyAlignment="1">
      <alignment horizontal="center" vertical="center" wrapText="1"/>
    </xf>
    <xf numFmtId="0" fontId="131" fillId="13" borderId="224" xfId="37" applyFont="1" applyFill="1" applyBorder="1" applyAlignment="1">
      <alignment horizontal="center" vertical="center"/>
    </xf>
    <xf numFmtId="0" fontId="131" fillId="13" borderId="215" xfId="37" applyFont="1" applyFill="1" applyBorder="1" applyAlignment="1">
      <alignment horizontal="center" vertical="center"/>
    </xf>
    <xf numFmtId="0" fontId="131" fillId="13" borderId="216" xfId="37" applyFont="1" applyFill="1" applyBorder="1" applyAlignment="1">
      <alignment horizontal="center" vertical="center"/>
    </xf>
    <xf numFmtId="0" fontId="131" fillId="13" borderId="6" xfId="37" applyFont="1" applyFill="1" applyBorder="1" applyAlignment="1">
      <alignment horizontal="center" vertical="center"/>
    </xf>
    <xf numFmtId="0" fontId="131" fillId="13" borderId="9" xfId="37" applyFont="1" applyFill="1" applyBorder="1" applyAlignment="1">
      <alignment horizontal="center" vertical="center"/>
    </xf>
    <xf numFmtId="0" fontId="131" fillId="13" borderId="10" xfId="37" applyFont="1" applyFill="1" applyBorder="1" applyAlignment="1">
      <alignment horizontal="center" vertical="center"/>
    </xf>
    <xf numFmtId="0" fontId="131" fillId="5" borderId="218" xfId="37" applyFont="1" applyFill="1" applyBorder="1" applyAlignment="1" applyProtection="1">
      <alignment horizontal="center" vertical="center"/>
      <protection locked="0"/>
    </xf>
    <xf numFmtId="0" fontId="131" fillId="5" borderId="220" xfId="37" applyFont="1" applyFill="1" applyBorder="1" applyAlignment="1" applyProtection="1">
      <alignment horizontal="center" vertical="center"/>
      <protection locked="0"/>
    </xf>
    <xf numFmtId="0" fontId="131" fillId="5" borderId="219" xfId="37" applyFont="1" applyFill="1" applyBorder="1" applyAlignment="1" applyProtection="1">
      <alignment horizontal="center" vertical="center"/>
      <protection locked="0"/>
    </xf>
    <xf numFmtId="0" fontId="253" fillId="0" borderId="79" xfId="37" applyFont="1" applyBorder="1" applyAlignment="1">
      <alignment horizontal="center" vertical="center"/>
    </xf>
    <xf numFmtId="0" fontId="253" fillId="0" borderId="58" xfId="37" applyFont="1" applyBorder="1" applyAlignment="1">
      <alignment horizontal="center" vertical="center"/>
    </xf>
    <xf numFmtId="0" fontId="258" fillId="0" borderId="79" xfId="37" applyFont="1" applyBorder="1" applyAlignment="1">
      <alignment horizontal="center" vertical="center"/>
    </xf>
    <xf numFmtId="0" fontId="258" fillId="0" borderId="58" xfId="37" applyFont="1" applyBorder="1" applyAlignment="1">
      <alignment horizontal="center" vertical="center"/>
    </xf>
    <xf numFmtId="0" fontId="10" fillId="0" borderId="15" xfId="37" applyFont="1" applyBorder="1" applyAlignment="1">
      <alignment horizontal="center"/>
    </xf>
    <xf numFmtId="0" fontId="25" fillId="0" borderId="0" xfId="37" applyFont="1" applyAlignment="1">
      <alignment horizontal="center" vertical="center" wrapText="1"/>
    </xf>
    <xf numFmtId="0" fontId="25" fillId="0" borderId="5" xfId="37" applyFont="1" applyBorder="1" applyAlignment="1">
      <alignment horizontal="center" vertical="center" wrapText="1"/>
    </xf>
    <xf numFmtId="0" fontId="131" fillId="13" borderId="161" xfId="37" applyFont="1" applyFill="1" applyBorder="1" applyAlignment="1">
      <alignment horizontal="center" vertical="center"/>
    </xf>
    <xf numFmtId="0" fontId="131" fillId="13" borderId="0" xfId="37" applyFont="1" applyFill="1" applyAlignment="1">
      <alignment horizontal="center" vertical="center"/>
    </xf>
    <xf numFmtId="0" fontId="131" fillId="13" borderId="162" xfId="37" applyFont="1" applyFill="1" applyBorder="1" applyAlignment="1">
      <alignment horizontal="center" vertical="center"/>
    </xf>
    <xf numFmtId="0" fontId="131" fillId="13" borderId="163" xfId="37" applyFont="1" applyFill="1" applyBorder="1" applyAlignment="1">
      <alignment horizontal="center" vertical="center"/>
    </xf>
    <xf numFmtId="0" fontId="131" fillId="13" borderId="164" xfId="37" applyFont="1" applyFill="1" applyBorder="1" applyAlignment="1">
      <alignment horizontal="center" vertical="center"/>
    </xf>
    <xf numFmtId="0" fontId="131" fillId="13" borderId="165" xfId="37" applyFont="1" applyFill="1" applyBorder="1" applyAlignment="1">
      <alignment horizontal="center" vertical="center"/>
    </xf>
    <xf numFmtId="0" fontId="131" fillId="10" borderId="158" xfId="37" applyFont="1" applyFill="1" applyBorder="1" applyAlignment="1" applyProtection="1">
      <alignment horizontal="center" vertical="center"/>
      <protection locked="0"/>
    </xf>
    <xf numFmtId="0" fontId="131" fillId="10" borderId="159" xfId="37" applyFont="1" applyFill="1" applyBorder="1" applyAlignment="1" applyProtection="1">
      <alignment horizontal="center" vertical="center"/>
      <protection locked="0"/>
    </xf>
    <xf numFmtId="0" fontId="131" fillId="10" borderId="160" xfId="37" applyFont="1" applyFill="1" applyBorder="1" applyAlignment="1" applyProtection="1">
      <alignment horizontal="center" vertical="center"/>
      <protection locked="0"/>
    </xf>
    <xf numFmtId="0" fontId="25" fillId="17" borderId="0" xfId="37" applyFont="1" applyFill="1" applyAlignment="1">
      <alignment horizontal="center" vertical="center" wrapText="1"/>
    </xf>
    <xf numFmtId="0" fontId="25" fillId="17" borderId="162" xfId="37" applyFont="1" applyFill="1" applyBorder="1" applyAlignment="1">
      <alignment horizontal="center" vertical="center" wrapText="1"/>
    </xf>
    <xf numFmtId="0" fontId="131" fillId="10" borderId="166" xfId="37" applyFont="1" applyFill="1" applyBorder="1" applyAlignment="1" applyProtection="1">
      <alignment horizontal="center" vertical="center"/>
      <protection locked="0"/>
    </xf>
    <xf numFmtId="0" fontId="131" fillId="10" borderId="167" xfId="37" applyFont="1" applyFill="1" applyBorder="1" applyAlignment="1" applyProtection="1">
      <alignment horizontal="center" vertical="center"/>
      <protection locked="0"/>
    </xf>
    <xf numFmtId="0" fontId="131" fillId="10" borderId="168" xfId="37" applyFont="1" applyFill="1" applyBorder="1" applyAlignment="1" applyProtection="1">
      <alignment horizontal="center" vertical="center"/>
      <protection locked="0"/>
    </xf>
    <xf numFmtId="0" fontId="131" fillId="13" borderId="253" xfId="37" applyFont="1" applyFill="1" applyBorder="1" applyAlignment="1">
      <alignment horizontal="center" vertical="center"/>
    </xf>
    <xf numFmtId="0" fontId="131" fillId="13" borderId="254" xfId="37" applyFont="1" applyFill="1" applyBorder="1" applyAlignment="1">
      <alignment horizontal="center" vertical="center"/>
    </xf>
    <xf numFmtId="0" fontId="131" fillId="13" borderId="255" xfId="37" applyFont="1" applyFill="1" applyBorder="1" applyAlignment="1">
      <alignment horizontal="center" vertical="center"/>
    </xf>
    <xf numFmtId="0" fontId="131" fillId="0" borderId="210" xfId="37" applyFont="1" applyBorder="1" applyAlignment="1">
      <alignment horizontal="left" vertical="center"/>
    </xf>
    <xf numFmtId="0" fontId="14" fillId="0" borderId="0" xfId="37" applyFont="1" applyAlignment="1">
      <alignment horizontal="right"/>
    </xf>
    <xf numFmtId="0" fontId="14" fillId="0" borderId="5" xfId="37" applyFont="1" applyBorder="1" applyAlignment="1">
      <alignment horizontal="right"/>
    </xf>
    <xf numFmtId="0" fontId="334" fillId="0" borderId="9" xfId="37" applyFont="1" applyBorder="1" applyAlignment="1">
      <alignment horizontal="center"/>
    </xf>
    <xf numFmtId="0" fontId="10" fillId="0" borderId="9" xfId="37" applyFont="1" applyBorder="1" applyAlignment="1">
      <alignment horizontal="center" vertical="center"/>
    </xf>
    <xf numFmtId="0" fontId="131" fillId="0" borderId="218" xfId="37" applyFont="1" applyBorder="1" applyAlignment="1">
      <alignment horizontal="center" vertical="center"/>
    </xf>
    <xf numFmtId="0" fontId="131" fillId="0" borderId="220" xfId="37" applyFont="1" applyBorder="1" applyAlignment="1">
      <alignment horizontal="center" vertical="center"/>
    </xf>
    <xf numFmtId="0" fontId="131" fillId="0" borderId="219" xfId="37" applyFont="1" applyBorder="1" applyAlignment="1">
      <alignment horizontal="center" vertical="center"/>
    </xf>
    <xf numFmtId="0" fontId="333" fillId="0" borderId="0" xfId="0" applyFont="1" applyAlignment="1">
      <alignment wrapText="1"/>
    </xf>
    <xf numFmtId="0" fontId="111" fillId="0" borderId="141" xfId="37" applyFont="1" applyBorder="1" applyAlignment="1">
      <alignment horizontal="center" vertical="center" wrapText="1"/>
    </xf>
    <xf numFmtId="0" fontId="111" fillId="0" borderId="143" xfId="37" applyFont="1" applyBorder="1" applyAlignment="1">
      <alignment horizontal="center" vertical="center" wrapText="1"/>
    </xf>
    <xf numFmtId="0" fontId="111" fillId="0" borderId="144" xfId="37" applyFont="1" applyBorder="1" applyAlignment="1">
      <alignment horizontal="center" vertical="center" wrapText="1"/>
    </xf>
    <xf numFmtId="0" fontId="10" fillId="0" borderId="0" xfId="37" applyFont="1" applyAlignment="1">
      <alignment horizontal="left" vertical="top"/>
    </xf>
    <xf numFmtId="0" fontId="10" fillId="0" borderId="0" xfId="37" quotePrefix="1" applyFont="1" applyAlignment="1">
      <alignment horizontal="left" vertical="center" wrapText="1"/>
    </xf>
    <xf numFmtId="0" fontId="324" fillId="33" borderId="156" xfId="0" applyFont="1" applyFill="1" applyBorder="1" applyAlignment="1">
      <alignment horizontal="center" vertical="center" wrapText="1"/>
    </xf>
    <xf numFmtId="0" fontId="324" fillId="33" borderId="151" xfId="0" applyFont="1" applyFill="1" applyBorder="1" applyAlignment="1">
      <alignment horizontal="center" vertical="center" wrapText="1"/>
    </xf>
    <xf numFmtId="0" fontId="324" fillId="33" borderId="152" xfId="0" applyFont="1" applyFill="1" applyBorder="1" applyAlignment="1">
      <alignment horizontal="center" vertical="center" wrapText="1"/>
    </xf>
    <xf numFmtId="10" fontId="25" fillId="0" borderId="218" xfId="37" applyNumberFormat="1" applyFont="1" applyBorder="1" applyAlignment="1">
      <alignment horizontal="center" vertical="center"/>
    </xf>
    <xf numFmtId="10" fontId="25" fillId="0" borderId="220" xfId="37" applyNumberFormat="1" applyFont="1" applyBorder="1" applyAlignment="1">
      <alignment horizontal="center" vertical="center"/>
    </xf>
    <xf numFmtId="0" fontId="71" fillId="0" borderId="9" xfId="13" applyFont="1" applyBorder="1" applyAlignment="1">
      <alignment horizontal="left"/>
    </xf>
    <xf numFmtId="174" fontId="71" fillId="0" borderId="9" xfId="13" applyNumberFormat="1" applyFont="1" applyBorder="1" applyAlignment="1" applyProtection="1">
      <alignment horizontal="left"/>
      <protection locked="0"/>
    </xf>
    <xf numFmtId="0" fontId="39" fillId="0" borderId="215" xfId="13" applyFont="1" applyBorder="1" applyAlignment="1">
      <alignment horizontal="center" vertical="top"/>
    </xf>
    <xf numFmtId="0" fontId="39" fillId="0" borderId="0" xfId="13" applyFont="1" applyAlignment="1">
      <alignment horizontal="center"/>
    </xf>
    <xf numFmtId="0" fontId="71" fillId="0" borderId="0" xfId="13" applyFont="1" applyAlignment="1">
      <alignment horizontal="left"/>
    </xf>
    <xf numFmtId="0" fontId="71" fillId="0" borderId="9" xfId="13" applyFont="1" applyBorder="1" applyAlignment="1" applyProtection="1">
      <alignment horizontal="left"/>
      <protection locked="0"/>
    </xf>
    <xf numFmtId="0" fontId="71" fillId="0" borderId="0" xfId="13" applyFont="1" applyAlignment="1">
      <alignment horizontal="justify" vertical="top" wrapText="1"/>
    </xf>
    <xf numFmtId="0" fontId="71" fillId="0" borderId="0" xfId="13" applyFont="1" applyAlignment="1">
      <alignment horizontal="left" vertical="top" wrapText="1"/>
    </xf>
    <xf numFmtId="0" fontId="71" fillId="0" borderId="0" xfId="13" applyFont="1" applyAlignment="1">
      <alignment horizontal="left" vertical="center" wrapText="1"/>
    </xf>
    <xf numFmtId="0" fontId="71" fillId="0" borderId="0" xfId="13" applyFont="1" applyAlignment="1">
      <alignment horizontal="justify" vertical="center" wrapText="1"/>
    </xf>
    <xf numFmtId="0" fontId="208" fillId="0" borderId="239" xfId="33" applyFont="1" applyBorder="1" applyAlignment="1">
      <alignment horizontal="right" vertical="center"/>
    </xf>
    <xf numFmtId="0" fontId="206" fillId="28" borderId="16" xfId="33" applyFont="1" applyFill="1" applyBorder="1" applyAlignment="1">
      <alignment horizontal="center" vertical="center"/>
    </xf>
    <xf numFmtId="0" fontId="206" fillId="28" borderId="23" xfId="33" applyFont="1" applyFill="1" applyBorder="1" applyAlignment="1">
      <alignment horizontal="center" vertical="center"/>
    </xf>
    <xf numFmtId="37" fontId="206" fillId="13" borderId="222" xfId="34" applyNumberFormat="1" applyFont="1" applyFill="1" applyBorder="1" applyAlignment="1" applyProtection="1">
      <alignment horizontal="center" vertical="center"/>
    </xf>
    <xf numFmtId="37" fontId="206" fillId="13" borderId="223" xfId="34" applyNumberFormat="1" applyFont="1" applyFill="1" applyBorder="1" applyAlignment="1" applyProtection="1">
      <alignment horizontal="center" vertical="center"/>
    </xf>
    <xf numFmtId="37" fontId="206" fillId="28" borderId="12" xfId="33" applyNumberFormat="1" applyFont="1" applyFill="1" applyBorder="1" applyAlignment="1">
      <alignment horizontal="center" vertical="center"/>
    </xf>
    <xf numFmtId="0" fontId="206" fillId="28" borderId="42" xfId="33" applyFont="1" applyFill="1" applyBorder="1" applyAlignment="1">
      <alignment horizontal="center" vertical="center"/>
    </xf>
    <xf numFmtId="0" fontId="206" fillId="28" borderId="26" xfId="33" applyFont="1" applyFill="1" applyBorder="1" applyAlignment="1">
      <alignment horizontal="center" vertical="center"/>
    </xf>
    <xf numFmtId="37" fontId="206" fillId="28" borderId="13" xfId="33" applyNumberFormat="1" applyFont="1" applyFill="1" applyBorder="1" applyAlignment="1">
      <alignment horizontal="center" vertical="center"/>
    </xf>
    <xf numFmtId="0" fontId="206" fillId="0" borderId="0" xfId="33" applyFont="1" applyAlignment="1">
      <alignment horizontal="center"/>
    </xf>
    <xf numFmtId="0" fontId="208" fillId="29" borderId="218" xfId="33" applyFont="1" applyFill="1" applyBorder="1" applyAlignment="1">
      <alignment horizontal="left"/>
    </xf>
    <xf numFmtId="0" fontId="208" fillId="29" borderId="220" xfId="33" applyFont="1" applyFill="1" applyBorder="1" applyAlignment="1">
      <alignment horizontal="left"/>
    </xf>
    <xf numFmtId="0" fontId="208" fillId="29" borderId="219" xfId="33" applyFont="1" applyFill="1" applyBorder="1" applyAlignment="1">
      <alignment horizontal="left"/>
    </xf>
    <xf numFmtId="0" fontId="208" fillId="0" borderId="0" xfId="33" applyFont="1" applyAlignment="1">
      <alignment horizontal="right" vertical="center"/>
    </xf>
    <xf numFmtId="0" fontId="208" fillId="0" borderId="5" xfId="33" applyFont="1" applyBorder="1" applyAlignment="1">
      <alignment horizontal="right" vertical="center"/>
    </xf>
    <xf numFmtId="0" fontId="206" fillId="0" borderId="4" xfId="33" applyFont="1" applyBorder="1" applyAlignment="1">
      <alignment horizontal="center"/>
    </xf>
    <xf numFmtId="0" fontId="84" fillId="0" borderId="218" xfId="33" applyFont="1" applyBorder="1" applyAlignment="1">
      <alignment horizontal="center" wrapText="1"/>
    </xf>
    <xf numFmtId="0" fontId="84" fillId="0" borderId="219" xfId="33" applyFont="1" applyBorder="1" applyAlignment="1">
      <alignment horizontal="center" wrapText="1"/>
    </xf>
    <xf numFmtId="164" fontId="84" fillId="13" borderId="220" xfId="34" applyNumberFormat="1" applyFont="1" applyFill="1" applyBorder="1" applyAlignment="1" applyProtection="1">
      <alignment horizontal="center" wrapText="1"/>
    </xf>
    <xf numFmtId="164" fontId="84" fillId="13" borderId="219" xfId="34" applyNumberFormat="1" applyFont="1" applyFill="1" applyBorder="1" applyAlignment="1" applyProtection="1">
      <alignment horizontal="center" wrapText="1"/>
    </xf>
    <xf numFmtId="0" fontId="206" fillId="0" borderId="267" xfId="33" applyFont="1" applyBorder="1"/>
    <xf numFmtId="0" fontId="206" fillId="0" borderId="36" xfId="33" applyFont="1" applyBorder="1"/>
    <xf numFmtId="0" fontId="206" fillId="28" borderId="222" xfId="33" applyFont="1" applyFill="1" applyBorder="1" applyAlignment="1">
      <alignment horizontal="center" vertical="center"/>
    </xf>
    <xf numFmtId="0" fontId="206" fillId="28" borderId="223" xfId="33" applyFont="1" applyFill="1" applyBorder="1" applyAlignment="1">
      <alignment horizontal="center" vertical="center"/>
    </xf>
    <xf numFmtId="37" fontId="206" fillId="28" borderId="225" xfId="33" applyNumberFormat="1" applyFont="1" applyFill="1" applyBorder="1" applyAlignment="1">
      <alignment horizontal="center" vertical="center"/>
    </xf>
    <xf numFmtId="37" fontId="212" fillId="10" borderId="22" xfId="34" applyNumberFormat="1" applyFont="1" applyFill="1" applyBorder="1" applyAlignment="1" applyProtection="1">
      <alignment horizontal="center" vertical="center"/>
      <protection locked="0"/>
    </xf>
    <xf numFmtId="37" fontId="212" fillId="10" borderId="23" xfId="34" applyNumberFormat="1" applyFont="1" applyFill="1" applyBorder="1" applyAlignment="1" applyProtection="1">
      <alignment horizontal="center" vertical="center"/>
      <protection locked="0"/>
    </xf>
    <xf numFmtId="37" fontId="212" fillId="10" borderId="25" xfId="34" applyNumberFormat="1" applyFont="1" applyFill="1" applyBorder="1" applyAlignment="1" applyProtection="1">
      <alignment horizontal="center" vertical="center"/>
      <protection locked="0"/>
    </xf>
    <xf numFmtId="37" fontId="212" fillId="10" borderId="26" xfId="34" applyNumberFormat="1" applyFont="1" applyFill="1" applyBorder="1" applyAlignment="1" applyProtection="1">
      <alignment horizontal="center" vertical="center"/>
      <protection locked="0"/>
    </xf>
    <xf numFmtId="0" fontId="210" fillId="0" borderId="0" xfId="33" applyFont="1" applyAlignment="1">
      <alignment horizontal="center" vertical="center" wrapText="1"/>
    </xf>
    <xf numFmtId="37" fontId="212" fillId="10" borderId="221" xfId="34" applyNumberFormat="1" applyFont="1" applyFill="1" applyBorder="1" applyAlignment="1" applyProtection="1">
      <alignment horizontal="center" vertical="center"/>
      <protection locked="0"/>
    </xf>
    <xf numFmtId="37" fontId="212" fillId="10" borderId="223" xfId="34" applyNumberFormat="1" applyFont="1" applyFill="1" applyBorder="1" applyAlignment="1" applyProtection="1">
      <alignment horizontal="center" vertical="center"/>
      <protection locked="0"/>
    </xf>
    <xf numFmtId="0" fontId="206" fillId="0" borderId="0" xfId="33" applyFont="1" applyAlignment="1">
      <alignment horizontal="right" vertical="center"/>
    </xf>
    <xf numFmtId="0" fontId="206" fillId="0" borderId="5" xfId="33" applyFont="1" applyBorder="1" applyAlignment="1">
      <alignment horizontal="right" vertical="center"/>
    </xf>
    <xf numFmtId="166" fontId="206" fillId="28" borderId="232" xfId="35" applyNumberFormat="1" applyFont="1" applyFill="1" applyBorder="1" applyAlignment="1">
      <alignment horizontal="center" vertical="center"/>
    </xf>
    <xf numFmtId="166" fontId="206" fillId="28" borderId="260" xfId="35" applyNumberFormat="1" applyFont="1" applyFill="1" applyBorder="1" applyAlignment="1">
      <alignment horizontal="center" vertical="center"/>
    </xf>
    <xf numFmtId="0" fontId="207" fillId="0" borderId="218" xfId="33" applyFont="1" applyBorder="1" applyAlignment="1">
      <alignment horizontal="left"/>
    </xf>
    <xf numFmtId="0" fontId="207" fillId="0" borderId="220" xfId="33" applyFont="1" applyBorder="1" applyAlignment="1">
      <alignment horizontal="left"/>
    </xf>
    <xf numFmtId="0" fontId="207" fillId="0" borderId="219" xfId="33" applyFont="1" applyBorder="1" applyAlignment="1">
      <alignment horizontal="left"/>
    </xf>
    <xf numFmtId="0" fontId="207" fillId="10" borderId="217" xfId="33" applyFont="1" applyFill="1" applyBorder="1" applyAlignment="1">
      <alignment horizontal="center"/>
    </xf>
    <xf numFmtId="0" fontId="207" fillId="28" borderId="218" xfId="33" applyFont="1" applyFill="1" applyBorder="1" applyAlignment="1">
      <alignment horizontal="center"/>
    </xf>
    <xf numFmtId="0" fontId="207" fillId="28" borderId="220" xfId="33" applyFont="1" applyFill="1" applyBorder="1" applyAlignment="1">
      <alignment horizontal="center"/>
    </xf>
    <xf numFmtId="0" fontId="207" fillId="28" borderId="219" xfId="33" applyFont="1" applyFill="1" applyBorder="1" applyAlignment="1">
      <alignment horizontal="center"/>
    </xf>
    <xf numFmtId="164" fontId="84" fillId="0" borderId="224" xfId="34" applyNumberFormat="1" applyFont="1" applyFill="1" applyBorder="1" applyAlignment="1">
      <alignment horizontal="center" wrapText="1"/>
    </xf>
    <xf numFmtId="164" fontId="84" fillId="0" borderId="216" xfId="34" applyNumberFormat="1" applyFont="1" applyFill="1" applyBorder="1" applyAlignment="1">
      <alignment horizontal="center" wrapText="1"/>
    </xf>
    <xf numFmtId="164" fontId="206" fillId="10" borderId="22" xfId="34" applyNumberFormat="1" applyFont="1" applyFill="1" applyBorder="1" applyAlignment="1" applyProtection="1">
      <alignment horizontal="center" vertical="center"/>
      <protection locked="0"/>
    </xf>
    <xf numFmtId="164" fontId="206" fillId="10" borderId="120" xfId="34" applyNumberFormat="1" applyFont="1" applyFill="1" applyBorder="1" applyAlignment="1" applyProtection="1">
      <alignment horizontal="center" vertical="center"/>
      <protection locked="0"/>
    </xf>
    <xf numFmtId="0" fontId="206" fillId="10" borderId="25" xfId="33" applyFont="1" applyFill="1" applyBorder="1" applyAlignment="1" applyProtection="1">
      <alignment horizontal="center" vertical="center"/>
      <protection locked="0"/>
    </xf>
    <xf numFmtId="0" fontId="206" fillId="10" borderId="121" xfId="33" applyFont="1" applyFill="1" applyBorder="1" applyAlignment="1" applyProtection="1">
      <alignment horizontal="center" vertical="center"/>
      <protection locked="0"/>
    </xf>
    <xf numFmtId="0" fontId="206" fillId="0" borderId="9" xfId="33" applyFont="1" applyBorder="1" applyAlignment="1">
      <alignment horizontal="center" vertical="center"/>
    </xf>
    <xf numFmtId="0" fontId="206" fillId="0" borderId="220" xfId="33" applyFont="1" applyBorder="1" applyAlignment="1">
      <alignment horizontal="center" vertical="center"/>
    </xf>
    <xf numFmtId="43" fontId="206" fillId="28" borderId="25" xfId="34" applyFont="1" applyFill="1" applyBorder="1" applyAlignment="1">
      <alignment horizontal="center" vertical="center"/>
    </xf>
    <xf numFmtId="43" fontId="206" fillId="28" borderId="121" xfId="34" applyFont="1" applyFill="1" applyBorder="1" applyAlignment="1">
      <alignment horizontal="center" vertical="center"/>
    </xf>
    <xf numFmtId="0" fontId="208" fillId="0" borderId="90" xfId="33" applyFont="1" applyBorder="1" applyAlignment="1">
      <alignment horizontal="left" vertical="center"/>
    </xf>
    <xf numFmtId="0" fontId="208" fillId="0" borderId="91" xfId="33" applyFont="1" applyBorder="1" applyAlignment="1">
      <alignment horizontal="left" vertical="center"/>
    </xf>
    <xf numFmtId="0" fontId="208" fillId="0" borderId="96" xfId="33" applyFont="1" applyBorder="1" applyAlignment="1">
      <alignment horizontal="left" vertical="center"/>
    </xf>
    <xf numFmtId="0" fontId="97" fillId="0" borderId="34" xfId="33" applyFont="1" applyBorder="1" applyAlignment="1">
      <alignment horizontal="center" vertical="center" wrapText="1"/>
    </xf>
    <xf numFmtId="0" fontId="97" fillId="0" borderId="0" xfId="33" applyFont="1" applyAlignment="1">
      <alignment horizontal="center" vertical="center"/>
    </xf>
    <xf numFmtId="0" fontId="97" fillId="0" borderId="34" xfId="33" applyFont="1" applyBorder="1" applyAlignment="1">
      <alignment horizontal="center" vertical="center"/>
    </xf>
    <xf numFmtId="164" fontId="206" fillId="0" borderId="221" xfId="34" applyNumberFormat="1" applyFont="1" applyBorder="1" applyAlignment="1">
      <alignment horizontal="left" vertical="center"/>
    </xf>
    <xf numFmtId="164" fontId="206" fillId="0" borderId="222" xfId="34" applyNumberFormat="1" applyFont="1" applyBorder="1" applyAlignment="1">
      <alignment horizontal="left" vertical="center"/>
    </xf>
    <xf numFmtId="0" fontId="207" fillId="10" borderId="73" xfId="33" applyFont="1" applyFill="1" applyBorder="1" applyAlignment="1">
      <alignment horizontal="center"/>
    </xf>
    <xf numFmtId="0" fontId="207" fillId="10" borderId="89" xfId="33" applyFont="1" applyFill="1" applyBorder="1" applyAlignment="1">
      <alignment horizontal="center"/>
    </xf>
    <xf numFmtId="164" fontId="206" fillId="10" borderId="22" xfId="34" applyNumberFormat="1" applyFont="1" applyFill="1" applyBorder="1" applyAlignment="1" applyProtection="1">
      <alignment horizontal="left" vertical="center"/>
      <protection locked="0"/>
    </xf>
    <xf numFmtId="164" fontId="206" fillId="10" borderId="16" xfId="34" applyNumberFormat="1" applyFont="1" applyFill="1" applyBorder="1" applyAlignment="1" applyProtection="1">
      <alignment horizontal="left" vertical="center"/>
      <protection locked="0"/>
    </xf>
    <xf numFmtId="0" fontId="207" fillId="28" borderId="92" xfId="33" applyFont="1" applyFill="1" applyBorder="1" applyAlignment="1">
      <alignment horizontal="center" wrapText="1"/>
    </xf>
    <xf numFmtId="0" fontId="207" fillId="28" borderId="97" xfId="33" applyFont="1" applyFill="1" applyBorder="1" applyAlignment="1">
      <alignment horizontal="center" wrapText="1"/>
    </xf>
    <xf numFmtId="0" fontId="207" fillId="28" borderId="259" xfId="33" applyFont="1" applyFill="1" applyBorder="1" applyAlignment="1">
      <alignment horizontal="center" wrapText="1"/>
    </xf>
    <xf numFmtId="0" fontId="207" fillId="28" borderId="260" xfId="33" applyFont="1" applyFill="1" applyBorder="1" applyAlignment="1">
      <alignment horizontal="center" wrapText="1"/>
    </xf>
    <xf numFmtId="14" fontId="206" fillId="0" borderId="25" xfId="34" applyNumberFormat="1" applyFont="1" applyBorder="1" applyAlignment="1">
      <alignment horizontal="left" vertical="center"/>
    </xf>
    <xf numFmtId="14" fontId="206" fillId="0" borderId="42" xfId="34" applyNumberFormat="1" applyFont="1" applyBorder="1" applyAlignment="1">
      <alignment horizontal="left" vertical="center"/>
    </xf>
    <xf numFmtId="164" fontId="206" fillId="28" borderId="221" xfId="34" applyNumberFormat="1" applyFont="1" applyFill="1" applyBorder="1" applyAlignment="1">
      <alignment horizontal="center" vertical="center"/>
    </xf>
    <xf numFmtId="164" fontId="206" fillId="28" borderId="263" xfId="34" applyNumberFormat="1" applyFont="1" applyFill="1" applyBorder="1" applyAlignment="1">
      <alignment horizontal="center" vertical="center"/>
    </xf>
    <xf numFmtId="164" fontId="206" fillId="10" borderId="218" xfId="34" applyNumberFormat="1" applyFont="1" applyFill="1" applyBorder="1" applyAlignment="1" applyProtection="1">
      <alignment horizontal="center" vertical="center"/>
      <protection locked="0"/>
    </xf>
    <xf numFmtId="164" fontId="206" fillId="10" borderId="261" xfId="34" applyNumberFormat="1" applyFont="1" applyFill="1" applyBorder="1" applyAlignment="1" applyProtection="1">
      <alignment horizontal="center" vertical="center"/>
      <protection locked="0"/>
    </xf>
    <xf numFmtId="0" fontId="208" fillId="0" borderId="262" xfId="33" applyFont="1" applyBorder="1" applyAlignment="1">
      <alignment horizontal="left" vertical="center"/>
    </xf>
    <xf numFmtId="0" fontId="208" fillId="0" borderId="220" xfId="33" applyFont="1" applyBorder="1" applyAlignment="1">
      <alignment horizontal="left" vertical="center"/>
    </xf>
    <xf numFmtId="0" fontId="208" fillId="0" borderId="261" xfId="33" applyFont="1" applyBorder="1" applyAlignment="1">
      <alignment horizontal="left" vertical="center"/>
    </xf>
    <xf numFmtId="164" fontId="208" fillId="10" borderId="218" xfId="34" applyNumberFormat="1" applyFont="1" applyFill="1" applyBorder="1" applyAlignment="1" applyProtection="1">
      <alignment horizontal="center" vertical="center"/>
      <protection locked="0"/>
    </xf>
    <xf numFmtId="164" fontId="208" fillId="10" borderId="261" xfId="34" applyNumberFormat="1" applyFont="1" applyFill="1" applyBorder="1" applyAlignment="1" applyProtection="1">
      <alignment horizontal="center" vertical="center"/>
      <protection locked="0"/>
    </xf>
    <xf numFmtId="164" fontId="206" fillId="10" borderId="221" xfId="34" applyNumberFormat="1" applyFont="1" applyFill="1" applyBorder="1" applyAlignment="1" applyProtection="1">
      <alignment horizontal="center" vertical="center"/>
      <protection locked="0"/>
    </xf>
    <xf numFmtId="164" fontId="206" fillId="10" borderId="263" xfId="34" applyNumberFormat="1" applyFont="1" applyFill="1" applyBorder="1" applyAlignment="1" applyProtection="1">
      <alignment horizontal="center" vertical="center"/>
      <protection locked="0"/>
    </xf>
    <xf numFmtId="164" fontId="206" fillId="11" borderId="22" xfId="34" applyNumberFormat="1" applyFont="1" applyFill="1" applyBorder="1" applyAlignment="1" applyProtection="1">
      <alignment horizontal="center" vertical="center"/>
      <protection locked="0"/>
    </xf>
    <xf numFmtId="164" fontId="206" fillId="11" borderId="120" xfId="34" applyNumberFormat="1" applyFont="1" applyFill="1" applyBorder="1" applyAlignment="1" applyProtection="1">
      <alignment horizontal="center" vertical="center"/>
      <protection locked="0"/>
    </xf>
    <xf numFmtId="0" fontId="196" fillId="0" borderId="0" xfId="0" applyFont="1" applyAlignment="1">
      <alignment horizontal="center" vertical="center" wrapText="1"/>
    </xf>
    <xf numFmtId="0" fontId="46" fillId="0" borderId="225" xfId="0" applyFont="1" applyBorder="1" applyAlignment="1">
      <alignment horizontal="center" vertical="center" wrapText="1"/>
    </xf>
    <xf numFmtId="0" fontId="46" fillId="0" borderId="12" xfId="0" applyFont="1" applyBorder="1" applyAlignment="1">
      <alignment horizontal="center" vertical="center" wrapText="1"/>
    </xf>
    <xf numFmtId="0" fontId="44" fillId="0" borderId="226" xfId="0" applyFont="1" applyBorder="1" applyAlignment="1">
      <alignment horizontal="center" wrapText="1"/>
    </xf>
    <xf numFmtId="0" fontId="44" fillId="0" borderId="7" xfId="0" applyFont="1" applyBorder="1" applyAlignment="1">
      <alignment horizontal="center" wrapText="1"/>
    </xf>
    <xf numFmtId="0" fontId="39" fillId="0" borderId="0" xfId="0" applyFont="1" applyAlignment="1">
      <alignment horizontal="center" vertical="center" wrapText="1"/>
    </xf>
    <xf numFmtId="9" fontId="39" fillId="0" borderId="13" xfId="10" applyFont="1" applyFill="1" applyBorder="1" applyAlignment="1" applyProtection="1">
      <alignment horizontal="center" vertical="center"/>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9" fontId="39" fillId="20" borderId="13" xfId="10" applyFont="1" applyFill="1" applyBorder="1" applyAlignment="1" applyProtection="1">
      <alignment horizontal="center" vertical="center"/>
    </xf>
    <xf numFmtId="3" fontId="39" fillId="0" borderId="0" xfId="10" applyNumberFormat="1" applyFont="1" applyFill="1" applyBorder="1" applyAlignment="1" applyProtection="1">
      <alignment horizontal="center" vertical="center"/>
    </xf>
    <xf numFmtId="3" fontId="39" fillId="20" borderId="12" xfId="10" applyNumberFormat="1" applyFont="1" applyFill="1" applyBorder="1" applyAlignment="1" applyProtection="1">
      <alignment horizontal="center" vertical="center"/>
    </xf>
    <xf numFmtId="3" fontId="39" fillId="20" borderId="25" xfId="10" applyNumberFormat="1" applyFont="1" applyFill="1" applyBorder="1" applyAlignment="1" applyProtection="1">
      <alignment horizontal="center" vertical="center"/>
    </xf>
    <xf numFmtId="3" fontId="39" fillId="20" borderId="26" xfId="10" applyNumberFormat="1" applyFont="1" applyFill="1" applyBorder="1" applyAlignment="1" applyProtection="1">
      <alignment horizontal="center" vertical="center"/>
    </xf>
    <xf numFmtId="9" fontId="39" fillId="0" borderId="225" xfId="10" applyFont="1" applyFill="1" applyBorder="1" applyAlignment="1" applyProtection="1">
      <alignment horizontal="center" vertical="center"/>
    </xf>
    <xf numFmtId="3" fontId="39" fillId="0" borderId="217" xfId="10" applyNumberFormat="1" applyFont="1" applyFill="1" applyBorder="1" applyAlignment="1" applyProtection="1">
      <alignment horizontal="center" vertical="center"/>
    </xf>
    <xf numFmtId="3" fontId="39" fillId="0" borderId="10" xfId="10" applyNumberFormat="1" applyFont="1" applyBorder="1" applyAlignment="1" applyProtection="1">
      <alignment horizontal="center" vertical="center"/>
    </xf>
    <xf numFmtId="3" fontId="39" fillId="0" borderId="6" xfId="10" applyNumberFormat="1" applyFont="1" applyBorder="1" applyAlignment="1" applyProtection="1">
      <alignment horizontal="center" vertical="center"/>
    </xf>
    <xf numFmtId="3" fontId="39" fillId="20" borderId="225" xfId="10" applyNumberFormat="1" applyFont="1" applyFill="1" applyBorder="1" applyAlignment="1" applyProtection="1">
      <alignment horizontal="center" vertical="center"/>
    </xf>
    <xf numFmtId="9" fontId="39" fillId="0" borderId="225"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17" xfId="10" applyNumberFormat="1" applyFont="1" applyFill="1" applyBorder="1" applyAlignment="1" applyProtection="1">
      <alignment horizontal="center" vertical="center"/>
    </xf>
    <xf numFmtId="9" fontId="39" fillId="20" borderId="218" xfId="10" applyFont="1" applyFill="1" applyBorder="1" applyAlignment="1" applyProtection="1">
      <alignment horizontal="center" vertical="center"/>
    </xf>
    <xf numFmtId="9" fontId="39" fillId="20" borderId="219" xfId="10" applyFont="1" applyFill="1" applyBorder="1" applyAlignment="1" applyProtection="1">
      <alignment horizontal="center" vertical="center"/>
    </xf>
    <xf numFmtId="3" fontId="39" fillId="20" borderId="218" xfId="1" applyNumberFormat="1" applyFont="1" applyFill="1" applyBorder="1" applyAlignment="1" applyProtection="1">
      <alignment horizontal="center" vertical="center"/>
    </xf>
    <xf numFmtId="3" fontId="39" fillId="20" borderId="219" xfId="1" applyNumberFormat="1" applyFont="1" applyFill="1" applyBorder="1" applyAlignment="1" applyProtection="1">
      <alignment horizontal="center" vertical="center"/>
    </xf>
    <xf numFmtId="9" fontId="39" fillId="20" borderId="225" xfId="10" applyFont="1" applyFill="1" applyBorder="1" applyAlignment="1" applyProtection="1">
      <alignment horizontal="center" vertical="center"/>
    </xf>
    <xf numFmtId="3" fontId="39" fillId="0" borderId="25" xfId="1" applyNumberFormat="1" applyFont="1" applyFill="1" applyBorder="1" applyAlignment="1" applyProtection="1">
      <alignment horizontal="center" vertical="center"/>
    </xf>
    <xf numFmtId="3" fontId="39" fillId="0" borderId="26" xfId="1" applyNumberFormat="1" applyFont="1" applyFill="1" applyBorder="1" applyAlignment="1" applyProtection="1">
      <alignment horizontal="center" vertical="center"/>
    </xf>
    <xf numFmtId="3" fontId="39" fillId="20" borderId="218" xfId="0" applyNumberFormat="1" applyFont="1" applyFill="1" applyBorder="1" applyAlignment="1">
      <alignment horizontal="center" vertical="center"/>
    </xf>
    <xf numFmtId="3" fontId="39" fillId="20" borderId="219" xfId="0" applyNumberFormat="1" applyFont="1" applyFill="1" applyBorder="1" applyAlignment="1">
      <alignment horizontal="center" vertical="center"/>
    </xf>
    <xf numFmtId="38" fontId="39" fillId="0" borderId="225" xfId="0" applyNumberFormat="1" applyFont="1" applyBorder="1" applyAlignment="1">
      <alignment horizontal="center" vertical="center"/>
    </xf>
    <xf numFmtId="10" fontId="39" fillId="0" borderId="225" xfId="0" applyNumberFormat="1" applyFont="1" applyBorder="1" applyAlignment="1">
      <alignment horizontal="center" vertical="center"/>
    </xf>
    <xf numFmtId="10" fontId="39" fillId="0" borderId="225" xfId="10" applyNumberFormat="1" applyFont="1" applyBorder="1" applyAlignment="1">
      <alignment horizontal="center" vertical="center"/>
    </xf>
    <xf numFmtId="38" fontId="39" fillId="0" borderId="13" xfId="0" applyNumberFormat="1" applyFont="1" applyBorder="1" applyAlignment="1">
      <alignment horizontal="center" vertical="center"/>
    </xf>
    <xf numFmtId="3" fontId="39" fillId="0" borderId="20" xfId="1" applyNumberFormat="1" applyFont="1" applyFill="1" applyBorder="1" applyAlignment="1" applyProtection="1">
      <alignment horizontal="center" vertical="center"/>
    </xf>
    <xf numFmtId="3" fontId="39" fillId="0" borderId="24" xfId="1" applyNumberFormat="1" applyFont="1" applyFill="1" applyBorder="1" applyAlignment="1" applyProtection="1">
      <alignment horizontal="center" vertical="center"/>
    </xf>
    <xf numFmtId="3" fontId="39" fillId="20" borderId="22" xfId="1" applyNumberFormat="1" applyFont="1" applyFill="1" applyBorder="1" applyAlignment="1" applyProtection="1">
      <alignment horizontal="center" vertical="center"/>
    </xf>
    <xf numFmtId="3" fontId="39" fillId="20" borderId="23" xfId="1" applyNumberFormat="1" applyFont="1" applyFill="1" applyBorder="1" applyAlignment="1" applyProtection="1">
      <alignment horizontal="center" vertical="center"/>
    </xf>
    <xf numFmtId="0" fontId="39" fillId="0" borderId="22" xfId="0" applyFont="1" applyBorder="1" applyAlignment="1">
      <alignment horizontal="center"/>
    </xf>
    <xf numFmtId="0" fontId="39" fillId="0" borderId="23" xfId="0" applyFont="1" applyBorder="1" applyAlignment="1">
      <alignment horizontal="center"/>
    </xf>
    <xf numFmtId="0" fontId="39" fillId="0" borderId="25" xfId="0" applyFont="1" applyBorder="1" applyAlignment="1">
      <alignment horizontal="center"/>
    </xf>
    <xf numFmtId="0" fontId="39" fillId="0" borderId="26" xfId="0" applyFont="1" applyBorder="1" applyAlignment="1">
      <alignment horizontal="center"/>
    </xf>
    <xf numFmtId="3" fontId="39" fillId="20" borderId="4" xfId="1" applyNumberFormat="1" applyFont="1" applyFill="1" applyBorder="1" applyAlignment="1" applyProtection="1">
      <alignment horizontal="center" vertical="center"/>
    </xf>
    <xf numFmtId="3" fontId="39" fillId="20" borderId="5" xfId="1" applyNumberFormat="1" applyFont="1" applyFill="1" applyBorder="1" applyAlignment="1" applyProtection="1">
      <alignment horizontal="center" vertical="center"/>
    </xf>
    <xf numFmtId="3" fontId="39" fillId="0" borderId="22" xfId="1" applyNumberFormat="1" applyFont="1" applyFill="1" applyBorder="1" applyAlignment="1" applyProtection="1">
      <alignment horizontal="center" vertical="center"/>
    </xf>
    <xf numFmtId="3" fontId="39" fillId="0" borderId="23" xfId="1" applyNumberFormat="1" applyFont="1" applyFill="1" applyBorder="1" applyAlignment="1" applyProtection="1">
      <alignment horizontal="center" vertical="center"/>
    </xf>
    <xf numFmtId="9" fontId="39" fillId="0" borderId="22" xfId="0" applyNumberFormat="1" applyFont="1" applyBorder="1" applyAlignment="1">
      <alignment horizontal="center"/>
    </xf>
    <xf numFmtId="9" fontId="39" fillId="0" borderId="23" xfId="0" applyNumberFormat="1" applyFont="1" applyBorder="1" applyAlignment="1">
      <alignment horizontal="center"/>
    </xf>
    <xf numFmtId="9" fontId="39" fillId="0" borderId="25" xfId="0" applyNumberFormat="1" applyFont="1" applyBorder="1" applyAlignment="1">
      <alignment horizontal="center"/>
    </xf>
    <xf numFmtId="9" fontId="39" fillId="0" borderId="26" xfId="0" applyNumberFormat="1" applyFont="1" applyBorder="1" applyAlignment="1">
      <alignment horizontal="center"/>
    </xf>
    <xf numFmtId="3" fontId="39" fillId="0" borderId="218" xfId="1" applyNumberFormat="1" applyFont="1" applyFill="1" applyBorder="1" applyAlignment="1" applyProtection="1">
      <alignment horizontal="center" vertical="center"/>
    </xf>
    <xf numFmtId="3" fontId="39" fillId="0" borderId="219" xfId="1" applyNumberFormat="1" applyFont="1" applyFill="1" applyBorder="1" applyAlignment="1" applyProtection="1">
      <alignment horizontal="center" vertical="center"/>
    </xf>
    <xf numFmtId="3" fontId="39" fillId="0" borderId="221" xfId="1" applyNumberFormat="1" applyFont="1" applyFill="1" applyBorder="1" applyAlignment="1" applyProtection="1">
      <alignment horizontal="center" vertical="center"/>
    </xf>
    <xf numFmtId="3" fontId="39" fillId="0" borderId="223" xfId="1" applyNumberFormat="1" applyFont="1" applyFill="1" applyBorder="1" applyAlignment="1" applyProtection="1">
      <alignment horizontal="center" vertical="center"/>
    </xf>
    <xf numFmtId="0" fontId="41" fillId="0" borderId="218" xfId="0" applyFont="1" applyBorder="1" applyAlignment="1">
      <alignment horizontal="center" vertical="center"/>
    </xf>
    <xf numFmtId="0" fontId="41" fillId="0" borderId="220" xfId="0" applyFont="1" applyBorder="1" applyAlignment="1">
      <alignment horizontal="center" vertical="center"/>
    </xf>
    <xf numFmtId="0" fontId="41" fillId="0" borderId="219" xfId="0" applyFont="1" applyBorder="1" applyAlignment="1">
      <alignment horizontal="center" vertical="center"/>
    </xf>
    <xf numFmtId="3" fontId="39" fillId="20" borderId="218" xfId="10" applyNumberFormat="1" applyFont="1" applyFill="1" applyBorder="1" applyAlignment="1" applyProtection="1">
      <alignment horizontal="center" vertical="center"/>
    </xf>
    <xf numFmtId="3" fontId="39" fillId="20" borderId="219" xfId="10" applyNumberFormat="1" applyFont="1" applyFill="1" applyBorder="1" applyAlignment="1" applyProtection="1">
      <alignment horizontal="center" vertical="center"/>
    </xf>
    <xf numFmtId="9" fontId="39" fillId="0" borderId="218" xfId="0" applyNumberFormat="1" applyFont="1" applyBorder="1" applyAlignment="1">
      <alignment horizontal="center"/>
    </xf>
    <xf numFmtId="9" fontId="39" fillId="0" borderId="219" xfId="0" applyNumberFormat="1" applyFont="1" applyBorder="1" applyAlignment="1">
      <alignment horizontal="center"/>
    </xf>
    <xf numFmtId="0" fontId="201" fillId="0" borderId="215" xfId="0" applyFont="1" applyBorder="1" applyAlignment="1">
      <alignment horizontal="center"/>
    </xf>
    <xf numFmtId="9" fontId="39" fillId="0" borderId="221" xfId="0" applyNumberFormat="1" applyFont="1" applyBorder="1" applyAlignment="1">
      <alignment horizontal="center"/>
    </xf>
    <xf numFmtId="9" fontId="39" fillId="0" borderId="223" xfId="0" applyNumberFormat="1" applyFont="1" applyBorder="1" applyAlignment="1">
      <alignment horizontal="center"/>
    </xf>
    <xf numFmtId="0" fontId="38" fillId="5" borderId="218" xfId="0" applyFont="1" applyFill="1" applyBorder="1" applyAlignment="1" applyProtection="1">
      <alignment horizontal="left" vertical="center"/>
      <protection locked="0"/>
    </xf>
    <xf numFmtId="0" fontId="38" fillId="5" borderId="220" xfId="0" applyFont="1" applyFill="1" applyBorder="1" applyAlignment="1" applyProtection="1">
      <alignment horizontal="left" vertical="center"/>
      <protection locked="0"/>
    </xf>
    <xf numFmtId="0" fontId="38" fillId="5" borderId="219" xfId="0" applyFont="1" applyFill="1" applyBorder="1" applyAlignment="1" applyProtection="1">
      <alignment horizontal="left" vertical="center"/>
      <protection locked="0"/>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11" fillId="13" borderId="218" xfId="0" applyFont="1" applyFill="1" applyBorder="1" applyAlignment="1">
      <alignment horizontal="center" vertical="center"/>
    </xf>
    <xf numFmtId="0" fontId="11" fillId="13" borderId="219" xfId="0" applyFont="1" applyFill="1" applyBorder="1" applyAlignment="1">
      <alignment horizontal="center" vertical="center"/>
    </xf>
    <xf numFmtId="0" fontId="5" fillId="0" borderId="0" xfId="0" applyFont="1" applyAlignment="1">
      <alignment horizontal="center" wrapText="1"/>
    </xf>
    <xf numFmtId="3" fontId="5" fillId="5" borderId="246" xfId="1" applyNumberFormat="1" applyFont="1" applyFill="1" applyBorder="1" applyAlignment="1" applyProtection="1">
      <alignment horizontal="center" vertical="center"/>
      <protection locked="0"/>
    </xf>
    <xf numFmtId="3" fontId="5" fillId="5" borderId="247" xfId="1" applyNumberFormat="1" applyFont="1" applyFill="1" applyBorder="1" applyAlignment="1" applyProtection="1">
      <alignment horizontal="center" vertical="center"/>
      <protection locked="0"/>
    </xf>
    <xf numFmtId="0" fontId="5" fillId="13" borderId="218" xfId="0" applyFont="1" applyFill="1" applyBorder="1" applyAlignment="1">
      <alignment horizontal="left" vertical="top" wrapText="1"/>
    </xf>
    <xf numFmtId="0" fontId="5" fillId="13" borderId="220" xfId="0" applyFont="1" applyFill="1" applyBorder="1" applyAlignment="1">
      <alignment horizontal="left" vertical="top" wrapText="1"/>
    </xf>
    <xf numFmtId="0" fontId="5" fillId="13" borderId="219" xfId="0" applyFont="1" applyFill="1" applyBorder="1" applyAlignment="1">
      <alignment horizontal="left" vertical="top" wrapText="1"/>
    </xf>
    <xf numFmtId="0" fontId="5" fillId="5" borderId="218" xfId="0" applyFont="1" applyFill="1" applyBorder="1" applyAlignment="1" applyProtection="1">
      <alignment horizontal="left" vertical="top" wrapText="1"/>
      <protection locked="0"/>
    </xf>
    <xf numFmtId="0" fontId="5" fillId="5" borderId="220" xfId="0" applyFont="1" applyFill="1" applyBorder="1" applyAlignment="1" applyProtection="1">
      <alignment horizontal="left" vertical="top" wrapText="1"/>
      <protection locked="0"/>
    </xf>
    <xf numFmtId="0" fontId="5" fillId="5" borderId="219" xfId="0" applyFont="1" applyFill="1" applyBorder="1" applyAlignment="1" applyProtection="1">
      <alignment horizontal="left" vertical="top" wrapText="1"/>
      <protection locked="0"/>
    </xf>
    <xf numFmtId="0" fontId="39" fillId="5" borderId="218" xfId="0" applyFont="1" applyFill="1" applyBorder="1" applyAlignment="1" applyProtection="1">
      <alignment horizontal="left" vertical="center" wrapText="1"/>
      <protection locked="0"/>
    </xf>
    <xf numFmtId="0" fontId="39" fillId="5" borderId="220" xfId="0" applyFont="1" applyFill="1" applyBorder="1" applyAlignment="1" applyProtection="1">
      <alignment horizontal="left" vertical="center" wrapText="1"/>
      <protection locked="0"/>
    </xf>
    <xf numFmtId="0" fontId="39" fillId="5" borderId="219" xfId="0" applyFont="1" applyFill="1" applyBorder="1" applyAlignment="1" applyProtection="1">
      <alignment horizontal="left" vertical="center" wrapText="1"/>
      <protection locked="0"/>
    </xf>
    <xf numFmtId="0" fontId="5" fillId="0" borderId="0" xfId="0" applyFont="1" applyAlignment="1">
      <alignment horizontal="left" vertical="center" wrapText="1"/>
    </xf>
    <xf numFmtId="0" fontId="15" fillId="5" borderId="218" xfId="0" applyFont="1" applyFill="1" applyBorder="1" applyAlignment="1" applyProtection="1">
      <alignment horizontal="left" vertical="center"/>
      <protection locked="0"/>
    </xf>
    <xf numFmtId="0" fontId="15" fillId="5" borderId="220" xfId="0" applyFont="1" applyFill="1" applyBorder="1" applyAlignment="1" applyProtection="1">
      <alignment horizontal="left" vertical="center"/>
      <protection locked="0"/>
    </xf>
    <xf numFmtId="0" fontId="0" fillId="0" borderId="219" xfId="0" applyBorder="1" applyAlignment="1" applyProtection="1">
      <alignment horizontal="left" vertical="center"/>
      <protection locked="0"/>
    </xf>
    <xf numFmtId="0" fontId="39" fillId="0" borderId="9" xfId="0" applyFont="1" applyBorder="1" applyAlignment="1">
      <alignment horizontal="left" vertical="center" wrapText="1"/>
    </xf>
    <xf numFmtId="0" fontId="15" fillId="5" borderId="221" xfId="0" applyFont="1" applyFill="1" applyBorder="1" applyAlignment="1" applyProtection="1">
      <alignment horizontal="left" vertical="center"/>
      <protection locked="0"/>
    </xf>
    <xf numFmtId="0" fontId="15" fillId="5" borderId="222" xfId="0" applyFont="1" applyFill="1" applyBorder="1" applyAlignment="1" applyProtection="1">
      <alignment horizontal="left" vertical="center"/>
      <protection locked="0"/>
    </xf>
    <xf numFmtId="0" fontId="15" fillId="5" borderId="223" xfId="0" applyFont="1" applyFill="1" applyBorder="1" applyAlignment="1" applyProtection="1">
      <alignment horizontal="left" vertical="center"/>
      <protection locked="0"/>
    </xf>
    <xf numFmtId="0" fontId="5" fillId="0" borderId="0" xfId="0" applyFont="1" applyAlignment="1">
      <alignment horizontal="center" vertical="top" wrapText="1"/>
    </xf>
    <xf numFmtId="0" fontId="41" fillId="5" borderId="218" xfId="0" applyFont="1" applyFill="1" applyBorder="1" applyAlignment="1" applyProtection="1">
      <alignment horizontal="left" vertical="center"/>
      <protection locked="0"/>
    </xf>
    <xf numFmtId="0" fontId="41" fillId="5" borderId="220" xfId="0" applyFont="1" applyFill="1" applyBorder="1" applyAlignment="1" applyProtection="1">
      <alignment horizontal="left" vertical="center"/>
      <protection locked="0"/>
    </xf>
    <xf numFmtId="0" fontId="41" fillId="5" borderId="219" xfId="0" applyFont="1" applyFill="1" applyBorder="1" applyAlignment="1" applyProtection="1">
      <alignment horizontal="left" vertical="center"/>
      <protection locked="0"/>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15" fillId="5" borderId="225" xfId="0" applyFont="1" applyFill="1" applyBorder="1" applyAlignment="1" applyProtection="1">
      <alignment horizontal="left" vertical="center"/>
      <protection locked="0"/>
    </xf>
    <xf numFmtId="0" fontId="15" fillId="5" borderId="12" xfId="0" applyFont="1" applyFill="1" applyBorder="1" applyAlignment="1" applyProtection="1">
      <alignment horizontal="left" vertical="center"/>
      <protection locked="0"/>
    </xf>
    <xf numFmtId="0" fontId="15" fillId="5" borderId="13" xfId="0" applyFont="1" applyFill="1" applyBorder="1" applyAlignment="1" applyProtection="1">
      <alignment horizontal="left" vertical="center"/>
      <protection locked="0"/>
    </xf>
    <xf numFmtId="0" fontId="11" fillId="5" borderId="217" xfId="0" applyFont="1" applyFill="1" applyBorder="1" applyAlignment="1" applyProtection="1">
      <alignment horizontal="left" vertical="center"/>
      <protection locked="0"/>
    </xf>
    <xf numFmtId="0" fontId="11" fillId="5" borderId="226" xfId="0" applyFont="1" applyFill="1" applyBorder="1" applyAlignment="1" applyProtection="1">
      <alignment horizontal="left" vertical="center"/>
      <protection locked="0"/>
    </xf>
    <xf numFmtId="0" fontId="87" fillId="0" borderId="0" xfId="0" applyFont="1" applyAlignment="1">
      <alignment horizontal="center" wrapText="1"/>
    </xf>
    <xf numFmtId="0" fontId="87" fillId="0" borderId="9" xfId="0" applyFont="1" applyBorder="1" applyAlignment="1">
      <alignment horizontal="center" wrapText="1"/>
    </xf>
    <xf numFmtId="3" fontId="5" fillId="13" borderId="246" xfId="1" applyNumberFormat="1" applyFont="1" applyFill="1" applyBorder="1" applyAlignment="1" applyProtection="1">
      <alignment horizontal="center" vertical="center"/>
    </xf>
    <xf numFmtId="3" fontId="5" fillId="13" borderId="247" xfId="1" applyNumberFormat="1" applyFont="1" applyFill="1" applyBorder="1" applyAlignment="1" applyProtection="1">
      <alignment horizontal="center" vertical="center"/>
    </xf>
    <xf numFmtId="0" fontId="39" fillId="5" borderId="218" xfId="0" applyFont="1" applyFill="1" applyBorder="1" applyAlignment="1" applyProtection="1">
      <alignment horizontal="left" vertical="top" wrapText="1"/>
      <protection locked="0"/>
    </xf>
    <xf numFmtId="0" fontId="39" fillId="5" borderId="220" xfId="0" applyFont="1" applyFill="1" applyBorder="1" applyAlignment="1" applyProtection="1">
      <alignment horizontal="left" vertical="top" wrapText="1"/>
      <protection locked="0"/>
    </xf>
    <xf numFmtId="0" fontId="39" fillId="5" borderId="219" xfId="0" applyFont="1" applyFill="1" applyBorder="1" applyAlignment="1" applyProtection="1">
      <alignment horizontal="left" vertical="top" wrapText="1"/>
      <protection locked="0"/>
    </xf>
    <xf numFmtId="0" fontId="15" fillId="5" borderId="25" xfId="0" applyFont="1" applyFill="1" applyBorder="1" applyAlignment="1" applyProtection="1">
      <alignment horizontal="left" vertical="center"/>
      <protection locked="0"/>
    </xf>
    <xf numFmtId="0" fontId="15" fillId="5" borderId="42" xfId="0" applyFont="1" applyFill="1" applyBorder="1" applyAlignment="1" applyProtection="1">
      <alignment horizontal="left" vertical="center"/>
      <protection locked="0"/>
    </xf>
    <xf numFmtId="0" fontId="15" fillId="5" borderId="26" xfId="0" applyFont="1" applyFill="1" applyBorder="1" applyAlignment="1" applyProtection="1">
      <alignment horizontal="left" vertical="center"/>
      <protection locked="0"/>
    </xf>
    <xf numFmtId="0" fontId="11" fillId="13" borderId="216" xfId="0" applyFont="1" applyFill="1" applyBorder="1" applyAlignment="1">
      <alignment horizontal="center" vertical="center"/>
    </xf>
    <xf numFmtId="0" fontId="5" fillId="5" borderId="6" xfId="0" applyFont="1" applyFill="1" applyBorder="1" applyAlignment="1" applyProtection="1">
      <alignment horizontal="left" vertical="center"/>
      <protection locked="0"/>
    </xf>
    <xf numFmtId="0" fontId="5" fillId="5" borderId="9" xfId="0" applyFont="1" applyFill="1" applyBorder="1" applyAlignment="1" applyProtection="1">
      <alignment horizontal="left" vertical="center"/>
      <protection locked="0"/>
    </xf>
    <xf numFmtId="0" fontId="5" fillId="5" borderId="10" xfId="0" applyFont="1" applyFill="1" applyBorder="1" applyAlignment="1" applyProtection="1">
      <alignment horizontal="left" vertical="center"/>
      <protection locked="0"/>
    </xf>
    <xf numFmtId="0" fontId="15" fillId="5" borderId="219" xfId="0" applyFont="1" applyFill="1" applyBorder="1" applyAlignment="1" applyProtection="1">
      <alignment horizontal="left" vertical="center"/>
      <protection locked="0"/>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37" fontId="9" fillId="0" borderId="218" xfId="0" applyNumberFormat="1" applyFont="1" applyBorder="1" applyAlignment="1">
      <alignment horizontal="left" vertical="center" wrapText="1"/>
    </xf>
    <xf numFmtId="37" fontId="9" fillId="0" borderId="219" xfId="0" applyNumberFormat="1" applyFont="1" applyBorder="1" applyAlignment="1">
      <alignment horizontal="left" vertical="center" wrapText="1"/>
    </xf>
    <xf numFmtId="0" fontId="14" fillId="5" borderId="221" xfId="0" applyFont="1" applyFill="1" applyBorder="1" applyAlignment="1" applyProtection="1">
      <alignment horizontal="left"/>
      <protection locked="0"/>
    </xf>
    <xf numFmtId="0" fontId="14" fillId="5" borderId="222" xfId="0" applyFont="1" applyFill="1" applyBorder="1" applyAlignment="1" applyProtection="1">
      <alignment horizontal="left"/>
      <protection locked="0"/>
    </xf>
    <xf numFmtId="0" fontId="14" fillId="5" borderId="223" xfId="0" applyFont="1" applyFill="1" applyBorder="1" applyAlignment="1" applyProtection="1">
      <alignment horizontal="left"/>
      <protection locked="0"/>
    </xf>
    <xf numFmtId="0" fontId="39" fillId="5" borderId="221" xfId="0" applyFont="1" applyFill="1" applyBorder="1" applyAlignment="1" applyProtection="1">
      <alignment vertical="top" wrapText="1"/>
      <protection locked="0"/>
    </xf>
    <xf numFmtId="0" fontId="42" fillId="0" borderId="222" xfId="0" applyFont="1" applyBorder="1" applyAlignment="1" applyProtection="1">
      <alignment vertical="top" wrapText="1"/>
      <protection locked="0"/>
    </xf>
    <xf numFmtId="0" fontId="42" fillId="0" borderId="223" xfId="0" applyFont="1" applyBorder="1" applyAlignment="1" applyProtection="1">
      <alignment vertical="top" wrapText="1"/>
      <protection locked="0"/>
    </xf>
    <xf numFmtId="0" fontId="38" fillId="5" borderId="218" xfId="0" applyFont="1" applyFill="1" applyBorder="1" applyAlignment="1" applyProtection="1">
      <alignment horizontal="center" vertical="center"/>
      <protection locked="0"/>
    </xf>
    <xf numFmtId="0" fontId="38" fillId="5" borderId="219" xfId="0" applyFont="1" applyFill="1" applyBorder="1" applyAlignment="1" applyProtection="1">
      <alignment horizontal="center" vertical="center"/>
      <protection locked="0"/>
    </xf>
    <xf numFmtId="0" fontId="38" fillId="13" borderId="22" xfId="0" applyFont="1" applyFill="1" applyBorder="1" applyAlignment="1">
      <alignment horizontal="center" vertical="center"/>
    </xf>
    <xf numFmtId="0" fontId="38" fillId="13" borderId="23" xfId="0" applyFont="1" applyFill="1" applyBorder="1" applyAlignment="1">
      <alignment horizontal="center" vertical="center"/>
    </xf>
    <xf numFmtId="0" fontId="5" fillId="5" borderId="221" xfId="0" applyFont="1" applyFill="1" applyBorder="1" applyAlignment="1" applyProtection="1">
      <alignment horizontal="left" vertical="top" wrapText="1"/>
      <protection locked="0"/>
    </xf>
    <xf numFmtId="0" fontId="5" fillId="5" borderId="222" xfId="0" applyFont="1" applyFill="1" applyBorder="1" applyAlignment="1" applyProtection="1">
      <alignment horizontal="left" vertical="top" wrapText="1"/>
      <protection locked="0"/>
    </xf>
    <xf numFmtId="0" fontId="5" fillId="5" borderId="223" xfId="0" applyFont="1" applyFill="1" applyBorder="1" applyAlignment="1" applyProtection="1">
      <alignment horizontal="left" vertical="top" wrapText="1"/>
      <protection locked="0"/>
    </xf>
    <xf numFmtId="0" fontId="5" fillId="10" borderId="218" xfId="0" applyFont="1" applyFill="1" applyBorder="1" applyAlignment="1" applyProtection="1">
      <alignment horizontal="left" vertical="top"/>
      <protection locked="0"/>
    </xf>
    <xf numFmtId="0" fontId="5" fillId="10" borderId="220" xfId="0" applyFont="1" applyFill="1" applyBorder="1" applyAlignment="1" applyProtection="1">
      <alignment horizontal="left" vertical="top"/>
      <protection locked="0"/>
    </xf>
    <xf numFmtId="0" fontId="5" fillId="10" borderId="219" xfId="0" applyFont="1" applyFill="1" applyBorder="1" applyAlignment="1" applyProtection="1">
      <alignment horizontal="left" vertical="top"/>
      <protection locked="0"/>
    </xf>
    <xf numFmtId="174" fontId="15" fillId="13" borderId="221" xfId="0" applyNumberFormat="1" applyFont="1" applyFill="1" applyBorder="1" applyAlignment="1">
      <alignment horizontal="left" vertical="center"/>
    </xf>
    <xf numFmtId="174" fontId="15" fillId="13" borderId="223" xfId="0" applyNumberFormat="1" applyFont="1" applyFill="1" applyBorder="1" applyAlignment="1">
      <alignment horizontal="left" vertical="center"/>
    </xf>
    <xf numFmtId="0" fontId="15" fillId="13" borderId="25" xfId="0" applyFont="1" applyFill="1" applyBorder="1" applyAlignment="1">
      <alignment horizontal="left" vertical="center"/>
    </xf>
    <xf numFmtId="0" fontId="15" fillId="13" borderId="26" xfId="0" applyFont="1" applyFill="1" applyBorder="1" applyAlignment="1">
      <alignment horizontal="left" vertical="center"/>
    </xf>
    <xf numFmtId="174" fontId="15" fillId="5" borderId="221" xfId="0" applyNumberFormat="1" applyFont="1" applyFill="1" applyBorder="1" applyAlignment="1" applyProtection="1">
      <alignment horizontal="left" vertical="center"/>
      <protection locked="0"/>
    </xf>
    <xf numFmtId="174" fontId="15" fillId="5" borderId="222" xfId="0" applyNumberFormat="1" applyFont="1" applyFill="1" applyBorder="1" applyAlignment="1" applyProtection="1">
      <alignment horizontal="left" vertical="center"/>
      <protection locked="0"/>
    </xf>
    <xf numFmtId="174" fontId="15" fillId="5" borderId="223" xfId="0" applyNumberFormat="1" applyFont="1" applyFill="1" applyBorder="1" applyAlignment="1" applyProtection="1">
      <alignment horizontal="left" vertical="center"/>
      <protection locked="0"/>
    </xf>
    <xf numFmtId="0" fontId="5" fillId="0" borderId="5" xfId="0" applyFont="1" applyBorder="1" applyAlignment="1">
      <alignment horizontal="left" vertical="top" wrapText="1"/>
    </xf>
    <xf numFmtId="0" fontId="5" fillId="5" borderId="25" xfId="0" applyFont="1" applyFill="1" applyBorder="1" applyAlignment="1" applyProtection="1">
      <alignment horizontal="left" vertical="top" wrapText="1"/>
      <protection locked="0"/>
    </xf>
    <xf numFmtId="0" fontId="5" fillId="5" borderId="42" xfId="0" applyFont="1" applyFill="1" applyBorder="1" applyAlignment="1" applyProtection="1">
      <alignment horizontal="left" vertical="top" wrapText="1"/>
      <protection locked="0"/>
    </xf>
    <xf numFmtId="0" fontId="5" fillId="5" borderId="26" xfId="0" applyFont="1" applyFill="1" applyBorder="1" applyAlignment="1" applyProtection="1">
      <alignment horizontal="left" vertical="top" wrapText="1"/>
      <protection locked="0"/>
    </xf>
    <xf numFmtId="0" fontId="42" fillId="0" borderId="42" xfId="0" applyFont="1" applyBorder="1" applyAlignment="1" applyProtection="1">
      <alignment horizontal="left" vertical="top" wrapText="1"/>
      <protection locked="0"/>
    </xf>
    <xf numFmtId="0" fontId="42" fillId="0" borderId="26" xfId="0" applyFont="1" applyBorder="1" applyAlignment="1" applyProtection="1">
      <alignment horizontal="left" vertical="top" wrapText="1"/>
      <protection locked="0"/>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39" fillId="13" borderId="22" xfId="0" applyFont="1" applyFill="1" applyBorder="1" applyAlignment="1">
      <alignment horizontal="justify" vertical="top" wrapText="1"/>
    </xf>
    <xf numFmtId="0" fontId="39" fillId="13" borderId="16" xfId="0" applyFont="1" applyFill="1" applyBorder="1" applyAlignment="1">
      <alignment horizontal="justify" vertical="top" wrapText="1"/>
    </xf>
    <xf numFmtId="0" fontId="39" fillId="13" borderId="23" xfId="0" applyFont="1" applyFill="1" applyBorder="1" applyAlignment="1">
      <alignment horizontal="justify" vertical="top" wrapText="1"/>
    </xf>
    <xf numFmtId="0" fontId="39" fillId="13" borderId="25" xfId="0" applyFont="1" applyFill="1" applyBorder="1" applyAlignment="1">
      <alignment horizontal="justify" vertical="top" wrapText="1"/>
    </xf>
    <xf numFmtId="0" fontId="39" fillId="13" borderId="42" xfId="0" applyFont="1" applyFill="1" applyBorder="1" applyAlignment="1">
      <alignment horizontal="justify" vertical="top" wrapText="1"/>
    </xf>
    <xf numFmtId="0" fontId="39" fillId="13" borderId="26" xfId="0" applyFont="1" applyFill="1" applyBorder="1" applyAlignment="1">
      <alignment horizontal="justify" vertical="top" wrapText="1"/>
    </xf>
    <xf numFmtId="175" fontId="11" fillId="10" borderId="218" xfId="0" applyNumberFormat="1" applyFont="1" applyFill="1" applyBorder="1" applyAlignment="1" applyProtection="1">
      <alignment horizontal="center" vertical="center"/>
      <protection locked="0"/>
    </xf>
    <xf numFmtId="175" fontId="11" fillId="10" borderId="219" xfId="0" applyNumberFormat="1" applyFont="1" applyFill="1" applyBorder="1" applyAlignment="1" applyProtection="1">
      <alignment horizontal="center" vertical="center"/>
      <protection locked="0"/>
    </xf>
    <xf numFmtId="0" fontId="15" fillId="5" borderId="224" xfId="0" applyFont="1" applyFill="1" applyBorder="1" applyAlignment="1" applyProtection="1">
      <alignment horizontal="center"/>
      <protection locked="0"/>
    </xf>
    <xf numFmtId="0" fontId="15" fillId="5" borderId="219" xfId="0" applyFont="1" applyFill="1" applyBorder="1" applyAlignment="1" applyProtection="1">
      <alignment horizontal="center"/>
      <protection locked="0"/>
    </xf>
    <xf numFmtId="0" fontId="15" fillId="13" borderId="218" xfId="0" applyFont="1" applyFill="1" applyBorder="1" applyAlignment="1">
      <alignment horizontal="center"/>
    </xf>
    <xf numFmtId="0" fontId="15" fillId="13" borderId="219" xfId="0" applyFont="1" applyFill="1" applyBorder="1" applyAlignment="1">
      <alignment horizontal="center"/>
    </xf>
    <xf numFmtId="0" fontId="0" fillId="0" borderId="223" xfId="0" applyBorder="1" applyAlignment="1" applyProtection="1">
      <alignment horizontal="left" vertical="center"/>
      <protection locked="0"/>
    </xf>
    <xf numFmtId="0" fontId="5" fillId="13" borderId="217" xfId="0" applyFont="1" applyFill="1" applyBorder="1" applyAlignment="1">
      <alignment horizontal="left" vertical="top" wrapText="1"/>
    </xf>
    <xf numFmtId="0" fontId="110" fillId="0" borderId="0" xfId="0" applyFont="1" applyAlignment="1">
      <alignment horizontal="center" vertical="center"/>
    </xf>
    <xf numFmtId="0" fontId="23" fillId="0" borderId="0" xfId="0" applyFont="1" applyAlignment="1">
      <alignment horizontal="left" vertical="center"/>
    </xf>
    <xf numFmtId="0" fontId="95" fillId="13" borderId="218" xfId="0" applyFont="1" applyFill="1" applyBorder="1" applyAlignment="1">
      <alignment horizontal="center" vertical="center"/>
    </xf>
    <xf numFmtId="0" fontId="95" fillId="13" borderId="219" xfId="0" applyFont="1" applyFill="1" applyBorder="1" applyAlignment="1">
      <alignment horizontal="center" vertical="center"/>
    </xf>
    <xf numFmtId="0" fontId="39" fillId="13" borderId="221" xfId="0" applyFont="1" applyFill="1" applyBorder="1" applyAlignment="1">
      <alignment horizontal="justify" vertical="top" wrapText="1"/>
    </xf>
    <xf numFmtId="0" fontId="39" fillId="13" borderId="222" xfId="0" applyFont="1" applyFill="1" applyBorder="1" applyAlignment="1">
      <alignment horizontal="justify" vertical="top" wrapText="1"/>
    </xf>
    <xf numFmtId="0" fontId="39" fillId="13" borderId="223" xfId="0" applyFont="1" applyFill="1" applyBorder="1" applyAlignment="1">
      <alignment horizontal="justify" vertical="top" wrapText="1"/>
    </xf>
    <xf numFmtId="0" fontId="90" fillId="0" borderId="215" xfId="0" applyFont="1" applyBorder="1" applyAlignment="1">
      <alignment horizontal="center" vertical="center" wrapText="1"/>
    </xf>
    <xf numFmtId="0" fontId="90" fillId="0" borderId="216" xfId="0" applyFont="1" applyBorder="1" applyAlignment="1">
      <alignment horizontal="center" vertical="center" wrapText="1"/>
    </xf>
    <xf numFmtId="49" fontId="94" fillId="20" borderId="0" xfId="0" applyNumberFormat="1" applyFont="1" applyFill="1" applyAlignment="1">
      <alignment horizontal="center" vertical="center"/>
    </xf>
    <xf numFmtId="0" fontId="15" fillId="5" borderId="22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5" fillId="0" borderId="9" xfId="0" applyFont="1" applyBorder="1" applyAlignment="1">
      <alignment horizontal="center" wrapText="1"/>
    </xf>
    <xf numFmtId="0" fontId="15" fillId="13" borderId="218" xfId="0" applyFont="1" applyFill="1" applyBorder="1" applyAlignment="1">
      <alignment horizontal="left" vertical="center"/>
    </xf>
    <xf numFmtId="0" fontId="15" fillId="13" borderId="219" xfId="0" applyFont="1" applyFill="1" applyBorder="1" applyAlignment="1">
      <alignment horizontal="left" vertical="center"/>
    </xf>
    <xf numFmtId="0" fontId="11" fillId="13" borderId="6" xfId="0" applyFont="1" applyFill="1" applyBorder="1" applyAlignment="1">
      <alignment horizontal="center" vertical="center"/>
    </xf>
    <xf numFmtId="0" fontId="11" fillId="13" borderId="10" xfId="0" applyFont="1" applyFill="1" applyBorder="1" applyAlignment="1">
      <alignment horizontal="center" vertical="center"/>
    </xf>
    <xf numFmtId="0" fontId="14" fillId="13" borderId="25" xfId="0" applyFont="1" applyFill="1" applyBorder="1" applyAlignment="1">
      <alignment horizontal="left"/>
    </xf>
    <xf numFmtId="0" fontId="14" fillId="13" borderId="42" xfId="0" applyFont="1" applyFill="1" applyBorder="1" applyAlignment="1">
      <alignment horizontal="left"/>
    </xf>
    <xf numFmtId="0" fontId="14" fillId="13" borderId="26" xfId="0" applyFont="1" applyFill="1" applyBorder="1" applyAlignment="1">
      <alignment horizontal="left"/>
    </xf>
    <xf numFmtId="0" fontId="146" fillId="0" borderId="0" xfId="0" applyFont="1" applyAlignment="1">
      <alignment horizontal="center" vertical="center"/>
    </xf>
    <xf numFmtId="10" fontId="15" fillId="5" borderId="20" xfId="0" applyNumberFormat="1" applyFont="1" applyFill="1" applyBorder="1" applyAlignment="1" applyProtection="1">
      <alignment horizontal="left" vertical="center"/>
      <protection locked="0"/>
    </xf>
    <xf numFmtId="10" fontId="15" fillId="5" borderId="14" xfId="0" applyNumberFormat="1" applyFont="1" applyFill="1" applyBorder="1" applyAlignment="1" applyProtection="1">
      <alignment horizontal="left" vertical="center"/>
      <protection locked="0"/>
    </xf>
    <xf numFmtId="10" fontId="0" fillId="0" borderId="23" xfId="0" applyNumberFormat="1" applyBorder="1" applyAlignment="1" applyProtection="1">
      <alignment horizontal="left" vertical="center"/>
      <protection locked="0"/>
    </xf>
    <xf numFmtId="0" fontId="5" fillId="5" borderId="217" xfId="0" applyFont="1" applyFill="1" applyBorder="1" applyAlignment="1" applyProtection="1">
      <alignment horizontal="left" vertical="center" wrapText="1"/>
      <protection locked="0"/>
    </xf>
    <xf numFmtId="0" fontId="15" fillId="5" borderId="22" xfId="0" applyFont="1" applyFill="1" applyBorder="1" applyAlignment="1" applyProtection="1">
      <alignment horizontal="left" vertical="center"/>
      <protection locked="0"/>
    </xf>
    <xf numFmtId="0" fontId="15" fillId="5" borderId="16" xfId="0" applyFont="1" applyFill="1"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15" fillId="5" borderId="226"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5" borderId="6" xfId="0" applyFont="1" applyFill="1" applyBorder="1" applyAlignment="1" applyProtection="1">
      <alignment horizontal="left" vertical="center"/>
      <protection locked="0"/>
    </xf>
    <xf numFmtId="0" fontId="15" fillId="5" borderId="9" xfId="0" applyFont="1" applyFill="1" applyBorder="1" applyAlignment="1" applyProtection="1">
      <alignment horizontal="left" vertical="center"/>
      <protection locked="0"/>
    </xf>
    <xf numFmtId="0" fontId="15" fillId="5" borderId="10" xfId="0" applyFont="1" applyFill="1" applyBorder="1" applyAlignment="1" applyProtection="1">
      <alignment horizontal="left" vertical="center"/>
      <protection locked="0"/>
    </xf>
    <xf numFmtId="0" fontId="5" fillId="5" borderId="22" xfId="0" applyFont="1" applyFill="1" applyBorder="1" applyAlignment="1" applyProtection="1">
      <alignment horizontal="left" vertical="top" wrapText="1"/>
      <protection locked="0"/>
    </xf>
    <xf numFmtId="0" fontId="5" fillId="5" borderId="16" xfId="0" applyFont="1" applyFill="1" applyBorder="1" applyAlignment="1" applyProtection="1">
      <alignment horizontal="left" vertical="top" wrapText="1"/>
      <protection locked="0"/>
    </xf>
    <xf numFmtId="0" fontId="5" fillId="5" borderId="23" xfId="0" applyFont="1" applyFill="1" applyBorder="1" applyAlignment="1" applyProtection="1">
      <alignment horizontal="left" vertical="top" wrapText="1"/>
      <protection locked="0"/>
    </xf>
    <xf numFmtId="0" fontId="15" fillId="5" borderId="37" xfId="0" applyFont="1" applyFill="1" applyBorder="1" applyAlignment="1" applyProtection="1">
      <alignment horizontal="left" vertical="center"/>
      <protection locked="0"/>
    </xf>
    <xf numFmtId="0" fontId="15" fillId="5" borderId="18" xfId="0" applyFont="1" applyFill="1" applyBorder="1" applyAlignment="1" applyProtection="1">
      <alignment horizontal="left" vertical="center"/>
      <protection locked="0"/>
    </xf>
    <xf numFmtId="0" fontId="15" fillId="13" borderId="226" xfId="0" applyFont="1" applyFill="1" applyBorder="1" applyAlignment="1">
      <alignment horizontal="center" vertical="top"/>
    </xf>
    <xf numFmtId="0" fontId="15" fillId="13" borderId="8" xfId="0" applyFont="1" applyFill="1" applyBorder="1" applyAlignment="1">
      <alignment horizontal="center" vertical="top"/>
    </xf>
    <xf numFmtId="0" fontId="11" fillId="5" borderId="7" xfId="0" applyFont="1" applyFill="1" applyBorder="1" applyAlignment="1" applyProtection="1">
      <alignment horizontal="left" vertical="center"/>
      <protection locked="0"/>
    </xf>
    <xf numFmtId="0" fontId="11" fillId="5" borderId="12" xfId="0" applyFont="1" applyFill="1" applyBorder="1" applyAlignment="1" applyProtection="1">
      <alignment horizontal="left" vertical="center"/>
      <protection locked="0"/>
    </xf>
    <xf numFmtId="0" fontId="39" fillId="10" borderId="218" xfId="0" applyFont="1" applyFill="1" applyBorder="1" applyAlignment="1" applyProtection="1">
      <alignment horizontal="left" vertical="top" wrapText="1"/>
      <protection locked="0"/>
    </xf>
    <xf numFmtId="0" fontId="39" fillId="10" borderId="220" xfId="0" applyFont="1" applyFill="1" applyBorder="1" applyAlignment="1" applyProtection="1">
      <alignment horizontal="left" vertical="top" wrapText="1"/>
      <protection locked="0"/>
    </xf>
    <xf numFmtId="0" fontId="39" fillId="10" borderId="219" xfId="0" applyFont="1" applyFill="1" applyBorder="1" applyAlignment="1" applyProtection="1">
      <alignment horizontal="left" vertical="top" wrapText="1"/>
      <protection locked="0"/>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1" fillId="13" borderId="226"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11" fillId="13" borderId="224" xfId="0" applyFont="1" applyFill="1" applyBorder="1" applyAlignment="1">
      <alignment horizontal="center" vertical="center"/>
    </xf>
    <xf numFmtId="0" fontId="15" fillId="5" borderId="218" xfId="0" applyFont="1" applyFill="1" applyBorder="1" applyAlignment="1" applyProtection="1">
      <alignment horizontal="center" vertical="top"/>
      <protection locked="0"/>
    </xf>
    <xf numFmtId="0" fontId="15" fillId="5" borderId="219" xfId="0" applyFont="1" applyFill="1" applyBorder="1" applyAlignment="1" applyProtection="1">
      <alignment horizontal="center" vertical="top"/>
      <protection locked="0"/>
    </xf>
    <xf numFmtId="0" fontId="15" fillId="13" borderId="218" xfId="0" applyFont="1" applyFill="1" applyBorder="1" applyAlignment="1">
      <alignment horizontal="center" vertical="top"/>
    </xf>
    <xf numFmtId="0" fontId="15" fillId="13" borderId="219" xfId="0" applyFont="1" applyFill="1" applyBorder="1" applyAlignment="1">
      <alignment horizontal="center" vertical="top"/>
    </xf>
    <xf numFmtId="0" fontId="189" fillId="20" borderId="46" xfId="0" applyFont="1" applyFill="1" applyBorder="1" applyAlignment="1">
      <alignment horizontal="center" vertical="center" wrapText="1"/>
    </xf>
    <xf numFmtId="0" fontId="189" fillId="20" borderId="50" xfId="0" applyFont="1" applyFill="1" applyBorder="1" applyAlignment="1">
      <alignment horizontal="center" vertical="center" wrapText="1"/>
    </xf>
    <xf numFmtId="0" fontId="189" fillId="20" borderId="47" xfId="0" applyFont="1" applyFill="1" applyBorder="1" applyAlignment="1">
      <alignment horizontal="center" vertical="center" wrapText="1"/>
    </xf>
    <xf numFmtId="0" fontId="189" fillId="20" borderId="34" xfId="0" applyFont="1" applyFill="1" applyBorder="1" applyAlignment="1">
      <alignment horizontal="center" vertical="center" wrapText="1"/>
    </xf>
    <xf numFmtId="0" fontId="189" fillId="20" borderId="0" xfId="0" applyFont="1" applyFill="1" applyAlignment="1">
      <alignment horizontal="center" vertical="center" wrapText="1"/>
    </xf>
    <xf numFmtId="0" fontId="189" fillId="20" borderId="36" xfId="0" applyFont="1" applyFill="1" applyBorder="1" applyAlignment="1">
      <alignment horizontal="center" vertical="center" wrapText="1"/>
    </xf>
    <xf numFmtId="0" fontId="189" fillId="20" borderId="35" xfId="0" applyFont="1" applyFill="1" applyBorder="1" applyAlignment="1">
      <alignment horizontal="center" vertical="center" wrapText="1"/>
    </xf>
    <xf numFmtId="0" fontId="189" fillId="20" borderId="55" xfId="0" applyFont="1" applyFill="1" applyBorder="1" applyAlignment="1">
      <alignment horizontal="center" vertical="center" wrapText="1"/>
    </xf>
    <xf numFmtId="0" fontId="189" fillId="20" borderId="48" xfId="0" applyFont="1" applyFill="1" applyBorder="1" applyAlignment="1">
      <alignment horizontal="center" vertical="center" wrapText="1"/>
    </xf>
    <xf numFmtId="0" fontId="46" fillId="0" borderId="14" xfId="0" applyFont="1" applyBorder="1" applyAlignment="1">
      <alignment horizontal="center" vertical="top" wrapText="1"/>
    </xf>
    <xf numFmtId="0" fontId="46" fillId="0" borderId="0" xfId="0" applyFont="1" applyAlignment="1">
      <alignment horizontal="center" vertical="top" wrapText="1"/>
    </xf>
    <xf numFmtId="0" fontId="46" fillId="0" borderId="9" xfId="0" applyFont="1" applyBorder="1" applyAlignment="1">
      <alignment horizontal="center" vertical="top" wrapText="1"/>
    </xf>
    <xf numFmtId="0" fontId="94" fillId="0" borderId="0" xfId="0" applyFont="1" applyAlignment="1">
      <alignment horizontal="center" wrapText="1"/>
    </xf>
    <xf numFmtId="0" fontId="94" fillId="0" borderId="15" xfId="0" applyFont="1" applyBorder="1" applyAlignment="1">
      <alignment horizontal="center" wrapText="1"/>
    </xf>
    <xf numFmtId="0" fontId="39" fillId="0" borderId="33" xfId="0" applyFont="1" applyBorder="1" applyAlignment="1">
      <alignment horizontal="center" vertical="center"/>
    </xf>
    <xf numFmtId="0" fontId="39" fillId="0" borderId="14" xfId="0" applyFont="1" applyBorder="1" applyAlignment="1">
      <alignment horizontal="center" vertical="center"/>
    </xf>
    <xf numFmtId="0" fontId="39" fillId="0" borderId="29" xfId="0" applyFont="1" applyBorder="1" applyAlignment="1">
      <alignment horizontal="center" vertical="center"/>
    </xf>
    <xf numFmtId="0" fontId="39" fillId="0" borderId="0" xfId="0" quotePrefix="1" applyFont="1" applyAlignment="1">
      <alignment horizontal="left" vertical="center"/>
    </xf>
    <xf numFmtId="0" fontId="5" fillId="0" borderId="9" xfId="0" applyFont="1" applyBorder="1" applyAlignment="1">
      <alignment horizontal="left" wrapText="1"/>
    </xf>
    <xf numFmtId="3" fontId="41" fillId="0" borderId="0" xfId="0" applyNumberFormat="1" applyFont="1" applyAlignment="1">
      <alignment horizontal="center" vertical="center"/>
    </xf>
    <xf numFmtId="0" fontId="97" fillId="20" borderId="0" xfId="0" applyFont="1" applyFill="1" applyAlignment="1">
      <alignment horizontal="left" vertical="top" wrapText="1"/>
    </xf>
    <xf numFmtId="0" fontId="38" fillId="0" borderId="0" xfId="0" applyFont="1" applyAlignment="1">
      <alignment horizontal="center" vertical="center"/>
    </xf>
    <xf numFmtId="0" fontId="145" fillId="0" borderId="0" xfId="0" applyFont="1" applyAlignment="1">
      <alignment horizontal="left" vertical="top" wrapText="1"/>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43" xfId="0" applyFont="1" applyBorder="1" applyAlignment="1">
      <alignment horizontal="center" vertical="center"/>
    </xf>
    <xf numFmtId="3" fontId="142" fillId="0" borderId="218" xfId="0" applyNumberFormat="1" applyFont="1" applyBorder="1" applyAlignment="1">
      <alignment horizontal="center" vertical="center" wrapText="1"/>
    </xf>
    <xf numFmtId="3" fontId="142" fillId="0" borderId="219" xfId="0" applyNumberFormat="1" applyFont="1" applyBorder="1" applyAlignment="1">
      <alignment horizontal="center" vertical="center" wrapText="1"/>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0" fontId="90" fillId="0" borderId="0" xfId="0" applyFont="1" applyAlignment="1">
      <alignment horizontal="left" vertical="top" wrapText="1"/>
    </xf>
    <xf numFmtId="3" fontId="156" fillId="0" borderId="33" xfId="0" applyNumberFormat="1" applyFont="1" applyBorder="1" applyAlignment="1">
      <alignment horizontal="center" vertical="center" wrapText="1"/>
    </xf>
    <xf numFmtId="3" fontId="156" fillId="0" borderId="29" xfId="0" applyNumberFormat="1" applyFont="1" applyBorder="1" applyAlignment="1">
      <alignment horizontal="center" vertical="center" wrapText="1"/>
    </xf>
    <xf numFmtId="3" fontId="156" fillId="0" borderId="32" xfId="0" applyNumberFormat="1" applyFont="1" applyBorder="1" applyAlignment="1">
      <alignment horizontal="center" vertical="center" wrapText="1"/>
    </xf>
    <xf numFmtId="3" fontId="156" fillId="0" borderId="43" xfId="0" applyNumberFormat="1" applyFont="1" applyBorder="1" applyAlignment="1">
      <alignment horizontal="center" vertical="center" wrapText="1"/>
    </xf>
    <xf numFmtId="0" fontId="177" fillId="0" borderId="33" xfId="0" applyFont="1" applyBorder="1" applyAlignment="1">
      <alignment horizontal="center" vertical="center" wrapText="1"/>
    </xf>
    <xf numFmtId="0" fontId="177" fillId="0" borderId="29" xfId="0" applyFont="1" applyBorder="1" applyAlignment="1">
      <alignment horizontal="center" vertical="center" wrapText="1"/>
    </xf>
    <xf numFmtId="0" fontId="177" fillId="0" borderId="32" xfId="0" applyFont="1" applyBorder="1" applyAlignment="1">
      <alignment horizontal="center" vertical="center" wrapText="1"/>
    </xf>
    <xf numFmtId="0" fontId="177" fillId="0" borderId="43" xfId="0" applyFont="1" applyBorder="1" applyAlignment="1">
      <alignment horizontal="center" vertical="center" wrapText="1"/>
    </xf>
    <xf numFmtId="6" fontId="6" fillId="13" borderId="224" xfId="0" applyNumberFormat="1" applyFont="1" applyFill="1" applyBorder="1" applyAlignment="1">
      <alignment horizontal="center" vertical="center"/>
    </xf>
    <xf numFmtId="6" fontId="6" fillId="13" borderId="216" xfId="0" applyNumberFormat="1" applyFont="1" applyFill="1" applyBorder="1" applyAlignment="1">
      <alignment horizontal="center" vertical="center"/>
    </xf>
    <xf numFmtId="6" fontId="6" fillId="13" borderId="6" xfId="0" applyNumberFormat="1" applyFont="1" applyFill="1" applyBorder="1" applyAlignment="1">
      <alignment horizontal="center" vertical="center"/>
    </xf>
    <xf numFmtId="6" fontId="6" fillId="13" borderId="10" xfId="0" applyNumberFormat="1" applyFont="1" applyFill="1" applyBorder="1" applyAlignment="1">
      <alignment horizontal="center" vertical="center"/>
    </xf>
    <xf numFmtId="0" fontId="80" fillId="0" borderId="33" xfId="0" applyFont="1" applyBorder="1" applyAlignment="1">
      <alignment horizontal="center" vertical="center"/>
    </xf>
    <xf numFmtId="0" fontId="80"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14" xfId="0" applyFont="1" applyBorder="1" applyAlignment="1">
      <alignment horizontal="center" vertical="center"/>
    </xf>
    <xf numFmtId="0" fontId="15" fillId="0" borderId="29" xfId="0" applyFont="1" applyBorder="1" applyAlignment="1">
      <alignment horizontal="center" vertical="center"/>
    </xf>
    <xf numFmtId="0" fontId="80" fillId="0" borderId="32" xfId="0" applyFont="1" applyBorder="1" applyAlignment="1">
      <alignment horizontal="center" vertical="center"/>
    </xf>
    <xf numFmtId="0" fontId="80" fillId="0" borderId="43" xfId="0" applyFont="1" applyBorder="1" applyAlignment="1">
      <alignment horizontal="center" vertical="center"/>
    </xf>
    <xf numFmtId="0" fontId="233" fillId="0" borderId="0" xfId="0" applyFont="1" applyAlignment="1">
      <alignment horizontal="left" vertical="top" wrapText="1"/>
    </xf>
    <xf numFmtId="0" fontId="109" fillId="20" borderId="0" xfId="0" applyFont="1" applyFill="1" applyAlignment="1">
      <alignment horizontal="left" vertical="center" wrapText="1"/>
    </xf>
    <xf numFmtId="10" fontId="14" fillId="13" borderId="22" xfId="0" applyNumberFormat="1" applyFont="1" applyFill="1" applyBorder="1" applyAlignment="1">
      <alignment horizontal="center" vertical="center"/>
    </xf>
    <xf numFmtId="10" fontId="14" fillId="13" borderId="16" xfId="0" applyNumberFormat="1" applyFont="1" applyFill="1" applyBorder="1" applyAlignment="1">
      <alignment horizontal="center" vertical="center"/>
    </xf>
    <xf numFmtId="10" fontId="14" fillId="13" borderId="23" xfId="0" applyNumberFormat="1" applyFont="1" applyFill="1" applyBorder="1" applyAlignment="1">
      <alignment horizontal="center" vertical="center"/>
    </xf>
    <xf numFmtId="0" fontId="5" fillId="5" borderId="80" xfId="0" applyFont="1" applyFill="1" applyBorder="1" applyAlignment="1" applyProtection="1">
      <alignment horizontal="left" vertical="top" wrapText="1"/>
      <protection locked="0"/>
    </xf>
    <xf numFmtId="0" fontId="5" fillId="5" borderId="81" xfId="0" applyFont="1" applyFill="1" applyBorder="1" applyAlignment="1" applyProtection="1">
      <alignment horizontal="left" vertical="top" wrapText="1"/>
      <protection locked="0"/>
    </xf>
    <xf numFmtId="0" fontId="5" fillId="5" borderId="82" xfId="0" applyFont="1" applyFill="1" applyBorder="1" applyAlignment="1" applyProtection="1">
      <alignment horizontal="left" vertical="top" wrapText="1"/>
      <protection locked="0"/>
    </xf>
    <xf numFmtId="0" fontId="204" fillId="0" borderId="9" xfId="0" applyFont="1" applyBorder="1" applyAlignment="1">
      <alignment horizontal="center"/>
    </xf>
    <xf numFmtId="10" fontId="14" fillId="10" borderId="221" xfId="0" applyNumberFormat="1" applyFont="1" applyFill="1" applyBorder="1" applyAlignment="1" applyProtection="1">
      <alignment horizontal="center" vertical="center"/>
      <protection locked="0"/>
    </xf>
    <xf numFmtId="10" fontId="14" fillId="10" borderId="222" xfId="0" applyNumberFormat="1" applyFont="1" applyFill="1" applyBorder="1" applyAlignment="1" applyProtection="1">
      <alignment horizontal="center" vertical="center"/>
      <protection locked="0"/>
    </xf>
    <xf numFmtId="10" fontId="14" fillId="10" borderId="223" xfId="0" applyNumberFormat="1" applyFont="1" applyFill="1" applyBorder="1" applyAlignment="1" applyProtection="1">
      <alignment horizontal="center" vertical="center"/>
      <protection locked="0"/>
    </xf>
    <xf numFmtId="0" fontId="101" fillId="5" borderId="224" xfId="0" applyFont="1" applyFill="1" applyBorder="1" applyAlignment="1" applyProtection="1">
      <alignment horizontal="center" vertical="center"/>
      <protection locked="0"/>
    </xf>
    <xf numFmtId="0" fontId="101" fillId="5" borderId="215" xfId="0" applyFont="1" applyFill="1" applyBorder="1" applyAlignment="1" applyProtection="1">
      <alignment horizontal="center" vertical="center"/>
      <protection locked="0"/>
    </xf>
    <xf numFmtId="0" fontId="101" fillId="5" borderId="216" xfId="0" applyFont="1" applyFill="1" applyBorder="1" applyAlignment="1" applyProtection="1">
      <alignment horizontal="center" vertical="center"/>
      <protection locked="0"/>
    </xf>
    <xf numFmtId="0" fontId="101" fillId="5" borderId="6" xfId="0" applyFont="1" applyFill="1" applyBorder="1" applyAlignment="1" applyProtection="1">
      <alignment horizontal="center" vertical="center"/>
      <protection locked="0"/>
    </xf>
    <xf numFmtId="0" fontId="101" fillId="5" borderId="9" xfId="0" applyFont="1" applyFill="1" applyBorder="1" applyAlignment="1" applyProtection="1">
      <alignment horizontal="center" vertical="center"/>
      <protection locked="0"/>
    </xf>
    <xf numFmtId="0" fontId="101" fillId="5" borderId="10" xfId="0" applyFont="1" applyFill="1" applyBorder="1" applyAlignment="1" applyProtection="1">
      <alignment horizontal="center" vertical="center"/>
      <protection locked="0"/>
    </xf>
    <xf numFmtId="0" fontId="9" fillId="13" borderId="53" xfId="0" applyFont="1" applyFill="1" applyBorder="1" applyAlignment="1">
      <alignment horizontal="center" vertical="top" wrapText="1"/>
    </xf>
    <xf numFmtId="0" fontId="9" fillId="13" borderId="23" xfId="0" applyFont="1" applyFill="1" applyBorder="1" applyAlignment="1">
      <alignment horizontal="center" vertical="top" wrapText="1"/>
    </xf>
    <xf numFmtId="0" fontId="46" fillId="0" borderId="30" xfId="0" applyFont="1" applyBorder="1" applyAlignment="1">
      <alignment horizontal="left" vertical="top" wrapText="1"/>
    </xf>
    <xf numFmtId="0" fontId="46" fillId="0" borderId="0" xfId="0" applyFont="1" applyAlignment="1">
      <alignment horizontal="left" vertical="top" wrapText="1"/>
    </xf>
    <xf numFmtId="0" fontId="46" fillId="0" borderId="5" xfId="0" applyFont="1" applyBorder="1" applyAlignment="1">
      <alignment horizontal="left" vertical="top" wrapText="1"/>
    </xf>
    <xf numFmtId="0" fontId="39" fillId="13" borderId="22" xfId="0" applyFont="1" applyFill="1" applyBorder="1" applyAlignment="1">
      <alignment horizontal="left" vertical="top" wrapText="1"/>
    </xf>
    <xf numFmtId="0" fontId="39" fillId="13" borderId="16" xfId="0" applyFont="1" applyFill="1" applyBorder="1" applyAlignment="1">
      <alignment horizontal="left" vertical="top" wrapText="1"/>
    </xf>
    <xf numFmtId="0" fontId="39" fillId="13" borderId="51" xfId="0" applyFont="1" applyFill="1" applyBorder="1" applyAlignment="1">
      <alignment horizontal="left" vertical="top" wrapText="1"/>
    </xf>
    <xf numFmtId="0" fontId="42" fillId="13" borderId="40" xfId="0" applyFont="1" applyFill="1" applyBorder="1" applyAlignment="1">
      <alignment horizontal="center" vertical="center"/>
    </xf>
    <xf numFmtId="0" fontId="42" fillId="13" borderId="228" xfId="0" applyFont="1" applyFill="1" applyBorder="1" applyAlignment="1">
      <alignment horizontal="center" vertical="center"/>
    </xf>
    <xf numFmtId="0" fontId="39" fillId="0" borderId="60" xfId="0" applyFont="1" applyBorder="1" applyAlignment="1">
      <alignment horizontal="center" vertical="center"/>
    </xf>
    <xf numFmtId="0" fontId="39" fillId="0" borderId="52" xfId="0" applyFont="1" applyBorder="1" applyAlignment="1">
      <alignment horizontal="center" vertical="center"/>
    </xf>
    <xf numFmtId="0" fontId="0" fillId="10" borderId="218" xfId="0" applyFill="1" applyBorder="1" applyAlignment="1" applyProtection="1">
      <alignment horizontal="left"/>
      <protection locked="0"/>
    </xf>
    <xf numFmtId="0" fontId="0" fillId="10" borderId="220" xfId="0" applyFill="1" applyBorder="1" applyAlignment="1" applyProtection="1">
      <alignment horizontal="left"/>
      <protection locked="0"/>
    </xf>
    <xf numFmtId="0" fontId="0" fillId="10" borderId="219" xfId="0" applyFill="1" applyBorder="1" applyAlignment="1" applyProtection="1">
      <alignment horizontal="left"/>
      <protection locked="0"/>
    </xf>
    <xf numFmtId="0" fontId="5" fillId="5" borderId="225" xfId="0" applyFont="1" applyFill="1" applyBorder="1" applyAlignment="1" applyProtection="1">
      <alignment horizontal="left" vertical="center"/>
      <protection locked="0"/>
    </xf>
    <xf numFmtId="175" fontId="5" fillId="5" borderId="225" xfId="0" applyNumberFormat="1" applyFont="1" applyFill="1" applyBorder="1" applyAlignment="1" applyProtection="1">
      <alignment horizontal="center" vertical="center"/>
      <protection locked="0"/>
    </xf>
    <xf numFmtId="0" fontId="46" fillId="0" borderId="61" xfId="0" applyFont="1" applyBorder="1" applyAlignment="1">
      <alignment horizontal="left" vertical="top" wrapText="1"/>
    </xf>
    <xf numFmtId="0" fontId="46" fillId="0" borderId="9" xfId="0" applyFont="1" applyBorder="1" applyAlignment="1">
      <alignment horizontal="left" vertical="top" wrapText="1"/>
    </xf>
    <xf numFmtId="0" fontId="46" fillId="0" borderId="10" xfId="0" applyFont="1" applyBorder="1" applyAlignment="1">
      <alignment horizontal="left" vertical="top" wrapText="1"/>
    </xf>
    <xf numFmtId="0" fontId="39" fillId="10" borderId="221" xfId="0" applyFont="1" applyFill="1" applyBorder="1" applyAlignment="1" applyProtection="1">
      <alignment horizontal="center" vertical="top" wrapText="1"/>
      <protection locked="0"/>
    </xf>
    <xf numFmtId="0" fontId="39" fillId="10" borderId="234" xfId="0" applyFont="1" applyFill="1" applyBorder="1" applyAlignment="1" applyProtection="1">
      <alignment horizontal="center" vertical="top" wrapText="1"/>
      <protection locked="0"/>
    </xf>
    <xf numFmtId="0" fontId="39" fillId="10" borderId="22" xfId="0" applyFont="1" applyFill="1" applyBorder="1" applyAlignment="1" applyProtection="1">
      <alignment horizontal="left" vertical="center" wrapText="1"/>
      <protection locked="0"/>
    </xf>
    <xf numFmtId="0" fontId="39" fillId="10" borderId="16" xfId="0" applyFont="1" applyFill="1" applyBorder="1" applyAlignment="1" applyProtection="1">
      <alignment horizontal="left" vertical="center" wrapText="1"/>
      <protection locked="0"/>
    </xf>
    <xf numFmtId="0" fontId="39" fillId="10" borderId="23" xfId="0" applyFont="1" applyFill="1" applyBorder="1" applyAlignment="1" applyProtection="1">
      <alignment horizontal="left" vertical="center" wrapText="1"/>
      <protection locked="0"/>
    </xf>
    <xf numFmtId="0" fontId="39" fillId="13" borderId="25" xfId="0" applyFont="1" applyFill="1" applyBorder="1" applyAlignment="1">
      <alignment horizontal="left" vertical="top" wrapText="1"/>
    </xf>
    <xf numFmtId="0" fontId="39" fillId="13" borderId="42" xfId="0" applyFont="1" applyFill="1" applyBorder="1" applyAlignment="1">
      <alignment horizontal="left" vertical="top" wrapText="1"/>
    </xf>
    <xf numFmtId="0" fontId="39" fillId="13" borderId="52" xfId="0" applyFont="1" applyFill="1" applyBorder="1" applyAlignment="1">
      <alignment horizontal="left" vertical="top" wrapText="1"/>
    </xf>
    <xf numFmtId="0" fontId="9" fillId="13" borderId="60" xfId="0" applyFont="1" applyFill="1" applyBorder="1" applyAlignment="1">
      <alignment horizontal="center" vertical="top" wrapText="1"/>
    </xf>
    <xf numFmtId="0" fontId="9" fillId="13" borderId="26" xfId="0" applyFont="1" applyFill="1" applyBorder="1" applyAlignment="1">
      <alignment horizontal="center" vertical="top" wrapText="1"/>
    </xf>
    <xf numFmtId="0" fontId="109" fillId="0" borderId="98" xfId="0" applyFont="1" applyBorder="1" applyAlignment="1">
      <alignment horizontal="center" vertical="center" wrapText="1"/>
    </xf>
    <xf numFmtId="0" fontId="109" fillId="0" borderId="99" xfId="0" applyFont="1" applyBorder="1" applyAlignment="1">
      <alignment horizontal="center" vertical="center" wrapText="1"/>
    </xf>
    <xf numFmtId="0" fontId="109" fillId="0" borderId="100" xfId="0" applyFont="1" applyBorder="1" applyAlignment="1">
      <alignment horizontal="center" vertical="center" wrapText="1"/>
    </xf>
    <xf numFmtId="0" fontId="109" fillId="0" borderId="101" xfId="0" applyFont="1" applyBorder="1" applyAlignment="1">
      <alignment horizontal="center" vertical="center" wrapText="1"/>
    </xf>
    <xf numFmtId="0" fontId="109" fillId="0" borderId="0" xfId="0" applyFont="1" applyAlignment="1">
      <alignment horizontal="center" vertical="center" wrapText="1"/>
    </xf>
    <xf numFmtId="0" fontId="109" fillId="0" borderId="102" xfId="0" applyFont="1" applyBorder="1" applyAlignment="1">
      <alignment horizontal="center" vertical="center" wrapText="1"/>
    </xf>
    <xf numFmtId="0" fontId="109" fillId="0" borderId="103" xfId="0" applyFont="1" applyBorder="1" applyAlignment="1">
      <alignment horizontal="center" vertical="center" wrapText="1"/>
    </xf>
    <xf numFmtId="0" fontId="109" fillId="0" borderId="104" xfId="0" applyFont="1" applyBorder="1" applyAlignment="1">
      <alignment horizontal="center" vertical="center" wrapText="1"/>
    </xf>
    <xf numFmtId="0" fontId="109" fillId="0" borderId="105" xfId="0" applyFont="1" applyBorder="1" applyAlignment="1">
      <alignment horizontal="center" vertical="center" wrapText="1"/>
    </xf>
    <xf numFmtId="0" fontId="39" fillId="13" borderId="39" xfId="0" applyFont="1" applyFill="1" applyBorder="1" applyAlignment="1">
      <alignment horizontal="left" vertical="top" wrapText="1"/>
    </xf>
    <xf numFmtId="0" fontId="39" fillId="13" borderId="28" xfId="0" applyFont="1" applyFill="1" applyBorder="1" applyAlignment="1">
      <alignment horizontal="left" vertical="top" wrapText="1"/>
    </xf>
    <xf numFmtId="38" fontId="9" fillId="13" borderId="66" xfId="0" applyNumberFormat="1" applyFont="1" applyFill="1" applyBorder="1" applyAlignment="1">
      <alignment horizontal="center" vertical="top"/>
    </xf>
    <xf numFmtId="38" fontId="9" fillId="13" borderId="8" xfId="0" applyNumberFormat="1" applyFont="1" applyFill="1" applyBorder="1" applyAlignment="1">
      <alignment horizontal="center" vertical="top"/>
    </xf>
    <xf numFmtId="0" fontId="42" fillId="5" borderId="229" xfId="0" applyFont="1" applyFill="1" applyBorder="1" applyAlignment="1" applyProtection="1">
      <alignment horizontal="center" vertical="center"/>
      <protection locked="0"/>
    </xf>
    <xf numFmtId="0" fontId="42" fillId="5" borderId="40" xfId="0" applyFont="1" applyFill="1" applyBorder="1" applyAlignment="1" applyProtection="1">
      <alignment horizontal="center" vertical="center"/>
      <protection locked="0"/>
    </xf>
    <xf numFmtId="38" fontId="9" fillId="5" borderId="12" xfId="0" applyNumberFormat="1" applyFont="1" applyFill="1" applyBorder="1" applyAlignment="1" applyProtection="1">
      <alignment horizontal="center" vertical="center"/>
      <protection locked="0"/>
    </xf>
    <xf numFmtId="0" fontId="39" fillId="13" borderId="218" xfId="0" applyFont="1" applyFill="1" applyBorder="1" applyAlignment="1">
      <alignment horizontal="left" vertical="top" wrapText="1"/>
    </xf>
    <xf numFmtId="0" fontId="39" fillId="13" borderId="220" xfId="0" applyFont="1" applyFill="1" applyBorder="1" applyAlignment="1">
      <alignment horizontal="left" vertical="top" wrapText="1"/>
    </xf>
    <xf numFmtId="0" fontId="39" fillId="13" borderId="219" xfId="0" applyFont="1" applyFill="1" applyBorder="1" applyAlignment="1">
      <alignment horizontal="left" vertical="top" wrapText="1"/>
    </xf>
    <xf numFmtId="0" fontId="11" fillId="10" borderId="53" xfId="0" applyFont="1" applyFill="1" applyBorder="1" applyAlignment="1">
      <alignment horizontal="center" vertical="center" wrapText="1"/>
    </xf>
    <xf numFmtId="0" fontId="11" fillId="10" borderId="16" xfId="0" applyFont="1" applyFill="1" applyBorder="1" applyAlignment="1">
      <alignment horizontal="center" vertical="center" wrapText="1"/>
    </xf>
    <xf numFmtId="0" fontId="11" fillId="10" borderId="51" xfId="0" applyFont="1" applyFill="1" applyBorder="1" applyAlignment="1">
      <alignment horizontal="center" vertical="center" wrapText="1"/>
    </xf>
    <xf numFmtId="0" fontId="109" fillId="0" borderId="218" xfId="0" applyFont="1" applyBorder="1" applyAlignment="1">
      <alignment horizontal="center" vertical="center" wrapText="1"/>
    </xf>
    <xf numFmtId="0" fontId="109" fillId="0" borderId="220" xfId="0" applyFont="1" applyBorder="1" applyAlignment="1">
      <alignment horizontal="center" vertical="center" wrapText="1"/>
    </xf>
    <xf numFmtId="0" fontId="109" fillId="0" borderId="219" xfId="0" applyFont="1" applyBorder="1" applyAlignment="1">
      <alignment horizontal="center" vertical="center" wrapText="1"/>
    </xf>
    <xf numFmtId="0" fontId="46" fillId="0" borderId="32" xfId="0" applyFont="1" applyBorder="1" applyAlignment="1">
      <alignment horizontal="left" vertical="top" wrapText="1"/>
    </xf>
    <xf numFmtId="0" fontId="46" fillId="0" borderId="15" xfId="0" applyFont="1" applyBorder="1" applyAlignment="1">
      <alignment horizontal="left" vertical="top" wrapText="1"/>
    </xf>
    <xf numFmtId="0" fontId="46" fillId="0" borderId="59" xfId="0" applyFont="1" applyBorder="1" applyAlignment="1">
      <alignment horizontal="left" vertical="top" wrapText="1"/>
    </xf>
    <xf numFmtId="0" fontId="11" fillId="13" borderId="16" xfId="0" applyFont="1" applyFill="1" applyBorder="1" applyAlignment="1">
      <alignment horizontal="center" vertical="center" wrapText="1"/>
    </xf>
    <xf numFmtId="0" fontId="11" fillId="13" borderId="51" xfId="0" applyFont="1" applyFill="1" applyBorder="1" applyAlignment="1">
      <alignment horizontal="center" vertical="center" wrapText="1"/>
    </xf>
    <xf numFmtId="0" fontId="11" fillId="13" borderId="53" xfId="0" applyFont="1" applyFill="1" applyBorder="1" applyAlignment="1">
      <alignment horizontal="center" vertical="center" wrapText="1"/>
    </xf>
    <xf numFmtId="0" fontId="106" fillId="20" borderId="4" xfId="0" applyFont="1" applyFill="1" applyBorder="1" applyAlignment="1">
      <alignment horizontal="center" vertical="center" wrapText="1"/>
    </xf>
    <xf numFmtId="0" fontId="106" fillId="20" borderId="0" xfId="0" applyFont="1" applyFill="1" applyAlignment="1">
      <alignment horizontal="center" vertical="center" wrapText="1"/>
    </xf>
    <xf numFmtId="0" fontId="11" fillId="0" borderId="5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1" xfId="0" applyFont="1" applyBorder="1" applyAlignment="1">
      <alignment horizontal="center" vertical="center" wrapText="1"/>
    </xf>
    <xf numFmtId="0" fontId="46" fillId="0" borderId="33" xfId="0" applyFont="1" applyBorder="1" applyAlignment="1">
      <alignment horizontal="left" vertical="top" wrapText="1"/>
    </xf>
    <xf numFmtId="0" fontId="46" fillId="0" borderId="14" xfId="0" applyFont="1" applyBorder="1" applyAlignment="1">
      <alignment horizontal="left" vertical="top" wrapText="1"/>
    </xf>
    <xf numFmtId="0" fontId="46" fillId="0" borderId="24" xfId="0" applyFont="1" applyBorder="1" applyAlignment="1">
      <alignment horizontal="left" vertical="top" wrapText="1"/>
    </xf>
    <xf numFmtId="0" fontId="11" fillId="0" borderId="28" xfId="0" applyFont="1" applyBorder="1" applyAlignment="1">
      <alignment horizontal="center" vertical="center" wrapText="1"/>
    </xf>
    <xf numFmtId="0" fontId="39" fillId="10" borderId="22" xfId="0" applyFont="1" applyFill="1" applyBorder="1" applyAlignment="1" applyProtection="1">
      <alignment vertical="center" wrapText="1"/>
      <protection locked="0"/>
    </xf>
    <xf numFmtId="0" fontId="39" fillId="10" borderId="16" xfId="0" applyFont="1" applyFill="1" applyBorder="1" applyAlignment="1" applyProtection="1">
      <alignment vertical="center" wrapText="1"/>
      <protection locked="0"/>
    </xf>
    <xf numFmtId="0" fontId="39" fillId="10" borderId="23" xfId="0" applyFont="1" applyFill="1" applyBorder="1" applyAlignment="1" applyProtection="1">
      <alignment vertical="center" wrapText="1"/>
      <protection locked="0"/>
    </xf>
    <xf numFmtId="0" fontId="14" fillId="0" borderId="0" xfId="0" applyFont="1" applyAlignment="1">
      <alignment horizontal="center"/>
    </xf>
    <xf numFmtId="3" fontId="4" fillId="0" borderId="41" xfId="0" applyNumberFormat="1" applyFont="1" applyBorder="1" applyAlignment="1">
      <alignment horizontal="center" vertical="center"/>
    </xf>
    <xf numFmtId="3" fontId="4" fillId="0" borderId="27" xfId="0" applyNumberFormat="1" applyFont="1" applyBorder="1" applyAlignment="1">
      <alignment horizontal="center" vertical="center"/>
    </xf>
    <xf numFmtId="0" fontId="17" fillId="0" borderId="0" xfId="0" applyFont="1" applyAlignment="1">
      <alignment horizontal="left" vertical="center" wrapText="1"/>
    </xf>
    <xf numFmtId="3" fontId="4" fillId="0" borderId="1" xfId="0" applyNumberFormat="1" applyFont="1" applyBorder="1" applyAlignment="1">
      <alignment horizontal="center" vertical="center"/>
    </xf>
    <xf numFmtId="3" fontId="4" fillId="10" borderId="221" xfId="0" applyNumberFormat="1" applyFont="1" applyFill="1" applyBorder="1" applyAlignment="1" applyProtection="1">
      <alignment horizontal="center" vertical="center"/>
      <protection locked="0"/>
    </xf>
    <xf numFmtId="3" fontId="4" fillId="10" borderId="223" xfId="0" applyNumberFormat="1" applyFont="1" applyFill="1" applyBorder="1" applyAlignment="1" applyProtection="1">
      <alignment horizontal="center" vertical="center"/>
      <protection locked="0"/>
    </xf>
    <xf numFmtId="4" fontId="66" fillId="0" borderId="218" xfId="0" applyNumberFormat="1" applyFont="1" applyBorder="1" applyAlignment="1">
      <alignment horizontal="center" vertical="center"/>
    </xf>
    <xf numFmtId="4" fontId="66" fillId="0" borderId="220" xfId="0" applyNumberFormat="1" applyFont="1" applyBorder="1" applyAlignment="1">
      <alignment horizontal="center" vertical="center"/>
    </xf>
    <xf numFmtId="4" fontId="66" fillId="0" borderId="219" xfId="0" applyNumberFormat="1" applyFont="1" applyBorder="1" applyAlignment="1">
      <alignment horizontal="center" vertical="center"/>
    </xf>
    <xf numFmtId="3" fontId="4" fillId="10" borderId="22" xfId="0" applyNumberFormat="1" applyFont="1" applyFill="1" applyBorder="1" applyAlignment="1" applyProtection="1">
      <alignment horizontal="center" vertical="center"/>
      <protection locked="0"/>
    </xf>
    <xf numFmtId="3" fontId="4" fillId="10" borderId="23" xfId="0" applyNumberFormat="1" applyFont="1" applyFill="1" applyBorder="1" applyAlignment="1" applyProtection="1">
      <alignment horizontal="center" vertical="center"/>
      <protection locked="0"/>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0" fontId="17" fillId="0" borderId="0" xfId="0" applyFont="1" applyAlignment="1">
      <alignment horizontal="center"/>
    </xf>
    <xf numFmtId="0" fontId="42" fillId="5" borderId="52" xfId="0" applyFont="1" applyFill="1" applyBorder="1" applyAlignment="1" applyProtection="1">
      <alignment horizontal="center" vertical="center"/>
      <protection locked="0"/>
    </xf>
    <xf numFmtId="0" fontId="39" fillId="0" borderId="0" xfId="0" applyFont="1" applyAlignment="1">
      <alignment horizontal="left" vertical="top" wrapText="1"/>
    </xf>
    <xf numFmtId="0" fontId="14" fillId="0" borderId="9" xfId="0" applyFont="1" applyBorder="1" applyAlignment="1">
      <alignment horizontal="center" vertical="center"/>
    </xf>
    <xf numFmtId="38" fontId="39" fillId="0" borderId="0" xfId="0" applyNumberFormat="1" applyFont="1" applyAlignment="1">
      <alignment horizontal="center" vertical="center"/>
    </xf>
    <xf numFmtId="38" fontId="80" fillId="0" borderId="0" xfId="0" applyNumberFormat="1" applyFont="1" applyAlignment="1">
      <alignment horizontal="center" vertical="center"/>
    </xf>
    <xf numFmtId="0" fontId="75" fillId="20" borderId="224" xfId="0" applyFont="1" applyFill="1" applyBorder="1" applyAlignment="1">
      <alignment horizontal="center" vertical="center" wrapText="1"/>
    </xf>
    <xf numFmtId="0" fontId="75" fillId="20" borderId="215" xfId="0" applyFont="1" applyFill="1" applyBorder="1" applyAlignment="1">
      <alignment horizontal="center" vertical="center" wrapText="1"/>
    </xf>
    <xf numFmtId="0" fontId="75" fillId="20" borderId="216" xfId="0" applyFont="1" applyFill="1" applyBorder="1" applyAlignment="1">
      <alignment horizontal="center" vertical="center" wrapText="1"/>
    </xf>
    <xf numFmtId="0" fontId="75" fillId="20" borderId="4" xfId="0" applyFont="1" applyFill="1" applyBorder="1" applyAlignment="1">
      <alignment horizontal="center" vertical="center" wrapText="1"/>
    </xf>
    <xf numFmtId="0" fontId="75" fillId="20" borderId="0" xfId="0" applyFont="1" applyFill="1" applyAlignment="1">
      <alignment horizontal="center" vertical="center" wrapText="1"/>
    </xf>
    <xf numFmtId="0" fontId="75" fillId="20" borderId="5" xfId="0" applyFont="1" applyFill="1" applyBorder="1" applyAlignment="1">
      <alignment horizontal="center" vertical="center" wrapText="1"/>
    </xf>
    <xf numFmtId="0" fontId="15" fillId="13" borderId="22" xfId="0" applyFont="1" applyFill="1" applyBorder="1" applyAlignment="1">
      <alignment horizontal="center" vertical="center"/>
    </xf>
    <xf numFmtId="0" fontId="15" fillId="13" borderId="23" xfId="0" applyFont="1" applyFill="1" applyBorder="1" applyAlignment="1">
      <alignment horizontal="center" vertical="center"/>
    </xf>
    <xf numFmtId="10" fontId="14" fillId="10" borderId="22" xfId="0" applyNumberFormat="1" applyFont="1" applyFill="1" applyBorder="1" applyAlignment="1" applyProtection="1">
      <alignment horizontal="center" vertical="center"/>
      <protection locked="0"/>
    </xf>
    <xf numFmtId="10" fontId="14" fillId="10" borderId="16" xfId="0" applyNumberFormat="1" applyFont="1" applyFill="1" applyBorder="1" applyAlignment="1" applyProtection="1">
      <alignment horizontal="center" vertical="center"/>
      <protection locked="0"/>
    </xf>
    <xf numFmtId="10" fontId="14" fillId="10" borderId="23" xfId="0" applyNumberFormat="1" applyFont="1" applyFill="1" applyBorder="1" applyAlignment="1" applyProtection="1">
      <alignment horizontal="center" vertical="center"/>
      <protection locked="0"/>
    </xf>
    <xf numFmtId="0" fontId="9" fillId="0" borderId="218" xfId="0" applyFont="1" applyBorder="1" applyAlignment="1">
      <alignment horizontal="center" vertical="center"/>
    </xf>
    <xf numFmtId="0" fontId="9" fillId="0" borderId="219" xfId="0" applyFont="1" applyBorder="1" applyAlignment="1">
      <alignment horizontal="center" vertical="center"/>
    </xf>
    <xf numFmtId="0" fontId="39" fillId="13" borderId="221" xfId="0" applyFont="1" applyFill="1" applyBorder="1" applyAlignment="1">
      <alignment horizontal="left" vertical="top" wrapText="1"/>
    </xf>
    <xf numFmtId="0" fontId="39" fillId="13" borderId="222" xfId="0" applyFont="1" applyFill="1" applyBorder="1" applyAlignment="1">
      <alignment horizontal="left" vertical="top" wrapText="1"/>
    </xf>
    <xf numFmtId="0" fontId="39" fillId="13" borderId="234" xfId="0" applyFont="1" applyFill="1" applyBorder="1" applyAlignment="1">
      <alignment horizontal="left" vertical="top" wrapText="1"/>
    </xf>
    <xf numFmtId="0" fontId="39" fillId="13" borderId="229" xfId="0" applyFont="1" applyFill="1" applyBorder="1" applyAlignment="1">
      <alignment horizontal="left" vertical="top" wrapText="1"/>
    </xf>
    <xf numFmtId="0" fontId="39" fillId="13" borderId="40" xfId="0" applyFont="1" applyFill="1" applyBorder="1" applyAlignment="1">
      <alignment horizontal="left" vertical="top" wrapText="1"/>
    </xf>
    <xf numFmtId="0" fontId="15" fillId="0" borderId="270" xfId="0" applyFont="1" applyBorder="1" applyAlignment="1">
      <alignment horizontal="center" vertical="top" wrapText="1"/>
    </xf>
    <xf numFmtId="0" fontId="15" fillId="0" borderId="216" xfId="0" applyFont="1" applyBorder="1" applyAlignment="1">
      <alignment horizontal="center" vertical="top" wrapText="1"/>
    </xf>
    <xf numFmtId="0" fontId="41" fillId="0" borderId="9" xfId="0" applyFont="1" applyBorder="1" applyAlignment="1">
      <alignment horizontal="center" vertical="center" wrapText="1"/>
    </xf>
    <xf numFmtId="0" fontId="39" fillId="0" borderId="218" xfId="0" applyFont="1" applyBorder="1" applyAlignment="1">
      <alignment horizontal="center" vertical="center"/>
    </xf>
    <xf numFmtId="0" fontId="39" fillId="0" borderId="219" xfId="0" applyFont="1" applyBorder="1" applyAlignment="1">
      <alignment horizontal="center" vertical="center"/>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xf>
    <xf numFmtId="0" fontId="15" fillId="0" borderId="6"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39" fillId="0" borderId="9" xfId="0" applyFont="1" applyBorder="1" applyAlignment="1">
      <alignment horizontal="center"/>
    </xf>
    <xf numFmtId="0" fontId="46" fillId="0" borderId="270" xfId="0" applyFont="1" applyBorder="1" applyAlignment="1">
      <alignment horizontal="left" vertical="top" wrapText="1"/>
    </xf>
    <xf numFmtId="0" fontId="46" fillId="0" borderId="215" xfId="0" applyFont="1" applyBorder="1" applyAlignment="1">
      <alignment horizontal="left" vertical="top" wrapText="1"/>
    </xf>
    <xf numFmtId="49" fontId="97" fillId="20" borderId="0" xfId="0" applyNumberFormat="1" applyFont="1" applyFill="1" applyAlignment="1">
      <alignment horizontal="center" vertical="center"/>
    </xf>
    <xf numFmtId="0" fontId="41" fillId="0" borderId="0" xfId="0" applyFont="1" applyAlignment="1">
      <alignment horizontal="center"/>
    </xf>
    <xf numFmtId="0" fontId="230" fillId="0" borderId="4" xfId="0" applyFont="1" applyBorder="1" applyAlignment="1">
      <alignment horizontal="center" vertical="center"/>
    </xf>
    <xf numFmtId="0" fontId="230" fillId="0" borderId="0" xfId="0" applyFont="1" applyAlignment="1">
      <alignment horizontal="center" vertical="center"/>
    </xf>
    <xf numFmtId="0" fontId="101" fillId="10" borderId="224" xfId="0" applyFont="1" applyFill="1" applyBorder="1" applyAlignment="1" applyProtection="1">
      <alignment horizontal="center" vertical="center"/>
      <protection locked="0"/>
    </xf>
    <xf numFmtId="0" fontId="101" fillId="10" borderId="215" xfId="0" applyFont="1" applyFill="1" applyBorder="1" applyAlignment="1" applyProtection="1">
      <alignment horizontal="center" vertical="center"/>
      <protection locked="0"/>
    </xf>
    <xf numFmtId="0" fontId="101" fillId="10" borderId="216" xfId="0" applyFont="1" applyFill="1" applyBorder="1" applyAlignment="1" applyProtection="1">
      <alignment horizontal="center" vertical="center"/>
      <protection locked="0"/>
    </xf>
    <xf numFmtId="0" fontId="101" fillId="10" borderId="6" xfId="0" applyFont="1" applyFill="1" applyBorder="1" applyAlignment="1" applyProtection="1">
      <alignment horizontal="center" vertical="center"/>
      <protection locked="0"/>
    </xf>
    <xf numFmtId="0" fontId="101" fillId="10" borderId="9" xfId="0" applyFont="1" applyFill="1" applyBorder="1" applyAlignment="1" applyProtection="1">
      <alignment horizontal="center" vertical="center"/>
      <protection locked="0"/>
    </xf>
    <xf numFmtId="0" fontId="101" fillId="10" borderId="10" xfId="0" applyFont="1" applyFill="1" applyBorder="1" applyAlignment="1" applyProtection="1">
      <alignment horizontal="center" vertical="center"/>
      <protection locked="0"/>
    </xf>
    <xf numFmtId="0" fontId="153" fillId="0" borderId="0" xfId="0" applyFont="1" applyAlignment="1">
      <alignment horizontal="center" vertical="top" wrapText="1"/>
    </xf>
    <xf numFmtId="0" fontId="39" fillId="5" borderId="80" xfId="0" applyFont="1" applyFill="1" applyBorder="1" applyAlignment="1" applyProtection="1">
      <alignment horizontal="left" vertical="top" wrapText="1"/>
      <protection locked="0"/>
    </xf>
    <xf numFmtId="0" fontId="39" fillId="5" borderId="81" xfId="0" applyFont="1" applyFill="1" applyBorder="1" applyAlignment="1" applyProtection="1">
      <alignment horizontal="left" vertical="top" wrapText="1"/>
      <protection locked="0"/>
    </xf>
    <xf numFmtId="0" fontId="39" fillId="5" borderId="82" xfId="0" applyFont="1" applyFill="1" applyBorder="1" applyAlignment="1" applyProtection="1">
      <alignment horizontal="left" vertical="top" wrapText="1"/>
      <protection locked="0"/>
    </xf>
    <xf numFmtId="0" fontId="152" fillId="0" borderId="0" xfId="0" applyFont="1" applyAlignment="1">
      <alignment horizontal="center" vertical="top" wrapText="1"/>
    </xf>
    <xf numFmtId="0" fontId="165" fillId="0" borderId="0" xfId="0" applyFont="1" applyAlignment="1">
      <alignment horizontal="center" vertical="center" wrapText="1"/>
    </xf>
    <xf numFmtId="0" fontId="5" fillId="5" borderId="13" xfId="0" applyFont="1" applyFill="1" applyBorder="1" applyAlignment="1" applyProtection="1">
      <alignment horizontal="left" vertical="center"/>
      <protection locked="0"/>
    </xf>
    <xf numFmtId="10" fontId="14" fillId="10" borderId="25" xfId="0" applyNumberFormat="1" applyFont="1" applyFill="1" applyBorder="1" applyAlignment="1" applyProtection="1">
      <alignment horizontal="center" vertical="center" wrapText="1"/>
      <protection locked="0"/>
    </xf>
    <xf numFmtId="10" fontId="14" fillId="10" borderId="42" xfId="0" applyNumberFormat="1" applyFont="1" applyFill="1" applyBorder="1" applyAlignment="1" applyProtection="1">
      <alignment horizontal="center" vertical="center" wrapText="1"/>
      <protection locked="0"/>
    </xf>
    <xf numFmtId="10" fontId="14" fillId="10" borderId="26" xfId="0" applyNumberFormat="1" applyFont="1" applyFill="1" applyBorder="1" applyAlignment="1" applyProtection="1">
      <alignment horizontal="center" vertical="center" wrapText="1"/>
      <protection locked="0"/>
    </xf>
    <xf numFmtId="175" fontId="5" fillId="5" borderId="13" xfId="0" applyNumberFormat="1" applyFont="1" applyFill="1" applyBorder="1" applyAlignment="1" applyProtection="1">
      <alignment horizontal="center" vertical="center"/>
      <protection locked="0"/>
    </xf>
    <xf numFmtId="10" fontId="87" fillId="0" borderId="53" xfId="0" applyNumberFormat="1" applyFont="1" applyBorder="1" applyAlignment="1">
      <alignment horizontal="center" vertical="center"/>
    </xf>
    <xf numFmtId="10" fontId="87" fillId="0" borderId="51" xfId="0" applyNumberFormat="1" applyFont="1" applyBorder="1" applyAlignment="1">
      <alignment horizontal="center" vertical="center"/>
    </xf>
    <xf numFmtId="10" fontId="14" fillId="13" borderId="25" xfId="0" applyNumberFormat="1" applyFont="1" applyFill="1" applyBorder="1" applyAlignment="1">
      <alignment horizontal="center" vertical="center" wrapText="1"/>
    </xf>
    <xf numFmtId="10" fontId="14" fillId="13" borderId="42" xfId="0" applyNumberFormat="1" applyFont="1" applyFill="1" applyBorder="1" applyAlignment="1">
      <alignment horizontal="center" vertical="center" wrapText="1"/>
    </xf>
    <xf numFmtId="10" fontId="14" fillId="13" borderId="26" xfId="0" applyNumberFormat="1" applyFont="1" applyFill="1" applyBorder="1" applyAlignment="1">
      <alignment horizontal="center" vertical="center" wrapText="1"/>
    </xf>
    <xf numFmtId="10" fontId="14" fillId="13" borderId="221" xfId="0" applyNumberFormat="1" applyFont="1" applyFill="1" applyBorder="1" applyAlignment="1">
      <alignment horizontal="center" vertical="center"/>
    </xf>
    <xf numFmtId="10" fontId="14" fillId="13" borderId="222" xfId="0" applyNumberFormat="1" applyFont="1" applyFill="1" applyBorder="1" applyAlignment="1">
      <alignment horizontal="center" vertical="center"/>
    </xf>
    <xf numFmtId="10" fontId="14" fillId="13" borderId="223" xfId="0" applyNumberFormat="1" applyFont="1" applyFill="1" applyBorder="1" applyAlignment="1">
      <alignment horizontal="center" vertical="center"/>
    </xf>
    <xf numFmtId="49" fontId="39" fillId="10" borderId="218" xfId="0" applyNumberFormat="1" applyFont="1" applyFill="1" applyBorder="1" applyAlignment="1" applyProtection="1">
      <alignment horizontal="left" vertical="center" wrapText="1"/>
      <protection locked="0"/>
    </xf>
    <xf numFmtId="49" fontId="39" fillId="10" borderId="220" xfId="0" applyNumberFormat="1" applyFont="1" applyFill="1" applyBorder="1" applyAlignment="1" applyProtection="1">
      <alignment horizontal="left" vertical="center" wrapText="1"/>
      <protection locked="0"/>
    </xf>
    <xf numFmtId="49" fontId="39" fillId="10" borderId="219" xfId="0" applyNumberFormat="1" applyFont="1" applyFill="1" applyBorder="1" applyAlignment="1" applyProtection="1">
      <alignment horizontal="left" vertical="center" wrapText="1"/>
      <protection locked="0"/>
    </xf>
    <xf numFmtId="0" fontId="39" fillId="10" borderId="25" xfId="0" applyFont="1" applyFill="1" applyBorder="1" applyAlignment="1" applyProtection="1">
      <alignment horizontal="left" vertical="center" wrapText="1"/>
      <protection locked="0"/>
    </xf>
    <xf numFmtId="0" fontId="39" fillId="10" borderId="42" xfId="0" applyFont="1" applyFill="1" applyBorder="1" applyAlignment="1" applyProtection="1">
      <alignment horizontal="left" vertical="center" wrapText="1"/>
      <protection locked="0"/>
    </xf>
    <xf numFmtId="0" fontId="39" fillId="10" borderId="26" xfId="0" applyFont="1" applyFill="1" applyBorder="1" applyAlignment="1" applyProtection="1">
      <alignment horizontal="left" vertical="center" wrapText="1"/>
      <protection locked="0"/>
    </xf>
    <xf numFmtId="38" fontId="4" fillId="0" borderId="218" xfId="0" applyNumberFormat="1" applyFont="1" applyBorder="1" applyAlignment="1">
      <alignment horizontal="center" vertical="center"/>
    </xf>
    <xf numFmtId="38" fontId="4" fillId="0" borderId="219" xfId="0" applyNumberFormat="1" applyFont="1" applyBorder="1" applyAlignment="1">
      <alignment horizontal="center" vertical="center"/>
    </xf>
    <xf numFmtId="0" fontId="5" fillId="0" borderId="9" xfId="0" applyFont="1" applyBorder="1" applyAlignment="1">
      <alignment horizontal="left" vertical="center" wrapText="1"/>
    </xf>
    <xf numFmtId="10" fontId="101" fillId="0" borderId="53" xfId="0" applyNumberFormat="1" applyFont="1" applyBorder="1" applyAlignment="1">
      <alignment horizontal="center" vertical="center"/>
    </xf>
    <xf numFmtId="10" fontId="101" fillId="0" borderId="51" xfId="0" applyNumberFormat="1" applyFont="1" applyBorder="1" applyAlignment="1">
      <alignment horizontal="center" vertical="center"/>
    </xf>
    <xf numFmtId="0" fontId="196" fillId="0" borderId="0" xfId="0" applyFont="1" applyAlignment="1">
      <alignment horizontal="left" vertical="top" wrapText="1"/>
    </xf>
    <xf numFmtId="3" fontId="4" fillId="13" borderId="20" xfId="0" applyNumberFormat="1" applyFont="1" applyFill="1" applyBorder="1" applyAlignment="1">
      <alignment horizontal="center" vertical="center"/>
    </xf>
    <xf numFmtId="3" fontId="4" fillId="13" borderId="14" xfId="0" applyNumberFormat="1" applyFont="1" applyFill="1" applyBorder="1" applyAlignment="1">
      <alignment horizontal="center" vertical="center"/>
    </xf>
    <xf numFmtId="3" fontId="4" fillId="13" borderId="24" xfId="0" applyNumberFormat="1" applyFont="1" applyFill="1" applyBorder="1" applyAlignment="1">
      <alignment horizontal="center" vertical="center"/>
    </xf>
    <xf numFmtId="3" fontId="11" fillId="0" borderId="53" xfId="0" applyNumberFormat="1" applyFont="1" applyBorder="1" applyAlignment="1">
      <alignment horizontal="center" vertical="center"/>
    </xf>
    <xf numFmtId="3" fontId="11" fillId="0" borderId="51" xfId="0" applyNumberFormat="1" applyFont="1" applyBorder="1" applyAlignment="1">
      <alignment horizontal="center" vertical="center"/>
    </xf>
    <xf numFmtId="3" fontId="142" fillId="0" borderId="53" xfId="0" applyNumberFormat="1" applyFont="1" applyBorder="1" applyAlignment="1">
      <alignment horizontal="center" vertical="center"/>
    </xf>
    <xf numFmtId="3" fontId="142" fillId="0" borderId="51" xfId="0" applyNumberFormat="1" applyFont="1" applyBorder="1" applyAlignment="1">
      <alignment horizontal="center" vertical="center"/>
    </xf>
    <xf numFmtId="0" fontId="109" fillId="0" borderId="53" xfId="0" applyFont="1" applyBorder="1" applyAlignment="1">
      <alignment horizontal="center" vertical="center"/>
    </xf>
    <xf numFmtId="0" fontId="109" fillId="0" borderId="51" xfId="0" applyFont="1" applyBorder="1" applyAlignment="1">
      <alignment horizontal="center" vertical="center"/>
    </xf>
    <xf numFmtId="3" fontId="4" fillId="13" borderId="221" xfId="0" applyNumberFormat="1" applyFont="1" applyFill="1" applyBorder="1" applyAlignment="1">
      <alignment horizontal="center" vertical="center"/>
    </xf>
    <xf numFmtId="3" fontId="4" fillId="13" borderId="222" xfId="0" applyNumberFormat="1" applyFont="1" applyFill="1" applyBorder="1" applyAlignment="1">
      <alignment horizontal="center" vertical="center"/>
    </xf>
    <xf numFmtId="3" fontId="4" fillId="13" borderId="223" xfId="0" applyNumberFormat="1" applyFont="1" applyFill="1" applyBorder="1" applyAlignment="1">
      <alignment horizontal="center" vertical="center"/>
    </xf>
    <xf numFmtId="3" fontId="9" fillId="10" borderId="218" xfId="0" applyNumberFormat="1" applyFont="1" applyFill="1" applyBorder="1" applyAlignment="1" applyProtection="1">
      <alignment horizontal="left" vertical="center"/>
      <protection locked="0"/>
    </xf>
    <xf numFmtId="3" fontId="9" fillId="10" borderId="219" xfId="0" applyNumberFormat="1" applyFont="1" applyFill="1" applyBorder="1" applyAlignment="1" applyProtection="1">
      <alignment horizontal="left" vertical="center"/>
      <protection locked="0"/>
    </xf>
    <xf numFmtId="3" fontId="9" fillId="13" borderId="218" xfId="0" applyNumberFormat="1" applyFont="1" applyFill="1" applyBorder="1" applyAlignment="1">
      <alignment horizontal="center" vertical="center"/>
    </xf>
    <xf numFmtId="3" fontId="9" fillId="13" borderId="219" xfId="0" applyNumberFormat="1" applyFont="1" applyFill="1" applyBorder="1" applyAlignment="1">
      <alignment horizontal="center" vertical="center"/>
    </xf>
    <xf numFmtId="38" fontId="4" fillId="0" borderId="220" xfId="0" applyNumberFormat="1" applyFont="1" applyBorder="1" applyAlignment="1">
      <alignment horizontal="center" vertical="center"/>
    </xf>
    <xf numFmtId="4" fontId="66" fillId="0" borderId="25" xfId="0" applyNumberFormat="1" applyFont="1" applyBorder="1" applyAlignment="1">
      <alignment horizontal="center" vertical="center"/>
    </xf>
    <xf numFmtId="4" fontId="66" fillId="0" borderId="26" xfId="0" applyNumberFormat="1" applyFont="1" applyBorder="1" applyAlignment="1">
      <alignment horizontal="center" vertical="center"/>
    </xf>
    <xf numFmtId="3" fontId="4" fillId="0" borderId="221" xfId="0" applyNumberFormat="1" applyFont="1" applyBorder="1" applyAlignment="1">
      <alignment horizontal="center" vertical="center"/>
    </xf>
    <xf numFmtId="3" fontId="4" fillId="0" borderId="223" xfId="0" applyNumberFormat="1" applyFont="1" applyBorder="1" applyAlignment="1">
      <alignment horizontal="center" vertical="center"/>
    </xf>
    <xf numFmtId="0" fontId="0" fillId="10" borderId="224" xfId="0" applyFill="1" applyBorder="1" applyAlignment="1" applyProtection="1">
      <alignment horizontal="left" vertical="center"/>
      <protection locked="0"/>
    </xf>
    <xf numFmtId="0" fontId="0" fillId="10" borderId="215" xfId="0" applyFill="1" applyBorder="1" applyAlignment="1" applyProtection="1">
      <alignment horizontal="left" vertical="center"/>
      <protection locked="0"/>
    </xf>
    <xf numFmtId="0" fontId="0" fillId="10" borderId="220" xfId="0" applyFill="1" applyBorder="1" applyAlignment="1" applyProtection="1">
      <alignment horizontal="left" vertical="center"/>
      <protection locked="0"/>
    </xf>
    <xf numFmtId="0" fontId="0" fillId="10" borderId="219" xfId="0" applyFill="1" applyBorder="1" applyAlignment="1" applyProtection="1">
      <alignment horizontal="left" vertical="center"/>
      <protection locked="0"/>
    </xf>
    <xf numFmtId="0" fontId="4" fillId="10" borderId="22" xfId="0" applyFont="1" applyFill="1" applyBorder="1" applyAlignment="1" applyProtection="1">
      <alignment horizontal="left" vertical="center"/>
      <protection locked="0"/>
    </xf>
    <xf numFmtId="0" fontId="4" fillId="10" borderId="23" xfId="0" applyFont="1" applyFill="1" applyBorder="1" applyAlignment="1" applyProtection="1">
      <alignment horizontal="left" vertical="center"/>
      <protection locked="0"/>
    </xf>
    <xf numFmtId="0" fontId="4" fillId="10" borderId="6" xfId="0" applyFont="1" applyFill="1" applyBorder="1" applyAlignment="1" applyProtection="1">
      <alignment horizontal="left" vertical="center"/>
      <protection locked="0"/>
    </xf>
    <xf numFmtId="0" fontId="4" fillId="10" borderId="9" xfId="0" applyFont="1" applyFill="1" applyBorder="1" applyAlignment="1" applyProtection="1">
      <alignment horizontal="left" vertical="center"/>
      <protection locked="0"/>
    </xf>
    <xf numFmtId="0" fontId="4" fillId="10" borderId="220" xfId="0" applyFont="1" applyFill="1" applyBorder="1" applyAlignment="1" applyProtection="1">
      <alignment horizontal="left" vertical="center"/>
      <protection locked="0"/>
    </xf>
    <xf numFmtId="0" fontId="4" fillId="10" borderId="219" xfId="0" applyFont="1" applyFill="1" applyBorder="1" applyAlignment="1" applyProtection="1">
      <alignment horizontal="left" vertical="center"/>
      <protection locked="0"/>
    </xf>
    <xf numFmtId="0" fontId="107" fillId="0" borderId="0" xfId="0" applyFont="1" applyAlignment="1">
      <alignment horizontal="center" wrapText="1"/>
    </xf>
    <xf numFmtId="0" fontId="107" fillId="0" borderId="9" xfId="0" applyFont="1" applyBorder="1" applyAlignment="1">
      <alignment horizontal="center" wrapText="1"/>
    </xf>
    <xf numFmtId="0" fontId="39" fillId="10" borderId="221" xfId="0" applyFont="1" applyFill="1" applyBorder="1" applyAlignment="1" applyProtection="1">
      <alignment horizontal="left" vertical="center" wrapText="1"/>
      <protection locked="0"/>
    </xf>
    <xf numFmtId="0" fontId="39" fillId="10" borderId="222" xfId="0" applyFont="1" applyFill="1" applyBorder="1" applyAlignment="1" applyProtection="1">
      <alignment horizontal="left" vertical="center" wrapText="1"/>
      <protection locked="0"/>
    </xf>
    <xf numFmtId="0" fontId="39" fillId="10" borderId="223" xfId="0" applyFont="1" applyFill="1" applyBorder="1" applyAlignment="1" applyProtection="1">
      <alignment horizontal="left" vertical="center" wrapText="1"/>
      <protection locked="0"/>
    </xf>
    <xf numFmtId="0" fontId="100" fillId="0" borderId="0" xfId="0" applyFont="1" applyAlignment="1">
      <alignment horizontal="center" vertical="center" wrapText="1"/>
    </xf>
    <xf numFmtId="0" fontId="42" fillId="5" borderId="37" xfId="0" applyFont="1" applyFill="1" applyBorder="1" applyAlignment="1" applyProtection="1">
      <alignment horizontal="center" vertical="center"/>
      <protection locked="0"/>
    </xf>
    <xf numFmtId="0" fontId="42" fillId="5" borderId="38" xfId="0" applyFont="1" applyFill="1" applyBorder="1" applyAlignment="1" applyProtection="1">
      <alignment horizontal="center" vertical="center"/>
      <protection locked="0"/>
    </xf>
    <xf numFmtId="0" fontId="42" fillId="5" borderId="234" xfId="0" applyFont="1" applyFill="1" applyBorder="1" applyAlignment="1" applyProtection="1">
      <alignment horizontal="center" vertical="center"/>
      <protection locked="0"/>
    </xf>
    <xf numFmtId="0" fontId="5" fillId="0" borderId="9" xfId="0" applyFont="1" applyBorder="1" applyAlignment="1">
      <alignment horizontal="center"/>
    </xf>
    <xf numFmtId="0" fontId="42" fillId="13" borderId="60" xfId="0" applyFont="1" applyFill="1" applyBorder="1" applyAlignment="1">
      <alignment horizontal="center" vertical="center"/>
    </xf>
    <xf numFmtId="0" fontId="42" fillId="13" borderId="26" xfId="0" applyFont="1" applyFill="1" applyBorder="1" applyAlignment="1">
      <alignment horizontal="center" vertical="center"/>
    </xf>
    <xf numFmtId="0" fontId="42" fillId="13" borderId="38" xfId="0" applyFont="1" applyFill="1" applyBorder="1" applyAlignment="1">
      <alignment horizontal="center" vertical="center"/>
    </xf>
    <xf numFmtId="0" fontId="42" fillId="13" borderId="18" xfId="0" applyFont="1" applyFill="1" applyBorder="1" applyAlignment="1">
      <alignment horizontal="center" vertical="center"/>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5" borderId="8"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0" fontId="107" fillId="0" borderId="0" xfId="0" applyFont="1" applyAlignment="1">
      <alignment horizontal="left" vertical="top" wrapText="1"/>
    </xf>
    <xf numFmtId="0" fontId="15" fillId="5" borderId="22" xfId="0" applyFont="1" applyFill="1" applyBorder="1" applyAlignment="1" applyProtection="1">
      <alignment vertical="center"/>
      <protection locked="0"/>
    </xf>
    <xf numFmtId="0" fontId="15" fillId="5" borderId="23" xfId="0" applyFont="1" applyFill="1" applyBorder="1" applyAlignment="1" applyProtection="1">
      <alignment vertical="center"/>
      <protection locked="0"/>
    </xf>
    <xf numFmtId="0" fontId="15" fillId="0" borderId="53" xfId="0" applyFont="1" applyBorder="1" applyAlignment="1">
      <alignment horizontal="center" vertical="top" wrapText="1"/>
    </xf>
    <xf numFmtId="0" fontId="15" fillId="0" borderId="23" xfId="0" applyFont="1" applyBorder="1" applyAlignment="1">
      <alignment horizontal="center" vertical="top" wrapText="1"/>
    </xf>
    <xf numFmtId="0" fontId="42" fillId="13" borderId="230" xfId="0" applyFont="1" applyFill="1" applyBorder="1" applyAlignment="1">
      <alignment horizontal="center" vertical="center"/>
    </xf>
    <xf numFmtId="0" fontId="42" fillId="13" borderId="223" xfId="0" applyFont="1" applyFill="1" applyBorder="1" applyAlignment="1">
      <alignment horizontal="center" vertical="center"/>
    </xf>
    <xf numFmtId="0" fontId="5" fillId="0" borderId="30" xfId="0" applyFont="1" applyBorder="1" applyAlignment="1">
      <alignment horizontal="center" wrapText="1"/>
    </xf>
    <xf numFmtId="0" fontId="15" fillId="0" borderId="0" xfId="0" applyFont="1" applyAlignment="1">
      <alignment horizontal="center" wrapText="1"/>
    </xf>
    <xf numFmtId="0" fontId="15" fillId="0" borderId="30" xfId="0" applyFont="1" applyBorder="1" applyAlignment="1">
      <alignment horizontal="center" wrapText="1"/>
    </xf>
    <xf numFmtId="0" fontId="5" fillId="0" borderId="14" xfId="0" applyFont="1" applyBorder="1" applyAlignment="1">
      <alignment horizontal="center" wrapText="1"/>
    </xf>
    <xf numFmtId="0" fontId="5" fillId="0" borderId="29" xfId="0" applyFont="1" applyBorder="1" applyAlignment="1">
      <alignment horizontal="center" wrapText="1"/>
    </xf>
    <xf numFmtId="0" fontId="5" fillId="0" borderId="31" xfId="0" applyFont="1" applyBorder="1" applyAlignment="1">
      <alignment horizontal="center" wrapText="1"/>
    </xf>
    <xf numFmtId="0" fontId="5" fillId="0" borderId="62" xfId="0" applyFont="1" applyBorder="1" applyAlignment="1">
      <alignment horizontal="center" wrapText="1"/>
    </xf>
    <xf numFmtId="0" fontId="39" fillId="10" borderId="221" xfId="0" applyFont="1" applyFill="1" applyBorder="1" applyAlignment="1" applyProtection="1">
      <alignment vertical="center" wrapText="1"/>
      <protection locked="0"/>
    </xf>
    <xf numFmtId="0" fontId="39" fillId="10" borderId="222" xfId="0" applyFont="1" applyFill="1" applyBorder="1" applyAlignment="1" applyProtection="1">
      <alignment vertical="center" wrapText="1"/>
      <protection locked="0"/>
    </xf>
    <xf numFmtId="0" fontId="39" fillId="10" borderId="223" xfId="0" applyFont="1" applyFill="1" applyBorder="1" applyAlignment="1" applyProtection="1">
      <alignment vertical="center" wrapText="1"/>
      <protection locked="0"/>
    </xf>
    <xf numFmtId="0" fontId="15" fillId="5" borderId="221" xfId="0" applyFont="1" applyFill="1" applyBorder="1" applyAlignment="1" applyProtection="1">
      <alignment vertical="center"/>
      <protection locked="0"/>
    </xf>
    <xf numFmtId="0" fontId="15" fillId="5" borderId="223" xfId="0" applyFont="1" applyFill="1" applyBorder="1" applyAlignment="1" applyProtection="1">
      <alignment vertical="center"/>
      <protection locked="0"/>
    </xf>
    <xf numFmtId="0" fontId="15" fillId="0" borderId="5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39" fillId="10" borderId="20" xfId="0" applyFont="1" applyFill="1" applyBorder="1" applyAlignment="1" applyProtection="1">
      <alignment horizontal="left" vertical="top" wrapText="1"/>
      <protection locked="0"/>
    </xf>
    <xf numFmtId="0" fontId="39" fillId="10" borderId="14" xfId="0" applyFont="1" applyFill="1" applyBorder="1" applyAlignment="1" applyProtection="1">
      <alignment horizontal="left" vertical="top" wrapText="1"/>
      <protection locked="0"/>
    </xf>
    <xf numFmtId="0" fontId="39" fillId="10" borderId="24" xfId="0" applyFont="1" applyFill="1" applyBorder="1" applyAlignment="1" applyProtection="1">
      <alignment horizontal="left" vertical="top" wrapText="1"/>
      <protection locked="0"/>
    </xf>
    <xf numFmtId="0" fontId="39" fillId="10" borderId="4" xfId="0" applyFont="1" applyFill="1" applyBorder="1" applyAlignment="1" applyProtection="1">
      <alignment horizontal="left" vertical="top" wrapText="1"/>
      <protection locked="0"/>
    </xf>
    <xf numFmtId="0" fontId="39" fillId="10" borderId="0" xfId="0" applyFont="1" applyFill="1" applyAlignment="1" applyProtection="1">
      <alignment horizontal="left" vertical="top" wrapText="1"/>
      <protection locked="0"/>
    </xf>
    <xf numFmtId="0" fontId="39" fillId="10" borderId="5" xfId="0" applyFont="1" applyFill="1" applyBorder="1" applyAlignment="1" applyProtection="1">
      <alignment horizontal="left" vertical="top" wrapText="1"/>
      <protection locked="0"/>
    </xf>
    <xf numFmtId="0" fontId="39" fillId="10" borderId="21" xfId="0" applyFont="1" applyFill="1" applyBorder="1" applyAlignment="1" applyProtection="1">
      <alignment horizontal="left" vertical="top" wrapText="1"/>
      <protection locked="0"/>
    </xf>
    <xf numFmtId="0" fontId="39" fillId="10" borderId="15" xfId="0" applyFont="1" applyFill="1" applyBorder="1" applyAlignment="1" applyProtection="1">
      <alignment horizontal="left" vertical="top" wrapText="1"/>
      <protection locked="0"/>
    </xf>
    <xf numFmtId="0" fontId="39" fillId="10" borderId="59" xfId="0" applyFont="1" applyFill="1" applyBorder="1" applyAlignment="1" applyProtection="1">
      <alignment horizontal="left" vertical="top" wrapText="1"/>
      <protection locked="0"/>
    </xf>
    <xf numFmtId="0" fontId="39" fillId="10" borderId="6" xfId="0" applyFont="1" applyFill="1" applyBorder="1" applyAlignment="1" applyProtection="1">
      <alignment horizontal="left" vertical="top" wrapText="1"/>
      <protection locked="0"/>
    </xf>
    <xf numFmtId="0" fontId="39" fillId="10" borderId="9" xfId="0" applyFont="1" applyFill="1" applyBorder="1" applyAlignment="1" applyProtection="1">
      <alignment horizontal="left" vertical="top" wrapText="1"/>
      <protection locked="0"/>
    </xf>
    <xf numFmtId="0" fontId="39" fillId="10" borderId="10" xfId="0" applyFont="1" applyFill="1" applyBorder="1" applyAlignment="1" applyProtection="1">
      <alignment horizontal="left" vertical="top" wrapText="1"/>
      <protection locked="0"/>
    </xf>
    <xf numFmtId="0" fontId="39" fillId="0" borderId="5" xfId="0" applyFont="1" applyBorder="1" applyAlignment="1">
      <alignment horizontal="left" vertical="center" wrapText="1"/>
    </xf>
    <xf numFmtId="38" fontId="9" fillId="5" borderId="226" xfId="0" applyNumberFormat="1" applyFont="1" applyFill="1" applyBorder="1" applyAlignment="1" applyProtection="1">
      <alignment horizontal="center" vertical="center"/>
      <protection locked="0"/>
    </xf>
    <xf numFmtId="38" fontId="9" fillId="5" borderId="17" xfId="0" applyNumberFormat="1" applyFont="1" applyFill="1" applyBorder="1" applyAlignment="1" applyProtection="1">
      <alignment horizontal="center" vertical="center"/>
      <protection locked="0"/>
    </xf>
    <xf numFmtId="0" fontId="14" fillId="0" borderId="0" xfId="0" applyFont="1" applyAlignment="1">
      <alignment horizontal="left" vertical="center" wrapText="1"/>
    </xf>
    <xf numFmtId="38" fontId="9" fillId="13" borderId="226" xfId="0" applyNumberFormat="1" applyFont="1" applyFill="1" applyBorder="1" applyAlignment="1">
      <alignment horizontal="center" vertical="center"/>
    </xf>
    <xf numFmtId="38" fontId="9" fillId="13" borderId="17" xfId="0" applyNumberFormat="1" applyFont="1" applyFill="1" applyBorder="1" applyAlignment="1">
      <alignment horizontal="center" vertical="center"/>
    </xf>
    <xf numFmtId="0" fontId="230" fillId="0" borderId="6" xfId="0" applyFont="1" applyBorder="1" applyAlignment="1">
      <alignment horizontal="center" vertical="center"/>
    </xf>
    <xf numFmtId="0" fontId="230" fillId="0" borderId="9" xfId="0" applyFont="1" applyBorder="1" applyAlignment="1">
      <alignment horizontal="center" vertical="center"/>
    </xf>
    <xf numFmtId="0" fontId="72" fillId="0" borderId="4" xfId="0" applyFont="1" applyBorder="1" applyAlignment="1">
      <alignment horizontal="center" vertical="center" wrapText="1"/>
    </xf>
    <xf numFmtId="0" fontId="72" fillId="0" borderId="0" xfId="0" applyFont="1" applyAlignment="1">
      <alignment horizontal="center" vertical="center" wrapText="1"/>
    </xf>
    <xf numFmtId="0" fontId="72" fillId="0" borderId="6" xfId="0" applyFont="1" applyBorder="1" applyAlignment="1">
      <alignment horizontal="center" vertical="center" wrapText="1"/>
    </xf>
    <xf numFmtId="0" fontId="72" fillId="0" borderId="9" xfId="0" applyFont="1" applyBorder="1" applyAlignment="1">
      <alignment horizontal="center" vertical="center" wrapText="1"/>
    </xf>
    <xf numFmtId="0" fontId="66" fillId="20" borderId="4" xfId="0" applyFont="1" applyFill="1" applyBorder="1" applyAlignment="1">
      <alignment horizontal="center" vertical="center" wrapText="1"/>
    </xf>
    <xf numFmtId="0" fontId="66" fillId="20" borderId="0" xfId="0" applyFont="1" applyFill="1" applyAlignment="1">
      <alignment horizontal="center" vertical="center" wrapText="1"/>
    </xf>
    <xf numFmtId="0" fontId="75" fillId="20" borderId="0" xfId="0" applyFont="1" applyFill="1" applyAlignment="1">
      <alignment horizontal="left" vertical="center" wrapText="1"/>
    </xf>
    <xf numFmtId="0" fontId="39" fillId="10" borderId="25" xfId="0" applyFont="1" applyFill="1" applyBorder="1" applyAlignment="1" applyProtection="1">
      <alignment vertical="center" wrapText="1"/>
      <protection locked="0"/>
    </xf>
    <xf numFmtId="0" fontId="39" fillId="10" borderId="42" xfId="0" applyFont="1" applyFill="1" applyBorder="1" applyAlignment="1" applyProtection="1">
      <alignment vertical="center" wrapText="1"/>
      <protection locked="0"/>
    </xf>
    <xf numFmtId="0" fontId="39" fillId="10" borderId="26" xfId="0" applyFont="1" applyFill="1" applyBorder="1" applyAlignment="1" applyProtection="1">
      <alignment vertical="center" wrapText="1"/>
      <protection locked="0"/>
    </xf>
    <xf numFmtId="0" fontId="15" fillId="5" borderId="25" xfId="0" applyFont="1" applyFill="1" applyBorder="1" applyAlignment="1" applyProtection="1">
      <alignment vertical="center"/>
      <protection locked="0"/>
    </xf>
    <xf numFmtId="0" fontId="15" fillId="5" borderId="26" xfId="0" applyFont="1" applyFill="1" applyBorder="1" applyAlignment="1" applyProtection="1">
      <alignment vertical="center"/>
      <protection locked="0"/>
    </xf>
    <xf numFmtId="0" fontId="15" fillId="13" borderId="25" xfId="0" applyFont="1" applyFill="1" applyBorder="1" applyAlignment="1">
      <alignment horizontal="center" vertical="center"/>
    </xf>
    <xf numFmtId="0" fontId="15" fillId="13" borderId="26" xfId="0" applyFont="1" applyFill="1" applyBorder="1" applyAlignment="1">
      <alignment horizontal="center" vertical="center"/>
    </xf>
    <xf numFmtId="0" fontId="15" fillId="13" borderId="221" xfId="0" applyFont="1" applyFill="1" applyBorder="1" applyAlignment="1">
      <alignment horizontal="center" vertical="center"/>
    </xf>
    <xf numFmtId="0" fontId="15" fillId="13" borderId="223" xfId="0" applyFont="1" applyFill="1" applyBorder="1" applyAlignment="1">
      <alignment horizontal="center" vertical="center"/>
    </xf>
    <xf numFmtId="0" fontId="6" fillId="0" borderId="0" xfId="13" applyFont="1" applyAlignment="1">
      <alignment horizontal="center"/>
    </xf>
    <xf numFmtId="6" fontId="6" fillId="0" borderId="0" xfId="13" applyNumberFormat="1" applyFont="1" applyAlignment="1">
      <alignment horizontal="center"/>
    </xf>
    <xf numFmtId="0" fontId="113" fillId="0" borderId="0" xfId="13" applyFont="1"/>
    <xf numFmtId="0" fontId="112" fillId="0" borderId="0" xfId="13" applyFont="1"/>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30" fillId="0" borderId="0" xfId="13" applyFont="1" applyAlignment="1">
      <alignment horizontal="justify" vertical="top" wrapText="1"/>
    </xf>
    <xf numFmtId="0" fontId="10" fillId="0" borderId="0" xfId="13" applyFont="1" applyAlignment="1">
      <alignment horizontal="justify" vertical="top"/>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0" fillId="7" borderId="0" xfId="13" applyFont="1" applyFill="1" applyAlignment="1">
      <alignment horizontal="justify" vertical="top" wrapText="1"/>
    </xf>
    <xf numFmtId="0" fontId="130" fillId="0" borderId="0" xfId="13" applyFont="1" applyAlignment="1">
      <alignment horizontal="left" vertical="top" wrapText="1"/>
    </xf>
    <xf numFmtId="0" fontId="10" fillId="0" borderId="0" xfId="13" applyFont="1" applyAlignment="1">
      <alignment vertical="top" wrapText="1"/>
    </xf>
    <xf numFmtId="0" fontId="10" fillId="10" borderId="0" xfId="13" applyFont="1" applyFill="1" applyAlignment="1">
      <alignment horizontal="left" vertical="top"/>
    </xf>
    <xf numFmtId="0" fontId="130" fillId="0" borderId="0" xfId="13" applyFont="1" applyAlignment="1">
      <alignment horizontal="left"/>
    </xf>
    <xf numFmtId="0" fontId="130" fillId="0" borderId="0" xfId="13" applyFont="1"/>
    <xf numFmtId="0" fontId="132" fillId="0" borderId="0" xfId="13" applyFont="1" applyAlignment="1">
      <alignment horizontal="justify" vertical="top" wrapText="1"/>
    </xf>
    <xf numFmtId="0" fontId="127" fillId="10" borderId="30" xfId="13" applyFont="1" applyFill="1" applyBorder="1" applyAlignment="1">
      <alignment horizontal="left" vertical="top" wrapText="1"/>
    </xf>
    <xf numFmtId="180" fontId="10" fillId="0" borderId="0" xfId="13" applyNumberFormat="1" applyFont="1" applyAlignment="1">
      <alignment horizontal="left"/>
    </xf>
    <xf numFmtId="0" fontId="10" fillId="0" borderId="50" xfId="13" applyFont="1" applyBorder="1" applyAlignment="1">
      <alignment horizontal="left"/>
    </xf>
    <xf numFmtId="0" fontId="10" fillId="0" borderId="0" xfId="13" applyFont="1" applyAlignment="1">
      <alignment horizontal="left"/>
    </xf>
    <xf numFmtId="9" fontId="10" fillId="0" borderId="0" xfId="10" applyFont="1" applyAlignment="1" applyProtection="1">
      <alignment horizontal="justify" vertical="top" wrapText="1"/>
    </xf>
    <xf numFmtId="9" fontId="130" fillId="0" borderId="0" xfId="10" applyFont="1" applyAlignment="1" applyProtection="1">
      <alignment horizontal="justify" vertical="top" wrapText="1"/>
    </xf>
    <xf numFmtId="0" fontId="111" fillId="0" borderId="0" xfId="13" applyFont="1" applyAlignment="1">
      <alignment horizontal="justify" vertical="top" wrapText="1"/>
    </xf>
    <xf numFmtId="0" fontId="112" fillId="10" borderId="28" xfId="13" applyFont="1" applyFill="1" applyBorder="1" applyAlignment="1">
      <alignment horizontal="left" vertical="center"/>
    </xf>
    <xf numFmtId="0" fontId="112" fillId="0" borderId="0" xfId="13" applyFont="1" applyAlignment="1">
      <alignment horizontal="left" vertical="center"/>
    </xf>
    <xf numFmtId="0" fontId="112" fillId="10" borderId="0" xfId="13" applyFont="1" applyFill="1" applyAlignment="1">
      <alignment horizontal="left" vertical="center"/>
    </xf>
    <xf numFmtId="0" fontId="112" fillId="10" borderId="15" xfId="13" applyFont="1" applyFill="1" applyBorder="1" applyAlignment="1">
      <alignment horizontal="left" vertical="center"/>
    </xf>
    <xf numFmtId="0" fontId="112" fillId="10" borderId="16" xfId="13" applyFont="1" applyFill="1" applyBorder="1" applyAlignment="1">
      <alignment horizontal="left" vertical="center"/>
    </xf>
    <xf numFmtId="0" fontId="112" fillId="10" borderId="53" xfId="13" applyFont="1" applyFill="1" applyBorder="1" applyAlignment="1">
      <alignment horizontal="left"/>
    </xf>
    <xf numFmtId="0" fontId="112" fillId="10" borderId="51" xfId="13" applyFont="1" applyFill="1" applyBorder="1" applyAlignment="1">
      <alignment horizontal="left"/>
    </xf>
    <xf numFmtId="0" fontId="112" fillId="5" borderId="0" xfId="0" applyFont="1" applyFill="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123" fillId="0" borderId="30" xfId="13" applyFont="1" applyBorder="1" applyAlignment="1">
      <alignment horizontal="right"/>
    </xf>
    <xf numFmtId="0" fontId="123" fillId="0" borderId="0" xfId="13" applyFont="1" applyAlignment="1">
      <alignment horizontal="right"/>
    </xf>
    <xf numFmtId="165" fontId="25" fillId="0" borderId="218" xfId="13" applyNumberFormat="1" applyFont="1" applyBorder="1" applyAlignment="1">
      <alignment horizontal="center" vertical="center"/>
    </xf>
    <xf numFmtId="165" fontId="25" fillId="0" borderId="219" xfId="13" applyNumberFormat="1" applyFont="1" applyBorder="1" applyAlignment="1">
      <alignment horizontal="center" vertical="center"/>
    </xf>
    <xf numFmtId="0" fontId="144" fillId="0" borderId="0" xfId="13" applyFont="1" applyAlignment="1">
      <alignment horizontal="center" vertical="center"/>
    </xf>
    <xf numFmtId="0" fontId="220" fillId="0" borderId="0" xfId="13" applyFont="1" applyAlignment="1">
      <alignment horizontal="center" vertical="center"/>
    </xf>
    <xf numFmtId="0" fontId="5" fillId="0" borderId="0" xfId="13" applyFont="1" applyAlignment="1">
      <alignment horizontal="center"/>
    </xf>
    <xf numFmtId="0" fontId="11" fillId="0" borderId="53" xfId="13" applyFont="1" applyBorder="1" applyAlignment="1">
      <alignment horizontal="center" vertical="center" wrapText="1"/>
    </xf>
    <xf numFmtId="0" fontId="11" fillId="0" borderId="51" xfId="13" applyFont="1" applyBorder="1" applyAlignment="1">
      <alignment horizontal="center" vertical="center" wrapText="1"/>
    </xf>
    <xf numFmtId="0" fontId="4" fillId="0" borderId="0" xfId="13" applyAlignment="1">
      <alignment horizontal="center"/>
    </xf>
    <xf numFmtId="0" fontId="9" fillId="0" borderId="0" xfId="13" applyFont="1" applyAlignment="1">
      <alignment horizontal="center"/>
    </xf>
    <xf numFmtId="0" fontId="4" fillId="10" borderId="16" xfId="13" applyFill="1" applyBorder="1" applyAlignment="1">
      <alignment horizontal="left"/>
    </xf>
    <xf numFmtId="0" fontId="182" fillId="10" borderId="0" xfId="13" applyFont="1" applyFill="1" applyAlignment="1">
      <alignment horizontal="center" vertical="center" wrapText="1"/>
    </xf>
    <xf numFmtId="0" fontId="4" fillId="10" borderId="15" xfId="13" applyFill="1" applyBorder="1" applyAlignment="1">
      <alignment horizontal="left"/>
    </xf>
    <xf numFmtId="188" fontId="4" fillId="10" borderId="16" xfId="13" applyNumberFormat="1" applyFill="1" applyBorder="1" applyAlignment="1">
      <alignment horizontal="left" vertical="center"/>
    </xf>
    <xf numFmtId="0" fontId="4" fillId="10" borderId="9" xfId="13" applyFill="1" applyBorder="1" applyAlignment="1">
      <alignment horizontal="left" vertical="top"/>
    </xf>
    <xf numFmtId="0" fontId="4" fillId="0" borderId="0" xfId="13" applyAlignment="1">
      <alignment horizontal="left" wrapText="1"/>
    </xf>
    <xf numFmtId="0" fontId="9" fillId="10" borderId="9" xfId="13" applyFont="1" applyFill="1" applyBorder="1" applyAlignment="1">
      <alignment horizontal="left"/>
    </xf>
    <xf numFmtId="0" fontId="25" fillId="0" borderId="0" xfId="13" applyFont="1" applyAlignment="1">
      <alignment horizontal="center"/>
    </xf>
    <xf numFmtId="0" fontId="4" fillId="10" borderId="0" xfId="13" applyFill="1" applyAlignment="1">
      <alignment horizontal="left" vertical="top" wrapText="1"/>
    </xf>
    <xf numFmtId="0" fontId="9" fillId="10" borderId="0" xfId="13" applyFont="1" applyFill="1" applyAlignment="1">
      <alignment horizontal="left" vertical="top" wrapText="1"/>
    </xf>
    <xf numFmtId="0" fontId="4" fillId="10" borderId="0" xfId="13" applyFill="1" applyAlignment="1">
      <alignment horizontal="left" vertical="justify" wrapText="1"/>
    </xf>
    <xf numFmtId="0" fontId="4" fillId="10" borderId="15" xfId="13" applyFill="1" applyBorder="1" applyAlignment="1">
      <alignment horizontal="left" vertical="top" wrapText="1"/>
    </xf>
    <xf numFmtId="0" fontId="4" fillId="10" borderId="14" xfId="13" applyFill="1" applyBorder="1" applyAlignment="1">
      <alignment horizontal="left" vertical="top" wrapText="1"/>
    </xf>
    <xf numFmtId="167" fontId="4" fillId="10" borderId="16" xfId="13" applyNumberFormat="1" applyFill="1" applyBorder="1" applyAlignment="1">
      <alignment horizontal="left"/>
    </xf>
    <xf numFmtId="0" fontId="4" fillId="10" borderId="77" xfId="13" applyFill="1" applyBorder="1" applyAlignment="1">
      <alignment horizontal="left" vertical="top" wrapText="1"/>
    </xf>
    <xf numFmtId="0" fontId="4" fillId="10" borderId="61" xfId="13" applyFill="1" applyBorder="1" applyAlignment="1">
      <alignment horizontal="left" vertical="top" wrapText="1"/>
    </xf>
    <xf numFmtId="164" fontId="206" fillId="13" borderId="22" xfId="34" applyNumberFormat="1" applyFont="1" applyFill="1" applyBorder="1" applyAlignment="1" applyProtection="1">
      <alignment horizontal="center" vertical="center"/>
      <protection locked="0"/>
    </xf>
    <xf numFmtId="164" fontId="206" fillId="13" borderId="120" xfId="34" applyNumberFormat="1" applyFont="1" applyFill="1" applyBorder="1" applyAlignment="1" applyProtection="1">
      <alignment horizontal="center" vertical="center"/>
      <protection locked="0"/>
    </xf>
    <xf numFmtId="164" fontId="206" fillId="13" borderId="221" xfId="34" applyNumberFormat="1" applyFont="1" applyFill="1" applyBorder="1" applyAlignment="1" applyProtection="1">
      <alignment horizontal="center" vertical="center"/>
      <protection locked="0"/>
    </xf>
    <xf numFmtId="164" fontId="206" fillId="13" borderId="263" xfId="34" applyNumberFormat="1" applyFont="1" applyFill="1" applyBorder="1" applyAlignment="1" applyProtection="1">
      <alignment horizontal="center" vertical="center"/>
      <protection locked="0"/>
    </xf>
    <xf numFmtId="164" fontId="208" fillId="13" borderId="218" xfId="34" applyNumberFormat="1" applyFont="1" applyFill="1" applyBorder="1" applyAlignment="1" applyProtection="1">
      <alignment horizontal="center" vertical="center"/>
      <protection locked="0"/>
    </xf>
    <xf numFmtId="164" fontId="208" fillId="13" borderId="261" xfId="34" applyNumberFormat="1" applyFont="1" applyFill="1" applyBorder="1" applyAlignment="1" applyProtection="1">
      <alignment horizontal="center" vertical="center"/>
      <protection locked="0"/>
    </xf>
    <xf numFmtId="164" fontId="206" fillId="13" borderId="218" xfId="34" applyNumberFormat="1" applyFont="1" applyFill="1" applyBorder="1" applyAlignment="1" applyProtection="1">
      <alignment horizontal="center" vertical="center"/>
      <protection locked="0"/>
    </xf>
    <xf numFmtId="164" fontId="206" fillId="13" borderId="261" xfId="34" applyNumberFormat="1" applyFont="1" applyFill="1" applyBorder="1" applyAlignment="1" applyProtection="1">
      <alignment horizontal="center" vertical="center"/>
      <protection locked="0"/>
    </xf>
    <xf numFmtId="0" fontId="206" fillId="13" borderId="25" xfId="33" applyFont="1" applyFill="1" applyBorder="1" applyAlignment="1" applyProtection="1">
      <alignment horizontal="center" vertical="center"/>
      <protection locked="0"/>
    </xf>
    <xf numFmtId="0" fontId="206" fillId="13" borderId="121" xfId="33" applyFont="1" applyFill="1" applyBorder="1" applyAlignment="1" applyProtection="1">
      <alignment horizontal="center" vertical="center"/>
      <protection locked="0"/>
    </xf>
    <xf numFmtId="37" fontId="212" fillId="13" borderId="25" xfId="34" applyNumberFormat="1" applyFont="1" applyFill="1" applyBorder="1" applyAlignment="1" applyProtection="1">
      <alignment horizontal="center" vertical="center"/>
      <protection locked="0"/>
    </xf>
    <xf numFmtId="37" fontId="212" fillId="13" borderId="26" xfId="34" applyNumberFormat="1" applyFont="1" applyFill="1" applyBorder="1" applyAlignment="1" applyProtection="1">
      <alignment horizontal="center" vertical="center"/>
      <protection locked="0"/>
    </xf>
    <xf numFmtId="37" fontId="212" fillId="13" borderId="22" xfId="34" applyNumberFormat="1" applyFont="1" applyFill="1" applyBorder="1" applyAlignment="1" applyProtection="1">
      <alignment horizontal="center" vertical="center"/>
      <protection locked="0"/>
    </xf>
    <xf numFmtId="37" fontId="212" fillId="13" borderId="23" xfId="34" applyNumberFormat="1" applyFont="1" applyFill="1" applyBorder="1" applyAlignment="1" applyProtection="1">
      <alignment horizontal="center" vertical="center"/>
      <protection locked="0"/>
    </xf>
    <xf numFmtId="0" fontId="207" fillId="13" borderId="217" xfId="33" applyFont="1" applyFill="1" applyBorder="1" applyAlignment="1">
      <alignment horizontal="center"/>
    </xf>
    <xf numFmtId="37" fontId="206" fillId="11" borderId="42" xfId="34" applyNumberFormat="1" applyFont="1" applyFill="1" applyBorder="1" applyAlignment="1" applyProtection="1">
      <alignment horizontal="center" vertical="center"/>
      <protection locked="0"/>
    </xf>
    <xf numFmtId="37" fontId="206" fillId="11" borderId="26" xfId="34" applyNumberFormat="1" applyFont="1" applyFill="1" applyBorder="1" applyAlignment="1" applyProtection="1">
      <alignment horizontal="center" vertical="center"/>
      <protection locked="0"/>
    </xf>
    <xf numFmtId="37" fontId="206" fillId="11" borderId="16" xfId="34" applyNumberFormat="1" applyFont="1" applyFill="1" applyBorder="1" applyAlignment="1" applyProtection="1">
      <alignment horizontal="center" vertical="center"/>
      <protection locked="0"/>
    </xf>
    <xf numFmtId="37" fontId="206" fillId="11" borderId="23" xfId="34" applyNumberFormat="1" applyFont="1" applyFill="1" applyBorder="1" applyAlignment="1" applyProtection="1">
      <alignment horizontal="center" vertical="center"/>
      <protection locked="0"/>
    </xf>
    <xf numFmtId="164" fontId="84" fillId="11" borderId="220" xfId="34" applyNumberFormat="1" applyFont="1" applyFill="1" applyBorder="1" applyAlignment="1">
      <alignment horizontal="center" wrapText="1"/>
    </xf>
    <xf numFmtId="164" fontId="84" fillId="11" borderId="219" xfId="34" applyNumberFormat="1" applyFont="1" applyFill="1" applyBorder="1" applyAlignment="1">
      <alignment horizontal="center" wrapText="1"/>
    </xf>
    <xf numFmtId="37" fontId="206" fillId="11" borderId="222" xfId="34" applyNumberFormat="1" applyFont="1" applyFill="1" applyBorder="1" applyAlignment="1" applyProtection="1">
      <alignment horizontal="center" vertical="center"/>
      <protection locked="0"/>
    </xf>
    <xf numFmtId="37" fontId="206" fillId="11" borderId="223" xfId="34" applyNumberFormat="1" applyFont="1" applyFill="1" applyBorder="1" applyAlignment="1" applyProtection="1">
      <alignment horizontal="center" vertical="center"/>
      <protection locked="0"/>
    </xf>
    <xf numFmtId="37" fontId="212" fillId="13" borderId="221" xfId="34" applyNumberFormat="1" applyFont="1" applyFill="1" applyBorder="1" applyAlignment="1" applyProtection="1">
      <alignment horizontal="center" vertical="center"/>
      <protection locked="0"/>
    </xf>
    <xf numFmtId="37" fontId="212" fillId="13" borderId="223" xfId="34" applyNumberFormat="1" applyFont="1" applyFill="1" applyBorder="1" applyAlignment="1" applyProtection="1">
      <alignment horizontal="center" vertical="center"/>
      <protection locked="0"/>
    </xf>
    <xf numFmtId="164" fontId="206" fillId="0" borderId="22" xfId="34" applyNumberFormat="1" applyFont="1" applyBorder="1" applyAlignment="1">
      <alignment horizontal="left" vertical="center"/>
    </xf>
    <xf numFmtId="164" fontId="206" fillId="0" borderId="16" xfId="34" applyNumberFormat="1" applyFont="1" applyBorder="1" applyAlignment="1">
      <alignment horizontal="left" vertical="center"/>
    </xf>
    <xf numFmtId="14" fontId="206" fillId="13" borderId="25" xfId="34" applyNumberFormat="1" applyFont="1" applyFill="1" applyBorder="1" applyAlignment="1" applyProtection="1">
      <alignment horizontal="left" vertical="center"/>
      <protection locked="0"/>
    </xf>
    <xf numFmtId="14" fontId="206" fillId="13" borderId="42" xfId="34" applyNumberFormat="1" applyFont="1" applyFill="1" applyBorder="1" applyAlignment="1" applyProtection="1">
      <alignment horizontal="left" vertical="center"/>
      <protection locked="0"/>
    </xf>
    <xf numFmtId="0" fontId="207" fillId="13" borderId="73" xfId="33" applyFont="1" applyFill="1" applyBorder="1" applyAlignment="1">
      <alignment horizontal="center"/>
    </xf>
    <xf numFmtId="0" fontId="207" fillId="13" borderId="89" xfId="33" applyFont="1" applyFill="1" applyBorder="1" applyAlignment="1">
      <alignment horizontal="center"/>
    </xf>
    <xf numFmtId="0" fontId="4" fillId="0" borderId="0" xfId="13" applyAlignment="1">
      <alignment horizontal="justify" vertical="top" wrapText="1"/>
    </xf>
    <xf numFmtId="0" fontId="156" fillId="0" borderId="41" xfId="13" applyFont="1" applyBorder="1" applyAlignment="1">
      <alignment horizontal="right" vertical="center"/>
    </xf>
    <xf numFmtId="0" fontId="156" fillId="0" borderId="1" xfId="13" applyFont="1" applyBorder="1" applyAlignment="1">
      <alignment horizontal="right" vertical="center"/>
    </xf>
    <xf numFmtId="0" fontId="4" fillId="0" borderId="15" xfId="13" applyBorder="1" applyAlignment="1">
      <alignment horizontal="justify" vertical="top" wrapText="1"/>
    </xf>
    <xf numFmtId="0" fontId="4" fillId="0" borderId="0" xfId="13" applyAlignment="1">
      <alignment horizontal="left" vertical="top" wrapText="1"/>
    </xf>
    <xf numFmtId="180" fontId="4" fillId="0" borderId="0" xfId="13" applyNumberFormat="1" applyAlignment="1">
      <alignment horizontal="left" vertical="top"/>
    </xf>
    <xf numFmtId="0" fontId="4" fillId="10" borderId="0" xfId="13" applyFill="1" applyAlignment="1">
      <alignment horizontal="left" vertical="top"/>
    </xf>
    <xf numFmtId="0" fontId="4" fillId="10" borderId="0" xfId="13" applyFill="1" applyAlignment="1">
      <alignment horizontal="left"/>
    </xf>
    <xf numFmtId="0" fontId="180" fillId="0" borderId="0" xfId="13" applyFont="1" applyAlignment="1">
      <alignment horizontal="left" vertical="center" wrapText="1"/>
    </xf>
    <xf numFmtId="0" fontId="9" fillId="10" borderId="53" xfId="13" applyFont="1" applyFill="1" applyBorder="1" applyAlignment="1">
      <alignment horizontal="center" vertical="center"/>
    </xf>
    <xf numFmtId="0" fontId="9" fillId="10" borderId="16" xfId="13" applyFont="1" applyFill="1" applyBorder="1" applyAlignment="1">
      <alignment horizontal="center" vertical="center"/>
    </xf>
    <xf numFmtId="0" fontId="9" fillId="10" borderId="23" xfId="13" applyFont="1" applyFill="1" applyBorder="1" applyAlignment="1">
      <alignment horizontal="center" vertical="center"/>
    </xf>
    <xf numFmtId="3" fontId="4" fillId="10" borderId="53" xfId="13" applyNumberFormat="1" applyFill="1" applyBorder="1" applyAlignment="1">
      <alignment horizontal="center" vertical="center"/>
    </xf>
    <xf numFmtId="3" fontId="4" fillId="10" borderId="51" xfId="13" applyNumberFormat="1" applyFill="1" applyBorder="1" applyAlignment="1">
      <alignment horizontal="center" vertical="center"/>
    </xf>
    <xf numFmtId="0" fontId="4" fillId="10" borderId="230" xfId="13" applyFill="1" applyBorder="1" applyAlignment="1">
      <alignment horizontal="center" vertical="center"/>
    </xf>
    <xf numFmtId="0" fontId="4" fillId="10" borderId="222" xfId="13" applyFill="1" applyBorder="1" applyAlignment="1">
      <alignment horizontal="center" vertical="center"/>
    </xf>
    <xf numFmtId="0" fontId="4" fillId="10" borderId="223" xfId="13" applyFill="1" applyBorder="1" applyAlignment="1">
      <alignment horizontal="center" vertical="center"/>
    </xf>
    <xf numFmtId="0" fontId="9" fillId="10" borderId="60" xfId="13" applyFont="1" applyFill="1" applyBorder="1" applyAlignment="1">
      <alignment horizontal="center" vertical="center"/>
    </xf>
    <xf numFmtId="0" fontId="9" fillId="10" borderId="42" xfId="13" applyFont="1" applyFill="1" applyBorder="1" applyAlignment="1">
      <alignment horizontal="center" vertical="center"/>
    </xf>
    <xf numFmtId="0" fontId="9" fillId="10" borderId="26" xfId="13" applyFont="1" applyFill="1" applyBorder="1" applyAlignment="1">
      <alignment horizontal="center" vertical="center"/>
    </xf>
    <xf numFmtId="0" fontId="14" fillId="0" borderId="0" xfId="13" applyFont="1" applyAlignment="1">
      <alignment horizontal="center" wrapText="1"/>
    </xf>
    <xf numFmtId="0" fontId="112" fillId="0" borderId="41" xfId="13" applyFont="1" applyBorder="1" applyAlignment="1">
      <alignment horizontal="center" vertical="center"/>
    </xf>
    <xf numFmtId="0" fontId="112" fillId="0" borderId="1" xfId="13" applyFont="1" applyBorder="1" applyAlignment="1">
      <alignment horizontal="center" vertical="center"/>
    </xf>
    <xf numFmtId="0" fontId="112" fillId="0" borderId="27" xfId="13" applyFont="1" applyBorder="1" applyAlignment="1">
      <alignment horizontal="center" vertical="center"/>
    </xf>
    <xf numFmtId="0" fontId="14" fillId="0" borderId="9" xfId="13" applyFont="1" applyBorder="1" applyAlignment="1">
      <alignment horizontal="center" wrapText="1"/>
    </xf>
    <xf numFmtId="0" fontId="5" fillId="0" borderId="46" xfId="13" applyFont="1" applyBorder="1" applyAlignment="1">
      <alignment horizontal="center" wrapText="1"/>
    </xf>
    <xf numFmtId="0" fontId="5" fillId="0" borderId="49" xfId="13" applyFont="1" applyBorder="1" applyAlignment="1">
      <alignment horizontal="center" wrapText="1"/>
    </xf>
    <xf numFmtId="0" fontId="5" fillId="0" borderId="34" xfId="13" applyFont="1" applyBorder="1" applyAlignment="1">
      <alignment horizontal="center" wrapText="1"/>
    </xf>
    <xf numFmtId="0" fontId="5" fillId="0" borderId="5" xfId="13" applyFont="1" applyBorder="1" applyAlignment="1">
      <alignment horizontal="center" wrapText="1"/>
    </xf>
    <xf numFmtId="0" fontId="4" fillId="0" borderId="50" xfId="13" applyBorder="1" applyAlignment="1">
      <alignment horizontal="center" vertical="center"/>
    </xf>
    <xf numFmtId="0" fontId="4" fillId="0" borderId="0" xfId="13" applyAlignment="1">
      <alignment horizontal="center" vertical="center"/>
    </xf>
    <xf numFmtId="0" fontId="4" fillId="0" borderId="115" xfId="13" applyBorder="1" applyAlignment="1">
      <alignment horizontal="center" vertical="center"/>
    </xf>
    <xf numFmtId="0" fontId="4" fillId="0" borderId="116" xfId="13" applyBorder="1" applyAlignment="1">
      <alignment horizontal="center" vertical="center"/>
    </xf>
    <xf numFmtId="0" fontId="4" fillId="0" borderId="117" xfId="13" applyBorder="1" applyAlignment="1">
      <alignment horizontal="center" vertical="center"/>
    </xf>
    <xf numFmtId="0" fontId="5" fillId="0" borderId="6" xfId="13" applyFont="1" applyBorder="1" applyAlignment="1">
      <alignment horizontal="center" wrapText="1"/>
    </xf>
    <xf numFmtId="0" fontId="5" fillId="0" borderId="9" xfId="13" applyFont="1" applyBorder="1" applyAlignment="1">
      <alignment horizontal="center" wrapText="1"/>
    </xf>
    <xf numFmtId="0" fontId="5" fillId="0" borderId="4" xfId="13" applyFont="1" applyBorder="1" applyAlignment="1">
      <alignment horizontal="center" wrapText="1"/>
    </xf>
    <xf numFmtId="0" fontId="5" fillId="0" borderId="0" xfId="13" applyFont="1" applyAlignment="1">
      <alignment horizontal="center" wrapText="1"/>
    </xf>
    <xf numFmtId="0" fontId="5" fillId="0" borderId="14" xfId="13" applyFont="1" applyBorder="1" applyAlignment="1">
      <alignment horizontal="center" vertical="center" wrapText="1"/>
    </xf>
    <xf numFmtId="0" fontId="5" fillId="0" borderId="0" xfId="13" applyFont="1" applyAlignment="1">
      <alignment horizontal="center" vertical="center" wrapText="1"/>
    </xf>
    <xf numFmtId="0" fontId="5" fillId="0" borderId="97" xfId="13" applyFont="1" applyBorder="1" applyAlignment="1">
      <alignment horizontal="center" wrapText="1"/>
    </xf>
    <xf numFmtId="0" fontId="5" fillId="0" borderId="36" xfId="13" applyFont="1" applyBorder="1" applyAlignment="1">
      <alignment horizontal="center" wrapText="1"/>
    </xf>
    <xf numFmtId="3" fontId="4" fillId="10" borderId="60" xfId="13" applyNumberFormat="1" applyFill="1" applyBorder="1" applyAlignment="1">
      <alignment horizontal="center" vertical="center"/>
    </xf>
    <xf numFmtId="3" fontId="4" fillId="10" borderId="52" xfId="13" applyNumberFormat="1" applyFill="1" applyBorder="1" applyAlignment="1">
      <alignment horizontal="center" vertical="center"/>
    </xf>
    <xf numFmtId="3" fontId="4" fillId="10" borderId="230" xfId="13" applyNumberFormat="1" applyFill="1" applyBorder="1" applyAlignment="1">
      <alignment horizontal="center" vertical="center"/>
    </xf>
    <xf numFmtId="3" fontId="4" fillId="10" borderId="234" xfId="13" applyNumberFormat="1" applyFill="1" applyBorder="1" applyAlignment="1">
      <alignment horizontal="center" vertical="center"/>
    </xf>
    <xf numFmtId="3" fontId="156" fillId="0" borderId="0" xfId="13" applyNumberFormat="1" applyFont="1" applyAlignment="1">
      <alignment horizontal="center" vertical="center"/>
    </xf>
    <xf numFmtId="0" fontId="99" fillId="0" borderId="0" xfId="0" applyFont="1" applyAlignment="1">
      <alignment horizontal="left" vertical="top" wrapText="1"/>
    </xf>
  </cellXfs>
  <cellStyles count="41">
    <cellStyle name="Body" xfId="14" xr:uid="{00000000-0005-0000-0000-000000000000}"/>
    <cellStyle name="Comma" xfId="1" builtinId="3"/>
    <cellStyle name="Comma 2" xfId="15" xr:uid="{00000000-0005-0000-0000-000002000000}"/>
    <cellStyle name="Comma 3" xfId="28" xr:uid="{00000000-0005-0000-0000-000003000000}"/>
    <cellStyle name="Comma 4" xfId="34" xr:uid="{7A5A16FF-AADC-401C-AFE0-CC45055EA32C}"/>
    <cellStyle name="Currency" xfId="2" builtinId="4"/>
    <cellStyle name="Currency 2" xfId="16" xr:uid="{00000000-0005-0000-0000-000005000000}"/>
    <cellStyle name="DATE" xfId="17" xr:uid="{00000000-0005-0000-0000-000006000000}"/>
    <cellStyle name="Euro" xfId="18" xr:uid="{00000000-0005-0000-0000-000007000000}"/>
    <cellStyle name="FORMULA" xfId="19" xr:uid="{00000000-0005-0000-0000-000008000000}"/>
    <cellStyle name="Grey" xfId="3" xr:uid="{00000000-0005-0000-0000-000009000000}"/>
    <cellStyle name="Header1" xfId="4" xr:uid="{00000000-0005-0000-0000-00000A000000}"/>
    <cellStyle name="Header2" xfId="5" xr:uid="{00000000-0005-0000-0000-00000B000000}"/>
    <cellStyle name="Header2 2" xfId="31" xr:uid="{00000000-0005-0000-0000-00000C000000}"/>
    <cellStyle name="HIDE" xfId="20" xr:uid="{00000000-0005-0000-0000-00000D000000}"/>
    <cellStyle name="Hyperlink" xfId="6" builtinId="8"/>
    <cellStyle name="Hyperlink 2" xfId="36" xr:uid="{37C7091E-1AED-4F05-9400-EA08D4106FFC}"/>
    <cellStyle name="Input [yellow]" xfId="7" xr:uid="{00000000-0005-0000-0000-00000F000000}"/>
    <cellStyle name="Input [yellow] 2" xfId="32" xr:uid="{00000000-0005-0000-0000-000010000000}"/>
    <cellStyle name="LINK" xfId="21" xr:uid="{00000000-0005-0000-0000-000011000000}"/>
    <cellStyle name="no dec" xfId="22" xr:uid="{00000000-0005-0000-0000-000012000000}"/>
    <cellStyle name="Nor@„l_IRRSENS" xfId="23" xr:uid="{00000000-0005-0000-0000-000013000000}"/>
    <cellStyle name="Normal" xfId="0" builtinId="0"/>
    <cellStyle name="Normal - Style1" xfId="8" xr:uid="{00000000-0005-0000-0000-000015000000}"/>
    <cellStyle name="Normal 2" xfId="12" xr:uid="{00000000-0005-0000-0000-000016000000}"/>
    <cellStyle name="Normal 2 2" xfId="37" xr:uid="{1C6C3820-7E54-491B-96BF-34AB1977EBA2}"/>
    <cellStyle name="Normal 3" xfId="13" xr:uid="{00000000-0005-0000-0000-000017000000}"/>
    <cellStyle name="Normal 4" xfId="24" xr:uid="{00000000-0005-0000-0000-000018000000}"/>
    <cellStyle name="Normal 5" xfId="30" xr:uid="{00000000-0005-0000-0000-000019000000}"/>
    <cellStyle name="Normal 6" xfId="33" xr:uid="{1DC422A8-6217-4C83-B51B-B9650453BE68}"/>
    <cellStyle name="Normal 7" xfId="39" xr:uid="{FDAFCAF3-C6FE-4BA0-A022-765751BBAC47}"/>
    <cellStyle name="Normal 8" xfId="40" xr:uid="{A305C20B-FB80-415C-A181-73C801B8BCDA}"/>
    <cellStyle name="Normal_'96-'97 Rent Tables" xfId="9" xr:uid="{00000000-0005-0000-0000-00001A000000}"/>
    <cellStyle name="Notes" xfId="25" xr:uid="{00000000-0005-0000-0000-00001B000000}"/>
    <cellStyle name="OVERWRITE" xfId="26" xr:uid="{00000000-0005-0000-0000-00001C000000}"/>
    <cellStyle name="Percent" xfId="10" builtinId="5"/>
    <cellStyle name="Percent [2]" xfId="11" xr:uid="{00000000-0005-0000-0000-00001E000000}"/>
    <cellStyle name="Percent 2" xfId="27" xr:uid="{00000000-0005-0000-0000-00001F000000}"/>
    <cellStyle name="Percent 2 2" xfId="38" xr:uid="{8B869C6C-1BF7-4C88-8197-1F32864C22BB}"/>
    <cellStyle name="Percent 3" xfId="29" xr:uid="{00000000-0005-0000-0000-000020000000}"/>
    <cellStyle name="Percent 4" xfId="35" xr:uid="{333FA03E-6FD7-42BE-B486-7D32096698CE}"/>
  </cellStyles>
  <dxfs count="125">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ont>
        <b/>
        <i val="0"/>
        <strike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ont>
        <b/>
        <i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border>
        <left style="thin">
          <color auto="1"/>
        </left>
        <right style="thin">
          <color auto="1"/>
        </right>
        <top style="thin">
          <color auto="1"/>
        </top>
        <bottom style="thin">
          <color auto="1"/>
        </bottom>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b/>
        <i val="0"/>
        <strike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font>
      <fill>
        <patternFill>
          <bgColor rgb="FFFFC7CE"/>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color theme="0"/>
      </font>
    </dxf>
    <dxf>
      <font>
        <color theme="0"/>
      </font>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strike val="0"/>
      </font>
      <fill>
        <patternFill>
          <bgColor rgb="FFFFFF00"/>
        </patternFill>
      </fill>
      <border>
        <left style="dashDot">
          <color auto="1"/>
        </left>
        <right style="dashDot">
          <color auto="1"/>
        </right>
        <top style="dashDot">
          <color auto="1"/>
        </top>
        <bottom style="dashDot">
          <color auto="1"/>
        </bottom>
        <vertical/>
        <horizontal/>
      </border>
    </dxf>
    <dxf>
      <font>
        <b/>
        <i val="0"/>
        <condense val="0"/>
        <extend val="0"/>
        <color indexed="10"/>
      </font>
      <fill>
        <patternFill>
          <bgColor indexed="13"/>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theme="5" tint="0.59996337778862885"/>
      </font>
      <fill>
        <patternFill>
          <bgColor rgb="FFFF99CC"/>
        </patternFill>
      </fill>
    </dxf>
    <dxf>
      <fill>
        <patternFill>
          <bgColor indexed="45"/>
        </patternFill>
      </fill>
    </dxf>
    <dxf>
      <fill>
        <patternFill>
          <bgColor indexed="45"/>
        </patternFill>
      </fill>
    </dxf>
    <dxf>
      <font>
        <b/>
        <i val="0"/>
        <strike val="0"/>
        <color rgb="FFFF0000"/>
      </font>
      <fill>
        <patternFill>
          <bgColor rgb="FFFFFF00"/>
        </patternFill>
      </fill>
      <border>
        <left style="thin">
          <color rgb="FFFF0000"/>
        </left>
        <right style="thin">
          <color rgb="FFFF0000"/>
        </right>
        <top style="thin">
          <color rgb="FFFF0000"/>
        </top>
        <bottom style="thin">
          <color rgb="FFFF0000"/>
        </bottom>
        <vertical/>
        <horizontal/>
      </border>
    </dxf>
    <dxf>
      <font>
        <b/>
        <i val="0"/>
        <color rgb="FFFF0000"/>
      </font>
      <fill>
        <patternFill>
          <bgColor rgb="FFFFFF00"/>
        </patternFill>
      </fill>
      <border>
        <left style="thin">
          <color rgb="FFFF0000"/>
        </left>
        <right style="thin">
          <color rgb="FFFF0000"/>
        </right>
        <vertical/>
        <horizontal/>
      </border>
    </dxf>
    <dxf>
      <font>
        <b/>
        <i val="0"/>
        <color rgb="FFFF0000"/>
      </font>
      <fill>
        <patternFill>
          <bgColor rgb="FFFFFF00"/>
        </patternFill>
      </fill>
      <border>
        <left style="thin">
          <color rgb="FFFF0000"/>
        </left>
        <right style="thin">
          <color rgb="FFFF0000"/>
        </right>
        <vertical/>
        <horizontal/>
      </border>
    </dxf>
    <dxf>
      <font>
        <b val="0"/>
        <i val="0"/>
        <strike val="0"/>
        <color rgb="FFFF0000"/>
      </font>
      <fill>
        <patternFill>
          <bgColor rgb="FFFFFF00"/>
        </patternFill>
      </fill>
    </dxf>
    <dxf>
      <font>
        <b/>
        <i val="0"/>
        <condense val="0"/>
        <extend val="0"/>
        <color indexed="10"/>
      </font>
    </dxf>
  </dxfs>
  <tableStyles count="0" defaultTableStyle="TableStyleMedium9" defaultPivotStyle="PivotStyleLight16"/>
  <colors>
    <mruColors>
      <color rgb="FFCCFFFF"/>
      <color rgb="FFFFFFCC"/>
      <color rgb="FFCCECFF"/>
      <color rgb="FFCCFFCC"/>
      <color rgb="FFCC9900"/>
      <color rgb="FF0000FF"/>
      <color rgb="FFFF99CC"/>
      <color rgb="FFFFFFFF"/>
      <color rgb="FF66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microsoft.com/office/2022/11/relationships/FeaturePropertyBag" Target="featurePropertyBag/featurePropertyBag.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73</xdr:row>
      <xdr:rowOff>57150</xdr:rowOff>
    </xdr:to>
    <xdr:sp macro="" textlink="">
      <xdr:nvSpPr>
        <xdr:cNvPr id="2" name="TextBox 1">
          <a:extLst>
            <a:ext uri="{FF2B5EF4-FFF2-40B4-BE49-F238E27FC236}">
              <a16:creationId xmlns:a16="http://schemas.microsoft.com/office/drawing/2014/main" id="{FE28A4FD-EAA2-4258-8ACD-88A9FB3D965B}"/>
            </a:ext>
          </a:extLst>
        </xdr:cNvPr>
        <xdr:cNvSpPr txBox="1"/>
      </xdr:nvSpPr>
      <xdr:spPr>
        <a:xfrm>
          <a:off x="8385175" y="9525"/>
          <a:ext cx="6867525" cy="1330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123</xdr:row>
      <xdr:rowOff>154082</xdr:rowOff>
    </xdr:to>
    <xdr:sp macro="" textlink="">
      <xdr:nvSpPr>
        <xdr:cNvPr id="2" name="TextBox 1">
          <a:extLst>
            <a:ext uri="{FF2B5EF4-FFF2-40B4-BE49-F238E27FC236}">
              <a16:creationId xmlns:a16="http://schemas.microsoft.com/office/drawing/2014/main" id="{72D4DC3E-70A4-40AF-BE82-92C1B7A8C260}"/>
            </a:ext>
          </a:extLst>
        </xdr:cNvPr>
        <xdr:cNvSpPr txBox="1"/>
      </xdr:nvSpPr>
      <xdr:spPr>
        <a:xfrm>
          <a:off x="8001000" y="9525"/>
          <a:ext cx="6486525" cy="25766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he%20Groves%20Pro%20Forma.xlsx" TargetMode="External"/><Relationship Id="rId2" Type="http://schemas.openxmlformats.org/officeDocument/2006/relationships/externalLinkPath" Target="file:///C:\Users\TravisIsmir\Park%20Terrace%20Dropbox\Park%20Terrace%20Development\Hall%20Housing\The%20Groves\The%20Groves%20Pro%20Forma.xlsx" TargetMode="External"/><Relationship Id="rId1" Type="http://schemas.openxmlformats.org/officeDocument/2006/relationships/externalLinkPath" Target="/Users/TravisIsmir/Park%20Terrace%20Dropbox/Park%20Terrace%20Development/Hall%20Housing/The%20Groves/The%20Groves%20Pro%20For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roject Narrative"/>
      <sheetName val="Part I-Project Identification"/>
      <sheetName val="Part II-Development Team"/>
      <sheetName val="Part II-Sources of Funds"/>
      <sheetName val="Part III B-USDA 538 Loan"/>
      <sheetName val="Part III C-HUD Insured Loan"/>
      <sheetName val="Part III-A-Uses of Funds"/>
      <sheetName val="Part III-B-Other Items"/>
      <sheetName val="Part IV-Utility Allowances"/>
      <sheetName val="Part V-Revenues &amp; Expenses"/>
      <sheetName val="Part VI-Pro Forma"/>
      <sheetName val="Part VII-Threshold Criteria"/>
      <sheetName val="Part VIII Scoring Criteria"/>
      <sheetName val="Part IX - Applicant Cert Ltr"/>
      <sheetName val="Part X - HOME NHTF Unit Calcs"/>
      <sheetName val="Part VII-Threshold Criteria OLD"/>
      <sheetName val="Cost Limits Threshold, Assumpt "/>
      <sheetName val="Part VIII Scoring Criteria OLD"/>
      <sheetName val="Executive Summary"/>
      <sheetName val="Subsidy Layering Memo"/>
      <sheetName val="Sensitivity Analysis"/>
      <sheetName val="D&amp;E Sensitivity Analysis"/>
      <sheetName val="After-Tax Analysis"/>
      <sheetName val="Payments-Ex B"/>
      <sheetName val="Preview Term"/>
      <sheetName val="Closing term sheet"/>
      <sheetName val="ProrationMethodCostAllocatnDCA"/>
      <sheetName val="Closing ExhA"/>
      <sheetName val="Closing ExhA New"/>
      <sheetName val="DCA Underwriting Assumptions"/>
      <sheetName val="DCA_SB_ONLY"/>
    </sheetNames>
    <sheetDataSet>
      <sheetData sheetId="0"/>
      <sheetData sheetId="1"/>
      <sheetData sheetId="2"/>
      <sheetData sheetId="3">
        <row r="24">
          <cell r="P24">
            <v>18</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zip4.usps.com/zip4/welcome.jsp"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xml"/><Relationship Id="rId1" Type="http://schemas.openxmlformats.org/officeDocument/2006/relationships/printerSettings" Target="../printerSettings/printerSettings15.bin"/><Relationship Id="rId5" Type="http://schemas.openxmlformats.org/officeDocument/2006/relationships/comments" Target="../comments2.xml"/><Relationship Id="rId4"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federalregister.gov/documents/2024/02/13/2024-02870/annual-indexing-of-basic-statutory-mortgage-limits-for-multifamily-housing-programs" TargetMode="External"/><Relationship Id="rId1" Type="http://schemas.openxmlformats.org/officeDocument/2006/relationships/hyperlink" Target="https://www.hudexchange.info/resource/2315/home-per-unit-subsidy/"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7.bin"/><Relationship Id="rId1" Type="http://schemas.openxmlformats.org/officeDocument/2006/relationships/hyperlink" Target="https://youtu.be/VozXGGf8Ueg"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xml"/><Relationship Id="rId1" Type="http://schemas.openxmlformats.org/officeDocument/2006/relationships/printerSettings" Target="../printerSettings/printerSettings28.bin"/><Relationship Id="rId4" Type="http://schemas.openxmlformats.org/officeDocument/2006/relationships/comments" Target="../comments8.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24.v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2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4F3E-2ED7-4A08-8DAC-0EE4079BAAA1}">
  <sheetPr codeName="Sheet3">
    <pageSetUpPr fitToPage="1"/>
  </sheetPr>
  <dimension ref="A1:F23"/>
  <sheetViews>
    <sheetView workbookViewId="0">
      <selection activeCell="A5" sqref="A5:A23"/>
    </sheetView>
  </sheetViews>
  <sheetFormatPr defaultColWidth="9.21875" defaultRowHeight="13.2"/>
  <cols>
    <col min="1" max="1" width="171.44140625" customWidth="1"/>
  </cols>
  <sheetData>
    <row r="1" spans="1:6" ht="15" customHeight="1">
      <c r="A1" s="488" t="s">
        <v>0</v>
      </c>
    </row>
    <row r="2" spans="1:6" ht="15" customHeight="1">
      <c r="A2" s="489" t="str">
        <f>'Part I-Project Identification'!F27</f>
        <v>The Groves</v>
      </c>
    </row>
    <row r="3" spans="1:6" ht="15" customHeight="1">
      <c r="A3" s="489" t="str">
        <f>CONCATENATE('Part I-Project Identification'!F28,", ", 'Part I-Project Identification'!J28," County")</f>
        <v>Tifton, Tift County</v>
      </c>
    </row>
    <row r="4" spans="1:6" ht="12" customHeight="1">
      <c r="A4" s="784"/>
    </row>
    <row r="5" spans="1:6" ht="72" customHeight="1">
      <c r="A5" s="3178" t="s">
        <v>1</v>
      </c>
      <c r="B5" s="3179" t="s">
        <v>2</v>
      </c>
      <c r="C5" s="3179"/>
      <c r="D5" s="3179"/>
      <c r="E5" s="3179"/>
      <c r="F5" s="3179"/>
    </row>
    <row r="6" spans="1:6" ht="6.6" customHeight="1">
      <c r="A6" s="3178"/>
      <c r="B6" s="3179"/>
      <c r="C6" s="3179"/>
      <c r="D6" s="3179"/>
      <c r="E6" s="3179"/>
      <c r="F6" s="3179"/>
    </row>
    <row r="7" spans="1:6" ht="72" customHeight="1">
      <c r="A7" s="3178"/>
      <c r="B7" s="3179"/>
      <c r="C7" s="3179"/>
      <c r="D7" s="3179"/>
      <c r="E7" s="3179"/>
      <c r="F7" s="3179"/>
    </row>
    <row r="8" spans="1:6" ht="6.6" customHeight="1">
      <c r="A8" s="3178"/>
    </row>
    <row r="9" spans="1:6" ht="72" customHeight="1">
      <c r="A9" s="3178"/>
    </row>
    <row r="10" spans="1:6" ht="6.6" customHeight="1">
      <c r="A10" s="3178"/>
    </row>
    <row r="11" spans="1:6" ht="72" customHeight="1">
      <c r="A11" s="3178"/>
    </row>
    <row r="12" spans="1:6" ht="6.6" customHeight="1">
      <c r="A12" s="3178"/>
    </row>
    <row r="13" spans="1:6" ht="72" customHeight="1">
      <c r="A13" s="3178"/>
    </row>
    <row r="14" spans="1:6" ht="6.6" customHeight="1">
      <c r="A14" s="3178"/>
    </row>
    <row r="15" spans="1:6" ht="72" customHeight="1">
      <c r="A15" s="3178"/>
    </row>
    <row r="16" spans="1:6" ht="6.6" customHeight="1">
      <c r="A16" s="3178"/>
    </row>
    <row r="17" spans="1:1" ht="72" customHeight="1">
      <c r="A17" s="3178"/>
    </row>
    <row r="18" spans="1:1" ht="6.6" customHeight="1">
      <c r="A18" s="3178"/>
    </row>
    <row r="19" spans="1:1" ht="72" customHeight="1">
      <c r="A19" s="3178"/>
    </row>
    <row r="20" spans="1:1" ht="6.6" customHeight="1">
      <c r="A20" s="3178"/>
    </row>
    <row r="21" spans="1:1" ht="72" customHeight="1">
      <c r="A21" s="3178"/>
    </row>
    <row r="22" spans="1:1" ht="6.6" customHeight="1">
      <c r="A22" s="3178"/>
    </row>
    <row r="23" spans="1:1" ht="72" customHeight="1">
      <c r="A23" s="3178"/>
    </row>
  </sheetData>
  <mergeCells count="2">
    <mergeCell ref="A5:A23"/>
    <mergeCell ref="B5:F7"/>
  </mergeCells>
  <printOptions horizontalCentered="1"/>
  <pageMargins left="0.25" right="0.25" top="0.5" bottom="0.5" header="0.3" footer="0.3"/>
  <pageSetup scale="99" fitToHeight="0" orientation="portrait" horizontalDpi="1200" verticalDpi="1200" r:id="rId1"/>
  <headerFooter>
    <oddHeader>&amp;LGeorgia Department of Community Affairs&amp;C2024 OHF Funding Application&amp;RHousing Finance and Development Division</oddHeader>
    <oddFooter>&amp;L&amp;G&amp;F&amp;C&amp;A&amp;R&amp;P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8002-55D4-4BDA-B839-9EAC9DD9C4CD}">
  <sheetPr codeName="Sheet9"/>
  <dimension ref="A1:AR717"/>
  <sheetViews>
    <sheetView showGridLines="0" topLeftCell="A4" zoomScale="72" workbookViewId="0">
      <selection activeCell="O12" sqref="O12:P12"/>
    </sheetView>
  </sheetViews>
  <sheetFormatPr defaultColWidth="9.21875" defaultRowHeight="13.8"/>
  <cols>
    <col min="1" max="1" width="3.21875" style="96" customWidth="1"/>
    <col min="2" max="2" width="2.21875" style="159" customWidth="1"/>
    <col min="3" max="11" width="8.77734375" style="96" customWidth="1"/>
    <col min="12" max="12" width="4" style="96" customWidth="1"/>
    <col min="13" max="13" width="8.77734375" style="96" customWidth="1"/>
    <col min="14" max="14" width="12.21875" style="96" customWidth="1"/>
    <col min="15" max="16" width="8.77734375" style="96" customWidth="1"/>
    <col min="17" max="17" width="9.21875" style="96"/>
    <col min="18" max="18" width="10.21875" style="96" bestFit="1" customWidth="1"/>
    <col min="19" max="19" width="9.21875" style="96"/>
    <col min="20" max="20" width="10.21875" style="96" bestFit="1" customWidth="1"/>
    <col min="21" max="25" width="9.21875" style="96"/>
    <col min="26" max="26" width="9.21875" style="2498"/>
    <col min="27" max="16384" width="9.21875" style="96"/>
  </cols>
  <sheetData>
    <row r="1" spans="1:28" s="1153" customFormat="1" hidden="1">
      <c r="A1" s="1152"/>
      <c r="B1" s="1152" t="s">
        <v>3</v>
      </c>
      <c r="C1" s="1152"/>
      <c r="D1" s="1152"/>
      <c r="E1" s="1152"/>
      <c r="F1" s="1152" t="s">
        <v>4</v>
      </c>
      <c r="G1" s="1152" t="s">
        <v>5</v>
      </c>
      <c r="H1" s="1152" t="s">
        <v>6</v>
      </c>
      <c r="I1" s="1152" t="s">
        <v>7</v>
      </c>
      <c r="J1" s="1152" t="s">
        <v>8</v>
      </c>
      <c r="K1" s="1152" t="s">
        <v>9</v>
      </c>
      <c r="L1" s="1152"/>
      <c r="M1" s="1152"/>
      <c r="N1" s="1152" t="s">
        <v>10</v>
      </c>
      <c r="O1" s="1152" t="s">
        <v>11</v>
      </c>
      <c r="P1" s="1152" t="s">
        <v>12</v>
      </c>
      <c r="Z1" s="1809">
        <v>1</v>
      </c>
    </row>
    <row r="2" spans="1:28" s="95" customFormat="1" ht="14.1" customHeight="1">
      <c r="A2" s="3223" t="str">
        <f>CONCATENATE("Part I-Project Identification"," - ",$O$7," ",$F$27,", ",$F$28,", ",J28," County")</f>
        <v>Part I-Project Identification - 2026-0xx The Groves, Tifton, Tift County</v>
      </c>
      <c r="B2" s="3224"/>
      <c r="C2" s="3224"/>
      <c r="D2" s="3224"/>
      <c r="E2" s="3224"/>
      <c r="F2" s="3224"/>
      <c r="G2" s="3224"/>
      <c r="H2" s="3224"/>
      <c r="I2" s="3224"/>
      <c r="J2" s="3224"/>
      <c r="K2" s="3224"/>
      <c r="L2" s="3224"/>
      <c r="M2" s="3224"/>
      <c r="N2" s="3224"/>
      <c r="O2" s="3224"/>
      <c r="P2" s="3225"/>
      <c r="Z2" s="1809">
        <v>2</v>
      </c>
      <c r="AA2" s="1235">
        <v>1</v>
      </c>
    </row>
    <row r="3" spans="1:28" s="95" customFormat="1" ht="6" customHeight="1">
      <c r="A3" s="267"/>
      <c r="B3" s="267"/>
      <c r="C3" s="267"/>
      <c r="D3" s="267"/>
      <c r="E3" s="267"/>
      <c r="F3" s="267"/>
      <c r="G3" s="267"/>
      <c r="H3" s="267"/>
      <c r="I3" s="267"/>
      <c r="J3" s="267"/>
      <c r="K3" s="267"/>
      <c r="L3" s="267"/>
      <c r="M3" s="267"/>
      <c r="N3" s="267"/>
      <c r="O3" s="267"/>
      <c r="P3" s="267"/>
      <c r="Z3" s="1809">
        <v>3</v>
      </c>
      <c r="AA3" s="1235">
        <v>2</v>
      </c>
    </row>
    <row r="4" spans="1:28" s="95" customFormat="1" ht="87.75" customHeight="1">
      <c r="A4" s="3226" t="s">
        <v>13</v>
      </c>
      <c r="B4" s="3227"/>
      <c r="C4" s="3227"/>
      <c r="D4" s="3227"/>
      <c r="E4" s="3227"/>
      <c r="F4" s="3227"/>
      <c r="G4" s="3227"/>
      <c r="H4" s="3227"/>
      <c r="I4" s="3227"/>
      <c r="J4" s="3227"/>
      <c r="K4" s="3227"/>
      <c r="L4" s="3227"/>
      <c r="M4" s="3227"/>
      <c r="N4" s="3227"/>
      <c r="O4" s="3227"/>
      <c r="P4" s="3227"/>
      <c r="Z4" s="1809">
        <v>4</v>
      </c>
      <c r="AA4" s="1235">
        <v>3</v>
      </c>
    </row>
    <row r="5" spans="1:28" s="95" customFormat="1" ht="9.75" customHeight="1">
      <c r="A5" s="267"/>
      <c r="B5" s="267"/>
      <c r="C5" s="267"/>
      <c r="D5" s="267"/>
      <c r="E5" s="267"/>
      <c r="F5" s="267"/>
      <c r="G5" s="267"/>
      <c r="H5" s="267"/>
      <c r="I5" s="267"/>
      <c r="J5" s="267"/>
      <c r="K5" s="267"/>
      <c r="L5" s="267"/>
      <c r="M5" s="267"/>
      <c r="N5" s="267"/>
      <c r="O5" s="267"/>
      <c r="P5" s="267"/>
      <c r="Z5" s="1809">
        <v>5</v>
      </c>
      <c r="AA5" s="1235">
        <v>4</v>
      </c>
    </row>
    <row r="6" spans="1:28" s="95" customFormat="1" ht="12" customHeight="1">
      <c r="A6" s="3228" t="s">
        <v>14</v>
      </c>
      <c r="B6" s="3228"/>
      <c r="C6" s="3228"/>
      <c r="D6" s="3228"/>
      <c r="F6" s="2636"/>
      <c r="G6" s="136" t="s">
        <v>15</v>
      </c>
      <c r="L6" s="267"/>
      <c r="P6" s="1217" t="s">
        <v>16</v>
      </c>
      <c r="Z6" s="1809">
        <v>6</v>
      </c>
      <c r="AA6" s="1235">
        <v>5</v>
      </c>
    </row>
    <row r="7" spans="1:28" s="95" customFormat="1" ht="12" customHeight="1">
      <c r="A7" s="3228"/>
      <c r="B7" s="3228"/>
      <c r="C7" s="3228"/>
      <c r="D7" s="3228"/>
      <c r="E7" s="722"/>
      <c r="F7" s="2637"/>
      <c r="G7" s="136" t="s">
        <v>17</v>
      </c>
      <c r="H7" s="2517"/>
      <c r="I7" s="2517"/>
      <c r="J7" s="2517"/>
      <c r="O7" s="3229" t="s">
        <v>18</v>
      </c>
      <c r="P7" s="3230"/>
      <c r="Q7" s="3231" t="s">
        <v>19</v>
      </c>
      <c r="R7" s="3231"/>
      <c r="S7" s="3232"/>
      <c r="Z7" s="1809">
        <v>7</v>
      </c>
      <c r="AA7" s="1235">
        <v>6</v>
      </c>
    </row>
    <row r="8" spans="1:28" s="95" customFormat="1" ht="12" customHeight="1">
      <c r="A8" s="3228"/>
      <c r="B8" s="3228"/>
      <c r="C8" s="3228"/>
      <c r="D8" s="3228"/>
      <c r="E8" s="722"/>
      <c r="F8" s="2638"/>
      <c r="G8" s="98" t="s">
        <v>20</v>
      </c>
      <c r="H8" s="2517"/>
      <c r="I8" s="2517"/>
      <c r="J8" s="2517"/>
      <c r="Q8" s="3233"/>
      <c r="R8" s="3234"/>
      <c r="S8" s="3235"/>
      <c r="Z8" s="1809">
        <v>8</v>
      </c>
      <c r="AA8" s="1235">
        <v>7</v>
      </c>
    </row>
    <row r="9" spans="1:28" s="95" customFormat="1" ht="6" customHeight="1">
      <c r="A9" s="267"/>
      <c r="E9" s="2517"/>
      <c r="H9" s="2517"/>
      <c r="I9" s="2517"/>
      <c r="M9" s="2517"/>
      <c r="Q9" s="3233"/>
      <c r="R9" s="3234"/>
      <c r="S9" s="3235"/>
      <c r="Z9" s="1809">
        <v>9</v>
      </c>
      <c r="AA9" s="1235">
        <v>8</v>
      </c>
    </row>
    <row r="10" spans="1:28" s="95" customFormat="1" ht="13.35" customHeight="1">
      <c r="A10" s="151" t="s">
        <v>21</v>
      </c>
      <c r="B10" s="151" t="s">
        <v>22</v>
      </c>
      <c r="D10" s="96"/>
      <c r="E10" s="152"/>
      <c r="F10" s="153" t="s">
        <v>23</v>
      </c>
      <c r="I10" s="3239">
        <f>'Part III-A-Uses of Funds'!$J$192</f>
        <v>1145000</v>
      </c>
      <c r="J10" s="3240"/>
      <c r="L10" s="95" t="s">
        <v>24</v>
      </c>
      <c r="O10" s="3241">
        <f>'Part II-Sources of Funds'!$H$6</f>
        <v>0</v>
      </c>
      <c r="P10" s="3242"/>
      <c r="Q10" s="3233"/>
      <c r="R10" s="3234"/>
      <c r="S10" s="3235"/>
      <c r="Z10" s="1809">
        <v>10</v>
      </c>
      <c r="AA10" s="1235">
        <v>9</v>
      </c>
    </row>
    <row r="11" spans="1:28" s="95" customFormat="1" ht="6" customHeight="1">
      <c r="A11" s="151"/>
      <c r="B11" s="151"/>
      <c r="D11" s="96"/>
      <c r="E11" s="152"/>
      <c r="F11" s="152"/>
      <c r="I11" s="134"/>
      <c r="N11" s="154"/>
      <c r="Q11" s="3233"/>
      <c r="R11" s="3234"/>
      <c r="S11" s="3235"/>
      <c r="Z11" s="1809">
        <v>11</v>
      </c>
      <c r="AA11" s="1235">
        <v>10</v>
      </c>
    </row>
    <row r="12" spans="1:28" s="95" customFormat="1">
      <c r="A12" s="134" t="s">
        <v>25</v>
      </c>
      <c r="B12" s="151" t="s">
        <v>26</v>
      </c>
      <c r="F12" s="3243" t="s">
        <v>7716</v>
      </c>
      <c r="G12" s="3244"/>
      <c r="H12" s="3245"/>
      <c r="I12" s="1218" t="s">
        <v>27</v>
      </c>
      <c r="J12" s="2477" t="s">
        <v>28</v>
      </c>
      <c r="K12" s="151"/>
      <c r="L12" s="2517"/>
      <c r="O12" s="3246" t="s">
        <v>29</v>
      </c>
      <c r="P12" s="3247"/>
      <c r="Q12" s="3233"/>
      <c r="R12" s="3234"/>
      <c r="S12" s="3235"/>
      <c r="Z12" s="1809">
        <v>12</v>
      </c>
      <c r="AA12" s="1235">
        <v>11</v>
      </c>
    </row>
    <row r="13" spans="1:28" s="1438" customFormat="1">
      <c r="A13" s="1417"/>
      <c r="C13" s="2546"/>
      <c r="D13" s="2546"/>
      <c r="E13" s="2546"/>
      <c r="F13" s="3180" t="s">
        <v>30</v>
      </c>
      <c r="G13" s="3180"/>
      <c r="H13" s="3180"/>
      <c r="I13" s="3180"/>
      <c r="J13" s="3180"/>
      <c r="K13" s="3180"/>
      <c r="L13" s="3180"/>
      <c r="M13" s="3180"/>
      <c r="N13" s="3180"/>
      <c r="O13" s="3181"/>
      <c r="P13" s="2500"/>
      <c r="Q13" s="3233"/>
      <c r="R13" s="3234"/>
      <c r="S13" s="3235"/>
      <c r="T13" s="1487"/>
      <c r="U13" s="1487"/>
      <c r="V13" s="1487"/>
      <c r="W13" s="1487"/>
      <c r="X13" s="1487"/>
      <c r="Y13" s="1487"/>
      <c r="Z13" s="1809">
        <v>13</v>
      </c>
      <c r="AA13" s="1235">
        <v>12</v>
      </c>
      <c r="AB13" s="1487"/>
    </row>
    <row r="14" spans="1:28" s="1438" customFormat="1">
      <c r="A14" s="1417"/>
      <c r="C14" s="2546"/>
      <c r="D14" s="2546"/>
      <c r="E14" s="2546"/>
      <c r="F14" s="1508"/>
      <c r="H14" s="1507"/>
      <c r="I14" s="1507"/>
      <c r="J14" s="1507"/>
      <c r="K14" s="1507"/>
      <c r="L14" s="1507"/>
      <c r="M14" s="3182" t="s">
        <v>31</v>
      </c>
      <c r="N14" s="3182"/>
      <c r="O14" s="3182"/>
      <c r="P14" s="2499" t="s">
        <v>7474</v>
      </c>
      <c r="Q14" s="3234"/>
      <c r="R14" s="3234"/>
      <c r="S14" s="3235"/>
      <c r="T14" s="1487"/>
      <c r="U14" s="1487"/>
      <c r="V14" s="1487"/>
      <c r="W14" s="1487"/>
      <c r="X14" s="1487"/>
      <c r="Y14" s="1487"/>
      <c r="Z14" s="1809">
        <v>14</v>
      </c>
      <c r="AA14" s="1235"/>
      <c r="AB14" s="1487"/>
    </row>
    <row r="15" spans="1:28" s="95" customFormat="1">
      <c r="A15" s="267"/>
      <c r="B15" s="95" t="str">
        <f>IF('Part I-Project Identification'!$F$12="9% Credits","9%", IF('Part I-Project Identification'!$F$12="4% Credits/Bonds","4%",""))</f>
        <v>9%</v>
      </c>
      <c r="C15" s="96"/>
      <c r="D15" s="96"/>
      <c r="E15" s="96"/>
      <c r="H15" s="2517"/>
      <c r="J15" s="281"/>
      <c r="K15" s="134"/>
      <c r="M15" s="2517"/>
      <c r="Q15" s="3233"/>
      <c r="R15" s="3234"/>
      <c r="S15" s="3235"/>
      <c r="Z15" s="1809">
        <v>15</v>
      </c>
      <c r="AA15" s="1235">
        <v>13</v>
      </c>
    </row>
    <row r="16" spans="1:28" s="95" customFormat="1" ht="13.95" customHeight="1">
      <c r="A16" s="134" t="s">
        <v>32</v>
      </c>
      <c r="B16" s="134" t="s">
        <v>33</v>
      </c>
      <c r="C16" s="134"/>
      <c r="D16" s="134"/>
      <c r="E16" s="134"/>
      <c r="F16" s="134"/>
      <c r="G16" s="153"/>
      <c r="H16" s="153"/>
      <c r="I16" s="3183" t="s">
        <v>34</v>
      </c>
      <c r="J16" s="3183"/>
      <c r="K16" s="3183"/>
      <c r="L16" s="3183"/>
      <c r="M16" s="3183"/>
      <c r="N16" s="3183"/>
      <c r="O16" s="3183"/>
      <c r="P16" s="3184"/>
      <c r="Q16" s="3233"/>
      <c r="R16" s="3234"/>
      <c r="S16" s="3235"/>
      <c r="Z16" s="1809">
        <v>16</v>
      </c>
      <c r="AA16" s="1235">
        <v>14</v>
      </c>
    </row>
    <row r="17" spans="1:27" s="95" customFormat="1">
      <c r="B17" s="95" t="s">
        <v>35</v>
      </c>
      <c r="F17" s="3195" t="s">
        <v>7660</v>
      </c>
      <c r="G17" s="3196"/>
      <c r="H17" s="3197"/>
      <c r="I17" s="1476" t="s">
        <v>36</v>
      </c>
      <c r="J17" s="3198" t="s">
        <v>7662</v>
      </c>
      <c r="K17" s="3190"/>
      <c r="L17" s="3191"/>
      <c r="M17" s="1299" t="s">
        <v>37</v>
      </c>
      <c r="N17" s="3195" t="s">
        <v>7663</v>
      </c>
      <c r="O17" s="3196"/>
      <c r="P17" s="3197"/>
      <c r="Q17" s="3233"/>
      <c r="R17" s="3234"/>
      <c r="S17" s="3235"/>
      <c r="Z17" s="1809">
        <v>17</v>
      </c>
      <c r="AA17" s="1235">
        <v>15</v>
      </c>
    </row>
    <row r="18" spans="1:27" s="95" customFormat="1" ht="12.75" customHeight="1">
      <c r="B18" s="153" t="s">
        <v>38</v>
      </c>
      <c r="F18" s="3185">
        <v>3347942678</v>
      </c>
      <c r="G18" s="3186"/>
      <c r="H18" s="3187"/>
      <c r="I18" s="1477" t="s">
        <v>39</v>
      </c>
      <c r="J18" s="602"/>
      <c r="M18" s="153" t="s">
        <v>40</v>
      </c>
      <c r="N18" s="3185">
        <v>3347942678</v>
      </c>
      <c r="O18" s="3186"/>
      <c r="P18" s="3187"/>
      <c r="Q18" s="3233"/>
      <c r="R18" s="3234"/>
      <c r="S18" s="3235"/>
      <c r="V18" s="548"/>
      <c r="W18" s="548"/>
      <c r="X18" s="548"/>
      <c r="Z18" s="1809">
        <v>18</v>
      </c>
      <c r="AA18" s="1235">
        <v>16</v>
      </c>
    </row>
    <row r="19" spans="1:27" s="95" customFormat="1">
      <c r="B19" s="153" t="s">
        <v>41</v>
      </c>
      <c r="F19" s="3188" t="s">
        <v>7661</v>
      </c>
      <c r="G19" s="3189"/>
      <c r="H19" s="3189"/>
      <c r="I19" s="3190"/>
      <c r="J19" s="3189"/>
      <c r="K19" s="3190"/>
      <c r="L19" s="3191"/>
      <c r="M19" s="153" t="s">
        <v>42</v>
      </c>
      <c r="N19" s="3192"/>
      <c r="O19" s="3193"/>
      <c r="P19" s="3194"/>
      <c r="Q19" s="3233"/>
      <c r="R19" s="3234"/>
      <c r="S19" s="3235"/>
      <c r="U19" s="548"/>
      <c r="V19" s="548"/>
      <c r="W19" s="548"/>
      <c r="X19" s="548"/>
      <c r="Z19" s="1809">
        <v>19</v>
      </c>
      <c r="AA19" s="1235">
        <v>17</v>
      </c>
    </row>
    <row r="20" spans="1:27" s="95" customFormat="1">
      <c r="A20" s="267"/>
      <c r="B20" s="151" t="s">
        <v>43</v>
      </c>
      <c r="C20" s="96"/>
      <c r="H20" s="2517"/>
      <c r="J20" s="96"/>
      <c r="P20" s="2517"/>
      <c r="Q20" s="3233"/>
      <c r="R20" s="3234"/>
      <c r="S20" s="3235"/>
      <c r="Z20" s="1809">
        <v>20</v>
      </c>
      <c r="AA20" s="1235">
        <v>18</v>
      </c>
    </row>
    <row r="21" spans="1:27" s="95" customFormat="1">
      <c r="B21" s="95" t="s">
        <v>35</v>
      </c>
      <c r="F21" s="3195" t="s">
        <v>7660</v>
      </c>
      <c r="G21" s="3196"/>
      <c r="H21" s="3197"/>
      <c r="I21" s="1476" t="s">
        <v>36</v>
      </c>
      <c r="J21" s="3198" t="s">
        <v>7665</v>
      </c>
      <c r="K21" s="3190"/>
      <c r="L21" s="3191"/>
      <c r="M21" s="1299" t="s">
        <v>37</v>
      </c>
      <c r="N21" s="3195" t="s">
        <v>7666</v>
      </c>
      <c r="O21" s="3196"/>
      <c r="P21" s="3197"/>
      <c r="Q21" s="3233"/>
      <c r="R21" s="3234"/>
      <c r="S21" s="3235"/>
      <c r="Z21" s="1809">
        <v>21</v>
      </c>
      <c r="AA21" s="1235">
        <v>19</v>
      </c>
    </row>
    <row r="22" spans="1:27" s="95" customFormat="1">
      <c r="B22" s="153" t="s">
        <v>38</v>
      </c>
      <c r="F22" s="3185">
        <v>2653035829</v>
      </c>
      <c r="G22" s="3186"/>
      <c r="H22" s="3187"/>
      <c r="I22" s="1477" t="s">
        <v>39</v>
      </c>
      <c r="J22" s="602"/>
      <c r="M22" s="153" t="s">
        <v>40</v>
      </c>
      <c r="N22" s="3185">
        <v>2563035829</v>
      </c>
      <c r="O22" s="3186"/>
      <c r="P22" s="3187"/>
      <c r="Q22" s="3233"/>
      <c r="R22" s="3234"/>
      <c r="S22" s="3235"/>
      <c r="U22" s="142"/>
      <c r="V22" s="142"/>
      <c r="W22" s="142"/>
      <c r="X22" s="142"/>
      <c r="Z22" s="1809">
        <v>22</v>
      </c>
      <c r="AA22" s="1235">
        <v>20</v>
      </c>
    </row>
    <row r="23" spans="1:27" s="95" customFormat="1">
      <c r="B23" s="153" t="s">
        <v>41</v>
      </c>
      <c r="F23" s="3188" t="s">
        <v>7664</v>
      </c>
      <c r="G23" s="3189"/>
      <c r="H23" s="3189"/>
      <c r="I23" s="3190"/>
      <c r="J23" s="3189"/>
      <c r="K23" s="3190"/>
      <c r="L23" s="3191"/>
      <c r="M23" s="153" t="s">
        <v>42</v>
      </c>
      <c r="N23" s="3192"/>
      <c r="O23" s="3193"/>
      <c r="P23" s="3194"/>
      <c r="Q23" s="3233"/>
      <c r="R23" s="3234"/>
      <c r="S23" s="3235"/>
      <c r="Z23" s="1809">
        <v>23</v>
      </c>
      <c r="AA23" s="1235">
        <v>21</v>
      </c>
    </row>
    <row r="24" spans="1:27" s="95" customFormat="1">
      <c r="I24" s="96"/>
      <c r="J24" s="96"/>
      <c r="K24" s="96"/>
      <c r="L24" s="96"/>
      <c r="M24" s="96"/>
      <c r="N24" s="96"/>
      <c r="O24" s="96"/>
      <c r="P24" s="96"/>
      <c r="Q24" s="3233"/>
      <c r="R24" s="3234"/>
      <c r="S24" s="3235"/>
      <c r="Z24" s="1809">
        <v>24</v>
      </c>
      <c r="AA24" s="1235">
        <v>22</v>
      </c>
    </row>
    <row r="25" spans="1:27" s="95" customFormat="1">
      <c r="A25" s="134" t="s">
        <v>44</v>
      </c>
      <c r="B25" s="151" t="s">
        <v>45</v>
      </c>
      <c r="D25" s="96"/>
      <c r="E25" s="152"/>
      <c r="F25" s="152"/>
      <c r="G25" s="153"/>
      <c r="H25" s="152"/>
      <c r="I25" s="152"/>
      <c r="J25" s="152"/>
      <c r="Q25" s="3233"/>
      <c r="R25" s="3234"/>
      <c r="S25" s="3235"/>
      <c r="Z25" s="1809">
        <v>25</v>
      </c>
      <c r="AA25" s="1235">
        <v>23</v>
      </c>
    </row>
    <row r="26" spans="1:27" s="95" customFormat="1" ht="1.5" customHeight="1">
      <c r="A26" s="134"/>
      <c r="B26" s="151"/>
      <c r="D26" s="96"/>
      <c r="E26" s="152"/>
      <c r="F26" s="152"/>
      <c r="G26" s="153"/>
      <c r="H26" s="152"/>
      <c r="I26" s="152"/>
      <c r="J26" s="152"/>
      <c r="L26" s="154"/>
      <c r="M26" s="154"/>
      <c r="Q26" s="3233"/>
      <c r="R26" s="3234"/>
      <c r="S26" s="3235"/>
      <c r="Z26" s="1809">
        <v>26</v>
      </c>
      <c r="AA26" s="1235">
        <v>24</v>
      </c>
    </row>
    <row r="27" spans="1:27" s="95" customFormat="1" ht="13.35" customHeight="1">
      <c r="A27" s="151"/>
      <c r="B27" s="95" t="s">
        <v>46</v>
      </c>
      <c r="D27" s="151"/>
      <c r="F27" s="3198" t="s">
        <v>7667</v>
      </c>
      <c r="G27" s="3200"/>
      <c r="H27" s="3200"/>
      <c r="I27" s="3190"/>
      <c r="J27" s="3200"/>
      <c r="K27" s="3201"/>
      <c r="M27" s="153" t="s">
        <v>47</v>
      </c>
      <c r="P27" s="2639" t="s">
        <v>7474</v>
      </c>
      <c r="Q27" s="3233"/>
      <c r="R27" s="3234"/>
      <c r="S27" s="3235"/>
      <c r="Z27" s="1809">
        <v>27</v>
      </c>
      <c r="AA27" s="1235">
        <v>25</v>
      </c>
    </row>
    <row r="28" spans="1:27" s="95" customFormat="1">
      <c r="A28" s="267"/>
      <c r="B28" s="95" t="s">
        <v>48</v>
      </c>
      <c r="F28" s="3202" t="s">
        <v>2140</v>
      </c>
      <c r="G28" s="3203"/>
      <c r="H28" s="3204"/>
      <c r="I28" s="162" t="s">
        <v>50</v>
      </c>
      <c r="J28" s="3205" t="str">
        <f>IF(F28="","",VLOOKUP(F28,'DCA Underwriting Assumptions'!$T$167:$U$796,2,FALSE))</f>
        <v>Tift</v>
      </c>
      <c r="K28" s="3206"/>
      <c r="M28" s="153" t="s">
        <v>51</v>
      </c>
      <c r="P28" s="1343" t="s">
        <v>7474</v>
      </c>
      <c r="Q28" s="3233"/>
      <c r="R28" s="3234"/>
      <c r="S28" s="3235"/>
      <c r="U28" s="267"/>
      <c r="Z28" s="1809">
        <v>28</v>
      </c>
      <c r="AA28" s="1235">
        <v>26</v>
      </c>
    </row>
    <row r="29" spans="1:27" s="95" customFormat="1">
      <c r="A29" s="267"/>
      <c r="B29" s="95" t="s">
        <v>52</v>
      </c>
      <c r="C29" s="157"/>
      <c r="D29" s="158"/>
      <c r="E29" s="158"/>
      <c r="F29" s="3202" t="s">
        <v>7668</v>
      </c>
      <c r="G29" s="3207"/>
      <c r="H29" s="3208"/>
      <c r="I29" s="2517"/>
      <c r="J29" s="279" t="s">
        <v>53</v>
      </c>
      <c r="K29" s="2517"/>
      <c r="M29" s="153" t="s">
        <v>54</v>
      </c>
      <c r="O29" s="3209">
        <v>11.44</v>
      </c>
      <c r="P29" s="3210"/>
      <c r="Q29" s="3233"/>
      <c r="R29" s="3234"/>
      <c r="S29" s="3235"/>
      <c r="Z29" s="1809">
        <v>29</v>
      </c>
      <c r="AA29" s="1235">
        <v>27</v>
      </c>
    </row>
    <row r="30" spans="1:27" s="95" customFormat="1">
      <c r="A30" s="267"/>
      <c r="B30" s="95" t="s">
        <v>55</v>
      </c>
      <c r="F30" s="866" t="s">
        <v>7444</v>
      </c>
      <c r="G30" s="2514"/>
      <c r="I30" s="1342"/>
      <c r="J30" s="2517" t="s">
        <v>56</v>
      </c>
      <c r="K30" s="2640" t="str">
        <f>IF(F30="Yes","Rural","Urban")</f>
        <v>Rural</v>
      </c>
      <c r="M30" s="153" t="s">
        <v>57</v>
      </c>
      <c r="N30" s="2641" t="str">
        <f>VLOOKUP($J$28,'DCA Underwriting Assumptions'!$G$167:$J$326,4)</f>
        <v>Non-MSA</v>
      </c>
      <c r="O30" s="3205" t="str">
        <f>IF($F$28="","",VLOOKUP($J$28,'DCA Underwriting Assumptions'!$G$167:$L$326,3,FALSE))</f>
        <v>Tift Co.</v>
      </c>
      <c r="P30" s="3206"/>
      <c r="Q30" s="3233"/>
      <c r="R30" s="3234"/>
      <c r="S30" s="3235"/>
      <c r="Z30" s="1809">
        <v>30</v>
      </c>
      <c r="AA30" s="1235">
        <v>28</v>
      </c>
    </row>
    <row r="31" spans="1:27" s="95" customFormat="1">
      <c r="A31" s="267"/>
      <c r="B31" s="267"/>
      <c r="C31" s="157"/>
      <c r="D31" s="158"/>
      <c r="E31" s="158"/>
      <c r="F31" s="2517"/>
      <c r="G31" s="2517"/>
      <c r="H31" s="2517"/>
      <c r="I31" s="2517"/>
      <c r="J31" s="158"/>
      <c r="K31" s="2517"/>
      <c r="L31" s="2517"/>
      <c r="P31" s="2517"/>
      <c r="Q31" s="3233"/>
      <c r="R31" s="3234"/>
      <c r="S31" s="3235"/>
      <c r="Z31" s="1809">
        <v>31</v>
      </c>
      <c r="AA31" s="1235">
        <v>29</v>
      </c>
    </row>
    <row r="32" spans="1:27" s="95" customFormat="1">
      <c r="A32" s="134" t="s">
        <v>58</v>
      </c>
      <c r="B32" s="134" t="s">
        <v>59</v>
      </c>
      <c r="D32" s="159"/>
      <c r="E32" s="159"/>
      <c r="F32" s="159"/>
      <c r="G32" s="2517"/>
      <c r="H32" s="2517"/>
      <c r="I32" s="2517"/>
      <c r="J32" s="158"/>
      <c r="K32" s="2517"/>
      <c r="L32" s="2517"/>
      <c r="P32" s="1329"/>
      <c r="Q32" s="3233"/>
      <c r="R32" s="3234"/>
      <c r="S32" s="3235"/>
      <c r="Z32" s="1809">
        <v>32</v>
      </c>
      <c r="AA32" s="1235">
        <v>30</v>
      </c>
    </row>
    <row r="33" spans="1:27" s="95" customFormat="1" ht="2.25" customHeight="1">
      <c r="A33" s="267"/>
      <c r="B33" s="267"/>
      <c r="M33" s="153"/>
      <c r="N33" s="2536"/>
      <c r="O33" s="2536"/>
      <c r="P33" s="1039"/>
      <c r="Q33" s="3233"/>
      <c r="R33" s="3234"/>
      <c r="S33" s="3235"/>
      <c r="Z33" s="1809">
        <v>33</v>
      </c>
      <c r="AA33" s="1235">
        <v>31</v>
      </c>
    </row>
    <row r="34" spans="1:27" s="95" customFormat="1">
      <c r="A34" s="267"/>
      <c r="B34" s="134" t="s">
        <v>60</v>
      </c>
      <c r="D34" s="600"/>
      <c r="E34" s="600"/>
      <c r="F34" s="600"/>
      <c r="G34" s="600"/>
      <c r="H34" s="2517"/>
      <c r="J34" s="96"/>
      <c r="K34" s="158"/>
      <c r="P34" s="2517"/>
      <c r="Q34" s="3233"/>
      <c r="R34" s="3234"/>
      <c r="S34" s="3235"/>
      <c r="Z34" s="1809">
        <v>34</v>
      </c>
      <c r="AA34" s="1235">
        <v>32</v>
      </c>
    </row>
    <row r="35" spans="1:27" s="95" customFormat="1" ht="1.5" customHeight="1">
      <c r="A35" s="267"/>
      <c r="B35" s="267"/>
      <c r="C35" s="134"/>
      <c r="D35" s="600"/>
      <c r="E35" s="600"/>
      <c r="F35" s="600"/>
      <c r="G35" s="600"/>
      <c r="H35" s="2517"/>
      <c r="J35" s="96"/>
      <c r="K35" s="158"/>
      <c r="P35" s="2517"/>
      <c r="Q35" s="3233"/>
      <c r="R35" s="3234"/>
      <c r="S35" s="3235"/>
      <c r="Z35" s="1809">
        <v>35</v>
      </c>
      <c r="AA35" s="1235">
        <v>33</v>
      </c>
    </row>
    <row r="36" spans="1:27" s="95" customFormat="1" ht="13.5" hidden="1" customHeight="1">
      <c r="A36" s="267"/>
      <c r="B36" s="267"/>
      <c r="C36" s="95" t="s">
        <v>61</v>
      </c>
      <c r="D36" s="163"/>
      <c r="I36" s="2642"/>
      <c r="K36" s="151"/>
      <c r="L36" s="95" t="s">
        <v>62</v>
      </c>
      <c r="P36" s="2643"/>
      <c r="Q36" s="3233"/>
      <c r="R36" s="3234"/>
      <c r="S36" s="3235"/>
      <c r="Z36" s="1809">
        <v>36</v>
      </c>
      <c r="AA36" s="1235">
        <v>34</v>
      </c>
    </row>
    <row r="37" spans="1:27" s="95" customFormat="1" ht="12.75" hidden="1" customHeight="1">
      <c r="A37" s="267"/>
      <c r="B37" s="151"/>
      <c r="C37" s="95" t="s">
        <v>63</v>
      </c>
      <c r="I37" s="1291"/>
      <c r="J37" s="162" t="s">
        <v>64</v>
      </c>
      <c r="O37" s="3211"/>
      <c r="P37" s="3212"/>
      <c r="Q37" s="3233"/>
      <c r="R37" s="3234"/>
      <c r="S37" s="3235"/>
      <c r="Z37" s="1809">
        <v>37</v>
      </c>
      <c r="AA37" s="1235">
        <v>35</v>
      </c>
    </row>
    <row r="38" spans="1:27" s="95" customFormat="1" ht="12.75" customHeight="1">
      <c r="A38" s="267"/>
      <c r="B38" s="151"/>
      <c r="C38" s="95" t="s">
        <v>65</v>
      </c>
      <c r="I38" s="2642" t="s">
        <v>7474</v>
      </c>
      <c r="J38" s="162" t="s">
        <v>64</v>
      </c>
      <c r="O38" s="3213"/>
      <c r="P38" s="3214"/>
      <c r="Q38" s="3233"/>
      <c r="R38" s="3234"/>
      <c r="S38" s="3235"/>
      <c r="Z38" s="1809">
        <v>38</v>
      </c>
      <c r="AA38" s="1235">
        <v>36</v>
      </c>
    </row>
    <row r="39" spans="1:27" s="95" customFormat="1" ht="12.6" customHeight="1">
      <c r="A39" s="267"/>
      <c r="B39" s="267"/>
      <c r="C39" s="95" t="s">
        <v>66</v>
      </c>
      <c r="I39" s="625" t="s">
        <v>7474</v>
      </c>
      <c r="J39" s="162" t="s">
        <v>64</v>
      </c>
      <c r="O39" s="3215"/>
      <c r="P39" s="3216"/>
      <c r="Q39" s="3236"/>
      <c r="R39" s="3237"/>
      <c r="S39" s="3238"/>
      <c r="Z39" s="1809">
        <v>39</v>
      </c>
      <c r="AA39" s="1235">
        <v>37</v>
      </c>
    </row>
    <row r="40" spans="1:27" s="95" customFormat="1" ht="3" customHeight="1">
      <c r="A40" s="267"/>
      <c r="B40" s="267"/>
      <c r="P40" s="96"/>
      <c r="Z40" s="1809">
        <v>40</v>
      </c>
      <c r="AA40" s="1235">
        <v>38</v>
      </c>
    </row>
    <row r="41" spans="1:27" s="95" customFormat="1" ht="8.25" customHeight="1">
      <c r="B41" s="151"/>
      <c r="L41" s="96"/>
      <c r="M41" s="96"/>
      <c r="N41" s="96"/>
      <c r="O41" s="96"/>
      <c r="P41" s="154"/>
      <c r="Z41" s="1809">
        <v>41</v>
      </c>
      <c r="AA41" s="1235">
        <v>39</v>
      </c>
    </row>
    <row r="42" spans="1:27" ht="12" customHeight="1">
      <c r="A42" s="134" t="s">
        <v>67</v>
      </c>
      <c r="C42" s="159" t="s">
        <v>68</v>
      </c>
      <c r="M42" s="134" t="s">
        <v>69</v>
      </c>
      <c r="N42" s="159" t="s">
        <v>70</v>
      </c>
      <c r="Z42" s="1809">
        <v>42</v>
      </c>
      <c r="AA42" s="1235">
        <v>40</v>
      </c>
    </row>
    <row r="43" spans="1:27" ht="12" customHeight="1">
      <c r="A43" s="134"/>
      <c r="C43" s="159"/>
      <c r="M43" s="134"/>
      <c r="N43" s="159"/>
      <c r="Z43" s="1809">
        <v>43</v>
      </c>
      <c r="AA43" s="1235">
        <v>41</v>
      </c>
    </row>
    <row r="44" spans="1:27" ht="409.5" customHeight="1">
      <c r="A44" s="3217"/>
      <c r="B44" s="3218"/>
      <c r="C44" s="3218"/>
      <c r="D44" s="3218"/>
      <c r="E44" s="3218"/>
      <c r="F44" s="3218"/>
      <c r="G44" s="3218"/>
      <c r="H44" s="3218"/>
      <c r="I44" s="3218"/>
      <c r="J44" s="3218"/>
      <c r="K44" s="3218"/>
      <c r="L44" s="3219"/>
      <c r="M44" s="3220"/>
      <c r="N44" s="3221"/>
      <c r="O44" s="3221"/>
      <c r="P44" s="3222"/>
      <c r="Q44" s="3199"/>
      <c r="R44" s="3179"/>
      <c r="S44" s="3179"/>
      <c r="T44" s="260"/>
      <c r="U44" s="260"/>
      <c r="Z44" s="1809">
        <v>44</v>
      </c>
      <c r="AA44" s="1235">
        <v>42</v>
      </c>
    </row>
    <row r="45" spans="1:27" ht="12" customHeight="1">
      <c r="Q45" s="260"/>
      <c r="R45" s="260"/>
      <c r="S45" s="260"/>
      <c r="T45" s="260"/>
      <c r="U45" s="260"/>
      <c r="Z45" s="1809">
        <v>45</v>
      </c>
      <c r="AA45" s="1235">
        <v>43</v>
      </c>
    </row>
    <row r="46" spans="1:27">
      <c r="Z46" s="1809">
        <v>46</v>
      </c>
      <c r="AA46" s="1235">
        <v>44</v>
      </c>
    </row>
    <row r="47" spans="1:27">
      <c r="AA47" s="1235">
        <v>45</v>
      </c>
    </row>
    <row r="48" spans="1:27">
      <c r="P48" s="620"/>
      <c r="Q48" s="620"/>
      <c r="R48" s="620"/>
      <c r="AA48" s="95"/>
    </row>
    <row r="49" spans="1:44">
      <c r="P49" s="620"/>
      <c r="Q49" s="620"/>
      <c r="R49" s="620"/>
      <c r="AA49" s="95"/>
    </row>
    <row r="50" spans="1:44">
      <c r="P50" s="620"/>
      <c r="Q50" s="620"/>
      <c r="R50" s="620"/>
      <c r="AA50" s="95"/>
    </row>
    <row r="51" spans="1:44">
      <c r="P51" s="620"/>
      <c r="Q51" s="620"/>
      <c r="R51" s="620"/>
      <c r="AA51" s="95"/>
    </row>
    <row r="52" spans="1:44" s="270" customFormat="1" ht="12" customHeight="1">
      <c r="A52" s="96"/>
      <c r="B52" s="159"/>
      <c r="C52" s="96"/>
      <c r="D52" s="96"/>
      <c r="E52" s="96"/>
      <c r="F52" s="96"/>
      <c r="G52" s="96"/>
      <c r="H52" s="96"/>
      <c r="I52" s="96"/>
      <c r="J52" s="96"/>
      <c r="K52" s="96"/>
      <c r="L52" s="96"/>
      <c r="M52" s="96"/>
      <c r="N52" s="96"/>
      <c r="O52" s="96"/>
      <c r="P52" s="620"/>
      <c r="Q52" s="620"/>
      <c r="R52" s="620"/>
      <c r="X52" s="96"/>
      <c r="Y52" s="96"/>
      <c r="Z52" s="2498"/>
      <c r="AA52" s="95"/>
      <c r="AB52" s="96"/>
      <c r="AC52" s="96"/>
      <c r="AD52" s="96"/>
      <c r="AE52" s="96"/>
      <c r="AF52" s="96"/>
      <c r="AG52" s="96"/>
      <c r="AH52" s="96"/>
      <c r="AI52" s="96"/>
      <c r="AJ52" s="96"/>
      <c r="AK52" s="96"/>
      <c r="AL52" s="96"/>
      <c r="AM52" s="96"/>
      <c r="AN52" s="96"/>
      <c r="AO52" s="96"/>
      <c r="AP52" s="96"/>
      <c r="AQ52" s="96"/>
      <c r="AR52" s="96"/>
    </row>
    <row r="53" spans="1:44" s="270" customFormat="1" ht="23.1" customHeight="1">
      <c r="A53" s="96"/>
      <c r="B53" s="96"/>
      <c r="C53" s="96"/>
      <c r="D53" s="96"/>
      <c r="E53" s="96"/>
      <c r="F53" s="96"/>
      <c r="G53" s="96"/>
      <c r="H53" s="96"/>
      <c r="I53" s="96"/>
      <c r="J53" s="96"/>
      <c r="K53" s="96"/>
      <c r="L53" s="96"/>
      <c r="M53" s="96"/>
      <c r="N53" s="96"/>
      <c r="O53" s="96"/>
      <c r="P53" s="621"/>
      <c r="Q53" s="620"/>
      <c r="R53" s="620"/>
      <c r="T53" s="289"/>
      <c r="U53" s="288"/>
      <c r="X53" s="96"/>
      <c r="Y53" s="96"/>
      <c r="Z53" s="2498"/>
      <c r="AA53" s="95"/>
      <c r="AB53" s="96"/>
      <c r="AC53" s="96"/>
      <c r="AD53" s="96"/>
      <c r="AE53" s="96"/>
      <c r="AF53" s="96"/>
      <c r="AG53" s="96"/>
      <c r="AH53" s="96"/>
      <c r="AI53" s="96"/>
      <c r="AJ53" s="96"/>
      <c r="AK53" s="96"/>
      <c r="AL53" s="96"/>
      <c r="AM53" s="96"/>
      <c r="AN53" s="96"/>
      <c r="AO53" s="96"/>
      <c r="AP53" s="96"/>
      <c r="AQ53" s="96"/>
      <c r="AR53" s="96"/>
    </row>
    <row r="54" spans="1:44" s="270" customFormat="1" ht="12" customHeight="1">
      <c r="A54" s="96"/>
      <c r="B54" s="96"/>
      <c r="C54" s="96"/>
      <c r="D54" s="96"/>
      <c r="E54" s="96"/>
      <c r="F54" s="96"/>
      <c r="G54" s="96"/>
      <c r="H54" s="96"/>
      <c r="I54" s="96"/>
      <c r="J54" s="96"/>
      <c r="K54" s="96"/>
      <c r="L54" s="96"/>
      <c r="M54" s="96"/>
      <c r="N54" s="96"/>
      <c r="O54" s="96"/>
      <c r="P54" s="621"/>
      <c r="Q54" s="620"/>
      <c r="R54" s="620"/>
      <c r="T54" s="271"/>
      <c r="U54" s="271"/>
      <c r="X54" s="96"/>
      <c r="Y54" s="96"/>
      <c r="Z54" s="2498"/>
      <c r="AA54" s="95"/>
      <c r="AB54" s="96"/>
      <c r="AC54" s="96"/>
      <c r="AD54" s="96"/>
      <c r="AE54" s="96"/>
      <c r="AF54" s="96"/>
      <c r="AG54" s="96"/>
      <c r="AH54" s="96"/>
      <c r="AI54" s="96"/>
      <c r="AJ54" s="96"/>
      <c r="AK54" s="96"/>
      <c r="AL54" s="96"/>
      <c r="AM54" s="96"/>
      <c r="AN54" s="96"/>
      <c r="AO54" s="96"/>
      <c r="AP54" s="96"/>
      <c r="AQ54" s="96"/>
      <c r="AR54" s="96"/>
    </row>
    <row r="55" spans="1:44" s="270" customFormat="1" ht="12" customHeight="1">
      <c r="A55" s="96"/>
      <c r="B55" s="96"/>
      <c r="C55" s="96"/>
      <c r="D55" s="96"/>
      <c r="E55" s="96"/>
      <c r="F55" s="96"/>
      <c r="G55" s="96"/>
      <c r="H55" s="96"/>
      <c r="I55" s="96"/>
      <c r="J55" s="96"/>
      <c r="K55" s="96"/>
      <c r="L55" s="96"/>
      <c r="M55" s="96"/>
      <c r="N55" s="96"/>
      <c r="O55" s="96"/>
      <c r="P55" s="621"/>
      <c r="Q55" s="620"/>
      <c r="R55" s="620"/>
      <c r="T55" s="271"/>
      <c r="U55" s="271"/>
      <c r="X55" s="96"/>
      <c r="Y55" s="96"/>
      <c r="Z55" s="2498"/>
      <c r="AA55" s="95"/>
      <c r="AB55" s="96"/>
      <c r="AC55" s="96"/>
      <c r="AD55" s="96"/>
      <c r="AE55" s="96"/>
      <c r="AF55" s="96"/>
      <c r="AG55" s="96"/>
      <c r="AH55" s="96"/>
      <c r="AI55" s="96"/>
      <c r="AJ55" s="96"/>
      <c r="AK55" s="96"/>
      <c r="AL55" s="96"/>
      <c r="AM55" s="96"/>
      <c r="AN55" s="96"/>
      <c r="AO55" s="96"/>
      <c r="AP55" s="96"/>
      <c r="AQ55" s="96"/>
      <c r="AR55" s="96"/>
    </row>
    <row r="56" spans="1:44" s="620" customFormat="1" ht="12" customHeight="1">
      <c r="P56" s="621"/>
      <c r="T56" s="624"/>
      <c r="U56" s="624"/>
      <c r="Z56" s="2498"/>
      <c r="AA56" s="95"/>
    </row>
    <row r="57" spans="1:44" s="270" customFormat="1" ht="12" customHeight="1">
      <c r="A57" s="96"/>
      <c r="B57" s="96"/>
      <c r="C57" s="96"/>
      <c r="D57" s="96"/>
      <c r="E57" s="96"/>
      <c r="F57" s="96"/>
      <c r="G57" s="96"/>
      <c r="H57" s="96"/>
      <c r="I57" s="96"/>
      <c r="J57" s="96"/>
      <c r="K57" s="96"/>
      <c r="L57" s="96"/>
      <c r="M57" s="96"/>
      <c r="N57" s="96"/>
      <c r="O57" s="96"/>
      <c r="P57" s="621"/>
      <c r="Q57" s="620"/>
      <c r="R57" s="620"/>
      <c r="T57" s="271"/>
      <c r="U57" s="271"/>
      <c r="X57" s="96"/>
      <c r="Y57" s="96"/>
      <c r="Z57" s="2498"/>
      <c r="AA57" s="95"/>
      <c r="AB57" s="96"/>
      <c r="AC57" s="96"/>
      <c r="AD57" s="96"/>
      <c r="AE57" s="96"/>
      <c r="AF57" s="96"/>
      <c r="AG57" s="96"/>
      <c r="AH57" s="96"/>
      <c r="AI57" s="96"/>
      <c r="AJ57" s="96"/>
      <c r="AK57" s="96"/>
      <c r="AL57" s="96"/>
      <c r="AM57" s="96"/>
      <c r="AN57" s="96"/>
      <c r="AO57" s="96"/>
      <c r="AP57" s="96"/>
      <c r="AQ57" s="96"/>
      <c r="AR57" s="96"/>
    </row>
    <row r="58" spans="1:44" s="270" customFormat="1" ht="12" customHeight="1">
      <c r="A58" s="96"/>
      <c r="B58" s="96"/>
      <c r="C58" s="96"/>
      <c r="D58" s="96"/>
      <c r="E58" s="96"/>
      <c r="F58" s="96"/>
      <c r="G58" s="96"/>
      <c r="H58" s="96"/>
      <c r="I58" s="96"/>
      <c r="J58" s="96"/>
      <c r="K58" s="96"/>
      <c r="L58" s="96"/>
      <c r="M58" s="96"/>
      <c r="N58" s="96"/>
      <c r="O58" s="96"/>
      <c r="P58" s="621"/>
      <c r="Q58" s="620"/>
      <c r="R58" s="620"/>
      <c r="T58" s="271"/>
      <c r="U58" s="271"/>
      <c r="X58" s="96"/>
      <c r="Y58" s="96"/>
      <c r="Z58" s="2498"/>
      <c r="AA58" s="95"/>
      <c r="AB58" s="96"/>
      <c r="AC58" s="96"/>
      <c r="AD58" s="96"/>
      <c r="AE58" s="96"/>
      <c r="AF58" s="96"/>
      <c r="AG58" s="96"/>
      <c r="AH58" s="96"/>
      <c r="AI58" s="96"/>
      <c r="AJ58" s="96"/>
      <c r="AK58" s="96"/>
      <c r="AL58" s="96"/>
      <c r="AM58" s="96"/>
      <c r="AN58" s="96"/>
      <c r="AO58" s="96"/>
      <c r="AP58" s="96"/>
      <c r="AQ58" s="96"/>
      <c r="AR58" s="96"/>
    </row>
    <row r="59" spans="1:44" s="270" customFormat="1" ht="12" customHeight="1">
      <c r="A59" s="96"/>
      <c r="B59" s="96"/>
      <c r="C59" s="96"/>
      <c r="D59" s="96"/>
      <c r="E59" s="96"/>
      <c r="F59" s="96"/>
      <c r="G59" s="96"/>
      <c r="H59" s="96"/>
      <c r="I59" s="96"/>
      <c r="J59" s="96"/>
      <c r="K59" s="96"/>
      <c r="L59" s="96"/>
      <c r="M59" s="96"/>
      <c r="N59" s="96"/>
      <c r="O59" s="96"/>
      <c r="P59" s="621"/>
      <c r="Q59" s="620"/>
      <c r="R59" s="620"/>
      <c r="T59" s="271"/>
      <c r="U59" s="271"/>
      <c r="X59" s="96"/>
      <c r="Y59" s="96"/>
      <c r="Z59" s="2498"/>
      <c r="AA59" s="95"/>
      <c r="AB59" s="96"/>
      <c r="AC59" s="96"/>
      <c r="AD59" s="96"/>
      <c r="AE59" s="96"/>
      <c r="AF59" s="96"/>
      <c r="AG59" s="96"/>
      <c r="AH59" s="96"/>
      <c r="AI59" s="96"/>
      <c r="AJ59" s="96"/>
      <c r="AK59" s="96"/>
      <c r="AL59" s="96"/>
      <c r="AM59" s="96"/>
      <c r="AN59" s="96"/>
      <c r="AO59" s="96"/>
      <c r="AP59" s="96"/>
      <c r="AQ59" s="96"/>
      <c r="AR59" s="96"/>
    </row>
    <row r="60" spans="1:44" s="270" customFormat="1" ht="12" customHeight="1">
      <c r="A60" s="96"/>
      <c r="B60" s="96"/>
      <c r="C60" s="96"/>
      <c r="D60" s="96"/>
      <c r="E60" s="96"/>
      <c r="F60" s="96"/>
      <c r="G60" s="96"/>
      <c r="H60" s="96"/>
      <c r="I60" s="96"/>
      <c r="J60" s="96"/>
      <c r="K60" s="96"/>
      <c r="L60" s="96"/>
      <c r="M60" s="96"/>
      <c r="N60" s="96"/>
      <c r="O60" s="96"/>
      <c r="P60" s="621"/>
      <c r="Q60" s="620"/>
      <c r="R60" s="620"/>
      <c r="T60" s="271"/>
      <c r="U60" s="271"/>
      <c r="X60" s="96"/>
      <c r="Y60" s="96"/>
      <c r="Z60" s="2498"/>
      <c r="AA60" s="95"/>
      <c r="AB60" s="96"/>
      <c r="AC60" s="96"/>
      <c r="AD60" s="96"/>
      <c r="AE60" s="96"/>
      <c r="AF60" s="96"/>
      <c r="AG60" s="96"/>
      <c r="AH60" s="96"/>
      <c r="AI60" s="96"/>
      <c r="AJ60" s="96"/>
      <c r="AK60" s="96"/>
      <c r="AL60" s="96"/>
      <c r="AM60" s="96"/>
      <c r="AN60" s="96"/>
      <c r="AO60" s="96"/>
      <c r="AP60" s="96"/>
      <c r="AQ60" s="96"/>
      <c r="AR60" s="96"/>
    </row>
    <row r="61" spans="1:44" s="270" customFormat="1" ht="12" customHeight="1">
      <c r="A61" s="96"/>
      <c r="B61" s="96"/>
      <c r="C61" s="96"/>
      <c r="D61" s="96"/>
      <c r="E61" s="96"/>
      <c r="F61" s="96"/>
      <c r="G61" s="96"/>
      <c r="H61" s="96"/>
      <c r="I61" s="96"/>
      <c r="J61" s="96"/>
      <c r="K61" s="96"/>
      <c r="L61" s="96"/>
      <c r="M61" s="96"/>
      <c r="N61" s="96"/>
      <c r="O61" s="96"/>
      <c r="P61" s="621"/>
      <c r="Q61" s="622"/>
      <c r="R61" s="620"/>
      <c r="X61" s="96"/>
      <c r="Y61" s="96"/>
      <c r="Z61" s="2498"/>
      <c r="AA61" s="95"/>
      <c r="AB61" s="96"/>
      <c r="AC61" s="96"/>
      <c r="AD61" s="96"/>
      <c r="AE61" s="96"/>
      <c r="AF61" s="96"/>
      <c r="AG61" s="96"/>
      <c r="AH61" s="96"/>
      <c r="AI61" s="96"/>
      <c r="AJ61" s="96"/>
      <c r="AK61" s="96"/>
      <c r="AL61" s="96"/>
      <c r="AM61" s="96"/>
      <c r="AN61" s="96"/>
      <c r="AO61" s="96"/>
      <c r="AP61" s="96"/>
      <c r="AQ61" s="96"/>
      <c r="AR61" s="96"/>
    </row>
    <row r="62" spans="1:44" s="270" customFormat="1" ht="12" customHeight="1">
      <c r="A62" s="96"/>
      <c r="B62" s="96"/>
      <c r="C62" s="96"/>
      <c r="D62" s="96"/>
      <c r="E62" s="96"/>
      <c r="F62" s="96"/>
      <c r="G62" s="96"/>
      <c r="H62" s="96"/>
      <c r="I62" s="96"/>
      <c r="J62" s="96"/>
      <c r="K62" s="96"/>
      <c r="L62" s="96"/>
      <c r="M62" s="96"/>
      <c r="N62" s="96"/>
      <c r="O62" s="96"/>
      <c r="P62" s="621"/>
      <c r="Q62" s="622"/>
      <c r="R62" s="620"/>
      <c r="X62" s="96"/>
      <c r="Y62" s="96"/>
      <c r="Z62" s="2498"/>
      <c r="AA62" s="95"/>
      <c r="AB62" s="96"/>
      <c r="AC62" s="96"/>
      <c r="AD62" s="96"/>
      <c r="AE62" s="96"/>
      <c r="AF62" s="96"/>
      <c r="AG62" s="96"/>
      <c r="AH62" s="96"/>
      <c r="AI62" s="96"/>
      <c r="AJ62" s="96"/>
      <c r="AK62" s="96"/>
      <c r="AL62" s="96"/>
      <c r="AM62" s="96"/>
      <c r="AN62" s="96"/>
      <c r="AO62" s="96"/>
      <c r="AP62" s="96"/>
      <c r="AQ62" s="96"/>
      <c r="AR62" s="96"/>
    </row>
    <row r="63" spans="1:44" s="270" customFormat="1" ht="12" customHeight="1">
      <c r="A63" s="96"/>
      <c r="B63" s="96"/>
      <c r="C63" s="96"/>
      <c r="D63" s="96"/>
      <c r="E63" s="96"/>
      <c r="F63" s="96"/>
      <c r="G63" s="96"/>
      <c r="H63" s="96"/>
      <c r="I63" s="96"/>
      <c r="J63" s="96"/>
      <c r="K63" s="96"/>
      <c r="L63" s="96"/>
      <c r="M63" s="96"/>
      <c r="N63" s="96"/>
      <c r="O63" s="96"/>
      <c r="P63" s="621"/>
      <c r="Q63" s="622"/>
      <c r="R63" s="620"/>
      <c r="X63" s="96"/>
      <c r="Y63" s="96"/>
      <c r="Z63" s="2498"/>
      <c r="AA63" s="95"/>
      <c r="AB63" s="96"/>
      <c r="AC63" s="96"/>
      <c r="AD63" s="96"/>
      <c r="AE63" s="96"/>
      <c r="AF63" s="96"/>
      <c r="AG63" s="96"/>
      <c r="AH63" s="96"/>
      <c r="AI63" s="96"/>
      <c r="AJ63" s="96"/>
      <c r="AK63" s="96"/>
      <c r="AL63" s="96"/>
      <c r="AM63" s="96"/>
      <c r="AN63" s="96"/>
      <c r="AO63" s="96"/>
      <c r="AP63" s="96"/>
      <c r="AQ63" s="96"/>
      <c r="AR63" s="96"/>
    </row>
    <row r="64" spans="1:44" s="270" customFormat="1" ht="12" customHeight="1">
      <c r="A64" s="96"/>
      <c r="B64" s="96"/>
      <c r="C64" s="96"/>
      <c r="D64" s="96"/>
      <c r="E64" s="96"/>
      <c r="F64" s="96"/>
      <c r="G64" s="96"/>
      <c r="H64" s="96"/>
      <c r="I64" s="96"/>
      <c r="J64" s="96"/>
      <c r="K64" s="96"/>
      <c r="L64" s="96"/>
      <c r="M64" s="96"/>
      <c r="N64" s="96"/>
      <c r="O64" s="96"/>
      <c r="P64" s="621"/>
      <c r="Q64" s="622"/>
      <c r="R64" s="620"/>
      <c r="X64" s="96"/>
      <c r="Y64" s="96"/>
      <c r="Z64" s="2498"/>
      <c r="AA64" s="95"/>
      <c r="AB64" s="96"/>
      <c r="AC64" s="96"/>
      <c r="AD64" s="96"/>
      <c r="AE64" s="96"/>
      <c r="AF64" s="96"/>
      <c r="AG64" s="96"/>
      <c r="AH64" s="96"/>
      <c r="AI64" s="96"/>
      <c r="AJ64" s="96"/>
      <c r="AK64" s="96"/>
      <c r="AL64" s="96"/>
      <c r="AM64" s="96"/>
      <c r="AN64" s="96"/>
      <c r="AO64" s="96"/>
      <c r="AP64" s="96"/>
      <c r="AQ64" s="96"/>
      <c r="AR64" s="96"/>
    </row>
    <row r="65" spans="1:44" s="270" customFormat="1" ht="12" customHeight="1">
      <c r="A65" s="96"/>
      <c r="B65" s="96"/>
      <c r="C65" s="96"/>
      <c r="D65" s="146"/>
      <c r="E65" s="96"/>
      <c r="F65" s="96"/>
      <c r="G65" s="96"/>
      <c r="H65" s="96"/>
      <c r="I65" s="96"/>
      <c r="J65" s="590" t="s">
        <v>71</v>
      </c>
      <c r="K65" s="96"/>
      <c r="L65" s="96"/>
      <c r="M65" s="96"/>
      <c r="N65" s="96"/>
      <c r="O65" s="96"/>
      <c r="P65" s="621"/>
      <c r="Q65" s="622"/>
      <c r="R65" s="620"/>
      <c r="X65" s="96"/>
      <c r="Y65" s="96"/>
      <c r="Z65" s="2498"/>
      <c r="AA65" s="95"/>
      <c r="AB65" s="96"/>
      <c r="AC65" s="96"/>
      <c r="AD65" s="96"/>
      <c r="AE65" s="96"/>
      <c r="AF65" s="96"/>
      <c r="AG65" s="96"/>
      <c r="AH65" s="96"/>
      <c r="AI65" s="96"/>
      <c r="AJ65" s="96"/>
      <c r="AK65" s="96"/>
      <c r="AL65" s="96"/>
      <c r="AM65" s="96"/>
      <c r="AN65" s="96"/>
      <c r="AO65" s="96"/>
      <c r="AP65" s="96"/>
      <c r="AQ65" s="96"/>
      <c r="AR65" s="96"/>
    </row>
    <row r="66" spans="1:44" s="270" customFormat="1" ht="12" customHeight="1">
      <c r="A66" s="96"/>
      <c r="B66" s="96"/>
      <c r="C66" s="96"/>
      <c r="D66" s="146"/>
      <c r="E66" s="96"/>
      <c r="F66" s="96"/>
      <c r="G66" s="96"/>
      <c r="H66" s="96"/>
      <c r="I66" s="96"/>
      <c r="J66" s="590" t="s">
        <v>72</v>
      </c>
      <c r="K66" s="96"/>
      <c r="L66" s="96"/>
      <c r="M66" s="96"/>
      <c r="N66" s="96"/>
      <c r="O66" s="96"/>
      <c r="P66" s="621"/>
      <c r="Q66" s="622"/>
      <c r="R66" s="620"/>
      <c r="X66" s="96"/>
      <c r="Y66" s="96"/>
      <c r="Z66" s="2498"/>
      <c r="AA66" s="95"/>
      <c r="AB66" s="96"/>
      <c r="AC66" s="96"/>
      <c r="AD66" s="96"/>
      <c r="AE66" s="96"/>
      <c r="AF66" s="96"/>
      <c r="AG66" s="96"/>
      <c r="AH66" s="96"/>
      <c r="AI66" s="96"/>
      <c r="AJ66" s="96"/>
      <c r="AK66" s="96"/>
      <c r="AL66" s="96"/>
      <c r="AM66" s="96"/>
      <c r="AN66" s="96"/>
      <c r="AO66" s="96"/>
      <c r="AP66" s="96"/>
      <c r="AQ66" s="96"/>
      <c r="AR66" s="96"/>
    </row>
    <row r="67" spans="1:44" s="270" customFormat="1" ht="12" customHeight="1">
      <c r="A67" s="96"/>
      <c r="B67" s="96"/>
      <c r="C67" s="96"/>
      <c r="D67" s="146"/>
      <c r="E67" s="96"/>
      <c r="F67" s="96"/>
      <c r="G67" s="96"/>
      <c r="H67" s="96"/>
      <c r="I67" s="96"/>
      <c r="J67" s="590" t="s">
        <v>73</v>
      </c>
      <c r="K67" s="96"/>
      <c r="L67" s="96"/>
      <c r="M67" s="96"/>
      <c r="N67" s="96"/>
      <c r="O67" s="96"/>
      <c r="P67" s="621"/>
      <c r="Q67" s="622"/>
      <c r="R67" s="620"/>
      <c r="X67" s="96"/>
      <c r="Y67" s="96"/>
      <c r="Z67" s="2498"/>
      <c r="AA67" s="95"/>
      <c r="AB67" s="96"/>
      <c r="AC67" s="96"/>
      <c r="AD67" s="96"/>
      <c r="AE67" s="96"/>
      <c r="AF67" s="96"/>
      <c r="AG67" s="96"/>
      <c r="AH67" s="96"/>
      <c r="AI67" s="96"/>
      <c r="AJ67" s="96"/>
      <c r="AK67" s="96"/>
      <c r="AL67" s="96"/>
      <c r="AM67" s="96"/>
      <c r="AN67" s="96"/>
      <c r="AO67" s="96"/>
      <c r="AP67" s="96"/>
      <c r="AQ67" s="96"/>
      <c r="AR67" s="96"/>
    </row>
    <row r="68" spans="1:44" s="270" customFormat="1" ht="12" customHeight="1">
      <c r="A68" s="96"/>
      <c r="B68" s="96"/>
      <c r="C68" s="96"/>
      <c r="D68" s="146"/>
      <c r="E68" s="96"/>
      <c r="F68" s="96"/>
      <c r="G68" s="96"/>
      <c r="H68" s="96"/>
      <c r="I68" s="96"/>
      <c r="J68" s="590" t="s">
        <v>74</v>
      </c>
      <c r="K68" s="96"/>
      <c r="L68" s="96"/>
      <c r="M68" s="96"/>
      <c r="N68" s="96"/>
      <c r="O68" s="96"/>
      <c r="P68" s="621"/>
      <c r="Q68" s="622"/>
      <c r="R68" s="620"/>
      <c r="X68" s="96"/>
      <c r="Y68" s="96"/>
      <c r="Z68" s="2498"/>
      <c r="AA68" s="95"/>
      <c r="AB68" s="96"/>
      <c r="AC68" s="96"/>
      <c r="AD68" s="96"/>
      <c r="AE68" s="96"/>
      <c r="AF68" s="96"/>
      <c r="AG68" s="96"/>
      <c r="AH68" s="96"/>
      <c r="AI68" s="96"/>
      <c r="AJ68" s="96"/>
      <c r="AK68" s="96"/>
      <c r="AL68" s="96"/>
      <c r="AM68" s="96"/>
      <c r="AN68" s="96"/>
      <c r="AO68" s="96"/>
      <c r="AP68" s="96"/>
      <c r="AQ68" s="96"/>
      <c r="AR68" s="96"/>
    </row>
    <row r="69" spans="1:44" s="270" customFormat="1" ht="12" customHeight="1">
      <c r="A69" s="96"/>
      <c r="B69" s="96"/>
      <c r="C69" s="96"/>
      <c r="D69" s="146"/>
      <c r="E69" s="96"/>
      <c r="F69" s="96"/>
      <c r="G69" s="96"/>
      <c r="H69" s="96"/>
      <c r="I69" s="96"/>
      <c r="J69" s="590" t="s">
        <v>75</v>
      </c>
      <c r="K69" s="96"/>
      <c r="L69" s="96"/>
      <c r="M69" s="96"/>
      <c r="N69" s="96"/>
      <c r="O69" s="96"/>
      <c r="P69" s="621"/>
      <c r="Q69" s="622"/>
      <c r="R69" s="620"/>
      <c r="X69" s="96"/>
      <c r="Y69" s="96"/>
      <c r="Z69" s="2498"/>
      <c r="AA69" s="95"/>
      <c r="AB69" s="96"/>
      <c r="AC69" s="96"/>
      <c r="AD69" s="96"/>
      <c r="AE69" s="96"/>
      <c r="AF69" s="96"/>
      <c r="AG69" s="96"/>
      <c r="AH69" s="96"/>
      <c r="AI69" s="96"/>
      <c r="AJ69" s="96"/>
      <c r="AK69" s="96"/>
      <c r="AL69" s="96"/>
      <c r="AM69" s="96"/>
      <c r="AN69" s="96"/>
      <c r="AO69" s="96"/>
      <c r="AP69" s="96"/>
      <c r="AQ69" s="96"/>
      <c r="AR69" s="96"/>
    </row>
    <row r="70" spans="1:44" s="270" customFormat="1" ht="12" customHeight="1">
      <c r="A70" s="96"/>
      <c r="B70" s="96"/>
      <c r="C70" s="96"/>
      <c r="D70" s="146"/>
      <c r="E70" s="96"/>
      <c r="F70" s="96"/>
      <c r="G70" s="96"/>
      <c r="H70" s="96"/>
      <c r="I70" s="96"/>
      <c r="J70" s="590" t="s">
        <v>76</v>
      </c>
      <c r="K70" s="96"/>
      <c r="L70" s="96"/>
      <c r="M70" s="96"/>
      <c r="N70" s="96"/>
      <c r="O70" s="96"/>
      <c r="P70" s="621"/>
      <c r="Q70" s="622"/>
      <c r="R70" s="620"/>
      <c r="X70" s="96"/>
      <c r="Y70" s="96"/>
      <c r="Z70" s="2498"/>
      <c r="AA70" s="95"/>
      <c r="AB70" s="96"/>
      <c r="AC70" s="96"/>
      <c r="AD70" s="96"/>
      <c r="AE70" s="96"/>
      <c r="AF70" s="96"/>
      <c r="AG70" s="96"/>
      <c r="AH70" s="96"/>
      <c r="AI70" s="96"/>
      <c r="AJ70" s="96"/>
      <c r="AK70" s="96"/>
      <c r="AL70" s="96"/>
      <c r="AM70" s="96"/>
      <c r="AN70" s="96"/>
      <c r="AO70" s="96"/>
      <c r="AP70" s="96"/>
      <c r="AQ70" s="96"/>
      <c r="AR70" s="96"/>
    </row>
    <row r="71" spans="1:44" s="270" customFormat="1" ht="12" customHeight="1">
      <c r="A71" s="96"/>
      <c r="B71" s="96"/>
      <c r="C71" s="96"/>
      <c r="D71" s="146"/>
      <c r="E71" s="96"/>
      <c r="F71" s="96"/>
      <c r="G71" s="96"/>
      <c r="H71" s="96"/>
      <c r="I71" s="96"/>
      <c r="J71" s="590" t="s">
        <v>77</v>
      </c>
      <c r="K71" s="96"/>
      <c r="L71" s="96"/>
      <c r="M71" s="96"/>
      <c r="N71" s="96"/>
      <c r="O71" s="96"/>
      <c r="P71" s="621"/>
      <c r="Q71" s="622"/>
      <c r="R71" s="620"/>
      <c r="X71" s="96"/>
      <c r="Y71" s="96"/>
      <c r="Z71" s="2498"/>
      <c r="AA71" s="95"/>
      <c r="AB71" s="96"/>
      <c r="AC71" s="96"/>
      <c r="AD71" s="96"/>
      <c r="AE71" s="96"/>
      <c r="AF71" s="96"/>
      <c r="AG71" s="96"/>
      <c r="AH71" s="96"/>
      <c r="AI71" s="96"/>
      <c r="AJ71" s="96"/>
      <c r="AK71" s="96"/>
      <c r="AL71" s="96"/>
      <c r="AM71" s="96"/>
      <c r="AN71" s="96"/>
      <c r="AO71" s="96"/>
      <c r="AP71" s="96"/>
      <c r="AQ71" s="96"/>
      <c r="AR71" s="96"/>
    </row>
    <row r="72" spans="1:44" s="270" customFormat="1" ht="12" customHeight="1">
      <c r="A72" s="96"/>
      <c r="B72" s="96"/>
      <c r="C72" s="96"/>
      <c r="D72" s="146"/>
      <c r="E72" s="96"/>
      <c r="F72" s="96"/>
      <c r="G72" s="96"/>
      <c r="H72" s="96"/>
      <c r="I72" s="96"/>
      <c r="J72" s="590" t="s">
        <v>78</v>
      </c>
      <c r="K72" s="96"/>
      <c r="L72" s="96"/>
      <c r="M72" s="96"/>
      <c r="N72" s="96"/>
      <c r="O72" s="96"/>
      <c r="P72" s="621"/>
      <c r="Q72" s="622"/>
      <c r="R72" s="620"/>
      <c r="X72" s="96"/>
      <c r="Y72" s="96"/>
      <c r="Z72" s="2498"/>
      <c r="AA72" s="95"/>
      <c r="AB72" s="96"/>
      <c r="AC72" s="96"/>
      <c r="AD72" s="96"/>
      <c r="AE72" s="96"/>
      <c r="AF72" s="96"/>
      <c r="AG72" s="96"/>
      <c r="AH72" s="96"/>
      <c r="AI72" s="96"/>
      <c r="AJ72" s="96"/>
      <c r="AK72" s="96"/>
      <c r="AL72" s="96"/>
      <c r="AM72" s="96"/>
      <c r="AN72" s="96"/>
      <c r="AO72" s="96"/>
      <c r="AP72" s="96"/>
      <c r="AQ72" s="96"/>
      <c r="AR72" s="96"/>
    </row>
    <row r="73" spans="1:44" s="270" customFormat="1" ht="12" customHeight="1">
      <c r="A73" s="96"/>
      <c r="B73" s="96"/>
      <c r="C73" s="96"/>
      <c r="D73" s="146"/>
      <c r="E73" s="96"/>
      <c r="F73" s="96"/>
      <c r="G73" s="96"/>
      <c r="H73" s="96"/>
      <c r="I73" s="96"/>
      <c r="J73" s="590" t="s">
        <v>79</v>
      </c>
      <c r="K73" s="96"/>
      <c r="L73" s="96"/>
      <c r="M73" s="96"/>
      <c r="N73" s="96"/>
      <c r="O73" s="96"/>
      <c r="P73" s="621"/>
      <c r="Q73" s="622"/>
      <c r="R73" s="620"/>
      <c r="X73" s="96"/>
      <c r="Y73" s="96"/>
      <c r="Z73" s="2498"/>
      <c r="AA73" s="95"/>
      <c r="AB73" s="96"/>
      <c r="AC73" s="96"/>
      <c r="AD73" s="96"/>
      <c r="AE73" s="96"/>
      <c r="AF73" s="96"/>
      <c r="AG73" s="96"/>
      <c r="AH73" s="96"/>
      <c r="AI73" s="96"/>
      <c r="AJ73" s="96"/>
      <c r="AK73" s="96"/>
      <c r="AL73" s="96"/>
      <c r="AM73" s="96"/>
      <c r="AN73" s="96"/>
      <c r="AO73" s="96"/>
      <c r="AP73" s="96"/>
      <c r="AQ73" s="96"/>
      <c r="AR73" s="96"/>
    </row>
    <row r="74" spans="1:44" s="270" customFormat="1" ht="12" customHeight="1">
      <c r="A74" s="96"/>
      <c r="B74" s="96"/>
      <c r="C74" s="96"/>
      <c r="D74" s="146"/>
      <c r="E74" s="96"/>
      <c r="F74" s="96"/>
      <c r="G74" s="96"/>
      <c r="H74" s="96"/>
      <c r="I74" s="96"/>
      <c r="J74" s="590" t="s">
        <v>80</v>
      </c>
      <c r="K74" s="96"/>
      <c r="L74" s="96"/>
      <c r="M74" s="96"/>
      <c r="N74" s="96"/>
      <c r="O74" s="96"/>
      <c r="P74" s="621"/>
      <c r="Q74" s="622"/>
      <c r="R74" s="620"/>
      <c r="X74" s="96"/>
      <c r="Y74" s="96"/>
      <c r="Z74" s="2498"/>
      <c r="AA74" s="95"/>
      <c r="AB74" s="96"/>
      <c r="AC74" s="96"/>
      <c r="AD74" s="96"/>
      <c r="AE74" s="96"/>
      <c r="AF74" s="96"/>
      <c r="AG74" s="96"/>
      <c r="AH74" s="96"/>
      <c r="AI74" s="96"/>
      <c r="AJ74" s="96"/>
      <c r="AK74" s="96"/>
      <c r="AL74" s="96"/>
      <c r="AM74" s="96"/>
      <c r="AN74" s="96"/>
      <c r="AO74" s="96"/>
      <c r="AP74" s="96"/>
      <c r="AQ74" s="96"/>
      <c r="AR74" s="96"/>
    </row>
    <row r="75" spans="1:44" s="270" customFormat="1" ht="12" customHeight="1">
      <c r="A75" s="96"/>
      <c r="B75" s="96"/>
      <c r="C75" s="96"/>
      <c r="D75" s="146"/>
      <c r="E75" s="96"/>
      <c r="F75" s="96"/>
      <c r="G75" s="96"/>
      <c r="H75" s="96"/>
      <c r="I75" s="96"/>
      <c r="J75" s="96"/>
      <c r="K75" s="96"/>
      <c r="L75" s="96"/>
      <c r="M75" s="96"/>
      <c r="N75" s="96"/>
      <c r="O75" s="96"/>
      <c r="P75" s="621"/>
      <c r="Q75" s="622"/>
      <c r="R75" s="620"/>
      <c r="X75" s="96"/>
      <c r="Y75" s="96"/>
      <c r="Z75" s="2498"/>
      <c r="AA75" s="95"/>
      <c r="AB75" s="96"/>
      <c r="AC75" s="96"/>
      <c r="AD75" s="96"/>
      <c r="AE75" s="96"/>
      <c r="AF75" s="96"/>
      <c r="AG75" s="96"/>
      <c r="AH75" s="96"/>
      <c r="AI75" s="96"/>
      <c r="AJ75" s="96"/>
      <c r="AK75" s="96"/>
      <c r="AL75" s="96"/>
      <c r="AM75" s="96"/>
      <c r="AN75" s="96"/>
      <c r="AO75" s="96"/>
      <c r="AP75" s="96"/>
      <c r="AQ75" s="96"/>
      <c r="AR75" s="96"/>
    </row>
    <row r="76" spans="1:44" s="270" customFormat="1" ht="12" customHeight="1">
      <c r="A76" s="96"/>
      <c r="B76" s="96"/>
      <c r="C76" s="96"/>
      <c r="D76" s="146"/>
      <c r="E76" s="96"/>
      <c r="F76" s="96"/>
      <c r="G76" s="96"/>
      <c r="H76" s="96"/>
      <c r="I76" s="96"/>
      <c r="J76" s="96"/>
      <c r="K76" s="96"/>
      <c r="L76" s="96"/>
      <c r="M76" s="96"/>
      <c r="N76" s="96"/>
      <c r="O76" s="96"/>
      <c r="P76" s="621"/>
      <c r="Q76" s="622"/>
      <c r="R76" s="620"/>
      <c r="X76" s="96"/>
      <c r="Y76" s="96"/>
      <c r="Z76" s="2498"/>
      <c r="AA76" s="95"/>
      <c r="AB76" s="96"/>
      <c r="AC76" s="96"/>
      <c r="AD76" s="96"/>
      <c r="AE76" s="96"/>
      <c r="AF76" s="96"/>
      <c r="AG76" s="96"/>
      <c r="AH76" s="96"/>
      <c r="AI76" s="96"/>
      <c r="AJ76" s="96"/>
      <c r="AK76" s="96"/>
      <c r="AL76" s="96"/>
      <c r="AM76" s="96"/>
      <c r="AN76" s="96"/>
      <c r="AO76" s="96"/>
      <c r="AP76" s="96"/>
      <c r="AQ76" s="96"/>
      <c r="AR76" s="96"/>
    </row>
    <row r="77" spans="1:44" s="270" customFormat="1" ht="12" customHeight="1">
      <c r="A77" s="96"/>
      <c r="B77" s="96"/>
      <c r="C77" s="96"/>
      <c r="D77" s="146"/>
      <c r="E77" s="96"/>
      <c r="F77" s="96"/>
      <c r="G77" s="96"/>
      <c r="H77" s="96"/>
      <c r="I77" s="96"/>
      <c r="J77" s="96"/>
      <c r="K77" s="96"/>
      <c r="L77" s="96"/>
      <c r="M77" s="96"/>
      <c r="N77" s="96"/>
      <c r="O77" s="96"/>
      <c r="P77" s="621"/>
      <c r="Q77" s="622"/>
      <c r="R77" s="620"/>
      <c r="X77" s="96"/>
      <c r="Y77" s="96"/>
      <c r="Z77" s="2498"/>
      <c r="AA77" s="95"/>
      <c r="AB77" s="96"/>
      <c r="AC77" s="96"/>
      <c r="AD77" s="96"/>
      <c r="AE77" s="96"/>
      <c r="AF77" s="96"/>
      <c r="AG77" s="96"/>
      <c r="AH77" s="96"/>
      <c r="AI77" s="96"/>
      <c r="AJ77" s="96"/>
      <c r="AK77" s="96"/>
      <c r="AL77" s="96"/>
      <c r="AM77" s="96"/>
      <c r="AN77" s="96"/>
      <c r="AO77" s="96"/>
      <c r="AP77" s="96"/>
      <c r="AQ77" s="96"/>
      <c r="AR77" s="96"/>
    </row>
    <row r="78" spans="1:44" s="270" customFormat="1" ht="12" customHeight="1">
      <c r="A78" s="96"/>
      <c r="B78" s="96"/>
      <c r="C78" s="96"/>
      <c r="D78" s="146"/>
      <c r="E78" s="96"/>
      <c r="F78" s="96"/>
      <c r="G78" s="96"/>
      <c r="H78" s="96"/>
      <c r="I78" s="96"/>
      <c r="J78" s="96"/>
      <c r="K78" s="96"/>
      <c r="L78" s="96"/>
      <c r="M78" s="96"/>
      <c r="N78" s="96"/>
      <c r="O78" s="96"/>
      <c r="P78" s="621"/>
      <c r="Q78" s="622"/>
      <c r="R78" s="620"/>
      <c r="X78" s="96"/>
      <c r="Y78" s="96"/>
      <c r="Z78" s="2498"/>
      <c r="AA78" s="95"/>
      <c r="AB78" s="96"/>
      <c r="AC78" s="96"/>
      <c r="AD78" s="96"/>
      <c r="AE78" s="96"/>
      <c r="AF78" s="96"/>
      <c r="AG78" s="96"/>
      <c r="AH78" s="96"/>
      <c r="AI78" s="96"/>
      <c r="AJ78" s="96"/>
      <c r="AK78" s="96"/>
      <c r="AL78" s="96"/>
      <c r="AM78" s="96"/>
      <c r="AN78" s="96"/>
      <c r="AO78" s="96"/>
      <c r="AP78" s="96"/>
      <c r="AQ78" s="96"/>
      <c r="AR78" s="96"/>
    </row>
    <row r="79" spans="1:44" s="270" customFormat="1" ht="12" customHeight="1">
      <c r="A79" s="96"/>
      <c r="B79" s="96"/>
      <c r="C79" s="96"/>
      <c r="E79" s="96"/>
      <c r="F79" s="96"/>
      <c r="G79" s="96"/>
      <c r="H79" s="96"/>
      <c r="I79" s="96"/>
      <c r="J79" s="96"/>
      <c r="K79" s="96"/>
      <c r="L79" s="96"/>
      <c r="M79" s="96"/>
      <c r="N79" s="96"/>
      <c r="O79" s="96"/>
      <c r="P79" s="621"/>
      <c r="Q79" s="622"/>
      <c r="R79" s="620"/>
      <c r="X79" s="96"/>
      <c r="Y79" s="96"/>
      <c r="Z79" s="2498"/>
      <c r="AA79" s="95"/>
      <c r="AB79" s="96"/>
      <c r="AC79" s="96"/>
      <c r="AD79" s="96"/>
      <c r="AE79" s="96"/>
      <c r="AF79" s="96"/>
      <c r="AG79" s="96"/>
      <c r="AH79" s="96"/>
      <c r="AI79" s="96"/>
      <c r="AJ79" s="96"/>
      <c r="AK79" s="96"/>
      <c r="AL79" s="96"/>
      <c r="AM79" s="96"/>
      <c r="AN79" s="96"/>
      <c r="AO79" s="96"/>
      <c r="AP79" s="96"/>
      <c r="AQ79" s="96"/>
      <c r="AR79" s="96"/>
    </row>
    <row r="80" spans="1:44" s="270" customFormat="1" ht="12" customHeight="1">
      <c r="A80" s="96"/>
      <c r="B80" s="96"/>
      <c r="C80" s="96"/>
      <c r="E80" s="96"/>
      <c r="F80" s="96"/>
      <c r="G80" s="96"/>
      <c r="H80" s="96"/>
      <c r="I80" s="96"/>
      <c r="J80" s="96"/>
      <c r="K80" s="96"/>
      <c r="L80" s="96"/>
      <c r="M80" s="96"/>
      <c r="N80" s="96"/>
      <c r="O80" s="96"/>
      <c r="P80" s="623"/>
      <c r="Q80" s="620"/>
      <c r="R80" s="620"/>
      <c r="X80" s="96"/>
      <c r="Y80" s="96"/>
      <c r="Z80" s="2498"/>
      <c r="AA80" s="95"/>
      <c r="AB80" s="96"/>
      <c r="AC80" s="96"/>
      <c r="AD80" s="96"/>
      <c r="AE80" s="96"/>
      <c r="AF80" s="96"/>
      <c r="AG80" s="96"/>
      <c r="AH80" s="96"/>
      <c r="AI80" s="96"/>
      <c r="AJ80" s="96"/>
      <c r="AK80" s="96"/>
      <c r="AL80" s="96"/>
      <c r="AM80" s="96"/>
      <c r="AN80" s="96"/>
      <c r="AO80" s="96"/>
      <c r="AP80" s="96"/>
      <c r="AQ80" s="96"/>
      <c r="AR80" s="96"/>
    </row>
    <row r="81" spans="1:44" s="270" customFormat="1" ht="12" customHeight="1">
      <c r="A81" s="96"/>
      <c r="B81" s="96"/>
      <c r="C81" s="96"/>
      <c r="D81" s="146"/>
      <c r="E81" s="96"/>
      <c r="F81" s="96"/>
      <c r="G81" s="96"/>
      <c r="H81" s="96"/>
      <c r="I81" s="96"/>
      <c r="J81" s="96"/>
      <c r="K81" s="96"/>
      <c r="L81" s="96"/>
      <c r="M81" s="96"/>
      <c r="N81" s="96"/>
      <c r="O81" s="96"/>
      <c r="P81" s="621"/>
      <c r="Q81" s="622"/>
      <c r="R81" s="620"/>
      <c r="X81" s="96"/>
      <c r="Y81" s="96"/>
      <c r="Z81" s="2498"/>
      <c r="AA81" s="95"/>
      <c r="AB81" s="96"/>
      <c r="AC81" s="96"/>
      <c r="AD81" s="96"/>
      <c r="AE81" s="96"/>
      <c r="AF81" s="96"/>
      <c r="AG81" s="96"/>
      <c r="AH81" s="96"/>
      <c r="AI81" s="96"/>
      <c r="AJ81" s="96"/>
      <c r="AK81" s="96"/>
      <c r="AL81" s="96"/>
      <c r="AM81" s="96"/>
      <c r="AN81" s="96"/>
      <c r="AO81" s="96"/>
      <c r="AP81" s="96"/>
      <c r="AQ81" s="96"/>
      <c r="AR81" s="96"/>
    </row>
    <row r="82" spans="1:44" s="270" customFormat="1" ht="12" customHeight="1">
      <c r="A82" s="96"/>
      <c r="B82" s="96"/>
      <c r="C82" s="96"/>
      <c r="E82" s="96"/>
      <c r="F82" s="96"/>
      <c r="G82" s="96"/>
      <c r="H82" s="96"/>
      <c r="I82" s="96"/>
      <c r="J82" s="96"/>
      <c r="K82" s="96"/>
      <c r="L82" s="96"/>
      <c r="M82" s="96"/>
      <c r="N82" s="96"/>
      <c r="O82" s="96"/>
      <c r="P82" s="621"/>
      <c r="Q82" s="622"/>
      <c r="R82" s="620"/>
      <c r="X82" s="96"/>
      <c r="Y82" s="96"/>
      <c r="Z82" s="2498"/>
      <c r="AA82" s="95"/>
      <c r="AB82" s="96"/>
      <c r="AC82" s="96"/>
      <c r="AD82" s="96"/>
      <c r="AE82" s="96"/>
      <c r="AF82" s="96"/>
      <c r="AG82" s="96"/>
      <c r="AH82" s="96"/>
      <c r="AI82" s="96"/>
      <c r="AJ82" s="96"/>
      <c r="AK82" s="96"/>
      <c r="AL82" s="96"/>
      <c r="AM82" s="96"/>
      <c r="AN82" s="96"/>
      <c r="AO82" s="96"/>
      <c r="AP82" s="96"/>
      <c r="AQ82" s="96"/>
      <c r="AR82" s="96"/>
    </row>
    <row r="83" spans="1:44" s="270" customFormat="1" ht="12" customHeight="1">
      <c r="A83" s="96"/>
      <c r="B83" s="96"/>
      <c r="C83" s="96"/>
      <c r="D83" s="96"/>
      <c r="E83" s="96"/>
      <c r="F83" s="96"/>
      <c r="G83" s="96"/>
      <c r="H83" s="96"/>
      <c r="I83" s="96"/>
      <c r="J83" s="96"/>
      <c r="K83" s="96"/>
      <c r="L83" s="96"/>
      <c r="M83" s="96"/>
      <c r="N83" s="96"/>
      <c r="O83" s="96"/>
      <c r="P83" s="621"/>
      <c r="Q83" s="622"/>
      <c r="R83" s="620"/>
      <c r="X83" s="96"/>
      <c r="Y83" s="96"/>
      <c r="Z83" s="2498"/>
      <c r="AA83" s="95"/>
      <c r="AB83" s="96"/>
      <c r="AC83" s="96"/>
      <c r="AD83" s="96"/>
      <c r="AE83" s="96"/>
      <c r="AF83" s="96"/>
      <c r="AG83" s="96"/>
      <c r="AH83" s="96"/>
      <c r="AI83" s="96"/>
      <c r="AJ83" s="96"/>
      <c r="AK83" s="96"/>
      <c r="AL83" s="96"/>
      <c r="AM83" s="96"/>
      <c r="AN83" s="96"/>
      <c r="AO83" s="96"/>
      <c r="AP83" s="96"/>
      <c r="AQ83" s="96"/>
      <c r="AR83" s="96"/>
    </row>
    <row r="84" spans="1:44" s="270" customFormat="1" ht="12" customHeight="1">
      <c r="A84" s="96"/>
      <c r="B84" s="96"/>
      <c r="C84" s="96"/>
      <c r="D84" s="96"/>
      <c r="E84" s="96"/>
      <c r="F84" s="96"/>
      <c r="G84" s="96"/>
      <c r="H84" s="96"/>
      <c r="I84" s="96"/>
      <c r="J84" s="96"/>
      <c r="K84" s="96"/>
      <c r="L84" s="96"/>
      <c r="M84" s="96"/>
      <c r="N84" s="96"/>
      <c r="O84" s="96"/>
      <c r="P84" s="623"/>
      <c r="Q84" s="620"/>
      <c r="R84" s="620"/>
      <c r="X84" s="96"/>
      <c r="Y84" s="96"/>
      <c r="Z84" s="2498"/>
      <c r="AA84" s="95"/>
      <c r="AB84" s="96"/>
      <c r="AC84" s="96"/>
      <c r="AD84" s="96"/>
      <c r="AE84" s="96"/>
      <c r="AF84" s="96"/>
      <c r="AG84" s="96"/>
      <c r="AH84" s="96"/>
      <c r="AI84" s="96"/>
      <c r="AJ84" s="96"/>
      <c r="AK84" s="96"/>
      <c r="AL84" s="96"/>
      <c r="AM84" s="96"/>
      <c r="AN84" s="96"/>
      <c r="AO84" s="96"/>
      <c r="AP84" s="96"/>
      <c r="AQ84" s="96"/>
      <c r="AR84" s="96"/>
    </row>
    <row r="85" spans="1:44" s="270" customFormat="1" ht="12" customHeight="1">
      <c r="A85" s="96"/>
      <c r="B85" s="96"/>
      <c r="C85" s="96"/>
      <c r="D85" s="96"/>
      <c r="E85" s="96"/>
      <c r="F85" s="96"/>
      <c r="G85" s="96"/>
      <c r="H85" s="96"/>
      <c r="I85" s="96"/>
      <c r="J85" s="96"/>
      <c r="K85" s="96"/>
      <c r="L85" s="96"/>
      <c r="M85" s="96"/>
      <c r="N85" s="96"/>
      <c r="O85" s="96"/>
      <c r="P85" s="621"/>
      <c r="Q85" s="622"/>
      <c r="R85" s="620"/>
      <c r="X85" s="96"/>
      <c r="Y85" s="96"/>
      <c r="Z85" s="2498"/>
      <c r="AA85" s="95"/>
      <c r="AB85" s="96"/>
      <c r="AC85" s="96"/>
      <c r="AD85" s="96"/>
      <c r="AE85" s="96"/>
      <c r="AF85" s="96"/>
      <c r="AG85" s="96"/>
      <c r="AH85" s="96"/>
      <c r="AI85" s="96"/>
      <c r="AJ85" s="96"/>
      <c r="AK85" s="96"/>
      <c r="AL85" s="96"/>
      <c r="AM85" s="96"/>
      <c r="AN85" s="96"/>
      <c r="AO85" s="96"/>
      <c r="AP85" s="96"/>
      <c r="AQ85" s="96"/>
      <c r="AR85" s="96"/>
    </row>
    <row r="86" spans="1:44" s="270" customFormat="1" ht="12" customHeight="1">
      <c r="A86" s="96"/>
      <c r="B86" s="96"/>
      <c r="C86" s="96"/>
      <c r="D86" s="96"/>
      <c r="E86" s="96"/>
      <c r="F86" s="96"/>
      <c r="G86" s="96"/>
      <c r="H86" s="96"/>
      <c r="I86" s="96"/>
      <c r="J86" s="96"/>
      <c r="K86" s="96"/>
      <c r="L86" s="96"/>
      <c r="M86" s="96"/>
      <c r="N86" s="96"/>
      <c r="O86" s="96"/>
      <c r="P86" s="621"/>
      <c r="Q86" s="622"/>
      <c r="R86" s="620"/>
      <c r="X86" s="96"/>
      <c r="Y86" s="96"/>
      <c r="Z86" s="2498"/>
      <c r="AA86" s="95"/>
      <c r="AB86" s="96"/>
      <c r="AC86" s="96"/>
      <c r="AD86" s="96"/>
      <c r="AE86" s="96"/>
      <c r="AF86" s="96"/>
      <c r="AG86" s="96"/>
      <c r="AH86" s="96"/>
      <c r="AI86" s="96"/>
      <c r="AJ86" s="96"/>
      <c r="AK86" s="96"/>
      <c r="AL86" s="96"/>
      <c r="AM86" s="96"/>
      <c r="AN86" s="96"/>
      <c r="AO86" s="96"/>
      <c r="AP86" s="96"/>
      <c r="AQ86" s="96"/>
      <c r="AR86" s="96"/>
    </row>
    <row r="87" spans="1:44" s="270" customFormat="1" ht="12" customHeight="1">
      <c r="A87" s="96"/>
      <c r="B87" s="96"/>
      <c r="C87" s="96"/>
      <c r="D87" s="96"/>
      <c r="E87" s="96"/>
      <c r="F87" s="96"/>
      <c r="G87" s="96"/>
      <c r="H87" s="96"/>
      <c r="I87" s="96"/>
      <c r="J87" s="96"/>
      <c r="K87" s="96"/>
      <c r="L87" s="96"/>
      <c r="M87" s="96"/>
      <c r="N87" s="96"/>
      <c r="O87" s="96"/>
      <c r="P87" s="621"/>
      <c r="Q87" s="622"/>
      <c r="R87" s="620"/>
      <c r="X87" s="96"/>
      <c r="Y87" s="96"/>
      <c r="Z87" s="2498"/>
      <c r="AA87" s="95"/>
      <c r="AB87" s="96"/>
      <c r="AC87" s="96"/>
      <c r="AD87" s="96"/>
      <c r="AE87" s="96"/>
      <c r="AF87" s="96"/>
      <c r="AG87" s="96"/>
      <c r="AH87" s="96"/>
      <c r="AI87" s="96"/>
      <c r="AJ87" s="96"/>
      <c r="AK87" s="96"/>
      <c r="AL87" s="96"/>
      <c r="AM87" s="96"/>
      <c r="AN87" s="96"/>
      <c r="AO87" s="96"/>
      <c r="AP87" s="96"/>
      <c r="AQ87" s="96"/>
      <c r="AR87" s="96"/>
    </row>
    <row r="88" spans="1:44" s="270" customFormat="1" ht="12" customHeight="1">
      <c r="A88" s="96"/>
      <c r="B88" s="96"/>
      <c r="C88" s="96"/>
      <c r="D88" s="96"/>
      <c r="E88" s="96"/>
      <c r="F88" s="96"/>
      <c r="G88" s="96"/>
      <c r="H88" s="96"/>
      <c r="I88" s="96"/>
      <c r="J88" s="96"/>
      <c r="K88" s="96"/>
      <c r="L88" s="96"/>
      <c r="M88" s="96"/>
      <c r="N88" s="96"/>
      <c r="O88" s="96"/>
      <c r="P88" s="621"/>
      <c r="Q88" s="622"/>
      <c r="R88" s="620"/>
      <c r="X88" s="96"/>
      <c r="Y88" s="96"/>
      <c r="Z88" s="2498"/>
      <c r="AA88" s="95"/>
      <c r="AB88" s="96"/>
      <c r="AC88" s="96"/>
      <c r="AD88" s="96"/>
      <c r="AE88" s="96"/>
      <c r="AF88" s="96"/>
      <c r="AG88" s="96"/>
      <c r="AH88" s="96"/>
      <c r="AI88" s="96"/>
      <c r="AJ88" s="96"/>
      <c r="AK88" s="96"/>
      <c r="AL88" s="96"/>
      <c r="AM88" s="96"/>
      <c r="AN88" s="96"/>
      <c r="AO88" s="96"/>
      <c r="AP88" s="96"/>
      <c r="AQ88" s="96"/>
      <c r="AR88" s="96"/>
    </row>
    <row r="89" spans="1:44" s="270" customFormat="1" ht="12" customHeight="1">
      <c r="A89" s="96"/>
      <c r="B89" s="96"/>
      <c r="C89" s="96"/>
      <c r="D89" s="96"/>
      <c r="E89" s="96"/>
      <c r="F89" s="96"/>
      <c r="G89" s="96"/>
      <c r="H89" s="96"/>
      <c r="I89" s="96"/>
      <c r="J89" s="96"/>
      <c r="K89" s="96"/>
      <c r="L89" s="96"/>
      <c r="M89" s="96"/>
      <c r="N89" s="96"/>
      <c r="O89" s="96"/>
      <c r="P89" s="621"/>
      <c r="Q89" s="622"/>
      <c r="R89" s="620"/>
      <c r="X89" s="96"/>
      <c r="Y89" s="96"/>
      <c r="Z89" s="2498"/>
      <c r="AA89" s="95"/>
      <c r="AB89" s="96"/>
      <c r="AC89" s="96"/>
      <c r="AD89" s="96"/>
      <c r="AE89" s="96"/>
      <c r="AF89" s="96"/>
      <c r="AG89" s="96"/>
      <c r="AH89" s="96"/>
      <c r="AI89" s="96"/>
      <c r="AJ89" s="96"/>
      <c r="AK89" s="96"/>
      <c r="AL89" s="96"/>
      <c r="AM89" s="96"/>
      <c r="AN89" s="96"/>
      <c r="AO89" s="96"/>
      <c r="AP89" s="96"/>
      <c r="AQ89" s="96"/>
      <c r="AR89" s="96"/>
    </row>
    <row r="90" spans="1:44" s="270" customFormat="1" ht="12" customHeight="1">
      <c r="A90" s="96"/>
      <c r="B90" s="96"/>
      <c r="C90" s="96"/>
      <c r="D90" s="96"/>
      <c r="E90" s="96"/>
      <c r="F90" s="96"/>
      <c r="G90" s="96"/>
      <c r="H90" s="96"/>
      <c r="I90" s="96"/>
      <c r="J90" s="96"/>
      <c r="K90" s="96"/>
      <c r="L90" s="96"/>
      <c r="M90" s="96"/>
      <c r="N90" s="96"/>
      <c r="O90" s="96"/>
      <c r="P90" s="621"/>
      <c r="Q90" s="622"/>
      <c r="R90" s="620"/>
      <c r="X90" s="96"/>
      <c r="Y90" s="96"/>
      <c r="Z90" s="2498"/>
      <c r="AA90" s="95"/>
      <c r="AB90" s="96"/>
      <c r="AC90" s="96"/>
      <c r="AD90" s="96"/>
      <c r="AE90" s="96"/>
      <c r="AF90" s="96"/>
      <c r="AG90" s="96"/>
      <c r="AH90" s="96"/>
      <c r="AI90" s="96"/>
      <c r="AJ90" s="96"/>
      <c r="AK90" s="96"/>
      <c r="AL90" s="96"/>
      <c r="AM90" s="96"/>
      <c r="AN90" s="96"/>
      <c r="AO90" s="96"/>
      <c r="AP90" s="96"/>
      <c r="AQ90" s="96"/>
      <c r="AR90" s="96"/>
    </row>
    <row r="91" spans="1:44" s="270" customFormat="1" ht="12" customHeight="1">
      <c r="A91" s="96"/>
      <c r="B91" s="96"/>
      <c r="C91" s="96"/>
      <c r="D91" s="96"/>
      <c r="E91" s="96"/>
      <c r="F91" s="96"/>
      <c r="G91" s="96"/>
      <c r="H91" s="96"/>
      <c r="I91" s="96"/>
      <c r="J91" s="96"/>
      <c r="K91" s="96"/>
      <c r="L91" s="96"/>
      <c r="M91" s="96"/>
      <c r="N91" s="96"/>
      <c r="O91" s="96"/>
      <c r="P91" s="621"/>
      <c r="Q91" s="622"/>
      <c r="R91" s="620"/>
      <c r="X91" s="96"/>
      <c r="Y91" s="96"/>
      <c r="Z91" s="2498"/>
      <c r="AA91" s="95"/>
      <c r="AB91" s="96"/>
      <c r="AC91" s="96"/>
      <c r="AD91" s="96"/>
      <c r="AE91" s="96"/>
      <c r="AF91" s="96"/>
      <c r="AG91" s="96"/>
      <c r="AH91" s="96"/>
      <c r="AI91" s="96"/>
      <c r="AJ91" s="96"/>
      <c r="AK91" s="96"/>
      <c r="AL91" s="96"/>
      <c r="AM91" s="96"/>
      <c r="AN91" s="96"/>
      <c r="AO91" s="96"/>
      <c r="AP91" s="96"/>
      <c r="AQ91" s="96"/>
      <c r="AR91" s="96"/>
    </row>
    <row r="92" spans="1:44" s="270" customFormat="1" ht="12" customHeight="1">
      <c r="A92" s="96"/>
      <c r="B92" s="96"/>
      <c r="C92" s="96"/>
      <c r="D92" s="96"/>
      <c r="E92" s="96"/>
      <c r="F92" s="96"/>
      <c r="G92" s="96"/>
      <c r="H92" s="96"/>
      <c r="I92" s="96"/>
      <c r="J92" s="96"/>
      <c r="K92" s="96"/>
      <c r="L92" s="96"/>
      <c r="M92" s="96"/>
      <c r="N92" s="96"/>
      <c r="O92" s="96"/>
      <c r="P92" s="621"/>
      <c r="Q92" s="622"/>
      <c r="R92" s="620"/>
      <c r="X92" s="96"/>
      <c r="Y92" s="96"/>
      <c r="Z92" s="2498"/>
      <c r="AA92" s="95"/>
      <c r="AB92" s="96"/>
      <c r="AC92" s="96"/>
      <c r="AD92" s="96"/>
      <c r="AE92" s="96"/>
      <c r="AF92" s="96"/>
      <c r="AG92" s="96"/>
      <c r="AH92" s="96"/>
      <c r="AI92" s="96"/>
      <c r="AJ92" s="96"/>
      <c r="AK92" s="96"/>
      <c r="AL92" s="96"/>
      <c r="AM92" s="96"/>
      <c r="AN92" s="96"/>
      <c r="AO92" s="96"/>
      <c r="AP92" s="96"/>
      <c r="AQ92" s="96"/>
      <c r="AR92" s="96"/>
    </row>
    <row r="93" spans="1:44" s="270" customFormat="1" ht="12" customHeight="1">
      <c r="A93" s="96"/>
      <c r="B93" s="96"/>
      <c r="C93" s="96"/>
      <c r="D93" s="96"/>
      <c r="E93" s="96"/>
      <c r="F93" s="96"/>
      <c r="G93" s="96"/>
      <c r="H93" s="96"/>
      <c r="I93" s="96"/>
      <c r="J93" s="96"/>
      <c r="K93" s="96"/>
      <c r="L93" s="96"/>
      <c r="M93" s="96"/>
      <c r="N93" s="96"/>
      <c r="O93" s="96"/>
      <c r="P93" s="621"/>
      <c r="Q93" s="622"/>
      <c r="R93" s="620"/>
      <c r="X93" s="96"/>
      <c r="Y93" s="96"/>
      <c r="Z93" s="2498"/>
      <c r="AA93" s="95"/>
      <c r="AB93" s="96"/>
      <c r="AC93" s="96"/>
      <c r="AD93" s="96"/>
      <c r="AE93" s="96"/>
      <c r="AF93" s="96"/>
      <c r="AG93" s="96"/>
      <c r="AH93" s="96"/>
      <c r="AI93" s="96"/>
      <c r="AJ93" s="96"/>
      <c r="AK93" s="96"/>
      <c r="AL93" s="96"/>
      <c r="AM93" s="96"/>
      <c r="AN93" s="96"/>
      <c r="AO93" s="96"/>
      <c r="AP93" s="96"/>
      <c r="AQ93" s="96"/>
      <c r="AR93" s="96"/>
    </row>
    <row r="94" spans="1:44" s="270" customFormat="1" ht="12" customHeight="1">
      <c r="A94" s="96"/>
      <c r="B94" s="96"/>
      <c r="C94" s="96"/>
      <c r="D94" s="96"/>
      <c r="E94" s="96"/>
      <c r="F94" s="96"/>
      <c r="G94" s="96"/>
      <c r="H94" s="96"/>
      <c r="I94" s="96"/>
      <c r="J94" s="96"/>
      <c r="K94" s="96"/>
      <c r="L94" s="96"/>
      <c r="M94" s="96"/>
      <c r="N94" s="96"/>
      <c r="O94" s="96"/>
      <c r="P94" s="621"/>
      <c r="Q94" s="622"/>
      <c r="R94" s="620"/>
      <c r="X94" s="96"/>
      <c r="Y94" s="96"/>
      <c r="Z94" s="2498"/>
      <c r="AA94" s="95"/>
      <c r="AB94" s="96"/>
      <c r="AC94" s="96"/>
      <c r="AD94" s="96"/>
      <c r="AE94" s="96"/>
      <c r="AF94" s="96"/>
      <c r="AG94" s="96"/>
      <c r="AH94" s="96"/>
      <c r="AI94" s="96"/>
      <c r="AJ94" s="96"/>
      <c r="AK94" s="96"/>
      <c r="AL94" s="96"/>
      <c r="AM94" s="96"/>
      <c r="AN94" s="96"/>
      <c r="AO94" s="96"/>
      <c r="AP94" s="96"/>
      <c r="AQ94" s="96"/>
      <c r="AR94" s="96"/>
    </row>
    <row r="95" spans="1:44" s="270" customFormat="1" ht="12" customHeight="1">
      <c r="A95" s="96"/>
      <c r="B95" s="96"/>
      <c r="C95" s="96"/>
      <c r="D95" s="96"/>
      <c r="E95" s="96"/>
      <c r="F95" s="96"/>
      <c r="G95" s="96"/>
      <c r="H95" s="96"/>
      <c r="I95" s="96"/>
      <c r="J95" s="96"/>
      <c r="K95" s="96"/>
      <c r="L95" s="96"/>
      <c r="M95" s="96"/>
      <c r="N95" s="96"/>
      <c r="O95" s="96"/>
      <c r="P95" s="621"/>
      <c r="Q95" s="622"/>
      <c r="R95" s="620"/>
      <c r="X95" s="96"/>
      <c r="Y95" s="96"/>
      <c r="Z95" s="2498"/>
      <c r="AA95" s="95"/>
      <c r="AB95" s="96"/>
      <c r="AC95" s="96"/>
      <c r="AD95" s="96"/>
      <c r="AE95" s="96"/>
      <c r="AF95" s="96"/>
      <c r="AG95" s="96"/>
      <c r="AH95" s="96"/>
      <c r="AI95" s="96"/>
      <c r="AJ95" s="96"/>
      <c r="AK95" s="96"/>
      <c r="AL95" s="96"/>
      <c r="AM95" s="96"/>
      <c r="AN95" s="96"/>
      <c r="AO95" s="96"/>
      <c r="AP95" s="96"/>
      <c r="AQ95" s="96"/>
      <c r="AR95" s="96"/>
    </row>
    <row r="96" spans="1:44" s="270" customFormat="1" ht="12" customHeight="1">
      <c r="A96" s="96"/>
      <c r="B96" s="96"/>
      <c r="C96" s="96"/>
      <c r="D96" s="96"/>
      <c r="E96" s="96"/>
      <c r="F96" s="96"/>
      <c r="G96" s="96"/>
      <c r="H96" s="96"/>
      <c r="I96" s="96"/>
      <c r="J96" s="96"/>
      <c r="K96" s="96"/>
      <c r="L96" s="96"/>
      <c r="M96" s="96"/>
      <c r="N96" s="96"/>
      <c r="O96" s="96"/>
      <c r="P96" s="621"/>
      <c r="Q96" s="622"/>
      <c r="R96" s="620"/>
      <c r="X96" s="96"/>
      <c r="Y96" s="96"/>
      <c r="Z96" s="2498"/>
      <c r="AA96" s="95"/>
      <c r="AB96" s="96"/>
      <c r="AC96" s="96"/>
      <c r="AD96" s="96"/>
      <c r="AE96" s="96"/>
      <c r="AF96" s="96"/>
      <c r="AG96" s="96"/>
      <c r="AH96" s="96"/>
      <c r="AI96" s="96"/>
      <c r="AJ96" s="96"/>
      <c r="AK96" s="96"/>
      <c r="AL96" s="96"/>
      <c r="AM96" s="96"/>
      <c r="AN96" s="96"/>
      <c r="AO96" s="96"/>
      <c r="AP96" s="96"/>
      <c r="AQ96" s="96"/>
      <c r="AR96" s="96"/>
    </row>
    <row r="97" spans="1:44" s="270" customFormat="1" ht="12" customHeight="1">
      <c r="A97" s="96"/>
      <c r="B97" s="96"/>
      <c r="C97" s="96"/>
      <c r="D97" s="96"/>
      <c r="E97" s="96"/>
      <c r="F97" s="96"/>
      <c r="G97" s="96"/>
      <c r="H97" s="96"/>
      <c r="I97" s="96"/>
      <c r="J97" s="96"/>
      <c r="K97" s="96"/>
      <c r="L97" s="96"/>
      <c r="M97" s="96"/>
      <c r="N97" s="96"/>
      <c r="O97" s="96"/>
      <c r="P97" s="621"/>
      <c r="Q97" s="622"/>
      <c r="R97" s="620"/>
      <c r="X97" s="96"/>
      <c r="Y97" s="96"/>
      <c r="Z97" s="2498"/>
      <c r="AA97" s="95"/>
      <c r="AB97" s="96"/>
      <c r="AC97" s="96"/>
      <c r="AD97" s="96"/>
      <c r="AE97" s="96"/>
      <c r="AF97" s="96"/>
      <c r="AG97" s="96"/>
      <c r="AH97" s="96"/>
      <c r="AI97" s="96"/>
      <c r="AJ97" s="96"/>
      <c r="AK97" s="96"/>
      <c r="AL97" s="96"/>
      <c r="AM97" s="96"/>
      <c r="AN97" s="96"/>
      <c r="AO97" s="96"/>
      <c r="AP97" s="96"/>
      <c r="AQ97" s="96"/>
      <c r="AR97" s="96"/>
    </row>
    <row r="98" spans="1:44" s="270" customFormat="1" ht="12" customHeight="1">
      <c r="A98" s="96"/>
      <c r="B98" s="96"/>
      <c r="C98" s="96"/>
      <c r="D98" s="96"/>
      <c r="E98" s="96"/>
      <c r="F98" s="96"/>
      <c r="G98" s="96"/>
      <c r="H98" s="96"/>
      <c r="I98" s="96"/>
      <c r="J98" s="96"/>
      <c r="K98" s="96"/>
      <c r="L98" s="96"/>
      <c r="M98" s="96"/>
      <c r="N98" s="96"/>
      <c r="O98" s="96"/>
      <c r="P98" s="623"/>
      <c r="Q98" s="622"/>
      <c r="R98" s="621"/>
      <c r="S98" s="290"/>
      <c r="X98" s="96"/>
      <c r="Y98" s="96"/>
      <c r="Z98" s="2498"/>
      <c r="AA98" s="95"/>
      <c r="AB98" s="96"/>
      <c r="AC98" s="96"/>
      <c r="AD98" s="96"/>
      <c r="AE98" s="96"/>
      <c r="AF98" s="96"/>
      <c r="AG98" s="96"/>
      <c r="AH98" s="96"/>
      <c r="AI98" s="96"/>
      <c r="AJ98" s="96"/>
      <c r="AK98" s="96"/>
      <c r="AL98" s="96"/>
      <c r="AM98" s="96"/>
      <c r="AN98" s="96"/>
      <c r="AO98" s="96"/>
      <c r="AP98" s="96"/>
      <c r="AQ98" s="96"/>
      <c r="AR98" s="96"/>
    </row>
    <row r="99" spans="1:44" s="270" customFormat="1" ht="12" customHeight="1">
      <c r="A99" s="96"/>
      <c r="B99" s="96"/>
      <c r="C99" s="96"/>
      <c r="D99" s="96"/>
      <c r="E99" s="96"/>
      <c r="F99" s="96"/>
      <c r="G99" s="96"/>
      <c r="H99" s="96"/>
      <c r="I99" s="96"/>
      <c r="J99" s="96"/>
      <c r="K99" s="96"/>
      <c r="L99" s="96"/>
      <c r="M99" s="96"/>
      <c r="N99" s="96"/>
      <c r="O99" s="96"/>
      <c r="P99" s="621"/>
      <c r="Q99" s="622"/>
      <c r="R99" s="621"/>
      <c r="S99" s="290"/>
      <c r="X99" s="96"/>
      <c r="Y99" s="96"/>
      <c r="Z99" s="2498"/>
      <c r="AA99" s="95"/>
      <c r="AB99" s="96"/>
      <c r="AC99" s="96"/>
      <c r="AD99" s="96"/>
      <c r="AE99" s="96"/>
      <c r="AF99" s="96"/>
      <c r="AG99" s="96"/>
      <c r="AH99" s="96"/>
      <c r="AI99" s="96"/>
      <c r="AJ99" s="96"/>
      <c r="AK99" s="96"/>
      <c r="AL99" s="96"/>
      <c r="AM99" s="96"/>
      <c r="AN99" s="96"/>
      <c r="AO99" s="96"/>
      <c r="AP99" s="96"/>
      <c r="AQ99" s="96"/>
      <c r="AR99" s="96"/>
    </row>
    <row r="100" spans="1:44" s="270" customFormat="1" ht="12" customHeight="1">
      <c r="A100" s="96"/>
      <c r="B100" s="96"/>
      <c r="C100" s="96"/>
      <c r="D100" s="96"/>
      <c r="E100" s="96"/>
      <c r="F100" s="96"/>
      <c r="G100" s="96"/>
      <c r="H100" s="96"/>
      <c r="I100" s="96"/>
      <c r="J100" s="96"/>
      <c r="K100" s="96"/>
      <c r="L100" s="96"/>
      <c r="M100" s="96"/>
      <c r="N100" s="96"/>
      <c r="O100" s="96"/>
      <c r="P100" s="621"/>
      <c r="Q100" s="622"/>
      <c r="R100" s="621"/>
      <c r="S100" s="290"/>
      <c r="X100" s="96"/>
      <c r="Y100" s="96"/>
      <c r="Z100" s="2498"/>
      <c r="AA100" s="95"/>
      <c r="AB100" s="96"/>
      <c r="AC100" s="96"/>
      <c r="AD100" s="96"/>
      <c r="AE100" s="96"/>
      <c r="AF100" s="96"/>
      <c r="AG100" s="96"/>
      <c r="AH100" s="96"/>
      <c r="AI100" s="96"/>
      <c r="AJ100" s="96"/>
      <c r="AK100" s="96"/>
      <c r="AL100" s="96"/>
      <c r="AM100" s="96"/>
      <c r="AN100" s="96"/>
      <c r="AO100" s="96"/>
      <c r="AP100" s="96"/>
      <c r="AQ100" s="96"/>
      <c r="AR100" s="96"/>
    </row>
    <row r="101" spans="1:44" s="270" customFormat="1" ht="12" customHeight="1">
      <c r="A101" s="96"/>
      <c r="B101" s="96"/>
      <c r="C101" s="96"/>
      <c r="D101" s="96"/>
      <c r="E101" s="96"/>
      <c r="F101" s="96"/>
      <c r="G101" s="96"/>
      <c r="H101" s="96"/>
      <c r="I101" s="96"/>
      <c r="J101" s="96"/>
      <c r="K101" s="96"/>
      <c r="L101" s="96"/>
      <c r="M101" s="96"/>
      <c r="N101" s="96"/>
      <c r="O101" s="96"/>
      <c r="P101" s="621"/>
      <c r="Q101" s="622"/>
      <c r="R101" s="621"/>
      <c r="S101" s="290"/>
      <c r="X101" s="96"/>
      <c r="Y101" s="96"/>
      <c r="Z101" s="2498"/>
      <c r="AA101" s="95"/>
      <c r="AB101" s="96"/>
      <c r="AC101" s="96"/>
      <c r="AD101" s="96"/>
      <c r="AE101" s="96"/>
      <c r="AF101" s="96"/>
      <c r="AG101" s="96"/>
      <c r="AH101" s="96"/>
      <c r="AI101" s="96"/>
      <c r="AJ101" s="96"/>
      <c r="AK101" s="96"/>
      <c r="AL101" s="96"/>
      <c r="AM101" s="96"/>
      <c r="AN101" s="96"/>
      <c r="AO101" s="96"/>
      <c r="AP101" s="96"/>
      <c r="AQ101" s="96"/>
      <c r="AR101" s="96"/>
    </row>
    <row r="102" spans="1:44" s="270" customFormat="1" ht="12" customHeight="1">
      <c r="A102" s="96"/>
      <c r="B102" s="96"/>
      <c r="C102" s="96"/>
      <c r="D102" s="96"/>
      <c r="E102" s="96"/>
      <c r="F102" s="96"/>
      <c r="G102" s="96"/>
      <c r="H102" s="96"/>
      <c r="I102" s="96"/>
      <c r="J102" s="96"/>
      <c r="K102" s="96"/>
      <c r="L102" s="96"/>
      <c r="M102" s="96"/>
      <c r="N102" s="96"/>
      <c r="O102" s="96"/>
      <c r="P102" s="621"/>
      <c r="Q102" s="620"/>
      <c r="R102" s="620"/>
      <c r="X102" s="96"/>
      <c r="Y102" s="96"/>
      <c r="Z102" s="2498"/>
      <c r="AA102" s="95"/>
      <c r="AB102" s="96"/>
      <c r="AC102" s="96"/>
      <c r="AD102" s="96"/>
      <c r="AE102" s="96"/>
      <c r="AF102" s="96"/>
      <c r="AG102" s="96"/>
      <c r="AH102" s="96"/>
      <c r="AI102" s="96"/>
      <c r="AJ102" s="96"/>
      <c r="AK102" s="96"/>
      <c r="AL102" s="96"/>
      <c r="AM102" s="96"/>
      <c r="AN102" s="96"/>
      <c r="AO102" s="96"/>
      <c r="AP102" s="96"/>
      <c r="AQ102" s="96"/>
      <c r="AR102" s="96"/>
    </row>
    <row r="103" spans="1:44" s="270" customFormat="1" ht="12" customHeight="1">
      <c r="A103" s="96"/>
      <c r="B103" s="96"/>
      <c r="C103" s="96"/>
      <c r="D103" s="96"/>
      <c r="E103" s="96"/>
      <c r="F103" s="96"/>
      <c r="G103" s="96"/>
      <c r="H103" s="96"/>
      <c r="I103" s="96"/>
      <c r="J103" s="96"/>
      <c r="K103" s="96"/>
      <c r="L103" s="96"/>
      <c r="M103" s="96"/>
      <c r="N103" s="96"/>
      <c r="O103" s="96"/>
      <c r="P103" s="623"/>
      <c r="Q103" s="620"/>
      <c r="R103" s="620"/>
      <c r="X103" s="96"/>
      <c r="Y103" s="96"/>
      <c r="Z103" s="2498"/>
      <c r="AA103" s="95"/>
      <c r="AB103" s="96"/>
      <c r="AC103" s="96"/>
      <c r="AD103" s="96"/>
      <c r="AE103" s="96"/>
      <c r="AF103" s="96"/>
      <c r="AG103" s="96"/>
      <c r="AH103" s="96"/>
      <c r="AI103" s="96"/>
      <c r="AJ103" s="96"/>
      <c r="AK103" s="96"/>
      <c r="AL103" s="96"/>
      <c r="AM103" s="96"/>
      <c r="AN103" s="96"/>
      <c r="AO103" s="96"/>
      <c r="AP103" s="96"/>
      <c r="AQ103" s="96"/>
      <c r="AR103" s="96"/>
    </row>
    <row r="104" spans="1:44" s="270" customFormat="1" ht="12" customHeight="1">
      <c r="A104" s="96"/>
      <c r="B104" s="96"/>
      <c r="C104" s="96"/>
      <c r="D104" s="96"/>
      <c r="E104" s="96"/>
      <c r="F104" s="96"/>
      <c r="G104" s="96"/>
      <c r="H104" s="96"/>
      <c r="I104" s="96"/>
      <c r="J104" s="96"/>
      <c r="K104" s="96"/>
      <c r="L104" s="96"/>
      <c r="M104" s="96"/>
      <c r="N104" s="96"/>
      <c r="O104" s="96"/>
      <c r="P104" s="621"/>
      <c r="Q104" s="622"/>
      <c r="R104" s="620"/>
      <c r="X104" s="96"/>
      <c r="Y104" s="96"/>
      <c r="Z104" s="2498"/>
      <c r="AA104" s="95"/>
      <c r="AB104" s="96"/>
      <c r="AC104" s="96"/>
      <c r="AD104" s="96"/>
      <c r="AE104" s="96"/>
      <c r="AF104" s="96"/>
      <c r="AG104" s="96"/>
      <c r="AH104" s="96"/>
      <c r="AI104" s="96"/>
      <c r="AJ104" s="96"/>
      <c r="AK104" s="96"/>
      <c r="AL104" s="96"/>
      <c r="AM104" s="96"/>
      <c r="AN104" s="96"/>
      <c r="AO104" s="96"/>
      <c r="AP104" s="96"/>
      <c r="AQ104" s="96"/>
      <c r="AR104" s="96"/>
    </row>
    <row r="105" spans="1:44" s="270" customFormat="1" ht="12" customHeight="1">
      <c r="A105" s="96"/>
      <c r="B105" s="96"/>
      <c r="C105" s="96"/>
      <c r="D105" s="96"/>
      <c r="E105" s="96"/>
      <c r="F105" s="96"/>
      <c r="G105" s="96"/>
      <c r="H105" s="96"/>
      <c r="I105" s="96"/>
      <c r="J105" s="96"/>
      <c r="K105" s="96"/>
      <c r="L105" s="96"/>
      <c r="M105" s="96"/>
      <c r="N105" s="96"/>
      <c r="O105" s="96"/>
      <c r="P105" s="621"/>
      <c r="Q105" s="622"/>
      <c r="R105" s="620"/>
      <c r="X105" s="96"/>
      <c r="Y105" s="96"/>
      <c r="Z105" s="2498"/>
      <c r="AA105" s="95"/>
      <c r="AB105" s="96"/>
      <c r="AC105" s="96"/>
      <c r="AD105" s="96"/>
      <c r="AE105" s="96"/>
      <c r="AF105" s="96"/>
      <c r="AG105" s="96"/>
      <c r="AH105" s="96"/>
      <c r="AI105" s="96"/>
      <c r="AJ105" s="96"/>
      <c r="AK105" s="96"/>
      <c r="AL105" s="96"/>
      <c r="AM105" s="96"/>
      <c r="AN105" s="96"/>
      <c r="AO105" s="96"/>
      <c r="AP105" s="96"/>
      <c r="AQ105" s="96"/>
      <c r="AR105" s="96"/>
    </row>
    <row r="106" spans="1:44" s="270" customFormat="1" ht="12" customHeight="1">
      <c r="A106" s="96"/>
      <c r="B106" s="96"/>
      <c r="C106" s="96"/>
      <c r="D106" s="96"/>
      <c r="E106" s="96"/>
      <c r="F106" s="96"/>
      <c r="G106" s="96"/>
      <c r="H106" s="96"/>
      <c r="I106" s="96"/>
      <c r="J106" s="96"/>
      <c r="K106" s="96"/>
      <c r="L106" s="96"/>
      <c r="M106" s="96"/>
      <c r="N106" s="96"/>
      <c r="O106" s="96"/>
      <c r="P106" s="623"/>
      <c r="Q106" s="622"/>
      <c r="R106" s="620"/>
      <c r="X106" s="96"/>
      <c r="Y106" s="96"/>
      <c r="Z106" s="2498"/>
      <c r="AA106" s="95"/>
      <c r="AB106" s="96"/>
      <c r="AC106" s="96"/>
      <c r="AD106" s="96"/>
      <c r="AE106" s="96"/>
      <c r="AF106" s="96"/>
      <c r="AG106" s="96"/>
      <c r="AH106" s="96"/>
      <c r="AI106" s="96"/>
      <c r="AJ106" s="96"/>
      <c r="AK106" s="96"/>
      <c r="AL106" s="96"/>
      <c r="AM106" s="96"/>
      <c r="AN106" s="96"/>
      <c r="AO106" s="96"/>
      <c r="AP106" s="96"/>
      <c r="AQ106" s="96"/>
      <c r="AR106" s="96"/>
    </row>
    <row r="107" spans="1:44" s="270" customFormat="1" ht="12" customHeight="1">
      <c r="A107" s="96"/>
      <c r="B107" s="96"/>
      <c r="C107" s="96"/>
      <c r="D107" s="96"/>
      <c r="E107" s="96"/>
      <c r="F107" s="96"/>
      <c r="G107" s="96"/>
      <c r="H107" s="96"/>
      <c r="I107" s="96"/>
      <c r="J107" s="96"/>
      <c r="K107" s="96"/>
      <c r="L107" s="96"/>
      <c r="M107" s="96"/>
      <c r="N107" s="96"/>
      <c r="O107" s="96"/>
      <c r="P107" s="621"/>
      <c r="Q107" s="622"/>
      <c r="R107" s="620"/>
      <c r="X107" s="96"/>
      <c r="Y107" s="96"/>
      <c r="Z107" s="2498"/>
      <c r="AA107" s="95"/>
      <c r="AB107" s="96"/>
      <c r="AC107" s="96"/>
      <c r="AD107" s="96"/>
      <c r="AE107" s="96"/>
      <c r="AF107" s="96"/>
      <c r="AG107" s="96"/>
      <c r="AH107" s="96"/>
      <c r="AI107" s="96"/>
      <c r="AJ107" s="96"/>
      <c r="AK107" s="96"/>
      <c r="AL107" s="96"/>
      <c r="AM107" s="96"/>
      <c r="AN107" s="96"/>
      <c r="AO107" s="96"/>
      <c r="AP107" s="96"/>
      <c r="AQ107" s="96"/>
      <c r="AR107" s="96"/>
    </row>
    <row r="108" spans="1:44" s="270" customFormat="1" ht="12" customHeight="1">
      <c r="A108" s="96"/>
      <c r="B108" s="96"/>
      <c r="C108" s="96"/>
      <c r="D108" s="96"/>
      <c r="E108" s="96"/>
      <c r="F108" s="96"/>
      <c r="G108" s="96"/>
      <c r="H108" s="96"/>
      <c r="I108" s="96"/>
      <c r="J108" s="96"/>
      <c r="K108" s="96"/>
      <c r="L108" s="96"/>
      <c r="M108" s="96"/>
      <c r="N108" s="96"/>
      <c r="O108" s="96"/>
      <c r="P108" s="621"/>
      <c r="Q108" s="622"/>
      <c r="R108" s="620"/>
      <c r="X108" s="96"/>
      <c r="Y108" s="96"/>
      <c r="Z108" s="2498"/>
      <c r="AA108" s="95"/>
      <c r="AB108" s="96"/>
      <c r="AC108" s="96"/>
      <c r="AD108" s="96"/>
      <c r="AE108" s="96"/>
      <c r="AF108" s="96"/>
      <c r="AG108" s="96"/>
      <c r="AH108" s="96"/>
      <c r="AI108" s="96"/>
      <c r="AJ108" s="96"/>
      <c r="AK108" s="96"/>
      <c r="AL108" s="96"/>
      <c r="AM108" s="96"/>
      <c r="AN108" s="96"/>
      <c r="AO108" s="96"/>
      <c r="AP108" s="96"/>
      <c r="AQ108" s="96"/>
      <c r="AR108" s="96"/>
    </row>
    <row r="109" spans="1:44" s="270" customFormat="1" ht="12" customHeight="1">
      <c r="A109" s="96"/>
      <c r="B109" s="96"/>
      <c r="C109" s="96"/>
      <c r="D109" s="96"/>
      <c r="E109" s="96"/>
      <c r="F109" s="96"/>
      <c r="G109" s="96"/>
      <c r="H109" s="96"/>
      <c r="I109" s="96"/>
      <c r="J109" s="96"/>
      <c r="K109" s="96"/>
      <c r="L109" s="96"/>
      <c r="M109" s="96"/>
      <c r="N109" s="96"/>
      <c r="O109" s="96"/>
      <c r="P109" s="621"/>
      <c r="Q109" s="622"/>
      <c r="R109" s="620"/>
      <c r="X109" s="96"/>
      <c r="Y109" s="96"/>
      <c r="Z109" s="2498"/>
      <c r="AA109" s="95"/>
      <c r="AB109" s="96"/>
      <c r="AC109" s="96"/>
      <c r="AD109" s="96"/>
      <c r="AE109" s="96"/>
      <c r="AF109" s="96"/>
      <c r="AG109" s="96"/>
      <c r="AH109" s="96"/>
      <c r="AI109" s="96"/>
      <c r="AJ109" s="96"/>
      <c r="AK109" s="96"/>
      <c r="AL109" s="96"/>
      <c r="AM109" s="96"/>
      <c r="AN109" s="96"/>
      <c r="AO109" s="96"/>
      <c r="AP109" s="96"/>
      <c r="AQ109" s="96"/>
      <c r="AR109" s="96"/>
    </row>
    <row r="110" spans="1:44" s="270" customFormat="1" ht="12" customHeight="1">
      <c r="A110" s="96"/>
      <c r="B110" s="96"/>
      <c r="C110" s="96"/>
      <c r="D110" s="96"/>
      <c r="E110" s="96"/>
      <c r="F110" s="96"/>
      <c r="G110" s="96"/>
      <c r="H110" s="96"/>
      <c r="I110" s="96"/>
      <c r="J110" s="96"/>
      <c r="K110" s="96"/>
      <c r="L110" s="96"/>
      <c r="M110" s="96"/>
      <c r="N110" s="96"/>
      <c r="O110" s="96"/>
      <c r="P110" s="621"/>
      <c r="Q110" s="622"/>
      <c r="R110" s="620"/>
      <c r="X110" s="96"/>
      <c r="Y110" s="96"/>
      <c r="Z110" s="2498"/>
      <c r="AA110" s="95"/>
      <c r="AB110" s="96"/>
      <c r="AC110" s="96"/>
      <c r="AD110" s="96"/>
      <c r="AE110" s="96"/>
      <c r="AF110" s="96"/>
      <c r="AG110" s="96"/>
      <c r="AH110" s="96"/>
      <c r="AI110" s="96"/>
      <c r="AJ110" s="96"/>
      <c r="AK110" s="96"/>
      <c r="AL110" s="96"/>
      <c r="AM110" s="96"/>
      <c r="AN110" s="96"/>
      <c r="AO110" s="96"/>
      <c r="AP110" s="96"/>
      <c r="AQ110" s="96"/>
      <c r="AR110" s="96"/>
    </row>
    <row r="111" spans="1:44" s="270" customFormat="1" ht="12" customHeight="1">
      <c r="A111" s="96"/>
      <c r="B111" s="96"/>
      <c r="C111" s="96"/>
      <c r="D111" s="96"/>
      <c r="E111" s="96"/>
      <c r="F111" s="96"/>
      <c r="G111" s="96"/>
      <c r="H111" s="96"/>
      <c r="I111" s="96"/>
      <c r="J111" s="96"/>
      <c r="K111" s="96"/>
      <c r="L111" s="96"/>
      <c r="M111" s="96"/>
      <c r="N111" s="96"/>
      <c r="O111" s="96"/>
      <c r="P111" s="621"/>
      <c r="Q111" s="622"/>
      <c r="R111" s="620"/>
      <c r="X111" s="96"/>
      <c r="Y111" s="96"/>
      <c r="Z111" s="2498"/>
      <c r="AA111" s="95"/>
      <c r="AB111" s="96"/>
      <c r="AC111" s="96"/>
      <c r="AD111" s="96"/>
      <c r="AE111" s="96"/>
      <c r="AF111" s="96"/>
      <c r="AG111" s="96"/>
      <c r="AH111" s="96"/>
      <c r="AI111" s="96"/>
      <c r="AJ111" s="96"/>
      <c r="AK111" s="96"/>
      <c r="AL111" s="96"/>
      <c r="AM111" s="96"/>
      <c r="AN111" s="96"/>
      <c r="AO111" s="96"/>
      <c r="AP111" s="96"/>
      <c r="AQ111" s="96"/>
      <c r="AR111" s="96"/>
    </row>
    <row r="112" spans="1:44" s="270" customFormat="1" ht="12" customHeight="1">
      <c r="A112" s="96"/>
      <c r="B112" s="96"/>
      <c r="C112" s="96"/>
      <c r="D112" s="96"/>
      <c r="E112" s="96"/>
      <c r="F112" s="96"/>
      <c r="G112" s="96"/>
      <c r="H112" s="96"/>
      <c r="I112" s="96"/>
      <c r="J112" s="96"/>
      <c r="K112" s="96"/>
      <c r="L112" s="96"/>
      <c r="M112" s="96"/>
      <c r="N112" s="96"/>
      <c r="O112" s="96"/>
      <c r="P112" s="621"/>
      <c r="Q112" s="622"/>
      <c r="R112" s="620"/>
      <c r="X112" s="96"/>
      <c r="Y112" s="96"/>
      <c r="Z112" s="2498"/>
      <c r="AA112" s="95"/>
      <c r="AB112" s="96"/>
      <c r="AC112" s="96"/>
      <c r="AD112" s="96"/>
      <c r="AE112" s="96"/>
      <c r="AF112" s="96"/>
      <c r="AG112" s="96"/>
      <c r="AH112" s="96"/>
      <c r="AI112" s="96"/>
      <c r="AJ112" s="96"/>
      <c r="AK112" s="96"/>
      <c r="AL112" s="96"/>
      <c r="AM112" s="96"/>
      <c r="AN112" s="96"/>
      <c r="AO112" s="96"/>
      <c r="AP112" s="96"/>
      <c r="AQ112" s="96"/>
      <c r="AR112" s="96"/>
    </row>
    <row r="113" spans="1:44" s="270" customFormat="1" ht="12" customHeight="1">
      <c r="A113" s="96"/>
      <c r="B113" s="96"/>
      <c r="C113" s="96"/>
      <c r="D113" s="96"/>
      <c r="E113" s="96"/>
      <c r="F113" s="96"/>
      <c r="G113" s="96"/>
      <c r="H113" s="96"/>
      <c r="I113" s="96"/>
      <c r="J113" s="96"/>
      <c r="K113" s="96"/>
      <c r="L113" s="96"/>
      <c r="M113" s="96"/>
      <c r="N113" s="96"/>
      <c r="O113" s="96"/>
      <c r="P113" s="621"/>
      <c r="Q113" s="622"/>
      <c r="R113" s="620"/>
      <c r="X113" s="96"/>
      <c r="Y113" s="96"/>
      <c r="Z113" s="2498"/>
      <c r="AA113" s="95"/>
      <c r="AB113" s="96"/>
      <c r="AC113" s="96"/>
      <c r="AD113" s="96"/>
      <c r="AE113" s="96"/>
      <c r="AF113" s="96"/>
      <c r="AG113" s="96"/>
      <c r="AH113" s="96"/>
      <c r="AI113" s="96"/>
      <c r="AJ113" s="96"/>
      <c r="AK113" s="96"/>
      <c r="AL113" s="96"/>
      <c r="AM113" s="96"/>
      <c r="AN113" s="96"/>
      <c r="AO113" s="96"/>
      <c r="AP113" s="96"/>
      <c r="AQ113" s="96"/>
      <c r="AR113" s="96"/>
    </row>
    <row r="114" spans="1:44" s="270" customFormat="1" ht="12" customHeight="1">
      <c r="A114" s="96"/>
      <c r="B114" s="96"/>
      <c r="C114" s="96"/>
      <c r="D114" s="96"/>
      <c r="E114" s="96"/>
      <c r="F114" s="96"/>
      <c r="G114" s="96"/>
      <c r="H114" s="96"/>
      <c r="I114" s="96"/>
      <c r="J114" s="96"/>
      <c r="K114" s="96"/>
      <c r="L114" s="96"/>
      <c r="M114" s="96"/>
      <c r="N114" s="96"/>
      <c r="O114" s="96"/>
      <c r="P114" s="623"/>
      <c r="Q114" s="622"/>
      <c r="R114" s="620"/>
      <c r="X114" s="96"/>
      <c r="Y114" s="96"/>
      <c r="Z114" s="2498"/>
      <c r="AA114" s="95"/>
      <c r="AB114" s="96"/>
      <c r="AC114" s="96"/>
      <c r="AD114" s="96"/>
      <c r="AE114" s="96"/>
      <c r="AF114" s="96"/>
      <c r="AG114" s="96"/>
      <c r="AH114" s="96"/>
      <c r="AI114" s="96"/>
      <c r="AJ114" s="96"/>
      <c r="AK114" s="96"/>
      <c r="AL114" s="96"/>
      <c r="AM114" s="96"/>
      <c r="AN114" s="96"/>
      <c r="AO114" s="96"/>
      <c r="AP114" s="96"/>
      <c r="AQ114" s="96"/>
      <c r="AR114" s="96"/>
    </row>
    <row r="115" spans="1:44" s="270" customFormat="1" ht="12" customHeight="1">
      <c r="A115" s="96"/>
      <c r="B115" s="96"/>
      <c r="C115" s="96"/>
      <c r="D115" s="96"/>
      <c r="E115" s="96"/>
      <c r="F115" s="96"/>
      <c r="G115" s="96"/>
      <c r="H115" s="96"/>
      <c r="I115" s="96"/>
      <c r="J115" s="96"/>
      <c r="K115" s="96"/>
      <c r="L115" s="96"/>
      <c r="M115" s="96"/>
      <c r="N115" s="96"/>
      <c r="O115" s="96"/>
      <c r="P115" s="621"/>
      <c r="Q115" s="622"/>
      <c r="R115" s="620"/>
      <c r="X115" s="96"/>
      <c r="Y115" s="96"/>
      <c r="Z115" s="2498"/>
      <c r="AA115" s="95"/>
      <c r="AB115" s="96"/>
      <c r="AC115" s="96"/>
      <c r="AD115" s="96"/>
      <c r="AE115" s="96"/>
      <c r="AF115" s="96"/>
      <c r="AG115" s="96"/>
      <c r="AH115" s="96"/>
      <c r="AI115" s="96"/>
      <c r="AJ115" s="96"/>
      <c r="AK115" s="96"/>
      <c r="AL115" s="96"/>
      <c r="AM115" s="96"/>
      <c r="AN115" s="96"/>
      <c r="AO115" s="96"/>
      <c r="AP115" s="96"/>
      <c r="AQ115" s="96"/>
      <c r="AR115" s="96"/>
    </row>
    <row r="116" spans="1:44" s="270" customFormat="1" ht="12" customHeight="1">
      <c r="A116" s="96"/>
      <c r="B116" s="96"/>
      <c r="C116" s="96"/>
      <c r="D116" s="96"/>
      <c r="E116" s="96"/>
      <c r="F116" s="96"/>
      <c r="G116" s="96"/>
      <c r="H116" s="96"/>
      <c r="I116" s="96"/>
      <c r="J116" s="96"/>
      <c r="K116" s="96"/>
      <c r="L116" s="96"/>
      <c r="M116" s="96"/>
      <c r="N116" s="96"/>
      <c r="O116" s="96"/>
      <c r="P116" s="621"/>
      <c r="Q116" s="622"/>
      <c r="R116" s="620"/>
      <c r="X116" s="96"/>
      <c r="Y116" s="96"/>
      <c r="Z116" s="2498"/>
      <c r="AA116" s="95"/>
      <c r="AB116" s="96"/>
      <c r="AC116" s="96"/>
      <c r="AD116" s="96"/>
      <c r="AE116" s="96"/>
      <c r="AF116" s="96"/>
      <c r="AG116" s="96"/>
      <c r="AH116" s="96"/>
      <c r="AI116" s="96"/>
      <c r="AJ116" s="96"/>
      <c r="AK116" s="96"/>
      <c r="AL116" s="96"/>
      <c r="AM116" s="96"/>
      <c r="AN116" s="96"/>
      <c r="AO116" s="96"/>
      <c r="AP116" s="96"/>
      <c r="AQ116" s="96"/>
      <c r="AR116" s="96"/>
    </row>
    <row r="117" spans="1:44" s="270" customFormat="1" ht="12" customHeight="1">
      <c r="A117" s="96"/>
      <c r="B117" s="96"/>
      <c r="C117" s="96"/>
      <c r="D117" s="96"/>
      <c r="E117" s="96"/>
      <c r="F117" s="96"/>
      <c r="G117" s="96"/>
      <c r="H117" s="96"/>
      <c r="I117" s="96"/>
      <c r="J117" s="96"/>
      <c r="K117" s="96"/>
      <c r="L117" s="96"/>
      <c r="M117" s="96"/>
      <c r="N117" s="96"/>
      <c r="O117" s="96"/>
      <c r="P117" s="621"/>
      <c r="Q117" s="622"/>
      <c r="R117" s="620"/>
      <c r="X117" s="96"/>
      <c r="Y117" s="96"/>
      <c r="Z117" s="2498"/>
      <c r="AA117" s="95"/>
      <c r="AB117" s="96"/>
      <c r="AC117" s="96"/>
      <c r="AD117" s="96"/>
      <c r="AE117" s="96"/>
      <c r="AF117" s="96"/>
      <c r="AG117" s="96"/>
      <c r="AH117" s="96"/>
      <c r="AI117" s="96"/>
      <c r="AJ117" s="96"/>
      <c r="AK117" s="96"/>
      <c r="AL117" s="96"/>
      <c r="AM117" s="96"/>
      <c r="AN117" s="96"/>
      <c r="AO117" s="96"/>
      <c r="AP117" s="96"/>
      <c r="AQ117" s="96"/>
      <c r="AR117" s="96"/>
    </row>
    <row r="118" spans="1:44" s="270" customFormat="1" ht="12" customHeight="1">
      <c r="A118" s="96"/>
      <c r="B118" s="96"/>
      <c r="C118" s="96"/>
      <c r="D118" s="96"/>
      <c r="E118" s="96"/>
      <c r="F118" s="96"/>
      <c r="G118" s="96"/>
      <c r="H118" s="96"/>
      <c r="I118" s="96"/>
      <c r="J118" s="96"/>
      <c r="K118" s="96"/>
      <c r="L118" s="96"/>
      <c r="M118" s="96"/>
      <c r="N118" s="96"/>
      <c r="O118" s="96"/>
      <c r="P118" s="621"/>
      <c r="Q118" s="622"/>
      <c r="R118" s="620"/>
      <c r="X118" s="96"/>
      <c r="Y118" s="96"/>
      <c r="Z118" s="2498"/>
      <c r="AA118" s="95"/>
      <c r="AB118" s="96"/>
      <c r="AC118" s="96"/>
      <c r="AD118" s="96"/>
      <c r="AE118" s="96"/>
      <c r="AF118" s="96"/>
      <c r="AG118" s="96"/>
      <c r="AH118" s="96"/>
      <c r="AI118" s="96"/>
      <c r="AJ118" s="96"/>
      <c r="AK118" s="96"/>
      <c r="AL118" s="96"/>
      <c r="AM118" s="96"/>
      <c r="AN118" s="96"/>
      <c r="AO118" s="96"/>
      <c r="AP118" s="96"/>
      <c r="AQ118" s="96"/>
      <c r="AR118" s="96"/>
    </row>
    <row r="119" spans="1:44" s="270" customFormat="1" ht="12" customHeight="1">
      <c r="A119" s="96"/>
      <c r="B119" s="96"/>
      <c r="C119" s="96"/>
      <c r="D119" s="96"/>
      <c r="E119" s="96"/>
      <c r="F119" s="96"/>
      <c r="G119" s="96"/>
      <c r="H119" s="96"/>
      <c r="I119" s="96"/>
      <c r="J119" s="96"/>
      <c r="K119" s="96"/>
      <c r="L119" s="96"/>
      <c r="M119" s="96"/>
      <c r="N119" s="96"/>
      <c r="O119" s="96"/>
      <c r="P119" s="621"/>
      <c r="Q119" s="622"/>
      <c r="R119" s="620"/>
      <c r="X119" s="96"/>
      <c r="Y119" s="96"/>
      <c r="Z119" s="2498"/>
      <c r="AA119" s="95"/>
      <c r="AB119" s="96"/>
      <c r="AC119" s="96"/>
      <c r="AD119" s="96"/>
      <c r="AE119" s="96"/>
      <c r="AF119" s="96"/>
      <c r="AG119" s="96"/>
      <c r="AH119" s="96"/>
      <c r="AI119" s="96"/>
      <c r="AJ119" s="96"/>
      <c r="AK119" s="96"/>
      <c r="AL119" s="96"/>
      <c r="AM119" s="96"/>
      <c r="AN119" s="96"/>
      <c r="AO119" s="96"/>
      <c r="AP119" s="96"/>
      <c r="AQ119" s="96"/>
      <c r="AR119" s="96"/>
    </row>
    <row r="120" spans="1:44" s="270" customFormat="1" ht="12" customHeight="1">
      <c r="A120" s="96"/>
      <c r="B120" s="96"/>
      <c r="C120" s="96"/>
      <c r="D120" s="96"/>
      <c r="E120" s="96"/>
      <c r="F120" s="96"/>
      <c r="G120" s="96"/>
      <c r="H120" s="96"/>
      <c r="I120" s="96"/>
      <c r="J120" s="96"/>
      <c r="K120" s="96"/>
      <c r="L120" s="96"/>
      <c r="M120" s="96"/>
      <c r="N120" s="96"/>
      <c r="O120" s="96"/>
      <c r="P120" s="621"/>
      <c r="Q120" s="622"/>
      <c r="R120" s="620"/>
      <c r="X120" s="96"/>
      <c r="Y120" s="96"/>
      <c r="Z120" s="2498"/>
      <c r="AA120" s="95"/>
      <c r="AB120" s="96"/>
      <c r="AC120" s="96"/>
      <c r="AD120" s="96"/>
      <c r="AE120" s="96"/>
      <c r="AF120" s="96"/>
      <c r="AG120" s="96"/>
      <c r="AH120" s="96"/>
      <c r="AI120" s="96"/>
      <c r="AJ120" s="96"/>
      <c r="AK120" s="96"/>
      <c r="AL120" s="96"/>
      <c r="AM120" s="96"/>
      <c r="AN120" s="96"/>
      <c r="AO120" s="96"/>
      <c r="AP120" s="96"/>
      <c r="AQ120" s="96"/>
      <c r="AR120" s="96"/>
    </row>
    <row r="121" spans="1:44" s="270" customFormat="1" ht="12" customHeight="1">
      <c r="A121" s="96"/>
      <c r="B121" s="96"/>
      <c r="C121" s="96"/>
      <c r="D121" s="96"/>
      <c r="E121" s="96"/>
      <c r="F121" s="96"/>
      <c r="G121" s="96"/>
      <c r="H121" s="96"/>
      <c r="I121" s="96"/>
      <c r="J121" s="96"/>
      <c r="K121" s="96"/>
      <c r="L121" s="96"/>
      <c r="M121" s="96"/>
      <c r="N121" s="96"/>
      <c r="O121" s="96"/>
      <c r="P121" s="621"/>
      <c r="Q121" s="622"/>
      <c r="R121" s="620"/>
      <c r="X121" s="96"/>
      <c r="Y121" s="96"/>
      <c r="Z121" s="2498"/>
      <c r="AA121" s="95"/>
      <c r="AB121" s="96"/>
      <c r="AC121" s="96"/>
      <c r="AD121" s="96"/>
      <c r="AE121" s="96"/>
      <c r="AF121" s="96"/>
      <c r="AG121" s="96"/>
      <c r="AH121" s="96"/>
      <c r="AI121" s="96"/>
      <c r="AJ121" s="96"/>
      <c r="AK121" s="96"/>
      <c r="AL121" s="96"/>
      <c r="AM121" s="96"/>
      <c r="AN121" s="96"/>
      <c r="AO121" s="96"/>
      <c r="AP121" s="96"/>
      <c r="AQ121" s="96"/>
      <c r="AR121" s="96"/>
    </row>
    <row r="122" spans="1:44" s="270" customFormat="1" ht="12" customHeight="1">
      <c r="A122" s="96"/>
      <c r="B122" s="96"/>
      <c r="C122" s="96"/>
      <c r="D122" s="96"/>
      <c r="E122" s="96"/>
      <c r="F122" s="96"/>
      <c r="G122" s="96"/>
      <c r="H122" s="96"/>
      <c r="I122" s="96"/>
      <c r="J122" s="96"/>
      <c r="K122" s="96"/>
      <c r="L122" s="96"/>
      <c r="M122" s="96"/>
      <c r="N122" s="96"/>
      <c r="O122" s="96"/>
      <c r="P122" s="621"/>
      <c r="Q122" s="622"/>
      <c r="R122" s="620"/>
      <c r="X122" s="96"/>
      <c r="Y122" s="96"/>
      <c r="Z122" s="2498"/>
      <c r="AA122" s="95"/>
      <c r="AB122" s="96"/>
      <c r="AC122" s="96"/>
      <c r="AD122" s="96"/>
      <c r="AE122" s="96"/>
      <c r="AF122" s="96"/>
      <c r="AG122" s="96"/>
      <c r="AH122" s="96"/>
      <c r="AI122" s="96"/>
      <c r="AJ122" s="96"/>
      <c r="AK122" s="96"/>
      <c r="AL122" s="96"/>
      <c r="AM122" s="96"/>
      <c r="AN122" s="96"/>
      <c r="AO122" s="96"/>
      <c r="AP122" s="96"/>
      <c r="AQ122" s="96"/>
      <c r="AR122" s="96"/>
    </row>
    <row r="123" spans="1:44" s="270" customFormat="1" ht="12" customHeight="1">
      <c r="A123" s="96"/>
      <c r="B123" s="96"/>
      <c r="C123" s="96"/>
      <c r="D123" s="96"/>
      <c r="E123" s="96"/>
      <c r="F123" s="96"/>
      <c r="G123" s="96"/>
      <c r="H123" s="96"/>
      <c r="I123" s="96"/>
      <c r="J123" s="96"/>
      <c r="K123" s="96"/>
      <c r="L123" s="96"/>
      <c r="M123" s="96"/>
      <c r="N123" s="96"/>
      <c r="O123" s="96"/>
      <c r="P123" s="621"/>
      <c r="Q123" s="622"/>
      <c r="R123" s="620"/>
      <c r="X123" s="96"/>
      <c r="Y123" s="96"/>
      <c r="Z123" s="2498"/>
      <c r="AA123" s="95"/>
      <c r="AB123" s="96"/>
      <c r="AC123" s="96"/>
      <c r="AD123" s="96"/>
      <c r="AE123" s="96"/>
      <c r="AF123" s="96"/>
      <c r="AG123" s="96"/>
      <c r="AH123" s="96"/>
      <c r="AI123" s="96"/>
      <c r="AJ123" s="96"/>
      <c r="AK123" s="96"/>
      <c r="AL123" s="96"/>
      <c r="AM123" s="96"/>
      <c r="AN123" s="96"/>
      <c r="AO123" s="96"/>
      <c r="AP123" s="96"/>
      <c r="AQ123" s="96"/>
      <c r="AR123" s="96"/>
    </row>
    <row r="124" spans="1:44" s="270" customFormat="1" ht="12" customHeight="1">
      <c r="A124" s="96"/>
      <c r="B124" s="96"/>
      <c r="C124" s="96"/>
      <c r="D124" s="96"/>
      <c r="E124" s="96"/>
      <c r="F124" s="96"/>
      <c r="G124" s="96"/>
      <c r="H124" s="96"/>
      <c r="I124" s="96"/>
      <c r="J124" s="96"/>
      <c r="K124" s="96"/>
      <c r="L124" s="96"/>
      <c r="M124" s="96"/>
      <c r="N124" s="96"/>
      <c r="O124" s="96"/>
      <c r="P124" s="621"/>
      <c r="Q124" s="622"/>
      <c r="R124" s="620"/>
      <c r="X124" s="96"/>
      <c r="Y124" s="96"/>
      <c r="Z124" s="2498"/>
      <c r="AA124" s="95"/>
      <c r="AB124" s="96"/>
      <c r="AC124" s="96"/>
      <c r="AD124" s="96"/>
      <c r="AE124" s="96"/>
      <c r="AF124" s="96"/>
      <c r="AG124" s="96"/>
      <c r="AH124" s="96"/>
      <c r="AI124" s="96"/>
      <c r="AJ124" s="96"/>
      <c r="AK124" s="96"/>
      <c r="AL124" s="96"/>
      <c r="AM124" s="96"/>
      <c r="AN124" s="96"/>
      <c r="AO124" s="96"/>
      <c r="AP124" s="96"/>
      <c r="AQ124" s="96"/>
      <c r="AR124" s="96"/>
    </row>
    <row r="125" spans="1:44" s="270" customFormat="1" ht="12" customHeight="1">
      <c r="A125" s="96"/>
      <c r="B125" s="96"/>
      <c r="C125" s="96"/>
      <c r="D125" s="96"/>
      <c r="E125" s="96"/>
      <c r="F125" s="96"/>
      <c r="G125" s="96"/>
      <c r="H125" s="96"/>
      <c r="I125" s="96"/>
      <c r="J125" s="96"/>
      <c r="K125" s="96"/>
      <c r="L125" s="96"/>
      <c r="M125" s="96"/>
      <c r="N125" s="96"/>
      <c r="O125" s="96"/>
      <c r="P125" s="621"/>
      <c r="Q125" s="622"/>
      <c r="R125" s="620"/>
      <c r="X125" s="96"/>
      <c r="Y125" s="96"/>
      <c r="Z125" s="2498"/>
      <c r="AA125" s="95"/>
      <c r="AB125" s="96"/>
      <c r="AC125" s="96"/>
      <c r="AD125" s="96"/>
      <c r="AE125" s="96"/>
      <c r="AF125" s="96"/>
      <c r="AG125" s="96"/>
      <c r="AH125" s="96"/>
      <c r="AI125" s="96"/>
      <c r="AJ125" s="96"/>
      <c r="AK125" s="96"/>
      <c r="AL125" s="96"/>
      <c r="AM125" s="96"/>
      <c r="AN125" s="96"/>
      <c r="AO125" s="96"/>
      <c r="AP125" s="96"/>
      <c r="AQ125" s="96"/>
      <c r="AR125" s="96"/>
    </row>
    <row r="126" spans="1:44" s="270" customFormat="1" ht="12" customHeight="1">
      <c r="A126" s="96"/>
      <c r="B126" s="96"/>
      <c r="C126" s="96"/>
      <c r="D126" s="96"/>
      <c r="E126" s="96"/>
      <c r="F126" s="96"/>
      <c r="G126" s="96"/>
      <c r="H126" s="96"/>
      <c r="I126" s="96"/>
      <c r="J126" s="96"/>
      <c r="K126" s="96"/>
      <c r="L126" s="96"/>
      <c r="M126" s="96"/>
      <c r="N126" s="96"/>
      <c r="O126" s="96"/>
      <c r="P126" s="621"/>
      <c r="Q126" s="622"/>
      <c r="R126" s="620"/>
      <c r="X126" s="96"/>
      <c r="Y126" s="96"/>
      <c r="Z126" s="2498"/>
      <c r="AA126" s="95"/>
      <c r="AB126" s="96"/>
      <c r="AC126" s="96"/>
      <c r="AD126" s="96"/>
      <c r="AE126" s="96"/>
      <c r="AF126" s="96"/>
      <c r="AG126" s="96"/>
      <c r="AH126" s="96"/>
      <c r="AI126" s="96"/>
      <c r="AJ126" s="96"/>
      <c r="AK126" s="96"/>
      <c r="AL126" s="96"/>
      <c r="AM126" s="96"/>
      <c r="AN126" s="96"/>
      <c r="AO126" s="96"/>
      <c r="AP126" s="96"/>
      <c r="AQ126" s="96"/>
      <c r="AR126" s="96"/>
    </row>
    <row r="127" spans="1:44" s="270" customFormat="1" ht="12" customHeight="1">
      <c r="A127" s="96"/>
      <c r="B127" s="96"/>
      <c r="C127" s="96"/>
      <c r="D127" s="96"/>
      <c r="E127" s="96"/>
      <c r="F127" s="96"/>
      <c r="G127" s="96"/>
      <c r="H127" s="96"/>
      <c r="I127" s="96"/>
      <c r="J127" s="96"/>
      <c r="K127" s="96"/>
      <c r="L127" s="96"/>
      <c r="M127" s="96"/>
      <c r="N127" s="96"/>
      <c r="O127" s="96"/>
      <c r="P127" s="621"/>
      <c r="Q127" s="622"/>
      <c r="R127" s="620"/>
      <c r="X127" s="96"/>
      <c r="Y127" s="96"/>
      <c r="Z127" s="2498"/>
      <c r="AA127" s="95"/>
      <c r="AB127" s="96"/>
      <c r="AC127" s="96"/>
      <c r="AD127" s="96"/>
      <c r="AE127" s="96"/>
      <c r="AF127" s="96"/>
      <c r="AG127" s="96"/>
      <c r="AH127" s="96"/>
      <c r="AI127" s="96"/>
      <c r="AJ127" s="96"/>
      <c r="AK127" s="96"/>
      <c r="AL127" s="96"/>
      <c r="AM127" s="96"/>
      <c r="AN127" s="96"/>
      <c r="AO127" s="96"/>
      <c r="AP127" s="96"/>
      <c r="AQ127" s="96"/>
      <c r="AR127" s="96"/>
    </row>
    <row r="128" spans="1:44" s="270" customFormat="1" ht="12" customHeight="1">
      <c r="A128" s="96"/>
      <c r="B128" s="96"/>
      <c r="C128" s="96"/>
      <c r="D128" s="96"/>
      <c r="E128" s="96"/>
      <c r="F128" s="96"/>
      <c r="G128" s="96"/>
      <c r="H128" s="96"/>
      <c r="I128" s="96"/>
      <c r="J128" s="96"/>
      <c r="K128" s="96"/>
      <c r="L128" s="96"/>
      <c r="M128" s="96"/>
      <c r="N128" s="96"/>
      <c r="O128" s="96"/>
      <c r="P128" s="621"/>
      <c r="Q128" s="622"/>
      <c r="R128" s="620"/>
      <c r="X128" s="96"/>
      <c r="Y128" s="96"/>
      <c r="Z128" s="2498"/>
      <c r="AA128" s="95"/>
      <c r="AB128" s="96"/>
      <c r="AC128" s="96"/>
      <c r="AD128" s="96"/>
      <c r="AE128" s="96"/>
      <c r="AF128" s="96"/>
      <c r="AG128" s="96"/>
      <c r="AH128" s="96"/>
      <c r="AI128" s="96"/>
      <c r="AJ128" s="96"/>
      <c r="AK128" s="96"/>
      <c r="AL128" s="96"/>
      <c r="AM128" s="96"/>
      <c r="AN128" s="96"/>
      <c r="AO128" s="96"/>
      <c r="AP128" s="96"/>
      <c r="AQ128" s="96"/>
      <c r="AR128" s="96"/>
    </row>
    <row r="129" spans="1:44" s="270" customFormat="1" ht="12" customHeight="1">
      <c r="A129" s="96"/>
      <c r="B129" s="96"/>
      <c r="C129" s="96"/>
      <c r="D129" s="96"/>
      <c r="E129" s="96"/>
      <c r="F129" s="96"/>
      <c r="G129" s="96"/>
      <c r="H129" s="96"/>
      <c r="I129" s="96"/>
      <c r="J129" s="96"/>
      <c r="K129" s="96"/>
      <c r="L129" s="96"/>
      <c r="M129" s="96"/>
      <c r="N129" s="96"/>
      <c r="O129" s="96"/>
      <c r="P129" s="624"/>
      <c r="Q129" s="622"/>
      <c r="R129" s="620"/>
      <c r="X129" s="96"/>
      <c r="Y129" s="96"/>
      <c r="Z129" s="2498"/>
      <c r="AA129" s="95"/>
      <c r="AB129" s="96"/>
      <c r="AC129" s="96"/>
      <c r="AD129" s="96"/>
      <c r="AE129" s="96"/>
      <c r="AF129" s="96"/>
      <c r="AG129" s="96"/>
      <c r="AH129" s="96"/>
      <c r="AI129" s="96"/>
      <c r="AJ129" s="96"/>
      <c r="AK129" s="96"/>
      <c r="AL129" s="96"/>
      <c r="AM129" s="96"/>
      <c r="AN129" s="96"/>
      <c r="AO129" s="96"/>
      <c r="AP129" s="96"/>
      <c r="AQ129" s="96"/>
      <c r="AR129" s="96"/>
    </row>
    <row r="130" spans="1:44" s="270" customFormat="1" ht="12" customHeight="1">
      <c r="A130" s="96"/>
      <c r="B130" s="96"/>
      <c r="C130" s="96"/>
      <c r="D130" s="96"/>
      <c r="E130" s="96"/>
      <c r="F130" s="96"/>
      <c r="G130" s="96"/>
      <c r="H130" s="96"/>
      <c r="I130" s="96"/>
      <c r="J130" s="96"/>
      <c r="K130" s="96"/>
      <c r="L130" s="96"/>
      <c r="M130" s="96"/>
      <c r="N130" s="96"/>
      <c r="O130" s="96"/>
      <c r="P130" s="621"/>
      <c r="Q130" s="622"/>
      <c r="R130" s="620"/>
      <c r="X130" s="96"/>
      <c r="Y130" s="96"/>
      <c r="Z130" s="2498"/>
      <c r="AA130" s="95"/>
      <c r="AB130" s="96"/>
      <c r="AC130" s="96"/>
      <c r="AD130" s="96"/>
      <c r="AE130" s="96"/>
      <c r="AF130" s="96"/>
      <c r="AG130" s="96"/>
      <c r="AH130" s="96"/>
      <c r="AI130" s="96"/>
      <c r="AJ130" s="96"/>
      <c r="AK130" s="96"/>
      <c r="AL130" s="96"/>
      <c r="AM130" s="96"/>
      <c r="AN130" s="96"/>
      <c r="AO130" s="96"/>
      <c r="AP130" s="96"/>
      <c r="AQ130" s="96"/>
      <c r="AR130" s="96"/>
    </row>
    <row r="131" spans="1:44" s="270" customFormat="1" ht="12" customHeight="1">
      <c r="A131" s="96"/>
      <c r="B131" s="96"/>
      <c r="C131" s="96"/>
      <c r="D131" s="96"/>
      <c r="E131" s="96"/>
      <c r="F131" s="96"/>
      <c r="G131" s="96"/>
      <c r="H131" s="96"/>
      <c r="I131" s="96"/>
      <c r="J131" s="96"/>
      <c r="K131" s="96"/>
      <c r="L131" s="96"/>
      <c r="M131" s="96"/>
      <c r="N131" s="96"/>
      <c r="O131" s="96"/>
      <c r="P131" s="621"/>
      <c r="Q131" s="622"/>
      <c r="R131" s="620"/>
      <c r="X131" s="96"/>
      <c r="Y131" s="96"/>
      <c r="Z131" s="2498"/>
      <c r="AA131" s="95"/>
      <c r="AB131" s="96"/>
      <c r="AC131" s="96"/>
      <c r="AD131" s="96"/>
      <c r="AE131" s="96"/>
      <c r="AF131" s="96"/>
      <c r="AG131" s="96"/>
      <c r="AH131" s="96"/>
      <c r="AI131" s="96"/>
      <c r="AJ131" s="96"/>
      <c r="AK131" s="96"/>
      <c r="AL131" s="96"/>
      <c r="AM131" s="96"/>
      <c r="AN131" s="96"/>
      <c r="AO131" s="96"/>
      <c r="AP131" s="96"/>
      <c r="AQ131" s="96"/>
      <c r="AR131" s="96"/>
    </row>
    <row r="132" spans="1:44" s="270" customFormat="1" ht="12" customHeight="1">
      <c r="A132" s="96"/>
      <c r="B132" s="96"/>
      <c r="C132" s="96"/>
      <c r="D132" s="96"/>
      <c r="E132" s="96"/>
      <c r="F132" s="96"/>
      <c r="G132" s="96"/>
      <c r="H132" s="96"/>
      <c r="I132" s="96"/>
      <c r="J132" s="96"/>
      <c r="K132" s="96"/>
      <c r="L132" s="96"/>
      <c r="M132" s="96"/>
      <c r="N132" s="96"/>
      <c r="O132" s="96"/>
      <c r="P132" s="621"/>
      <c r="Q132" s="622"/>
      <c r="R132" s="620"/>
      <c r="X132" s="96"/>
      <c r="Y132" s="96"/>
      <c r="Z132" s="2498"/>
      <c r="AA132" s="95"/>
      <c r="AB132" s="96"/>
      <c r="AC132" s="96"/>
      <c r="AD132" s="96"/>
      <c r="AE132" s="96"/>
      <c r="AF132" s="96"/>
      <c r="AG132" s="96"/>
      <c r="AH132" s="96"/>
      <c r="AI132" s="96"/>
      <c r="AJ132" s="96"/>
      <c r="AK132" s="96"/>
      <c r="AL132" s="96"/>
      <c r="AM132" s="96"/>
      <c r="AN132" s="96"/>
      <c r="AO132" s="96"/>
      <c r="AP132" s="96"/>
      <c r="AQ132" s="96"/>
      <c r="AR132" s="96"/>
    </row>
    <row r="133" spans="1:44" s="270" customFormat="1" ht="12" customHeight="1">
      <c r="A133" s="96"/>
      <c r="B133" s="96"/>
      <c r="C133" s="96"/>
      <c r="D133" s="96"/>
      <c r="E133" s="96"/>
      <c r="F133" s="96"/>
      <c r="G133" s="96"/>
      <c r="H133" s="96"/>
      <c r="I133" s="96"/>
      <c r="J133" s="96"/>
      <c r="K133" s="96"/>
      <c r="L133" s="96"/>
      <c r="M133" s="96"/>
      <c r="N133" s="96"/>
      <c r="O133" s="96"/>
      <c r="P133" s="621"/>
      <c r="Q133" s="622"/>
      <c r="R133" s="620"/>
      <c r="X133" s="96"/>
      <c r="Y133" s="96"/>
      <c r="Z133" s="2498"/>
      <c r="AA133" s="95"/>
      <c r="AB133" s="96"/>
      <c r="AC133" s="96"/>
      <c r="AD133" s="96"/>
      <c r="AE133" s="96"/>
      <c r="AF133" s="96"/>
      <c r="AG133" s="96"/>
      <c r="AH133" s="96"/>
      <c r="AI133" s="96"/>
      <c r="AJ133" s="96"/>
      <c r="AK133" s="96"/>
      <c r="AL133" s="96"/>
      <c r="AM133" s="96"/>
      <c r="AN133" s="96"/>
      <c r="AO133" s="96"/>
      <c r="AP133" s="96"/>
      <c r="AQ133" s="96"/>
      <c r="AR133" s="96"/>
    </row>
    <row r="134" spans="1:44" s="270" customFormat="1" ht="12" customHeight="1">
      <c r="A134" s="96"/>
      <c r="B134" s="96"/>
      <c r="C134" s="96"/>
      <c r="D134" s="96"/>
      <c r="E134" s="96"/>
      <c r="F134" s="96"/>
      <c r="G134" s="96"/>
      <c r="H134" s="96"/>
      <c r="I134" s="96"/>
      <c r="J134" s="96"/>
      <c r="K134" s="96"/>
      <c r="L134" s="96"/>
      <c r="M134" s="96"/>
      <c r="N134" s="96"/>
      <c r="O134" s="96"/>
      <c r="P134" s="621"/>
      <c r="Q134" s="622"/>
      <c r="R134" s="620"/>
      <c r="X134" s="96"/>
      <c r="Y134" s="96"/>
      <c r="Z134" s="2498"/>
      <c r="AA134" s="95"/>
      <c r="AB134" s="96"/>
      <c r="AC134" s="96"/>
      <c r="AD134" s="96"/>
      <c r="AE134" s="96"/>
      <c r="AF134" s="96"/>
      <c r="AG134" s="96"/>
      <c r="AH134" s="96"/>
      <c r="AI134" s="96"/>
      <c r="AJ134" s="96"/>
      <c r="AK134" s="96"/>
      <c r="AL134" s="96"/>
      <c r="AM134" s="96"/>
      <c r="AN134" s="96"/>
      <c r="AO134" s="96"/>
      <c r="AP134" s="96"/>
      <c r="AQ134" s="96"/>
      <c r="AR134" s="96"/>
    </row>
    <row r="135" spans="1:44" s="270" customFormat="1" ht="12" customHeight="1">
      <c r="A135" s="96"/>
      <c r="B135" s="96"/>
      <c r="C135" s="96"/>
      <c r="D135" s="96"/>
      <c r="E135" s="96"/>
      <c r="F135" s="96"/>
      <c r="G135" s="96"/>
      <c r="H135" s="96"/>
      <c r="I135" s="96"/>
      <c r="J135" s="96"/>
      <c r="K135" s="96"/>
      <c r="L135" s="96"/>
      <c r="M135" s="96"/>
      <c r="N135" s="96"/>
      <c r="O135" s="96"/>
      <c r="P135" s="621"/>
      <c r="Q135" s="622"/>
      <c r="R135" s="620"/>
      <c r="X135" s="96"/>
      <c r="Y135" s="96"/>
      <c r="Z135" s="2498"/>
      <c r="AA135" s="95"/>
      <c r="AB135" s="96"/>
      <c r="AC135" s="96"/>
      <c r="AD135" s="96"/>
      <c r="AE135" s="96"/>
      <c r="AF135" s="96"/>
      <c r="AG135" s="96"/>
      <c r="AH135" s="96"/>
      <c r="AI135" s="96"/>
      <c r="AJ135" s="96"/>
      <c r="AK135" s="96"/>
      <c r="AL135" s="96"/>
      <c r="AM135" s="96"/>
      <c r="AN135" s="96"/>
      <c r="AO135" s="96"/>
      <c r="AP135" s="96"/>
      <c r="AQ135" s="96"/>
      <c r="AR135" s="96"/>
    </row>
    <row r="136" spans="1:44" s="270" customFormat="1" ht="12" customHeight="1">
      <c r="A136" s="96"/>
      <c r="B136" s="96"/>
      <c r="C136" s="96"/>
      <c r="D136" s="96"/>
      <c r="E136" s="96"/>
      <c r="F136" s="96"/>
      <c r="G136" s="96"/>
      <c r="H136" s="96"/>
      <c r="I136" s="96"/>
      <c r="J136" s="96"/>
      <c r="K136" s="96"/>
      <c r="L136" s="96"/>
      <c r="M136" s="96"/>
      <c r="N136" s="96"/>
      <c r="O136" s="96"/>
      <c r="P136" s="621"/>
      <c r="Q136" s="622"/>
      <c r="R136" s="620"/>
      <c r="X136" s="96"/>
      <c r="Y136" s="96"/>
      <c r="Z136" s="2498"/>
      <c r="AA136" s="95"/>
      <c r="AB136" s="96"/>
      <c r="AC136" s="96"/>
      <c r="AD136" s="96"/>
      <c r="AE136" s="96"/>
      <c r="AF136" s="96"/>
      <c r="AG136" s="96"/>
      <c r="AH136" s="96"/>
      <c r="AI136" s="96"/>
      <c r="AJ136" s="96"/>
      <c r="AK136" s="96"/>
      <c r="AL136" s="96"/>
      <c r="AM136" s="96"/>
      <c r="AN136" s="96"/>
      <c r="AO136" s="96"/>
      <c r="AP136" s="96"/>
      <c r="AQ136" s="96"/>
      <c r="AR136" s="96"/>
    </row>
    <row r="137" spans="1:44" s="270" customFormat="1" ht="12" customHeight="1">
      <c r="A137" s="96"/>
      <c r="B137" s="96"/>
      <c r="C137" s="96"/>
      <c r="D137" s="96"/>
      <c r="E137" s="96"/>
      <c r="F137" s="96"/>
      <c r="G137" s="96"/>
      <c r="H137" s="96"/>
      <c r="I137" s="96"/>
      <c r="J137" s="96"/>
      <c r="K137" s="96"/>
      <c r="L137" s="96"/>
      <c r="M137" s="96"/>
      <c r="N137" s="96"/>
      <c r="O137" s="96"/>
      <c r="P137" s="621"/>
      <c r="Q137" s="622"/>
      <c r="R137" s="620"/>
      <c r="X137" s="96"/>
      <c r="Y137" s="96"/>
      <c r="Z137" s="2498"/>
      <c r="AA137" s="95"/>
      <c r="AB137" s="96"/>
      <c r="AC137" s="96"/>
      <c r="AD137" s="96"/>
      <c r="AE137" s="96"/>
      <c r="AF137" s="96"/>
      <c r="AG137" s="96"/>
      <c r="AH137" s="96"/>
      <c r="AI137" s="96"/>
      <c r="AJ137" s="96"/>
      <c r="AK137" s="96"/>
      <c r="AL137" s="96"/>
      <c r="AM137" s="96"/>
      <c r="AN137" s="96"/>
      <c r="AO137" s="96"/>
      <c r="AP137" s="96"/>
      <c r="AQ137" s="96"/>
      <c r="AR137" s="96"/>
    </row>
    <row r="138" spans="1:44" s="270" customFormat="1" ht="12" customHeight="1">
      <c r="A138" s="96"/>
      <c r="B138" s="96"/>
      <c r="C138" s="96"/>
      <c r="D138" s="96"/>
      <c r="E138" s="96"/>
      <c r="F138" s="96"/>
      <c r="G138" s="96"/>
      <c r="H138" s="96"/>
      <c r="I138" s="96"/>
      <c r="J138" s="96"/>
      <c r="K138" s="96"/>
      <c r="L138" s="96"/>
      <c r="M138" s="96"/>
      <c r="N138" s="96"/>
      <c r="O138" s="96"/>
      <c r="P138" s="621"/>
      <c r="Q138" s="622"/>
      <c r="R138" s="620"/>
      <c r="X138" s="96"/>
      <c r="Y138" s="96"/>
      <c r="Z138" s="2498"/>
      <c r="AA138" s="95"/>
      <c r="AB138" s="96"/>
      <c r="AC138" s="96"/>
      <c r="AD138" s="96"/>
      <c r="AE138" s="96"/>
      <c r="AF138" s="96"/>
      <c r="AG138" s="96"/>
      <c r="AH138" s="96"/>
      <c r="AI138" s="96"/>
      <c r="AJ138" s="96"/>
      <c r="AK138" s="96"/>
      <c r="AL138" s="96"/>
      <c r="AM138" s="96"/>
      <c r="AN138" s="96"/>
      <c r="AO138" s="96"/>
      <c r="AP138" s="96"/>
      <c r="AQ138" s="96"/>
      <c r="AR138" s="96"/>
    </row>
    <row r="139" spans="1:44" s="270" customFormat="1" ht="12" customHeight="1">
      <c r="A139" s="96"/>
      <c r="B139" s="96"/>
      <c r="C139" s="96"/>
      <c r="D139" s="96"/>
      <c r="E139" s="96"/>
      <c r="F139" s="96"/>
      <c r="G139" s="96"/>
      <c r="H139" s="96"/>
      <c r="I139" s="96"/>
      <c r="J139" s="96"/>
      <c r="K139" s="96"/>
      <c r="L139" s="96"/>
      <c r="M139" s="96"/>
      <c r="N139" s="96"/>
      <c r="O139" s="96"/>
      <c r="P139" s="621"/>
      <c r="Q139" s="622"/>
      <c r="R139" s="620"/>
      <c r="X139" s="96"/>
      <c r="Y139" s="96"/>
      <c r="Z139" s="2498"/>
      <c r="AA139" s="95"/>
      <c r="AB139" s="96"/>
      <c r="AC139" s="96"/>
      <c r="AD139" s="96"/>
      <c r="AE139" s="96"/>
      <c r="AF139" s="96"/>
      <c r="AG139" s="96"/>
      <c r="AH139" s="96"/>
      <c r="AI139" s="96"/>
      <c r="AJ139" s="96"/>
      <c r="AK139" s="96"/>
      <c r="AL139" s="96"/>
      <c r="AM139" s="96"/>
      <c r="AN139" s="96"/>
      <c r="AO139" s="96"/>
      <c r="AP139" s="96"/>
      <c r="AQ139" s="96"/>
      <c r="AR139" s="96"/>
    </row>
    <row r="140" spans="1:44" s="270" customFormat="1" ht="12" customHeight="1">
      <c r="A140" s="96"/>
      <c r="B140" s="96"/>
      <c r="C140" s="96"/>
      <c r="D140" s="96"/>
      <c r="E140" s="96"/>
      <c r="F140" s="96"/>
      <c r="G140" s="96"/>
      <c r="H140" s="96"/>
      <c r="I140" s="96"/>
      <c r="J140" s="96"/>
      <c r="K140" s="96"/>
      <c r="L140" s="96"/>
      <c r="M140" s="96"/>
      <c r="N140" s="96"/>
      <c r="O140" s="96"/>
      <c r="P140" s="621"/>
      <c r="Q140" s="622"/>
      <c r="R140" s="620"/>
      <c r="X140" s="96"/>
      <c r="Y140" s="96"/>
      <c r="Z140" s="2498"/>
      <c r="AA140" s="95"/>
      <c r="AB140" s="96"/>
      <c r="AC140" s="96"/>
      <c r="AD140" s="96"/>
      <c r="AE140" s="96"/>
      <c r="AF140" s="96"/>
      <c r="AG140" s="96"/>
      <c r="AH140" s="96"/>
      <c r="AI140" s="96"/>
      <c r="AJ140" s="96"/>
      <c r="AK140" s="96"/>
      <c r="AL140" s="96"/>
      <c r="AM140" s="96"/>
      <c r="AN140" s="96"/>
      <c r="AO140" s="96"/>
      <c r="AP140" s="96"/>
      <c r="AQ140" s="96"/>
      <c r="AR140" s="96"/>
    </row>
    <row r="141" spans="1:44" s="270" customFormat="1" ht="12" customHeight="1">
      <c r="A141" s="96"/>
      <c r="B141" s="96"/>
      <c r="C141" s="96"/>
      <c r="D141" s="96"/>
      <c r="E141" s="96"/>
      <c r="F141" s="96"/>
      <c r="G141" s="96"/>
      <c r="H141" s="96"/>
      <c r="I141" s="96"/>
      <c r="J141" s="96"/>
      <c r="K141" s="96"/>
      <c r="L141" s="96"/>
      <c r="M141" s="96"/>
      <c r="N141" s="96"/>
      <c r="O141" s="96"/>
      <c r="P141" s="621"/>
      <c r="Q141" s="622"/>
      <c r="R141" s="620"/>
      <c r="X141" s="96"/>
      <c r="Y141" s="96"/>
      <c r="Z141" s="2498"/>
      <c r="AA141" s="95"/>
      <c r="AB141" s="96"/>
      <c r="AC141" s="96"/>
      <c r="AD141" s="96"/>
      <c r="AE141" s="96"/>
      <c r="AF141" s="96"/>
      <c r="AG141" s="96"/>
      <c r="AH141" s="96"/>
      <c r="AI141" s="96"/>
      <c r="AJ141" s="96"/>
      <c r="AK141" s="96"/>
      <c r="AL141" s="96"/>
      <c r="AM141" s="96"/>
      <c r="AN141" s="96"/>
      <c r="AO141" s="96"/>
      <c r="AP141" s="96"/>
      <c r="AQ141" s="96"/>
      <c r="AR141" s="96"/>
    </row>
    <row r="142" spans="1:44" s="270" customFormat="1" ht="12" customHeight="1">
      <c r="A142" s="96"/>
      <c r="B142" s="96"/>
      <c r="C142" s="96"/>
      <c r="D142" s="96"/>
      <c r="E142" s="96"/>
      <c r="F142" s="96"/>
      <c r="G142" s="96"/>
      <c r="H142" s="96"/>
      <c r="I142" s="96"/>
      <c r="J142" s="96"/>
      <c r="K142" s="96"/>
      <c r="L142" s="96"/>
      <c r="M142" s="96"/>
      <c r="N142" s="96"/>
      <c r="O142" s="96"/>
      <c r="P142" s="621"/>
      <c r="Q142" s="622"/>
      <c r="R142" s="620"/>
      <c r="X142" s="96"/>
      <c r="Y142" s="96"/>
      <c r="Z142" s="2498"/>
      <c r="AA142" s="95"/>
      <c r="AB142" s="96"/>
      <c r="AC142" s="96"/>
      <c r="AD142" s="96"/>
      <c r="AE142" s="96"/>
      <c r="AF142" s="96"/>
      <c r="AG142" s="96"/>
      <c r="AH142" s="96"/>
      <c r="AI142" s="96"/>
      <c r="AJ142" s="96"/>
      <c r="AK142" s="96"/>
      <c r="AL142" s="96"/>
      <c r="AM142" s="96"/>
      <c r="AN142" s="96"/>
      <c r="AO142" s="96"/>
      <c r="AP142" s="96"/>
      <c r="AQ142" s="96"/>
      <c r="AR142" s="96"/>
    </row>
    <row r="143" spans="1:44" s="270" customFormat="1" ht="12" customHeight="1">
      <c r="A143" s="96"/>
      <c r="B143" s="96"/>
      <c r="C143" s="96"/>
      <c r="D143" s="96"/>
      <c r="E143" s="96"/>
      <c r="F143" s="96"/>
      <c r="G143" s="96"/>
      <c r="H143" s="96"/>
      <c r="I143" s="96"/>
      <c r="J143" s="96"/>
      <c r="K143" s="96"/>
      <c r="L143" s="96"/>
      <c r="M143" s="96"/>
      <c r="N143" s="96"/>
      <c r="O143" s="96"/>
      <c r="P143" s="621"/>
      <c r="Q143" s="622"/>
      <c r="R143" s="620"/>
      <c r="X143" s="96"/>
      <c r="Y143" s="96"/>
      <c r="Z143" s="2498"/>
      <c r="AA143" s="95"/>
      <c r="AB143" s="96"/>
      <c r="AC143" s="96"/>
      <c r="AD143" s="96"/>
      <c r="AE143" s="96"/>
      <c r="AF143" s="96"/>
      <c r="AG143" s="96"/>
      <c r="AH143" s="96"/>
      <c r="AI143" s="96"/>
      <c r="AJ143" s="96"/>
      <c r="AK143" s="96"/>
      <c r="AL143" s="96"/>
      <c r="AM143" s="96"/>
      <c r="AN143" s="96"/>
      <c r="AO143" s="96"/>
      <c r="AP143" s="96"/>
      <c r="AQ143" s="96"/>
      <c r="AR143" s="96"/>
    </row>
    <row r="144" spans="1:44" s="270" customFormat="1" ht="12" customHeight="1">
      <c r="A144" s="96"/>
      <c r="B144" s="96"/>
      <c r="C144" s="96"/>
      <c r="D144" s="96"/>
      <c r="E144" s="96"/>
      <c r="F144" s="96"/>
      <c r="G144" s="96"/>
      <c r="H144" s="96"/>
      <c r="I144" s="96"/>
      <c r="J144" s="96"/>
      <c r="K144" s="96"/>
      <c r="L144" s="96"/>
      <c r="M144" s="96"/>
      <c r="N144" s="96"/>
      <c r="O144" s="96"/>
      <c r="P144" s="621"/>
      <c r="Q144" s="622"/>
      <c r="R144" s="620"/>
      <c r="X144" s="96"/>
      <c r="Y144" s="96"/>
      <c r="Z144" s="2498"/>
      <c r="AA144" s="95"/>
      <c r="AB144" s="96"/>
      <c r="AC144" s="96"/>
      <c r="AD144" s="96"/>
      <c r="AE144" s="96"/>
      <c r="AF144" s="96"/>
      <c r="AG144" s="96"/>
      <c r="AH144" s="96"/>
      <c r="AI144" s="96"/>
      <c r="AJ144" s="96"/>
      <c r="AK144" s="96"/>
      <c r="AL144" s="96"/>
      <c r="AM144" s="96"/>
      <c r="AN144" s="96"/>
      <c r="AO144" s="96"/>
      <c r="AP144" s="96"/>
      <c r="AQ144" s="96"/>
      <c r="AR144" s="96"/>
    </row>
    <row r="145" spans="1:44" s="270" customFormat="1" ht="12" customHeight="1">
      <c r="A145" s="96"/>
      <c r="B145" s="96"/>
      <c r="C145" s="96"/>
      <c r="D145" s="96"/>
      <c r="E145" s="96"/>
      <c r="F145" s="96"/>
      <c r="G145" s="96"/>
      <c r="H145" s="96"/>
      <c r="I145" s="96"/>
      <c r="J145" s="96"/>
      <c r="K145" s="96"/>
      <c r="L145" s="96"/>
      <c r="M145" s="96"/>
      <c r="N145" s="96"/>
      <c r="O145" s="96"/>
      <c r="P145" s="621"/>
      <c r="Q145" s="622"/>
      <c r="R145" s="620"/>
      <c r="X145" s="96"/>
      <c r="Y145" s="96"/>
      <c r="Z145" s="2498"/>
      <c r="AA145" s="95"/>
      <c r="AB145" s="96"/>
      <c r="AC145" s="96"/>
      <c r="AD145" s="96"/>
      <c r="AE145" s="96"/>
      <c r="AF145" s="96"/>
      <c r="AG145" s="96"/>
      <c r="AH145" s="96"/>
      <c r="AI145" s="96"/>
      <c r="AJ145" s="96"/>
      <c r="AK145" s="96"/>
      <c r="AL145" s="96"/>
      <c r="AM145" s="96"/>
      <c r="AN145" s="96"/>
      <c r="AO145" s="96"/>
      <c r="AP145" s="96"/>
      <c r="AQ145" s="96"/>
      <c r="AR145" s="96"/>
    </row>
    <row r="146" spans="1:44" s="270" customFormat="1" ht="12" customHeight="1">
      <c r="A146" s="96"/>
      <c r="B146" s="96"/>
      <c r="C146" s="96"/>
      <c r="D146" s="96"/>
      <c r="E146" s="96"/>
      <c r="F146" s="96"/>
      <c r="G146" s="96"/>
      <c r="H146" s="96"/>
      <c r="I146" s="96"/>
      <c r="J146" s="96"/>
      <c r="K146" s="96"/>
      <c r="L146" s="96"/>
      <c r="M146" s="96"/>
      <c r="N146" s="96"/>
      <c r="O146" s="96"/>
      <c r="P146" s="621"/>
      <c r="Q146" s="622"/>
      <c r="R146" s="620"/>
      <c r="X146" s="96"/>
      <c r="Y146" s="96"/>
      <c r="Z146" s="2498"/>
      <c r="AA146" s="95"/>
      <c r="AB146" s="96"/>
      <c r="AC146" s="96"/>
      <c r="AD146" s="96"/>
      <c r="AE146" s="96"/>
      <c r="AF146" s="96"/>
      <c r="AG146" s="96"/>
      <c r="AH146" s="96"/>
      <c r="AI146" s="96"/>
      <c r="AJ146" s="96"/>
      <c r="AK146" s="96"/>
      <c r="AL146" s="96"/>
      <c r="AM146" s="96"/>
      <c r="AN146" s="96"/>
      <c r="AO146" s="96"/>
      <c r="AP146" s="96"/>
      <c r="AQ146" s="96"/>
      <c r="AR146" s="96"/>
    </row>
    <row r="147" spans="1:44" s="270" customFormat="1" ht="12" customHeight="1">
      <c r="A147" s="96"/>
      <c r="B147" s="96"/>
      <c r="C147" s="96"/>
      <c r="D147" s="96"/>
      <c r="E147" s="96"/>
      <c r="F147" s="96"/>
      <c r="G147" s="96"/>
      <c r="H147" s="96"/>
      <c r="I147" s="96"/>
      <c r="J147" s="96"/>
      <c r="K147" s="96"/>
      <c r="L147" s="96"/>
      <c r="M147" s="96"/>
      <c r="N147" s="96"/>
      <c r="O147" s="96"/>
      <c r="P147" s="621"/>
      <c r="Q147" s="622"/>
      <c r="R147" s="620"/>
      <c r="X147" s="96"/>
      <c r="Y147" s="96"/>
      <c r="Z147" s="2498"/>
      <c r="AA147" s="95"/>
      <c r="AB147" s="96"/>
      <c r="AC147" s="96"/>
      <c r="AD147" s="96"/>
      <c r="AE147" s="96"/>
      <c r="AF147" s="96"/>
      <c r="AG147" s="96"/>
      <c r="AH147" s="96"/>
      <c r="AI147" s="96"/>
      <c r="AJ147" s="96"/>
      <c r="AK147" s="96"/>
      <c r="AL147" s="96"/>
      <c r="AM147" s="96"/>
      <c r="AN147" s="96"/>
      <c r="AO147" s="96"/>
      <c r="AP147" s="96"/>
      <c r="AQ147" s="96"/>
      <c r="AR147" s="96"/>
    </row>
    <row r="148" spans="1:44" s="270" customFormat="1" ht="12" customHeight="1">
      <c r="A148" s="96"/>
      <c r="B148" s="96"/>
      <c r="C148" s="96"/>
      <c r="D148" s="96"/>
      <c r="E148" s="96"/>
      <c r="F148" s="96"/>
      <c r="G148" s="96"/>
      <c r="H148" s="96"/>
      <c r="I148" s="96"/>
      <c r="J148" s="96"/>
      <c r="K148" s="96"/>
      <c r="L148" s="96"/>
      <c r="M148" s="96"/>
      <c r="N148" s="96"/>
      <c r="O148" s="96"/>
      <c r="P148" s="621"/>
      <c r="Q148" s="622"/>
      <c r="R148" s="620"/>
      <c r="X148" s="96"/>
      <c r="Y148" s="96"/>
      <c r="Z148" s="2498"/>
      <c r="AA148" s="95"/>
      <c r="AB148" s="96"/>
      <c r="AC148" s="96"/>
      <c r="AD148" s="96"/>
      <c r="AE148" s="96"/>
      <c r="AF148" s="96"/>
      <c r="AG148" s="96"/>
      <c r="AH148" s="96"/>
      <c r="AI148" s="96"/>
      <c r="AJ148" s="96"/>
      <c r="AK148" s="96"/>
      <c r="AL148" s="96"/>
      <c r="AM148" s="96"/>
      <c r="AN148" s="96"/>
      <c r="AO148" s="96"/>
      <c r="AP148" s="96"/>
      <c r="AQ148" s="96"/>
      <c r="AR148" s="96"/>
    </row>
    <row r="149" spans="1:44" s="270" customFormat="1" ht="12" customHeight="1">
      <c r="A149" s="96"/>
      <c r="B149" s="96"/>
      <c r="C149" s="96"/>
      <c r="D149" s="96"/>
      <c r="E149" s="96"/>
      <c r="F149" s="96"/>
      <c r="G149" s="96"/>
      <c r="H149" s="96"/>
      <c r="I149" s="96"/>
      <c r="J149" s="96"/>
      <c r="K149" s="96"/>
      <c r="L149" s="96"/>
      <c r="M149" s="96"/>
      <c r="N149" s="96"/>
      <c r="O149" s="96"/>
      <c r="P149" s="621"/>
      <c r="Q149" s="622"/>
      <c r="R149" s="620"/>
      <c r="X149" s="96"/>
      <c r="Y149" s="96"/>
      <c r="Z149" s="2498"/>
      <c r="AA149" s="95"/>
      <c r="AB149" s="96"/>
      <c r="AC149" s="96"/>
      <c r="AD149" s="96"/>
      <c r="AE149" s="96"/>
      <c r="AF149" s="96"/>
      <c r="AG149" s="96"/>
      <c r="AH149" s="96"/>
      <c r="AI149" s="96"/>
      <c r="AJ149" s="96"/>
      <c r="AK149" s="96"/>
      <c r="AL149" s="96"/>
      <c r="AM149" s="96"/>
      <c r="AN149" s="96"/>
      <c r="AO149" s="96"/>
      <c r="AP149" s="96"/>
      <c r="AQ149" s="96"/>
      <c r="AR149" s="96"/>
    </row>
    <row r="150" spans="1:44" s="270" customFormat="1" ht="12" customHeight="1">
      <c r="A150" s="96"/>
      <c r="B150" s="96"/>
      <c r="C150" s="96"/>
      <c r="D150" s="96"/>
      <c r="E150" s="96"/>
      <c r="F150" s="96"/>
      <c r="G150" s="96"/>
      <c r="H150" s="96"/>
      <c r="I150" s="96"/>
      <c r="J150" s="96"/>
      <c r="K150" s="96"/>
      <c r="L150" s="96"/>
      <c r="M150" s="96"/>
      <c r="N150" s="96"/>
      <c r="O150" s="96"/>
      <c r="P150" s="621"/>
      <c r="Q150" s="622"/>
      <c r="R150" s="620"/>
      <c r="X150" s="96"/>
      <c r="Y150" s="96"/>
      <c r="Z150" s="2498"/>
      <c r="AA150" s="95"/>
      <c r="AB150" s="96"/>
      <c r="AC150" s="96"/>
      <c r="AD150" s="96"/>
      <c r="AE150" s="96"/>
      <c r="AF150" s="96"/>
      <c r="AG150" s="96"/>
      <c r="AH150" s="96"/>
      <c r="AI150" s="96"/>
      <c r="AJ150" s="96"/>
      <c r="AK150" s="96"/>
      <c r="AL150" s="96"/>
      <c r="AM150" s="96"/>
      <c r="AN150" s="96"/>
      <c r="AO150" s="96"/>
      <c r="AP150" s="96"/>
      <c r="AQ150" s="96"/>
      <c r="AR150" s="96"/>
    </row>
    <row r="151" spans="1:44" s="270" customFormat="1" ht="12" customHeight="1">
      <c r="A151" s="96"/>
      <c r="B151" s="96"/>
      <c r="C151" s="96"/>
      <c r="D151" s="96"/>
      <c r="E151" s="96"/>
      <c r="F151" s="96"/>
      <c r="G151" s="96"/>
      <c r="H151" s="96"/>
      <c r="I151" s="96"/>
      <c r="J151" s="96"/>
      <c r="K151" s="96"/>
      <c r="L151" s="96"/>
      <c r="M151" s="96"/>
      <c r="N151" s="96"/>
      <c r="O151" s="96"/>
      <c r="P151" s="621"/>
      <c r="Q151" s="622"/>
      <c r="R151" s="620"/>
      <c r="X151" s="96"/>
      <c r="Y151" s="96"/>
      <c r="Z151" s="2498"/>
      <c r="AA151" s="95"/>
      <c r="AB151" s="96"/>
      <c r="AC151" s="96"/>
      <c r="AD151" s="96"/>
      <c r="AE151" s="96"/>
      <c r="AF151" s="96"/>
      <c r="AG151" s="96"/>
      <c r="AH151" s="96"/>
      <c r="AI151" s="96"/>
      <c r="AJ151" s="96"/>
      <c r="AK151" s="96"/>
      <c r="AL151" s="96"/>
      <c r="AM151" s="96"/>
      <c r="AN151" s="96"/>
      <c r="AO151" s="96"/>
      <c r="AP151" s="96"/>
      <c r="AQ151" s="96"/>
      <c r="AR151" s="96"/>
    </row>
    <row r="152" spans="1:44" s="270" customFormat="1" ht="12" customHeight="1">
      <c r="A152" s="96"/>
      <c r="B152" s="96"/>
      <c r="C152" s="96"/>
      <c r="D152" s="96"/>
      <c r="E152" s="96"/>
      <c r="F152" s="96"/>
      <c r="G152" s="96"/>
      <c r="H152" s="96"/>
      <c r="I152" s="96"/>
      <c r="J152" s="96"/>
      <c r="K152" s="96"/>
      <c r="L152" s="96"/>
      <c r="M152" s="96"/>
      <c r="N152" s="96"/>
      <c r="O152" s="96"/>
      <c r="P152" s="621"/>
      <c r="Q152" s="622"/>
      <c r="R152" s="620"/>
      <c r="X152" s="96"/>
      <c r="Y152" s="96"/>
      <c r="Z152" s="2498"/>
      <c r="AA152" s="95"/>
      <c r="AB152" s="96"/>
      <c r="AC152" s="96"/>
      <c r="AD152" s="96"/>
      <c r="AE152" s="96"/>
      <c r="AF152" s="96"/>
      <c r="AG152" s="96"/>
      <c r="AH152" s="96"/>
      <c r="AI152" s="96"/>
      <c r="AJ152" s="96"/>
      <c r="AK152" s="96"/>
      <c r="AL152" s="96"/>
      <c r="AM152" s="96"/>
      <c r="AN152" s="96"/>
      <c r="AO152" s="96"/>
      <c r="AP152" s="96"/>
      <c r="AQ152" s="96"/>
      <c r="AR152" s="96"/>
    </row>
    <row r="153" spans="1:44" s="270" customFormat="1" ht="12" customHeight="1">
      <c r="A153" s="96"/>
      <c r="B153" s="96"/>
      <c r="C153" s="96"/>
      <c r="D153" s="96"/>
      <c r="E153" s="96"/>
      <c r="F153" s="96"/>
      <c r="G153" s="96"/>
      <c r="H153" s="96"/>
      <c r="I153" s="96"/>
      <c r="J153" s="96"/>
      <c r="K153" s="96"/>
      <c r="L153" s="96"/>
      <c r="M153" s="96"/>
      <c r="N153" s="96"/>
      <c r="O153" s="96"/>
      <c r="P153" s="621"/>
      <c r="Q153" s="622"/>
      <c r="R153" s="620"/>
      <c r="X153" s="96"/>
      <c r="Y153" s="96"/>
      <c r="Z153" s="2498"/>
      <c r="AA153" s="95"/>
      <c r="AB153" s="96"/>
      <c r="AC153" s="96"/>
      <c r="AD153" s="96"/>
      <c r="AE153" s="96"/>
      <c r="AF153" s="96"/>
      <c r="AG153" s="96"/>
      <c r="AH153" s="96"/>
      <c r="AI153" s="96"/>
      <c r="AJ153" s="96"/>
      <c r="AK153" s="96"/>
      <c r="AL153" s="96"/>
      <c r="AM153" s="96"/>
      <c r="AN153" s="96"/>
      <c r="AO153" s="96"/>
      <c r="AP153" s="96"/>
      <c r="AQ153" s="96"/>
      <c r="AR153" s="96"/>
    </row>
    <row r="154" spans="1:44" s="270" customFormat="1" ht="12" customHeight="1">
      <c r="A154" s="96"/>
      <c r="B154" s="96"/>
      <c r="C154" s="96"/>
      <c r="D154" s="96"/>
      <c r="E154" s="96"/>
      <c r="F154" s="96"/>
      <c r="G154" s="96"/>
      <c r="H154" s="96"/>
      <c r="I154" s="96"/>
      <c r="J154" s="96"/>
      <c r="K154" s="96"/>
      <c r="L154" s="96"/>
      <c r="M154" s="96"/>
      <c r="N154" s="96"/>
      <c r="O154" s="96"/>
      <c r="P154" s="621"/>
      <c r="Q154" s="622"/>
      <c r="R154" s="620"/>
      <c r="X154" s="96"/>
      <c r="Y154" s="96"/>
      <c r="Z154" s="2498"/>
      <c r="AA154" s="95"/>
      <c r="AB154" s="96"/>
      <c r="AC154" s="96"/>
      <c r="AD154" s="96"/>
      <c r="AE154" s="96"/>
      <c r="AF154" s="96"/>
      <c r="AG154" s="96"/>
      <c r="AH154" s="96"/>
      <c r="AI154" s="96"/>
      <c r="AJ154" s="96"/>
      <c r="AK154" s="96"/>
      <c r="AL154" s="96"/>
      <c r="AM154" s="96"/>
      <c r="AN154" s="96"/>
      <c r="AO154" s="96"/>
      <c r="AP154" s="96"/>
      <c r="AQ154" s="96"/>
      <c r="AR154" s="96"/>
    </row>
    <row r="155" spans="1:44" s="270" customFormat="1" ht="12" customHeight="1">
      <c r="A155" s="96"/>
      <c r="B155" s="96"/>
      <c r="C155" s="96"/>
      <c r="D155" s="96"/>
      <c r="E155" s="96"/>
      <c r="F155" s="96"/>
      <c r="G155" s="96"/>
      <c r="H155" s="96"/>
      <c r="I155" s="96"/>
      <c r="J155" s="96"/>
      <c r="K155" s="96"/>
      <c r="L155" s="96"/>
      <c r="M155" s="96"/>
      <c r="N155" s="96"/>
      <c r="O155" s="96"/>
      <c r="P155" s="621"/>
      <c r="Q155" s="622"/>
      <c r="R155" s="620"/>
      <c r="X155" s="96"/>
      <c r="Y155" s="96"/>
      <c r="Z155" s="2498"/>
      <c r="AA155" s="95"/>
      <c r="AB155" s="96"/>
      <c r="AC155" s="96"/>
      <c r="AD155" s="96"/>
      <c r="AE155" s="96"/>
      <c r="AF155" s="96"/>
      <c r="AG155" s="96"/>
      <c r="AH155" s="96"/>
      <c r="AI155" s="96"/>
      <c r="AJ155" s="96"/>
      <c r="AK155" s="96"/>
      <c r="AL155" s="96"/>
      <c r="AM155" s="96"/>
      <c r="AN155" s="96"/>
      <c r="AO155" s="96"/>
      <c r="AP155" s="96"/>
      <c r="AQ155" s="96"/>
      <c r="AR155" s="96"/>
    </row>
    <row r="156" spans="1:44" s="270" customFormat="1" ht="12" customHeight="1">
      <c r="A156" s="96"/>
      <c r="B156" s="96"/>
      <c r="C156" s="96"/>
      <c r="D156" s="96"/>
      <c r="E156" s="96"/>
      <c r="F156" s="96"/>
      <c r="G156" s="96"/>
      <c r="H156" s="96"/>
      <c r="I156" s="96"/>
      <c r="J156" s="96"/>
      <c r="K156" s="96"/>
      <c r="L156" s="96"/>
      <c r="M156" s="96"/>
      <c r="N156" s="96"/>
      <c r="O156" s="96"/>
      <c r="P156" s="623"/>
      <c r="Q156" s="622"/>
      <c r="R156" s="620"/>
      <c r="X156" s="96"/>
      <c r="Y156" s="96"/>
      <c r="Z156" s="2498"/>
      <c r="AA156" s="95"/>
      <c r="AB156" s="96"/>
      <c r="AC156" s="96"/>
      <c r="AD156" s="96"/>
      <c r="AE156" s="96"/>
      <c r="AF156" s="96"/>
      <c r="AG156" s="96"/>
      <c r="AH156" s="96"/>
      <c r="AI156" s="96"/>
      <c r="AJ156" s="96"/>
      <c r="AK156" s="96"/>
      <c r="AL156" s="96"/>
      <c r="AM156" s="96"/>
      <c r="AN156" s="96"/>
      <c r="AO156" s="96"/>
      <c r="AP156" s="96"/>
      <c r="AQ156" s="96"/>
      <c r="AR156" s="96"/>
    </row>
    <row r="157" spans="1:44" s="270" customFormat="1" ht="12" customHeight="1">
      <c r="A157" s="96"/>
      <c r="B157" s="96"/>
      <c r="C157" s="96"/>
      <c r="D157" s="96"/>
      <c r="E157" s="96"/>
      <c r="F157" s="96"/>
      <c r="G157" s="96"/>
      <c r="H157" s="96"/>
      <c r="I157" s="96"/>
      <c r="J157" s="96"/>
      <c r="K157" s="96"/>
      <c r="L157" s="96"/>
      <c r="M157" s="96"/>
      <c r="N157" s="96"/>
      <c r="O157" s="96"/>
      <c r="P157" s="621"/>
      <c r="Q157" s="622"/>
      <c r="R157" s="620"/>
      <c r="X157" s="96"/>
      <c r="Y157" s="96"/>
      <c r="Z157" s="2498"/>
      <c r="AA157" s="95"/>
      <c r="AB157" s="96"/>
      <c r="AC157" s="96"/>
      <c r="AD157" s="96"/>
      <c r="AE157" s="96"/>
      <c r="AF157" s="96"/>
      <c r="AG157" s="96"/>
      <c r="AH157" s="96"/>
      <c r="AI157" s="96"/>
      <c r="AJ157" s="96"/>
      <c r="AK157" s="96"/>
      <c r="AL157" s="96"/>
      <c r="AM157" s="96"/>
      <c r="AN157" s="96"/>
      <c r="AO157" s="96"/>
      <c r="AP157" s="96"/>
      <c r="AQ157" s="96"/>
      <c r="AR157" s="96"/>
    </row>
    <row r="158" spans="1:44" s="270" customFormat="1" ht="12" customHeight="1">
      <c r="A158" s="96"/>
      <c r="B158" s="96"/>
      <c r="C158" s="96"/>
      <c r="D158" s="96"/>
      <c r="E158" s="96"/>
      <c r="F158" s="96"/>
      <c r="G158" s="96"/>
      <c r="H158" s="96"/>
      <c r="I158" s="96"/>
      <c r="J158" s="96"/>
      <c r="K158" s="96"/>
      <c r="L158" s="96"/>
      <c r="M158" s="96"/>
      <c r="N158" s="96"/>
      <c r="O158" s="96"/>
      <c r="P158" s="621"/>
      <c r="Q158" s="622"/>
      <c r="R158" s="620"/>
      <c r="X158" s="96"/>
      <c r="Y158" s="96"/>
      <c r="Z158" s="2498"/>
      <c r="AA158" s="95"/>
      <c r="AB158" s="96"/>
      <c r="AC158" s="96"/>
      <c r="AD158" s="96"/>
      <c r="AE158" s="96"/>
      <c r="AF158" s="96"/>
      <c r="AG158" s="96"/>
      <c r="AH158" s="96"/>
      <c r="AI158" s="96"/>
      <c r="AJ158" s="96"/>
      <c r="AK158" s="96"/>
      <c r="AL158" s="96"/>
      <c r="AM158" s="96"/>
      <c r="AN158" s="96"/>
      <c r="AO158" s="96"/>
      <c r="AP158" s="96"/>
      <c r="AQ158" s="96"/>
      <c r="AR158" s="96"/>
    </row>
    <row r="159" spans="1:44" s="270" customFormat="1" ht="12" customHeight="1">
      <c r="A159" s="96"/>
      <c r="B159" s="96"/>
      <c r="C159" s="96"/>
      <c r="D159" s="96"/>
      <c r="E159" s="96"/>
      <c r="F159" s="96"/>
      <c r="G159" s="96"/>
      <c r="H159" s="96"/>
      <c r="I159" s="96"/>
      <c r="J159" s="96"/>
      <c r="K159" s="96"/>
      <c r="L159" s="96"/>
      <c r="M159" s="96"/>
      <c r="N159" s="96"/>
      <c r="O159" s="96"/>
      <c r="P159" s="621"/>
      <c r="Q159" s="622"/>
      <c r="R159" s="620"/>
      <c r="X159" s="96"/>
      <c r="Y159" s="96"/>
      <c r="Z159" s="2498"/>
      <c r="AA159" s="95"/>
      <c r="AB159" s="96"/>
      <c r="AC159" s="96"/>
      <c r="AD159" s="96"/>
      <c r="AE159" s="96"/>
      <c r="AF159" s="96"/>
      <c r="AG159" s="96"/>
      <c r="AH159" s="96"/>
      <c r="AI159" s="96"/>
      <c r="AJ159" s="96"/>
      <c r="AK159" s="96"/>
      <c r="AL159" s="96"/>
      <c r="AM159" s="96"/>
      <c r="AN159" s="96"/>
      <c r="AO159" s="96"/>
      <c r="AP159" s="96"/>
      <c r="AQ159" s="96"/>
      <c r="AR159" s="96"/>
    </row>
    <row r="160" spans="1:44" s="270" customFormat="1" ht="12" customHeight="1">
      <c r="A160" s="96"/>
      <c r="B160" s="96"/>
      <c r="C160" s="96"/>
      <c r="D160" s="96"/>
      <c r="E160" s="96"/>
      <c r="F160" s="96"/>
      <c r="G160" s="96"/>
      <c r="H160" s="96"/>
      <c r="I160" s="96"/>
      <c r="J160" s="96"/>
      <c r="K160" s="96"/>
      <c r="L160" s="96"/>
      <c r="M160" s="96"/>
      <c r="N160" s="96"/>
      <c r="O160" s="96"/>
      <c r="P160" s="621"/>
      <c r="Q160" s="622"/>
      <c r="R160" s="620"/>
      <c r="X160" s="96"/>
      <c r="Y160" s="96"/>
      <c r="Z160" s="2498"/>
      <c r="AA160" s="95"/>
      <c r="AB160" s="96"/>
      <c r="AC160" s="96"/>
      <c r="AD160" s="96"/>
      <c r="AE160" s="96"/>
      <c r="AF160" s="96"/>
      <c r="AG160" s="96"/>
      <c r="AH160" s="96"/>
      <c r="AI160" s="96"/>
      <c r="AJ160" s="96"/>
      <c r="AK160" s="96"/>
      <c r="AL160" s="96"/>
      <c r="AM160" s="96"/>
      <c r="AN160" s="96"/>
      <c r="AO160" s="96"/>
      <c r="AP160" s="96"/>
      <c r="AQ160" s="96"/>
      <c r="AR160" s="96"/>
    </row>
    <row r="161" spans="1:44" s="270" customFormat="1" ht="12" customHeight="1">
      <c r="A161" s="96"/>
      <c r="B161" s="96"/>
      <c r="C161" s="96"/>
      <c r="D161" s="96"/>
      <c r="E161" s="96"/>
      <c r="F161" s="96"/>
      <c r="G161" s="96"/>
      <c r="H161" s="96"/>
      <c r="I161" s="96"/>
      <c r="J161" s="96"/>
      <c r="K161" s="96"/>
      <c r="L161" s="96"/>
      <c r="M161" s="96"/>
      <c r="N161" s="96"/>
      <c r="O161" s="96"/>
      <c r="P161" s="621"/>
      <c r="Q161" s="622"/>
      <c r="R161" s="620"/>
      <c r="X161" s="96"/>
      <c r="Y161" s="96"/>
      <c r="Z161" s="2498"/>
      <c r="AA161" s="95"/>
      <c r="AB161" s="96"/>
      <c r="AC161" s="96"/>
      <c r="AD161" s="96"/>
      <c r="AE161" s="96"/>
      <c r="AF161" s="96"/>
      <c r="AG161" s="96"/>
      <c r="AH161" s="96"/>
      <c r="AI161" s="96"/>
      <c r="AJ161" s="96"/>
      <c r="AK161" s="96"/>
      <c r="AL161" s="96"/>
      <c r="AM161" s="96"/>
      <c r="AN161" s="96"/>
      <c r="AO161" s="96"/>
      <c r="AP161" s="96"/>
      <c r="AQ161" s="96"/>
      <c r="AR161" s="96"/>
    </row>
    <row r="162" spans="1:44" s="270" customFormat="1" ht="12" customHeight="1">
      <c r="A162" s="96"/>
      <c r="B162" s="96"/>
      <c r="C162" s="96"/>
      <c r="D162" s="96"/>
      <c r="E162" s="96"/>
      <c r="F162" s="96"/>
      <c r="G162" s="96"/>
      <c r="H162" s="96"/>
      <c r="I162" s="96"/>
      <c r="J162" s="96"/>
      <c r="K162" s="96"/>
      <c r="L162" s="96"/>
      <c r="M162" s="96"/>
      <c r="N162" s="96"/>
      <c r="O162" s="96"/>
      <c r="P162" s="621"/>
      <c r="Q162" s="622"/>
      <c r="R162" s="620"/>
      <c r="X162" s="96"/>
      <c r="Y162" s="96"/>
      <c r="Z162" s="2498"/>
      <c r="AA162" s="95"/>
      <c r="AB162" s="96"/>
      <c r="AC162" s="96"/>
      <c r="AD162" s="96"/>
      <c r="AE162" s="96"/>
      <c r="AF162" s="96"/>
      <c r="AG162" s="96"/>
      <c r="AH162" s="96"/>
      <c r="AI162" s="96"/>
      <c r="AJ162" s="96"/>
      <c r="AK162" s="96"/>
      <c r="AL162" s="96"/>
      <c r="AM162" s="96"/>
      <c r="AN162" s="96"/>
      <c r="AO162" s="96"/>
      <c r="AP162" s="96"/>
      <c r="AQ162" s="96"/>
      <c r="AR162" s="96"/>
    </row>
    <row r="163" spans="1:44" s="270" customFormat="1" ht="12" customHeight="1">
      <c r="A163" s="96"/>
      <c r="B163" s="96"/>
      <c r="C163" s="96"/>
      <c r="D163" s="96"/>
      <c r="E163" s="96"/>
      <c r="F163" s="96"/>
      <c r="G163" s="96"/>
      <c r="H163" s="96"/>
      <c r="I163" s="96"/>
      <c r="J163" s="96"/>
      <c r="K163" s="96"/>
      <c r="L163" s="96"/>
      <c r="M163" s="96"/>
      <c r="N163" s="96"/>
      <c r="O163" s="96"/>
      <c r="P163" s="621"/>
      <c r="Q163" s="622"/>
      <c r="R163" s="620"/>
      <c r="X163" s="96"/>
      <c r="Y163" s="96"/>
      <c r="Z163" s="2498"/>
      <c r="AA163" s="95"/>
      <c r="AB163" s="96"/>
      <c r="AC163" s="96"/>
      <c r="AD163" s="96"/>
      <c r="AE163" s="96"/>
      <c r="AF163" s="96"/>
      <c r="AG163" s="96"/>
      <c r="AH163" s="96"/>
      <c r="AI163" s="96"/>
      <c r="AJ163" s="96"/>
      <c r="AK163" s="96"/>
      <c r="AL163" s="96"/>
      <c r="AM163" s="96"/>
      <c r="AN163" s="96"/>
      <c r="AO163" s="96"/>
      <c r="AP163" s="96"/>
      <c r="AQ163" s="96"/>
      <c r="AR163" s="96"/>
    </row>
    <row r="164" spans="1:44" s="270" customFormat="1" ht="12" customHeight="1">
      <c r="A164" s="96"/>
      <c r="B164" s="96"/>
      <c r="C164" s="96"/>
      <c r="D164" s="96"/>
      <c r="E164" s="96"/>
      <c r="F164" s="96"/>
      <c r="G164" s="96"/>
      <c r="H164" s="96"/>
      <c r="I164" s="96"/>
      <c r="J164" s="96"/>
      <c r="K164" s="96"/>
      <c r="L164" s="96"/>
      <c r="M164" s="96"/>
      <c r="N164" s="96"/>
      <c r="O164" s="96"/>
      <c r="P164" s="621"/>
      <c r="Q164" s="622"/>
      <c r="R164" s="620"/>
      <c r="X164" s="96"/>
      <c r="Y164" s="96"/>
      <c r="Z164" s="2498"/>
      <c r="AA164" s="95"/>
      <c r="AB164" s="96"/>
      <c r="AC164" s="96"/>
      <c r="AD164" s="96"/>
      <c r="AE164" s="96"/>
      <c r="AF164" s="96"/>
      <c r="AG164" s="96"/>
      <c r="AH164" s="96"/>
      <c r="AI164" s="96"/>
      <c r="AJ164" s="96"/>
      <c r="AK164" s="96"/>
      <c r="AL164" s="96"/>
      <c r="AM164" s="96"/>
      <c r="AN164" s="96"/>
      <c r="AO164" s="96"/>
      <c r="AP164" s="96"/>
      <c r="AQ164" s="96"/>
      <c r="AR164" s="96"/>
    </row>
    <row r="165" spans="1:44" s="270" customFormat="1" ht="12" customHeight="1">
      <c r="A165" s="96"/>
      <c r="B165" s="96"/>
      <c r="C165" s="96"/>
      <c r="D165" s="96"/>
      <c r="E165" s="96"/>
      <c r="F165" s="96"/>
      <c r="G165" s="96"/>
      <c r="H165" s="96"/>
      <c r="I165" s="96"/>
      <c r="J165" s="96"/>
      <c r="K165" s="96"/>
      <c r="L165" s="96"/>
      <c r="M165" s="96"/>
      <c r="N165" s="96"/>
      <c r="O165" s="96"/>
      <c r="P165" s="621"/>
      <c r="Q165" s="622"/>
      <c r="R165" s="620"/>
      <c r="X165" s="96"/>
      <c r="Y165" s="96"/>
      <c r="Z165" s="2498"/>
      <c r="AA165" s="95"/>
      <c r="AB165" s="96"/>
      <c r="AC165" s="96"/>
      <c r="AD165" s="96"/>
      <c r="AE165" s="96"/>
      <c r="AF165" s="96"/>
      <c r="AG165" s="96"/>
      <c r="AH165" s="96"/>
      <c r="AI165" s="96"/>
      <c r="AJ165" s="96"/>
      <c r="AK165" s="96"/>
      <c r="AL165" s="96"/>
      <c r="AM165" s="96"/>
      <c r="AN165" s="96"/>
      <c r="AO165" s="96"/>
      <c r="AP165" s="96"/>
      <c r="AQ165" s="96"/>
      <c r="AR165" s="96"/>
    </row>
    <row r="166" spans="1:44" s="270" customFormat="1" ht="12" customHeight="1">
      <c r="A166" s="96"/>
      <c r="B166" s="96"/>
      <c r="C166" s="96"/>
      <c r="D166" s="96"/>
      <c r="E166" s="96"/>
      <c r="F166" s="96"/>
      <c r="G166" s="96"/>
      <c r="H166" s="96"/>
      <c r="I166" s="96"/>
      <c r="J166" s="96"/>
      <c r="K166" s="96"/>
      <c r="L166" s="96"/>
      <c r="M166" s="96"/>
      <c r="N166" s="96"/>
      <c r="O166" s="96"/>
      <c r="P166" s="621"/>
      <c r="Q166" s="622"/>
      <c r="R166" s="620"/>
      <c r="X166" s="96"/>
      <c r="Y166" s="96"/>
      <c r="Z166" s="2498"/>
      <c r="AA166" s="95"/>
      <c r="AB166" s="96"/>
      <c r="AC166" s="96"/>
      <c r="AD166" s="96"/>
      <c r="AE166" s="96"/>
      <c r="AF166" s="96"/>
      <c r="AG166" s="96"/>
      <c r="AH166" s="96"/>
      <c r="AI166" s="96"/>
      <c r="AJ166" s="96"/>
      <c r="AK166" s="96"/>
      <c r="AL166" s="96"/>
      <c r="AM166" s="96"/>
      <c r="AN166" s="96"/>
      <c r="AO166" s="96"/>
      <c r="AP166" s="96"/>
      <c r="AQ166" s="96"/>
      <c r="AR166" s="96"/>
    </row>
    <row r="167" spans="1:44" s="270" customFormat="1" ht="12" customHeight="1">
      <c r="A167" s="96"/>
      <c r="B167" s="96"/>
      <c r="C167" s="96"/>
      <c r="D167" s="96"/>
      <c r="E167" s="96"/>
      <c r="F167" s="96"/>
      <c r="G167" s="96"/>
      <c r="H167" s="96"/>
      <c r="I167" s="96"/>
      <c r="J167" s="96"/>
      <c r="K167" s="96"/>
      <c r="L167" s="96"/>
      <c r="M167" s="96"/>
      <c r="N167" s="96"/>
      <c r="O167" s="96"/>
      <c r="P167" s="621"/>
      <c r="Q167" s="620"/>
      <c r="R167" s="620"/>
      <c r="X167" s="96"/>
      <c r="Y167" s="96"/>
      <c r="Z167" s="2498"/>
      <c r="AA167" s="95"/>
      <c r="AB167" s="96"/>
      <c r="AC167" s="96"/>
      <c r="AD167" s="96"/>
      <c r="AE167" s="96"/>
      <c r="AF167" s="96"/>
      <c r="AG167" s="96"/>
      <c r="AH167" s="96"/>
      <c r="AI167" s="96"/>
      <c r="AJ167" s="96"/>
      <c r="AK167" s="96"/>
      <c r="AL167" s="96"/>
      <c r="AM167" s="96"/>
      <c r="AN167" s="96"/>
      <c r="AO167" s="96"/>
      <c r="AP167" s="96"/>
      <c r="AQ167" s="96"/>
      <c r="AR167" s="96"/>
    </row>
    <row r="168" spans="1:44" s="270" customFormat="1" ht="12" customHeight="1">
      <c r="A168" s="96"/>
      <c r="B168" s="96"/>
      <c r="C168" s="96"/>
      <c r="D168" s="96"/>
      <c r="E168" s="96"/>
      <c r="F168" s="96"/>
      <c r="G168" s="96"/>
      <c r="H168" s="96"/>
      <c r="I168" s="96"/>
      <c r="J168" s="96"/>
      <c r="K168" s="96"/>
      <c r="L168" s="96"/>
      <c r="M168" s="96"/>
      <c r="N168" s="96"/>
      <c r="O168" s="96"/>
      <c r="P168" s="621"/>
      <c r="Q168" s="622"/>
      <c r="R168" s="620"/>
      <c r="X168" s="96"/>
      <c r="Y168" s="96"/>
      <c r="Z168" s="2498"/>
      <c r="AA168" s="95"/>
      <c r="AB168" s="96"/>
      <c r="AC168" s="96"/>
      <c r="AD168" s="96"/>
      <c r="AE168" s="96"/>
      <c r="AF168" s="96"/>
      <c r="AG168" s="96"/>
      <c r="AH168" s="96"/>
      <c r="AI168" s="96"/>
      <c r="AJ168" s="96"/>
      <c r="AK168" s="96"/>
      <c r="AL168" s="96"/>
      <c r="AM168" s="96"/>
      <c r="AN168" s="96"/>
      <c r="AO168" s="96"/>
      <c r="AP168" s="96"/>
      <c r="AQ168" s="96"/>
      <c r="AR168" s="96"/>
    </row>
    <row r="169" spans="1:44" s="270" customFormat="1" ht="12" customHeight="1">
      <c r="A169" s="96"/>
      <c r="B169" s="96"/>
      <c r="C169" s="96"/>
      <c r="D169" s="96"/>
      <c r="E169" s="96"/>
      <c r="F169" s="96"/>
      <c r="G169" s="96"/>
      <c r="H169" s="96"/>
      <c r="I169" s="96"/>
      <c r="J169" s="96"/>
      <c r="K169" s="96"/>
      <c r="L169" s="96"/>
      <c r="M169" s="96"/>
      <c r="N169" s="96"/>
      <c r="O169" s="96"/>
      <c r="P169" s="621"/>
      <c r="Q169" s="622"/>
      <c r="R169" s="620"/>
      <c r="X169" s="96"/>
      <c r="Y169" s="96"/>
      <c r="Z169" s="2498"/>
      <c r="AA169" s="95"/>
      <c r="AB169" s="96"/>
      <c r="AC169" s="96"/>
      <c r="AD169" s="96"/>
      <c r="AE169" s="96"/>
      <c r="AF169" s="96"/>
      <c r="AG169" s="96"/>
      <c r="AH169" s="96"/>
      <c r="AI169" s="96"/>
      <c r="AJ169" s="96"/>
      <c r="AK169" s="96"/>
      <c r="AL169" s="96"/>
      <c r="AM169" s="96"/>
      <c r="AN169" s="96"/>
      <c r="AO169" s="96"/>
      <c r="AP169" s="96"/>
      <c r="AQ169" s="96"/>
      <c r="AR169" s="96"/>
    </row>
    <row r="170" spans="1:44" s="270" customFormat="1" ht="12" customHeight="1">
      <c r="A170" s="96"/>
      <c r="B170" s="96"/>
      <c r="C170" s="96"/>
      <c r="D170" s="96"/>
      <c r="E170" s="96"/>
      <c r="F170" s="96"/>
      <c r="G170" s="96"/>
      <c r="H170" s="96"/>
      <c r="I170" s="96"/>
      <c r="J170" s="96"/>
      <c r="K170" s="96"/>
      <c r="L170" s="96"/>
      <c r="M170" s="96"/>
      <c r="N170" s="96"/>
      <c r="O170" s="96"/>
      <c r="P170" s="621"/>
      <c r="Q170" s="622"/>
      <c r="R170" s="620"/>
      <c r="X170" s="96"/>
      <c r="Y170" s="96"/>
      <c r="Z170" s="2498"/>
      <c r="AA170" s="95"/>
      <c r="AB170" s="96"/>
      <c r="AC170" s="96"/>
      <c r="AD170" s="96"/>
      <c r="AE170" s="96"/>
      <c r="AF170" s="96"/>
      <c r="AG170" s="96"/>
      <c r="AH170" s="96"/>
      <c r="AI170" s="96"/>
      <c r="AJ170" s="96"/>
      <c r="AK170" s="96"/>
      <c r="AL170" s="96"/>
      <c r="AM170" s="96"/>
      <c r="AN170" s="96"/>
      <c r="AO170" s="96"/>
      <c r="AP170" s="96"/>
      <c r="AQ170" s="96"/>
      <c r="AR170" s="96"/>
    </row>
    <row r="171" spans="1:44" s="270" customFormat="1" ht="12" customHeight="1">
      <c r="A171" s="96"/>
      <c r="B171" s="96"/>
      <c r="C171" s="96"/>
      <c r="D171" s="96"/>
      <c r="E171" s="96"/>
      <c r="F171" s="96"/>
      <c r="G171" s="96"/>
      <c r="H171" s="96"/>
      <c r="I171" s="96"/>
      <c r="J171" s="96"/>
      <c r="K171" s="96"/>
      <c r="L171" s="96"/>
      <c r="M171" s="96"/>
      <c r="N171" s="96"/>
      <c r="O171" s="96"/>
      <c r="P171" s="623"/>
      <c r="Q171" s="620"/>
      <c r="R171" s="620"/>
      <c r="X171" s="96"/>
      <c r="Y171" s="96"/>
      <c r="Z171" s="2498"/>
      <c r="AA171" s="95"/>
      <c r="AB171" s="96"/>
      <c r="AC171" s="96"/>
      <c r="AD171" s="96"/>
      <c r="AE171" s="96"/>
      <c r="AF171" s="96"/>
      <c r="AG171" s="96"/>
      <c r="AH171" s="96"/>
      <c r="AI171" s="96"/>
      <c r="AJ171" s="96"/>
      <c r="AK171" s="96"/>
      <c r="AL171" s="96"/>
      <c r="AM171" s="96"/>
      <c r="AN171" s="96"/>
      <c r="AO171" s="96"/>
      <c r="AP171" s="96"/>
      <c r="AQ171" s="96"/>
      <c r="AR171" s="96"/>
    </row>
    <row r="172" spans="1:44" s="270" customFormat="1" ht="12" customHeight="1">
      <c r="A172" s="96"/>
      <c r="B172" s="96"/>
      <c r="C172" s="96"/>
      <c r="D172" s="96"/>
      <c r="E172" s="96"/>
      <c r="F172" s="96"/>
      <c r="G172" s="96"/>
      <c r="H172" s="96"/>
      <c r="I172" s="96"/>
      <c r="J172" s="96"/>
      <c r="K172" s="96"/>
      <c r="L172" s="96"/>
      <c r="M172" s="96"/>
      <c r="N172" s="96"/>
      <c r="O172" s="96"/>
      <c r="P172" s="621"/>
      <c r="Q172" s="622"/>
      <c r="R172" s="620"/>
      <c r="X172" s="96"/>
      <c r="Y172" s="96"/>
      <c r="Z172" s="2498"/>
      <c r="AA172" s="96"/>
      <c r="AB172" s="96"/>
      <c r="AC172" s="96"/>
      <c r="AD172" s="96"/>
      <c r="AE172" s="96"/>
      <c r="AF172" s="96"/>
      <c r="AG172" s="96"/>
      <c r="AH172" s="96"/>
      <c r="AI172" s="96"/>
      <c r="AJ172" s="96"/>
      <c r="AK172" s="96"/>
      <c r="AL172" s="96"/>
      <c r="AM172" s="96"/>
      <c r="AN172" s="96"/>
      <c r="AO172" s="96"/>
      <c r="AP172" s="96"/>
      <c r="AQ172" s="96"/>
      <c r="AR172" s="96"/>
    </row>
    <row r="173" spans="1:44" s="270" customFormat="1" ht="12" customHeight="1">
      <c r="A173" s="96"/>
      <c r="B173" s="96"/>
      <c r="C173" s="96"/>
      <c r="D173" s="96"/>
      <c r="E173" s="96"/>
      <c r="F173" s="96"/>
      <c r="G173" s="96"/>
      <c r="H173" s="96"/>
      <c r="I173" s="96"/>
      <c r="J173" s="96"/>
      <c r="K173" s="96"/>
      <c r="L173" s="96"/>
      <c r="M173" s="96"/>
      <c r="N173" s="96"/>
      <c r="O173" s="96"/>
      <c r="P173" s="621"/>
      <c r="Q173" s="622"/>
      <c r="R173" s="620"/>
      <c r="X173" s="96"/>
      <c r="Y173" s="96"/>
      <c r="Z173" s="2498"/>
      <c r="AA173" s="96"/>
      <c r="AB173" s="96"/>
      <c r="AC173" s="96"/>
      <c r="AD173" s="96"/>
      <c r="AE173" s="96"/>
      <c r="AF173" s="96"/>
      <c r="AG173" s="96"/>
      <c r="AH173" s="96"/>
      <c r="AI173" s="96"/>
      <c r="AJ173" s="96"/>
      <c r="AK173" s="96"/>
      <c r="AL173" s="96"/>
      <c r="AM173" s="96"/>
      <c r="AN173" s="96"/>
      <c r="AO173" s="96"/>
      <c r="AP173" s="96"/>
      <c r="AQ173" s="96"/>
      <c r="AR173" s="96"/>
    </row>
    <row r="174" spans="1:44" s="270" customFormat="1" ht="12" customHeight="1">
      <c r="A174" s="96"/>
      <c r="B174" s="96"/>
      <c r="C174" s="96"/>
      <c r="D174" s="96"/>
      <c r="E174" s="96"/>
      <c r="F174" s="96"/>
      <c r="G174" s="96"/>
      <c r="H174" s="96"/>
      <c r="I174" s="96"/>
      <c r="J174" s="96"/>
      <c r="K174" s="96"/>
      <c r="L174" s="96"/>
      <c r="M174" s="96"/>
      <c r="N174" s="96"/>
      <c r="O174" s="96"/>
      <c r="P174" s="621"/>
      <c r="Q174" s="622"/>
      <c r="R174" s="620"/>
      <c r="X174" s="96"/>
      <c r="Y174" s="96"/>
      <c r="Z174" s="2498"/>
      <c r="AA174" s="96"/>
      <c r="AB174" s="96"/>
      <c r="AC174" s="96"/>
      <c r="AD174" s="96"/>
      <c r="AE174" s="96"/>
      <c r="AF174" s="96"/>
      <c r="AG174" s="96"/>
      <c r="AH174" s="96"/>
      <c r="AI174" s="96"/>
      <c r="AJ174" s="96"/>
      <c r="AK174" s="96"/>
      <c r="AL174" s="96"/>
      <c r="AM174" s="96"/>
      <c r="AN174" s="96"/>
      <c r="AO174" s="96"/>
      <c r="AP174" s="96"/>
      <c r="AQ174" s="96"/>
      <c r="AR174" s="96"/>
    </row>
    <row r="175" spans="1:44" s="270" customFormat="1" ht="12" customHeight="1">
      <c r="A175" s="96"/>
      <c r="B175" s="96"/>
      <c r="C175" s="96"/>
      <c r="D175" s="96"/>
      <c r="E175" s="96"/>
      <c r="F175" s="96"/>
      <c r="G175" s="96"/>
      <c r="H175" s="96"/>
      <c r="I175" s="96"/>
      <c r="J175" s="96"/>
      <c r="K175" s="96"/>
      <c r="L175" s="96"/>
      <c r="M175" s="96"/>
      <c r="N175" s="96"/>
      <c r="O175" s="96"/>
      <c r="P175" s="623"/>
      <c r="Q175" s="620"/>
      <c r="R175" s="620"/>
      <c r="X175" s="96"/>
      <c r="Y175" s="96"/>
      <c r="Z175" s="2498"/>
      <c r="AA175" s="96"/>
      <c r="AB175" s="96"/>
      <c r="AC175" s="96"/>
      <c r="AD175" s="96"/>
      <c r="AE175" s="96"/>
      <c r="AF175" s="96"/>
      <c r="AG175" s="96"/>
      <c r="AH175" s="96"/>
      <c r="AI175" s="96"/>
      <c r="AJ175" s="96"/>
      <c r="AK175" s="96"/>
      <c r="AL175" s="96"/>
      <c r="AM175" s="96"/>
      <c r="AN175" s="96"/>
      <c r="AO175" s="96"/>
      <c r="AP175" s="96"/>
      <c r="AQ175" s="96"/>
      <c r="AR175" s="96"/>
    </row>
    <row r="176" spans="1:44" s="270" customFormat="1" ht="12" customHeight="1">
      <c r="A176" s="96"/>
      <c r="B176" s="96"/>
      <c r="C176" s="96"/>
      <c r="D176" s="96"/>
      <c r="E176" s="96"/>
      <c r="F176" s="96"/>
      <c r="G176" s="96"/>
      <c r="H176" s="96"/>
      <c r="I176" s="96"/>
      <c r="J176" s="96"/>
      <c r="K176" s="96"/>
      <c r="L176" s="96"/>
      <c r="M176" s="96"/>
      <c r="N176" s="96"/>
      <c r="O176" s="96"/>
      <c r="P176" s="621"/>
      <c r="Q176" s="622"/>
      <c r="R176" s="620"/>
      <c r="X176" s="96"/>
      <c r="Y176" s="96"/>
      <c r="Z176" s="2498"/>
      <c r="AA176" s="96"/>
      <c r="AB176" s="96"/>
      <c r="AC176" s="96"/>
      <c r="AD176" s="96"/>
      <c r="AE176" s="96"/>
      <c r="AF176" s="96"/>
      <c r="AG176" s="96"/>
      <c r="AH176" s="96"/>
      <c r="AI176" s="96"/>
      <c r="AJ176" s="96"/>
      <c r="AK176" s="96"/>
      <c r="AL176" s="96"/>
      <c r="AM176" s="96"/>
      <c r="AN176" s="96"/>
      <c r="AO176" s="96"/>
      <c r="AP176" s="96"/>
      <c r="AQ176" s="96"/>
      <c r="AR176" s="96"/>
    </row>
    <row r="177" spans="1:44" s="270" customFormat="1" ht="12" customHeight="1">
      <c r="A177" s="96"/>
      <c r="B177" s="96"/>
      <c r="C177" s="96"/>
      <c r="D177" s="96"/>
      <c r="E177" s="96"/>
      <c r="F177" s="96"/>
      <c r="G177" s="96"/>
      <c r="H177" s="96"/>
      <c r="I177" s="96"/>
      <c r="J177" s="96"/>
      <c r="K177" s="96"/>
      <c r="L177" s="96"/>
      <c r="M177" s="96"/>
      <c r="N177" s="96"/>
      <c r="O177" s="96"/>
      <c r="P177" s="621"/>
      <c r="Q177" s="622"/>
      <c r="R177" s="620"/>
      <c r="X177" s="96"/>
      <c r="Y177" s="96"/>
      <c r="Z177" s="2498"/>
      <c r="AA177" s="96"/>
      <c r="AB177" s="96"/>
      <c r="AC177" s="96"/>
      <c r="AD177" s="96"/>
      <c r="AE177" s="96"/>
      <c r="AF177" s="96"/>
      <c r="AG177" s="96"/>
      <c r="AH177" s="96"/>
      <c r="AI177" s="96"/>
      <c r="AJ177" s="96"/>
      <c r="AK177" s="96"/>
      <c r="AL177" s="96"/>
      <c r="AM177" s="96"/>
      <c r="AN177" s="96"/>
      <c r="AO177" s="96"/>
      <c r="AP177" s="96"/>
      <c r="AQ177" s="96"/>
      <c r="AR177" s="96"/>
    </row>
    <row r="178" spans="1:44" s="270" customFormat="1" ht="12" customHeight="1">
      <c r="A178" s="96"/>
      <c r="B178" s="96"/>
      <c r="C178" s="96"/>
      <c r="D178" s="96"/>
      <c r="E178" s="96"/>
      <c r="F178" s="96"/>
      <c r="G178" s="96"/>
      <c r="H178" s="96"/>
      <c r="I178" s="96"/>
      <c r="J178" s="96"/>
      <c r="K178" s="96"/>
      <c r="L178" s="96"/>
      <c r="M178" s="96"/>
      <c r="N178" s="96"/>
      <c r="O178" s="96"/>
      <c r="P178" s="621"/>
      <c r="Q178" s="620"/>
      <c r="R178" s="620"/>
      <c r="X178" s="96"/>
      <c r="Y178" s="96"/>
      <c r="Z178" s="2498"/>
      <c r="AA178" s="96"/>
      <c r="AB178" s="96"/>
      <c r="AC178" s="96"/>
      <c r="AD178" s="96"/>
      <c r="AE178" s="96"/>
      <c r="AF178" s="96"/>
      <c r="AG178" s="96"/>
      <c r="AH178" s="96"/>
      <c r="AI178" s="96"/>
      <c r="AJ178" s="96"/>
      <c r="AK178" s="96"/>
      <c r="AL178" s="96"/>
      <c r="AM178" s="96"/>
      <c r="AN178" s="96"/>
      <c r="AO178" s="96"/>
      <c r="AP178" s="96"/>
      <c r="AQ178" s="96"/>
      <c r="AR178" s="96"/>
    </row>
    <row r="179" spans="1:44" s="270" customFormat="1" ht="12" customHeight="1">
      <c r="A179" s="96"/>
      <c r="B179" s="96"/>
      <c r="C179" s="96"/>
      <c r="D179" s="96"/>
      <c r="E179" s="96"/>
      <c r="F179" s="96"/>
      <c r="G179" s="96"/>
      <c r="H179" s="96"/>
      <c r="I179" s="96"/>
      <c r="J179" s="96"/>
      <c r="K179" s="96"/>
      <c r="L179" s="96"/>
      <c r="M179" s="96"/>
      <c r="N179" s="96"/>
      <c r="O179" s="96"/>
      <c r="P179" s="623"/>
      <c r="Q179" s="620"/>
      <c r="R179" s="620"/>
      <c r="X179" s="96"/>
      <c r="Y179" s="96"/>
      <c r="Z179" s="2498"/>
      <c r="AA179" s="96"/>
      <c r="AB179" s="96"/>
      <c r="AC179" s="96"/>
      <c r="AD179" s="96"/>
      <c r="AE179" s="96"/>
      <c r="AF179" s="96"/>
      <c r="AG179" s="96"/>
      <c r="AH179" s="96"/>
      <c r="AI179" s="96"/>
      <c r="AJ179" s="96"/>
      <c r="AK179" s="96"/>
      <c r="AL179" s="96"/>
      <c r="AM179" s="96"/>
      <c r="AN179" s="96"/>
      <c r="AO179" s="96"/>
      <c r="AP179" s="96"/>
      <c r="AQ179" s="96"/>
      <c r="AR179" s="96"/>
    </row>
    <row r="180" spans="1:44" s="270" customFormat="1" ht="12" customHeight="1">
      <c r="A180" s="96"/>
      <c r="B180" s="96"/>
      <c r="C180" s="96"/>
      <c r="D180" s="96"/>
      <c r="E180" s="96"/>
      <c r="F180" s="96"/>
      <c r="G180" s="96"/>
      <c r="H180" s="96"/>
      <c r="I180" s="96"/>
      <c r="J180" s="96"/>
      <c r="K180" s="96"/>
      <c r="L180" s="96"/>
      <c r="M180" s="96"/>
      <c r="N180" s="96"/>
      <c r="O180" s="96"/>
      <c r="P180" s="621"/>
      <c r="Q180" s="622"/>
      <c r="R180" s="620"/>
      <c r="X180" s="96"/>
      <c r="Y180" s="96"/>
      <c r="Z180" s="2498"/>
      <c r="AA180" s="96"/>
      <c r="AB180" s="96"/>
      <c r="AC180" s="96"/>
      <c r="AD180" s="96"/>
      <c r="AE180" s="96"/>
      <c r="AF180" s="96"/>
      <c r="AG180" s="96"/>
      <c r="AH180" s="96"/>
      <c r="AI180" s="96"/>
      <c r="AJ180" s="96"/>
      <c r="AK180" s="96"/>
      <c r="AL180" s="96"/>
      <c r="AM180" s="96"/>
      <c r="AN180" s="96"/>
      <c r="AO180" s="96"/>
      <c r="AP180" s="96"/>
      <c r="AQ180" s="96"/>
      <c r="AR180" s="96"/>
    </row>
    <row r="181" spans="1:44" s="270" customFormat="1" ht="12" customHeight="1">
      <c r="A181" s="96"/>
      <c r="B181" s="96"/>
      <c r="C181" s="96"/>
      <c r="D181" s="96"/>
      <c r="E181" s="96"/>
      <c r="F181" s="96"/>
      <c r="G181" s="96"/>
      <c r="H181" s="96"/>
      <c r="I181" s="96"/>
      <c r="J181" s="96"/>
      <c r="K181" s="96"/>
      <c r="L181" s="96"/>
      <c r="M181" s="96"/>
      <c r="N181" s="96"/>
      <c r="O181" s="96"/>
      <c r="P181" s="621"/>
      <c r="Q181" s="622"/>
      <c r="R181" s="620"/>
      <c r="X181" s="96"/>
      <c r="Y181" s="96"/>
      <c r="Z181" s="2498"/>
      <c r="AA181" s="96"/>
      <c r="AB181" s="96"/>
      <c r="AC181" s="96"/>
      <c r="AD181" s="96"/>
      <c r="AE181" s="96"/>
      <c r="AF181" s="96"/>
      <c r="AG181" s="96"/>
      <c r="AH181" s="96"/>
      <c r="AI181" s="96"/>
      <c r="AJ181" s="96"/>
      <c r="AK181" s="96"/>
      <c r="AL181" s="96"/>
      <c r="AM181" s="96"/>
      <c r="AN181" s="96"/>
      <c r="AO181" s="96"/>
      <c r="AP181" s="96"/>
      <c r="AQ181" s="96"/>
      <c r="AR181" s="96"/>
    </row>
    <row r="182" spans="1:44" s="270" customFormat="1" ht="12" customHeight="1">
      <c r="A182" s="96"/>
      <c r="B182" s="96"/>
      <c r="C182" s="96"/>
      <c r="D182" s="96"/>
      <c r="E182" s="96"/>
      <c r="F182" s="96"/>
      <c r="G182" s="96"/>
      <c r="H182" s="96"/>
      <c r="I182" s="96"/>
      <c r="J182" s="96"/>
      <c r="K182" s="96"/>
      <c r="L182" s="96"/>
      <c r="M182" s="96"/>
      <c r="N182" s="96"/>
      <c r="O182" s="96"/>
      <c r="P182" s="621"/>
      <c r="Q182" s="622"/>
      <c r="R182" s="620"/>
      <c r="X182" s="96"/>
      <c r="Y182" s="96"/>
      <c r="Z182" s="2498"/>
      <c r="AA182" s="96"/>
      <c r="AB182" s="96"/>
      <c r="AC182" s="96"/>
      <c r="AD182" s="96"/>
      <c r="AE182" s="96"/>
      <c r="AF182" s="96"/>
      <c r="AG182" s="96"/>
      <c r="AH182" s="96"/>
      <c r="AI182" s="96"/>
      <c r="AJ182" s="96"/>
      <c r="AK182" s="96"/>
      <c r="AL182" s="96"/>
      <c r="AM182" s="96"/>
      <c r="AN182" s="96"/>
      <c r="AO182" s="96"/>
      <c r="AP182" s="96"/>
      <c r="AQ182" s="96"/>
      <c r="AR182" s="96"/>
    </row>
    <row r="183" spans="1:44" s="270" customFormat="1" ht="12" customHeight="1">
      <c r="A183" s="96"/>
      <c r="B183" s="96"/>
      <c r="C183" s="96"/>
      <c r="D183" s="96"/>
      <c r="E183" s="96"/>
      <c r="F183" s="96"/>
      <c r="G183" s="96"/>
      <c r="H183" s="96"/>
      <c r="I183" s="96"/>
      <c r="J183" s="96"/>
      <c r="K183" s="96"/>
      <c r="L183" s="96"/>
      <c r="M183" s="96"/>
      <c r="N183" s="96"/>
      <c r="O183" s="96"/>
      <c r="P183" s="623"/>
      <c r="Q183" s="620"/>
      <c r="R183" s="620"/>
      <c r="X183" s="96"/>
      <c r="Y183" s="96"/>
      <c r="Z183" s="2498"/>
      <c r="AA183" s="96"/>
      <c r="AB183" s="96"/>
      <c r="AC183" s="96"/>
      <c r="AD183" s="96"/>
      <c r="AE183" s="96"/>
      <c r="AF183" s="96"/>
      <c r="AG183" s="96"/>
      <c r="AH183" s="96"/>
      <c r="AI183" s="96"/>
      <c r="AJ183" s="96"/>
      <c r="AK183" s="96"/>
      <c r="AL183" s="96"/>
      <c r="AM183" s="96"/>
      <c r="AN183" s="96"/>
      <c r="AO183" s="96"/>
      <c r="AP183" s="96"/>
      <c r="AQ183" s="96"/>
      <c r="AR183" s="96"/>
    </row>
    <row r="184" spans="1:44" s="270" customFormat="1" ht="12" customHeight="1">
      <c r="A184" s="96"/>
      <c r="B184" s="96"/>
      <c r="C184" s="96"/>
      <c r="D184" s="96"/>
      <c r="E184" s="96"/>
      <c r="F184" s="96"/>
      <c r="G184" s="96"/>
      <c r="H184" s="96"/>
      <c r="I184" s="96"/>
      <c r="J184" s="96"/>
      <c r="K184" s="96"/>
      <c r="L184" s="96"/>
      <c r="M184" s="96"/>
      <c r="N184" s="96"/>
      <c r="O184" s="96"/>
      <c r="P184" s="621"/>
      <c r="Q184" s="622"/>
      <c r="R184" s="620"/>
      <c r="X184" s="96"/>
      <c r="Y184" s="96"/>
      <c r="Z184" s="2498"/>
      <c r="AA184" s="96"/>
      <c r="AB184" s="96"/>
      <c r="AC184" s="96"/>
      <c r="AD184" s="96"/>
      <c r="AE184" s="96"/>
      <c r="AF184" s="96"/>
      <c r="AG184" s="96"/>
      <c r="AH184" s="96"/>
      <c r="AI184" s="96"/>
      <c r="AJ184" s="96"/>
      <c r="AK184" s="96"/>
      <c r="AL184" s="96"/>
      <c r="AM184" s="96"/>
      <c r="AN184" s="96"/>
      <c r="AO184" s="96"/>
      <c r="AP184" s="96"/>
      <c r="AQ184" s="96"/>
      <c r="AR184" s="96"/>
    </row>
    <row r="185" spans="1:44" s="270" customFormat="1" ht="12" customHeight="1">
      <c r="A185" s="96"/>
      <c r="B185" s="96"/>
      <c r="C185" s="96"/>
      <c r="D185" s="96"/>
      <c r="E185" s="96"/>
      <c r="F185" s="96"/>
      <c r="G185" s="96"/>
      <c r="H185" s="96"/>
      <c r="I185" s="96"/>
      <c r="J185" s="96"/>
      <c r="K185" s="96"/>
      <c r="L185" s="96"/>
      <c r="M185" s="96"/>
      <c r="N185" s="96"/>
      <c r="O185" s="96"/>
      <c r="P185" s="623"/>
      <c r="Q185" s="622"/>
      <c r="R185" s="620"/>
      <c r="X185" s="96"/>
      <c r="Y185" s="96"/>
      <c r="Z185" s="2498"/>
      <c r="AA185" s="96"/>
      <c r="AB185" s="96"/>
      <c r="AC185" s="96"/>
      <c r="AD185" s="96"/>
      <c r="AE185" s="96"/>
      <c r="AF185" s="96"/>
      <c r="AG185" s="96"/>
      <c r="AH185" s="96"/>
      <c r="AI185" s="96"/>
      <c r="AJ185" s="96"/>
      <c r="AK185" s="96"/>
      <c r="AL185" s="96"/>
      <c r="AM185" s="96"/>
      <c r="AN185" s="96"/>
      <c r="AO185" s="96"/>
      <c r="AP185" s="96"/>
      <c r="AQ185" s="96"/>
      <c r="AR185" s="96"/>
    </row>
    <row r="186" spans="1:44" s="270" customFormat="1" ht="12" customHeight="1">
      <c r="A186" s="96"/>
      <c r="B186" s="96"/>
      <c r="C186" s="96"/>
      <c r="D186" s="96"/>
      <c r="E186" s="96"/>
      <c r="F186" s="96"/>
      <c r="G186" s="96"/>
      <c r="H186" s="96"/>
      <c r="I186" s="96"/>
      <c r="J186" s="96"/>
      <c r="K186" s="96"/>
      <c r="L186" s="96"/>
      <c r="M186" s="96"/>
      <c r="N186" s="96"/>
      <c r="O186" s="96"/>
      <c r="P186" s="621"/>
      <c r="Q186" s="620"/>
      <c r="R186" s="620"/>
      <c r="X186" s="96"/>
      <c r="Y186" s="96"/>
      <c r="Z186" s="2498"/>
      <c r="AA186" s="96"/>
      <c r="AB186" s="96"/>
      <c r="AC186" s="96"/>
      <c r="AD186" s="96"/>
      <c r="AE186" s="96"/>
      <c r="AF186" s="96"/>
      <c r="AG186" s="96"/>
      <c r="AH186" s="96"/>
      <c r="AI186" s="96"/>
      <c r="AJ186" s="96"/>
      <c r="AK186" s="96"/>
      <c r="AL186" s="96"/>
      <c r="AM186" s="96"/>
      <c r="AN186" s="96"/>
      <c r="AO186" s="96"/>
      <c r="AP186" s="96"/>
      <c r="AQ186" s="96"/>
      <c r="AR186" s="96"/>
    </row>
    <row r="187" spans="1:44" s="270" customFormat="1" ht="12" customHeight="1">
      <c r="A187" s="96"/>
      <c r="B187" s="96"/>
      <c r="C187" s="96"/>
      <c r="D187" s="96"/>
      <c r="E187" s="96"/>
      <c r="F187" s="96"/>
      <c r="G187" s="96"/>
      <c r="H187" s="96"/>
      <c r="I187" s="96"/>
      <c r="J187" s="96"/>
      <c r="K187" s="96"/>
      <c r="L187" s="96"/>
      <c r="M187" s="96"/>
      <c r="N187" s="96"/>
      <c r="O187" s="96"/>
      <c r="P187" s="621"/>
      <c r="Q187" s="622"/>
      <c r="R187" s="620"/>
      <c r="X187" s="96"/>
      <c r="Y187" s="96"/>
      <c r="Z187" s="2498"/>
      <c r="AA187" s="96"/>
      <c r="AB187" s="96"/>
      <c r="AC187" s="96"/>
      <c r="AD187" s="96"/>
      <c r="AE187" s="96"/>
      <c r="AF187" s="96"/>
      <c r="AG187" s="96"/>
      <c r="AH187" s="96"/>
      <c r="AI187" s="96"/>
      <c r="AJ187" s="96"/>
      <c r="AK187" s="96"/>
      <c r="AL187" s="96"/>
      <c r="AM187" s="96"/>
      <c r="AN187" s="96"/>
      <c r="AO187" s="96"/>
      <c r="AP187" s="96"/>
      <c r="AQ187" s="96"/>
      <c r="AR187" s="96"/>
    </row>
    <row r="188" spans="1:44" s="270" customFormat="1" ht="12" customHeight="1">
      <c r="A188" s="96"/>
      <c r="B188" s="96"/>
      <c r="C188" s="96"/>
      <c r="D188" s="96"/>
      <c r="E188" s="96"/>
      <c r="F188" s="96"/>
      <c r="G188" s="96"/>
      <c r="H188" s="96"/>
      <c r="I188" s="96"/>
      <c r="J188" s="96"/>
      <c r="K188" s="96"/>
      <c r="L188" s="96"/>
      <c r="M188" s="96"/>
      <c r="N188" s="96"/>
      <c r="O188" s="96"/>
      <c r="P188" s="621"/>
      <c r="Q188" s="622"/>
      <c r="R188" s="620"/>
      <c r="X188" s="96"/>
      <c r="Y188" s="96"/>
      <c r="Z188" s="2498"/>
      <c r="AA188" s="96"/>
      <c r="AB188" s="96"/>
      <c r="AC188" s="96"/>
      <c r="AD188" s="96"/>
      <c r="AE188" s="96"/>
      <c r="AF188" s="96"/>
      <c r="AG188" s="96"/>
      <c r="AH188" s="96"/>
      <c r="AI188" s="96"/>
      <c r="AJ188" s="96"/>
      <c r="AK188" s="96"/>
      <c r="AL188" s="96"/>
      <c r="AM188" s="96"/>
      <c r="AN188" s="96"/>
      <c r="AO188" s="96"/>
      <c r="AP188" s="96"/>
      <c r="AQ188" s="96"/>
      <c r="AR188" s="96"/>
    </row>
    <row r="189" spans="1:44" s="270" customFormat="1" ht="12" customHeight="1">
      <c r="A189" s="96"/>
      <c r="B189" s="96"/>
      <c r="C189" s="96"/>
      <c r="D189" s="96"/>
      <c r="E189" s="96"/>
      <c r="F189" s="96"/>
      <c r="G189" s="96"/>
      <c r="H189" s="96"/>
      <c r="I189" s="96"/>
      <c r="J189" s="96"/>
      <c r="K189" s="96"/>
      <c r="L189" s="96"/>
      <c r="M189" s="96"/>
      <c r="N189" s="96"/>
      <c r="O189" s="96"/>
      <c r="P189" s="621"/>
      <c r="Q189" s="622"/>
      <c r="R189" s="620"/>
      <c r="X189" s="96"/>
      <c r="Y189" s="96"/>
      <c r="Z189" s="2498"/>
      <c r="AA189" s="96"/>
      <c r="AB189" s="96"/>
      <c r="AC189" s="96"/>
      <c r="AD189" s="96"/>
      <c r="AE189" s="96"/>
      <c r="AF189" s="96"/>
      <c r="AG189" s="96"/>
      <c r="AH189" s="96"/>
      <c r="AI189" s="96"/>
      <c r="AJ189" s="96"/>
      <c r="AK189" s="96"/>
      <c r="AL189" s="96"/>
      <c r="AM189" s="96"/>
      <c r="AN189" s="96"/>
      <c r="AO189" s="96"/>
      <c r="AP189" s="96"/>
      <c r="AQ189" s="96"/>
      <c r="AR189" s="96"/>
    </row>
    <row r="190" spans="1:44" s="270" customFormat="1" ht="12" customHeight="1">
      <c r="A190" s="96"/>
      <c r="B190" s="96"/>
      <c r="C190" s="96"/>
      <c r="D190" s="96"/>
      <c r="E190" s="96"/>
      <c r="F190" s="96"/>
      <c r="G190" s="96"/>
      <c r="H190" s="96"/>
      <c r="I190" s="96"/>
      <c r="J190" s="96"/>
      <c r="K190" s="96"/>
      <c r="L190" s="96"/>
      <c r="M190" s="96"/>
      <c r="N190" s="96"/>
      <c r="O190" s="96"/>
      <c r="P190" s="621"/>
      <c r="Q190" s="620"/>
      <c r="R190" s="620"/>
      <c r="X190" s="96"/>
      <c r="Y190" s="96"/>
      <c r="Z190" s="2498"/>
      <c r="AA190" s="96"/>
      <c r="AB190" s="96"/>
      <c r="AC190" s="96"/>
      <c r="AD190" s="96"/>
      <c r="AE190" s="96"/>
      <c r="AF190" s="96"/>
      <c r="AG190" s="96"/>
      <c r="AH190" s="96"/>
      <c r="AI190" s="96"/>
      <c r="AJ190" s="96"/>
      <c r="AK190" s="96"/>
      <c r="AL190" s="96"/>
      <c r="AM190" s="96"/>
      <c r="AN190" s="96"/>
      <c r="AO190" s="96"/>
      <c r="AP190" s="96"/>
      <c r="AQ190" s="96"/>
      <c r="AR190" s="96"/>
    </row>
    <row r="191" spans="1:44" s="270" customFormat="1" ht="12" customHeight="1">
      <c r="A191" s="96"/>
      <c r="B191" s="96"/>
      <c r="C191" s="96"/>
      <c r="D191" s="96"/>
      <c r="E191" s="96"/>
      <c r="F191" s="96"/>
      <c r="G191" s="96"/>
      <c r="H191" s="96"/>
      <c r="I191" s="96"/>
      <c r="J191" s="96"/>
      <c r="K191" s="96"/>
      <c r="L191" s="96"/>
      <c r="M191" s="96"/>
      <c r="N191" s="96"/>
      <c r="O191" s="96"/>
      <c r="P191" s="623"/>
      <c r="Q191" s="622"/>
      <c r="R191" s="620"/>
      <c r="X191" s="96"/>
      <c r="Y191" s="96"/>
      <c r="Z191" s="2498"/>
      <c r="AA191" s="96"/>
      <c r="AB191" s="96"/>
      <c r="AC191" s="96"/>
      <c r="AD191" s="96"/>
      <c r="AE191" s="96"/>
      <c r="AF191" s="96"/>
      <c r="AG191" s="96"/>
      <c r="AH191" s="96"/>
      <c r="AI191" s="96"/>
      <c r="AJ191" s="96"/>
      <c r="AK191" s="96"/>
      <c r="AL191" s="96"/>
      <c r="AM191" s="96"/>
      <c r="AN191" s="96"/>
      <c r="AO191" s="96"/>
      <c r="AP191" s="96"/>
      <c r="AQ191" s="96"/>
      <c r="AR191" s="96"/>
    </row>
    <row r="192" spans="1:44" s="270" customFormat="1" ht="12" customHeight="1">
      <c r="A192" s="96"/>
      <c r="B192" s="96"/>
      <c r="C192" s="96"/>
      <c r="D192" s="96"/>
      <c r="E192" s="96"/>
      <c r="F192" s="96"/>
      <c r="G192" s="96"/>
      <c r="H192" s="96"/>
      <c r="I192" s="96"/>
      <c r="J192" s="96"/>
      <c r="K192" s="96"/>
      <c r="L192" s="96"/>
      <c r="M192" s="96"/>
      <c r="N192" s="96"/>
      <c r="O192" s="96"/>
      <c r="P192" s="621"/>
      <c r="Q192" s="622"/>
      <c r="R192" s="620"/>
      <c r="X192" s="96"/>
      <c r="Y192" s="96"/>
      <c r="Z192" s="2498"/>
      <c r="AA192" s="96"/>
      <c r="AB192" s="96"/>
      <c r="AC192" s="96"/>
      <c r="AD192" s="96"/>
      <c r="AE192" s="96"/>
      <c r="AF192" s="96"/>
      <c r="AG192" s="96"/>
      <c r="AH192" s="96"/>
      <c r="AI192" s="96"/>
      <c r="AJ192" s="96"/>
      <c r="AK192" s="96"/>
      <c r="AL192" s="96"/>
      <c r="AM192" s="96"/>
      <c r="AN192" s="96"/>
      <c r="AO192" s="96"/>
      <c r="AP192" s="96"/>
      <c r="AQ192" s="96"/>
      <c r="AR192" s="96"/>
    </row>
    <row r="193" spans="1:44" s="270" customFormat="1" ht="12" customHeight="1">
      <c r="A193" s="96"/>
      <c r="B193" s="96"/>
      <c r="C193" s="96"/>
      <c r="D193" s="96"/>
      <c r="E193" s="96"/>
      <c r="F193" s="96"/>
      <c r="G193" s="96"/>
      <c r="H193" s="96"/>
      <c r="I193" s="96"/>
      <c r="J193" s="96"/>
      <c r="K193" s="96"/>
      <c r="L193" s="96"/>
      <c r="M193" s="96"/>
      <c r="N193" s="96"/>
      <c r="O193" s="96"/>
      <c r="P193" s="621"/>
      <c r="Q193" s="622"/>
      <c r="R193" s="620"/>
      <c r="X193" s="96"/>
      <c r="Y193" s="96"/>
      <c r="Z193" s="2498"/>
      <c r="AA193" s="96"/>
      <c r="AB193" s="96"/>
      <c r="AC193" s="96"/>
      <c r="AD193" s="96"/>
      <c r="AE193" s="96"/>
      <c r="AF193" s="96"/>
      <c r="AG193" s="96"/>
      <c r="AH193" s="96"/>
      <c r="AI193" s="96"/>
      <c r="AJ193" s="96"/>
      <c r="AK193" s="96"/>
      <c r="AL193" s="96"/>
      <c r="AM193" s="96"/>
      <c r="AN193" s="96"/>
      <c r="AO193" s="96"/>
      <c r="AP193" s="96"/>
      <c r="AQ193" s="96"/>
      <c r="AR193" s="96"/>
    </row>
    <row r="194" spans="1:44" s="270" customFormat="1" ht="12" customHeight="1">
      <c r="A194" s="96"/>
      <c r="B194" s="96"/>
      <c r="C194" s="96"/>
      <c r="D194" s="96"/>
      <c r="E194" s="96"/>
      <c r="F194" s="96"/>
      <c r="G194" s="96"/>
      <c r="H194" s="96"/>
      <c r="I194" s="96"/>
      <c r="J194" s="96"/>
      <c r="K194" s="96"/>
      <c r="L194" s="96"/>
      <c r="M194" s="96"/>
      <c r="N194" s="96"/>
      <c r="O194" s="96"/>
      <c r="P194" s="621"/>
      <c r="Q194" s="622"/>
      <c r="R194" s="620"/>
      <c r="X194" s="96"/>
      <c r="Y194" s="96"/>
      <c r="Z194" s="2498"/>
      <c r="AA194" s="96"/>
      <c r="AB194" s="96"/>
      <c r="AC194" s="96"/>
      <c r="AD194" s="96"/>
      <c r="AE194" s="96"/>
      <c r="AF194" s="96"/>
      <c r="AG194" s="96"/>
      <c r="AH194" s="96"/>
      <c r="AI194" s="96"/>
      <c r="AJ194" s="96"/>
      <c r="AK194" s="96"/>
      <c r="AL194" s="96"/>
      <c r="AM194" s="96"/>
      <c r="AN194" s="96"/>
      <c r="AO194" s="96"/>
      <c r="AP194" s="96"/>
      <c r="AQ194" s="96"/>
      <c r="AR194" s="96"/>
    </row>
    <row r="195" spans="1:44" s="270" customFormat="1" ht="12" customHeight="1">
      <c r="A195" s="96"/>
      <c r="B195" s="96"/>
      <c r="C195" s="96"/>
      <c r="D195" s="96"/>
      <c r="E195" s="96"/>
      <c r="F195" s="96"/>
      <c r="G195" s="96"/>
      <c r="H195" s="96"/>
      <c r="I195" s="96"/>
      <c r="J195" s="96"/>
      <c r="K195" s="96"/>
      <c r="L195" s="96"/>
      <c r="M195" s="96"/>
      <c r="N195" s="96"/>
      <c r="O195" s="96"/>
      <c r="P195" s="621"/>
      <c r="Q195" s="622"/>
      <c r="R195" s="620"/>
      <c r="X195" s="96"/>
      <c r="Y195" s="96"/>
      <c r="Z195" s="2498"/>
      <c r="AA195" s="96"/>
      <c r="AB195" s="96"/>
      <c r="AC195" s="96"/>
      <c r="AD195" s="96"/>
      <c r="AE195" s="96"/>
      <c r="AF195" s="96"/>
      <c r="AG195" s="96"/>
      <c r="AH195" s="96"/>
      <c r="AI195" s="96"/>
      <c r="AJ195" s="96"/>
      <c r="AK195" s="96"/>
      <c r="AL195" s="96"/>
      <c r="AM195" s="96"/>
      <c r="AN195" s="96"/>
      <c r="AO195" s="96"/>
      <c r="AP195" s="96"/>
      <c r="AQ195" s="96"/>
      <c r="AR195" s="96"/>
    </row>
    <row r="196" spans="1:44" s="270" customFormat="1" ht="12" customHeight="1">
      <c r="A196" s="96"/>
      <c r="B196" s="96"/>
      <c r="C196" s="96"/>
      <c r="D196" s="96"/>
      <c r="E196" s="96"/>
      <c r="F196" s="96"/>
      <c r="G196" s="96"/>
      <c r="H196" s="96"/>
      <c r="I196" s="96"/>
      <c r="J196" s="96"/>
      <c r="K196" s="96"/>
      <c r="L196" s="96"/>
      <c r="M196" s="96"/>
      <c r="N196" s="96"/>
      <c r="O196" s="96"/>
      <c r="P196" s="621"/>
      <c r="Q196" s="622"/>
      <c r="R196" s="620"/>
      <c r="X196" s="96"/>
      <c r="Y196" s="96"/>
      <c r="Z196" s="2498"/>
      <c r="AA196" s="96"/>
      <c r="AB196" s="96"/>
      <c r="AC196" s="96"/>
      <c r="AD196" s="96"/>
      <c r="AE196" s="96"/>
      <c r="AF196" s="96"/>
      <c r="AG196" s="96"/>
      <c r="AH196" s="96"/>
      <c r="AI196" s="96"/>
      <c r="AJ196" s="96"/>
      <c r="AK196" s="96"/>
      <c r="AL196" s="96"/>
      <c r="AM196" s="96"/>
      <c r="AN196" s="96"/>
      <c r="AO196" s="96"/>
      <c r="AP196" s="96"/>
      <c r="AQ196" s="96"/>
      <c r="AR196" s="96"/>
    </row>
    <row r="197" spans="1:44" s="270" customFormat="1" ht="12" customHeight="1">
      <c r="A197" s="96"/>
      <c r="B197" s="96"/>
      <c r="C197" s="96"/>
      <c r="D197" s="96"/>
      <c r="E197" s="96"/>
      <c r="F197" s="96"/>
      <c r="G197" s="96"/>
      <c r="H197" s="96"/>
      <c r="I197" s="96"/>
      <c r="J197" s="96"/>
      <c r="K197" s="96"/>
      <c r="L197" s="96"/>
      <c r="M197" s="96"/>
      <c r="N197" s="96"/>
      <c r="O197" s="96"/>
      <c r="P197" s="621"/>
      <c r="Q197" s="622"/>
      <c r="R197" s="620"/>
      <c r="X197" s="96"/>
      <c r="Y197" s="96"/>
      <c r="Z197" s="2498"/>
      <c r="AA197" s="96"/>
      <c r="AB197" s="96"/>
      <c r="AC197" s="96"/>
      <c r="AD197" s="96"/>
      <c r="AE197" s="96"/>
      <c r="AF197" s="96"/>
      <c r="AG197" s="96"/>
      <c r="AH197" s="96"/>
      <c r="AI197" s="96"/>
      <c r="AJ197" s="96"/>
      <c r="AK197" s="96"/>
      <c r="AL197" s="96"/>
      <c r="AM197" s="96"/>
      <c r="AN197" s="96"/>
      <c r="AO197" s="96"/>
      <c r="AP197" s="96"/>
      <c r="AQ197" s="96"/>
      <c r="AR197" s="96"/>
    </row>
    <row r="198" spans="1:44" s="270" customFormat="1" ht="12" customHeight="1">
      <c r="A198" s="96"/>
      <c r="B198" s="96"/>
      <c r="C198" s="96"/>
      <c r="D198" s="96"/>
      <c r="E198" s="96"/>
      <c r="F198" s="96"/>
      <c r="G198" s="96"/>
      <c r="H198" s="96"/>
      <c r="I198" s="96"/>
      <c r="J198" s="96"/>
      <c r="K198" s="96"/>
      <c r="L198" s="96"/>
      <c r="M198" s="96"/>
      <c r="N198" s="96"/>
      <c r="O198" s="96"/>
      <c r="P198" s="621"/>
      <c r="Q198" s="622"/>
      <c r="R198" s="620"/>
      <c r="X198" s="96"/>
      <c r="Y198" s="96"/>
      <c r="Z198" s="2498"/>
      <c r="AA198" s="96"/>
      <c r="AB198" s="96"/>
      <c r="AC198" s="96"/>
      <c r="AD198" s="96"/>
      <c r="AE198" s="96"/>
      <c r="AF198" s="96"/>
      <c r="AG198" s="96"/>
      <c r="AH198" s="96"/>
      <c r="AI198" s="96"/>
      <c r="AJ198" s="96"/>
      <c r="AK198" s="96"/>
      <c r="AL198" s="96"/>
      <c r="AM198" s="96"/>
      <c r="AN198" s="96"/>
      <c r="AO198" s="96"/>
      <c r="AP198" s="96"/>
      <c r="AQ198" s="96"/>
      <c r="AR198" s="96"/>
    </row>
    <row r="199" spans="1:44" s="270" customFormat="1" ht="12" customHeight="1">
      <c r="A199" s="96"/>
      <c r="B199" s="96"/>
      <c r="C199" s="96"/>
      <c r="D199" s="96"/>
      <c r="E199" s="96"/>
      <c r="F199" s="96"/>
      <c r="G199" s="96"/>
      <c r="H199" s="96"/>
      <c r="I199" s="96"/>
      <c r="J199" s="96"/>
      <c r="K199" s="96"/>
      <c r="L199" s="96"/>
      <c r="M199" s="96"/>
      <c r="N199" s="96"/>
      <c r="O199" s="96"/>
      <c r="P199" s="621"/>
      <c r="Q199" s="622"/>
      <c r="R199" s="620"/>
      <c r="X199" s="96"/>
      <c r="Y199" s="96"/>
      <c r="Z199" s="2498"/>
      <c r="AA199" s="96"/>
      <c r="AB199" s="96"/>
      <c r="AC199" s="96"/>
      <c r="AD199" s="96"/>
      <c r="AE199" s="96"/>
      <c r="AF199" s="96"/>
      <c r="AG199" s="96"/>
      <c r="AH199" s="96"/>
      <c r="AI199" s="96"/>
      <c r="AJ199" s="96"/>
      <c r="AK199" s="96"/>
      <c r="AL199" s="96"/>
      <c r="AM199" s="96"/>
      <c r="AN199" s="96"/>
      <c r="AO199" s="96"/>
      <c r="AP199" s="96"/>
      <c r="AQ199" s="96"/>
      <c r="AR199" s="96"/>
    </row>
    <row r="200" spans="1:44" s="270" customFormat="1" ht="12" customHeight="1">
      <c r="A200" s="96"/>
      <c r="B200" s="96"/>
      <c r="C200" s="96"/>
      <c r="D200" s="96"/>
      <c r="E200" s="96"/>
      <c r="F200" s="96"/>
      <c r="G200" s="96"/>
      <c r="H200" s="96"/>
      <c r="I200" s="96"/>
      <c r="J200" s="96"/>
      <c r="K200" s="96"/>
      <c r="L200" s="96"/>
      <c r="M200" s="96"/>
      <c r="N200" s="96"/>
      <c r="O200" s="96"/>
      <c r="P200" s="621"/>
      <c r="Q200" s="622"/>
      <c r="R200" s="620"/>
      <c r="X200" s="96"/>
      <c r="Y200" s="96"/>
      <c r="Z200" s="2498"/>
      <c r="AA200" s="96"/>
      <c r="AB200" s="96"/>
      <c r="AC200" s="96"/>
      <c r="AD200" s="96"/>
      <c r="AE200" s="96"/>
      <c r="AF200" s="96"/>
      <c r="AG200" s="96"/>
      <c r="AH200" s="96"/>
      <c r="AI200" s="96"/>
      <c r="AJ200" s="96"/>
      <c r="AK200" s="96"/>
      <c r="AL200" s="96"/>
      <c r="AM200" s="96"/>
      <c r="AN200" s="96"/>
      <c r="AO200" s="96"/>
      <c r="AP200" s="96"/>
      <c r="AQ200" s="96"/>
      <c r="AR200" s="96"/>
    </row>
    <row r="201" spans="1:44" s="270" customFormat="1" ht="12" customHeight="1">
      <c r="A201" s="96"/>
      <c r="B201" s="96"/>
      <c r="C201" s="96"/>
      <c r="D201" s="96"/>
      <c r="E201" s="96"/>
      <c r="F201" s="96"/>
      <c r="G201" s="96"/>
      <c r="H201" s="96"/>
      <c r="I201" s="96"/>
      <c r="J201" s="96"/>
      <c r="K201" s="96"/>
      <c r="L201" s="96"/>
      <c r="M201" s="96"/>
      <c r="N201" s="96"/>
      <c r="O201" s="96"/>
      <c r="P201" s="621"/>
      <c r="Q201" s="622"/>
      <c r="R201" s="620"/>
      <c r="X201" s="96"/>
      <c r="Y201" s="96"/>
      <c r="Z201" s="2498"/>
      <c r="AA201" s="96"/>
      <c r="AB201" s="96"/>
      <c r="AC201" s="96"/>
      <c r="AD201" s="96"/>
      <c r="AE201" s="96"/>
      <c r="AF201" s="96"/>
      <c r="AG201" s="96"/>
      <c r="AH201" s="96"/>
      <c r="AI201" s="96"/>
      <c r="AJ201" s="96"/>
      <c r="AK201" s="96"/>
      <c r="AL201" s="96"/>
      <c r="AM201" s="96"/>
      <c r="AN201" s="96"/>
      <c r="AO201" s="96"/>
      <c r="AP201" s="96"/>
      <c r="AQ201" s="96"/>
      <c r="AR201" s="96"/>
    </row>
    <row r="202" spans="1:44" s="270" customFormat="1" ht="12" customHeight="1">
      <c r="A202" s="96"/>
      <c r="B202" s="96"/>
      <c r="C202" s="96"/>
      <c r="D202" s="96"/>
      <c r="E202" s="96"/>
      <c r="F202" s="96"/>
      <c r="G202" s="96"/>
      <c r="H202" s="96"/>
      <c r="I202" s="96"/>
      <c r="J202" s="96"/>
      <c r="K202" s="96"/>
      <c r="L202" s="96"/>
      <c r="M202" s="96"/>
      <c r="N202" s="96"/>
      <c r="O202" s="96"/>
      <c r="P202" s="621"/>
      <c r="Q202" s="622"/>
      <c r="R202" s="620"/>
      <c r="X202" s="96"/>
      <c r="Y202" s="96"/>
      <c r="Z202" s="2498"/>
      <c r="AA202" s="96"/>
      <c r="AB202" s="96"/>
      <c r="AC202" s="96"/>
      <c r="AD202" s="96"/>
      <c r="AE202" s="96"/>
      <c r="AF202" s="96"/>
      <c r="AG202" s="96"/>
      <c r="AH202" s="96"/>
      <c r="AI202" s="96"/>
      <c r="AJ202" s="96"/>
      <c r="AK202" s="96"/>
      <c r="AL202" s="96"/>
      <c r="AM202" s="96"/>
      <c r="AN202" s="96"/>
      <c r="AO202" s="96"/>
      <c r="AP202" s="96"/>
      <c r="AQ202" s="96"/>
      <c r="AR202" s="96"/>
    </row>
    <row r="203" spans="1:44" s="270" customFormat="1" ht="12" customHeight="1">
      <c r="A203" s="96"/>
      <c r="B203" s="96"/>
      <c r="C203" s="96"/>
      <c r="D203" s="96"/>
      <c r="E203" s="96"/>
      <c r="F203" s="96"/>
      <c r="G203" s="96"/>
      <c r="H203" s="96"/>
      <c r="I203" s="96"/>
      <c r="J203" s="96"/>
      <c r="K203" s="96"/>
      <c r="L203" s="96"/>
      <c r="M203" s="96"/>
      <c r="N203" s="96"/>
      <c r="O203" s="96"/>
      <c r="P203" s="621"/>
      <c r="Q203" s="622"/>
      <c r="R203" s="620"/>
      <c r="X203" s="96"/>
      <c r="Y203" s="96"/>
      <c r="Z203" s="2498"/>
      <c r="AA203" s="96"/>
      <c r="AB203" s="96"/>
      <c r="AC203" s="96"/>
      <c r="AD203" s="96"/>
      <c r="AE203" s="96"/>
      <c r="AF203" s="96"/>
      <c r="AG203" s="96"/>
      <c r="AH203" s="96"/>
      <c r="AI203" s="96"/>
      <c r="AJ203" s="96"/>
      <c r="AK203" s="96"/>
      <c r="AL203" s="96"/>
      <c r="AM203" s="96"/>
      <c r="AN203" s="96"/>
      <c r="AO203" s="96"/>
      <c r="AP203" s="96"/>
      <c r="AQ203" s="96"/>
      <c r="AR203" s="96"/>
    </row>
    <row r="204" spans="1:44" s="270" customFormat="1" ht="12" customHeight="1">
      <c r="A204" s="96"/>
      <c r="B204" s="96"/>
      <c r="C204" s="96"/>
      <c r="D204" s="96"/>
      <c r="E204" s="96"/>
      <c r="F204" s="96"/>
      <c r="G204" s="96"/>
      <c r="H204" s="96"/>
      <c r="I204" s="96"/>
      <c r="J204" s="96"/>
      <c r="K204" s="96"/>
      <c r="L204" s="96"/>
      <c r="M204" s="96"/>
      <c r="N204" s="96"/>
      <c r="O204" s="96"/>
      <c r="P204" s="621"/>
      <c r="Q204" s="622"/>
      <c r="R204" s="620"/>
      <c r="X204" s="96"/>
      <c r="Y204" s="96"/>
      <c r="Z204" s="2498"/>
      <c r="AA204" s="96"/>
      <c r="AB204" s="96"/>
      <c r="AC204" s="96"/>
      <c r="AD204" s="96"/>
      <c r="AE204" s="96"/>
      <c r="AF204" s="96"/>
      <c r="AG204" s="96"/>
      <c r="AH204" s="96"/>
      <c r="AI204" s="96"/>
      <c r="AJ204" s="96"/>
      <c r="AK204" s="96"/>
      <c r="AL204" s="96"/>
      <c r="AM204" s="96"/>
      <c r="AN204" s="96"/>
      <c r="AO204" s="96"/>
      <c r="AP204" s="96"/>
      <c r="AQ204" s="96"/>
      <c r="AR204" s="96"/>
    </row>
    <row r="205" spans="1:44" s="270" customFormat="1" ht="12" customHeight="1">
      <c r="A205" s="96"/>
      <c r="B205" s="96"/>
      <c r="C205" s="96"/>
      <c r="D205" s="96"/>
      <c r="E205" s="96"/>
      <c r="F205" s="96"/>
      <c r="G205" s="96"/>
      <c r="H205" s="96"/>
      <c r="I205" s="96"/>
      <c r="J205" s="96"/>
      <c r="K205" s="96"/>
      <c r="L205" s="96"/>
      <c r="M205" s="96"/>
      <c r="N205" s="96"/>
      <c r="O205" s="96"/>
      <c r="P205" s="621"/>
      <c r="Q205" s="622"/>
      <c r="R205" s="620"/>
      <c r="X205" s="96"/>
      <c r="Y205" s="96"/>
      <c r="Z205" s="2498"/>
      <c r="AA205" s="96"/>
      <c r="AB205" s="96"/>
      <c r="AC205" s="96"/>
      <c r="AD205" s="96"/>
      <c r="AE205" s="96"/>
      <c r="AF205" s="96"/>
      <c r="AG205" s="96"/>
      <c r="AH205" s="96"/>
      <c r="AI205" s="96"/>
      <c r="AJ205" s="96"/>
      <c r="AK205" s="96"/>
      <c r="AL205" s="96"/>
      <c r="AM205" s="96"/>
      <c r="AN205" s="96"/>
      <c r="AO205" s="96"/>
      <c r="AP205" s="96"/>
      <c r="AQ205" s="96"/>
      <c r="AR205" s="96"/>
    </row>
    <row r="206" spans="1:44" s="270" customFormat="1" ht="12" customHeight="1">
      <c r="A206" s="96"/>
      <c r="B206" s="96"/>
      <c r="C206" s="96"/>
      <c r="D206" s="96"/>
      <c r="E206" s="96"/>
      <c r="F206" s="96"/>
      <c r="G206" s="96"/>
      <c r="H206" s="96"/>
      <c r="I206" s="96"/>
      <c r="J206" s="96"/>
      <c r="K206" s="96"/>
      <c r="L206" s="96"/>
      <c r="M206" s="96"/>
      <c r="N206" s="96"/>
      <c r="O206" s="96"/>
      <c r="P206" s="621"/>
      <c r="Q206" s="622"/>
      <c r="R206" s="620"/>
      <c r="X206" s="96"/>
      <c r="Y206" s="96"/>
      <c r="Z206" s="2498"/>
      <c r="AA206" s="96"/>
      <c r="AB206" s="96"/>
      <c r="AC206" s="96"/>
      <c r="AD206" s="96"/>
      <c r="AE206" s="96"/>
      <c r="AF206" s="96"/>
      <c r="AG206" s="96"/>
      <c r="AH206" s="96"/>
      <c r="AI206" s="96"/>
      <c r="AJ206" s="96"/>
      <c r="AK206" s="96"/>
      <c r="AL206" s="96"/>
      <c r="AM206" s="96"/>
      <c r="AN206" s="96"/>
      <c r="AO206" s="96"/>
      <c r="AP206" s="96"/>
      <c r="AQ206" s="96"/>
      <c r="AR206" s="96"/>
    </row>
    <row r="207" spans="1:44" s="270" customFormat="1" ht="12" customHeight="1">
      <c r="A207" s="96"/>
      <c r="B207" s="96"/>
      <c r="C207" s="96"/>
      <c r="D207" s="96"/>
      <c r="E207" s="96"/>
      <c r="F207" s="96"/>
      <c r="G207" s="96"/>
      <c r="H207" s="96"/>
      <c r="I207" s="96"/>
      <c r="J207" s="96"/>
      <c r="K207" s="96"/>
      <c r="L207" s="96"/>
      <c r="M207" s="96"/>
      <c r="N207" s="96"/>
      <c r="O207" s="96"/>
      <c r="P207" s="621"/>
      <c r="Q207" s="622"/>
      <c r="R207" s="620"/>
      <c r="X207" s="96"/>
      <c r="Y207" s="96"/>
      <c r="Z207" s="2498"/>
      <c r="AA207" s="96"/>
      <c r="AB207" s="96"/>
      <c r="AC207" s="96"/>
      <c r="AD207" s="96"/>
      <c r="AE207" s="96"/>
      <c r="AF207" s="96"/>
      <c r="AG207" s="96"/>
      <c r="AH207" s="96"/>
      <c r="AI207" s="96"/>
      <c r="AJ207" s="96"/>
      <c r="AK207" s="96"/>
      <c r="AL207" s="96"/>
      <c r="AM207" s="96"/>
      <c r="AN207" s="96"/>
      <c r="AO207" s="96"/>
      <c r="AP207" s="96"/>
      <c r="AQ207" s="96"/>
      <c r="AR207" s="96"/>
    </row>
    <row r="208" spans="1:44" s="270" customFormat="1" ht="12" customHeight="1">
      <c r="A208" s="96"/>
      <c r="B208" s="96"/>
      <c r="C208" s="96"/>
      <c r="D208" s="96"/>
      <c r="E208" s="96"/>
      <c r="F208" s="96"/>
      <c r="G208" s="96"/>
      <c r="H208" s="96"/>
      <c r="I208" s="96"/>
      <c r="J208" s="96"/>
      <c r="K208" s="96"/>
      <c r="L208" s="96"/>
      <c r="M208" s="96"/>
      <c r="N208" s="96"/>
      <c r="O208" s="96"/>
      <c r="P208" s="621"/>
      <c r="Q208" s="622"/>
      <c r="R208" s="620"/>
      <c r="X208" s="96"/>
      <c r="Y208" s="96"/>
      <c r="Z208" s="2498"/>
      <c r="AA208" s="96"/>
      <c r="AB208" s="96"/>
      <c r="AC208" s="96"/>
      <c r="AD208" s="96"/>
      <c r="AE208" s="96"/>
      <c r="AF208" s="96"/>
      <c r="AG208" s="96"/>
      <c r="AH208" s="96"/>
      <c r="AI208" s="96"/>
      <c r="AJ208" s="96"/>
      <c r="AK208" s="96"/>
      <c r="AL208" s="96"/>
      <c r="AM208" s="96"/>
      <c r="AN208" s="96"/>
      <c r="AO208" s="96"/>
      <c r="AP208" s="96"/>
      <c r="AQ208" s="96"/>
      <c r="AR208" s="96"/>
    </row>
    <row r="209" spans="1:44" s="270" customFormat="1" ht="12" customHeight="1">
      <c r="A209" s="96"/>
      <c r="B209" s="96"/>
      <c r="C209" s="96"/>
      <c r="D209" s="96"/>
      <c r="E209" s="96"/>
      <c r="F209" s="96"/>
      <c r="G209" s="96"/>
      <c r="H209" s="96"/>
      <c r="I209" s="96"/>
      <c r="J209" s="96"/>
      <c r="K209" s="96"/>
      <c r="L209" s="96"/>
      <c r="M209" s="96"/>
      <c r="N209" s="96"/>
      <c r="O209" s="96"/>
      <c r="P209" s="623"/>
      <c r="Q209" s="622"/>
      <c r="R209" s="620"/>
      <c r="X209" s="96"/>
      <c r="Y209" s="96"/>
      <c r="Z209" s="2498"/>
      <c r="AA209" s="96"/>
      <c r="AB209" s="96"/>
      <c r="AC209" s="96"/>
      <c r="AD209" s="96"/>
      <c r="AE209" s="96"/>
      <c r="AF209" s="96"/>
      <c r="AG209" s="96"/>
      <c r="AH209" s="96"/>
      <c r="AI209" s="96"/>
      <c r="AJ209" s="96"/>
      <c r="AK209" s="96"/>
      <c r="AL209" s="96"/>
      <c r="AM209" s="96"/>
      <c r="AN209" s="96"/>
      <c r="AO209" s="96"/>
      <c r="AP209" s="96"/>
      <c r="AQ209" s="96"/>
      <c r="AR209" s="96"/>
    </row>
    <row r="210" spans="1:44" s="270" customFormat="1" ht="12" customHeight="1">
      <c r="A210" s="96"/>
      <c r="B210" s="96"/>
      <c r="C210" s="96"/>
      <c r="D210" s="96"/>
      <c r="E210" s="96"/>
      <c r="F210" s="96"/>
      <c r="G210" s="96"/>
      <c r="H210" s="96"/>
      <c r="I210" s="96"/>
      <c r="J210" s="96"/>
      <c r="K210" s="96"/>
      <c r="L210" s="96"/>
      <c r="M210" s="96"/>
      <c r="N210" s="96"/>
      <c r="O210" s="96"/>
      <c r="P210" s="621"/>
      <c r="Q210" s="622"/>
      <c r="R210" s="620"/>
      <c r="X210" s="96"/>
      <c r="Y210" s="96"/>
      <c r="Z210" s="2498"/>
      <c r="AA210" s="96"/>
      <c r="AB210" s="96"/>
      <c r="AC210" s="96"/>
      <c r="AD210" s="96"/>
      <c r="AE210" s="96"/>
      <c r="AF210" s="96"/>
      <c r="AG210" s="96"/>
      <c r="AH210" s="96"/>
      <c r="AI210" s="96"/>
      <c r="AJ210" s="96"/>
      <c r="AK210" s="96"/>
      <c r="AL210" s="96"/>
      <c r="AM210" s="96"/>
      <c r="AN210" s="96"/>
      <c r="AO210" s="96"/>
      <c r="AP210" s="96"/>
      <c r="AQ210" s="96"/>
      <c r="AR210" s="96"/>
    </row>
    <row r="211" spans="1:44" s="270" customFormat="1" ht="12" customHeight="1">
      <c r="A211" s="96"/>
      <c r="B211" s="96"/>
      <c r="C211" s="96"/>
      <c r="D211" s="96"/>
      <c r="E211" s="96"/>
      <c r="F211" s="96"/>
      <c r="G211" s="96"/>
      <c r="H211" s="96"/>
      <c r="I211" s="96"/>
      <c r="J211" s="96"/>
      <c r="K211" s="96"/>
      <c r="L211" s="96"/>
      <c r="M211" s="96"/>
      <c r="N211" s="96"/>
      <c r="O211" s="96"/>
      <c r="P211" s="621"/>
      <c r="Q211" s="622"/>
      <c r="R211" s="621"/>
      <c r="S211" s="290"/>
      <c r="X211" s="96"/>
      <c r="Y211" s="96"/>
      <c r="Z211" s="2498"/>
      <c r="AA211" s="96"/>
      <c r="AB211" s="96"/>
      <c r="AC211" s="96"/>
      <c r="AD211" s="96"/>
      <c r="AE211" s="96"/>
      <c r="AF211" s="96"/>
      <c r="AG211" s="96"/>
      <c r="AH211" s="96"/>
      <c r="AI211" s="96"/>
      <c r="AJ211" s="96"/>
      <c r="AK211" s="96"/>
      <c r="AL211" s="96"/>
      <c r="AM211" s="96"/>
      <c r="AN211" s="96"/>
      <c r="AO211" s="96"/>
      <c r="AP211" s="96"/>
      <c r="AQ211" s="96"/>
      <c r="AR211" s="96"/>
    </row>
    <row r="212" spans="1:44" s="270" customFormat="1" ht="12" customHeight="1">
      <c r="A212" s="96"/>
      <c r="B212" s="96"/>
      <c r="C212" s="96"/>
      <c r="D212" s="96"/>
      <c r="E212" s="96"/>
      <c r="F212" s="96"/>
      <c r="G212" s="96"/>
      <c r="H212" s="96"/>
      <c r="I212" s="96"/>
      <c r="J212" s="96"/>
      <c r="K212" s="96"/>
      <c r="L212" s="96"/>
      <c r="M212" s="96"/>
      <c r="N212" s="96"/>
      <c r="O212" s="96"/>
      <c r="P212" s="621"/>
      <c r="Q212" s="622"/>
      <c r="R212" s="621"/>
      <c r="S212" s="290"/>
      <c r="X212" s="96"/>
      <c r="Y212" s="96"/>
      <c r="Z212" s="2498"/>
      <c r="AA212" s="96"/>
      <c r="AB212" s="96"/>
      <c r="AC212" s="96"/>
      <c r="AD212" s="96"/>
      <c r="AE212" s="96"/>
      <c r="AF212" s="96"/>
      <c r="AG212" s="96"/>
      <c r="AH212" s="96"/>
      <c r="AI212" s="96"/>
      <c r="AJ212" s="96"/>
      <c r="AK212" s="96"/>
      <c r="AL212" s="96"/>
      <c r="AM212" s="96"/>
      <c r="AN212" s="96"/>
      <c r="AO212" s="96"/>
      <c r="AP212" s="96"/>
      <c r="AQ212" s="96"/>
      <c r="AR212" s="96"/>
    </row>
    <row r="213" spans="1:44" s="270" customFormat="1" ht="12" customHeight="1">
      <c r="A213" s="96"/>
      <c r="B213" s="96"/>
      <c r="C213" s="96"/>
      <c r="D213" s="96"/>
      <c r="E213" s="96"/>
      <c r="F213" s="96"/>
      <c r="G213" s="96"/>
      <c r="H213" s="96"/>
      <c r="I213" s="96"/>
      <c r="J213" s="96"/>
      <c r="K213" s="96"/>
      <c r="L213" s="96"/>
      <c r="M213" s="96"/>
      <c r="N213" s="96"/>
      <c r="O213" s="96"/>
      <c r="P213" s="621"/>
      <c r="Q213" s="622"/>
      <c r="R213" s="621"/>
      <c r="S213" s="290"/>
      <c r="X213" s="96"/>
      <c r="Y213" s="96"/>
      <c r="Z213" s="2498"/>
      <c r="AA213" s="96"/>
      <c r="AB213" s="96"/>
      <c r="AC213" s="96"/>
      <c r="AD213" s="96"/>
      <c r="AE213" s="96"/>
      <c r="AF213" s="96"/>
      <c r="AG213" s="96"/>
      <c r="AH213" s="96"/>
      <c r="AI213" s="96"/>
      <c r="AJ213" s="96"/>
      <c r="AK213" s="96"/>
      <c r="AL213" s="96"/>
      <c r="AM213" s="96"/>
      <c r="AN213" s="96"/>
      <c r="AO213" s="96"/>
      <c r="AP213" s="96"/>
      <c r="AQ213" s="96"/>
      <c r="AR213" s="96"/>
    </row>
    <row r="214" spans="1:44" s="270" customFormat="1" ht="12" customHeight="1">
      <c r="A214" s="96"/>
      <c r="B214" s="96"/>
      <c r="C214" s="96"/>
      <c r="D214" s="96"/>
      <c r="E214" s="96"/>
      <c r="F214" s="96"/>
      <c r="G214" s="96"/>
      <c r="H214" s="96"/>
      <c r="I214" s="96"/>
      <c r="J214" s="96"/>
      <c r="K214" s="96"/>
      <c r="L214" s="96"/>
      <c r="M214" s="96"/>
      <c r="N214" s="96"/>
      <c r="O214" s="96"/>
      <c r="P214" s="621"/>
      <c r="Q214" s="620"/>
      <c r="R214" s="621"/>
      <c r="S214" s="290"/>
      <c r="X214" s="96"/>
      <c r="Y214" s="96"/>
      <c r="Z214" s="2498"/>
      <c r="AA214" s="96"/>
      <c r="AB214" s="96"/>
      <c r="AC214" s="96"/>
      <c r="AD214" s="96"/>
      <c r="AE214" s="96"/>
      <c r="AF214" s="96"/>
      <c r="AG214" s="96"/>
      <c r="AH214" s="96"/>
      <c r="AI214" s="96"/>
      <c r="AJ214" s="96"/>
      <c r="AK214" s="96"/>
      <c r="AL214" s="96"/>
      <c r="AM214" s="96"/>
      <c r="AN214" s="96"/>
      <c r="AO214" s="96"/>
      <c r="AP214" s="96"/>
      <c r="AQ214" s="96"/>
      <c r="AR214" s="96"/>
    </row>
    <row r="215" spans="1:44" s="270" customFormat="1" ht="12" customHeight="1">
      <c r="A215" s="96"/>
      <c r="B215" s="96"/>
      <c r="C215" s="96"/>
      <c r="D215" s="96"/>
      <c r="E215" s="96"/>
      <c r="F215" s="96"/>
      <c r="G215" s="96"/>
      <c r="H215" s="96"/>
      <c r="I215" s="96"/>
      <c r="J215" s="96"/>
      <c r="K215" s="96"/>
      <c r="L215" s="96"/>
      <c r="M215" s="96"/>
      <c r="N215" s="96"/>
      <c r="O215" s="96"/>
      <c r="P215" s="623"/>
      <c r="Q215" s="620"/>
      <c r="R215" s="621"/>
      <c r="S215" s="290"/>
      <c r="X215" s="96"/>
      <c r="Y215" s="96"/>
      <c r="Z215" s="2498"/>
      <c r="AA215" s="96"/>
      <c r="AB215" s="96"/>
      <c r="AC215" s="96"/>
      <c r="AD215" s="96"/>
      <c r="AE215" s="96"/>
      <c r="AF215" s="96"/>
      <c r="AG215" s="96"/>
      <c r="AH215" s="96"/>
      <c r="AI215" s="96"/>
      <c r="AJ215" s="96"/>
      <c r="AK215" s="96"/>
      <c r="AL215" s="96"/>
      <c r="AM215" s="96"/>
      <c r="AN215" s="96"/>
      <c r="AO215" s="96"/>
      <c r="AP215" s="96"/>
      <c r="AQ215" s="96"/>
      <c r="AR215" s="96"/>
    </row>
    <row r="216" spans="1:44" s="270" customFormat="1" ht="12" customHeight="1">
      <c r="A216" s="96"/>
      <c r="B216" s="96"/>
      <c r="C216" s="96"/>
      <c r="D216" s="96"/>
      <c r="E216" s="96"/>
      <c r="F216" s="96"/>
      <c r="G216" s="96"/>
      <c r="H216" s="96"/>
      <c r="I216" s="96"/>
      <c r="J216" s="96"/>
      <c r="K216" s="96"/>
      <c r="L216" s="96"/>
      <c r="M216" s="96"/>
      <c r="N216" s="96"/>
      <c r="O216" s="96"/>
      <c r="P216" s="621"/>
      <c r="Q216" s="620"/>
      <c r="R216" s="621"/>
      <c r="S216" s="290"/>
      <c r="X216" s="96"/>
      <c r="Y216" s="96"/>
      <c r="Z216" s="2498"/>
      <c r="AA216" s="96"/>
      <c r="AB216" s="96"/>
      <c r="AC216" s="96"/>
      <c r="AD216" s="96"/>
      <c r="AE216" s="96"/>
      <c r="AF216" s="96"/>
      <c r="AG216" s="96"/>
      <c r="AH216" s="96"/>
      <c r="AI216" s="96"/>
      <c r="AJ216" s="96"/>
      <c r="AK216" s="96"/>
      <c r="AL216" s="96"/>
      <c r="AM216" s="96"/>
      <c r="AN216" s="96"/>
      <c r="AO216" s="96"/>
      <c r="AP216" s="96"/>
      <c r="AQ216" s="96"/>
      <c r="AR216" s="96"/>
    </row>
    <row r="217" spans="1:44" s="270" customFormat="1" ht="12" customHeight="1">
      <c r="A217" s="96"/>
      <c r="B217" s="96"/>
      <c r="C217" s="96"/>
      <c r="D217" s="96"/>
      <c r="E217" s="96"/>
      <c r="F217" s="96"/>
      <c r="G217" s="96"/>
      <c r="H217" s="96"/>
      <c r="I217" s="96"/>
      <c r="J217" s="96"/>
      <c r="K217" s="96"/>
      <c r="L217" s="96"/>
      <c r="M217" s="96"/>
      <c r="N217" s="96"/>
      <c r="O217" s="96"/>
      <c r="P217" s="621"/>
      <c r="Q217" s="620"/>
      <c r="R217" s="621"/>
      <c r="S217" s="290"/>
      <c r="X217" s="96"/>
      <c r="Y217" s="96"/>
      <c r="Z217" s="2498"/>
      <c r="AA217" s="96"/>
      <c r="AB217" s="96"/>
      <c r="AC217" s="96"/>
      <c r="AD217" s="96"/>
      <c r="AE217" s="96"/>
      <c r="AF217" s="96"/>
      <c r="AG217" s="96"/>
      <c r="AH217" s="96"/>
      <c r="AI217" s="96"/>
      <c r="AJ217" s="96"/>
      <c r="AK217" s="96"/>
      <c r="AL217" s="96"/>
      <c r="AM217" s="96"/>
      <c r="AN217" s="96"/>
      <c r="AO217" s="96"/>
      <c r="AP217" s="96"/>
      <c r="AQ217" s="96"/>
      <c r="AR217" s="96"/>
    </row>
    <row r="218" spans="1:44" s="270" customFormat="1" ht="12" customHeight="1">
      <c r="A218" s="96"/>
      <c r="B218" s="96"/>
      <c r="C218" s="96"/>
      <c r="D218" s="96"/>
      <c r="E218" s="96"/>
      <c r="F218" s="96"/>
      <c r="G218" s="96"/>
      <c r="H218" s="96"/>
      <c r="I218" s="96"/>
      <c r="J218" s="96"/>
      <c r="K218" s="96"/>
      <c r="L218" s="96"/>
      <c r="M218" s="96"/>
      <c r="N218" s="96"/>
      <c r="O218" s="96"/>
      <c r="P218" s="621"/>
      <c r="Q218" s="620"/>
      <c r="R218" s="620"/>
      <c r="X218" s="96"/>
      <c r="Y218" s="96"/>
      <c r="Z218" s="2498"/>
      <c r="AA218" s="96"/>
      <c r="AB218" s="96"/>
      <c r="AC218" s="96"/>
      <c r="AD218" s="96"/>
      <c r="AE218" s="96"/>
      <c r="AF218" s="96"/>
      <c r="AG218" s="96"/>
      <c r="AH218" s="96"/>
      <c r="AI218" s="96"/>
      <c r="AJ218" s="96"/>
      <c r="AK218" s="96"/>
      <c r="AL218" s="96"/>
      <c r="AM218" s="96"/>
      <c r="AN218" s="96"/>
      <c r="AO218" s="96"/>
      <c r="AP218" s="96"/>
      <c r="AQ218" s="96"/>
      <c r="AR218" s="96"/>
    </row>
    <row r="219" spans="1:44" s="270" customFormat="1" ht="12" customHeight="1">
      <c r="A219" s="96"/>
      <c r="B219" s="96"/>
      <c r="C219" s="96"/>
      <c r="D219" s="96"/>
      <c r="E219" s="96"/>
      <c r="F219" s="96"/>
      <c r="G219" s="96"/>
      <c r="H219" s="96"/>
      <c r="I219" s="96"/>
      <c r="J219" s="96"/>
      <c r="K219" s="96"/>
      <c r="L219" s="96"/>
      <c r="M219" s="96"/>
      <c r="N219" s="96"/>
      <c r="O219" s="96"/>
      <c r="P219" s="621"/>
      <c r="Q219" s="620"/>
      <c r="R219" s="620"/>
      <c r="X219" s="96"/>
      <c r="Y219" s="96"/>
      <c r="Z219" s="2498"/>
      <c r="AA219" s="96"/>
      <c r="AB219" s="96"/>
      <c r="AC219" s="96"/>
      <c r="AD219" s="96"/>
      <c r="AE219" s="96"/>
      <c r="AF219" s="96"/>
      <c r="AG219" s="96"/>
      <c r="AH219" s="96"/>
      <c r="AI219" s="96"/>
      <c r="AJ219" s="96"/>
      <c r="AK219" s="96"/>
      <c r="AL219" s="96"/>
      <c r="AM219" s="96"/>
      <c r="AN219" s="96"/>
      <c r="AO219" s="96"/>
      <c r="AP219" s="96"/>
      <c r="AQ219" s="96"/>
      <c r="AR219" s="96"/>
    </row>
    <row r="220" spans="1:44" s="270" customFormat="1" ht="12" customHeight="1">
      <c r="A220" s="96"/>
      <c r="B220" s="96"/>
      <c r="C220" s="96"/>
      <c r="D220" s="96"/>
      <c r="E220" s="96"/>
      <c r="F220" s="96"/>
      <c r="G220" s="96"/>
      <c r="H220" s="96"/>
      <c r="I220" s="96"/>
      <c r="J220" s="96"/>
      <c r="K220" s="96"/>
      <c r="L220" s="96"/>
      <c r="M220" s="96"/>
      <c r="N220" s="96"/>
      <c r="O220" s="96"/>
      <c r="P220" s="621"/>
      <c r="Q220" s="620"/>
      <c r="R220" s="620"/>
      <c r="X220" s="96"/>
      <c r="Y220" s="96"/>
      <c r="Z220" s="2498"/>
      <c r="AA220" s="96"/>
      <c r="AB220" s="96"/>
      <c r="AC220" s="96"/>
      <c r="AD220" s="96"/>
      <c r="AE220" s="96"/>
      <c r="AF220" s="96"/>
      <c r="AG220" s="96"/>
      <c r="AH220" s="96"/>
      <c r="AI220" s="96"/>
      <c r="AJ220" s="96"/>
      <c r="AK220" s="96"/>
      <c r="AL220" s="96"/>
      <c r="AM220" s="96"/>
      <c r="AN220" s="96"/>
      <c r="AO220" s="96"/>
      <c r="AP220" s="96"/>
      <c r="AQ220" s="96"/>
      <c r="AR220" s="96"/>
    </row>
    <row r="221" spans="1:44" s="270" customFormat="1" ht="12" customHeight="1">
      <c r="A221" s="96"/>
      <c r="B221" s="96"/>
      <c r="C221" s="96"/>
      <c r="D221" s="96"/>
      <c r="E221" s="96"/>
      <c r="F221" s="96"/>
      <c r="G221" s="96"/>
      <c r="H221" s="96"/>
      <c r="I221" s="96"/>
      <c r="J221" s="96"/>
      <c r="K221" s="96"/>
      <c r="L221" s="96"/>
      <c r="M221" s="96"/>
      <c r="N221" s="96"/>
      <c r="O221" s="96"/>
      <c r="P221" s="621"/>
      <c r="Q221" s="620"/>
      <c r="R221" s="620"/>
      <c r="X221" s="96"/>
      <c r="Y221" s="96"/>
      <c r="Z221" s="2498"/>
      <c r="AA221" s="96"/>
      <c r="AB221" s="96"/>
      <c r="AC221" s="96"/>
      <c r="AD221" s="96"/>
      <c r="AE221" s="96"/>
      <c r="AF221" s="96"/>
      <c r="AG221" s="96"/>
      <c r="AH221" s="96"/>
      <c r="AI221" s="96"/>
      <c r="AJ221" s="96"/>
      <c r="AK221" s="96"/>
      <c r="AL221" s="96"/>
      <c r="AM221" s="96"/>
      <c r="AN221" s="96"/>
      <c r="AO221" s="96"/>
      <c r="AP221" s="96"/>
      <c r="AQ221" s="96"/>
      <c r="AR221" s="96"/>
    </row>
    <row r="222" spans="1:44" s="270" customFormat="1" ht="12" customHeight="1">
      <c r="A222" s="96"/>
      <c r="B222" s="96"/>
      <c r="C222" s="96"/>
      <c r="D222" s="96"/>
      <c r="E222" s="96"/>
      <c r="F222" s="96"/>
      <c r="G222" s="96"/>
      <c r="H222" s="96"/>
      <c r="I222" s="96"/>
      <c r="J222" s="96"/>
      <c r="K222" s="96"/>
      <c r="L222" s="96"/>
      <c r="M222" s="96"/>
      <c r="N222" s="96"/>
      <c r="O222" s="96"/>
      <c r="P222" s="623"/>
      <c r="Q222" s="620"/>
      <c r="R222" s="620"/>
      <c r="X222" s="96"/>
      <c r="Y222" s="96"/>
      <c r="Z222" s="2498"/>
      <c r="AA222" s="96"/>
      <c r="AB222" s="96"/>
      <c r="AC222" s="96"/>
      <c r="AD222" s="96"/>
      <c r="AE222" s="96"/>
      <c r="AF222" s="96"/>
      <c r="AG222" s="96"/>
      <c r="AH222" s="96"/>
      <c r="AI222" s="96"/>
      <c r="AJ222" s="96"/>
      <c r="AK222" s="96"/>
      <c r="AL222" s="96"/>
      <c r="AM222" s="96"/>
      <c r="AN222" s="96"/>
      <c r="AO222" s="96"/>
      <c r="AP222" s="96"/>
      <c r="AQ222" s="96"/>
      <c r="AR222" s="96"/>
    </row>
    <row r="223" spans="1:44" s="270" customFormat="1" ht="12" customHeight="1">
      <c r="A223" s="96"/>
      <c r="B223" s="96"/>
      <c r="C223" s="96"/>
      <c r="D223" s="96"/>
      <c r="E223" s="96"/>
      <c r="F223" s="96"/>
      <c r="G223" s="96"/>
      <c r="H223" s="96"/>
      <c r="I223" s="96"/>
      <c r="J223" s="96"/>
      <c r="K223" s="96"/>
      <c r="L223" s="96"/>
      <c r="M223" s="96"/>
      <c r="N223" s="96"/>
      <c r="O223" s="96"/>
      <c r="P223" s="621"/>
      <c r="Q223" s="620"/>
      <c r="R223" s="620"/>
      <c r="X223" s="96"/>
      <c r="Y223" s="96"/>
      <c r="Z223" s="2498"/>
      <c r="AA223" s="96"/>
      <c r="AB223" s="96"/>
      <c r="AC223" s="96"/>
      <c r="AD223" s="96"/>
      <c r="AE223" s="96"/>
      <c r="AF223" s="96"/>
      <c r="AG223" s="96"/>
      <c r="AH223" s="96"/>
      <c r="AI223" s="96"/>
      <c r="AJ223" s="96"/>
      <c r="AK223" s="96"/>
      <c r="AL223" s="96"/>
      <c r="AM223" s="96"/>
      <c r="AN223" s="96"/>
      <c r="AO223" s="96"/>
      <c r="AP223" s="96"/>
      <c r="AQ223" s="96"/>
      <c r="AR223" s="96"/>
    </row>
    <row r="224" spans="1:44" s="270" customFormat="1" ht="12" customHeight="1">
      <c r="A224" s="96"/>
      <c r="B224" s="96"/>
      <c r="C224" s="96"/>
      <c r="D224" s="96"/>
      <c r="E224" s="96"/>
      <c r="F224" s="96"/>
      <c r="G224" s="96"/>
      <c r="H224" s="96"/>
      <c r="I224" s="96"/>
      <c r="J224" s="96"/>
      <c r="K224" s="96"/>
      <c r="L224" s="96"/>
      <c r="M224" s="96"/>
      <c r="N224" s="96"/>
      <c r="O224" s="96"/>
      <c r="P224" s="621"/>
      <c r="Q224" s="620"/>
      <c r="R224" s="620"/>
      <c r="X224" s="96"/>
      <c r="Y224" s="96"/>
      <c r="Z224" s="2498"/>
      <c r="AA224" s="96"/>
      <c r="AB224" s="96"/>
      <c r="AC224" s="96"/>
      <c r="AD224" s="96"/>
      <c r="AE224" s="96"/>
      <c r="AF224" s="96"/>
      <c r="AG224" s="96"/>
      <c r="AH224" s="96"/>
      <c r="AI224" s="96"/>
      <c r="AJ224" s="96"/>
      <c r="AK224" s="96"/>
      <c r="AL224" s="96"/>
      <c r="AM224" s="96"/>
      <c r="AN224" s="96"/>
      <c r="AO224" s="96"/>
      <c r="AP224" s="96"/>
      <c r="AQ224" s="96"/>
      <c r="AR224" s="96"/>
    </row>
    <row r="225" spans="1:44" s="270" customFormat="1" ht="12" customHeight="1">
      <c r="A225" s="96"/>
      <c r="B225" s="96"/>
      <c r="C225" s="96"/>
      <c r="D225" s="96"/>
      <c r="E225" s="96"/>
      <c r="F225" s="96"/>
      <c r="G225" s="96"/>
      <c r="H225" s="96"/>
      <c r="I225" s="96"/>
      <c r="J225" s="96"/>
      <c r="K225" s="96"/>
      <c r="L225" s="96"/>
      <c r="M225" s="96"/>
      <c r="N225" s="96"/>
      <c r="O225" s="96"/>
      <c r="P225" s="621"/>
      <c r="Q225" s="620"/>
      <c r="R225" s="620"/>
      <c r="X225" s="96"/>
      <c r="Y225" s="96"/>
      <c r="Z225" s="2498"/>
      <c r="AA225" s="96"/>
      <c r="AB225" s="96"/>
      <c r="AC225" s="96"/>
      <c r="AD225" s="96"/>
      <c r="AE225" s="96"/>
      <c r="AF225" s="96"/>
      <c r="AG225" s="96"/>
      <c r="AH225" s="96"/>
      <c r="AI225" s="96"/>
      <c r="AJ225" s="96"/>
      <c r="AK225" s="96"/>
      <c r="AL225" s="96"/>
      <c r="AM225" s="96"/>
      <c r="AN225" s="96"/>
      <c r="AO225" s="96"/>
      <c r="AP225" s="96"/>
      <c r="AQ225" s="96"/>
      <c r="AR225" s="96"/>
    </row>
    <row r="226" spans="1:44" s="270" customFormat="1" ht="12" customHeight="1">
      <c r="A226" s="96"/>
      <c r="B226" s="96"/>
      <c r="C226" s="96"/>
      <c r="D226" s="96"/>
      <c r="E226" s="96"/>
      <c r="F226" s="96"/>
      <c r="G226" s="96"/>
      <c r="H226" s="96"/>
      <c r="I226" s="96"/>
      <c r="J226" s="96"/>
      <c r="K226" s="96"/>
      <c r="L226" s="96"/>
      <c r="M226" s="96"/>
      <c r="N226" s="96"/>
      <c r="O226" s="96"/>
      <c r="P226" s="621"/>
      <c r="Q226" s="620"/>
      <c r="R226" s="620"/>
      <c r="X226" s="96"/>
      <c r="Y226" s="96"/>
      <c r="Z226" s="2498"/>
      <c r="AA226" s="96"/>
      <c r="AB226" s="96"/>
      <c r="AC226" s="96"/>
      <c r="AD226" s="96"/>
      <c r="AE226" s="96"/>
      <c r="AF226" s="96"/>
      <c r="AG226" s="96"/>
      <c r="AH226" s="96"/>
      <c r="AI226" s="96"/>
      <c r="AJ226" s="96"/>
      <c r="AK226" s="96"/>
      <c r="AL226" s="96"/>
      <c r="AM226" s="96"/>
      <c r="AN226" s="96"/>
      <c r="AO226" s="96"/>
      <c r="AP226" s="96"/>
      <c r="AQ226" s="96"/>
      <c r="AR226" s="96"/>
    </row>
    <row r="227" spans="1:44" s="270" customFormat="1" ht="12" customHeight="1">
      <c r="A227" s="96"/>
      <c r="B227" s="96"/>
      <c r="C227" s="96"/>
      <c r="D227" s="96"/>
      <c r="E227" s="96"/>
      <c r="F227" s="96"/>
      <c r="G227" s="96"/>
      <c r="H227" s="96"/>
      <c r="I227" s="96"/>
      <c r="J227" s="96"/>
      <c r="K227" s="96"/>
      <c r="L227" s="96"/>
      <c r="M227" s="96"/>
      <c r="N227" s="96"/>
      <c r="O227" s="96"/>
      <c r="P227" s="621"/>
      <c r="Q227" s="620"/>
      <c r="R227" s="620"/>
      <c r="X227" s="96"/>
      <c r="Y227" s="96"/>
      <c r="Z227" s="2498"/>
      <c r="AA227" s="96"/>
      <c r="AB227" s="96"/>
      <c r="AC227" s="96"/>
      <c r="AD227" s="96"/>
      <c r="AE227" s="96"/>
      <c r="AF227" s="96"/>
      <c r="AG227" s="96"/>
      <c r="AH227" s="96"/>
      <c r="AI227" s="96"/>
      <c r="AJ227" s="96"/>
      <c r="AK227" s="96"/>
      <c r="AL227" s="96"/>
      <c r="AM227" s="96"/>
      <c r="AN227" s="96"/>
      <c r="AO227" s="96"/>
      <c r="AP227" s="96"/>
      <c r="AQ227" s="96"/>
      <c r="AR227" s="96"/>
    </row>
    <row r="228" spans="1:44" s="270" customFormat="1" ht="12" customHeight="1">
      <c r="A228" s="96"/>
      <c r="B228" s="96"/>
      <c r="C228" s="96"/>
      <c r="D228" s="96"/>
      <c r="E228" s="96"/>
      <c r="F228" s="96"/>
      <c r="G228" s="96"/>
      <c r="H228" s="96"/>
      <c r="I228" s="96"/>
      <c r="J228" s="96"/>
      <c r="K228" s="96"/>
      <c r="L228" s="96"/>
      <c r="M228" s="96"/>
      <c r="N228" s="96"/>
      <c r="O228" s="96"/>
      <c r="P228" s="621"/>
      <c r="Q228" s="620"/>
      <c r="R228" s="620"/>
      <c r="X228" s="96"/>
      <c r="Y228" s="96"/>
      <c r="Z228" s="2498"/>
      <c r="AA228" s="96"/>
      <c r="AB228" s="96"/>
      <c r="AC228" s="96"/>
      <c r="AD228" s="96"/>
      <c r="AE228" s="96"/>
      <c r="AF228" s="96"/>
      <c r="AG228" s="96"/>
      <c r="AH228" s="96"/>
      <c r="AI228" s="96"/>
      <c r="AJ228" s="96"/>
      <c r="AK228" s="96"/>
      <c r="AL228" s="96"/>
      <c r="AM228" s="96"/>
      <c r="AN228" s="96"/>
      <c r="AO228" s="96"/>
      <c r="AP228" s="96"/>
      <c r="AQ228" s="96"/>
      <c r="AR228" s="96"/>
    </row>
    <row r="229" spans="1:44" s="270" customFormat="1" ht="12" customHeight="1">
      <c r="A229" s="96"/>
      <c r="B229" s="96"/>
      <c r="C229" s="96"/>
      <c r="D229" s="96"/>
      <c r="E229" s="96"/>
      <c r="F229" s="96"/>
      <c r="G229" s="96"/>
      <c r="H229" s="96"/>
      <c r="I229" s="96"/>
      <c r="J229" s="96"/>
      <c r="K229" s="96"/>
      <c r="L229" s="96"/>
      <c r="M229" s="96"/>
      <c r="N229" s="96"/>
      <c r="O229" s="96"/>
      <c r="P229" s="621"/>
      <c r="Q229" s="620"/>
      <c r="R229" s="620"/>
      <c r="X229" s="96"/>
      <c r="Y229" s="96"/>
      <c r="Z229" s="2498"/>
      <c r="AA229" s="96"/>
      <c r="AB229" s="96"/>
      <c r="AC229" s="96"/>
      <c r="AD229" s="96"/>
      <c r="AE229" s="96"/>
      <c r="AF229" s="96"/>
      <c r="AG229" s="96"/>
      <c r="AH229" s="96"/>
      <c r="AI229" s="96"/>
      <c r="AJ229" s="96"/>
      <c r="AK229" s="96"/>
      <c r="AL229" s="96"/>
      <c r="AM229" s="96"/>
      <c r="AN229" s="96"/>
      <c r="AO229" s="96"/>
      <c r="AP229" s="96"/>
      <c r="AQ229" s="96"/>
      <c r="AR229" s="96"/>
    </row>
    <row r="230" spans="1:44" s="270" customFormat="1" ht="12" customHeight="1">
      <c r="A230" s="96"/>
      <c r="B230" s="96"/>
      <c r="C230" s="96"/>
      <c r="D230" s="96"/>
      <c r="E230" s="96"/>
      <c r="F230" s="96"/>
      <c r="G230" s="96"/>
      <c r="H230" s="96"/>
      <c r="I230" s="96"/>
      <c r="J230" s="96"/>
      <c r="K230" s="96"/>
      <c r="L230" s="96"/>
      <c r="M230" s="96"/>
      <c r="N230" s="96"/>
      <c r="O230" s="96"/>
      <c r="P230" s="623"/>
      <c r="Q230" s="620"/>
      <c r="R230" s="620"/>
      <c r="X230" s="96"/>
      <c r="Y230" s="96"/>
      <c r="Z230" s="2498"/>
      <c r="AA230" s="96"/>
      <c r="AB230" s="96"/>
      <c r="AC230" s="96"/>
      <c r="AD230" s="96"/>
      <c r="AE230" s="96"/>
      <c r="AF230" s="96"/>
      <c r="AG230" s="96"/>
      <c r="AH230" s="96"/>
      <c r="AI230" s="96"/>
      <c r="AJ230" s="96"/>
      <c r="AK230" s="96"/>
      <c r="AL230" s="96"/>
      <c r="AM230" s="96"/>
      <c r="AN230" s="96"/>
      <c r="AO230" s="96"/>
      <c r="AP230" s="96"/>
      <c r="AQ230" s="96"/>
      <c r="AR230" s="96"/>
    </row>
    <row r="231" spans="1:44" s="270" customFormat="1" ht="12" customHeight="1">
      <c r="A231" s="96"/>
      <c r="B231" s="96"/>
      <c r="C231" s="96"/>
      <c r="D231" s="96"/>
      <c r="E231" s="96"/>
      <c r="F231" s="96"/>
      <c r="G231" s="96"/>
      <c r="H231" s="96"/>
      <c r="I231" s="96"/>
      <c r="J231" s="96"/>
      <c r="K231" s="96"/>
      <c r="L231" s="96"/>
      <c r="M231" s="96"/>
      <c r="N231" s="96"/>
      <c r="O231" s="96"/>
      <c r="P231" s="623"/>
      <c r="Q231" s="620"/>
      <c r="R231" s="620"/>
      <c r="X231" s="96"/>
      <c r="Y231" s="96"/>
      <c r="Z231" s="2498"/>
      <c r="AA231" s="96"/>
      <c r="AB231" s="96"/>
      <c r="AC231" s="96"/>
      <c r="AD231" s="96"/>
      <c r="AE231" s="96"/>
      <c r="AF231" s="96"/>
      <c r="AG231" s="96"/>
      <c r="AH231" s="96"/>
      <c r="AI231" s="96"/>
      <c r="AJ231" s="96"/>
      <c r="AK231" s="96"/>
      <c r="AL231" s="96"/>
      <c r="AM231" s="96"/>
      <c r="AN231" s="96"/>
      <c r="AO231" s="96"/>
      <c r="AP231" s="96"/>
      <c r="AQ231" s="96"/>
      <c r="AR231" s="96"/>
    </row>
    <row r="232" spans="1:44" s="270" customFormat="1" ht="12" customHeight="1">
      <c r="A232" s="96"/>
      <c r="B232" s="96"/>
      <c r="C232" s="96"/>
      <c r="D232" s="96"/>
      <c r="E232" s="96"/>
      <c r="F232" s="96"/>
      <c r="G232" s="96"/>
      <c r="H232" s="96"/>
      <c r="I232" s="96"/>
      <c r="J232" s="96"/>
      <c r="K232" s="96"/>
      <c r="L232" s="96"/>
      <c r="M232" s="96"/>
      <c r="N232" s="96"/>
      <c r="O232" s="96"/>
      <c r="P232" s="621"/>
      <c r="Q232" s="620"/>
      <c r="R232" s="620"/>
      <c r="X232" s="96"/>
      <c r="Y232" s="96"/>
      <c r="Z232" s="2498"/>
      <c r="AA232" s="96"/>
      <c r="AB232" s="96"/>
      <c r="AC232" s="96"/>
      <c r="AD232" s="96"/>
      <c r="AE232" s="96"/>
      <c r="AF232" s="96"/>
      <c r="AG232" s="96"/>
      <c r="AH232" s="96"/>
      <c r="AI232" s="96"/>
      <c r="AJ232" s="96"/>
      <c r="AK232" s="96"/>
      <c r="AL232" s="96"/>
      <c r="AM232" s="96"/>
      <c r="AN232" s="96"/>
      <c r="AO232" s="96"/>
      <c r="AP232" s="96"/>
      <c r="AQ232" s="96"/>
      <c r="AR232" s="96"/>
    </row>
    <row r="233" spans="1:44" s="270" customFormat="1" ht="12" customHeight="1">
      <c r="A233" s="96"/>
      <c r="B233" s="96"/>
      <c r="C233" s="96"/>
      <c r="D233" s="96"/>
      <c r="E233" s="96"/>
      <c r="F233" s="96"/>
      <c r="G233" s="96"/>
      <c r="H233" s="96"/>
      <c r="I233" s="96"/>
      <c r="J233" s="96"/>
      <c r="K233" s="96"/>
      <c r="L233" s="96"/>
      <c r="M233" s="96"/>
      <c r="N233" s="96"/>
      <c r="O233" s="96"/>
      <c r="P233" s="621"/>
      <c r="Q233" s="620"/>
      <c r="R233" s="620"/>
      <c r="X233" s="96"/>
      <c r="Y233" s="96"/>
      <c r="Z233" s="2498"/>
      <c r="AA233" s="96"/>
      <c r="AB233" s="96"/>
      <c r="AC233" s="96"/>
      <c r="AD233" s="96"/>
      <c r="AE233" s="96"/>
      <c r="AF233" s="96"/>
      <c r="AG233" s="96"/>
      <c r="AH233" s="96"/>
      <c r="AI233" s="96"/>
      <c r="AJ233" s="96"/>
      <c r="AK233" s="96"/>
      <c r="AL233" s="96"/>
      <c r="AM233" s="96"/>
      <c r="AN233" s="96"/>
      <c r="AO233" s="96"/>
      <c r="AP233" s="96"/>
      <c r="AQ233" s="96"/>
      <c r="AR233" s="96"/>
    </row>
    <row r="234" spans="1:44" s="270" customFormat="1" ht="12" customHeight="1">
      <c r="A234" s="96"/>
      <c r="B234" s="96"/>
      <c r="C234" s="96"/>
      <c r="D234" s="96"/>
      <c r="E234" s="96"/>
      <c r="F234" s="96"/>
      <c r="G234" s="96"/>
      <c r="H234" s="96"/>
      <c r="I234" s="96"/>
      <c r="J234" s="96"/>
      <c r="K234" s="96"/>
      <c r="L234" s="96"/>
      <c r="M234" s="96"/>
      <c r="N234" s="96"/>
      <c r="O234" s="96"/>
      <c r="P234" s="621"/>
      <c r="Q234" s="620"/>
      <c r="R234" s="620"/>
      <c r="X234" s="96"/>
      <c r="Y234" s="96"/>
      <c r="Z234" s="2498"/>
      <c r="AA234" s="96"/>
      <c r="AB234" s="96"/>
      <c r="AC234" s="96"/>
      <c r="AD234" s="96"/>
      <c r="AE234" s="96"/>
      <c r="AF234" s="96"/>
      <c r="AG234" s="96"/>
      <c r="AH234" s="96"/>
      <c r="AI234" s="96"/>
      <c r="AJ234" s="96"/>
      <c r="AK234" s="96"/>
      <c r="AL234" s="96"/>
      <c r="AM234" s="96"/>
      <c r="AN234" s="96"/>
      <c r="AO234" s="96"/>
      <c r="AP234" s="96"/>
      <c r="AQ234" s="96"/>
      <c r="AR234" s="96"/>
    </row>
    <row r="235" spans="1:44" s="270" customFormat="1" ht="12" customHeight="1">
      <c r="A235" s="96"/>
      <c r="B235" s="96"/>
      <c r="C235" s="96"/>
      <c r="D235" s="96"/>
      <c r="E235" s="96"/>
      <c r="F235" s="96"/>
      <c r="G235" s="96"/>
      <c r="H235" s="96"/>
      <c r="I235" s="96"/>
      <c r="J235" s="96"/>
      <c r="K235" s="96"/>
      <c r="L235" s="96"/>
      <c r="M235" s="96"/>
      <c r="N235" s="96"/>
      <c r="O235" s="96"/>
      <c r="P235" s="621"/>
      <c r="Q235" s="620"/>
      <c r="R235" s="620"/>
      <c r="X235" s="96"/>
      <c r="Y235" s="96"/>
      <c r="Z235" s="2498"/>
      <c r="AA235" s="96"/>
      <c r="AB235" s="96"/>
      <c r="AC235" s="96"/>
      <c r="AD235" s="96"/>
      <c r="AE235" s="96"/>
      <c r="AF235" s="96"/>
      <c r="AG235" s="96"/>
      <c r="AH235" s="96"/>
      <c r="AI235" s="96"/>
      <c r="AJ235" s="96"/>
      <c r="AK235" s="96"/>
      <c r="AL235" s="96"/>
      <c r="AM235" s="96"/>
      <c r="AN235" s="96"/>
      <c r="AO235" s="96"/>
      <c r="AP235" s="96"/>
      <c r="AQ235" s="96"/>
      <c r="AR235" s="96"/>
    </row>
    <row r="236" spans="1:44" s="270" customFormat="1" ht="12" customHeight="1">
      <c r="A236" s="96"/>
      <c r="B236" s="96"/>
      <c r="C236" s="96"/>
      <c r="D236" s="96"/>
      <c r="E236" s="96"/>
      <c r="F236" s="96"/>
      <c r="G236" s="96"/>
      <c r="H236" s="96"/>
      <c r="I236" s="96"/>
      <c r="J236" s="96"/>
      <c r="K236" s="96"/>
      <c r="L236" s="96"/>
      <c r="M236" s="96"/>
      <c r="N236" s="96"/>
      <c r="O236" s="96"/>
      <c r="P236" s="621"/>
      <c r="Q236" s="620"/>
      <c r="R236" s="620"/>
      <c r="X236" s="96"/>
      <c r="Y236" s="96"/>
      <c r="Z236" s="2498"/>
      <c r="AA236" s="96"/>
      <c r="AB236" s="96"/>
      <c r="AC236" s="96"/>
      <c r="AD236" s="96"/>
      <c r="AE236" s="96"/>
      <c r="AF236" s="96"/>
      <c r="AG236" s="96"/>
      <c r="AH236" s="96"/>
      <c r="AI236" s="96"/>
      <c r="AJ236" s="96"/>
      <c r="AK236" s="96"/>
      <c r="AL236" s="96"/>
      <c r="AM236" s="96"/>
      <c r="AN236" s="96"/>
      <c r="AO236" s="96"/>
      <c r="AP236" s="96"/>
      <c r="AQ236" s="96"/>
      <c r="AR236" s="96"/>
    </row>
    <row r="237" spans="1:44" s="270" customFormat="1" ht="12" customHeight="1">
      <c r="A237" s="96"/>
      <c r="B237" s="96"/>
      <c r="C237" s="96"/>
      <c r="D237" s="96"/>
      <c r="E237" s="96"/>
      <c r="F237" s="96"/>
      <c r="G237" s="96"/>
      <c r="H237" s="96"/>
      <c r="I237" s="96"/>
      <c r="J237" s="96"/>
      <c r="K237" s="96"/>
      <c r="L237" s="96"/>
      <c r="M237" s="96"/>
      <c r="N237" s="96"/>
      <c r="O237" s="96"/>
      <c r="P237" s="621"/>
      <c r="Q237" s="620"/>
      <c r="R237" s="620"/>
      <c r="X237" s="96"/>
      <c r="Y237" s="96"/>
      <c r="Z237" s="2498"/>
      <c r="AA237" s="96"/>
      <c r="AB237" s="96"/>
      <c r="AC237" s="96"/>
      <c r="AD237" s="96"/>
      <c r="AE237" s="96"/>
      <c r="AF237" s="96"/>
      <c r="AG237" s="96"/>
      <c r="AH237" s="96"/>
      <c r="AI237" s="96"/>
      <c r="AJ237" s="96"/>
      <c r="AK237" s="96"/>
      <c r="AL237" s="96"/>
      <c r="AM237" s="96"/>
      <c r="AN237" s="96"/>
      <c r="AO237" s="96"/>
      <c r="AP237" s="96"/>
      <c r="AQ237" s="96"/>
      <c r="AR237" s="96"/>
    </row>
    <row r="238" spans="1:44" s="270" customFormat="1" ht="12" customHeight="1">
      <c r="A238" s="96"/>
      <c r="B238" s="96"/>
      <c r="C238" s="96"/>
      <c r="D238" s="96"/>
      <c r="E238" s="96"/>
      <c r="F238" s="96"/>
      <c r="G238" s="96"/>
      <c r="H238" s="96"/>
      <c r="I238" s="96"/>
      <c r="J238" s="96"/>
      <c r="K238" s="96"/>
      <c r="L238" s="96"/>
      <c r="M238" s="96"/>
      <c r="N238" s="96"/>
      <c r="O238" s="96"/>
      <c r="P238" s="621"/>
      <c r="Q238" s="620"/>
      <c r="R238" s="620"/>
      <c r="X238" s="96"/>
      <c r="Y238" s="96"/>
      <c r="Z238" s="2498"/>
      <c r="AA238" s="96"/>
      <c r="AB238" s="96"/>
      <c r="AC238" s="96"/>
      <c r="AD238" s="96"/>
      <c r="AE238" s="96"/>
      <c r="AF238" s="96"/>
      <c r="AG238" s="96"/>
      <c r="AH238" s="96"/>
      <c r="AI238" s="96"/>
      <c r="AJ238" s="96"/>
      <c r="AK238" s="96"/>
      <c r="AL238" s="96"/>
      <c r="AM238" s="96"/>
      <c r="AN238" s="96"/>
      <c r="AO238" s="96"/>
      <c r="AP238" s="96"/>
      <c r="AQ238" s="96"/>
      <c r="AR238" s="96"/>
    </row>
    <row r="239" spans="1:44" s="270" customFormat="1" ht="12" customHeight="1">
      <c r="A239" s="96"/>
      <c r="B239" s="96"/>
      <c r="C239" s="96"/>
      <c r="D239" s="96"/>
      <c r="E239" s="96"/>
      <c r="F239" s="96"/>
      <c r="G239" s="96"/>
      <c r="H239" s="96"/>
      <c r="I239" s="96"/>
      <c r="J239" s="96"/>
      <c r="K239" s="96"/>
      <c r="L239" s="96"/>
      <c r="M239" s="96"/>
      <c r="N239" s="96"/>
      <c r="O239" s="96"/>
      <c r="P239" s="621"/>
      <c r="Q239" s="620"/>
      <c r="R239" s="620"/>
      <c r="X239" s="96"/>
      <c r="Y239" s="96"/>
      <c r="Z239" s="2498"/>
      <c r="AA239" s="96"/>
      <c r="AB239" s="96"/>
      <c r="AC239" s="96"/>
      <c r="AD239" s="96"/>
      <c r="AE239" s="96"/>
      <c r="AF239" s="96"/>
      <c r="AG239" s="96"/>
      <c r="AH239" s="96"/>
      <c r="AI239" s="96"/>
      <c r="AJ239" s="96"/>
      <c r="AK239" s="96"/>
      <c r="AL239" s="96"/>
      <c r="AM239" s="96"/>
      <c r="AN239" s="96"/>
      <c r="AO239" s="96"/>
      <c r="AP239" s="96"/>
      <c r="AQ239" s="96"/>
      <c r="AR239" s="96"/>
    </row>
    <row r="240" spans="1:44" s="270" customFormat="1" ht="12" customHeight="1">
      <c r="A240" s="96"/>
      <c r="B240" s="620"/>
      <c r="C240" s="620"/>
      <c r="D240" s="620"/>
      <c r="E240" s="620"/>
      <c r="F240" s="620"/>
      <c r="G240" s="620"/>
      <c r="H240" s="620"/>
      <c r="I240" s="620"/>
      <c r="J240" s="620"/>
      <c r="K240" s="620"/>
      <c r="L240" s="620"/>
      <c r="M240" s="620"/>
      <c r="N240" s="620"/>
      <c r="O240" s="620"/>
      <c r="P240" s="621"/>
      <c r="Q240" s="620"/>
      <c r="R240" s="620"/>
      <c r="X240" s="96"/>
      <c r="Y240" s="96"/>
      <c r="Z240" s="2498"/>
      <c r="AA240" s="96"/>
      <c r="AB240" s="96"/>
      <c r="AC240" s="96"/>
      <c r="AD240" s="96"/>
      <c r="AE240" s="96"/>
      <c r="AF240" s="96"/>
      <c r="AG240" s="96"/>
      <c r="AH240" s="96"/>
      <c r="AI240" s="96"/>
      <c r="AJ240" s="96"/>
      <c r="AK240" s="96"/>
      <c r="AL240" s="96"/>
      <c r="AM240" s="96"/>
      <c r="AN240" s="96"/>
      <c r="AO240" s="96"/>
      <c r="AP240" s="96"/>
      <c r="AQ240" s="96"/>
      <c r="AR240" s="96"/>
    </row>
    <row r="241" spans="1:44" s="270" customFormat="1" ht="12" customHeight="1">
      <c r="A241" s="96"/>
      <c r="B241" s="620"/>
      <c r="C241" s="620"/>
      <c r="D241" s="620"/>
      <c r="E241" s="620"/>
      <c r="F241" s="620"/>
      <c r="G241" s="620"/>
      <c r="H241" s="620"/>
      <c r="I241" s="620"/>
      <c r="J241" s="620"/>
      <c r="K241" s="620"/>
      <c r="L241" s="620"/>
      <c r="M241" s="620"/>
      <c r="N241" s="620"/>
      <c r="O241" s="620"/>
      <c r="P241" s="621"/>
      <c r="Q241" s="620"/>
      <c r="R241" s="620"/>
      <c r="X241" s="96"/>
      <c r="Y241" s="96"/>
      <c r="Z241" s="2498"/>
      <c r="AA241" s="96"/>
      <c r="AB241" s="96"/>
      <c r="AC241" s="96"/>
      <c r="AD241" s="96"/>
      <c r="AE241" s="96"/>
      <c r="AF241" s="96"/>
      <c r="AG241" s="96"/>
      <c r="AH241" s="96"/>
      <c r="AI241" s="96"/>
      <c r="AJ241" s="96"/>
      <c r="AK241" s="96"/>
      <c r="AL241" s="96"/>
      <c r="AM241" s="96"/>
      <c r="AN241" s="96"/>
      <c r="AO241" s="96"/>
      <c r="AP241" s="96"/>
      <c r="AQ241" s="96"/>
      <c r="AR241" s="96"/>
    </row>
    <row r="242" spans="1:44" s="270" customFormat="1" ht="12" customHeight="1">
      <c r="A242" s="96"/>
      <c r="B242" s="620"/>
      <c r="C242" s="620"/>
      <c r="D242" s="620"/>
      <c r="E242" s="620"/>
      <c r="F242" s="620"/>
      <c r="G242" s="620"/>
      <c r="H242" s="620"/>
      <c r="I242" s="620"/>
      <c r="J242" s="620"/>
      <c r="K242" s="620"/>
      <c r="L242" s="620"/>
      <c r="M242" s="620"/>
      <c r="N242" s="620"/>
      <c r="O242" s="620"/>
      <c r="P242" s="621"/>
      <c r="Q242" s="620"/>
      <c r="R242" s="620"/>
      <c r="X242" s="96"/>
      <c r="Y242" s="96"/>
      <c r="Z242" s="2498"/>
      <c r="AA242" s="96"/>
      <c r="AB242" s="96"/>
      <c r="AC242" s="96"/>
      <c r="AD242" s="96"/>
      <c r="AE242" s="96"/>
      <c r="AF242" s="96"/>
      <c r="AG242" s="96"/>
      <c r="AH242" s="96"/>
      <c r="AI242" s="96"/>
      <c r="AJ242" s="96"/>
      <c r="AK242" s="96"/>
      <c r="AL242" s="96"/>
      <c r="AM242" s="96"/>
      <c r="AN242" s="96"/>
      <c r="AO242" s="96"/>
      <c r="AP242" s="96"/>
      <c r="AQ242" s="96"/>
      <c r="AR242" s="96"/>
    </row>
    <row r="243" spans="1:44" s="270" customFormat="1" ht="12" customHeight="1">
      <c r="A243" s="96"/>
      <c r="B243" s="620"/>
      <c r="C243" s="620"/>
      <c r="D243" s="620"/>
      <c r="E243" s="620"/>
      <c r="F243" s="620"/>
      <c r="G243" s="620"/>
      <c r="H243" s="620"/>
      <c r="I243" s="620"/>
      <c r="J243" s="620"/>
      <c r="K243" s="620"/>
      <c r="L243" s="620"/>
      <c r="M243" s="620"/>
      <c r="N243" s="620"/>
      <c r="O243" s="620"/>
      <c r="P243" s="621"/>
      <c r="Q243" s="620"/>
      <c r="R243" s="620"/>
      <c r="X243" s="96"/>
      <c r="Y243" s="96"/>
      <c r="Z243" s="2498"/>
      <c r="AA243" s="96"/>
      <c r="AB243" s="96"/>
      <c r="AC243" s="96"/>
      <c r="AD243" s="96"/>
      <c r="AE243" s="96"/>
      <c r="AF243" s="96"/>
      <c r="AG243" s="96"/>
      <c r="AH243" s="96"/>
      <c r="AI243" s="96"/>
      <c r="AJ243" s="96"/>
      <c r="AK243" s="96"/>
      <c r="AL243" s="96"/>
      <c r="AM243" s="96"/>
      <c r="AN243" s="96"/>
      <c r="AO243" s="96"/>
      <c r="AP243" s="96"/>
      <c r="AQ243" s="96"/>
      <c r="AR243" s="96"/>
    </row>
    <row r="244" spans="1:44" s="270" customFormat="1" ht="12" customHeight="1">
      <c r="A244" s="96"/>
      <c r="B244" s="620"/>
      <c r="C244" s="620"/>
      <c r="D244" s="620"/>
      <c r="E244" s="620"/>
      <c r="F244" s="620"/>
      <c r="G244" s="620"/>
      <c r="H244" s="620"/>
      <c r="I244" s="620"/>
      <c r="J244" s="620"/>
      <c r="K244" s="620"/>
      <c r="L244" s="620"/>
      <c r="M244" s="620"/>
      <c r="N244" s="620"/>
      <c r="O244" s="620"/>
      <c r="P244" s="621"/>
      <c r="Q244" s="620"/>
      <c r="R244" s="620"/>
      <c r="X244" s="96"/>
      <c r="Y244" s="96"/>
      <c r="Z244" s="2498"/>
      <c r="AA244" s="96"/>
      <c r="AB244" s="96"/>
      <c r="AC244" s="96"/>
      <c r="AD244" s="96"/>
      <c r="AE244" s="96"/>
      <c r="AF244" s="96"/>
      <c r="AG244" s="96"/>
      <c r="AH244" s="96"/>
      <c r="AI244" s="96"/>
      <c r="AJ244" s="96"/>
      <c r="AK244" s="96"/>
      <c r="AL244" s="96"/>
      <c r="AM244" s="96"/>
      <c r="AN244" s="96"/>
      <c r="AO244" s="96"/>
      <c r="AP244" s="96"/>
      <c r="AQ244" s="96"/>
      <c r="AR244" s="96"/>
    </row>
    <row r="245" spans="1:44" s="270" customFormat="1" ht="12" customHeight="1">
      <c r="A245" s="96"/>
      <c r="B245" s="620"/>
      <c r="C245" s="620"/>
      <c r="D245" s="620"/>
      <c r="E245" s="620"/>
      <c r="F245" s="620"/>
      <c r="G245" s="620"/>
      <c r="H245" s="620"/>
      <c r="I245" s="620"/>
      <c r="J245" s="620"/>
      <c r="K245" s="620"/>
      <c r="L245" s="620"/>
      <c r="M245" s="620"/>
      <c r="N245" s="620"/>
      <c r="O245" s="620"/>
      <c r="P245" s="621"/>
      <c r="Q245" s="620"/>
      <c r="R245" s="620"/>
      <c r="X245" s="96"/>
      <c r="Y245" s="96"/>
      <c r="Z245" s="2498"/>
      <c r="AA245" s="96"/>
      <c r="AB245" s="96"/>
      <c r="AC245" s="96"/>
      <c r="AD245" s="96"/>
      <c r="AE245" s="96"/>
      <c r="AF245" s="96"/>
      <c r="AG245" s="96"/>
      <c r="AH245" s="96"/>
      <c r="AI245" s="96"/>
      <c r="AJ245" s="96"/>
      <c r="AK245" s="96"/>
      <c r="AL245" s="96"/>
      <c r="AM245" s="96"/>
      <c r="AN245" s="96"/>
      <c r="AO245" s="96"/>
      <c r="AP245" s="96"/>
      <c r="AQ245" s="96"/>
      <c r="AR245" s="96"/>
    </row>
    <row r="246" spans="1:44" s="270" customFormat="1" ht="12" customHeight="1">
      <c r="A246" s="96"/>
      <c r="B246" s="620"/>
      <c r="C246" s="620"/>
      <c r="D246" s="620"/>
      <c r="E246" s="620"/>
      <c r="F246" s="620"/>
      <c r="G246" s="620"/>
      <c r="H246" s="620"/>
      <c r="I246" s="620"/>
      <c r="J246" s="620"/>
      <c r="K246" s="620"/>
      <c r="L246" s="620"/>
      <c r="M246" s="620"/>
      <c r="N246" s="620"/>
      <c r="O246" s="620"/>
      <c r="P246" s="623"/>
      <c r="Q246" s="620"/>
      <c r="R246" s="620"/>
      <c r="X246" s="96"/>
      <c r="Y246" s="96"/>
      <c r="Z246" s="2498"/>
      <c r="AA246" s="96"/>
      <c r="AB246" s="96"/>
      <c r="AC246" s="96"/>
      <c r="AD246" s="96"/>
      <c r="AE246" s="96"/>
      <c r="AF246" s="96"/>
      <c r="AG246" s="96"/>
      <c r="AH246" s="96"/>
      <c r="AI246" s="96"/>
      <c r="AJ246" s="96"/>
      <c r="AK246" s="96"/>
      <c r="AL246" s="96"/>
      <c r="AM246" s="96"/>
      <c r="AN246" s="96"/>
      <c r="AO246" s="96"/>
      <c r="AP246" s="96"/>
      <c r="AQ246" s="96"/>
      <c r="AR246" s="96"/>
    </row>
    <row r="247" spans="1:44" s="270" customFormat="1" ht="12" customHeight="1">
      <c r="A247" s="96"/>
      <c r="B247" s="620"/>
      <c r="C247" s="620"/>
      <c r="D247" s="620"/>
      <c r="E247" s="620"/>
      <c r="F247" s="620"/>
      <c r="G247" s="620"/>
      <c r="H247" s="620"/>
      <c r="I247" s="620"/>
      <c r="J247" s="620"/>
      <c r="K247" s="620"/>
      <c r="L247" s="620"/>
      <c r="M247" s="620"/>
      <c r="N247" s="620"/>
      <c r="O247" s="620"/>
      <c r="P247" s="623"/>
      <c r="Q247" s="620"/>
      <c r="R247" s="620"/>
      <c r="X247" s="96"/>
      <c r="Y247" s="96"/>
      <c r="Z247" s="2498"/>
      <c r="AA247" s="96"/>
      <c r="AB247" s="96"/>
      <c r="AC247" s="96"/>
      <c r="AD247" s="96"/>
      <c r="AE247" s="96"/>
      <c r="AF247" s="96"/>
      <c r="AG247" s="96"/>
      <c r="AH247" s="96"/>
      <c r="AI247" s="96"/>
      <c r="AJ247" s="96"/>
      <c r="AK247" s="96"/>
      <c r="AL247" s="96"/>
      <c r="AM247" s="96"/>
      <c r="AN247" s="96"/>
      <c r="AO247" s="96"/>
      <c r="AP247" s="96"/>
      <c r="AQ247" s="96"/>
      <c r="AR247" s="96"/>
    </row>
    <row r="248" spans="1:44" s="270" customFormat="1" ht="12" customHeight="1">
      <c r="A248" s="96"/>
      <c r="B248" s="620"/>
      <c r="C248" s="620"/>
      <c r="D248" s="620"/>
      <c r="E248" s="620"/>
      <c r="F248" s="620"/>
      <c r="G248" s="620"/>
      <c r="H248" s="620"/>
      <c r="I248" s="620"/>
      <c r="J248" s="620"/>
      <c r="K248" s="620"/>
      <c r="L248" s="620"/>
      <c r="M248" s="620"/>
      <c r="N248" s="620"/>
      <c r="O248" s="620"/>
      <c r="P248" s="623"/>
      <c r="Q248" s="620"/>
      <c r="R248" s="620"/>
      <c r="X248" s="96"/>
      <c r="Y248" s="96"/>
      <c r="Z248" s="2498"/>
      <c r="AA248" s="96"/>
      <c r="AB248" s="96"/>
      <c r="AC248" s="96"/>
      <c r="AD248" s="96"/>
      <c r="AE248" s="96"/>
      <c r="AF248" s="96"/>
      <c r="AG248" s="96"/>
      <c r="AH248" s="96"/>
      <c r="AI248" s="96"/>
      <c r="AJ248" s="96"/>
      <c r="AK248" s="96"/>
      <c r="AL248" s="96"/>
      <c r="AM248" s="96"/>
      <c r="AN248" s="96"/>
      <c r="AO248" s="96"/>
      <c r="AP248" s="96"/>
      <c r="AQ248" s="96"/>
      <c r="AR248" s="96"/>
    </row>
    <row r="249" spans="1:44" s="270" customFormat="1" ht="12" customHeight="1">
      <c r="A249" s="96"/>
      <c r="B249" s="620"/>
      <c r="C249" s="620"/>
      <c r="D249" s="620"/>
      <c r="E249" s="620"/>
      <c r="F249" s="620"/>
      <c r="G249" s="620"/>
      <c r="H249" s="620"/>
      <c r="I249" s="620"/>
      <c r="J249" s="620"/>
      <c r="K249" s="620"/>
      <c r="L249" s="620"/>
      <c r="M249" s="620"/>
      <c r="N249" s="620"/>
      <c r="O249" s="620"/>
      <c r="P249" s="621"/>
      <c r="Q249" s="620"/>
      <c r="R249" s="620"/>
      <c r="X249" s="96"/>
      <c r="Y249" s="96"/>
      <c r="Z249" s="2498"/>
      <c r="AA249" s="96"/>
      <c r="AB249" s="96"/>
      <c r="AC249" s="96"/>
      <c r="AD249" s="96"/>
      <c r="AE249" s="96"/>
      <c r="AF249" s="96"/>
      <c r="AG249" s="96"/>
      <c r="AH249" s="96"/>
      <c r="AI249" s="96"/>
      <c r="AJ249" s="96"/>
      <c r="AK249" s="96"/>
      <c r="AL249" s="96"/>
      <c r="AM249" s="96"/>
      <c r="AN249" s="96"/>
      <c r="AO249" s="96"/>
      <c r="AP249" s="96"/>
      <c r="AQ249" s="96"/>
      <c r="AR249" s="96"/>
    </row>
    <row r="250" spans="1:44" s="270" customFormat="1" ht="12" customHeight="1">
      <c r="A250" s="96"/>
      <c r="B250" s="620"/>
      <c r="C250" s="620"/>
      <c r="D250" s="620"/>
      <c r="E250" s="620"/>
      <c r="F250" s="620"/>
      <c r="G250" s="620"/>
      <c r="H250" s="620"/>
      <c r="I250" s="620"/>
      <c r="J250" s="620"/>
      <c r="K250" s="620"/>
      <c r="L250" s="620"/>
      <c r="M250" s="620"/>
      <c r="N250" s="620"/>
      <c r="O250" s="620"/>
      <c r="P250" s="621"/>
      <c r="Q250" s="620"/>
      <c r="R250" s="620"/>
      <c r="X250" s="96"/>
      <c r="Y250" s="96"/>
      <c r="Z250" s="2498"/>
      <c r="AA250" s="96"/>
      <c r="AB250" s="96"/>
      <c r="AC250" s="96"/>
      <c r="AD250" s="96"/>
      <c r="AE250" s="96"/>
      <c r="AF250" s="96"/>
      <c r="AG250" s="96"/>
      <c r="AH250" s="96"/>
      <c r="AI250" s="96"/>
      <c r="AJ250" s="96"/>
      <c r="AK250" s="96"/>
      <c r="AL250" s="96"/>
      <c r="AM250" s="96"/>
      <c r="AN250" s="96"/>
      <c r="AO250" s="96"/>
      <c r="AP250" s="96"/>
      <c r="AQ250" s="96"/>
      <c r="AR250" s="96"/>
    </row>
    <row r="251" spans="1:44" s="270" customFormat="1" ht="12" customHeight="1">
      <c r="A251" s="96"/>
      <c r="B251" s="620"/>
      <c r="C251" s="620"/>
      <c r="D251" s="620"/>
      <c r="E251" s="620"/>
      <c r="F251" s="620"/>
      <c r="G251" s="620"/>
      <c r="H251" s="620"/>
      <c r="I251" s="620"/>
      <c r="J251" s="620"/>
      <c r="K251" s="620"/>
      <c r="L251" s="620"/>
      <c r="M251" s="620"/>
      <c r="N251" s="620"/>
      <c r="O251" s="620"/>
      <c r="P251" s="623"/>
      <c r="Q251" s="620"/>
      <c r="R251" s="620"/>
      <c r="X251" s="96"/>
      <c r="Y251" s="96"/>
      <c r="Z251" s="2498"/>
      <c r="AA251" s="96"/>
      <c r="AB251" s="96"/>
      <c r="AC251" s="96"/>
      <c r="AD251" s="96"/>
      <c r="AE251" s="96"/>
      <c r="AF251" s="96"/>
      <c r="AG251" s="96"/>
      <c r="AH251" s="96"/>
      <c r="AI251" s="96"/>
      <c r="AJ251" s="96"/>
      <c r="AK251" s="96"/>
      <c r="AL251" s="96"/>
      <c r="AM251" s="96"/>
      <c r="AN251" s="96"/>
      <c r="AO251" s="96"/>
      <c r="AP251" s="96"/>
      <c r="AQ251" s="96"/>
      <c r="AR251" s="96"/>
    </row>
    <row r="252" spans="1:44" s="270" customFormat="1" ht="12" customHeight="1">
      <c r="A252" s="96"/>
      <c r="B252" s="620"/>
      <c r="C252" s="620"/>
      <c r="D252" s="620"/>
      <c r="E252" s="620"/>
      <c r="F252" s="620"/>
      <c r="G252" s="620"/>
      <c r="H252" s="620"/>
      <c r="I252" s="620"/>
      <c r="J252" s="620"/>
      <c r="K252" s="620"/>
      <c r="L252" s="620"/>
      <c r="M252" s="620"/>
      <c r="N252" s="620"/>
      <c r="O252" s="620"/>
      <c r="P252" s="621"/>
      <c r="Q252" s="620"/>
      <c r="R252" s="620"/>
      <c r="X252" s="96"/>
      <c r="Y252" s="96"/>
      <c r="Z252" s="2498"/>
      <c r="AA252" s="96"/>
      <c r="AB252" s="96"/>
      <c r="AC252" s="96"/>
      <c r="AD252" s="96"/>
      <c r="AE252" s="96"/>
      <c r="AF252" s="96"/>
      <c r="AG252" s="96"/>
      <c r="AH252" s="96"/>
      <c r="AI252" s="96"/>
      <c r="AJ252" s="96"/>
      <c r="AK252" s="96"/>
      <c r="AL252" s="96"/>
      <c r="AM252" s="96"/>
      <c r="AN252" s="96"/>
      <c r="AO252" s="96"/>
      <c r="AP252" s="96"/>
      <c r="AQ252" s="96"/>
      <c r="AR252" s="96"/>
    </row>
    <row r="253" spans="1:44" s="270" customFormat="1" ht="12" customHeight="1">
      <c r="A253" s="96"/>
      <c r="B253" s="620"/>
      <c r="C253" s="620"/>
      <c r="D253" s="620"/>
      <c r="E253" s="620"/>
      <c r="F253" s="620"/>
      <c r="G253" s="620"/>
      <c r="H253" s="620"/>
      <c r="I253" s="620"/>
      <c r="J253" s="620"/>
      <c r="K253" s="620"/>
      <c r="L253" s="620"/>
      <c r="M253" s="620"/>
      <c r="N253" s="620"/>
      <c r="O253" s="620"/>
      <c r="P253" s="621"/>
      <c r="Q253" s="620"/>
      <c r="R253" s="620"/>
      <c r="X253" s="96"/>
      <c r="Y253" s="96"/>
      <c r="Z253" s="2498"/>
      <c r="AA253" s="96"/>
      <c r="AB253" s="96"/>
      <c r="AC253" s="96"/>
      <c r="AD253" s="96"/>
      <c r="AE253" s="96"/>
      <c r="AF253" s="96"/>
      <c r="AG253" s="96"/>
      <c r="AH253" s="96"/>
      <c r="AI253" s="96"/>
      <c r="AJ253" s="96"/>
      <c r="AK253" s="96"/>
      <c r="AL253" s="96"/>
      <c r="AM253" s="96"/>
      <c r="AN253" s="96"/>
      <c r="AO253" s="96"/>
      <c r="AP253" s="96"/>
      <c r="AQ253" s="96"/>
      <c r="AR253" s="96"/>
    </row>
    <row r="254" spans="1:44" s="270" customFormat="1" ht="12" customHeight="1">
      <c r="A254" s="96"/>
      <c r="B254" s="620"/>
      <c r="C254" s="620"/>
      <c r="D254" s="620"/>
      <c r="E254" s="620"/>
      <c r="F254" s="620"/>
      <c r="G254" s="620"/>
      <c r="H254" s="620"/>
      <c r="I254" s="620"/>
      <c r="J254" s="620"/>
      <c r="K254" s="620"/>
      <c r="L254" s="620"/>
      <c r="M254" s="620"/>
      <c r="N254" s="620"/>
      <c r="O254" s="620"/>
      <c r="P254" s="621"/>
      <c r="Q254" s="620"/>
      <c r="R254" s="620"/>
      <c r="X254" s="96"/>
      <c r="Y254" s="96"/>
      <c r="Z254" s="2498"/>
      <c r="AA254" s="96"/>
      <c r="AB254" s="96"/>
      <c r="AC254" s="96"/>
      <c r="AD254" s="96"/>
      <c r="AE254" s="96"/>
      <c r="AF254" s="96"/>
      <c r="AG254" s="96"/>
      <c r="AH254" s="96"/>
      <c r="AI254" s="96"/>
      <c r="AJ254" s="96"/>
      <c r="AK254" s="96"/>
      <c r="AL254" s="96"/>
      <c r="AM254" s="96"/>
      <c r="AN254" s="96"/>
      <c r="AO254" s="96"/>
      <c r="AP254" s="96"/>
      <c r="AQ254" s="96"/>
      <c r="AR254" s="96"/>
    </row>
    <row r="255" spans="1:44" s="270" customFormat="1" ht="12" customHeight="1">
      <c r="A255" s="96"/>
      <c r="B255" s="620"/>
      <c r="C255" s="620"/>
      <c r="D255" s="620"/>
      <c r="E255" s="620"/>
      <c r="F255" s="620"/>
      <c r="G255" s="620"/>
      <c r="H255" s="620"/>
      <c r="I255" s="620"/>
      <c r="J255" s="620"/>
      <c r="K255" s="620"/>
      <c r="L255" s="620"/>
      <c r="M255" s="620"/>
      <c r="N255" s="620"/>
      <c r="O255" s="620"/>
      <c r="P255" s="621"/>
      <c r="Q255" s="620"/>
      <c r="R255" s="620"/>
      <c r="X255" s="96"/>
      <c r="Y255" s="96"/>
      <c r="Z255" s="2498"/>
      <c r="AA255" s="96"/>
      <c r="AB255" s="96"/>
      <c r="AC255" s="96"/>
      <c r="AD255" s="96"/>
      <c r="AE255" s="96"/>
      <c r="AF255" s="96"/>
      <c r="AG255" s="96"/>
      <c r="AH255" s="96"/>
      <c r="AI255" s="96"/>
      <c r="AJ255" s="96"/>
      <c r="AK255" s="96"/>
      <c r="AL255" s="96"/>
      <c r="AM255" s="96"/>
      <c r="AN255" s="96"/>
      <c r="AO255" s="96"/>
      <c r="AP255" s="96"/>
      <c r="AQ255" s="96"/>
      <c r="AR255" s="96"/>
    </row>
    <row r="256" spans="1:44" s="270" customFormat="1" ht="12" customHeight="1">
      <c r="A256" s="96"/>
      <c r="B256" s="620"/>
      <c r="C256" s="620"/>
      <c r="D256" s="620"/>
      <c r="E256" s="620"/>
      <c r="F256" s="620"/>
      <c r="G256" s="620"/>
      <c r="H256" s="620"/>
      <c r="I256" s="620"/>
      <c r="J256" s="620"/>
      <c r="K256" s="620"/>
      <c r="L256" s="620"/>
      <c r="M256" s="620"/>
      <c r="N256" s="620"/>
      <c r="O256" s="620"/>
      <c r="P256" s="621"/>
      <c r="Q256" s="620"/>
      <c r="R256" s="620"/>
      <c r="X256" s="96"/>
      <c r="Y256" s="96"/>
      <c r="Z256" s="2498"/>
      <c r="AA256" s="96"/>
      <c r="AB256" s="96"/>
      <c r="AC256" s="96"/>
      <c r="AD256" s="96"/>
      <c r="AE256" s="96"/>
      <c r="AF256" s="96"/>
      <c r="AG256" s="96"/>
      <c r="AH256" s="96"/>
      <c r="AI256" s="96"/>
      <c r="AJ256" s="96"/>
      <c r="AK256" s="96"/>
      <c r="AL256" s="96"/>
      <c r="AM256" s="96"/>
      <c r="AN256" s="96"/>
      <c r="AO256" s="96"/>
      <c r="AP256" s="96"/>
      <c r="AQ256" s="96"/>
      <c r="AR256" s="96"/>
    </row>
    <row r="257" spans="1:44" s="270" customFormat="1" ht="12" customHeight="1">
      <c r="A257" s="96"/>
      <c r="B257" s="620"/>
      <c r="C257" s="620"/>
      <c r="D257" s="620"/>
      <c r="E257" s="620"/>
      <c r="F257" s="620"/>
      <c r="G257" s="620"/>
      <c r="H257" s="620"/>
      <c r="I257" s="620"/>
      <c r="J257" s="620"/>
      <c r="K257" s="620"/>
      <c r="L257" s="620"/>
      <c r="M257" s="620"/>
      <c r="N257" s="620"/>
      <c r="O257" s="620"/>
      <c r="P257" s="621"/>
      <c r="Q257" s="620"/>
      <c r="R257" s="620"/>
      <c r="X257" s="96"/>
      <c r="Y257" s="96"/>
      <c r="Z257" s="2498"/>
      <c r="AA257" s="96"/>
      <c r="AB257" s="96"/>
      <c r="AC257" s="96"/>
      <c r="AD257" s="96"/>
      <c r="AE257" s="96"/>
      <c r="AF257" s="96"/>
      <c r="AG257" s="96"/>
      <c r="AH257" s="96"/>
      <c r="AI257" s="96"/>
      <c r="AJ257" s="96"/>
      <c r="AK257" s="96"/>
      <c r="AL257" s="96"/>
      <c r="AM257" s="96"/>
      <c r="AN257" s="96"/>
      <c r="AO257" s="96"/>
      <c r="AP257" s="96"/>
      <c r="AQ257" s="96"/>
      <c r="AR257" s="96"/>
    </row>
    <row r="258" spans="1:44" s="270" customFormat="1" ht="12" customHeight="1">
      <c r="A258" s="96"/>
      <c r="B258" s="620"/>
      <c r="C258" s="620"/>
      <c r="D258" s="620"/>
      <c r="E258" s="620"/>
      <c r="F258" s="620"/>
      <c r="G258" s="620"/>
      <c r="H258" s="620"/>
      <c r="I258" s="620"/>
      <c r="J258" s="620"/>
      <c r="K258" s="620"/>
      <c r="L258" s="620"/>
      <c r="M258" s="620"/>
      <c r="N258" s="620"/>
      <c r="O258" s="620"/>
      <c r="P258" s="621"/>
      <c r="Q258" s="620"/>
      <c r="R258" s="620"/>
      <c r="X258" s="96"/>
      <c r="Y258" s="96"/>
      <c r="Z258" s="2498"/>
      <c r="AA258" s="96"/>
      <c r="AB258" s="96"/>
      <c r="AC258" s="96"/>
      <c r="AD258" s="96"/>
      <c r="AE258" s="96"/>
      <c r="AF258" s="96"/>
      <c r="AG258" s="96"/>
      <c r="AH258" s="96"/>
      <c r="AI258" s="96"/>
      <c r="AJ258" s="96"/>
      <c r="AK258" s="96"/>
      <c r="AL258" s="96"/>
      <c r="AM258" s="96"/>
      <c r="AN258" s="96"/>
      <c r="AO258" s="96"/>
      <c r="AP258" s="96"/>
      <c r="AQ258" s="96"/>
      <c r="AR258" s="96"/>
    </row>
    <row r="259" spans="1:44" s="270" customFormat="1" ht="12" customHeight="1">
      <c r="A259" s="96"/>
      <c r="B259" s="620"/>
      <c r="C259" s="620"/>
      <c r="D259" s="620"/>
      <c r="E259" s="620"/>
      <c r="F259" s="620"/>
      <c r="G259" s="620"/>
      <c r="H259" s="620"/>
      <c r="I259" s="620"/>
      <c r="J259" s="620"/>
      <c r="K259" s="620"/>
      <c r="L259" s="620"/>
      <c r="M259" s="620"/>
      <c r="N259" s="620"/>
      <c r="O259" s="620"/>
      <c r="P259" s="621"/>
      <c r="Q259" s="620"/>
      <c r="R259" s="620"/>
      <c r="X259" s="96"/>
      <c r="Y259" s="96"/>
      <c r="Z259" s="2498"/>
      <c r="AA259" s="96"/>
      <c r="AB259" s="96"/>
      <c r="AC259" s="96"/>
      <c r="AD259" s="96"/>
      <c r="AE259" s="96"/>
      <c r="AF259" s="96"/>
      <c r="AG259" s="96"/>
      <c r="AH259" s="96"/>
      <c r="AI259" s="96"/>
      <c r="AJ259" s="96"/>
      <c r="AK259" s="96"/>
      <c r="AL259" s="96"/>
      <c r="AM259" s="96"/>
      <c r="AN259" s="96"/>
      <c r="AO259" s="96"/>
      <c r="AP259" s="96"/>
      <c r="AQ259" s="96"/>
      <c r="AR259" s="96"/>
    </row>
    <row r="260" spans="1:44" s="270" customFormat="1" ht="12" customHeight="1">
      <c r="A260" s="96"/>
      <c r="B260" s="620"/>
      <c r="C260" s="620"/>
      <c r="D260" s="620"/>
      <c r="E260" s="620"/>
      <c r="F260" s="620"/>
      <c r="G260" s="620"/>
      <c r="H260" s="620"/>
      <c r="I260" s="620"/>
      <c r="J260" s="620"/>
      <c r="K260" s="620"/>
      <c r="L260" s="620"/>
      <c r="M260" s="620"/>
      <c r="N260" s="620"/>
      <c r="O260" s="620"/>
      <c r="P260" s="621"/>
      <c r="Q260" s="620"/>
      <c r="R260" s="620"/>
      <c r="X260" s="96"/>
      <c r="Y260" s="96"/>
      <c r="Z260" s="2498"/>
      <c r="AA260" s="96"/>
      <c r="AB260" s="96"/>
      <c r="AC260" s="96"/>
      <c r="AD260" s="96"/>
      <c r="AE260" s="96"/>
      <c r="AF260" s="96"/>
      <c r="AG260" s="96"/>
      <c r="AH260" s="96"/>
      <c r="AI260" s="96"/>
      <c r="AJ260" s="96"/>
      <c r="AK260" s="96"/>
      <c r="AL260" s="96"/>
      <c r="AM260" s="96"/>
      <c r="AN260" s="96"/>
      <c r="AO260" s="96"/>
      <c r="AP260" s="96"/>
      <c r="AQ260" s="96"/>
      <c r="AR260" s="96"/>
    </row>
    <row r="261" spans="1:44" s="270" customFormat="1" ht="12" customHeight="1">
      <c r="A261" s="96"/>
      <c r="B261" s="620"/>
      <c r="C261" s="620"/>
      <c r="D261" s="620"/>
      <c r="E261" s="620"/>
      <c r="F261" s="620"/>
      <c r="G261" s="620"/>
      <c r="H261" s="620"/>
      <c r="I261" s="620"/>
      <c r="J261" s="620"/>
      <c r="K261" s="620"/>
      <c r="L261" s="620"/>
      <c r="M261" s="620"/>
      <c r="N261" s="620"/>
      <c r="O261" s="620"/>
      <c r="P261" s="621"/>
      <c r="Q261" s="620"/>
      <c r="R261" s="620"/>
      <c r="X261" s="96"/>
      <c r="Y261" s="96"/>
      <c r="Z261" s="2498"/>
      <c r="AA261" s="96"/>
      <c r="AB261" s="96"/>
      <c r="AC261" s="96"/>
      <c r="AD261" s="96"/>
      <c r="AE261" s="96"/>
      <c r="AF261" s="96"/>
      <c r="AG261" s="96"/>
      <c r="AH261" s="96"/>
      <c r="AI261" s="96"/>
      <c r="AJ261" s="96"/>
      <c r="AK261" s="96"/>
      <c r="AL261" s="96"/>
      <c r="AM261" s="96"/>
      <c r="AN261" s="96"/>
      <c r="AO261" s="96"/>
      <c r="AP261" s="96"/>
      <c r="AQ261" s="96"/>
      <c r="AR261" s="96"/>
    </row>
    <row r="262" spans="1:44" s="270" customFormat="1" ht="12" customHeight="1">
      <c r="A262" s="96"/>
      <c r="B262" s="620"/>
      <c r="C262" s="620"/>
      <c r="D262" s="620"/>
      <c r="E262" s="620"/>
      <c r="F262" s="620"/>
      <c r="G262" s="620"/>
      <c r="H262" s="620"/>
      <c r="I262" s="620"/>
      <c r="J262" s="620"/>
      <c r="K262" s="620"/>
      <c r="L262" s="620"/>
      <c r="M262" s="620"/>
      <c r="N262" s="620"/>
      <c r="O262" s="620"/>
      <c r="P262" s="621"/>
      <c r="Q262" s="620"/>
      <c r="R262" s="620"/>
      <c r="X262" s="96"/>
      <c r="Y262" s="96"/>
      <c r="Z262" s="2498"/>
      <c r="AA262" s="96"/>
      <c r="AB262" s="96"/>
      <c r="AC262" s="96"/>
      <c r="AD262" s="96"/>
      <c r="AE262" s="96"/>
      <c r="AF262" s="96"/>
      <c r="AG262" s="96"/>
      <c r="AH262" s="96"/>
      <c r="AI262" s="96"/>
      <c r="AJ262" s="96"/>
      <c r="AK262" s="96"/>
      <c r="AL262" s="96"/>
      <c r="AM262" s="96"/>
      <c r="AN262" s="96"/>
      <c r="AO262" s="96"/>
      <c r="AP262" s="96"/>
      <c r="AQ262" s="96"/>
      <c r="AR262" s="96"/>
    </row>
    <row r="263" spans="1:44" s="270" customFormat="1" ht="12" customHeight="1">
      <c r="A263" s="96"/>
      <c r="B263" s="620"/>
      <c r="C263" s="620"/>
      <c r="D263" s="620"/>
      <c r="E263" s="620"/>
      <c r="F263" s="620"/>
      <c r="G263" s="620"/>
      <c r="H263" s="620"/>
      <c r="I263" s="620"/>
      <c r="J263" s="620"/>
      <c r="K263" s="620"/>
      <c r="L263" s="620"/>
      <c r="M263" s="620"/>
      <c r="N263" s="620"/>
      <c r="O263" s="620"/>
      <c r="P263" s="623"/>
      <c r="Q263" s="620"/>
      <c r="R263" s="620"/>
      <c r="X263" s="96"/>
      <c r="Y263" s="96"/>
      <c r="Z263" s="2498"/>
      <c r="AA263" s="96"/>
      <c r="AB263" s="96"/>
      <c r="AC263" s="96"/>
      <c r="AD263" s="96"/>
      <c r="AE263" s="96"/>
      <c r="AF263" s="96"/>
      <c r="AG263" s="96"/>
      <c r="AH263" s="96"/>
      <c r="AI263" s="96"/>
      <c r="AJ263" s="96"/>
      <c r="AK263" s="96"/>
      <c r="AL263" s="96"/>
      <c r="AM263" s="96"/>
      <c r="AN263" s="96"/>
      <c r="AO263" s="96"/>
      <c r="AP263" s="96"/>
      <c r="AQ263" s="96"/>
      <c r="AR263" s="96"/>
    </row>
    <row r="264" spans="1:44" s="270" customFormat="1" ht="12" customHeight="1">
      <c r="A264" s="96"/>
      <c r="B264" s="620"/>
      <c r="C264" s="620"/>
      <c r="D264" s="620"/>
      <c r="E264" s="620"/>
      <c r="F264" s="620"/>
      <c r="G264" s="620"/>
      <c r="H264" s="620"/>
      <c r="I264" s="620"/>
      <c r="J264" s="620"/>
      <c r="K264" s="620"/>
      <c r="L264" s="620"/>
      <c r="M264" s="620"/>
      <c r="N264" s="620"/>
      <c r="O264" s="620"/>
      <c r="P264" s="621"/>
      <c r="Q264" s="620"/>
      <c r="R264" s="620"/>
      <c r="X264" s="96"/>
      <c r="Y264" s="96"/>
      <c r="Z264" s="2498"/>
      <c r="AA264" s="96"/>
      <c r="AB264" s="96"/>
      <c r="AC264" s="96"/>
      <c r="AD264" s="96"/>
      <c r="AE264" s="96"/>
      <c r="AF264" s="96"/>
      <c r="AG264" s="96"/>
      <c r="AH264" s="96"/>
      <c r="AI264" s="96"/>
      <c r="AJ264" s="96"/>
      <c r="AK264" s="96"/>
      <c r="AL264" s="96"/>
      <c r="AM264" s="96"/>
      <c r="AN264" s="96"/>
      <c r="AO264" s="96"/>
      <c r="AP264" s="96"/>
      <c r="AQ264" s="96"/>
      <c r="AR264" s="96"/>
    </row>
    <row r="265" spans="1:44" s="270" customFormat="1" ht="12" customHeight="1">
      <c r="A265" s="96"/>
      <c r="B265" s="620"/>
      <c r="C265" s="620"/>
      <c r="D265" s="620"/>
      <c r="E265" s="620"/>
      <c r="F265" s="620"/>
      <c r="G265" s="620"/>
      <c r="H265" s="620"/>
      <c r="I265" s="620"/>
      <c r="J265" s="620"/>
      <c r="K265" s="620"/>
      <c r="L265" s="620"/>
      <c r="M265" s="620"/>
      <c r="N265" s="620"/>
      <c r="O265" s="620"/>
      <c r="P265" s="621"/>
      <c r="Q265" s="620"/>
      <c r="R265" s="620"/>
      <c r="X265" s="96"/>
      <c r="Y265" s="96"/>
      <c r="Z265" s="2498"/>
      <c r="AA265" s="96"/>
      <c r="AB265" s="96"/>
      <c r="AC265" s="96"/>
      <c r="AD265" s="96"/>
      <c r="AE265" s="96"/>
      <c r="AF265" s="96"/>
      <c r="AG265" s="96"/>
      <c r="AH265" s="96"/>
      <c r="AI265" s="96"/>
      <c r="AJ265" s="96"/>
      <c r="AK265" s="96"/>
      <c r="AL265" s="96"/>
      <c r="AM265" s="96"/>
      <c r="AN265" s="96"/>
      <c r="AO265" s="96"/>
      <c r="AP265" s="96"/>
      <c r="AQ265" s="96"/>
      <c r="AR265" s="96"/>
    </row>
    <row r="266" spans="1:44" s="270" customFormat="1" ht="12" customHeight="1">
      <c r="A266" s="96"/>
      <c r="B266" s="620"/>
      <c r="C266" s="620"/>
      <c r="D266" s="620"/>
      <c r="E266" s="620"/>
      <c r="F266" s="620"/>
      <c r="G266" s="620"/>
      <c r="H266" s="620"/>
      <c r="I266" s="620"/>
      <c r="J266" s="620"/>
      <c r="K266" s="620"/>
      <c r="L266" s="620"/>
      <c r="M266" s="620"/>
      <c r="N266" s="620"/>
      <c r="O266" s="620"/>
      <c r="P266" s="621"/>
      <c r="Q266" s="620"/>
      <c r="R266" s="620"/>
      <c r="X266" s="96"/>
      <c r="Y266" s="96"/>
      <c r="Z266" s="2498"/>
      <c r="AA266" s="96"/>
      <c r="AB266" s="96"/>
      <c r="AC266" s="96"/>
      <c r="AD266" s="96"/>
      <c r="AE266" s="96"/>
      <c r="AF266" s="96"/>
      <c r="AG266" s="96"/>
      <c r="AH266" s="96"/>
      <c r="AI266" s="96"/>
      <c r="AJ266" s="96"/>
      <c r="AK266" s="96"/>
      <c r="AL266" s="96"/>
      <c r="AM266" s="96"/>
      <c r="AN266" s="96"/>
      <c r="AO266" s="96"/>
      <c r="AP266" s="96"/>
      <c r="AQ266" s="96"/>
      <c r="AR266" s="96"/>
    </row>
    <row r="267" spans="1:44" s="270" customFormat="1" ht="12" customHeight="1">
      <c r="A267" s="96"/>
      <c r="B267" s="620"/>
      <c r="C267" s="620"/>
      <c r="D267" s="620"/>
      <c r="E267" s="620"/>
      <c r="F267" s="620"/>
      <c r="G267" s="620"/>
      <c r="H267" s="620"/>
      <c r="I267" s="620"/>
      <c r="J267" s="620"/>
      <c r="K267" s="620"/>
      <c r="L267" s="620"/>
      <c r="M267" s="620"/>
      <c r="N267" s="620"/>
      <c r="O267" s="620"/>
      <c r="P267" s="621"/>
      <c r="Q267" s="620"/>
      <c r="R267" s="620"/>
      <c r="X267" s="96"/>
      <c r="Y267" s="96"/>
      <c r="Z267" s="2498"/>
      <c r="AA267" s="96"/>
      <c r="AB267" s="96"/>
      <c r="AC267" s="96"/>
      <c r="AD267" s="96"/>
      <c r="AE267" s="96"/>
      <c r="AF267" s="96"/>
      <c r="AG267" s="96"/>
      <c r="AH267" s="96"/>
      <c r="AI267" s="96"/>
      <c r="AJ267" s="96"/>
      <c r="AK267" s="96"/>
      <c r="AL267" s="96"/>
      <c r="AM267" s="96"/>
      <c r="AN267" s="96"/>
      <c r="AO267" s="96"/>
      <c r="AP267" s="96"/>
      <c r="AQ267" s="96"/>
      <c r="AR267" s="96"/>
    </row>
    <row r="268" spans="1:44" s="270" customFormat="1" ht="12" customHeight="1">
      <c r="A268" s="96"/>
      <c r="B268" s="620"/>
      <c r="C268" s="620"/>
      <c r="D268" s="620"/>
      <c r="E268" s="620"/>
      <c r="F268" s="620"/>
      <c r="G268" s="620"/>
      <c r="H268" s="620"/>
      <c r="I268" s="620"/>
      <c r="J268" s="620"/>
      <c r="K268" s="620"/>
      <c r="L268" s="620"/>
      <c r="M268" s="620"/>
      <c r="N268" s="620"/>
      <c r="O268" s="620"/>
      <c r="P268" s="621"/>
      <c r="Q268" s="620"/>
      <c r="R268" s="620"/>
      <c r="X268" s="96"/>
      <c r="Y268" s="96"/>
      <c r="Z268" s="2498"/>
      <c r="AA268" s="96"/>
      <c r="AB268" s="96"/>
      <c r="AC268" s="96"/>
      <c r="AD268" s="96"/>
      <c r="AE268" s="96"/>
      <c r="AF268" s="96"/>
      <c r="AG268" s="96"/>
      <c r="AH268" s="96"/>
      <c r="AI268" s="96"/>
      <c r="AJ268" s="96"/>
      <c r="AK268" s="96"/>
      <c r="AL268" s="96"/>
      <c r="AM268" s="96"/>
      <c r="AN268" s="96"/>
      <c r="AO268" s="96"/>
      <c r="AP268" s="96"/>
      <c r="AQ268" s="96"/>
      <c r="AR268" s="96"/>
    </row>
    <row r="269" spans="1:44" s="270" customFormat="1" ht="12" customHeight="1">
      <c r="A269" s="96"/>
      <c r="B269" s="620"/>
      <c r="C269" s="620"/>
      <c r="D269" s="620"/>
      <c r="E269" s="620"/>
      <c r="F269" s="620"/>
      <c r="G269" s="620"/>
      <c r="H269" s="620"/>
      <c r="I269" s="620"/>
      <c r="J269" s="620"/>
      <c r="K269" s="620"/>
      <c r="L269" s="620"/>
      <c r="M269" s="620"/>
      <c r="N269" s="620"/>
      <c r="O269" s="620"/>
      <c r="P269" s="621"/>
      <c r="Q269" s="620"/>
      <c r="R269" s="620"/>
      <c r="X269" s="96"/>
      <c r="Y269" s="96"/>
      <c r="Z269" s="2498"/>
      <c r="AA269" s="96"/>
      <c r="AB269" s="96"/>
      <c r="AC269" s="96"/>
      <c r="AD269" s="96"/>
      <c r="AE269" s="96"/>
      <c r="AF269" s="96"/>
      <c r="AG269" s="96"/>
      <c r="AH269" s="96"/>
      <c r="AI269" s="96"/>
      <c r="AJ269" s="96"/>
      <c r="AK269" s="96"/>
      <c r="AL269" s="96"/>
      <c r="AM269" s="96"/>
      <c r="AN269" s="96"/>
      <c r="AO269" s="96"/>
      <c r="AP269" s="96"/>
      <c r="AQ269" s="96"/>
      <c r="AR269" s="96"/>
    </row>
    <row r="270" spans="1:44" s="270" customFormat="1" ht="12" customHeight="1">
      <c r="A270" s="96"/>
      <c r="P270" s="146"/>
      <c r="X270" s="96"/>
      <c r="Y270" s="96"/>
      <c r="Z270" s="2498"/>
      <c r="AA270" s="96"/>
      <c r="AB270" s="96"/>
      <c r="AC270" s="96"/>
      <c r="AD270" s="96"/>
      <c r="AE270" s="96"/>
      <c r="AF270" s="96"/>
      <c r="AG270" s="96"/>
      <c r="AH270" s="96"/>
      <c r="AI270" s="96"/>
      <c r="AJ270" s="96"/>
      <c r="AK270" s="96"/>
      <c r="AL270" s="96"/>
      <c r="AM270" s="96"/>
      <c r="AN270" s="96"/>
      <c r="AO270" s="96"/>
      <c r="AP270" s="96"/>
      <c r="AQ270" s="96"/>
      <c r="AR270" s="96"/>
    </row>
    <row r="271" spans="1:44" s="270" customFormat="1" ht="12" customHeight="1">
      <c r="A271" s="96"/>
      <c r="P271" s="146"/>
      <c r="X271" s="96"/>
      <c r="Y271" s="96"/>
      <c r="Z271" s="2498"/>
      <c r="AA271" s="96"/>
      <c r="AB271" s="96"/>
      <c r="AC271" s="96"/>
      <c r="AD271" s="96"/>
      <c r="AE271" s="96"/>
      <c r="AF271" s="96"/>
      <c r="AG271" s="96"/>
      <c r="AH271" s="96"/>
      <c r="AI271" s="96"/>
      <c r="AJ271" s="96"/>
      <c r="AK271" s="96"/>
      <c r="AL271" s="96"/>
      <c r="AM271" s="96"/>
      <c r="AN271" s="96"/>
      <c r="AO271" s="96"/>
      <c r="AP271" s="96"/>
      <c r="AQ271" s="96"/>
      <c r="AR271" s="96"/>
    </row>
    <row r="272" spans="1:44" s="270" customFormat="1" ht="12" customHeight="1">
      <c r="A272" s="96"/>
      <c r="P272" s="146"/>
      <c r="X272" s="96"/>
      <c r="Y272" s="96"/>
      <c r="Z272" s="2498"/>
      <c r="AA272" s="96"/>
      <c r="AB272" s="96"/>
      <c r="AC272" s="96"/>
      <c r="AD272" s="96"/>
      <c r="AE272" s="96"/>
      <c r="AF272" s="96"/>
      <c r="AG272" s="96"/>
      <c r="AH272" s="96"/>
      <c r="AI272" s="96"/>
      <c r="AJ272" s="96"/>
      <c r="AK272" s="96"/>
      <c r="AL272" s="96"/>
      <c r="AM272" s="96"/>
      <c r="AN272" s="96"/>
      <c r="AO272" s="96"/>
      <c r="AP272" s="96"/>
      <c r="AQ272" s="96"/>
      <c r="AR272" s="96"/>
    </row>
    <row r="273" spans="1:44" s="270" customFormat="1" ht="12" customHeight="1">
      <c r="A273" s="96"/>
      <c r="P273" s="294"/>
      <c r="X273" s="96"/>
      <c r="Y273" s="96"/>
      <c r="Z273" s="2498"/>
      <c r="AA273" s="96"/>
      <c r="AB273" s="96"/>
      <c r="AC273" s="96"/>
      <c r="AD273" s="96"/>
      <c r="AE273" s="96"/>
      <c r="AF273" s="96"/>
      <c r="AG273" s="96"/>
      <c r="AH273" s="96"/>
      <c r="AI273" s="96"/>
      <c r="AJ273" s="96"/>
      <c r="AK273" s="96"/>
      <c r="AL273" s="96"/>
      <c r="AM273" s="96"/>
      <c r="AN273" s="96"/>
      <c r="AO273" s="96"/>
      <c r="AP273" s="96"/>
      <c r="AQ273" s="96"/>
      <c r="AR273" s="96"/>
    </row>
    <row r="274" spans="1:44" s="270" customFormat="1" ht="12" customHeight="1">
      <c r="A274" s="96"/>
      <c r="P274" s="146"/>
      <c r="X274" s="96"/>
      <c r="Y274" s="96"/>
      <c r="Z274" s="2498"/>
      <c r="AA274" s="96"/>
      <c r="AB274" s="96"/>
      <c r="AC274" s="96"/>
      <c r="AD274" s="96"/>
      <c r="AE274" s="96"/>
      <c r="AF274" s="96"/>
      <c r="AG274" s="96"/>
      <c r="AH274" s="96"/>
      <c r="AI274" s="96"/>
      <c r="AJ274" s="96"/>
      <c r="AK274" s="96"/>
      <c r="AL274" s="96"/>
      <c r="AM274" s="96"/>
      <c r="AN274" s="96"/>
      <c r="AO274" s="96"/>
      <c r="AP274" s="96"/>
      <c r="AQ274" s="96"/>
      <c r="AR274" s="96"/>
    </row>
    <row r="275" spans="1:44" s="270" customFormat="1" ht="12" customHeight="1">
      <c r="A275" s="96"/>
      <c r="P275" s="146"/>
      <c r="X275" s="96"/>
      <c r="Y275" s="96"/>
      <c r="Z275" s="2498"/>
      <c r="AA275" s="96"/>
      <c r="AB275" s="96"/>
      <c r="AC275" s="96"/>
      <c r="AD275" s="96"/>
      <c r="AE275" s="96"/>
      <c r="AF275" s="96"/>
      <c r="AG275" s="96"/>
      <c r="AH275" s="96"/>
      <c r="AI275" s="96"/>
      <c r="AJ275" s="96"/>
      <c r="AK275" s="96"/>
      <c r="AL275" s="96"/>
      <c r="AM275" s="96"/>
      <c r="AN275" s="96"/>
      <c r="AO275" s="96"/>
      <c r="AP275" s="96"/>
      <c r="AQ275" s="96"/>
      <c r="AR275" s="96"/>
    </row>
    <row r="276" spans="1:44" s="270" customFormat="1" ht="12" customHeight="1">
      <c r="A276" s="96"/>
      <c r="P276" s="146"/>
      <c r="X276" s="96"/>
      <c r="Y276" s="96"/>
      <c r="Z276" s="2498"/>
      <c r="AA276" s="96"/>
      <c r="AB276" s="96"/>
      <c r="AC276" s="96"/>
      <c r="AD276" s="96"/>
      <c r="AE276" s="96"/>
      <c r="AF276" s="96"/>
      <c r="AG276" s="96"/>
      <c r="AH276" s="96"/>
      <c r="AI276" s="96"/>
      <c r="AJ276" s="96"/>
      <c r="AK276" s="96"/>
      <c r="AL276" s="96"/>
      <c r="AM276" s="96"/>
      <c r="AN276" s="96"/>
      <c r="AO276" s="96"/>
      <c r="AP276" s="96"/>
      <c r="AQ276" s="96"/>
      <c r="AR276" s="96"/>
    </row>
    <row r="277" spans="1:44" s="270" customFormat="1" ht="12" customHeight="1">
      <c r="A277" s="96"/>
      <c r="P277" s="146"/>
      <c r="X277" s="96"/>
      <c r="Y277" s="96"/>
      <c r="Z277" s="2498"/>
      <c r="AA277" s="96"/>
      <c r="AB277" s="96"/>
      <c r="AC277" s="96"/>
      <c r="AD277" s="96"/>
      <c r="AE277" s="96"/>
      <c r="AF277" s="96"/>
      <c r="AG277" s="96"/>
      <c r="AH277" s="96"/>
      <c r="AI277" s="96"/>
      <c r="AJ277" s="96"/>
      <c r="AK277" s="96"/>
      <c r="AL277" s="96"/>
      <c r="AM277" s="96"/>
      <c r="AN277" s="96"/>
      <c r="AO277" s="96"/>
      <c r="AP277" s="96"/>
      <c r="AQ277" s="96"/>
      <c r="AR277" s="96"/>
    </row>
    <row r="278" spans="1:44" s="270" customFormat="1" ht="12" customHeight="1">
      <c r="A278" s="96"/>
      <c r="P278" s="146"/>
      <c r="X278" s="96"/>
      <c r="Y278" s="96"/>
      <c r="Z278" s="2498"/>
      <c r="AA278" s="96"/>
      <c r="AB278" s="96"/>
      <c r="AC278" s="96"/>
      <c r="AD278" s="96"/>
      <c r="AE278" s="96"/>
      <c r="AF278" s="96"/>
      <c r="AG278" s="96"/>
      <c r="AH278" s="96"/>
      <c r="AI278" s="96"/>
      <c r="AJ278" s="96"/>
      <c r="AK278" s="96"/>
      <c r="AL278" s="96"/>
      <c r="AM278" s="96"/>
      <c r="AN278" s="96"/>
      <c r="AO278" s="96"/>
      <c r="AP278" s="96"/>
      <c r="AQ278" s="96"/>
      <c r="AR278" s="96"/>
    </row>
    <row r="279" spans="1:44" s="270" customFormat="1" ht="12" customHeight="1">
      <c r="A279" s="96"/>
      <c r="P279" s="146"/>
      <c r="X279" s="96"/>
      <c r="Y279" s="96"/>
      <c r="Z279" s="2498"/>
      <c r="AA279" s="96"/>
      <c r="AB279" s="96"/>
      <c r="AC279" s="96"/>
      <c r="AD279" s="96"/>
      <c r="AE279" s="96"/>
      <c r="AF279" s="96"/>
      <c r="AG279" s="96"/>
      <c r="AH279" s="96"/>
      <c r="AI279" s="96"/>
      <c r="AJ279" s="96"/>
      <c r="AK279" s="96"/>
      <c r="AL279" s="96"/>
      <c r="AM279" s="96"/>
      <c r="AN279" s="96"/>
      <c r="AO279" s="96"/>
      <c r="AP279" s="96"/>
      <c r="AQ279" s="96"/>
      <c r="AR279" s="96"/>
    </row>
    <row r="280" spans="1:44" s="270" customFormat="1" ht="12" customHeight="1">
      <c r="A280" s="96"/>
      <c r="P280" s="146"/>
      <c r="X280" s="96"/>
      <c r="Y280" s="96"/>
      <c r="Z280" s="2498"/>
      <c r="AA280" s="96"/>
      <c r="AB280" s="96"/>
      <c r="AC280" s="96"/>
      <c r="AD280" s="96"/>
      <c r="AE280" s="96"/>
      <c r="AF280" s="96"/>
      <c r="AG280" s="96"/>
      <c r="AH280" s="96"/>
      <c r="AI280" s="96"/>
      <c r="AJ280" s="96"/>
      <c r="AK280" s="96"/>
      <c r="AL280" s="96"/>
      <c r="AM280" s="96"/>
      <c r="AN280" s="96"/>
      <c r="AO280" s="96"/>
      <c r="AP280" s="96"/>
      <c r="AQ280" s="96"/>
      <c r="AR280" s="96"/>
    </row>
    <row r="281" spans="1:44" s="270" customFormat="1" ht="12" customHeight="1">
      <c r="A281" s="96"/>
      <c r="P281" s="146"/>
      <c r="X281" s="96"/>
      <c r="Y281" s="96"/>
      <c r="Z281" s="2498"/>
      <c r="AA281" s="96"/>
      <c r="AB281" s="96"/>
      <c r="AC281" s="96"/>
      <c r="AD281" s="96"/>
      <c r="AE281" s="96"/>
      <c r="AF281" s="96"/>
      <c r="AG281" s="96"/>
      <c r="AH281" s="96"/>
      <c r="AI281" s="96"/>
      <c r="AJ281" s="96"/>
      <c r="AK281" s="96"/>
      <c r="AL281" s="96"/>
      <c r="AM281" s="96"/>
      <c r="AN281" s="96"/>
      <c r="AO281" s="96"/>
      <c r="AP281" s="96"/>
      <c r="AQ281" s="96"/>
      <c r="AR281" s="96"/>
    </row>
    <row r="282" spans="1:44" s="270" customFormat="1" ht="12" customHeight="1">
      <c r="A282" s="96"/>
      <c r="P282" s="146"/>
      <c r="X282" s="96"/>
      <c r="Y282" s="96"/>
      <c r="Z282" s="2498"/>
      <c r="AA282" s="96"/>
      <c r="AB282" s="96"/>
      <c r="AC282" s="96"/>
      <c r="AD282" s="96"/>
      <c r="AE282" s="96"/>
      <c r="AF282" s="96"/>
      <c r="AG282" s="96"/>
      <c r="AH282" s="96"/>
      <c r="AI282" s="96"/>
      <c r="AJ282" s="96"/>
      <c r="AK282" s="96"/>
      <c r="AL282" s="96"/>
      <c r="AM282" s="96"/>
      <c r="AN282" s="96"/>
      <c r="AO282" s="96"/>
      <c r="AP282" s="96"/>
      <c r="AQ282" s="96"/>
      <c r="AR282" s="96"/>
    </row>
    <row r="283" spans="1:44" s="270" customFormat="1" ht="12" customHeight="1">
      <c r="A283" s="96"/>
      <c r="P283" s="146"/>
      <c r="X283" s="96"/>
      <c r="Y283" s="96"/>
      <c r="Z283" s="2498"/>
      <c r="AA283" s="96"/>
      <c r="AB283" s="96"/>
      <c r="AC283" s="96"/>
      <c r="AD283" s="96"/>
      <c r="AE283" s="96"/>
      <c r="AF283" s="96"/>
      <c r="AG283" s="96"/>
      <c r="AH283" s="96"/>
      <c r="AI283" s="96"/>
      <c r="AJ283" s="96"/>
      <c r="AK283" s="96"/>
      <c r="AL283" s="96"/>
      <c r="AM283" s="96"/>
      <c r="AN283" s="96"/>
      <c r="AO283" s="96"/>
      <c r="AP283" s="96"/>
      <c r="AQ283" s="96"/>
      <c r="AR283" s="96"/>
    </row>
    <row r="284" spans="1:44" s="270" customFormat="1" ht="12" customHeight="1">
      <c r="A284" s="96"/>
      <c r="P284" s="146"/>
      <c r="X284" s="96"/>
      <c r="Y284" s="96"/>
      <c r="Z284" s="2498"/>
      <c r="AA284" s="96"/>
      <c r="AB284" s="96"/>
      <c r="AC284" s="96"/>
      <c r="AD284" s="96"/>
      <c r="AE284" s="96"/>
      <c r="AF284" s="96"/>
      <c r="AG284" s="96"/>
      <c r="AH284" s="96"/>
      <c r="AI284" s="96"/>
      <c r="AJ284" s="96"/>
      <c r="AK284" s="96"/>
      <c r="AL284" s="96"/>
      <c r="AM284" s="96"/>
      <c r="AN284" s="96"/>
      <c r="AO284" s="96"/>
      <c r="AP284" s="96"/>
      <c r="AQ284" s="96"/>
      <c r="AR284" s="96"/>
    </row>
    <row r="285" spans="1:44" s="270" customFormat="1" ht="12" customHeight="1">
      <c r="A285" s="96"/>
      <c r="P285" s="146"/>
      <c r="X285" s="96"/>
      <c r="Y285" s="96"/>
      <c r="Z285" s="2498"/>
      <c r="AA285" s="96"/>
      <c r="AB285" s="96"/>
      <c r="AC285" s="96"/>
      <c r="AD285" s="96"/>
      <c r="AE285" s="96"/>
      <c r="AF285" s="96"/>
      <c r="AG285" s="96"/>
      <c r="AH285" s="96"/>
      <c r="AI285" s="96"/>
      <c r="AJ285" s="96"/>
      <c r="AK285" s="96"/>
      <c r="AL285" s="96"/>
      <c r="AM285" s="96"/>
      <c r="AN285" s="96"/>
      <c r="AO285" s="96"/>
      <c r="AP285" s="96"/>
      <c r="AQ285" s="96"/>
      <c r="AR285" s="96"/>
    </row>
    <row r="286" spans="1:44" s="270" customFormat="1" ht="12" customHeight="1">
      <c r="A286" s="96"/>
      <c r="P286" s="146"/>
      <c r="X286" s="96"/>
      <c r="Y286" s="96"/>
      <c r="Z286" s="2498"/>
      <c r="AA286" s="96"/>
      <c r="AB286" s="96"/>
      <c r="AC286" s="96"/>
      <c r="AD286" s="96"/>
      <c r="AE286" s="96"/>
      <c r="AF286" s="96"/>
      <c r="AG286" s="96"/>
      <c r="AH286" s="96"/>
      <c r="AI286" s="96"/>
      <c r="AJ286" s="96"/>
      <c r="AK286" s="96"/>
      <c r="AL286" s="96"/>
      <c r="AM286" s="96"/>
      <c r="AN286" s="96"/>
      <c r="AO286" s="96"/>
      <c r="AP286" s="96"/>
      <c r="AQ286" s="96"/>
      <c r="AR286" s="96"/>
    </row>
    <row r="287" spans="1:44" s="270" customFormat="1" ht="12" customHeight="1">
      <c r="A287" s="96"/>
      <c r="P287" s="294"/>
      <c r="X287" s="96"/>
      <c r="Y287" s="96"/>
      <c r="Z287" s="2498"/>
      <c r="AA287" s="96"/>
      <c r="AB287" s="96"/>
      <c r="AC287" s="96"/>
      <c r="AD287" s="96"/>
      <c r="AE287" s="96"/>
      <c r="AF287" s="96"/>
      <c r="AG287" s="96"/>
      <c r="AH287" s="96"/>
      <c r="AI287" s="96"/>
      <c r="AJ287" s="96"/>
      <c r="AK287" s="96"/>
      <c r="AL287" s="96"/>
      <c r="AM287" s="96"/>
      <c r="AN287" s="96"/>
      <c r="AO287" s="96"/>
      <c r="AP287" s="96"/>
      <c r="AQ287" s="96"/>
      <c r="AR287" s="96"/>
    </row>
    <row r="288" spans="1:44" s="270" customFormat="1" ht="12" customHeight="1">
      <c r="A288" s="96"/>
      <c r="P288" s="146"/>
      <c r="X288" s="96"/>
      <c r="Y288" s="96"/>
      <c r="Z288" s="2498"/>
      <c r="AA288" s="96"/>
      <c r="AB288" s="96"/>
      <c r="AC288" s="96"/>
      <c r="AD288" s="96"/>
      <c r="AE288" s="96"/>
      <c r="AF288" s="96"/>
      <c r="AG288" s="96"/>
      <c r="AH288" s="96"/>
      <c r="AI288" s="96"/>
      <c r="AJ288" s="96"/>
      <c r="AK288" s="96"/>
      <c r="AL288" s="96"/>
      <c r="AM288" s="96"/>
      <c r="AN288" s="96"/>
      <c r="AO288" s="96"/>
      <c r="AP288" s="96"/>
      <c r="AQ288" s="96"/>
      <c r="AR288" s="96"/>
    </row>
    <row r="289" spans="1:44" s="270" customFormat="1" ht="12" customHeight="1">
      <c r="A289" s="96"/>
      <c r="P289" s="146"/>
      <c r="X289" s="96"/>
      <c r="Y289" s="96"/>
      <c r="Z289" s="2498"/>
      <c r="AA289" s="96"/>
      <c r="AB289" s="96"/>
      <c r="AC289" s="96"/>
      <c r="AD289" s="96"/>
      <c r="AE289" s="96"/>
      <c r="AF289" s="96"/>
      <c r="AG289" s="96"/>
      <c r="AH289" s="96"/>
      <c r="AI289" s="96"/>
      <c r="AJ289" s="96"/>
      <c r="AK289" s="96"/>
      <c r="AL289" s="96"/>
      <c r="AM289" s="96"/>
      <c r="AN289" s="96"/>
      <c r="AO289" s="96"/>
      <c r="AP289" s="96"/>
      <c r="AQ289" s="96"/>
      <c r="AR289" s="96"/>
    </row>
    <row r="290" spans="1:44" s="270" customFormat="1" ht="12" customHeight="1">
      <c r="A290" s="96"/>
      <c r="P290" s="146"/>
      <c r="X290" s="96"/>
      <c r="Y290" s="96"/>
      <c r="Z290" s="2498"/>
      <c r="AA290" s="96"/>
      <c r="AB290" s="96"/>
      <c r="AC290" s="96"/>
      <c r="AD290" s="96"/>
      <c r="AE290" s="96"/>
      <c r="AF290" s="96"/>
      <c r="AG290" s="96"/>
      <c r="AH290" s="96"/>
      <c r="AI290" s="96"/>
      <c r="AJ290" s="96"/>
      <c r="AK290" s="96"/>
      <c r="AL290" s="96"/>
      <c r="AM290" s="96"/>
      <c r="AN290" s="96"/>
      <c r="AO290" s="96"/>
      <c r="AP290" s="96"/>
      <c r="AQ290" s="96"/>
      <c r="AR290" s="96"/>
    </row>
    <row r="291" spans="1:44" s="270" customFormat="1" ht="12" customHeight="1">
      <c r="A291" s="96"/>
      <c r="P291" s="294"/>
      <c r="X291" s="96"/>
      <c r="Y291" s="96"/>
      <c r="Z291" s="2498"/>
      <c r="AA291" s="96"/>
      <c r="AB291" s="96"/>
      <c r="AC291" s="96"/>
      <c r="AD291" s="96"/>
      <c r="AE291" s="96"/>
      <c r="AF291" s="96"/>
      <c r="AG291" s="96"/>
      <c r="AH291" s="96"/>
      <c r="AI291" s="96"/>
      <c r="AJ291" s="96"/>
      <c r="AK291" s="96"/>
      <c r="AL291" s="96"/>
      <c r="AM291" s="96"/>
      <c r="AN291" s="96"/>
      <c r="AO291" s="96"/>
      <c r="AP291" s="96"/>
      <c r="AQ291" s="96"/>
      <c r="AR291" s="96"/>
    </row>
    <row r="292" spans="1:44" s="270" customFormat="1" ht="12" customHeight="1">
      <c r="A292" s="96"/>
      <c r="P292" s="146"/>
      <c r="X292" s="96"/>
      <c r="Y292" s="96"/>
      <c r="Z292" s="2498"/>
      <c r="AA292" s="96"/>
      <c r="AB292" s="96"/>
      <c r="AC292" s="96"/>
      <c r="AD292" s="96"/>
      <c r="AE292" s="96"/>
      <c r="AF292" s="96"/>
      <c r="AG292" s="96"/>
      <c r="AH292" s="96"/>
      <c r="AI292" s="96"/>
      <c r="AJ292" s="96"/>
      <c r="AK292" s="96"/>
      <c r="AL292" s="96"/>
      <c r="AM292" s="96"/>
      <c r="AN292" s="96"/>
      <c r="AO292" s="96"/>
      <c r="AP292" s="96"/>
      <c r="AQ292" s="96"/>
      <c r="AR292" s="96"/>
    </row>
    <row r="293" spans="1:44" s="270" customFormat="1" ht="12" customHeight="1">
      <c r="A293" s="96"/>
      <c r="P293" s="146"/>
      <c r="X293" s="96"/>
      <c r="Y293" s="96"/>
      <c r="Z293" s="2498"/>
      <c r="AA293" s="96"/>
      <c r="AB293" s="96"/>
      <c r="AC293" s="96"/>
      <c r="AD293" s="96"/>
      <c r="AE293" s="96"/>
      <c r="AF293" s="96"/>
      <c r="AG293" s="96"/>
      <c r="AH293" s="96"/>
      <c r="AI293" s="96"/>
      <c r="AJ293" s="96"/>
      <c r="AK293" s="96"/>
      <c r="AL293" s="96"/>
      <c r="AM293" s="96"/>
      <c r="AN293" s="96"/>
      <c r="AO293" s="96"/>
      <c r="AP293" s="96"/>
      <c r="AQ293" s="96"/>
      <c r="AR293" s="96"/>
    </row>
    <row r="294" spans="1:44" s="270" customFormat="1" ht="12" customHeight="1">
      <c r="A294" s="96"/>
      <c r="P294" s="146"/>
      <c r="X294" s="96"/>
      <c r="Y294" s="96"/>
      <c r="Z294" s="2498"/>
      <c r="AA294" s="96"/>
      <c r="AB294" s="96"/>
      <c r="AC294" s="96"/>
      <c r="AD294" s="96"/>
      <c r="AE294" s="96"/>
      <c r="AF294" s="96"/>
      <c r="AG294" s="96"/>
      <c r="AH294" s="96"/>
      <c r="AI294" s="96"/>
      <c r="AJ294" s="96"/>
      <c r="AK294" s="96"/>
      <c r="AL294" s="96"/>
      <c r="AM294" s="96"/>
      <c r="AN294" s="96"/>
      <c r="AO294" s="96"/>
      <c r="AP294" s="96"/>
      <c r="AQ294" s="96"/>
      <c r="AR294" s="96"/>
    </row>
    <row r="295" spans="1:44" s="270" customFormat="1" ht="12" customHeight="1">
      <c r="A295" s="96"/>
      <c r="P295" s="146"/>
      <c r="X295" s="96"/>
      <c r="Y295" s="96"/>
      <c r="Z295" s="2498"/>
      <c r="AA295" s="96"/>
      <c r="AB295" s="96"/>
      <c r="AC295" s="96"/>
      <c r="AD295" s="96"/>
      <c r="AE295" s="96"/>
      <c r="AF295" s="96"/>
      <c r="AG295" s="96"/>
      <c r="AH295" s="96"/>
      <c r="AI295" s="96"/>
      <c r="AJ295" s="96"/>
      <c r="AK295" s="96"/>
      <c r="AL295" s="96"/>
      <c r="AM295" s="96"/>
      <c r="AN295" s="96"/>
      <c r="AO295" s="96"/>
      <c r="AP295" s="96"/>
      <c r="AQ295" s="96"/>
      <c r="AR295" s="96"/>
    </row>
    <row r="296" spans="1:44" s="270" customFormat="1" ht="12" customHeight="1">
      <c r="A296" s="96"/>
      <c r="P296" s="146"/>
      <c r="X296" s="96"/>
      <c r="Y296" s="96"/>
      <c r="Z296" s="2498"/>
      <c r="AA296" s="96"/>
      <c r="AB296" s="96"/>
      <c r="AC296" s="96"/>
      <c r="AD296" s="96"/>
      <c r="AE296" s="96"/>
      <c r="AF296" s="96"/>
      <c r="AG296" s="96"/>
      <c r="AH296" s="96"/>
      <c r="AI296" s="96"/>
      <c r="AJ296" s="96"/>
      <c r="AK296" s="96"/>
      <c r="AL296" s="96"/>
      <c r="AM296" s="96"/>
      <c r="AN296" s="96"/>
      <c r="AO296" s="96"/>
      <c r="AP296" s="96"/>
      <c r="AQ296" s="96"/>
      <c r="AR296" s="96"/>
    </row>
    <row r="297" spans="1:44" s="270" customFormat="1" ht="12" customHeight="1">
      <c r="A297" s="96"/>
      <c r="P297" s="294"/>
      <c r="X297" s="96"/>
      <c r="Y297" s="96"/>
      <c r="Z297" s="2498"/>
      <c r="AA297" s="96"/>
      <c r="AB297" s="96"/>
      <c r="AC297" s="96"/>
      <c r="AD297" s="96"/>
      <c r="AE297" s="96"/>
      <c r="AF297" s="96"/>
      <c r="AG297" s="96"/>
      <c r="AH297" s="96"/>
      <c r="AI297" s="96"/>
      <c r="AJ297" s="96"/>
      <c r="AK297" s="96"/>
      <c r="AL297" s="96"/>
      <c r="AM297" s="96"/>
      <c r="AN297" s="96"/>
      <c r="AO297" s="96"/>
      <c r="AP297" s="96"/>
      <c r="AQ297" s="96"/>
      <c r="AR297" s="96"/>
    </row>
    <row r="298" spans="1:44" s="270" customFormat="1" ht="12" customHeight="1">
      <c r="A298" s="96"/>
      <c r="P298" s="146"/>
      <c r="X298" s="96"/>
      <c r="Y298" s="96"/>
      <c r="Z298" s="2498"/>
      <c r="AA298" s="96"/>
      <c r="AB298" s="96"/>
      <c r="AC298" s="96"/>
      <c r="AD298" s="96"/>
      <c r="AE298" s="96"/>
      <c r="AF298" s="96"/>
      <c r="AG298" s="96"/>
      <c r="AH298" s="96"/>
      <c r="AI298" s="96"/>
      <c r="AJ298" s="96"/>
      <c r="AK298" s="96"/>
      <c r="AL298" s="96"/>
      <c r="AM298" s="96"/>
      <c r="AN298" s="96"/>
      <c r="AO298" s="96"/>
      <c r="AP298" s="96"/>
      <c r="AQ298" s="96"/>
      <c r="AR298" s="96"/>
    </row>
    <row r="299" spans="1:44" s="270" customFormat="1" ht="12" customHeight="1">
      <c r="A299" s="96"/>
      <c r="P299" s="146"/>
      <c r="X299" s="96"/>
      <c r="Y299" s="96"/>
      <c r="Z299" s="2498"/>
      <c r="AA299" s="96"/>
      <c r="AB299" s="96"/>
      <c r="AC299" s="96"/>
      <c r="AD299" s="96"/>
      <c r="AE299" s="96"/>
      <c r="AF299" s="96"/>
      <c r="AG299" s="96"/>
      <c r="AH299" s="96"/>
      <c r="AI299" s="96"/>
      <c r="AJ299" s="96"/>
      <c r="AK299" s="96"/>
      <c r="AL299" s="96"/>
      <c r="AM299" s="96"/>
      <c r="AN299" s="96"/>
      <c r="AO299" s="96"/>
      <c r="AP299" s="96"/>
      <c r="AQ299" s="96"/>
      <c r="AR299" s="96"/>
    </row>
    <row r="300" spans="1:44" s="270" customFormat="1" ht="12" customHeight="1">
      <c r="A300" s="96"/>
      <c r="P300" s="146"/>
      <c r="X300" s="96"/>
      <c r="Y300" s="96"/>
      <c r="Z300" s="2498"/>
      <c r="AA300" s="96"/>
      <c r="AB300" s="96"/>
      <c r="AC300" s="96"/>
      <c r="AD300" s="96"/>
      <c r="AE300" s="96"/>
      <c r="AF300" s="96"/>
      <c r="AG300" s="96"/>
      <c r="AH300" s="96"/>
      <c r="AI300" s="96"/>
      <c r="AJ300" s="96"/>
      <c r="AK300" s="96"/>
      <c r="AL300" s="96"/>
      <c r="AM300" s="96"/>
      <c r="AN300" s="96"/>
      <c r="AO300" s="96"/>
      <c r="AP300" s="96"/>
      <c r="AQ300" s="96"/>
      <c r="AR300" s="96"/>
    </row>
    <row r="301" spans="1:44" s="270" customFormat="1" ht="12" customHeight="1">
      <c r="A301" s="96"/>
      <c r="P301" s="146"/>
      <c r="X301" s="96"/>
      <c r="Y301" s="96"/>
      <c r="Z301" s="2498"/>
      <c r="AA301" s="96"/>
      <c r="AB301" s="96"/>
      <c r="AC301" s="96"/>
      <c r="AD301" s="96"/>
      <c r="AE301" s="96"/>
      <c r="AF301" s="96"/>
      <c r="AG301" s="96"/>
      <c r="AH301" s="96"/>
      <c r="AI301" s="96"/>
      <c r="AJ301" s="96"/>
      <c r="AK301" s="96"/>
      <c r="AL301" s="96"/>
      <c r="AM301" s="96"/>
      <c r="AN301" s="96"/>
      <c r="AO301" s="96"/>
      <c r="AP301" s="96"/>
      <c r="AQ301" s="96"/>
      <c r="AR301" s="96"/>
    </row>
    <row r="302" spans="1:44" s="270" customFormat="1" ht="12" customHeight="1">
      <c r="A302" s="96"/>
      <c r="P302" s="146"/>
      <c r="X302" s="96"/>
      <c r="Y302" s="96"/>
      <c r="Z302" s="2498"/>
      <c r="AA302" s="96"/>
      <c r="AB302" s="96"/>
      <c r="AC302" s="96"/>
      <c r="AD302" s="96"/>
      <c r="AE302" s="96"/>
      <c r="AF302" s="96"/>
      <c r="AG302" s="96"/>
      <c r="AH302" s="96"/>
      <c r="AI302" s="96"/>
      <c r="AJ302" s="96"/>
      <c r="AK302" s="96"/>
      <c r="AL302" s="96"/>
      <c r="AM302" s="96"/>
      <c r="AN302" s="96"/>
      <c r="AO302" s="96"/>
      <c r="AP302" s="96"/>
      <c r="AQ302" s="96"/>
      <c r="AR302" s="96"/>
    </row>
    <row r="303" spans="1:44" s="270" customFormat="1" ht="12" customHeight="1">
      <c r="A303" s="96"/>
      <c r="P303" s="146"/>
      <c r="X303" s="96"/>
      <c r="Y303" s="96"/>
      <c r="Z303" s="2498"/>
      <c r="AA303" s="96"/>
      <c r="AB303" s="96"/>
      <c r="AC303" s="96"/>
      <c r="AD303" s="96"/>
      <c r="AE303" s="96"/>
      <c r="AF303" s="96"/>
      <c r="AG303" s="96"/>
      <c r="AH303" s="96"/>
      <c r="AI303" s="96"/>
      <c r="AJ303" s="96"/>
      <c r="AK303" s="96"/>
      <c r="AL303" s="96"/>
      <c r="AM303" s="96"/>
      <c r="AN303" s="96"/>
      <c r="AO303" s="96"/>
      <c r="AP303" s="96"/>
      <c r="AQ303" s="96"/>
      <c r="AR303" s="96"/>
    </row>
    <row r="304" spans="1:44" s="270" customFormat="1" ht="12" customHeight="1">
      <c r="A304" s="96"/>
      <c r="P304" s="146"/>
      <c r="X304" s="96"/>
      <c r="Y304" s="96"/>
      <c r="Z304" s="2498"/>
      <c r="AA304" s="96"/>
      <c r="AB304" s="96"/>
      <c r="AC304" s="96"/>
      <c r="AD304" s="96"/>
      <c r="AE304" s="96"/>
      <c r="AF304" s="96"/>
      <c r="AG304" s="96"/>
      <c r="AH304" s="96"/>
      <c r="AI304" s="96"/>
      <c r="AJ304" s="96"/>
      <c r="AK304" s="96"/>
      <c r="AL304" s="96"/>
      <c r="AM304" s="96"/>
      <c r="AN304" s="96"/>
      <c r="AO304" s="96"/>
      <c r="AP304" s="96"/>
      <c r="AQ304" s="96"/>
      <c r="AR304" s="96"/>
    </row>
    <row r="305" spans="1:44" s="270" customFormat="1" ht="12" customHeight="1">
      <c r="A305" s="96"/>
      <c r="P305" s="146"/>
      <c r="X305" s="96"/>
      <c r="Y305" s="96"/>
      <c r="Z305" s="2498"/>
      <c r="AA305" s="96"/>
      <c r="AB305" s="96"/>
      <c r="AC305" s="96"/>
      <c r="AD305" s="96"/>
      <c r="AE305" s="96"/>
      <c r="AF305" s="96"/>
      <c r="AG305" s="96"/>
      <c r="AH305" s="96"/>
      <c r="AI305" s="96"/>
      <c r="AJ305" s="96"/>
      <c r="AK305" s="96"/>
      <c r="AL305" s="96"/>
      <c r="AM305" s="96"/>
      <c r="AN305" s="96"/>
      <c r="AO305" s="96"/>
      <c r="AP305" s="96"/>
      <c r="AQ305" s="96"/>
      <c r="AR305" s="96"/>
    </row>
    <row r="306" spans="1:44" s="270" customFormat="1" ht="12" customHeight="1">
      <c r="A306" s="96"/>
      <c r="P306" s="146"/>
      <c r="X306" s="96"/>
      <c r="Y306" s="96"/>
      <c r="Z306" s="2498"/>
      <c r="AA306" s="96"/>
      <c r="AB306" s="96"/>
      <c r="AC306" s="96"/>
      <c r="AD306" s="96"/>
      <c r="AE306" s="96"/>
      <c r="AF306" s="96"/>
      <c r="AG306" s="96"/>
      <c r="AH306" s="96"/>
      <c r="AI306" s="96"/>
      <c r="AJ306" s="96"/>
      <c r="AK306" s="96"/>
      <c r="AL306" s="96"/>
      <c r="AM306" s="96"/>
      <c r="AN306" s="96"/>
      <c r="AO306" s="96"/>
      <c r="AP306" s="96"/>
      <c r="AQ306" s="96"/>
      <c r="AR306" s="96"/>
    </row>
    <row r="307" spans="1:44" s="270" customFormat="1" ht="12" customHeight="1">
      <c r="A307" s="96"/>
      <c r="P307" s="146"/>
      <c r="X307" s="96"/>
      <c r="Y307" s="96"/>
      <c r="Z307" s="2498"/>
      <c r="AA307" s="96"/>
      <c r="AB307" s="96"/>
      <c r="AC307" s="96"/>
      <c r="AD307" s="96"/>
      <c r="AE307" s="96"/>
      <c r="AF307" s="96"/>
      <c r="AG307" s="96"/>
      <c r="AH307" s="96"/>
      <c r="AI307" s="96"/>
      <c r="AJ307" s="96"/>
      <c r="AK307" s="96"/>
      <c r="AL307" s="96"/>
      <c r="AM307" s="96"/>
      <c r="AN307" s="96"/>
      <c r="AO307" s="96"/>
      <c r="AP307" s="96"/>
      <c r="AQ307" s="96"/>
      <c r="AR307" s="96"/>
    </row>
    <row r="308" spans="1:44" s="270" customFormat="1" ht="12" customHeight="1">
      <c r="A308" s="96"/>
      <c r="P308" s="146"/>
      <c r="X308" s="96"/>
      <c r="Y308" s="96"/>
      <c r="Z308" s="2498"/>
      <c r="AA308" s="96"/>
      <c r="AB308" s="96"/>
      <c r="AC308" s="96"/>
      <c r="AD308" s="96"/>
      <c r="AE308" s="96"/>
      <c r="AF308" s="96"/>
      <c r="AG308" s="96"/>
      <c r="AH308" s="96"/>
      <c r="AI308" s="96"/>
      <c r="AJ308" s="96"/>
      <c r="AK308" s="96"/>
      <c r="AL308" s="96"/>
      <c r="AM308" s="96"/>
      <c r="AN308" s="96"/>
      <c r="AO308" s="96"/>
      <c r="AP308" s="96"/>
      <c r="AQ308" s="96"/>
      <c r="AR308" s="96"/>
    </row>
    <row r="309" spans="1:44" s="270" customFormat="1" ht="12" customHeight="1">
      <c r="A309" s="96"/>
      <c r="P309" s="146"/>
      <c r="X309" s="96"/>
      <c r="Y309" s="96"/>
      <c r="Z309" s="2498"/>
      <c r="AA309" s="96"/>
      <c r="AB309" s="96"/>
      <c r="AC309" s="96"/>
      <c r="AD309" s="96"/>
      <c r="AE309" s="96"/>
      <c r="AF309" s="96"/>
      <c r="AG309" s="96"/>
      <c r="AH309" s="96"/>
      <c r="AI309" s="96"/>
      <c r="AJ309" s="96"/>
      <c r="AK309" s="96"/>
      <c r="AL309" s="96"/>
      <c r="AM309" s="96"/>
      <c r="AN309" s="96"/>
      <c r="AO309" s="96"/>
      <c r="AP309" s="96"/>
      <c r="AQ309" s="96"/>
      <c r="AR309" s="96"/>
    </row>
    <row r="310" spans="1:44" s="270" customFormat="1" ht="12" customHeight="1">
      <c r="A310" s="96"/>
      <c r="P310" s="294"/>
      <c r="X310" s="96"/>
      <c r="Y310" s="96"/>
      <c r="Z310" s="2498"/>
      <c r="AA310" s="96"/>
      <c r="AB310" s="96"/>
      <c r="AC310" s="96"/>
      <c r="AD310" s="96"/>
      <c r="AE310" s="96"/>
      <c r="AF310" s="96"/>
      <c r="AG310" s="96"/>
      <c r="AH310" s="96"/>
      <c r="AI310" s="96"/>
      <c r="AJ310" s="96"/>
      <c r="AK310" s="96"/>
      <c r="AL310" s="96"/>
      <c r="AM310" s="96"/>
      <c r="AN310" s="96"/>
      <c r="AO310" s="96"/>
      <c r="AP310" s="96"/>
      <c r="AQ310" s="96"/>
      <c r="AR310" s="96"/>
    </row>
    <row r="311" spans="1:44" s="270" customFormat="1" ht="12" customHeight="1">
      <c r="A311" s="96"/>
      <c r="P311" s="146"/>
      <c r="X311" s="96"/>
      <c r="Y311" s="96"/>
      <c r="Z311" s="2498"/>
      <c r="AA311" s="96"/>
      <c r="AB311" s="96"/>
      <c r="AC311" s="96"/>
      <c r="AD311" s="96"/>
      <c r="AE311" s="96"/>
      <c r="AF311" s="96"/>
      <c r="AG311" s="96"/>
      <c r="AH311" s="96"/>
      <c r="AI311" s="96"/>
      <c r="AJ311" s="96"/>
      <c r="AK311" s="96"/>
      <c r="AL311" s="96"/>
      <c r="AM311" s="96"/>
      <c r="AN311" s="96"/>
      <c r="AO311" s="96"/>
      <c r="AP311" s="96"/>
      <c r="AQ311" s="96"/>
      <c r="AR311" s="96"/>
    </row>
    <row r="312" spans="1:44" s="270" customFormat="1" ht="12" customHeight="1">
      <c r="A312" s="96"/>
      <c r="P312" s="146"/>
      <c r="X312" s="96"/>
      <c r="Y312" s="96"/>
      <c r="Z312" s="2498"/>
      <c r="AA312" s="96"/>
      <c r="AB312" s="96"/>
      <c r="AC312" s="96"/>
      <c r="AD312" s="96"/>
      <c r="AE312" s="96"/>
      <c r="AF312" s="96"/>
      <c r="AG312" s="96"/>
      <c r="AH312" s="96"/>
      <c r="AI312" s="96"/>
      <c r="AJ312" s="96"/>
      <c r="AK312" s="96"/>
      <c r="AL312" s="96"/>
      <c r="AM312" s="96"/>
      <c r="AN312" s="96"/>
      <c r="AO312" s="96"/>
      <c r="AP312" s="96"/>
      <c r="AQ312" s="96"/>
      <c r="AR312" s="96"/>
    </row>
    <row r="313" spans="1:44" s="270" customFormat="1" ht="12" customHeight="1">
      <c r="A313" s="96"/>
      <c r="P313" s="146"/>
      <c r="X313" s="96"/>
      <c r="Y313" s="96"/>
      <c r="Z313" s="2498"/>
      <c r="AA313" s="96"/>
      <c r="AB313" s="96"/>
      <c r="AC313" s="96"/>
      <c r="AD313" s="96"/>
      <c r="AE313" s="96"/>
      <c r="AF313" s="96"/>
      <c r="AG313" s="96"/>
      <c r="AH313" s="96"/>
      <c r="AI313" s="96"/>
      <c r="AJ313" s="96"/>
      <c r="AK313" s="96"/>
      <c r="AL313" s="96"/>
      <c r="AM313" s="96"/>
      <c r="AN313" s="96"/>
      <c r="AO313" s="96"/>
      <c r="AP313" s="96"/>
      <c r="AQ313" s="96"/>
      <c r="AR313" s="96"/>
    </row>
    <row r="314" spans="1:44" s="270" customFormat="1" ht="12" customHeight="1">
      <c r="A314" s="96"/>
      <c r="P314" s="146"/>
      <c r="X314" s="96"/>
      <c r="Y314" s="96"/>
      <c r="Z314" s="2498"/>
      <c r="AA314" s="96"/>
      <c r="AB314" s="96"/>
      <c r="AC314" s="96"/>
      <c r="AD314" s="96"/>
      <c r="AE314" s="96"/>
      <c r="AF314" s="96"/>
      <c r="AG314" s="96"/>
      <c r="AH314" s="96"/>
      <c r="AI314" s="96"/>
      <c r="AJ314" s="96"/>
      <c r="AK314" s="96"/>
      <c r="AL314" s="96"/>
      <c r="AM314" s="96"/>
      <c r="AN314" s="96"/>
      <c r="AO314" s="96"/>
      <c r="AP314" s="96"/>
      <c r="AQ314" s="96"/>
      <c r="AR314" s="96"/>
    </row>
    <row r="315" spans="1:44" s="270" customFormat="1" ht="12" customHeight="1">
      <c r="A315" s="96"/>
      <c r="P315" s="146"/>
      <c r="X315" s="96"/>
      <c r="Y315" s="96"/>
      <c r="Z315" s="2498"/>
      <c r="AA315" s="96"/>
      <c r="AB315" s="96"/>
      <c r="AC315" s="96"/>
      <c r="AD315" s="96"/>
      <c r="AE315" s="96"/>
      <c r="AF315" s="96"/>
      <c r="AG315" s="96"/>
      <c r="AH315" s="96"/>
      <c r="AI315" s="96"/>
      <c r="AJ315" s="96"/>
      <c r="AK315" s="96"/>
      <c r="AL315" s="96"/>
      <c r="AM315" s="96"/>
      <c r="AN315" s="96"/>
      <c r="AO315" s="96"/>
      <c r="AP315" s="96"/>
      <c r="AQ315" s="96"/>
      <c r="AR315" s="96"/>
    </row>
    <row r="316" spans="1:44" s="270" customFormat="1" ht="12" customHeight="1">
      <c r="A316" s="96"/>
      <c r="P316" s="146"/>
      <c r="X316" s="96"/>
      <c r="Y316" s="96"/>
      <c r="Z316" s="2498"/>
      <c r="AA316" s="96"/>
      <c r="AB316" s="96"/>
      <c r="AC316" s="96"/>
      <c r="AD316" s="96"/>
      <c r="AE316" s="96"/>
      <c r="AF316" s="96"/>
      <c r="AG316" s="96"/>
      <c r="AH316" s="96"/>
      <c r="AI316" s="96"/>
      <c r="AJ316" s="96"/>
      <c r="AK316" s="96"/>
      <c r="AL316" s="96"/>
      <c r="AM316" s="96"/>
      <c r="AN316" s="96"/>
      <c r="AO316" s="96"/>
      <c r="AP316" s="96"/>
      <c r="AQ316" s="96"/>
      <c r="AR316" s="96"/>
    </row>
    <row r="317" spans="1:44" s="270" customFormat="1" ht="12" customHeight="1">
      <c r="A317" s="96"/>
      <c r="P317" s="146"/>
      <c r="X317" s="96"/>
      <c r="Y317" s="96"/>
      <c r="Z317" s="2498"/>
      <c r="AA317" s="96"/>
      <c r="AB317" s="96"/>
      <c r="AC317" s="96"/>
      <c r="AD317" s="96"/>
      <c r="AE317" s="96"/>
      <c r="AF317" s="96"/>
      <c r="AG317" s="96"/>
      <c r="AH317" s="96"/>
      <c r="AI317" s="96"/>
      <c r="AJ317" s="96"/>
      <c r="AK317" s="96"/>
      <c r="AL317" s="96"/>
      <c r="AM317" s="96"/>
      <c r="AN317" s="96"/>
      <c r="AO317" s="96"/>
      <c r="AP317" s="96"/>
      <c r="AQ317" s="96"/>
      <c r="AR317" s="96"/>
    </row>
    <row r="318" spans="1:44" s="270" customFormat="1" ht="12" customHeight="1">
      <c r="A318" s="96"/>
      <c r="P318" s="146"/>
      <c r="X318" s="96"/>
      <c r="Y318" s="96"/>
      <c r="Z318" s="2498"/>
      <c r="AA318" s="96"/>
      <c r="AB318" s="96"/>
      <c r="AC318" s="96"/>
      <c r="AD318" s="96"/>
      <c r="AE318" s="96"/>
      <c r="AF318" s="96"/>
      <c r="AG318" s="96"/>
      <c r="AH318" s="96"/>
      <c r="AI318" s="96"/>
      <c r="AJ318" s="96"/>
      <c r="AK318" s="96"/>
      <c r="AL318" s="96"/>
      <c r="AM318" s="96"/>
      <c r="AN318" s="96"/>
      <c r="AO318" s="96"/>
      <c r="AP318" s="96"/>
      <c r="AQ318" s="96"/>
      <c r="AR318" s="96"/>
    </row>
    <row r="319" spans="1:44" s="270" customFormat="1" ht="12" customHeight="1">
      <c r="A319" s="96"/>
      <c r="P319" s="146"/>
      <c r="X319" s="96"/>
      <c r="Y319" s="96"/>
      <c r="Z319" s="2498"/>
      <c r="AA319" s="96"/>
      <c r="AB319" s="96"/>
      <c r="AC319" s="96"/>
      <c r="AD319" s="96"/>
      <c r="AE319" s="96"/>
      <c r="AF319" s="96"/>
      <c r="AG319" s="96"/>
      <c r="AH319" s="96"/>
      <c r="AI319" s="96"/>
      <c r="AJ319" s="96"/>
      <c r="AK319" s="96"/>
      <c r="AL319" s="96"/>
      <c r="AM319" s="96"/>
      <c r="AN319" s="96"/>
      <c r="AO319" s="96"/>
      <c r="AP319" s="96"/>
      <c r="AQ319" s="96"/>
      <c r="AR319" s="96"/>
    </row>
    <row r="320" spans="1:44" s="270" customFormat="1" ht="12" customHeight="1">
      <c r="A320" s="96"/>
      <c r="P320" s="146"/>
      <c r="X320" s="96"/>
      <c r="Y320" s="96"/>
      <c r="Z320" s="2498"/>
      <c r="AA320" s="96"/>
      <c r="AB320" s="96"/>
      <c r="AC320" s="96"/>
      <c r="AD320" s="96"/>
      <c r="AE320" s="96"/>
      <c r="AF320" s="96"/>
      <c r="AG320" s="96"/>
      <c r="AH320" s="96"/>
      <c r="AI320" s="96"/>
      <c r="AJ320" s="96"/>
      <c r="AK320" s="96"/>
      <c r="AL320" s="96"/>
      <c r="AM320" s="96"/>
      <c r="AN320" s="96"/>
      <c r="AO320" s="96"/>
      <c r="AP320" s="96"/>
      <c r="AQ320" s="96"/>
      <c r="AR320" s="96"/>
    </row>
    <row r="321" spans="1:44" s="270" customFormat="1" ht="12" customHeight="1">
      <c r="A321" s="96"/>
      <c r="P321" s="146"/>
      <c r="X321" s="96"/>
      <c r="Y321" s="96"/>
      <c r="Z321" s="2498"/>
      <c r="AA321" s="96"/>
      <c r="AB321" s="96"/>
      <c r="AC321" s="96"/>
      <c r="AD321" s="96"/>
      <c r="AE321" s="96"/>
      <c r="AF321" s="96"/>
      <c r="AG321" s="96"/>
      <c r="AH321" s="96"/>
      <c r="AI321" s="96"/>
      <c r="AJ321" s="96"/>
      <c r="AK321" s="96"/>
      <c r="AL321" s="96"/>
      <c r="AM321" s="96"/>
      <c r="AN321" s="96"/>
      <c r="AO321" s="96"/>
      <c r="AP321" s="96"/>
      <c r="AQ321" s="96"/>
      <c r="AR321" s="96"/>
    </row>
    <row r="322" spans="1:44" s="270" customFormat="1" ht="12" customHeight="1">
      <c r="A322" s="96"/>
      <c r="P322" s="146"/>
      <c r="X322" s="96"/>
      <c r="Y322" s="96"/>
      <c r="Z322" s="2498"/>
      <c r="AA322" s="96"/>
      <c r="AB322" s="96"/>
      <c r="AC322" s="96"/>
      <c r="AD322" s="96"/>
      <c r="AE322" s="96"/>
      <c r="AF322" s="96"/>
      <c r="AG322" s="96"/>
      <c r="AH322" s="96"/>
      <c r="AI322" s="96"/>
      <c r="AJ322" s="96"/>
      <c r="AK322" s="96"/>
      <c r="AL322" s="96"/>
      <c r="AM322" s="96"/>
      <c r="AN322" s="96"/>
      <c r="AO322" s="96"/>
      <c r="AP322" s="96"/>
      <c r="AQ322" s="96"/>
      <c r="AR322" s="96"/>
    </row>
    <row r="323" spans="1:44" s="270" customFormat="1" ht="12" customHeight="1">
      <c r="A323" s="96"/>
      <c r="P323" s="146"/>
      <c r="X323" s="96"/>
      <c r="Y323" s="96"/>
      <c r="Z323" s="2498"/>
      <c r="AA323" s="96"/>
      <c r="AB323" s="96"/>
      <c r="AC323" s="96"/>
      <c r="AD323" s="96"/>
      <c r="AE323" s="96"/>
      <c r="AF323" s="96"/>
      <c r="AG323" s="96"/>
      <c r="AH323" s="96"/>
      <c r="AI323" s="96"/>
      <c r="AJ323" s="96"/>
      <c r="AK323" s="96"/>
      <c r="AL323" s="96"/>
      <c r="AM323" s="96"/>
      <c r="AN323" s="96"/>
      <c r="AO323" s="96"/>
      <c r="AP323" s="96"/>
      <c r="AQ323" s="96"/>
      <c r="AR323" s="96"/>
    </row>
    <row r="324" spans="1:44" s="270" customFormat="1" ht="12" customHeight="1">
      <c r="A324" s="96"/>
      <c r="P324" s="294"/>
      <c r="X324" s="96"/>
      <c r="Y324" s="96"/>
      <c r="Z324" s="2498"/>
      <c r="AA324" s="96"/>
      <c r="AB324" s="96"/>
      <c r="AC324" s="96"/>
      <c r="AD324" s="96"/>
      <c r="AE324" s="96"/>
      <c r="AF324" s="96"/>
      <c r="AG324" s="96"/>
      <c r="AH324" s="96"/>
      <c r="AI324" s="96"/>
      <c r="AJ324" s="96"/>
      <c r="AK324" s="96"/>
      <c r="AL324" s="96"/>
      <c r="AM324" s="96"/>
      <c r="AN324" s="96"/>
      <c r="AO324" s="96"/>
      <c r="AP324" s="96"/>
      <c r="AQ324" s="96"/>
      <c r="AR324" s="96"/>
    </row>
    <row r="325" spans="1:44" s="270" customFormat="1" ht="12" customHeight="1">
      <c r="A325" s="96"/>
      <c r="P325" s="146"/>
      <c r="X325" s="96"/>
      <c r="Y325" s="96"/>
      <c r="Z325" s="2498"/>
      <c r="AA325" s="96"/>
      <c r="AB325" s="96"/>
      <c r="AC325" s="96"/>
      <c r="AD325" s="96"/>
      <c r="AE325" s="96"/>
      <c r="AF325" s="96"/>
      <c r="AG325" s="96"/>
      <c r="AH325" s="96"/>
      <c r="AI325" s="96"/>
      <c r="AJ325" s="96"/>
      <c r="AK325" s="96"/>
      <c r="AL325" s="96"/>
      <c r="AM325" s="96"/>
      <c r="AN325" s="96"/>
      <c r="AO325" s="96"/>
      <c r="AP325" s="96"/>
      <c r="AQ325" s="96"/>
      <c r="AR325" s="96"/>
    </row>
    <row r="326" spans="1:44" s="270" customFormat="1" ht="12" customHeight="1">
      <c r="A326" s="96"/>
      <c r="P326" s="294"/>
      <c r="X326" s="96"/>
      <c r="Y326" s="96"/>
      <c r="Z326" s="2498"/>
      <c r="AA326" s="96"/>
      <c r="AB326" s="96"/>
      <c r="AC326" s="96"/>
      <c r="AD326" s="96"/>
      <c r="AE326" s="96"/>
      <c r="AF326" s="96"/>
      <c r="AG326" s="96"/>
      <c r="AH326" s="96"/>
      <c r="AI326" s="96"/>
      <c r="AJ326" s="96"/>
      <c r="AK326" s="96"/>
      <c r="AL326" s="96"/>
      <c r="AM326" s="96"/>
      <c r="AN326" s="96"/>
      <c r="AO326" s="96"/>
      <c r="AP326" s="96"/>
      <c r="AQ326" s="96"/>
      <c r="AR326" s="96"/>
    </row>
    <row r="327" spans="1:44" s="270" customFormat="1" ht="12" customHeight="1">
      <c r="A327" s="96"/>
      <c r="P327" s="146"/>
      <c r="X327" s="96"/>
      <c r="Y327" s="96"/>
      <c r="Z327" s="2498"/>
      <c r="AA327" s="96"/>
      <c r="AB327" s="96"/>
      <c r="AC327" s="96"/>
      <c r="AD327" s="96"/>
      <c r="AE327" s="96"/>
      <c r="AF327" s="96"/>
      <c r="AG327" s="96"/>
      <c r="AH327" s="96"/>
      <c r="AI327" s="96"/>
      <c r="AJ327" s="96"/>
      <c r="AK327" s="96"/>
      <c r="AL327" s="96"/>
      <c r="AM327" s="96"/>
      <c r="AN327" s="96"/>
      <c r="AO327" s="96"/>
      <c r="AP327" s="96"/>
      <c r="AQ327" s="96"/>
      <c r="AR327" s="96"/>
    </row>
    <row r="328" spans="1:44" s="270" customFormat="1" ht="12" customHeight="1">
      <c r="A328" s="96"/>
      <c r="P328" s="294"/>
      <c r="X328" s="96"/>
      <c r="Y328" s="96"/>
      <c r="Z328" s="2498"/>
      <c r="AA328" s="96"/>
      <c r="AB328" s="96"/>
      <c r="AC328" s="96"/>
      <c r="AD328" s="96"/>
      <c r="AE328" s="96"/>
      <c r="AF328" s="96"/>
      <c r="AG328" s="96"/>
      <c r="AH328" s="96"/>
      <c r="AI328" s="96"/>
      <c r="AJ328" s="96"/>
      <c r="AK328" s="96"/>
      <c r="AL328" s="96"/>
      <c r="AM328" s="96"/>
      <c r="AN328" s="96"/>
      <c r="AO328" s="96"/>
      <c r="AP328" s="96"/>
      <c r="AQ328" s="96"/>
      <c r="AR328" s="96"/>
    </row>
    <row r="329" spans="1:44" s="270" customFormat="1" ht="12" customHeight="1">
      <c r="A329" s="96"/>
      <c r="P329" s="146"/>
      <c r="X329" s="96"/>
      <c r="Y329" s="96"/>
      <c r="Z329" s="2498"/>
      <c r="AA329" s="96"/>
      <c r="AB329" s="96"/>
      <c r="AC329" s="96"/>
      <c r="AD329" s="96"/>
      <c r="AE329" s="96"/>
      <c r="AF329" s="96"/>
      <c r="AG329" s="96"/>
      <c r="AH329" s="96"/>
      <c r="AI329" s="96"/>
      <c r="AJ329" s="96"/>
      <c r="AK329" s="96"/>
      <c r="AL329" s="96"/>
      <c r="AM329" s="96"/>
      <c r="AN329" s="96"/>
      <c r="AO329" s="96"/>
      <c r="AP329" s="96"/>
      <c r="AQ329" s="96"/>
      <c r="AR329" s="96"/>
    </row>
    <row r="330" spans="1:44" s="270" customFormat="1" ht="12" customHeight="1">
      <c r="A330" s="96"/>
      <c r="P330" s="146"/>
      <c r="X330" s="96"/>
      <c r="Y330" s="96"/>
      <c r="Z330" s="2498"/>
      <c r="AA330" s="96"/>
      <c r="AB330" s="96"/>
      <c r="AC330" s="96"/>
      <c r="AD330" s="96"/>
      <c r="AE330" s="96"/>
      <c r="AF330" s="96"/>
      <c r="AG330" s="96"/>
      <c r="AH330" s="96"/>
      <c r="AI330" s="96"/>
      <c r="AJ330" s="96"/>
      <c r="AK330" s="96"/>
      <c r="AL330" s="96"/>
      <c r="AM330" s="96"/>
      <c r="AN330" s="96"/>
      <c r="AO330" s="96"/>
      <c r="AP330" s="96"/>
      <c r="AQ330" s="96"/>
      <c r="AR330" s="96"/>
    </row>
    <row r="331" spans="1:44" s="270" customFormat="1" ht="12" customHeight="1">
      <c r="A331" s="96"/>
      <c r="P331" s="146"/>
      <c r="X331" s="96"/>
      <c r="Y331" s="96"/>
      <c r="Z331" s="2498"/>
      <c r="AA331" s="96"/>
      <c r="AB331" s="96"/>
      <c r="AC331" s="96"/>
      <c r="AD331" s="96"/>
      <c r="AE331" s="96"/>
      <c r="AF331" s="96"/>
      <c r="AG331" s="96"/>
      <c r="AH331" s="96"/>
      <c r="AI331" s="96"/>
      <c r="AJ331" s="96"/>
      <c r="AK331" s="96"/>
      <c r="AL331" s="96"/>
      <c r="AM331" s="96"/>
      <c r="AN331" s="96"/>
      <c r="AO331" s="96"/>
      <c r="AP331" s="96"/>
      <c r="AQ331" s="96"/>
      <c r="AR331" s="96"/>
    </row>
    <row r="332" spans="1:44" s="270" customFormat="1" ht="12" customHeight="1">
      <c r="A332" s="96"/>
      <c r="P332" s="146"/>
      <c r="X332" s="96"/>
      <c r="Y332" s="96"/>
      <c r="Z332" s="2498"/>
      <c r="AA332" s="96"/>
      <c r="AB332" s="96"/>
      <c r="AC332" s="96"/>
      <c r="AD332" s="96"/>
      <c r="AE332" s="96"/>
      <c r="AF332" s="96"/>
      <c r="AG332" s="96"/>
      <c r="AH332" s="96"/>
      <c r="AI332" s="96"/>
      <c r="AJ332" s="96"/>
      <c r="AK332" s="96"/>
      <c r="AL332" s="96"/>
      <c r="AM332" s="96"/>
      <c r="AN332" s="96"/>
      <c r="AO332" s="96"/>
      <c r="AP332" s="96"/>
      <c r="AQ332" s="96"/>
      <c r="AR332" s="96"/>
    </row>
    <row r="333" spans="1:44" s="270" customFormat="1" ht="12" customHeight="1">
      <c r="A333" s="96"/>
      <c r="P333" s="146"/>
      <c r="X333" s="96"/>
      <c r="Y333" s="96"/>
      <c r="Z333" s="2498"/>
      <c r="AA333" s="96"/>
      <c r="AB333" s="96"/>
      <c r="AC333" s="96"/>
      <c r="AD333" s="96"/>
      <c r="AE333" s="96"/>
      <c r="AF333" s="96"/>
      <c r="AG333" s="96"/>
      <c r="AH333" s="96"/>
      <c r="AI333" s="96"/>
      <c r="AJ333" s="96"/>
      <c r="AK333" s="96"/>
      <c r="AL333" s="96"/>
      <c r="AM333" s="96"/>
      <c r="AN333" s="96"/>
      <c r="AO333" s="96"/>
      <c r="AP333" s="96"/>
      <c r="AQ333" s="96"/>
      <c r="AR333" s="96"/>
    </row>
    <row r="334" spans="1:44" s="270" customFormat="1" ht="12" customHeight="1">
      <c r="A334" s="96"/>
      <c r="P334" s="146"/>
      <c r="X334" s="96"/>
      <c r="Y334" s="96"/>
      <c r="Z334" s="2498"/>
      <c r="AA334" s="96"/>
      <c r="AB334" s="96"/>
      <c r="AC334" s="96"/>
      <c r="AD334" s="96"/>
      <c r="AE334" s="96"/>
      <c r="AF334" s="96"/>
      <c r="AG334" s="96"/>
      <c r="AH334" s="96"/>
      <c r="AI334" s="96"/>
      <c r="AJ334" s="96"/>
      <c r="AK334" s="96"/>
      <c r="AL334" s="96"/>
      <c r="AM334" s="96"/>
      <c r="AN334" s="96"/>
      <c r="AO334" s="96"/>
      <c r="AP334" s="96"/>
      <c r="AQ334" s="96"/>
      <c r="AR334" s="96"/>
    </row>
    <row r="335" spans="1:44" s="270" customFormat="1" ht="12" customHeight="1">
      <c r="A335" s="96"/>
      <c r="P335" s="146"/>
      <c r="X335" s="96"/>
      <c r="Y335" s="96"/>
      <c r="Z335" s="2498"/>
      <c r="AA335" s="96"/>
      <c r="AB335" s="96"/>
      <c r="AC335" s="96"/>
      <c r="AD335" s="96"/>
      <c r="AE335" s="96"/>
      <c r="AF335" s="96"/>
      <c r="AG335" s="96"/>
      <c r="AH335" s="96"/>
      <c r="AI335" s="96"/>
      <c r="AJ335" s="96"/>
      <c r="AK335" s="96"/>
      <c r="AL335" s="96"/>
      <c r="AM335" s="96"/>
      <c r="AN335" s="96"/>
      <c r="AO335" s="96"/>
      <c r="AP335" s="96"/>
      <c r="AQ335" s="96"/>
      <c r="AR335" s="96"/>
    </row>
    <row r="336" spans="1:44" s="270" customFormat="1" ht="12" customHeight="1">
      <c r="A336" s="96"/>
      <c r="P336" s="146"/>
      <c r="X336" s="96"/>
      <c r="Y336" s="96"/>
      <c r="Z336" s="2498"/>
      <c r="AA336" s="96"/>
      <c r="AB336" s="96"/>
      <c r="AC336" s="96"/>
      <c r="AD336" s="96"/>
      <c r="AE336" s="96"/>
      <c r="AF336" s="96"/>
      <c r="AG336" s="96"/>
      <c r="AH336" s="96"/>
      <c r="AI336" s="96"/>
      <c r="AJ336" s="96"/>
      <c r="AK336" s="96"/>
      <c r="AL336" s="96"/>
      <c r="AM336" s="96"/>
      <c r="AN336" s="96"/>
      <c r="AO336" s="96"/>
      <c r="AP336" s="96"/>
      <c r="AQ336" s="96"/>
      <c r="AR336" s="96"/>
    </row>
    <row r="337" spans="1:44" s="270" customFormat="1" ht="12" customHeight="1">
      <c r="A337" s="96"/>
      <c r="P337" s="146"/>
      <c r="X337" s="96"/>
      <c r="Y337" s="96"/>
      <c r="Z337" s="2498"/>
      <c r="AA337" s="96"/>
      <c r="AB337" s="96"/>
      <c r="AC337" s="96"/>
      <c r="AD337" s="96"/>
      <c r="AE337" s="96"/>
      <c r="AF337" s="96"/>
      <c r="AG337" s="96"/>
      <c r="AH337" s="96"/>
      <c r="AI337" s="96"/>
      <c r="AJ337" s="96"/>
      <c r="AK337" s="96"/>
      <c r="AL337" s="96"/>
      <c r="AM337" s="96"/>
      <c r="AN337" s="96"/>
      <c r="AO337" s="96"/>
      <c r="AP337" s="96"/>
      <c r="AQ337" s="96"/>
      <c r="AR337" s="96"/>
    </row>
    <row r="338" spans="1:44" s="270" customFormat="1" ht="12" customHeight="1">
      <c r="A338" s="96"/>
      <c r="P338" s="146"/>
      <c r="X338" s="96"/>
      <c r="Y338" s="96"/>
      <c r="Z338" s="2498"/>
      <c r="AA338" s="96"/>
      <c r="AB338" s="96"/>
      <c r="AC338" s="96"/>
      <c r="AD338" s="96"/>
      <c r="AE338" s="96"/>
      <c r="AF338" s="96"/>
      <c r="AG338" s="96"/>
      <c r="AH338" s="96"/>
      <c r="AI338" s="96"/>
      <c r="AJ338" s="96"/>
      <c r="AK338" s="96"/>
      <c r="AL338" s="96"/>
      <c r="AM338" s="96"/>
      <c r="AN338" s="96"/>
      <c r="AO338" s="96"/>
      <c r="AP338" s="96"/>
      <c r="AQ338" s="96"/>
      <c r="AR338" s="96"/>
    </row>
    <row r="339" spans="1:44" s="270" customFormat="1" ht="12" customHeight="1">
      <c r="A339" s="96"/>
      <c r="P339" s="146"/>
      <c r="X339" s="96"/>
      <c r="Y339" s="96"/>
      <c r="Z339" s="2498"/>
      <c r="AA339" s="96"/>
      <c r="AB339" s="96"/>
      <c r="AC339" s="96"/>
      <c r="AD339" s="96"/>
      <c r="AE339" s="96"/>
      <c r="AF339" s="96"/>
      <c r="AG339" s="96"/>
      <c r="AH339" s="96"/>
      <c r="AI339" s="96"/>
      <c r="AJ339" s="96"/>
      <c r="AK339" s="96"/>
      <c r="AL339" s="96"/>
      <c r="AM339" s="96"/>
      <c r="AN339" s="96"/>
      <c r="AO339" s="96"/>
      <c r="AP339" s="96"/>
      <c r="AQ339" s="96"/>
      <c r="AR339" s="96"/>
    </row>
    <row r="340" spans="1:44" s="270" customFormat="1" ht="12" customHeight="1">
      <c r="A340" s="96"/>
      <c r="P340" s="146"/>
      <c r="X340" s="96"/>
      <c r="Y340" s="96"/>
      <c r="Z340" s="2498"/>
      <c r="AA340" s="96"/>
      <c r="AB340" s="96"/>
      <c r="AC340" s="96"/>
      <c r="AD340" s="96"/>
      <c r="AE340" s="96"/>
      <c r="AF340" s="96"/>
      <c r="AG340" s="96"/>
      <c r="AH340" s="96"/>
      <c r="AI340" s="96"/>
      <c r="AJ340" s="96"/>
      <c r="AK340" s="96"/>
      <c r="AL340" s="96"/>
      <c r="AM340" s="96"/>
      <c r="AN340" s="96"/>
      <c r="AO340" s="96"/>
      <c r="AP340" s="96"/>
      <c r="AQ340" s="96"/>
      <c r="AR340" s="96"/>
    </row>
    <row r="341" spans="1:44" s="270" customFormat="1" ht="12" customHeight="1">
      <c r="A341" s="96"/>
      <c r="P341" s="146"/>
      <c r="X341" s="96"/>
      <c r="Y341" s="96"/>
      <c r="Z341" s="2498"/>
      <c r="AA341" s="96"/>
      <c r="AB341" s="96"/>
      <c r="AC341" s="96"/>
      <c r="AD341" s="96"/>
      <c r="AE341" s="96"/>
      <c r="AF341" s="96"/>
      <c r="AG341" s="96"/>
      <c r="AH341" s="96"/>
      <c r="AI341" s="96"/>
      <c r="AJ341" s="96"/>
      <c r="AK341" s="96"/>
      <c r="AL341" s="96"/>
      <c r="AM341" s="96"/>
      <c r="AN341" s="96"/>
      <c r="AO341" s="96"/>
      <c r="AP341" s="96"/>
      <c r="AQ341" s="96"/>
      <c r="AR341" s="96"/>
    </row>
    <row r="342" spans="1:44" s="270" customFormat="1" ht="12" customHeight="1">
      <c r="A342" s="96"/>
      <c r="P342" s="146"/>
      <c r="X342" s="96"/>
      <c r="Y342" s="96"/>
      <c r="Z342" s="2498"/>
      <c r="AA342" s="96"/>
      <c r="AB342" s="96"/>
      <c r="AC342" s="96"/>
      <c r="AD342" s="96"/>
      <c r="AE342" s="96"/>
      <c r="AF342" s="96"/>
      <c r="AG342" s="96"/>
      <c r="AH342" s="96"/>
      <c r="AI342" s="96"/>
      <c r="AJ342" s="96"/>
      <c r="AK342" s="96"/>
      <c r="AL342" s="96"/>
      <c r="AM342" s="96"/>
      <c r="AN342" s="96"/>
      <c r="AO342" s="96"/>
      <c r="AP342" s="96"/>
      <c r="AQ342" s="96"/>
      <c r="AR342" s="96"/>
    </row>
    <row r="343" spans="1:44" s="270" customFormat="1" ht="12" customHeight="1">
      <c r="A343" s="96"/>
      <c r="P343" s="146"/>
      <c r="X343" s="96"/>
      <c r="Y343" s="96"/>
      <c r="Z343" s="2498"/>
      <c r="AA343" s="96"/>
      <c r="AB343" s="96"/>
      <c r="AC343" s="96"/>
      <c r="AD343" s="96"/>
      <c r="AE343" s="96"/>
      <c r="AF343" s="96"/>
      <c r="AG343" s="96"/>
      <c r="AH343" s="96"/>
      <c r="AI343" s="96"/>
      <c r="AJ343" s="96"/>
      <c r="AK343" s="96"/>
      <c r="AL343" s="96"/>
      <c r="AM343" s="96"/>
      <c r="AN343" s="96"/>
      <c r="AO343" s="96"/>
      <c r="AP343" s="96"/>
      <c r="AQ343" s="96"/>
      <c r="AR343" s="96"/>
    </row>
    <row r="344" spans="1:44" s="270" customFormat="1" ht="12" customHeight="1">
      <c r="A344" s="96"/>
      <c r="P344" s="294"/>
      <c r="X344" s="96"/>
      <c r="Y344" s="96"/>
      <c r="Z344" s="2498"/>
      <c r="AA344" s="96"/>
      <c r="AB344" s="96"/>
      <c r="AC344" s="96"/>
      <c r="AD344" s="96"/>
      <c r="AE344" s="96"/>
      <c r="AF344" s="96"/>
      <c r="AG344" s="96"/>
      <c r="AH344" s="96"/>
      <c r="AI344" s="96"/>
      <c r="AJ344" s="96"/>
      <c r="AK344" s="96"/>
      <c r="AL344" s="96"/>
      <c r="AM344" s="96"/>
      <c r="AN344" s="96"/>
      <c r="AO344" s="96"/>
      <c r="AP344" s="96"/>
      <c r="AQ344" s="96"/>
      <c r="AR344" s="96"/>
    </row>
    <row r="345" spans="1:44" s="270" customFormat="1" ht="12" customHeight="1">
      <c r="A345" s="96"/>
      <c r="P345" s="146"/>
      <c r="X345" s="96"/>
      <c r="Y345" s="96"/>
      <c r="Z345" s="2498"/>
      <c r="AA345" s="96"/>
      <c r="AB345" s="96"/>
      <c r="AC345" s="96"/>
      <c r="AD345" s="96"/>
      <c r="AE345" s="96"/>
      <c r="AF345" s="96"/>
      <c r="AG345" s="96"/>
      <c r="AH345" s="96"/>
      <c r="AI345" s="96"/>
      <c r="AJ345" s="96"/>
      <c r="AK345" s="96"/>
      <c r="AL345" s="96"/>
      <c r="AM345" s="96"/>
      <c r="AN345" s="96"/>
      <c r="AO345" s="96"/>
      <c r="AP345" s="96"/>
      <c r="AQ345" s="96"/>
      <c r="AR345" s="96"/>
    </row>
    <row r="346" spans="1:44" s="270" customFormat="1" ht="12" customHeight="1">
      <c r="A346" s="96"/>
      <c r="P346" s="146"/>
      <c r="X346" s="96"/>
      <c r="Y346" s="96"/>
      <c r="Z346" s="2498"/>
      <c r="AA346" s="96"/>
      <c r="AB346" s="96"/>
      <c r="AC346" s="96"/>
      <c r="AD346" s="96"/>
      <c r="AE346" s="96"/>
      <c r="AF346" s="96"/>
      <c r="AG346" s="96"/>
      <c r="AH346" s="96"/>
      <c r="AI346" s="96"/>
      <c r="AJ346" s="96"/>
      <c r="AK346" s="96"/>
      <c r="AL346" s="96"/>
      <c r="AM346" s="96"/>
      <c r="AN346" s="96"/>
      <c r="AO346" s="96"/>
      <c r="AP346" s="96"/>
      <c r="AQ346" s="96"/>
      <c r="AR346" s="96"/>
    </row>
    <row r="347" spans="1:44" s="270" customFormat="1" ht="12" customHeight="1">
      <c r="A347" s="96"/>
      <c r="P347" s="146"/>
      <c r="X347" s="96"/>
      <c r="Y347" s="96"/>
      <c r="Z347" s="2498"/>
      <c r="AA347" s="96"/>
      <c r="AB347" s="96"/>
      <c r="AC347" s="96"/>
      <c r="AD347" s="96"/>
      <c r="AE347" s="96"/>
      <c r="AF347" s="96"/>
      <c r="AG347" s="96"/>
      <c r="AH347" s="96"/>
      <c r="AI347" s="96"/>
      <c r="AJ347" s="96"/>
      <c r="AK347" s="96"/>
      <c r="AL347" s="96"/>
      <c r="AM347" s="96"/>
      <c r="AN347" s="96"/>
      <c r="AO347" s="96"/>
      <c r="AP347" s="96"/>
      <c r="AQ347" s="96"/>
      <c r="AR347" s="96"/>
    </row>
    <row r="348" spans="1:44" s="270" customFormat="1" ht="12" customHeight="1">
      <c r="A348" s="96"/>
      <c r="P348" s="146"/>
      <c r="X348" s="96"/>
      <c r="Y348" s="96"/>
      <c r="Z348" s="2498"/>
      <c r="AA348" s="96"/>
      <c r="AB348" s="96"/>
      <c r="AC348" s="96"/>
      <c r="AD348" s="96"/>
      <c r="AE348" s="96"/>
      <c r="AF348" s="96"/>
      <c r="AG348" s="96"/>
      <c r="AH348" s="96"/>
      <c r="AI348" s="96"/>
      <c r="AJ348" s="96"/>
      <c r="AK348" s="96"/>
      <c r="AL348" s="96"/>
      <c r="AM348" s="96"/>
      <c r="AN348" s="96"/>
      <c r="AO348" s="96"/>
      <c r="AP348" s="96"/>
      <c r="AQ348" s="96"/>
      <c r="AR348" s="96"/>
    </row>
    <row r="349" spans="1:44" s="270" customFormat="1" ht="12" customHeight="1">
      <c r="A349" s="96"/>
      <c r="P349" s="146"/>
      <c r="X349" s="96"/>
      <c r="Y349" s="96"/>
      <c r="Z349" s="2498"/>
      <c r="AA349" s="96"/>
      <c r="AB349" s="96"/>
      <c r="AC349" s="96"/>
      <c r="AD349" s="96"/>
      <c r="AE349" s="96"/>
      <c r="AF349" s="96"/>
      <c r="AG349" s="96"/>
      <c r="AH349" s="96"/>
      <c r="AI349" s="96"/>
      <c r="AJ349" s="96"/>
      <c r="AK349" s="96"/>
      <c r="AL349" s="96"/>
      <c r="AM349" s="96"/>
      <c r="AN349" s="96"/>
      <c r="AO349" s="96"/>
      <c r="AP349" s="96"/>
      <c r="AQ349" s="96"/>
      <c r="AR349" s="96"/>
    </row>
    <row r="350" spans="1:44" s="270" customFormat="1" ht="12" customHeight="1">
      <c r="A350" s="96"/>
      <c r="P350" s="146"/>
      <c r="X350" s="96"/>
      <c r="Y350" s="96"/>
      <c r="Z350" s="2498"/>
      <c r="AA350" s="96"/>
      <c r="AB350" s="96"/>
      <c r="AC350" s="96"/>
      <c r="AD350" s="96"/>
      <c r="AE350" s="96"/>
      <c r="AF350" s="96"/>
      <c r="AG350" s="96"/>
      <c r="AH350" s="96"/>
      <c r="AI350" s="96"/>
      <c r="AJ350" s="96"/>
      <c r="AK350" s="96"/>
      <c r="AL350" s="96"/>
      <c r="AM350" s="96"/>
      <c r="AN350" s="96"/>
      <c r="AO350" s="96"/>
      <c r="AP350" s="96"/>
      <c r="AQ350" s="96"/>
      <c r="AR350" s="96"/>
    </row>
    <row r="351" spans="1:44" s="270" customFormat="1" ht="12" customHeight="1">
      <c r="A351" s="96"/>
      <c r="P351" s="146"/>
      <c r="X351" s="96"/>
      <c r="Y351" s="96"/>
      <c r="Z351" s="2498"/>
      <c r="AA351" s="96"/>
      <c r="AB351" s="96"/>
      <c r="AC351" s="96"/>
      <c r="AD351" s="96"/>
      <c r="AE351" s="96"/>
      <c r="AF351" s="96"/>
      <c r="AG351" s="96"/>
      <c r="AH351" s="96"/>
      <c r="AI351" s="96"/>
      <c r="AJ351" s="96"/>
      <c r="AK351" s="96"/>
      <c r="AL351" s="96"/>
      <c r="AM351" s="96"/>
      <c r="AN351" s="96"/>
      <c r="AO351" s="96"/>
      <c r="AP351" s="96"/>
      <c r="AQ351" s="96"/>
      <c r="AR351" s="96"/>
    </row>
    <row r="352" spans="1:44" s="270" customFormat="1" ht="12" customHeight="1">
      <c r="A352" s="96"/>
      <c r="P352" s="146"/>
      <c r="X352" s="96"/>
      <c r="Y352" s="96"/>
      <c r="Z352" s="2498"/>
      <c r="AA352" s="96"/>
      <c r="AB352" s="96"/>
      <c r="AC352" s="96"/>
      <c r="AD352" s="96"/>
      <c r="AE352" s="96"/>
      <c r="AF352" s="96"/>
      <c r="AG352" s="96"/>
      <c r="AH352" s="96"/>
      <c r="AI352" s="96"/>
      <c r="AJ352" s="96"/>
      <c r="AK352" s="96"/>
      <c r="AL352" s="96"/>
      <c r="AM352" s="96"/>
      <c r="AN352" s="96"/>
      <c r="AO352" s="96"/>
      <c r="AP352" s="96"/>
      <c r="AQ352" s="96"/>
      <c r="AR352" s="96"/>
    </row>
    <row r="353" spans="1:44" s="270" customFormat="1" ht="12" customHeight="1">
      <c r="A353" s="96"/>
      <c r="P353" s="294"/>
      <c r="X353" s="96"/>
      <c r="Y353" s="96"/>
      <c r="Z353" s="2498"/>
      <c r="AA353" s="96"/>
      <c r="AB353" s="96"/>
      <c r="AC353" s="96"/>
      <c r="AD353" s="96"/>
      <c r="AE353" s="96"/>
      <c r="AF353" s="96"/>
      <c r="AG353" s="96"/>
      <c r="AH353" s="96"/>
      <c r="AI353" s="96"/>
      <c r="AJ353" s="96"/>
      <c r="AK353" s="96"/>
      <c r="AL353" s="96"/>
      <c r="AM353" s="96"/>
      <c r="AN353" s="96"/>
      <c r="AO353" s="96"/>
      <c r="AP353" s="96"/>
      <c r="AQ353" s="96"/>
      <c r="AR353" s="96"/>
    </row>
    <row r="354" spans="1:44" s="270" customFormat="1" ht="12" customHeight="1">
      <c r="A354" s="96"/>
      <c r="P354" s="294"/>
      <c r="X354" s="96"/>
      <c r="Y354" s="96"/>
      <c r="Z354" s="2498"/>
      <c r="AA354" s="96"/>
      <c r="AB354" s="96"/>
      <c r="AC354" s="96"/>
      <c r="AD354" s="96"/>
      <c r="AE354" s="96"/>
      <c r="AF354" s="96"/>
      <c r="AG354" s="96"/>
      <c r="AH354" s="96"/>
      <c r="AI354" s="96"/>
      <c r="AJ354" s="96"/>
      <c r="AK354" s="96"/>
      <c r="AL354" s="96"/>
      <c r="AM354" s="96"/>
      <c r="AN354" s="96"/>
      <c r="AO354" s="96"/>
      <c r="AP354" s="96"/>
      <c r="AQ354" s="96"/>
      <c r="AR354" s="96"/>
    </row>
    <row r="355" spans="1:44" s="270" customFormat="1" ht="12" customHeight="1">
      <c r="A355" s="96"/>
      <c r="P355" s="146"/>
      <c r="X355" s="96"/>
      <c r="Y355" s="96"/>
      <c r="Z355" s="2498"/>
      <c r="AA355" s="96"/>
      <c r="AB355" s="96"/>
      <c r="AC355" s="96"/>
      <c r="AD355" s="96"/>
      <c r="AE355" s="96"/>
      <c r="AF355" s="96"/>
      <c r="AG355" s="96"/>
      <c r="AH355" s="96"/>
      <c r="AI355" s="96"/>
      <c r="AJ355" s="96"/>
      <c r="AK355" s="96"/>
      <c r="AL355" s="96"/>
      <c r="AM355" s="96"/>
      <c r="AN355" s="96"/>
      <c r="AO355" s="96"/>
      <c r="AP355" s="96"/>
      <c r="AQ355" s="96"/>
      <c r="AR355" s="96"/>
    </row>
    <row r="356" spans="1:44" s="270" customFormat="1" ht="12" customHeight="1">
      <c r="A356" s="96"/>
      <c r="P356" s="146"/>
      <c r="X356" s="96"/>
      <c r="Y356" s="96"/>
      <c r="Z356" s="2498"/>
      <c r="AA356" s="96"/>
      <c r="AB356" s="96"/>
      <c r="AC356" s="96"/>
      <c r="AD356" s="96"/>
      <c r="AE356" s="96"/>
      <c r="AF356" s="96"/>
      <c r="AG356" s="96"/>
      <c r="AH356" s="96"/>
      <c r="AI356" s="96"/>
      <c r="AJ356" s="96"/>
      <c r="AK356" s="96"/>
      <c r="AL356" s="96"/>
      <c r="AM356" s="96"/>
      <c r="AN356" s="96"/>
      <c r="AO356" s="96"/>
      <c r="AP356" s="96"/>
      <c r="AQ356" s="96"/>
      <c r="AR356" s="96"/>
    </row>
    <row r="357" spans="1:44" s="270" customFormat="1" ht="12" customHeight="1">
      <c r="A357" s="96"/>
      <c r="P357" s="146"/>
      <c r="X357" s="96"/>
      <c r="Y357" s="96"/>
      <c r="Z357" s="2498"/>
      <c r="AA357" s="96"/>
      <c r="AB357" s="96"/>
      <c r="AC357" s="96"/>
      <c r="AD357" s="96"/>
      <c r="AE357" s="96"/>
      <c r="AF357" s="96"/>
      <c r="AG357" s="96"/>
      <c r="AH357" s="96"/>
      <c r="AI357" s="96"/>
      <c r="AJ357" s="96"/>
      <c r="AK357" s="96"/>
      <c r="AL357" s="96"/>
      <c r="AM357" s="96"/>
      <c r="AN357" s="96"/>
      <c r="AO357" s="96"/>
      <c r="AP357" s="96"/>
      <c r="AQ357" s="96"/>
      <c r="AR357" s="96"/>
    </row>
    <row r="358" spans="1:44" s="270" customFormat="1" ht="12" customHeight="1">
      <c r="A358" s="96"/>
      <c r="P358" s="146"/>
      <c r="X358" s="96"/>
      <c r="Y358" s="96"/>
      <c r="Z358" s="2498"/>
      <c r="AA358" s="96"/>
      <c r="AB358" s="96"/>
      <c r="AC358" s="96"/>
      <c r="AD358" s="96"/>
      <c r="AE358" s="96"/>
      <c r="AF358" s="96"/>
      <c r="AG358" s="96"/>
      <c r="AH358" s="96"/>
      <c r="AI358" s="96"/>
      <c r="AJ358" s="96"/>
      <c r="AK358" s="96"/>
      <c r="AL358" s="96"/>
      <c r="AM358" s="96"/>
      <c r="AN358" s="96"/>
      <c r="AO358" s="96"/>
      <c r="AP358" s="96"/>
      <c r="AQ358" s="96"/>
      <c r="AR358" s="96"/>
    </row>
    <row r="359" spans="1:44" s="270" customFormat="1" ht="12" customHeight="1">
      <c r="A359" s="96"/>
      <c r="P359" s="146"/>
      <c r="X359" s="96"/>
      <c r="Y359" s="96"/>
      <c r="Z359" s="2498"/>
      <c r="AA359" s="96"/>
      <c r="AB359" s="96"/>
      <c r="AC359" s="96"/>
      <c r="AD359" s="96"/>
      <c r="AE359" s="96"/>
      <c r="AF359" s="96"/>
      <c r="AG359" s="96"/>
      <c r="AH359" s="96"/>
      <c r="AI359" s="96"/>
      <c r="AJ359" s="96"/>
      <c r="AK359" s="96"/>
      <c r="AL359" s="96"/>
      <c r="AM359" s="96"/>
      <c r="AN359" s="96"/>
      <c r="AO359" s="96"/>
      <c r="AP359" s="96"/>
      <c r="AQ359" s="96"/>
      <c r="AR359" s="96"/>
    </row>
    <row r="360" spans="1:44" s="270" customFormat="1" ht="12" customHeight="1">
      <c r="A360" s="96"/>
      <c r="P360" s="146"/>
      <c r="X360" s="96"/>
      <c r="Y360" s="96"/>
      <c r="Z360" s="2498"/>
      <c r="AA360" s="96"/>
      <c r="AB360" s="96"/>
      <c r="AC360" s="96"/>
      <c r="AD360" s="96"/>
      <c r="AE360" s="96"/>
      <c r="AF360" s="96"/>
      <c r="AG360" s="96"/>
      <c r="AH360" s="96"/>
      <c r="AI360" s="96"/>
      <c r="AJ360" s="96"/>
      <c r="AK360" s="96"/>
      <c r="AL360" s="96"/>
      <c r="AM360" s="96"/>
      <c r="AN360" s="96"/>
      <c r="AO360" s="96"/>
      <c r="AP360" s="96"/>
      <c r="AQ360" s="96"/>
      <c r="AR360" s="96"/>
    </row>
    <row r="361" spans="1:44" s="270" customFormat="1" ht="12" customHeight="1">
      <c r="A361" s="96"/>
      <c r="P361" s="146"/>
      <c r="X361" s="96"/>
      <c r="Y361" s="96"/>
      <c r="Z361" s="2498"/>
      <c r="AA361" s="96"/>
      <c r="AB361" s="96"/>
      <c r="AC361" s="96"/>
      <c r="AD361" s="96"/>
      <c r="AE361" s="96"/>
      <c r="AF361" s="96"/>
      <c r="AG361" s="96"/>
      <c r="AH361" s="96"/>
      <c r="AI361" s="96"/>
      <c r="AJ361" s="96"/>
      <c r="AK361" s="96"/>
      <c r="AL361" s="96"/>
      <c r="AM361" s="96"/>
      <c r="AN361" s="96"/>
      <c r="AO361" s="96"/>
      <c r="AP361" s="96"/>
      <c r="AQ361" s="96"/>
      <c r="AR361" s="96"/>
    </row>
    <row r="362" spans="1:44" s="270" customFormat="1" ht="12" customHeight="1">
      <c r="A362" s="96"/>
      <c r="P362" s="146"/>
      <c r="X362" s="96"/>
      <c r="Y362" s="96"/>
      <c r="Z362" s="2498"/>
      <c r="AA362" s="96"/>
      <c r="AB362" s="96"/>
      <c r="AC362" s="96"/>
      <c r="AD362" s="96"/>
      <c r="AE362" s="96"/>
      <c r="AF362" s="96"/>
      <c r="AG362" s="96"/>
      <c r="AH362" s="96"/>
      <c r="AI362" s="96"/>
      <c r="AJ362" s="96"/>
      <c r="AK362" s="96"/>
      <c r="AL362" s="96"/>
      <c r="AM362" s="96"/>
      <c r="AN362" s="96"/>
      <c r="AO362" s="96"/>
      <c r="AP362" s="96"/>
      <c r="AQ362" s="96"/>
      <c r="AR362" s="96"/>
    </row>
    <row r="363" spans="1:44" s="270" customFormat="1" ht="12" customHeight="1">
      <c r="A363" s="96"/>
      <c r="P363" s="146"/>
      <c r="X363" s="96"/>
      <c r="Y363" s="96"/>
      <c r="Z363" s="2498"/>
      <c r="AA363" s="96"/>
      <c r="AB363" s="96"/>
      <c r="AC363" s="96"/>
      <c r="AD363" s="96"/>
      <c r="AE363" s="96"/>
      <c r="AF363" s="96"/>
      <c r="AG363" s="96"/>
      <c r="AH363" s="96"/>
      <c r="AI363" s="96"/>
      <c r="AJ363" s="96"/>
      <c r="AK363" s="96"/>
      <c r="AL363" s="96"/>
      <c r="AM363" s="96"/>
      <c r="AN363" s="96"/>
      <c r="AO363" s="96"/>
      <c r="AP363" s="96"/>
      <c r="AQ363" s="96"/>
      <c r="AR363" s="96"/>
    </row>
    <row r="364" spans="1:44" s="270" customFormat="1" ht="12" customHeight="1">
      <c r="A364" s="96"/>
      <c r="P364" s="294"/>
      <c r="X364" s="96"/>
      <c r="Y364" s="96"/>
      <c r="Z364" s="2498"/>
      <c r="AA364" s="96"/>
      <c r="AB364" s="96"/>
      <c r="AC364" s="96"/>
      <c r="AD364" s="96"/>
      <c r="AE364" s="96"/>
      <c r="AF364" s="96"/>
      <c r="AG364" s="96"/>
      <c r="AH364" s="96"/>
      <c r="AI364" s="96"/>
      <c r="AJ364" s="96"/>
      <c r="AK364" s="96"/>
      <c r="AL364" s="96"/>
      <c r="AM364" s="96"/>
      <c r="AN364" s="96"/>
      <c r="AO364" s="96"/>
      <c r="AP364" s="96"/>
      <c r="AQ364" s="96"/>
      <c r="AR364" s="96"/>
    </row>
    <row r="365" spans="1:44" s="270" customFormat="1" ht="12" customHeight="1">
      <c r="A365" s="96"/>
      <c r="P365" s="146"/>
      <c r="X365" s="96"/>
      <c r="Y365" s="96"/>
      <c r="Z365" s="2498"/>
      <c r="AA365" s="96"/>
      <c r="AB365" s="96"/>
      <c r="AC365" s="96"/>
      <c r="AD365" s="96"/>
      <c r="AE365" s="96"/>
      <c r="AF365" s="96"/>
      <c r="AG365" s="96"/>
      <c r="AH365" s="96"/>
      <c r="AI365" s="96"/>
      <c r="AJ365" s="96"/>
      <c r="AK365" s="96"/>
      <c r="AL365" s="96"/>
      <c r="AM365" s="96"/>
      <c r="AN365" s="96"/>
      <c r="AO365" s="96"/>
      <c r="AP365" s="96"/>
      <c r="AQ365" s="96"/>
      <c r="AR365" s="96"/>
    </row>
    <row r="366" spans="1:44" s="270" customFormat="1" ht="12" customHeight="1">
      <c r="A366" s="96"/>
      <c r="P366" s="294"/>
      <c r="X366" s="96"/>
      <c r="Y366" s="96"/>
      <c r="Z366" s="2498"/>
      <c r="AA366" s="96"/>
      <c r="AB366" s="96"/>
      <c r="AC366" s="96"/>
      <c r="AD366" s="96"/>
      <c r="AE366" s="96"/>
      <c r="AF366" s="96"/>
      <c r="AG366" s="96"/>
      <c r="AH366" s="96"/>
      <c r="AI366" s="96"/>
      <c r="AJ366" s="96"/>
      <c r="AK366" s="96"/>
      <c r="AL366" s="96"/>
      <c r="AM366" s="96"/>
      <c r="AN366" s="96"/>
      <c r="AO366" s="96"/>
      <c r="AP366" s="96"/>
      <c r="AQ366" s="96"/>
      <c r="AR366" s="96"/>
    </row>
    <row r="367" spans="1:44" s="270" customFormat="1" ht="12" customHeight="1">
      <c r="A367" s="96"/>
      <c r="P367" s="294"/>
      <c r="X367" s="96"/>
      <c r="Y367" s="96"/>
      <c r="Z367" s="2498"/>
      <c r="AA367" s="96"/>
      <c r="AB367" s="96"/>
      <c r="AC367" s="96"/>
      <c r="AD367" s="96"/>
      <c r="AE367" s="96"/>
      <c r="AF367" s="96"/>
      <c r="AG367" s="96"/>
      <c r="AH367" s="96"/>
      <c r="AI367" s="96"/>
      <c r="AJ367" s="96"/>
      <c r="AK367" s="96"/>
      <c r="AL367" s="96"/>
      <c r="AM367" s="96"/>
      <c r="AN367" s="96"/>
      <c r="AO367" s="96"/>
      <c r="AP367" s="96"/>
      <c r="AQ367" s="96"/>
      <c r="AR367" s="96"/>
    </row>
    <row r="368" spans="1:44" s="270" customFormat="1" ht="12" customHeight="1">
      <c r="A368" s="96"/>
      <c r="P368" s="146"/>
      <c r="X368" s="96"/>
      <c r="Y368" s="96"/>
      <c r="Z368" s="2498"/>
      <c r="AA368" s="96"/>
      <c r="AB368" s="96"/>
      <c r="AC368" s="96"/>
      <c r="AD368" s="96"/>
      <c r="AE368" s="96"/>
      <c r="AF368" s="96"/>
      <c r="AG368" s="96"/>
      <c r="AH368" s="96"/>
      <c r="AI368" s="96"/>
      <c r="AJ368" s="96"/>
      <c r="AK368" s="96"/>
      <c r="AL368" s="96"/>
      <c r="AM368" s="96"/>
      <c r="AN368" s="96"/>
      <c r="AO368" s="96"/>
      <c r="AP368" s="96"/>
      <c r="AQ368" s="96"/>
      <c r="AR368" s="96"/>
    </row>
    <row r="369" spans="1:44" s="270" customFormat="1" ht="12" customHeight="1">
      <c r="A369" s="96"/>
      <c r="P369" s="146"/>
      <c r="X369" s="96"/>
      <c r="Y369" s="96"/>
      <c r="Z369" s="2498"/>
      <c r="AA369" s="96"/>
      <c r="AB369" s="96"/>
      <c r="AC369" s="96"/>
      <c r="AD369" s="96"/>
      <c r="AE369" s="96"/>
      <c r="AF369" s="96"/>
      <c r="AG369" s="96"/>
      <c r="AH369" s="96"/>
      <c r="AI369" s="96"/>
      <c r="AJ369" s="96"/>
      <c r="AK369" s="96"/>
      <c r="AL369" s="96"/>
      <c r="AM369" s="96"/>
      <c r="AN369" s="96"/>
      <c r="AO369" s="96"/>
      <c r="AP369" s="96"/>
      <c r="AQ369" s="96"/>
      <c r="AR369" s="96"/>
    </row>
    <row r="370" spans="1:44" s="270" customFormat="1" ht="12" customHeight="1">
      <c r="A370" s="96"/>
      <c r="P370" s="146"/>
      <c r="X370" s="96"/>
      <c r="Y370" s="96"/>
      <c r="Z370" s="2498"/>
      <c r="AA370" s="96"/>
      <c r="AB370" s="96"/>
      <c r="AC370" s="96"/>
      <c r="AD370" s="96"/>
      <c r="AE370" s="96"/>
      <c r="AF370" s="96"/>
      <c r="AG370" s="96"/>
      <c r="AH370" s="96"/>
      <c r="AI370" s="96"/>
      <c r="AJ370" s="96"/>
      <c r="AK370" s="96"/>
      <c r="AL370" s="96"/>
      <c r="AM370" s="96"/>
      <c r="AN370" s="96"/>
      <c r="AO370" s="96"/>
      <c r="AP370" s="96"/>
      <c r="AQ370" s="96"/>
      <c r="AR370" s="96"/>
    </row>
    <row r="371" spans="1:44" s="270" customFormat="1" ht="12" customHeight="1">
      <c r="A371" s="96"/>
      <c r="P371" s="146"/>
      <c r="X371" s="96"/>
      <c r="Y371" s="96"/>
      <c r="Z371" s="2498"/>
      <c r="AA371" s="96"/>
      <c r="AB371" s="96"/>
      <c r="AC371" s="96"/>
      <c r="AD371" s="96"/>
      <c r="AE371" s="96"/>
      <c r="AF371" s="96"/>
      <c r="AG371" s="96"/>
      <c r="AH371" s="96"/>
      <c r="AI371" s="96"/>
      <c r="AJ371" s="96"/>
      <c r="AK371" s="96"/>
      <c r="AL371" s="96"/>
      <c r="AM371" s="96"/>
      <c r="AN371" s="96"/>
      <c r="AO371" s="96"/>
      <c r="AP371" s="96"/>
      <c r="AQ371" s="96"/>
      <c r="AR371" s="96"/>
    </row>
    <row r="372" spans="1:44" s="270" customFormat="1" ht="12" customHeight="1">
      <c r="A372" s="96"/>
      <c r="P372" s="146"/>
      <c r="X372" s="96"/>
      <c r="Y372" s="96"/>
      <c r="Z372" s="2498"/>
      <c r="AA372" s="96"/>
      <c r="AB372" s="96"/>
      <c r="AC372" s="96"/>
      <c r="AD372" s="96"/>
      <c r="AE372" s="96"/>
      <c r="AF372" s="96"/>
      <c r="AG372" s="96"/>
      <c r="AH372" s="96"/>
      <c r="AI372" s="96"/>
      <c r="AJ372" s="96"/>
      <c r="AK372" s="96"/>
      <c r="AL372" s="96"/>
      <c r="AM372" s="96"/>
      <c r="AN372" s="96"/>
      <c r="AO372" s="96"/>
      <c r="AP372" s="96"/>
      <c r="AQ372" s="96"/>
      <c r="AR372" s="96"/>
    </row>
    <row r="373" spans="1:44" s="270" customFormat="1" ht="12" customHeight="1">
      <c r="A373" s="96"/>
      <c r="P373" s="146"/>
      <c r="X373" s="96"/>
      <c r="Y373" s="96"/>
      <c r="Z373" s="2498"/>
      <c r="AA373" s="96"/>
      <c r="AB373" s="96"/>
      <c r="AC373" s="96"/>
      <c r="AD373" s="96"/>
      <c r="AE373" s="96"/>
      <c r="AF373" s="96"/>
      <c r="AG373" s="96"/>
      <c r="AH373" s="96"/>
      <c r="AI373" s="96"/>
      <c r="AJ373" s="96"/>
      <c r="AK373" s="96"/>
      <c r="AL373" s="96"/>
      <c r="AM373" s="96"/>
      <c r="AN373" s="96"/>
      <c r="AO373" s="96"/>
      <c r="AP373" s="96"/>
      <c r="AQ373" s="96"/>
      <c r="AR373" s="96"/>
    </row>
    <row r="374" spans="1:44" s="270" customFormat="1" ht="12" customHeight="1">
      <c r="A374" s="96"/>
      <c r="P374" s="146"/>
      <c r="X374" s="96"/>
      <c r="Y374" s="96"/>
      <c r="Z374" s="2498"/>
      <c r="AA374" s="96"/>
      <c r="AB374" s="96"/>
      <c r="AC374" s="96"/>
      <c r="AD374" s="96"/>
      <c r="AE374" s="96"/>
      <c r="AF374" s="96"/>
      <c r="AG374" s="96"/>
      <c r="AH374" s="96"/>
      <c r="AI374" s="96"/>
      <c r="AJ374" s="96"/>
      <c r="AK374" s="96"/>
      <c r="AL374" s="96"/>
      <c r="AM374" s="96"/>
      <c r="AN374" s="96"/>
      <c r="AO374" s="96"/>
      <c r="AP374" s="96"/>
      <c r="AQ374" s="96"/>
      <c r="AR374" s="96"/>
    </row>
    <row r="375" spans="1:44" s="270" customFormat="1" ht="12" customHeight="1">
      <c r="A375" s="96"/>
      <c r="P375" s="146"/>
      <c r="X375" s="96"/>
      <c r="Y375" s="96"/>
      <c r="Z375" s="2498"/>
      <c r="AA375" s="96"/>
      <c r="AB375" s="96"/>
      <c r="AC375" s="96"/>
      <c r="AD375" s="96"/>
      <c r="AE375" s="96"/>
      <c r="AF375" s="96"/>
      <c r="AG375" s="96"/>
      <c r="AH375" s="96"/>
      <c r="AI375" s="96"/>
      <c r="AJ375" s="96"/>
      <c r="AK375" s="96"/>
      <c r="AL375" s="96"/>
      <c r="AM375" s="96"/>
      <c r="AN375" s="96"/>
      <c r="AO375" s="96"/>
      <c r="AP375" s="96"/>
      <c r="AQ375" s="96"/>
      <c r="AR375" s="96"/>
    </row>
    <row r="376" spans="1:44" s="270" customFormat="1" ht="12" customHeight="1">
      <c r="A376" s="96"/>
      <c r="P376" s="146"/>
      <c r="X376" s="96"/>
      <c r="Y376" s="96"/>
      <c r="Z376" s="2498"/>
      <c r="AA376" s="96"/>
      <c r="AB376" s="96"/>
      <c r="AC376" s="96"/>
      <c r="AD376" s="96"/>
      <c r="AE376" s="96"/>
      <c r="AF376" s="96"/>
      <c r="AG376" s="96"/>
      <c r="AH376" s="96"/>
      <c r="AI376" s="96"/>
      <c r="AJ376" s="96"/>
      <c r="AK376" s="96"/>
      <c r="AL376" s="96"/>
      <c r="AM376" s="96"/>
      <c r="AN376" s="96"/>
      <c r="AO376" s="96"/>
      <c r="AP376" s="96"/>
      <c r="AQ376" s="96"/>
      <c r="AR376" s="96"/>
    </row>
    <row r="377" spans="1:44" s="270" customFormat="1" ht="12" customHeight="1">
      <c r="A377" s="96"/>
      <c r="P377" s="146"/>
      <c r="X377" s="96"/>
      <c r="Y377" s="96"/>
      <c r="Z377" s="2498"/>
      <c r="AA377" s="96"/>
      <c r="AB377" s="96"/>
      <c r="AC377" s="96"/>
      <c r="AD377" s="96"/>
      <c r="AE377" s="96"/>
      <c r="AF377" s="96"/>
      <c r="AG377" s="96"/>
      <c r="AH377" s="96"/>
      <c r="AI377" s="96"/>
      <c r="AJ377" s="96"/>
      <c r="AK377" s="96"/>
      <c r="AL377" s="96"/>
      <c r="AM377" s="96"/>
      <c r="AN377" s="96"/>
      <c r="AO377" s="96"/>
      <c r="AP377" s="96"/>
      <c r="AQ377" s="96"/>
      <c r="AR377" s="96"/>
    </row>
    <row r="378" spans="1:44" s="270" customFormat="1" ht="12" customHeight="1">
      <c r="A378" s="96"/>
      <c r="P378" s="146"/>
      <c r="X378" s="96"/>
      <c r="Y378" s="96"/>
      <c r="Z378" s="2498"/>
      <c r="AA378" s="96"/>
      <c r="AB378" s="96"/>
      <c r="AC378" s="96"/>
      <c r="AD378" s="96"/>
      <c r="AE378" s="96"/>
      <c r="AF378" s="96"/>
      <c r="AG378" s="96"/>
      <c r="AH378" s="96"/>
      <c r="AI378" s="96"/>
      <c r="AJ378" s="96"/>
      <c r="AK378" s="96"/>
      <c r="AL378" s="96"/>
      <c r="AM378" s="96"/>
      <c r="AN378" s="96"/>
      <c r="AO378" s="96"/>
      <c r="AP378" s="96"/>
      <c r="AQ378" s="96"/>
      <c r="AR378" s="96"/>
    </row>
    <row r="379" spans="1:44" s="270" customFormat="1" ht="12" customHeight="1">
      <c r="A379" s="96"/>
      <c r="P379" s="146"/>
      <c r="X379" s="96"/>
      <c r="Y379" s="96"/>
      <c r="Z379" s="2498"/>
      <c r="AA379" s="96"/>
      <c r="AB379" s="96"/>
      <c r="AC379" s="96"/>
      <c r="AD379" s="96"/>
      <c r="AE379" s="96"/>
      <c r="AF379" s="96"/>
      <c r="AG379" s="96"/>
      <c r="AH379" s="96"/>
      <c r="AI379" s="96"/>
      <c r="AJ379" s="96"/>
      <c r="AK379" s="96"/>
      <c r="AL379" s="96"/>
      <c r="AM379" s="96"/>
      <c r="AN379" s="96"/>
      <c r="AO379" s="96"/>
      <c r="AP379" s="96"/>
      <c r="AQ379" s="96"/>
      <c r="AR379" s="96"/>
    </row>
    <row r="380" spans="1:44" s="270" customFormat="1" ht="12" customHeight="1">
      <c r="A380" s="96"/>
      <c r="P380" s="146"/>
      <c r="X380" s="96"/>
      <c r="Y380" s="96"/>
      <c r="Z380" s="2498"/>
      <c r="AA380" s="96"/>
      <c r="AB380" s="96"/>
      <c r="AC380" s="96"/>
      <c r="AD380" s="96"/>
      <c r="AE380" s="96"/>
      <c r="AF380" s="96"/>
      <c r="AG380" s="96"/>
      <c r="AH380" s="96"/>
      <c r="AI380" s="96"/>
      <c r="AJ380" s="96"/>
      <c r="AK380" s="96"/>
      <c r="AL380" s="96"/>
      <c r="AM380" s="96"/>
      <c r="AN380" s="96"/>
      <c r="AO380" s="96"/>
      <c r="AP380" s="96"/>
      <c r="AQ380" s="96"/>
      <c r="AR380" s="96"/>
    </row>
    <row r="381" spans="1:44" s="270" customFormat="1" ht="12" customHeight="1">
      <c r="A381" s="96"/>
      <c r="P381" s="146"/>
      <c r="X381" s="96"/>
      <c r="Y381" s="96"/>
      <c r="Z381" s="2498"/>
      <c r="AA381" s="96"/>
      <c r="AB381" s="96"/>
      <c r="AC381" s="96"/>
      <c r="AD381" s="96"/>
      <c r="AE381" s="96"/>
      <c r="AF381" s="96"/>
      <c r="AG381" s="96"/>
      <c r="AH381" s="96"/>
      <c r="AI381" s="96"/>
      <c r="AJ381" s="96"/>
      <c r="AK381" s="96"/>
      <c r="AL381" s="96"/>
      <c r="AM381" s="96"/>
      <c r="AN381" s="96"/>
      <c r="AO381" s="96"/>
      <c r="AP381" s="96"/>
      <c r="AQ381" s="96"/>
      <c r="AR381" s="96"/>
    </row>
    <row r="382" spans="1:44" s="270" customFormat="1" ht="12" customHeight="1">
      <c r="A382" s="96"/>
      <c r="P382" s="294"/>
      <c r="X382" s="96"/>
      <c r="Y382" s="96"/>
      <c r="Z382" s="2498"/>
      <c r="AA382" s="96"/>
      <c r="AB382" s="96"/>
      <c r="AC382" s="96"/>
      <c r="AD382" s="96"/>
      <c r="AE382" s="96"/>
      <c r="AF382" s="96"/>
      <c r="AG382" s="96"/>
      <c r="AH382" s="96"/>
      <c r="AI382" s="96"/>
      <c r="AJ382" s="96"/>
      <c r="AK382" s="96"/>
      <c r="AL382" s="96"/>
      <c r="AM382" s="96"/>
      <c r="AN382" s="96"/>
      <c r="AO382" s="96"/>
      <c r="AP382" s="96"/>
      <c r="AQ382" s="96"/>
      <c r="AR382" s="96"/>
    </row>
    <row r="383" spans="1:44" s="270" customFormat="1" ht="12" customHeight="1">
      <c r="A383" s="96"/>
      <c r="P383" s="146"/>
      <c r="X383" s="96"/>
      <c r="Y383" s="96"/>
      <c r="Z383" s="2498"/>
      <c r="AA383" s="96"/>
      <c r="AB383" s="96"/>
      <c r="AC383" s="96"/>
      <c r="AD383" s="96"/>
      <c r="AE383" s="96"/>
      <c r="AF383" s="96"/>
      <c r="AG383" s="96"/>
      <c r="AH383" s="96"/>
      <c r="AI383" s="96"/>
      <c r="AJ383" s="96"/>
      <c r="AK383" s="96"/>
      <c r="AL383" s="96"/>
      <c r="AM383" s="96"/>
      <c r="AN383" s="96"/>
      <c r="AO383" s="96"/>
      <c r="AP383" s="96"/>
      <c r="AQ383" s="96"/>
      <c r="AR383" s="96"/>
    </row>
    <row r="384" spans="1:44" s="270" customFormat="1" ht="12" customHeight="1">
      <c r="A384" s="96"/>
      <c r="P384" s="146"/>
      <c r="X384" s="96"/>
      <c r="Y384" s="96"/>
      <c r="Z384" s="2498"/>
      <c r="AA384" s="96"/>
      <c r="AB384" s="96"/>
      <c r="AC384" s="96"/>
      <c r="AD384" s="96"/>
      <c r="AE384" s="96"/>
      <c r="AF384" s="96"/>
      <c r="AG384" s="96"/>
      <c r="AH384" s="96"/>
      <c r="AI384" s="96"/>
      <c r="AJ384" s="96"/>
      <c r="AK384" s="96"/>
      <c r="AL384" s="96"/>
      <c r="AM384" s="96"/>
      <c r="AN384" s="96"/>
      <c r="AO384" s="96"/>
      <c r="AP384" s="96"/>
      <c r="AQ384" s="96"/>
      <c r="AR384" s="96"/>
    </row>
    <row r="385" spans="1:44" s="270" customFormat="1" ht="12" customHeight="1">
      <c r="A385" s="96"/>
      <c r="P385" s="146"/>
      <c r="X385" s="96"/>
      <c r="Y385" s="96"/>
      <c r="Z385" s="2498"/>
      <c r="AA385" s="96"/>
      <c r="AB385" s="96"/>
      <c r="AC385" s="96"/>
      <c r="AD385" s="96"/>
      <c r="AE385" s="96"/>
      <c r="AF385" s="96"/>
      <c r="AG385" s="96"/>
      <c r="AH385" s="96"/>
      <c r="AI385" s="96"/>
      <c r="AJ385" s="96"/>
      <c r="AK385" s="96"/>
      <c r="AL385" s="96"/>
      <c r="AM385" s="96"/>
      <c r="AN385" s="96"/>
      <c r="AO385" s="96"/>
      <c r="AP385" s="96"/>
      <c r="AQ385" s="96"/>
      <c r="AR385" s="96"/>
    </row>
    <row r="386" spans="1:44" s="270" customFormat="1" ht="12" customHeight="1">
      <c r="A386" s="96"/>
      <c r="P386" s="146"/>
      <c r="X386" s="96"/>
      <c r="Y386" s="96"/>
      <c r="Z386" s="2498"/>
      <c r="AA386" s="96"/>
      <c r="AB386" s="96"/>
      <c r="AC386" s="96"/>
      <c r="AD386" s="96"/>
      <c r="AE386" s="96"/>
      <c r="AF386" s="96"/>
      <c r="AG386" s="96"/>
      <c r="AH386" s="96"/>
      <c r="AI386" s="96"/>
      <c r="AJ386" s="96"/>
      <c r="AK386" s="96"/>
      <c r="AL386" s="96"/>
      <c r="AM386" s="96"/>
      <c r="AN386" s="96"/>
      <c r="AO386" s="96"/>
      <c r="AP386" s="96"/>
      <c r="AQ386" s="96"/>
      <c r="AR386" s="96"/>
    </row>
    <row r="387" spans="1:44" s="270" customFormat="1" ht="12" customHeight="1">
      <c r="A387" s="96"/>
      <c r="P387" s="146"/>
      <c r="X387" s="96"/>
      <c r="Y387" s="96"/>
      <c r="Z387" s="2498"/>
      <c r="AA387" s="96"/>
      <c r="AB387" s="96"/>
      <c r="AC387" s="96"/>
      <c r="AD387" s="96"/>
      <c r="AE387" s="96"/>
      <c r="AF387" s="96"/>
      <c r="AG387" s="96"/>
      <c r="AH387" s="96"/>
      <c r="AI387" s="96"/>
      <c r="AJ387" s="96"/>
      <c r="AK387" s="96"/>
      <c r="AL387" s="96"/>
      <c r="AM387" s="96"/>
      <c r="AN387" s="96"/>
      <c r="AO387" s="96"/>
      <c r="AP387" s="96"/>
      <c r="AQ387" s="96"/>
      <c r="AR387" s="96"/>
    </row>
    <row r="388" spans="1:44" s="270" customFormat="1" ht="12" customHeight="1">
      <c r="A388" s="96"/>
      <c r="P388" s="146"/>
      <c r="X388" s="96"/>
      <c r="Y388" s="96"/>
      <c r="Z388" s="2498"/>
      <c r="AA388" s="96"/>
      <c r="AB388" s="96"/>
      <c r="AC388" s="96"/>
      <c r="AD388" s="96"/>
      <c r="AE388" s="96"/>
      <c r="AF388" s="96"/>
      <c r="AG388" s="96"/>
      <c r="AH388" s="96"/>
      <c r="AI388" s="96"/>
      <c r="AJ388" s="96"/>
      <c r="AK388" s="96"/>
      <c r="AL388" s="96"/>
      <c r="AM388" s="96"/>
      <c r="AN388" s="96"/>
      <c r="AO388" s="96"/>
      <c r="AP388" s="96"/>
      <c r="AQ388" s="96"/>
      <c r="AR388" s="96"/>
    </row>
    <row r="389" spans="1:44" s="270" customFormat="1" ht="12" customHeight="1">
      <c r="A389" s="96"/>
      <c r="P389" s="146"/>
      <c r="X389" s="96"/>
      <c r="Y389" s="96"/>
      <c r="Z389" s="2498"/>
      <c r="AA389" s="96"/>
      <c r="AB389" s="96"/>
      <c r="AC389" s="96"/>
      <c r="AD389" s="96"/>
      <c r="AE389" s="96"/>
      <c r="AF389" s="96"/>
      <c r="AG389" s="96"/>
      <c r="AH389" s="96"/>
      <c r="AI389" s="96"/>
      <c r="AJ389" s="96"/>
      <c r="AK389" s="96"/>
      <c r="AL389" s="96"/>
      <c r="AM389" s="96"/>
      <c r="AN389" s="96"/>
      <c r="AO389" s="96"/>
      <c r="AP389" s="96"/>
      <c r="AQ389" s="96"/>
      <c r="AR389" s="96"/>
    </row>
    <row r="390" spans="1:44" s="270" customFormat="1" ht="12" customHeight="1">
      <c r="A390" s="96"/>
      <c r="P390" s="146"/>
      <c r="X390" s="96"/>
      <c r="Y390" s="96"/>
      <c r="Z390" s="2498"/>
      <c r="AA390" s="96"/>
      <c r="AB390" s="96"/>
      <c r="AC390" s="96"/>
      <c r="AD390" s="96"/>
      <c r="AE390" s="96"/>
      <c r="AF390" s="96"/>
      <c r="AG390" s="96"/>
      <c r="AH390" s="96"/>
      <c r="AI390" s="96"/>
      <c r="AJ390" s="96"/>
      <c r="AK390" s="96"/>
      <c r="AL390" s="96"/>
      <c r="AM390" s="96"/>
      <c r="AN390" s="96"/>
      <c r="AO390" s="96"/>
      <c r="AP390" s="96"/>
      <c r="AQ390" s="96"/>
      <c r="AR390" s="96"/>
    </row>
    <row r="391" spans="1:44" s="270" customFormat="1" ht="12" customHeight="1">
      <c r="A391" s="96"/>
      <c r="P391" s="294"/>
      <c r="X391" s="96"/>
      <c r="Y391" s="96"/>
      <c r="Z391" s="2498"/>
      <c r="AA391" s="96"/>
      <c r="AB391" s="96"/>
      <c r="AC391" s="96"/>
      <c r="AD391" s="96"/>
      <c r="AE391" s="96"/>
      <c r="AF391" s="96"/>
      <c r="AG391" s="96"/>
      <c r="AH391" s="96"/>
      <c r="AI391" s="96"/>
      <c r="AJ391" s="96"/>
      <c r="AK391" s="96"/>
      <c r="AL391" s="96"/>
      <c r="AM391" s="96"/>
      <c r="AN391" s="96"/>
      <c r="AO391" s="96"/>
      <c r="AP391" s="96"/>
      <c r="AQ391" s="96"/>
      <c r="AR391" s="96"/>
    </row>
    <row r="392" spans="1:44" s="270" customFormat="1" ht="12" customHeight="1">
      <c r="A392" s="96"/>
      <c r="P392" s="146"/>
      <c r="X392" s="96"/>
      <c r="Y392" s="96"/>
      <c r="Z392" s="2498"/>
      <c r="AA392" s="96"/>
      <c r="AB392" s="96"/>
      <c r="AC392" s="96"/>
      <c r="AD392" s="96"/>
      <c r="AE392" s="96"/>
      <c r="AF392" s="96"/>
      <c r="AG392" s="96"/>
      <c r="AH392" s="96"/>
      <c r="AI392" s="96"/>
      <c r="AJ392" s="96"/>
      <c r="AK392" s="96"/>
      <c r="AL392" s="96"/>
      <c r="AM392" s="96"/>
      <c r="AN392" s="96"/>
      <c r="AO392" s="96"/>
      <c r="AP392" s="96"/>
      <c r="AQ392" s="96"/>
      <c r="AR392" s="96"/>
    </row>
    <row r="393" spans="1:44" s="270" customFormat="1" ht="12" customHeight="1">
      <c r="A393" s="96"/>
      <c r="P393" s="146"/>
      <c r="X393" s="96"/>
      <c r="Y393" s="96"/>
      <c r="Z393" s="2498"/>
      <c r="AA393" s="96"/>
      <c r="AB393" s="96"/>
      <c r="AC393" s="96"/>
      <c r="AD393" s="96"/>
      <c r="AE393" s="96"/>
      <c r="AF393" s="96"/>
      <c r="AG393" s="96"/>
      <c r="AH393" s="96"/>
      <c r="AI393" s="96"/>
      <c r="AJ393" s="96"/>
      <c r="AK393" s="96"/>
      <c r="AL393" s="96"/>
      <c r="AM393" s="96"/>
      <c r="AN393" s="96"/>
      <c r="AO393" s="96"/>
      <c r="AP393" s="96"/>
      <c r="AQ393" s="96"/>
      <c r="AR393" s="96"/>
    </row>
    <row r="394" spans="1:44" s="270" customFormat="1" ht="12" customHeight="1">
      <c r="A394" s="96"/>
      <c r="P394" s="146"/>
      <c r="X394" s="96"/>
      <c r="Y394" s="96"/>
      <c r="Z394" s="2498"/>
      <c r="AA394" s="96"/>
      <c r="AB394" s="96"/>
      <c r="AC394" s="96"/>
      <c r="AD394" s="96"/>
      <c r="AE394" s="96"/>
      <c r="AF394" s="96"/>
      <c r="AG394" s="96"/>
      <c r="AH394" s="96"/>
      <c r="AI394" s="96"/>
      <c r="AJ394" s="96"/>
      <c r="AK394" s="96"/>
      <c r="AL394" s="96"/>
      <c r="AM394" s="96"/>
      <c r="AN394" s="96"/>
      <c r="AO394" s="96"/>
      <c r="AP394" s="96"/>
      <c r="AQ394" s="96"/>
      <c r="AR394" s="96"/>
    </row>
    <row r="395" spans="1:44" s="270" customFormat="1" ht="12" customHeight="1">
      <c r="A395" s="96"/>
      <c r="P395" s="146"/>
      <c r="X395" s="96"/>
      <c r="Y395" s="96"/>
      <c r="Z395" s="2498"/>
      <c r="AA395" s="96"/>
      <c r="AB395" s="96"/>
      <c r="AC395" s="96"/>
      <c r="AD395" s="96"/>
      <c r="AE395" s="96"/>
      <c r="AF395" s="96"/>
      <c r="AG395" s="96"/>
      <c r="AH395" s="96"/>
      <c r="AI395" s="96"/>
      <c r="AJ395" s="96"/>
      <c r="AK395" s="96"/>
      <c r="AL395" s="96"/>
      <c r="AM395" s="96"/>
      <c r="AN395" s="96"/>
      <c r="AO395" s="96"/>
      <c r="AP395" s="96"/>
      <c r="AQ395" s="96"/>
      <c r="AR395" s="96"/>
    </row>
    <row r="396" spans="1:44" s="270" customFormat="1" ht="12" customHeight="1">
      <c r="A396" s="96"/>
      <c r="P396" s="146"/>
      <c r="X396" s="96"/>
      <c r="Y396" s="96"/>
      <c r="Z396" s="2498"/>
      <c r="AA396" s="96"/>
      <c r="AB396" s="96"/>
      <c r="AC396" s="96"/>
      <c r="AD396" s="96"/>
      <c r="AE396" s="96"/>
      <c r="AF396" s="96"/>
      <c r="AG396" s="96"/>
      <c r="AH396" s="96"/>
      <c r="AI396" s="96"/>
      <c r="AJ396" s="96"/>
      <c r="AK396" s="96"/>
      <c r="AL396" s="96"/>
      <c r="AM396" s="96"/>
      <c r="AN396" s="96"/>
      <c r="AO396" s="96"/>
      <c r="AP396" s="96"/>
      <c r="AQ396" s="96"/>
      <c r="AR396" s="96"/>
    </row>
    <row r="397" spans="1:44" s="270" customFormat="1" ht="12" customHeight="1">
      <c r="A397" s="96"/>
      <c r="P397" s="146"/>
      <c r="X397" s="96"/>
      <c r="Y397" s="96"/>
      <c r="Z397" s="2498"/>
      <c r="AA397" s="96"/>
      <c r="AB397" s="96"/>
      <c r="AC397" s="96"/>
      <c r="AD397" s="96"/>
      <c r="AE397" s="96"/>
      <c r="AF397" s="96"/>
      <c r="AG397" s="96"/>
      <c r="AH397" s="96"/>
      <c r="AI397" s="96"/>
      <c r="AJ397" s="96"/>
      <c r="AK397" s="96"/>
      <c r="AL397" s="96"/>
      <c r="AM397" s="96"/>
      <c r="AN397" s="96"/>
      <c r="AO397" s="96"/>
      <c r="AP397" s="96"/>
      <c r="AQ397" s="96"/>
      <c r="AR397" s="96"/>
    </row>
    <row r="398" spans="1:44" s="270" customFormat="1" ht="12" customHeight="1">
      <c r="A398" s="96"/>
      <c r="P398" s="146"/>
      <c r="X398" s="96"/>
      <c r="Y398" s="96"/>
      <c r="Z398" s="2498"/>
      <c r="AA398" s="96"/>
      <c r="AB398" s="96"/>
      <c r="AC398" s="96"/>
      <c r="AD398" s="96"/>
      <c r="AE398" s="96"/>
      <c r="AF398" s="96"/>
      <c r="AG398" s="96"/>
      <c r="AH398" s="96"/>
      <c r="AI398" s="96"/>
      <c r="AJ398" s="96"/>
      <c r="AK398" s="96"/>
      <c r="AL398" s="96"/>
      <c r="AM398" s="96"/>
      <c r="AN398" s="96"/>
      <c r="AO398" s="96"/>
      <c r="AP398" s="96"/>
      <c r="AQ398" s="96"/>
      <c r="AR398" s="96"/>
    </row>
    <row r="399" spans="1:44" s="270" customFormat="1" ht="12" customHeight="1">
      <c r="A399" s="96"/>
      <c r="P399" s="146"/>
      <c r="X399" s="96"/>
      <c r="Y399" s="96"/>
      <c r="Z399" s="2498"/>
      <c r="AA399" s="96"/>
      <c r="AB399" s="96"/>
      <c r="AC399" s="96"/>
      <c r="AD399" s="96"/>
      <c r="AE399" s="96"/>
      <c r="AF399" s="96"/>
      <c r="AG399" s="96"/>
      <c r="AH399" s="96"/>
      <c r="AI399" s="96"/>
      <c r="AJ399" s="96"/>
      <c r="AK399" s="96"/>
      <c r="AL399" s="96"/>
      <c r="AM399" s="96"/>
      <c r="AN399" s="96"/>
      <c r="AO399" s="96"/>
      <c r="AP399" s="96"/>
      <c r="AQ399" s="96"/>
      <c r="AR399" s="96"/>
    </row>
    <row r="400" spans="1:44" s="270" customFormat="1" ht="12" customHeight="1">
      <c r="A400" s="96"/>
      <c r="P400" s="146"/>
      <c r="X400" s="96"/>
      <c r="Y400" s="96"/>
      <c r="Z400" s="2498"/>
      <c r="AA400" s="96"/>
      <c r="AB400" s="96"/>
      <c r="AC400" s="96"/>
      <c r="AD400" s="96"/>
      <c r="AE400" s="96"/>
      <c r="AF400" s="96"/>
      <c r="AG400" s="96"/>
      <c r="AH400" s="96"/>
      <c r="AI400" s="96"/>
      <c r="AJ400" s="96"/>
      <c r="AK400" s="96"/>
      <c r="AL400" s="96"/>
      <c r="AM400" s="96"/>
      <c r="AN400" s="96"/>
      <c r="AO400" s="96"/>
      <c r="AP400" s="96"/>
      <c r="AQ400" s="96"/>
      <c r="AR400" s="96"/>
    </row>
    <row r="401" spans="1:44" s="270" customFormat="1" ht="12" customHeight="1">
      <c r="A401" s="96"/>
      <c r="P401" s="146"/>
      <c r="X401" s="96"/>
      <c r="Y401" s="96"/>
      <c r="Z401" s="2498"/>
      <c r="AA401" s="96"/>
      <c r="AB401" s="96"/>
      <c r="AC401" s="96"/>
      <c r="AD401" s="96"/>
      <c r="AE401" s="96"/>
      <c r="AF401" s="96"/>
      <c r="AG401" s="96"/>
      <c r="AH401" s="96"/>
      <c r="AI401" s="96"/>
      <c r="AJ401" s="96"/>
      <c r="AK401" s="96"/>
      <c r="AL401" s="96"/>
      <c r="AM401" s="96"/>
      <c r="AN401" s="96"/>
      <c r="AO401" s="96"/>
      <c r="AP401" s="96"/>
      <c r="AQ401" s="96"/>
      <c r="AR401" s="96"/>
    </row>
    <row r="402" spans="1:44" s="270" customFormat="1" ht="12" customHeight="1">
      <c r="A402" s="96"/>
      <c r="P402" s="146"/>
      <c r="X402" s="96"/>
      <c r="Y402" s="96"/>
      <c r="Z402" s="2498"/>
      <c r="AA402" s="96"/>
      <c r="AB402" s="96"/>
      <c r="AC402" s="96"/>
      <c r="AD402" s="96"/>
      <c r="AE402" s="96"/>
      <c r="AF402" s="96"/>
      <c r="AG402" s="96"/>
      <c r="AH402" s="96"/>
      <c r="AI402" s="96"/>
      <c r="AJ402" s="96"/>
      <c r="AK402" s="96"/>
      <c r="AL402" s="96"/>
      <c r="AM402" s="96"/>
      <c r="AN402" s="96"/>
      <c r="AO402" s="96"/>
      <c r="AP402" s="96"/>
      <c r="AQ402" s="96"/>
      <c r="AR402" s="96"/>
    </row>
    <row r="403" spans="1:44" s="270" customFormat="1" ht="12" customHeight="1">
      <c r="A403" s="96"/>
      <c r="P403" s="146"/>
      <c r="X403" s="96"/>
      <c r="Y403" s="96"/>
      <c r="Z403" s="2498"/>
      <c r="AA403" s="96"/>
      <c r="AB403" s="96"/>
      <c r="AC403" s="96"/>
      <c r="AD403" s="96"/>
      <c r="AE403" s="96"/>
      <c r="AF403" s="96"/>
      <c r="AG403" s="96"/>
      <c r="AH403" s="96"/>
      <c r="AI403" s="96"/>
      <c r="AJ403" s="96"/>
      <c r="AK403" s="96"/>
      <c r="AL403" s="96"/>
      <c r="AM403" s="96"/>
      <c r="AN403" s="96"/>
      <c r="AO403" s="96"/>
      <c r="AP403" s="96"/>
      <c r="AQ403" s="96"/>
      <c r="AR403" s="96"/>
    </row>
    <row r="404" spans="1:44" s="270" customFormat="1" ht="12" customHeight="1">
      <c r="A404" s="96"/>
      <c r="P404" s="146"/>
      <c r="X404" s="96"/>
      <c r="Y404" s="96"/>
      <c r="Z404" s="2498"/>
      <c r="AA404" s="96"/>
      <c r="AB404" s="96"/>
      <c r="AC404" s="96"/>
      <c r="AD404" s="96"/>
      <c r="AE404" s="96"/>
      <c r="AF404" s="96"/>
      <c r="AG404" s="96"/>
      <c r="AH404" s="96"/>
      <c r="AI404" s="96"/>
      <c r="AJ404" s="96"/>
      <c r="AK404" s="96"/>
      <c r="AL404" s="96"/>
      <c r="AM404" s="96"/>
      <c r="AN404" s="96"/>
      <c r="AO404" s="96"/>
      <c r="AP404" s="96"/>
      <c r="AQ404" s="96"/>
      <c r="AR404" s="96"/>
    </row>
    <row r="405" spans="1:44" s="270" customFormat="1" ht="12" customHeight="1">
      <c r="A405" s="96"/>
      <c r="P405" s="146"/>
      <c r="X405" s="96"/>
      <c r="Y405" s="96"/>
      <c r="Z405" s="2498"/>
      <c r="AA405" s="96"/>
      <c r="AB405" s="96"/>
      <c r="AC405" s="96"/>
      <c r="AD405" s="96"/>
      <c r="AE405" s="96"/>
      <c r="AF405" s="96"/>
      <c r="AG405" s="96"/>
      <c r="AH405" s="96"/>
      <c r="AI405" s="96"/>
      <c r="AJ405" s="96"/>
      <c r="AK405" s="96"/>
      <c r="AL405" s="96"/>
      <c r="AM405" s="96"/>
      <c r="AN405" s="96"/>
      <c r="AO405" s="96"/>
      <c r="AP405" s="96"/>
      <c r="AQ405" s="96"/>
      <c r="AR405" s="96"/>
    </row>
    <row r="406" spans="1:44" s="270" customFormat="1" ht="12" customHeight="1">
      <c r="A406" s="96"/>
      <c r="P406" s="146"/>
      <c r="X406" s="96"/>
      <c r="Y406" s="96"/>
      <c r="Z406" s="2498"/>
      <c r="AA406" s="96"/>
      <c r="AB406" s="96"/>
      <c r="AC406" s="96"/>
      <c r="AD406" s="96"/>
      <c r="AE406" s="96"/>
      <c r="AF406" s="96"/>
      <c r="AG406" s="96"/>
      <c r="AH406" s="96"/>
      <c r="AI406" s="96"/>
      <c r="AJ406" s="96"/>
      <c r="AK406" s="96"/>
      <c r="AL406" s="96"/>
      <c r="AM406" s="96"/>
      <c r="AN406" s="96"/>
      <c r="AO406" s="96"/>
      <c r="AP406" s="96"/>
      <c r="AQ406" s="96"/>
      <c r="AR406" s="96"/>
    </row>
    <row r="407" spans="1:44" s="270" customFormat="1" ht="12" customHeight="1">
      <c r="A407" s="96"/>
      <c r="P407" s="146"/>
      <c r="X407" s="96"/>
      <c r="Y407" s="96"/>
      <c r="Z407" s="2498"/>
      <c r="AA407" s="96"/>
      <c r="AB407" s="96"/>
      <c r="AC407" s="96"/>
      <c r="AD407" s="96"/>
      <c r="AE407" s="96"/>
      <c r="AF407" s="96"/>
      <c r="AG407" s="96"/>
      <c r="AH407" s="96"/>
      <c r="AI407" s="96"/>
      <c r="AJ407" s="96"/>
      <c r="AK407" s="96"/>
      <c r="AL407" s="96"/>
      <c r="AM407" s="96"/>
      <c r="AN407" s="96"/>
      <c r="AO407" s="96"/>
      <c r="AP407" s="96"/>
      <c r="AQ407" s="96"/>
      <c r="AR407" s="96"/>
    </row>
    <row r="408" spans="1:44" s="270" customFormat="1" ht="12" customHeight="1">
      <c r="A408" s="96"/>
      <c r="P408" s="146"/>
      <c r="X408" s="96"/>
      <c r="Y408" s="96"/>
      <c r="Z408" s="2498"/>
      <c r="AA408" s="96"/>
      <c r="AB408" s="96"/>
      <c r="AC408" s="96"/>
      <c r="AD408" s="96"/>
      <c r="AE408" s="96"/>
      <c r="AF408" s="96"/>
      <c r="AG408" s="96"/>
      <c r="AH408" s="96"/>
      <c r="AI408" s="96"/>
      <c r="AJ408" s="96"/>
      <c r="AK408" s="96"/>
      <c r="AL408" s="96"/>
      <c r="AM408" s="96"/>
      <c r="AN408" s="96"/>
      <c r="AO408" s="96"/>
      <c r="AP408" s="96"/>
      <c r="AQ408" s="96"/>
      <c r="AR408" s="96"/>
    </row>
    <row r="409" spans="1:44" s="270" customFormat="1" ht="12" customHeight="1">
      <c r="A409" s="96"/>
      <c r="P409" s="294"/>
      <c r="X409" s="96"/>
      <c r="Y409" s="96"/>
      <c r="Z409" s="2498"/>
      <c r="AA409" s="96"/>
      <c r="AB409" s="96"/>
      <c r="AC409" s="96"/>
      <c r="AD409" s="96"/>
      <c r="AE409" s="96"/>
      <c r="AF409" s="96"/>
      <c r="AG409" s="96"/>
      <c r="AH409" s="96"/>
      <c r="AI409" s="96"/>
      <c r="AJ409" s="96"/>
      <c r="AK409" s="96"/>
      <c r="AL409" s="96"/>
      <c r="AM409" s="96"/>
      <c r="AN409" s="96"/>
      <c r="AO409" s="96"/>
      <c r="AP409" s="96"/>
      <c r="AQ409" s="96"/>
      <c r="AR409" s="96"/>
    </row>
    <row r="410" spans="1:44" s="270" customFormat="1" ht="12" customHeight="1">
      <c r="A410" s="96"/>
      <c r="P410" s="146"/>
      <c r="X410" s="96"/>
      <c r="Y410" s="96"/>
      <c r="Z410" s="2498"/>
      <c r="AA410" s="96"/>
      <c r="AB410" s="96"/>
      <c r="AC410" s="96"/>
      <c r="AD410" s="96"/>
      <c r="AE410" s="96"/>
      <c r="AF410" s="96"/>
      <c r="AG410" s="96"/>
      <c r="AH410" s="96"/>
      <c r="AI410" s="96"/>
      <c r="AJ410" s="96"/>
      <c r="AK410" s="96"/>
      <c r="AL410" s="96"/>
      <c r="AM410" s="96"/>
      <c r="AN410" s="96"/>
      <c r="AO410" s="96"/>
      <c r="AP410" s="96"/>
      <c r="AQ410" s="96"/>
      <c r="AR410" s="96"/>
    </row>
    <row r="411" spans="1:44" s="270" customFormat="1" ht="12" customHeight="1">
      <c r="A411" s="96"/>
      <c r="P411" s="146"/>
      <c r="X411" s="96"/>
      <c r="Y411" s="96"/>
      <c r="Z411" s="2498"/>
      <c r="AA411" s="96"/>
      <c r="AB411" s="96"/>
      <c r="AC411" s="96"/>
      <c r="AD411" s="96"/>
      <c r="AE411" s="96"/>
      <c r="AF411" s="96"/>
      <c r="AG411" s="96"/>
      <c r="AH411" s="96"/>
      <c r="AI411" s="96"/>
      <c r="AJ411" s="96"/>
      <c r="AK411" s="96"/>
      <c r="AL411" s="96"/>
      <c r="AM411" s="96"/>
      <c r="AN411" s="96"/>
      <c r="AO411" s="96"/>
      <c r="AP411" s="96"/>
      <c r="AQ411" s="96"/>
      <c r="AR411" s="96"/>
    </row>
    <row r="412" spans="1:44" s="270" customFormat="1" ht="12" customHeight="1">
      <c r="A412" s="96"/>
      <c r="P412" s="146"/>
      <c r="X412" s="96"/>
      <c r="Y412" s="96"/>
      <c r="Z412" s="2498"/>
      <c r="AA412" s="96"/>
      <c r="AB412" s="96"/>
      <c r="AC412" s="96"/>
      <c r="AD412" s="96"/>
      <c r="AE412" s="96"/>
      <c r="AF412" s="96"/>
      <c r="AG412" s="96"/>
      <c r="AH412" s="96"/>
      <c r="AI412" s="96"/>
      <c r="AJ412" s="96"/>
      <c r="AK412" s="96"/>
      <c r="AL412" s="96"/>
      <c r="AM412" s="96"/>
      <c r="AN412" s="96"/>
      <c r="AO412" s="96"/>
      <c r="AP412" s="96"/>
      <c r="AQ412" s="96"/>
      <c r="AR412" s="96"/>
    </row>
    <row r="413" spans="1:44" s="270" customFormat="1" ht="12" customHeight="1">
      <c r="A413" s="96"/>
      <c r="P413" s="146"/>
      <c r="X413" s="96"/>
      <c r="Y413" s="96"/>
      <c r="Z413" s="2498"/>
      <c r="AA413" s="96"/>
      <c r="AB413" s="96"/>
      <c r="AC413" s="96"/>
      <c r="AD413" s="96"/>
      <c r="AE413" s="96"/>
      <c r="AF413" s="96"/>
      <c r="AG413" s="96"/>
      <c r="AH413" s="96"/>
      <c r="AI413" s="96"/>
      <c r="AJ413" s="96"/>
      <c r="AK413" s="96"/>
      <c r="AL413" s="96"/>
      <c r="AM413" s="96"/>
      <c r="AN413" s="96"/>
      <c r="AO413" s="96"/>
      <c r="AP413" s="96"/>
      <c r="AQ413" s="96"/>
      <c r="AR413" s="96"/>
    </row>
    <row r="414" spans="1:44" s="270" customFormat="1" ht="12" customHeight="1">
      <c r="A414" s="96"/>
      <c r="P414" s="294"/>
      <c r="X414" s="96"/>
      <c r="Y414" s="96"/>
      <c r="Z414" s="2498"/>
      <c r="AA414" s="96"/>
      <c r="AB414" s="96"/>
      <c r="AC414" s="96"/>
      <c r="AD414" s="96"/>
      <c r="AE414" s="96"/>
      <c r="AF414" s="96"/>
      <c r="AG414" s="96"/>
      <c r="AH414" s="96"/>
      <c r="AI414" s="96"/>
      <c r="AJ414" s="96"/>
      <c r="AK414" s="96"/>
      <c r="AL414" s="96"/>
      <c r="AM414" s="96"/>
      <c r="AN414" s="96"/>
      <c r="AO414" s="96"/>
      <c r="AP414" s="96"/>
      <c r="AQ414" s="96"/>
      <c r="AR414" s="96"/>
    </row>
    <row r="415" spans="1:44" s="270" customFormat="1" ht="12" customHeight="1">
      <c r="A415" s="96"/>
      <c r="P415" s="146"/>
      <c r="X415" s="96"/>
      <c r="Y415" s="96"/>
      <c r="Z415" s="2498"/>
      <c r="AA415" s="96"/>
      <c r="AB415" s="96"/>
      <c r="AC415" s="96"/>
      <c r="AD415" s="96"/>
      <c r="AE415" s="96"/>
      <c r="AF415" s="96"/>
      <c r="AG415" s="96"/>
      <c r="AH415" s="96"/>
      <c r="AI415" s="96"/>
      <c r="AJ415" s="96"/>
      <c r="AK415" s="96"/>
      <c r="AL415" s="96"/>
      <c r="AM415" s="96"/>
      <c r="AN415" s="96"/>
      <c r="AO415" s="96"/>
      <c r="AP415" s="96"/>
      <c r="AQ415" s="96"/>
      <c r="AR415" s="96"/>
    </row>
    <row r="416" spans="1:44" s="270" customFormat="1" ht="12" customHeight="1">
      <c r="A416" s="96"/>
      <c r="P416" s="146"/>
      <c r="X416" s="96"/>
      <c r="Y416" s="96"/>
      <c r="Z416" s="2498"/>
      <c r="AA416" s="96"/>
      <c r="AB416" s="96"/>
      <c r="AC416" s="96"/>
      <c r="AD416" s="96"/>
      <c r="AE416" s="96"/>
      <c r="AF416" s="96"/>
      <c r="AG416" s="96"/>
      <c r="AH416" s="96"/>
      <c r="AI416" s="96"/>
      <c r="AJ416" s="96"/>
      <c r="AK416" s="96"/>
      <c r="AL416" s="96"/>
      <c r="AM416" s="96"/>
      <c r="AN416" s="96"/>
      <c r="AO416" s="96"/>
      <c r="AP416" s="96"/>
      <c r="AQ416" s="96"/>
      <c r="AR416" s="96"/>
    </row>
    <row r="417" spans="1:44" s="270" customFormat="1" ht="12" customHeight="1">
      <c r="A417" s="96"/>
      <c r="P417" s="294"/>
      <c r="X417" s="96"/>
      <c r="Y417" s="96"/>
      <c r="Z417" s="2498"/>
      <c r="AA417" s="96"/>
      <c r="AB417" s="96"/>
      <c r="AC417" s="96"/>
      <c r="AD417" s="96"/>
      <c r="AE417" s="96"/>
      <c r="AF417" s="96"/>
      <c r="AG417" s="96"/>
      <c r="AH417" s="96"/>
      <c r="AI417" s="96"/>
      <c r="AJ417" s="96"/>
      <c r="AK417" s="96"/>
      <c r="AL417" s="96"/>
      <c r="AM417" s="96"/>
      <c r="AN417" s="96"/>
      <c r="AO417" s="96"/>
      <c r="AP417" s="96"/>
      <c r="AQ417" s="96"/>
      <c r="AR417" s="96"/>
    </row>
    <row r="418" spans="1:44" s="270" customFormat="1" ht="12" customHeight="1">
      <c r="A418" s="96"/>
      <c r="P418" s="146"/>
      <c r="X418" s="96"/>
      <c r="Y418" s="96"/>
      <c r="Z418" s="2498"/>
      <c r="AA418" s="96"/>
      <c r="AB418" s="96"/>
      <c r="AC418" s="96"/>
      <c r="AD418" s="96"/>
      <c r="AE418" s="96"/>
      <c r="AF418" s="96"/>
      <c r="AG418" s="96"/>
      <c r="AH418" s="96"/>
      <c r="AI418" s="96"/>
      <c r="AJ418" s="96"/>
      <c r="AK418" s="96"/>
      <c r="AL418" s="96"/>
      <c r="AM418" s="96"/>
      <c r="AN418" s="96"/>
      <c r="AO418" s="96"/>
      <c r="AP418" s="96"/>
      <c r="AQ418" s="96"/>
      <c r="AR418" s="96"/>
    </row>
    <row r="419" spans="1:44" s="270" customFormat="1" ht="12" customHeight="1">
      <c r="A419" s="96"/>
      <c r="P419" s="146"/>
      <c r="X419" s="96"/>
      <c r="Y419" s="96"/>
      <c r="Z419" s="2498"/>
      <c r="AA419" s="96"/>
      <c r="AB419" s="96"/>
      <c r="AC419" s="96"/>
      <c r="AD419" s="96"/>
      <c r="AE419" s="96"/>
      <c r="AF419" s="96"/>
      <c r="AG419" s="96"/>
      <c r="AH419" s="96"/>
      <c r="AI419" s="96"/>
      <c r="AJ419" s="96"/>
      <c r="AK419" s="96"/>
      <c r="AL419" s="96"/>
      <c r="AM419" s="96"/>
      <c r="AN419" s="96"/>
      <c r="AO419" s="96"/>
      <c r="AP419" s="96"/>
      <c r="AQ419" s="96"/>
      <c r="AR419" s="96"/>
    </row>
    <row r="420" spans="1:44" s="270" customFormat="1" ht="12" customHeight="1">
      <c r="A420" s="96"/>
      <c r="P420" s="146"/>
      <c r="X420" s="96"/>
      <c r="Y420" s="96"/>
      <c r="Z420" s="2498"/>
      <c r="AA420" s="96"/>
      <c r="AB420" s="96"/>
      <c r="AC420" s="96"/>
      <c r="AD420" s="96"/>
      <c r="AE420" s="96"/>
      <c r="AF420" s="96"/>
      <c r="AG420" s="96"/>
      <c r="AH420" s="96"/>
      <c r="AI420" s="96"/>
      <c r="AJ420" s="96"/>
      <c r="AK420" s="96"/>
      <c r="AL420" s="96"/>
      <c r="AM420" s="96"/>
      <c r="AN420" s="96"/>
      <c r="AO420" s="96"/>
      <c r="AP420" s="96"/>
      <c r="AQ420" s="96"/>
      <c r="AR420" s="96"/>
    </row>
    <row r="421" spans="1:44" s="270" customFormat="1" ht="12" customHeight="1">
      <c r="A421" s="96"/>
      <c r="P421" s="146"/>
      <c r="X421" s="96"/>
      <c r="Y421" s="96"/>
      <c r="Z421" s="2498"/>
      <c r="AA421" s="96"/>
      <c r="AB421" s="96"/>
      <c r="AC421" s="96"/>
      <c r="AD421" s="96"/>
      <c r="AE421" s="96"/>
      <c r="AF421" s="96"/>
      <c r="AG421" s="96"/>
      <c r="AH421" s="96"/>
      <c r="AI421" s="96"/>
      <c r="AJ421" s="96"/>
      <c r="AK421" s="96"/>
      <c r="AL421" s="96"/>
      <c r="AM421" s="96"/>
      <c r="AN421" s="96"/>
      <c r="AO421" s="96"/>
      <c r="AP421" s="96"/>
      <c r="AQ421" s="96"/>
      <c r="AR421" s="96"/>
    </row>
    <row r="422" spans="1:44" s="270" customFormat="1" ht="12" customHeight="1">
      <c r="A422" s="96"/>
      <c r="P422" s="146"/>
      <c r="X422" s="96"/>
      <c r="Y422" s="96"/>
      <c r="Z422" s="2498"/>
      <c r="AA422" s="96"/>
      <c r="AB422" s="96"/>
      <c r="AC422" s="96"/>
      <c r="AD422" s="96"/>
      <c r="AE422" s="96"/>
      <c r="AF422" s="96"/>
      <c r="AG422" s="96"/>
      <c r="AH422" s="96"/>
      <c r="AI422" s="96"/>
      <c r="AJ422" s="96"/>
      <c r="AK422" s="96"/>
      <c r="AL422" s="96"/>
      <c r="AM422" s="96"/>
      <c r="AN422" s="96"/>
      <c r="AO422" s="96"/>
      <c r="AP422" s="96"/>
      <c r="AQ422" s="96"/>
      <c r="AR422" s="96"/>
    </row>
    <row r="423" spans="1:44" s="270" customFormat="1" ht="12" customHeight="1">
      <c r="A423" s="96"/>
      <c r="P423" s="146"/>
      <c r="X423" s="96"/>
      <c r="Y423" s="96"/>
      <c r="Z423" s="2498"/>
      <c r="AA423" s="96"/>
      <c r="AB423" s="96"/>
      <c r="AC423" s="96"/>
      <c r="AD423" s="96"/>
      <c r="AE423" s="96"/>
      <c r="AF423" s="96"/>
      <c r="AG423" s="96"/>
      <c r="AH423" s="96"/>
      <c r="AI423" s="96"/>
      <c r="AJ423" s="96"/>
      <c r="AK423" s="96"/>
      <c r="AL423" s="96"/>
      <c r="AM423" s="96"/>
      <c r="AN423" s="96"/>
      <c r="AO423" s="96"/>
      <c r="AP423" s="96"/>
      <c r="AQ423" s="96"/>
      <c r="AR423" s="96"/>
    </row>
    <row r="424" spans="1:44" s="270" customFormat="1" ht="12" customHeight="1">
      <c r="A424" s="96"/>
      <c r="P424" s="146"/>
      <c r="X424" s="96"/>
      <c r="Y424" s="96"/>
      <c r="Z424" s="2498"/>
      <c r="AA424" s="96"/>
      <c r="AB424" s="96"/>
      <c r="AC424" s="96"/>
      <c r="AD424" s="96"/>
      <c r="AE424" s="96"/>
      <c r="AF424" s="96"/>
      <c r="AG424" s="96"/>
      <c r="AH424" s="96"/>
      <c r="AI424" s="96"/>
      <c r="AJ424" s="96"/>
      <c r="AK424" s="96"/>
      <c r="AL424" s="96"/>
      <c r="AM424" s="96"/>
      <c r="AN424" s="96"/>
      <c r="AO424" s="96"/>
      <c r="AP424" s="96"/>
      <c r="AQ424" s="96"/>
      <c r="AR424" s="96"/>
    </row>
    <row r="425" spans="1:44" s="270" customFormat="1" ht="12" customHeight="1">
      <c r="A425" s="96"/>
      <c r="P425" s="146"/>
      <c r="X425" s="96"/>
      <c r="Y425" s="96"/>
      <c r="Z425" s="2498"/>
      <c r="AA425" s="96"/>
      <c r="AB425" s="96"/>
      <c r="AC425" s="96"/>
      <c r="AD425" s="96"/>
      <c r="AE425" s="96"/>
      <c r="AF425" s="96"/>
      <c r="AG425" s="96"/>
      <c r="AH425" s="96"/>
      <c r="AI425" s="96"/>
      <c r="AJ425" s="96"/>
      <c r="AK425" s="96"/>
      <c r="AL425" s="96"/>
      <c r="AM425" s="96"/>
      <c r="AN425" s="96"/>
      <c r="AO425" s="96"/>
      <c r="AP425" s="96"/>
      <c r="AQ425" s="96"/>
      <c r="AR425" s="96"/>
    </row>
    <row r="426" spans="1:44" s="270" customFormat="1" ht="12" customHeight="1">
      <c r="A426" s="96"/>
      <c r="P426" s="146"/>
      <c r="X426" s="96"/>
      <c r="Y426" s="96"/>
      <c r="Z426" s="2498"/>
      <c r="AA426" s="96"/>
      <c r="AB426" s="96"/>
      <c r="AC426" s="96"/>
      <c r="AD426" s="96"/>
      <c r="AE426" s="96"/>
      <c r="AF426" s="96"/>
      <c r="AG426" s="96"/>
      <c r="AH426" s="96"/>
      <c r="AI426" s="96"/>
      <c r="AJ426" s="96"/>
      <c r="AK426" s="96"/>
      <c r="AL426" s="96"/>
      <c r="AM426" s="96"/>
      <c r="AN426" s="96"/>
      <c r="AO426" s="96"/>
      <c r="AP426" s="96"/>
      <c r="AQ426" s="96"/>
      <c r="AR426" s="96"/>
    </row>
    <row r="427" spans="1:44" s="270" customFormat="1" ht="12" customHeight="1">
      <c r="A427" s="96"/>
      <c r="P427" s="146"/>
      <c r="X427" s="96"/>
      <c r="Y427" s="96"/>
      <c r="Z427" s="2498"/>
      <c r="AA427" s="96"/>
      <c r="AB427" s="96"/>
      <c r="AC427" s="96"/>
      <c r="AD427" s="96"/>
      <c r="AE427" s="96"/>
      <c r="AF427" s="96"/>
      <c r="AG427" s="96"/>
      <c r="AH427" s="96"/>
      <c r="AI427" s="96"/>
      <c r="AJ427" s="96"/>
      <c r="AK427" s="96"/>
      <c r="AL427" s="96"/>
      <c r="AM427" s="96"/>
      <c r="AN427" s="96"/>
      <c r="AO427" s="96"/>
      <c r="AP427" s="96"/>
      <c r="AQ427" s="96"/>
      <c r="AR427" s="96"/>
    </row>
    <row r="428" spans="1:44" s="270" customFormat="1" ht="12" customHeight="1">
      <c r="A428" s="96"/>
      <c r="P428" s="146"/>
      <c r="X428" s="96"/>
      <c r="Y428" s="96"/>
      <c r="Z428" s="2498"/>
      <c r="AA428" s="96"/>
      <c r="AB428" s="96"/>
      <c r="AC428" s="96"/>
      <c r="AD428" s="96"/>
      <c r="AE428" s="96"/>
      <c r="AF428" s="96"/>
      <c r="AG428" s="96"/>
      <c r="AH428" s="96"/>
      <c r="AI428" s="96"/>
      <c r="AJ428" s="96"/>
      <c r="AK428" s="96"/>
      <c r="AL428" s="96"/>
      <c r="AM428" s="96"/>
      <c r="AN428" s="96"/>
      <c r="AO428" s="96"/>
      <c r="AP428" s="96"/>
      <c r="AQ428" s="96"/>
      <c r="AR428" s="96"/>
    </row>
    <row r="429" spans="1:44" s="270" customFormat="1" ht="12" customHeight="1">
      <c r="A429" s="96"/>
      <c r="P429" s="294"/>
      <c r="X429" s="96"/>
      <c r="Y429" s="96"/>
      <c r="Z429" s="2498"/>
      <c r="AA429" s="96"/>
      <c r="AB429" s="96"/>
      <c r="AC429" s="96"/>
      <c r="AD429" s="96"/>
      <c r="AE429" s="96"/>
      <c r="AF429" s="96"/>
      <c r="AG429" s="96"/>
      <c r="AH429" s="96"/>
      <c r="AI429" s="96"/>
      <c r="AJ429" s="96"/>
      <c r="AK429" s="96"/>
      <c r="AL429" s="96"/>
      <c r="AM429" s="96"/>
      <c r="AN429" s="96"/>
      <c r="AO429" s="96"/>
      <c r="AP429" s="96"/>
      <c r="AQ429" s="96"/>
      <c r="AR429" s="96"/>
    </row>
    <row r="430" spans="1:44" s="270" customFormat="1" ht="12" customHeight="1">
      <c r="A430" s="96"/>
      <c r="P430" s="146"/>
      <c r="X430" s="96"/>
      <c r="Y430" s="96"/>
      <c r="Z430" s="2498"/>
      <c r="AA430" s="96"/>
      <c r="AB430" s="96"/>
      <c r="AC430" s="96"/>
      <c r="AD430" s="96"/>
      <c r="AE430" s="96"/>
      <c r="AF430" s="96"/>
      <c r="AG430" s="96"/>
      <c r="AH430" s="96"/>
      <c r="AI430" s="96"/>
      <c r="AJ430" s="96"/>
      <c r="AK430" s="96"/>
      <c r="AL430" s="96"/>
      <c r="AM430" s="96"/>
      <c r="AN430" s="96"/>
      <c r="AO430" s="96"/>
      <c r="AP430" s="96"/>
      <c r="AQ430" s="96"/>
      <c r="AR430" s="96"/>
    </row>
    <row r="431" spans="1:44" s="270" customFormat="1" ht="12" customHeight="1">
      <c r="A431" s="96"/>
      <c r="P431" s="146"/>
      <c r="X431" s="96"/>
      <c r="Y431" s="96"/>
      <c r="Z431" s="2498"/>
      <c r="AA431" s="96"/>
      <c r="AB431" s="96"/>
      <c r="AC431" s="96"/>
      <c r="AD431" s="96"/>
      <c r="AE431" s="96"/>
      <c r="AF431" s="96"/>
      <c r="AG431" s="96"/>
      <c r="AH431" s="96"/>
      <c r="AI431" s="96"/>
      <c r="AJ431" s="96"/>
      <c r="AK431" s="96"/>
      <c r="AL431" s="96"/>
      <c r="AM431" s="96"/>
      <c r="AN431" s="96"/>
      <c r="AO431" s="96"/>
      <c r="AP431" s="96"/>
      <c r="AQ431" s="96"/>
      <c r="AR431" s="96"/>
    </row>
    <row r="432" spans="1:44" s="270" customFormat="1" ht="12" customHeight="1">
      <c r="A432" s="96"/>
      <c r="P432" s="294"/>
      <c r="X432" s="96"/>
      <c r="Y432" s="96"/>
      <c r="Z432" s="2498"/>
      <c r="AA432" s="96"/>
      <c r="AB432" s="96"/>
      <c r="AC432" s="96"/>
      <c r="AD432" s="96"/>
      <c r="AE432" s="96"/>
      <c r="AF432" s="96"/>
      <c r="AG432" s="96"/>
      <c r="AH432" s="96"/>
      <c r="AI432" s="96"/>
      <c r="AJ432" s="96"/>
      <c r="AK432" s="96"/>
      <c r="AL432" s="96"/>
      <c r="AM432" s="96"/>
      <c r="AN432" s="96"/>
      <c r="AO432" s="96"/>
      <c r="AP432" s="96"/>
      <c r="AQ432" s="96"/>
      <c r="AR432" s="96"/>
    </row>
    <row r="433" spans="1:44" s="270" customFormat="1" ht="12" customHeight="1">
      <c r="A433" s="96"/>
      <c r="P433" s="146"/>
      <c r="X433" s="96"/>
      <c r="Y433" s="96"/>
      <c r="Z433" s="2498"/>
      <c r="AA433" s="96"/>
      <c r="AB433" s="96"/>
      <c r="AC433" s="96"/>
      <c r="AD433" s="96"/>
      <c r="AE433" s="96"/>
      <c r="AF433" s="96"/>
      <c r="AG433" s="96"/>
      <c r="AH433" s="96"/>
      <c r="AI433" s="96"/>
      <c r="AJ433" s="96"/>
      <c r="AK433" s="96"/>
      <c r="AL433" s="96"/>
      <c r="AM433" s="96"/>
      <c r="AN433" s="96"/>
      <c r="AO433" s="96"/>
      <c r="AP433" s="96"/>
      <c r="AQ433" s="96"/>
      <c r="AR433" s="96"/>
    </row>
    <row r="434" spans="1:44" s="270" customFormat="1" ht="12" customHeight="1">
      <c r="A434" s="96"/>
      <c r="P434" s="146"/>
      <c r="X434" s="96"/>
      <c r="Y434" s="96"/>
      <c r="Z434" s="2498"/>
      <c r="AA434" s="96"/>
      <c r="AB434" s="96"/>
      <c r="AC434" s="96"/>
      <c r="AD434" s="96"/>
      <c r="AE434" s="96"/>
      <c r="AF434" s="96"/>
      <c r="AG434" s="96"/>
      <c r="AH434" s="96"/>
      <c r="AI434" s="96"/>
      <c r="AJ434" s="96"/>
      <c r="AK434" s="96"/>
      <c r="AL434" s="96"/>
      <c r="AM434" s="96"/>
      <c r="AN434" s="96"/>
      <c r="AO434" s="96"/>
      <c r="AP434" s="96"/>
      <c r="AQ434" s="96"/>
      <c r="AR434" s="96"/>
    </row>
    <row r="435" spans="1:44" s="270" customFormat="1" ht="12" customHeight="1">
      <c r="A435" s="96"/>
      <c r="P435" s="146"/>
      <c r="X435" s="96"/>
      <c r="Y435" s="96"/>
      <c r="Z435" s="2498"/>
      <c r="AA435" s="96"/>
      <c r="AB435" s="96"/>
      <c r="AC435" s="96"/>
      <c r="AD435" s="96"/>
      <c r="AE435" s="96"/>
      <c r="AF435" s="96"/>
      <c r="AG435" s="96"/>
      <c r="AH435" s="96"/>
      <c r="AI435" s="96"/>
      <c r="AJ435" s="96"/>
      <c r="AK435" s="96"/>
      <c r="AL435" s="96"/>
      <c r="AM435" s="96"/>
      <c r="AN435" s="96"/>
      <c r="AO435" s="96"/>
      <c r="AP435" s="96"/>
      <c r="AQ435" s="96"/>
      <c r="AR435" s="96"/>
    </row>
    <row r="436" spans="1:44" s="270" customFormat="1" ht="12" customHeight="1">
      <c r="A436" s="96"/>
      <c r="P436" s="146"/>
      <c r="X436" s="96"/>
      <c r="Y436" s="96"/>
      <c r="Z436" s="2498"/>
      <c r="AA436" s="96"/>
      <c r="AB436" s="96"/>
      <c r="AC436" s="96"/>
      <c r="AD436" s="96"/>
      <c r="AE436" s="96"/>
      <c r="AF436" s="96"/>
      <c r="AG436" s="96"/>
      <c r="AH436" s="96"/>
      <c r="AI436" s="96"/>
      <c r="AJ436" s="96"/>
      <c r="AK436" s="96"/>
      <c r="AL436" s="96"/>
      <c r="AM436" s="96"/>
      <c r="AN436" s="96"/>
      <c r="AO436" s="96"/>
      <c r="AP436" s="96"/>
      <c r="AQ436" s="96"/>
      <c r="AR436" s="96"/>
    </row>
    <row r="437" spans="1:44" s="270" customFormat="1" ht="12" customHeight="1">
      <c r="A437" s="96"/>
      <c r="P437" s="146"/>
      <c r="X437" s="96"/>
      <c r="Y437" s="96"/>
      <c r="Z437" s="2498"/>
      <c r="AA437" s="96"/>
      <c r="AB437" s="96"/>
      <c r="AC437" s="96"/>
      <c r="AD437" s="96"/>
      <c r="AE437" s="96"/>
      <c r="AF437" s="96"/>
      <c r="AG437" s="96"/>
      <c r="AH437" s="96"/>
      <c r="AI437" s="96"/>
      <c r="AJ437" s="96"/>
      <c r="AK437" s="96"/>
      <c r="AL437" s="96"/>
      <c r="AM437" s="96"/>
      <c r="AN437" s="96"/>
      <c r="AO437" s="96"/>
      <c r="AP437" s="96"/>
      <c r="AQ437" s="96"/>
      <c r="AR437" s="96"/>
    </row>
    <row r="438" spans="1:44" s="270" customFormat="1" ht="12" customHeight="1">
      <c r="A438" s="96"/>
      <c r="P438" s="146"/>
      <c r="X438" s="96"/>
      <c r="Y438" s="96"/>
      <c r="Z438" s="2498"/>
      <c r="AA438" s="96"/>
      <c r="AB438" s="96"/>
      <c r="AC438" s="96"/>
      <c r="AD438" s="96"/>
      <c r="AE438" s="96"/>
      <c r="AF438" s="96"/>
      <c r="AG438" s="96"/>
      <c r="AH438" s="96"/>
      <c r="AI438" s="96"/>
      <c r="AJ438" s="96"/>
      <c r="AK438" s="96"/>
      <c r="AL438" s="96"/>
      <c r="AM438" s="96"/>
      <c r="AN438" s="96"/>
      <c r="AO438" s="96"/>
      <c r="AP438" s="96"/>
      <c r="AQ438" s="96"/>
      <c r="AR438" s="96"/>
    </row>
    <row r="439" spans="1:44" s="270" customFormat="1" ht="12" customHeight="1">
      <c r="A439" s="96"/>
      <c r="P439" s="146"/>
      <c r="X439" s="96"/>
      <c r="Y439" s="96"/>
      <c r="Z439" s="2498"/>
      <c r="AA439" s="96"/>
      <c r="AB439" s="96"/>
      <c r="AC439" s="96"/>
      <c r="AD439" s="96"/>
      <c r="AE439" s="96"/>
      <c r="AF439" s="96"/>
      <c r="AG439" s="96"/>
      <c r="AH439" s="96"/>
      <c r="AI439" s="96"/>
      <c r="AJ439" s="96"/>
      <c r="AK439" s="96"/>
      <c r="AL439" s="96"/>
      <c r="AM439" s="96"/>
      <c r="AN439" s="96"/>
      <c r="AO439" s="96"/>
      <c r="AP439" s="96"/>
      <c r="AQ439" s="96"/>
      <c r="AR439" s="96"/>
    </row>
    <row r="440" spans="1:44" s="270" customFormat="1" ht="12" customHeight="1">
      <c r="A440" s="96"/>
      <c r="P440" s="146"/>
      <c r="X440" s="96"/>
      <c r="Y440" s="96"/>
      <c r="Z440" s="2498"/>
      <c r="AA440" s="96"/>
      <c r="AB440" s="96"/>
      <c r="AC440" s="96"/>
      <c r="AD440" s="96"/>
      <c r="AE440" s="96"/>
      <c r="AF440" s="96"/>
      <c r="AG440" s="96"/>
      <c r="AH440" s="96"/>
      <c r="AI440" s="96"/>
      <c r="AJ440" s="96"/>
      <c r="AK440" s="96"/>
      <c r="AL440" s="96"/>
      <c r="AM440" s="96"/>
      <c r="AN440" s="96"/>
      <c r="AO440" s="96"/>
      <c r="AP440" s="96"/>
      <c r="AQ440" s="96"/>
      <c r="AR440" s="96"/>
    </row>
    <row r="441" spans="1:44" s="270" customFormat="1" ht="12" customHeight="1">
      <c r="A441" s="96"/>
      <c r="P441" s="146"/>
      <c r="X441" s="96"/>
      <c r="Y441" s="96"/>
      <c r="Z441" s="2498"/>
      <c r="AA441" s="96"/>
      <c r="AB441" s="96"/>
      <c r="AC441" s="96"/>
      <c r="AD441" s="96"/>
      <c r="AE441" s="96"/>
      <c r="AF441" s="96"/>
      <c r="AG441" s="96"/>
      <c r="AH441" s="96"/>
      <c r="AI441" s="96"/>
      <c r="AJ441" s="96"/>
      <c r="AK441" s="96"/>
      <c r="AL441" s="96"/>
      <c r="AM441" s="96"/>
      <c r="AN441" s="96"/>
      <c r="AO441" s="96"/>
      <c r="AP441" s="96"/>
      <c r="AQ441" s="96"/>
      <c r="AR441" s="96"/>
    </row>
    <row r="442" spans="1:44" s="270" customFormat="1" ht="12" customHeight="1">
      <c r="A442" s="96"/>
      <c r="P442" s="294"/>
      <c r="X442" s="96"/>
      <c r="Y442" s="96"/>
      <c r="Z442" s="2498"/>
      <c r="AA442" s="96"/>
      <c r="AB442" s="96"/>
      <c r="AC442" s="96"/>
      <c r="AD442" s="96"/>
      <c r="AE442" s="96"/>
      <c r="AF442" s="96"/>
      <c r="AG442" s="96"/>
      <c r="AH442" s="96"/>
      <c r="AI442" s="96"/>
      <c r="AJ442" s="96"/>
      <c r="AK442" s="96"/>
      <c r="AL442" s="96"/>
      <c r="AM442" s="96"/>
      <c r="AN442" s="96"/>
      <c r="AO442" s="96"/>
      <c r="AP442" s="96"/>
      <c r="AQ442" s="96"/>
      <c r="AR442" s="96"/>
    </row>
    <row r="443" spans="1:44" s="270" customFormat="1" ht="12" customHeight="1">
      <c r="A443" s="96"/>
      <c r="P443" s="294"/>
      <c r="X443" s="96"/>
      <c r="Y443" s="96"/>
      <c r="Z443" s="2498"/>
      <c r="AA443" s="96"/>
      <c r="AB443" s="96"/>
      <c r="AC443" s="96"/>
      <c r="AD443" s="96"/>
      <c r="AE443" s="96"/>
      <c r="AF443" s="96"/>
      <c r="AG443" s="96"/>
      <c r="AH443" s="96"/>
      <c r="AI443" s="96"/>
      <c r="AJ443" s="96"/>
      <c r="AK443" s="96"/>
      <c r="AL443" s="96"/>
      <c r="AM443" s="96"/>
      <c r="AN443" s="96"/>
      <c r="AO443" s="96"/>
      <c r="AP443" s="96"/>
      <c r="AQ443" s="96"/>
      <c r="AR443" s="96"/>
    </row>
    <row r="444" spans="1:44" s="270" customFormat="1" ht="12" customHeight="1">
      <c r="A444" s="96"/>
      <c r="P444" s="294"/>
      <c r="X444" s="96"/>
      <c r="Y444" s="96"/>
      <c r="Z444" s="2498"/>
      <c r="AA444" s="96"/>
      <c r="AB444" s="96"/>
      <c r="AC444" s="96"/>
      <c r="AD444" s="96"/>
      <c r="AE444" s="96"/>
      <c r="AF444" s="96"/>
      <c r="AG444" s="96"/>
      <c r="AH444" s="96"/>
      <c r="AI444" s="96"/>
      <c r="AJ444" s="96"/>
      <c r="AK444" s="96"/>
      <c r="AL444" s="96"/>
      <c r="AM444" s="96"/>
      <c r="AN444" s="96"/>
      <c r="AO444" s="96"/>
      <c r="AP444" s="96"/>
      <c r="AQ444" s="96"/>
      <c r="AR444" s="96"/>
    </row>
    <row r="445" spans="1:44" s="270" customFormat="1" ht="12" customHeight="1">
      <c r="A445" s="96"/>
      <c r="P445" s="146"/>
      <c r="X445" s="96"/>
      <c r="Y445" s="96"/>
      <c r="Z445" s="2498"/>
      <c r="AA445" s="96"/>
      <c r="AB445" s="96"/>
      <c r="AC445" s="96"/>
      <c r="AD445" s="96"/>
      <c r="AE445" s="96"/>
      <c r="AF445" s="96"/>
      <c r="AG445" s="96"/>
      <c r="AH445" s="96"/>
      <c r="AI445" s="96"/>
      <c r="AJ445" s="96"/>
      <c r="AK445" s="96"/>
      <c r="AL445" s="96"/>
      <c r="AM445" s="96"/>
      <c r="AN445" s="96"/>
      <c r="AO445" s="96"/>
      <c r="AP445" s="96"/>
      <c r="AQ445" s="96"/>
      <c r="AR445" s="96"/>
    </row>
    <row r="446" spans="1:44" s="270" customFormat="1" ht="12" customHeight="1">
      <c r="A446" s="96"/>
      <c r="P446" s="146"/>
      <c r="X446" s="96"/>
      <c r="Y446" s="96"/>
      <c r="Z446" s="2498"/>
      <c r="AA446" s="96"/>
      <c r="AB446" s="96"/>
      <c r="AC446" s="96"/>
      <c r="AD446" s="96"/>
      <c r="AE446" s="96"/>
      <c r="AF446" s="96"/>
      <c r="AG446" s="96"/>
      <c r="AH446" s="96"/>
      <c r="AI446" s="96"/>
      <c r="AJ446" s="96"/>
      <c r="AK446" s="96"/>
      <c r="AL446" s="96"/>
      <c r="AM446" s="96"/>
      <c r="AN446" s="96"/>
      <c r="AO446" s="96"/>
      <c r="AP446" s="96"/>
      <c r="AQ446" s="96"/>
      <c r="AR446" s="96"/>
    </row>
    <row r="447" spans="1:44" s="270" customFormat="1" ht="12" customHeight="1">
      <c r="A447" s="96"/>
      <c r="P447" s="146"/>
      <c r="X447" s="96"/>
      <c r="Y447" s="96"/>
      <c r="Z447" s="2498"/>
      <c r="AA447" s="96"/>
      <c r="AB447" s="96"/>
      <c r="AC447" s="96"/>
      <c r="AD447" s="96"/>
      <c r="AE447" s="96"/>
      <c r="AF447" s="96"/>
      <c r="AG447" s="96"/>
      <c r="AH447" s="96"/>
      <c r="AI447" s="96"/>
      <c r="AJ447" s="96"/>
      <c r="AK447" s="96"/>
      <c r="AL447" s="96"/>
      <c r="AM447" s="96"/>
      <c r="AN447" s="96"/>
      <c r="AO447" s="96"/>
      <c r="AP447" s="96"/>
      <c r="AQ447" s="96"/>
      <c r="AR447" s="96"/>
    </row>
    <row r="448" spans="1:44" s="270" customFormat="1" ht="12" customHeight="1">
      <c r="A448" s="96"/>
      <c r="P448" s="146"/>
      <c r="X448" s="96"/>
      <c r="Y448" s="96"/>
      <c r="Z448" s="2498"/>
      <c r="AA448" s="96"/>
      <c r="AB448" s="96"/>
      <c r="AC448" s="96"/>
      <c r="AD448" s="96"/>
      <c r="AE448" s="96"/>
      <c r="AF448" s="96"/>
      <c r="AG448" s="96"/>
      <c r="AH448" s="96"/>
      <c r="AI448" s="96"/>
      <c r="AJ448" s="96"/>
      <c r="AK448" s="96"/>
      <c r="AL448" s="96"/>
      <c r="AM448" s="96"/>
      <c r="AN448" s="96"/>
      <c r="AO448" s="96"/>
      <c r="AP448" s="96"/>
      <c r="AQ448" s="96"/>
      <c r="AR448" s="96"/>
    </row>
    <row r="449" spans="1:44" s="270" customFormat="1" ht="12" customHeight="1">
      <c r="A449" s="96"/>
      <c r="P449" s="146"/>
      <c r="X449" s="96"/>
      <c r="Y449" s="96"/>
      <c r="Z449" s="2498"/>
      <c r="AA449" s="96"/>
      <c r="AB449" s="96"/>
      <c r="AC449" s="96"/>
      <c r="AD449" s="96"/>
      <c r="AE449" s="96"/>
      <c r="AF449" s="96"/>
      <c r="AG449" s="96"/>
      <c r="AH449" s="96"/>
      <c r="AI449" s="96"/>
      <c r="AJ449" s="96"/>
      <c r="AK449" s="96"/>
      <c r="AL449" s="96"/>
      <c r="AM449" s="96"/>
      <c r="AN449" s="96"/>
      <c r="AO449" s="96"/>
      <c r="AP449" s="96"/>
      <c r="AQ449" s="96"/>
      <c r="AR449" s="96"/>
    </row>
    <row r="450" spans="1:44" s="270" customFormat="1" ht="12" customHeight="1">
      <c r="A450" s="96"/>
      <c r="P450" s="146"/>
      <c r="X450" s="96"/>
      <c r="Y450" s="96"/>
      <c r="Z450" s="2498"/>
      <c r="AA450" s="96"/>
      <c r="AB450" s="96"/>
      <c r="AC450" s="96"/>
      <c r="AD450" s="96"/>
      <c r="AE450" s="96"/>
      <c r="AF450" s="96"/>
      <c r="AG450" s="96"/>
      <c r="AH450" s="96"/>
      <c r="AI450" s="96"/>
      <c r="AJ450" s="96"/>
      <c r="AK450" s="96"/>
      <c r="AL450" s="96"/>
      <c r="AM450" s="96"/>
      <c r="AN450" s="96"/>
      <c r="AO450" s="96"/>
      <c r="AP450" s="96"/>
      <c r="AQ450" s="96"/>
      <c r="AR450" s="96"/>
    </row>
    <row r="451" spans="1:44" s="270" customFormat="1" ht="12" customHeight="1">
      <c r="A451" s="96"/>
      <c r="P451" s="146"/>
      <c r="X451" s="96"/>
      <c r="Y451" s="96"/>
      <c r="Z451" s="2498"/>
      <c r="AA451" s="96"/>
      <c r="AB451" s="96"/>
      <c r="AC451" s="96"/>
      <c r="AD451" s="96"/>
      <c r="AE451" s="96"/>
      <c r="AF451" s="96"/>
      <c r="AG451" s="96"/>
      <c r="AH451" s="96"/>
      <c r="AI451" s="96"/>
      <c r="AJ451" s="96"/>
      <c r="AK451" s="96"/>
      <c r="AL451" s="96"/>
      <c r="AM451" s="96"/>
      <c r="AN451" s="96"/>
      <c r="AO451" s="96"/>
      <c r="AP451" s="96"/>
      <c r="AQ451" s="96"/>
      <c r="AR451" s="96"/>
    </row>
    <row r="452" spans="1:44" s="270" customFormat="1" ht="12" customHeight="1">
      <c r="A452" s="96"/>
      <c r="P452" s="146"/>
      <c r="X452" s="96"/>
      <c r="Y452" s="96"/>
      <c r="Z452" s="2498"/>
      <c r="AA452" s="96"/>
      <c r="AB452" s="96"/>
      <c r="AC452" s="96"/>
      <c r="AD452" s="96"/>
      <c r="AE452" s="96"/>
      <c r="AF452" s="96"/>
      <c r="AG452" s="96"/>
      <c r="AH452" s="96"/>
      <c r="AI452" s="96"/>
      <c r="AJ452" s="96"/>
      <c r="AK452" s="96"/>
      <c r="AL452" s="96"/>
      <c r="AM452" s="96"/>
      <c r="AN452" s="96"/>
      <c r="AO452" s="96"/>
      <c r="AP452" s="96"/>
      <c r="AQ452" s="96"/>
      <c r="AR452" s="96"/>
    </row>
    <row r="453" spans="1:44" s="270" customFormat="1" ht="12" customHeight="1">
      <c r="A453" s="96"/>
      <c r="P453" s="146"/>
      <c r="X453" s="96"/>
      <c r="Y453" s="96"/>
      <c r="Z453" s="2498"/>
      <c r="AA453" s="96"/>
      <c r="AB453" s="96"/>
      <c r="AC453" s="96"/>
      <c r="AD453" s="96"/>
      <c r="AE453" s="96"/>
      <c r="AF453" s="96"/>
      <c r="AG453" s="96"/>
      <c r="AH453" s="96"/>
      <c r="AI453" s="96"/>
      <c r="AJ453" s="96"/>
      <c r="AK453" s="96"/>
      <c r="AL453" s="96"/>
      <c r="AM453" s="96"/>
      <c r="AN453" s="96"/>
      <c r="AO453" s="96"/>
      <c r="AP453" s="96"/>
      <c r="AQ453" s="96"/>
      <c r="AR453" s="96"/>
    </row>
    <row r="454" spans="1:44" s="270" customFormat="1" ht="12" customHeight="1">
      <c r="A454" s="96"/>
      <c r="P454" s="146"/>
      <c r="X454" s="96"/>
      <c r="Y454" s="96"/>
      <c r="Z454" s="2498"/>
      <c r="AA454" s="96"/>
      <c r="AB454" s="96"/>
      <c r="AC454" s="96"/>
      <c r="AD454" s="96"/>
      <c r="AE454" s="96"/>
      <c r="AF454" s="96"/>
      <c r="AG454" s="96"/>
      <c r="AH454" s="96"/>
      <c r="AI454" s="96"/>
      <c r="AJ454" s="96"/>
      <c r="AK454" s="96"/>
      <c r="AL454" s="96"/>
      <c r="AM454" s="96"/>
      <c r="AN454" s="96"/>
      <c r="AO454" s="96"/>
      <c r="AP454" s="96"/>
      <c r="AQ454" s="96"/>
      <c r="AR454" s="96"/>
    </row>
    <row r="455" spans="1:44" s="270" customFormat="1" ht="12" customHeight="1">
      <c r="A455" s="96"/>
      <c r="P455" s="146"/>
      <c r="X455" s="96"/>
      <c r="Y455" s="96"/>
      <c r="Z455" s="2498"/>
      <c r="AA455" s="96"/>
      <c r="AB455" s="96"/>
      <c r="AC455" s="96"/>
      <c r="AD455" s="96"/>
      <c r="AE455" s="96"/>
      <c r="AF455" s="96"/>
      <c r="AG455" s="96"/>
      <c r="AH455" s="96"/>
      <c r="AI455" s="96"/>
      <c r="AJ455" s="96"/>
      <c r="AK455" s="96"/>
      <c r="AL455" s="96"/>
      <c r="AM455" s="96"/>
      <c r="AN455" s="96"/>
      <c r="AO455" s="96"/>
      <c r="AP455" s="96"/>
      <c r="AQ455" s="96"/>
      <c r="AR455" s="96"/>
    </row>
    <row r="456" spans="1:44" s="270" customFormat="1" ht="12" customHeight="1">
      <c r="A456" s="96"/>
      <c r="P456" s="146"/>
      <c r="X456" s="96"/>
      <c r="Y456" s="96"/>
      <c r="Z456" s="2498"/>
      <c r="AA456" s="96"/>
      <c r="AB456" s="96"/>
      <c r="AC456" s="96"/>
      <c r="AD456" s="96"/>
      <c r="AE456" s="96"/>
      <c r="AF456" s="96"/>
      <c r="AG456" s="96"/>
      <c r="AH456" s="96"/>
      <c r="AI456" s="96"/>
      <c r="AJ456" s="96"/>
      <c r="AK456" s="96"/>
      <c r="AL456" s="96"/>
      <c r="AM456" s="96"/>
      <c r="AN456" s="96"/>
      <c r="AO456" s="96"/>
      <c r="AP456" s="96"/>
      <c r="AQ456" s="96"/>
      <c r="AR456" s="96"/>
    </row>
    <row r="457" spans="1:44" s="270" customFormat="1" ht="12" customHeight="1">
      <c r="A457" s="96"/>
      <c r="P457" s="294"/>
      <c r="X457" s="96"/>
      <c r="Y457" s="96"/>
      <c r="Z457" s="2498"/>
      <c r="AA457" s="96"/>
      <c r="AB457" s="96"/>
      <c r="AC457" s="96"/>
      <c r="AD457" s="96"/>
      <c r="AE457" s="96"/>
      <c r="AF457" s="96"/>
      <c r="AG457" s="96"/>
      <c r="AH457" s="96"/>
      <c r="AI457" s="96"/>
      <c r="AJ457" s="96"/>
      <c r="AK457" s="96"/>
      <c r="AL457" s="96"/>
      <c r="AM457" s="96"/>
      <c r="AN457" s="96"/>
      <c r="AO457" s="96"/>
      <c r="AP457" s="96"/>
      <c r="AQ457" s="96"/>
      <c r="AR457" s="96"/>
    </row>
    <row r="458" spans="1:44" s="270" customFormat="1" ht="12" customHeight="1">
      <c r="A458" s="96"/>
      <c r="P458" s="146"/>
      <c r="X458" s="96"/>
      <c r="Y458" s="96"/>
      <c r="Z458" s="2498"/>
      <c r="AA458" s="96"/>
      <c r="AB458" s="96"/>
      <c r="AC458" s="96"/>
      <c r="AD458" s="96"/>
      <c r="AE458" s="96"/>
      <c r="AF458" s="96"/>
      <c r="AG458" s="96"/>
      <c r="AH458" s="96"/>
      <c r="AI458" s="96"/>
      <c r="AJ458" s="96"/>
      <c r="AK458" s="96"/>
      <c r="AL458" s="96"/>
      <c r="AM458" s="96"/>
      <c r="AN458" s="96"/>
      <c r="AO458" s="96"/>
      <c r="AP458" s="96"/>
      <c r="AQ458" s="96"/>
      <c r="AR458" s="96"/>
    </row>
    <row r="459" spans="1:44" s="270" customFormat="1" ht="12" customHeight="1">
      <c r="A459" s="96"/>
      <c r="P459" s="146"/>
      <c r="X459" s="96"/>
      <c r="Y459" s="96"/>
      <c r="Z459" s="2498"/>
      <c r="AA459" s="96"/>
      <c r="AB459" s="96"/>
      <c r="AC459" s="96"/>
      <c r="AD459" s="96"/>
      <c r="AE459" s="96"/>
      <c r="AF459" s="96"/>
      <c r="AG459" s="96"/>
      <c r="AH459" s="96"/>
      <c r="AI459" s="96"/>
      <c r="AJ459" s="96"/>
      <c r="AK459" s="96"/>
      <c r="AL459" s="96"/>
      <c r="AM459" s="96"/>
      <c r="AN459" s="96"/>
      <c r="AO459" s="96"/>
      <c r="AP459" s="96"/>
      <c r="AQ459" s="96"/>
      <c r="AR459" s="96"/>
    </row>
    <row r="460" spans="1:44" s="270" customFormat="1" ht="12" customHeight="1">
      <c r="A460" s="96"/>
      <c r="P460" s="146"/>
      <c r="X460" s="96"/>
      <c r="Y460" s="96"/>
      <c r="Z460" s="2498"/>
      <c r="AA460" s="96"/>
      <c r="AB460" s="96"/>
      <c r="AC460" s="96"/>
      <c r="AD460" s="96"/>
      <c r="AE460" s="96"/>
      <c r="AF460" s="96"/>
      <c r="AG460" s="96"/>
      <c r="AH460" s="96"/>
      <c r="AI460" s="96"/>
      <c r="AJ460" s="96"/>
      <c r="AK460" s="96"/>
      <c r="AL460" s="96"/>
      <c r="AM460" s="96"/>
      <c r="AN460" s="96"/>
      <c r="AO460" s="96"/>
      <c r="AP460" s="96"/>
      <c r="AQ460" s="96"/>
      <c r="AR460" s="96"/>
    </row>
    <row r="461" spans="1:44" s="270" customFormat="1" ht="12" customHeight="1">
      <c r="A461" s="96"/>
      <c r="P461" s="146"/>
      <c r="X461" s="96"/>
      <c r="Y461" s="96"/>
      <c r="Z461" s="2498"/>
      <c r="AA461" s="96"/>
      <c r="AB461" s="96"/>
      <c r="AC461" s="96"/>
      <c r="AD461" s="96"/>
      <c r="AE461" s="96"/>
      <c r="AF461" s="96"/>
      <c r="AG461" s="96"/>
      <c r="AH461" s="96"/>
      <c r="AI461" s="96"/>
      <c r="AJ461" s="96"/>
      <c r="AK461" s="96"/>
      <c r="AL461" s="96"/>
      <c r="AM461" s="96"/>
      <c r="AN461" s="96"/>
      <c r="AO461" s="96"/>
      <c r="AP461" s="96"/>
      <c r="AQ461" s="96"/>
      <c r="AR461" s="96"/>
    </row>
    <row r="462" spans="1:44" s="270" customFormat="1" ht="12" customHeight="1">
      <c r="A462" s="96"/>
      <c r="P462" s="294"/>
      <c r="X462" s="96"/>
      <c r="Y462" s="96"/>
      <c r="Z462" s="2498"/>
      <c r="AA462" s="96"/>
      <c r="AB462" s="96"/>
      <c r="AC462" s="96"/>
      <c r="AD462" s="96"/>
      <c r="AE462" s="96"/>
      <c r="AF462" s="96"/>
      <c r="AG462" s="96"/>
      <c r="AH462" s="96"/>
      <c r="AI462" s="96"/>
      <c r="AJ462" s="96"/>
      <c r="AK462" s="96"/>
      <c r="AL462" s="96"/>
      <c r="AM462" s="96"/>
      <c r="AN462" s="96"/>
      <c r="AO462" s="96"/>
      <c r="AP462" s="96"/>
      <c r="AQ462" s="96"/>
      <c r="AR462" s="96"/>
    </row>
    <row r="463" spans="1:44" s="270" customFormat="1" ht="12" customHeight="1">
      <c r="A463" s="96"/>
      <c r="P463" s="146"/>
      <c r="X463" s="96"/>
      <c r="Y463" s="96"/>
      <c r="Z463" s="2498"/>
      <c r="AA463" s="96"/>
      <c r="AB463" s="96"/>
      <c r="AC463" s="96"/>
      <c r="AD463" s="96"/>
      <c r="AE463" s="96"/>
      <c r="AF463" s="96"/>
      <c r="AG463" s="96"/>
      <c r="AH463" s="96"/>
      <c r="AI463" s="96"/>
      <c r="AJ463" s="96"/>
      <c r="AK463" s="96"/>
      <c r="AL463" s="96"/>
      <c r="AM463" s="96"/>
      <c r="AN463" s="96"/>
      <c r="AO463" s="96"/>
      <c r="AP463" s="96"/>
      <c r="AQ463" s="96"/>
      <c r="AR463" s="96"/>
    </row>
    <row r="464" spans="1:44" s="270" customFormat="1" ht="12" customHeight="1">
      <c r="A464" s="96"/>
      <c r="P464" s="146"/>
      <c r="X464" s="96"/>
      <c r="Y464" s="96"/>
      <c r="Z464" s="2498"/>
      <c r="AA464" s="96"/>
      <c r="AB464" s="96"/>
      <c r="AC464" s="96"/>
      <c r="AD464" s="96"/>
      <c r="AE464" s="96"/>
      <c r="AF464" s="96"/>
      <c r="AG464" s="96"/>
      <c r="AH464" s="96"/>
      <c r="AI464" s="96"/>
      <c r="AJ464" s="96"/>
      <c r="AK464" s="96"/>
      <c r="AL464" s="96"/>
      <c r="AM464" s="96"/>
      <c r="AN464" s="96"/>
      <c r="AO464" s="96"/>
      <c r="AP464" s="96"/>
      <c r="AQ464" s="96"/>
      <c r="AR464" s="96"/>
    </row>
    <row r="465" spans="1:44" s="270" customFormat="1" ht="12" customHeight="1">
      <c r="A465" s="96"/>
      <c r="P465" s="146"/>
      <c r="X465" s="96"/>
      <c r="Y465" s="96"/>
      <c r="Z465" s="2498"/>
      <c r="AA465" s="96"/>
      <c r="AB465" s="96"/>
      <c r="AC465" s="96"/>
      <c r="AD465" s="96"/>
      <c r="AE465" s="96"/>
      <c r="AF465" s="96"/>
      <c r="AG465" s="96"/>
      <c r="AH465" s="96"/>
      <c r="AI465" s="96"/>
      <c r="AJ465" s="96"/>
      <c r="AK465" s="96"/>
      <c r="AL465" s="96"/>
      <c r="AM465" s="96"/>
      <c r="AN465" s="96"/>
      <c r="AO465" s="96"/>
      <c r="AP465" s="96"/>
      <c r="AQ465" s="96"/>
      <c r="AR465" s="96"/>
    </row>
    <row r="466" spans="1:44" s="270" customFormat="1" ht="12" customHeight="1">
      <c r="A466" s="96"/>
      <c r="P466" s="146"/>
      <c r="X466" s="96"/>
      <c r="Y466" s="96"/>
      <c r="Z466" s="2498"/>
      <c r="AA466" s="96"/>
      <c r="AB466" s="96"/>
      <c r="AC466" s="96"/>
      <c r="AD466" s="96"/>
      <c r="AE466" s="96"/>
      <c r="AF466" s="96"/>
      <c r="AG466" s="96"/>
      <c r="AH466" s="96"/>
      <c r="AI466" s="96"/>
      <c r="AJ466" s="96"/>
      <c r="AK466" s="96"/>
      <c r="AL466" s="96"/>
      <c r="AM466" s="96"/>
      <c r="AN466" s="96"/>
      <c r="AO466" s="96"/>
      <c r="AP466" s="96"/>
      <c r="AQ466" s="96"/>
      <c r="AR466" s="96"/>
    </row>
    <row r="467" spans="1:44" s="270" customFormat="1" ht="12" customHeight="1">
      <c r="A467" s="96"/>
      <c r="P467" s="146"/>
      <c r="X467" s="96"/>
      <c r="Y467" s="96"/>
      <c r="Z467" s="2498"/>
      <c r="AA467" s="96"/>
      <c r="AB467" s="96"/>
      <c r="AC467" s="96"/>
      <c r="AD467" s="96"/>
      <c r="AE467" s="96"/>
      <c r="AF467" s="96"/>
      <c r="AG467" s="96"/>
      <c r="AH467" s="96"/>
      <c r="AI467" s="96"/>
      <c r="AJ467" s="96"/>
      <c r="AK467" s="96"/>
      <c r="AL467" s="96"/>
      <c r="AM467" s="96"/>
      <c r="AN467" s="96"/>
      <c r="AO467" s="96"/>
      <c r="AP467" s="96"/>
      <c r="AQ467" s="96"/>
      <c r="AR467" s="96"/>
    </row>
    <row r="468" spans="1:44" s="270" customFormat="1" ht="12" customHeight="1">
      <c r="A468" s="96"/>
      <c r="P468" s="146"/>
      <c r="X468" s="96"/>
      <c r="Y468" s="96"/>
      <c r="Z468" s="2498"/>
      <c r="AA468" s="96"/>
      <c r="AB468" s="96"/>
      <c r="AC468" s="96"/>
      <c r="AD468" s="96"/>
      <c r="AE468" s="96"/>
      <c r="AF468" s="96"/>
      <c r="AG468" s="96"/>
      <c r="AH468" s="96"/>
      <c r="AI468" s="96"/>
      <c r="AJ468" s="96"/>
      <c r="AK468" s="96"/>
      <c r="AL468" s="96"/>
      <c r="AM468" s="96"/>
      <c r="AN468" s="96"/>
      <c r="AO468" s="96"/>
      <c r="AP468" s="96"/>
      <c r="AQ468" s="96"/>
      <c r="AR468" s="96"/>
    </row>
    <row r="469" spans="1:44" s="270" customFormat="1" ht="12" customHeight="1">
      <c r="A469" s="96"/>
      <c r="P469" s="146"/>
      <c r="X469" s="96"/>
      <c r="Y469" s="96"/>
      <c r="Z469" s="2498"/>
      <c r="AA469" s="96"/>
      <c r="AB469" s="96"/>
      <c r="AC469" s="96"/>
      <c r="AD469" s="96"/>
      <c r="AE469" s="96"/>
      <c r="AF469" s="96"/>
      <c r="AG469" s="96"/>
      <c r="AH469" s="96"/>
      <c r="AI469" s="96"/>
      <c r="AJ469" s="96"/>
      <c r="AK469" s="96"/>
      <c r="AL469" s="96"/>
      <c r="AM469" s="96"/>
      <c r="AN469" s="96"/>
      <c r="AO469" s="96"/>
      <c r="AP469" s="96"/>
      <c r="AQ469" s="96"/>
      <c r="AR469" s="96"/>
    </row>
    <row r="470" spans="1:44" s="270" customFormat="1" ht="12" customHeight="1">
      <c r="A470" s="96"/>
      <c r="P470" s="146"/>
      <c r="X470" s="96"/>
      <c r="Y470" s="96"/>
      <c r="Z470" s="2498"/>
      <c r="AA470" s="96"/>
      <c r="AB470" s="96"/>
      <c r="AC470" s="96"/>
      <c r="AD470" s="96"/>
      <c r="AE470" s="96"/>
      <c r="AF470" s="96"/>
      <c r="AG470" s="96"/>
      <c r="AH470" s="96"/>
      <c r="AI470" s="96"/>
      <c r="AJ470" s="96"/>
      <c r="AK470" s="96"/>
      <c r="AL470" s="96"/>
      <c r="AM470" s="96"/>
      <c r="AN470" s="96"/>
      <c r="AO470" s="96"/>
      <c r="AP470" s="96"/>
      <c r="AQ470" s="96"/>
      <c r="AR470" s="96"/>
    </row>
    <row r="471" spans="1:44" s="270" customFormat="1" ht="12" customHeight="1">
      <c r="A471" s="96"/>
      <c r="P471" s="146"/>
      <c r="R471" s="290" t="s">
        <v>81</v>
      </c>
      <c r="S471" s="290" t="s">
        <v>82</v>
      </c>
      <c r="T471" s="290" t="s">
        <v>83</v>
      </c>
      <c r="X471" s="96"/>
      <c r="Y471" s="96"/>
      <c r="Z471" s="2498"/>
      <c r="AA471" s="96"/>
      <c r="AB471" s="96"/>
      <c r="AC471" s="96"/>
      <c r="AD471" s="96"/>
      <c r="AE471" s="96"/>
      <c r="AF471" s="96"/>
      <c r="AG471" s="96"/>
      <c r="AH471" s="96"/>
      <c r="AI471" s="96"/>
      <c r="AJ471" s="96"/>
      <c r="AK471" s="96"/>
      <c r="AL471" s="96"/>
      <c r="AM471" s="96"/>
      <c r="AN471" s="96"/>
      <c r="AO471" s="96"/>
      <c r="AP471" s="96"/>
      <c r="AQ471" s="96"/>
      <c r="AR471" s="96"/>
    </row>
    <row r="472" spans="1:44" s="270" customFormat="1" ht="12" customHeight="1">
      <c r="A472" s="96"/>
      <c r="P472" s="146"/>
      <c r="R472" s="290" t="s">
        <v>84</v>
      </c>
      <c r="S472" s="290" t="s">
        <v>85</v>
      </c>
      <c r="T472" s="291" t="s">
        <v>86</v>
      </c>
      <c r="X472" s="96"/>
      <c r="Y472" s="96"/>
      <c r="Z472" s="2498"/>
      <c r="AA472" s="96"/>
      <c r="AB472" s="96"/>
      <c r="AC472" s="96"/>
      <c r="AD472" s="96"/>
      <c r="AE472" s="96"/>
      <c r="AF472" s="96"/>
      <c r="AG472" s="96"/>
      <c r="AH472" s="96"/>
      <c r="AI472" s="96"/>
      <c r="AJ472" s="96"/>
      <c r="AK472" s="96"/>
      <c r="AL472" s="96"/>
      <c r="AM472" s="96"/>
      <c r="AN472" s="96"/>
      <c r="AO472" s="96"/>
      <c r="AP472" s="96"/>
      <c r="AQ472" s="96"/>
      <c r="AR472" s="96"/>
    </row>
    <row r="473" spans="1:44" s="270" customFormat="1" ht="12" customHeight="1">
      <c r="A473" s="96"/>
      <c r="P473" s="294"/>
      <c r="R473" s="290" t="s">
        <v>87</v>
      </c>
      <c r="S473" s="290" t="s">
        <v>88</v>
      </c>
      <c r="T473" s="291" t="s">
        <v>86</v>
      </c>
      <c r="X473" s="96"/>
      <c r="Y473" s="96"/>
      <c r="Z473" s="2498"/>
      <c r="AA473" s="96"/>
      <c r="AB473" s="96"/>
      <c r="AC473" s="96"/>
      <c r="AD473" s="96"/>
      <c r="AE473" s="96"/>
      <c r="AF473" s="96"/>
      <c r="AG473" s="96"/>
      <c r="AH473" s="96"/>
      <c r="AI473" s="96"/>
      <c r="AJ473" s="96"/>
      <c r="AK473" s="96"/>
      <c r="AL473" s="96"/>
      <c r="AM473" s="96"/>
      <c r="AN473" s="96"/>
      <c r="AO473" s="96"/>
      <c r="AP473" s="96"/>
      <c r="AQ473" s="96"/>
      <c r="AR473" s="96"/>
    </row>
    <row r="474" spans="1:44" s="270" customFormat="1" ht="12" customHeight="1">
      <c r="A474" s="96"/>
      <c r="P474" s="146"/>
      <c r="R474" s="290" t="s">
        <v>89</v>
      </c>
      <c r="S474" s="290" t="s">
        <v>90</v>
      </c>
      <c r="T474" s="291" t="s">
        <v>86</v>
      </c>
      <c r="X474" s="96"/>
      <c r="Y474" s="96"/>
      <c r="Z474" s="2498"/>
      <c r="AA474" s="96"/>
      <c r="AB474" s="96"/>
      <c r="AC474" s="96"/>
      <c r="AD474" s="96"/>
      <c r="AE474" s="96"/>
      <c r="AF474" s="96"/>
      <c r="AG474" s="96"/>
      <c r="AH474" s="96"/>
      <c r="AI474" s="96"/>
      <c r="AJ474" s="96"/>
      <c r="AK474" s="96"/>
      <c r="AL474" s="96"/>
      <c r="AM474" s="96"/>
      <c r="AN474" s="96"/>
      <c r="AO474" s="96"/>
      <c r="AP474" s="96"/>
      <c r="AQ474" s="96"/>
      <c r="AR474" s="96"/>
    </row>
    <row r="475" spans="1:44" s="270" customFormat="1" ht="12" customHeight="1">
      <c r="A475" s="96"/>
      <c r="P475" s="146"/>
      <c r="R475" s="290" t="s">
        <v>91</v>
      </c>
      <c r="S475" s="290"/>
      <c r="T475" s="291" t="s">
        <v>86</v>
      </c>
      <c r="X475" s="96"/>
      <c r="Y475" s="96"/>
      <c r="Z475" s="2498"/>
      <c r="AA475" s="96"/>
      <c r="AB475" s="96"/>
      <c r="AC475" s="96"/>
      <c r="AD475" s="96"/>
      <c r="AE475" s="96"/>
      <c r="AF475" s="96"/>
      <c r="AG475" s="96"/>
      <c r="AH475" s="96"/>
      <c r="AI475" s="96"/>
      <c r="AJ475" s="96"/>
      <c r="AK475" s="96"/>
      <c r="AL475" s="96"/>
      <c r="AM475" s="96"/>
      <c r="AN475" s="96"/>
      <c r="AO475" s="96"/>
      <c r="AP475" s="96"/>
      <c r="AQ475" s="96"/>
      <c r="AR475" s="96"/>
    </row>
    <row r="476" spans="1:44" s="270" customFormat="1" ht="12" customHeight="1">
      <c r="A476" s="96"/>
      <c r="P476" s="146"/>
      <c r="R476" s="290" t="s">
        <v>92</v>
      </c>
      <c r="S476" s="290" t="s">
        <v>93</v>
      </c>
      <c r="T476" s="291" t="s">
        <v>86</v>
      </c>
      <c r="X476" s="96"/>
      <c r="Y476" s="96"/>
      <c r="Z476" s="2498"/>
      <c r="AA476" s="96"/>
      <c r="AB476" s="96"/>
      <c r="AC476" s="96"/>
      <c r="AD476" s="96"/>
      <c r="AE476" s="96"/>
      <c r="AF476" s="96"/>
      <c r="AG476" s="96"/>
      <c r="AH476" s="96"/>
      <c r="AI476" s="96"/>
      <c r="AJ476" s="96"/>
      <c r="AK476" s="96"/>
      <c r="AL476" s="96"/>
      <c r="AM476" s="96"/>
      <c r="AN476" s="96"/>
      <c r="AO476" s="96"/>
      <c r="AP476" s="96"/>
      <c r="AQ476" s="96"/>
      <c r="AR476" s="96"/>
    </row>
    <row r="477" spans="1:44" s="270" customFormat="1" ht="12" customHeight="1">
      <c r="A477" s="96"/>
      <c r="P477" s="146"/>
      <c r="R477" s="290" t="s">
        <v>94</v>
      </c>
      <c r="S477" s="290" t="s">
        <v>90</v>
      </c>
      <c r="T477" s="291" t="s">
        <v>86</v>
      </c>
      <c r="X477" s="96"/>
      <c r="Y477" s="96"/>
      <c r="Z477" s="2498"/>
      <c r="AA477" s="96"/>
      <c r="AB477" s="96"/>
      <c r="AC477" s="96"/>
      <c r="AD477" s="96"/>
      <c r="AE477" s="96"/>
      <c r="AF477" s="96"/>
      <c r="AG477" s="96"/>
      <c r="AH477" s="96"/>
      <c r="AI477" s="96"/>
      <c r="AJ477" s="96"/>
      <c r="AK477" s="96"/>
      <c r="AL477" s="96"/>
      <c r="AM477" s="96"/>
      <c r="AN477" s="96"/>
      <c r="AO477" s="96"/>
      <c r="AP477" s="96"/>
      <c r="AQ477" s="96"/>
      <c r="AR477" s="96"/>
    </row>
    <row r="478" spans="1:44" s="270" customFormat="1" ht="12" customHeight="1">
      <c r="A478" s="96"/>
      <c r="P478" s="146"/>
      <c r="R478" s="290" t="s">
        <v>95</v>
      </c>
      <c r="S478" s="290" t="s">
        <v>96</v>
      </c>
      <c r="T478" s="291" t="s">
        <v>86</v>
      </c>
      <c r="X478" s="96"/>
      <c r="Y478" s="96"/>
      <c r="Z478" s="2498"/>
      <c r="AA478" s="96"/>
      <c r="AB478" s="96"/>
      <c r="AC478" s="96"/>
      <c r="AD478" s="96"/>
      <c r="AE478" s="96"/>
      <c r="AF478" s="96"/>
      <c r="AG478" s="96"/>
      <c r="AH478" s="96"/>
      <c r="AI478" s="96"/>
      <c r="AJ478" s="96"/>
      <c r="AK478" s="96"/>
      <c r="AL478" s="96"/>
      <c r="AM478" s="96"/>
      <c r="AN478" s="96"/>
      <c r="AO478" s="96"/>
      <c r="AP478" s="96"/>
      <c r="AQ478" s="96"/>
      <c r="AR478" s="96"/>
    </row>
    <row r="479" spans="1:44" s="270" customFormat="1" ht="12" customHeight="1">
      <c r="A479" s="96"/>
      <c r="P479" s="146"/>
      <c r="R479" s="290" t="s">
        <v>97</v>
      </c>
      <c r="S479" s="290" t="s">
        <v>98</v>
      </c>
      <c r="T479" s="291" t="s">
        <v>86</v>
      </c>
      <c r="X479" s="96"/>
      <c r="Y479" s="96"/>
      <c r="Z479" s="2498"/>
      <c r="AA479" s="96"/>
      <c r="AB479" s="96"/>
      <c r="AC479" s="96"/>
      <c r="AD479" s="96"/>
      <c r="AE479" s="96"/>
      <c r="AF479" s="96"/>
      <c r="AG479" s="96"/>
      <c r="AH479" s="96"/>
      <c r="AI479" s="96"/>
      <c r="AJ479" s="96"/>
      <c r="AK479" s="96"/>
      <c r="AL479" s="96"/>
      <c r="AM479" s="96"/>
      <c r="AN479" s="96"/>
      <c r="AO479" s="96"/>
      <c r="AP479" s="96"/>
      <c r="AQ479" s="96"/>
      <c r="AR479" s="96"/>
    </row>
    <row r="480" spans="1:44" s="270" customFormat="1" ht="12" customHeight="1">
      <c r="A480" s="96"/>
      <c r="P480" s="146"/>
      <c r="R480" s="290" t="s">
        <v>99</v>
      </c>
      <c r="S480" s="290" t="s">
        <v>100</v>
      </c>
      <c r="T480" s="291" t="s">
        <v>86</v>
      </c>
      <c r="X480" s="96"/>
      <c r="Y480" s="96"/>
      <c r="Z480" s="2498"/>
      <c r="AA480" s="96"/>
      <c r="AB480" s="96"/>
      <c r="AC480" s="96"/>
      <c r="AD480" s="96"/>
      <c r="AE480" s="96"/>
      <c r="AF480" s="96"/>
      <c r="AG480" s="96"/>
      <c r="AH480" s="96"/>
      <c r="AI480" s="96"/>
      <c r="AJ480" s="96"/>
      <c r="AK480" s="96"/>
      <c r="AL480" s="96"/>
      <c r="AM480" s="96"/>
      <c r="AN480" s="96"/>
      <c r="AO480" s="96"/>
      <c r="AP480" s="96"/>
      <c r="AQ480" s="96"/>
      <c r="AR480" s="96"/>
    </row>
    <row r="481" spans="1:44" s="270" customFormat="1" ht="12" customHeight="1">
      <c r="A481" s="96"/>
      <c r="P481" s="146"/>
      <c r="R481" s="290" t="s">
        <v>101</v>
      </c>
      <c r="S481" s="290" t="s">
        <v>85</v>
      </c>
      <c r="T481" s="291" t="s">
        <v>86</v>
      </c>
      <c r="X481" s="96"/>
      <c r="Y481" s="96"/>
      <c r="Z481" s="2498"/>
      <c r="AA481" s="96"/>
      <c r="AB481" s="96"/>
      <c r="AC481" s="96"/>
      <c r="AD481" s="96"/>
      <c r="AE481" s="96"/>
      <c r="AF481" s="96"/>
      <c r="AG481" s="96"/>
      <c r="AH481" s="96"/>
      <c r="AI481" s="96"/>
      <c r="AJ481" s="96"/>
      <c r="AK481" s="96"/>
      <c r="AL481" s="96"/>
      <c r="AM481" s="96"/>
      <c r="AN481" s="96"/>
      <c r="AO481" s="96"/>
      <c r="AP481" s="96"/>
      <c r="AQ481" s="96"/>
      <c r="AR481" s="96"/>
    </row>
    <row r="482" spans="1:44" s="270" customFormat="1" ht="12" customHeight="1">
      <c r="A482" s="96"/>
      <c r="P482" s="146"/>
      <c r="R482" s="290" t="s">
        <v>102</v>
      </c>
      <c r="S482" s="290" t="s">
        <v>103</v>
      </c>
      <c r="T482" s="291" t="s">
        <v>86</v>
      </c>
      <c r="X482" s="96"/>
      <c r="Y482" s="96"/>
      <c r="Z482" s="2498"/>
      <c r="AA482" s="96"/>
      <c r="AB482" s="96"/>
      <c r="AC482" s="96"/>
      <c r="AD482" s="96"/>
      <c r="AE482" s="96"/>
      <c r="AF482" s="96"/>
      <c r="AG482" s="96"/>
      <c r="AH482" s="96"/>
      <c r="AI482" s="96"/>
      <c r="AJ482" s="96"/>
      <c r="AK482" s="96"/>
      <c r="AL482" s="96"/>
      <c r="AM482" s="96"/>
      <c r="AN482" s="96"/>
      <c r="AO482" s="96"/>
      <c r="AP482" s="96"/>
      <c r="AQ482" s="96"/>
      <c r="AR482" s="96"/>
    </row>
    <row r="483" spans="1:44" s="270" customFormat="1" ht="12" customHeight="1">
      <c r="A483" s="96"/>
      <c r="P483" s="146"/>
      <c r="R483" s="290" t="s">
        <v>104</v>
      </c>
      <c r="S483" s="290" t="s">
        <v>105</v>
      </c>
      <c r="T483" s="291" t="s">
        <v>86</v>
      </c>
      <c r="X483" s="96"/>
      <c r="Y483" s="96"/>
      <c r="Z483" s="2498"/>
      <c r="AA483" s="96"/>
      <c r="AB483" s="96"/>
      <c r="AC483" s="96"/>
      <c r="AD483" s="96"/>
      <c r="AE483" s="96"/>
      <c r="AF483" s="96"/>
      <c r="AG483" s="96"/>
      <c r="AH483" s="96"/>
      <c r="AI483" s="96"/>
      <c r="AJ483" s="96"/>
      <c r="AK483" s="96"/>
      <c r="AL483" s="96"/>
      <c r="AM483" s="96"/>
      <c r="AN483" s="96"/>
      <c r="AO483" s="96"/>
      <c r="AP483" s="96"/>
      <c r="AQ483" s="96"/>
      <c r="AR483" s="96"/>
    </row>
    <row r="484" spans="1:44" s="270" customFormat="1" ht="12" customHeight="1">
      <c r="A484" s="96"/>
      <c r="P484" s="146"/>
      <c r="R484" s="290" t="s">
        <v>106</v>
      </c>
      <c r="S484" s="290" t="s">
        <v>107</v>
      </c>
      <c r="T484" s="291" t="s">
        <v>86</v>
      </c>
      <c r="X484" s="96"/>
      <c r="Y484" s="96"/>
      <c r="Z484" s="2498"/>
      <c r="AA484" s="96"/>
      <c r="AB484" s="96"/>
      <c r="AC484" s="96"/>
      <c r="AD484" s="96"/>
      <c r="AE484" s="96"/>
      <c r="AF484" s="96"/>
      <c r="AG484" s="96"/>
      <c r="AH484" s="96"/>
      <c r="AI484" s="96"/>
      <c r="AJ484" s="96"/>
      <c r="AK484" s="96"/>
      <c r="AL484" s="96"/>
      <c r="AM484" s="96"/>
      <c r="AN484" s="96"/>
      <c r="AO484" s="96"/>
      <c r="AP484" s="96"/>
      <c r="AQ484" s="96"/>
      <c r="AR484" s="96"/>
    </row>
    <row r="485" spans="1:44" s="270" customFormat="1" ht="12" customHeight="1">
      <c r="A485" s="96"/>
      <c r="P485" s="146"/>
      <c r="R485" s="290" t="s">
        <v>108</v>
      </c>
      <c r="S485" s="290" t="s">
        <v>103</v>
      </c>
      <c r="T485" s="291" t="s">
        <v>86</v>
      </c>
      <c r="X485" s="96"/>
      <c r="Y485" s="96"/>
      <c r="Z485" s="2498"/>
      <c r="AA485" s="96"/>
      <c r="AB485" s="96"/>
      <c r="AC485" s="96"/>
      <c r="AD485" s="96"/>
      <c r="AE485" s="96"/>
      <c r="AF485" s="96"/>
      <c r="AG485" s="96"/>
      <c r="AH485" s="96"/>
      <c r="AI485" s="96"/>
      <c r="AJ485" s="96"/>
      <c r="AK485" s="96"/>
      <c r="AL485" s="96"/>
      <c r="AM485" s="96"/>
      <c r="AN485" s="96"/>
      <c r="AO485" s="96"/>
      <c r="AP485" s="96"/>
      <c r="AQ485" s="96"/>
      <c r="AR485" s="96"/>
    </row>
    <row r="486" spans="1:44" s="270" customFormat="1" ht="12" customHeight="1">
      <c r="A486" s="96"/>
      <c r="P486" s="146"/>
      <c r="R486" s="290" t="s">
        <v>109</v>
      </c>
      <c r="S486" s="290" t="s">
        <v>110</v>
      </c>
      <c r="T486" s="291" t="s">
        <v>86</v>
      </c>
      <c r="X486" s="96"/>
      <c r="Y486" s="96"/>
      <c r="Z486" s="2498"/>
      <c r="AA486" s="96"/>
      <c r="AB486" s="96"/>
      <c r="AC486" s="96"/>
      <c r="AD486" s="96"/>
      <c r="AE486" s="96"/>
      <c r="AF486" s="96"/>
      <c r="AG486" s="96"/>
      <c r="AH486" s="96"/>
      <c r="AI486" s="96"/>
      <c r="AJ486" s="96"/>
      <c r="AK486" s="96"/>
      <c r="AL486" s="96"/>
      <c r="AM486" s="96"/>
      <c r="AN486" s="96"/>
      <c r="AO486" s="96"/>
      <c r="AP486" s="96"/>
      <c r="AQ486" s="96"/>
      <c r="AR486" s="96"/>
    </row>
    <row r="487" spans="1:44" s="270" customFormat="1" ht="12" customHeight="1">
      <c r="A487" s="96"/>
      <c r="P487" s="294"/>
      <c r="R487" s="290" t="s">
        <v>111</v>
      </c>
      <c r="S487" s="290" t="s">
        <v>93</v>
      </c>
      <c r="T487" s="291" t="s">
        <v>86</v>
      </c>
      <c r="X487" s="96"/>
      <c r="Y487" s="96"/>
      <c r="Z487" s="2498"/>
      <c r="AA487" s="96"/>
      <c r="AB487" s="96"/>
      <c r="AC487" s="96"/>
      <c r="AD487" s="96"/>
      <c r="AE487" s="96"/>
      <c r="AF487" s="96"/>
      <c r="AG487" s="96"/>
      <c r="AH487" s="96"/>
      <c r="AI487" s="96"/>
      <c r="AJ487" s="96"/>
      <c r="AK487" s="96"/>
      <c r="AL487" s="96"/>
      <c r="AM487" s="96"/>
      <c r="AN487" s="96"/>
      <c r="AO487" s="96"/>
      <c r="AP487" s="96"/>
      <c r="AQ487" s="96"/>
      <c r="AR487" s="96"/>
    </row>
    <row r="488" spans="1:44" s="270" customFormat="1" ht="12" customHeight="1">
      <c r="A488" s="96"/>
      <c r="P488" s="146"/>
      <c r="R488" s="290" t="s">
        <v>112</v>
      </c>
      <c r="S488" s="290" t="s">
        <v>113</v>
      </c>
      <c r="T488" s="291" t="s">
        <v>86</v>
      </c>
      <c r="X488" s="96"/>
      <c r="Y488" s="96"/>
      <c r="Z488" s="2498"/>
      <c r="AA488" s="96"/>
      <c r="AB488" s="96"/>
      <c r="AC488" s="96"/>
      <c r="AD488" s="96"/>
      <c r="AE488" s="96"/>
      <c r="AF488" s="96"/>
      <c r="AG488" s="96"/>
      <c r="AH488" s="96"/>
      <c r="AI488" s="96"/>
      <c r="AJ488" s="96"/>
      <c r="AK488" s="96"/>
      <c r="AL488" s="96"/>
      <c r="AM488" s="96"/>
      <c r="AN488" s="96"/>
      <c r="AO488" s="96"/>
      <c r="AP488" s="96"/>
      <c r="AQ488" s="96"/>
      <c r="AR488" s="96"/>
    </row>
    <row r="489" spans="1:44" s="270" customFormat="1" ht="12" customHeight="1">
      <c r="A489" s="96"/>
      <c r="P489" s="294"/>
      <c r="R489" s="290" t="s">
        <v>114</v>
      </c>
      <c r="S489" s="290" t="s">
        <v>115</v>
      </c>
      <c r="T489" s="291" t="s">
        <v>86</v>
      </c>
      <c r="X489" s="96"/>
      <c r="Y489" s="96"/>
      <c r="Z489" s="2498"/>
      <c r="AA489" s="96"/>
      <c r="AB489" s="96"/>
      <c r="AC489" s="96"/>
      <c r="AD489" s="96"/>
      <c r="AE489" s="96"/>
      <c r="AF489" s="96"/>
      <c r="AG489" s="96"/>
      <c r="AH489" s="96"/>
      <c r="AI489" s="96"/>
      <c r="AJ489" s="96"/>
      <c r="AK489" s="96"/>
      <c r="AL489" s="96"/>
      <c r="AM489" s="96"/>
      <c r="AN489" s="96"/>
      <c r="AO489" s="96"/>
      <c r="AP489" s="96"/>
      <c r="AQ489" s="96"/>
      <c r="AR489" s="96"/>
    </row>
    <row r="490" spans="1:44" s="270" customFormat="1" ht="12" customHeight="1">
      <c r="A490" s="96"/>
      <c r="P490" s="146"/>
      <c r="R490" s="290" t="s">
        <v>116</v>
      </c>
      <c r="S490" s="290" t="s">
        <v>85</v>
      </c>
      <c r="T490" s="291" t="s">
        <v>86</v>
      </c>
      <c r="X490" s="96"/>
      <c r="Y490" s="96"/>
      <c r="Z490" s="2498"/>
      <c r="AA490" s="96"/>
      <c r="AB490" s="96"/>
      <c r="AC490" s="96"/>
      <c r="AD490" s="96"/>
      <c r="AE490" s="96"/>
      <c r="AF490" s="96"/>
      <c r="AG490" s="96"/>
      <c r="AH490" s="96"/>
      <c r="AI490" s="96"/>
      <c r="AJ490" s="96"/>
      <c r="AK490" s="96"/>
      <c r="AL490" s="96"/>
      <c r="AM490" s="96"/>
      <c r="AN490" s="96"/>
      <c r="AO490" s="96"/>
      <c r="AP490" s="96"/>
      <c r="AQ490" s="96"/>
      <c r="AR490" s="96"/>
    </row>
    <row r="491" spans="1:44" s="270" customFormat="1" ht="12" customHeight="1">
      <c r="A491" s="96"/>
      <c r="P491" s="146"/>
      <c r="R491" s="290" t="s">
        <v>117</v>
      </c>
      <c r="S491" s="290" t="s">
        <v>118</v>
      </c>
      <c r="T491" s="291" t="s">
        <v>86</v>
      </c>
      <c r="X491" s="96"/>
      <c r="Y491" s="96"/>
      <c r="Z491" s="2498"/>
      <c r="AA491" s="96"/>
      <c r="AB491" s="96"/>
      <c r="AC491" s="96"/>
      <c r="AD491" s="96"/>
      <c r="AE491" s="96"/>
      <c r="AF491" s="96"/>
      <c r="AG491" s="96"/>
      <c r="AH491" s="96"/>
      <c r="AI491" s="96"/>
      <c r="AJ491" s="96"/>
      <c r="AK491" s="96"/>
      <c r="AL491" s="96"/>
      <c r="AM491" s="96"/>
      <c r="AN491" s="96"/>
      <c r="AO491" s="96"/>
      <c r="AP491" s="96"/>
      <c r="AQ491" s="96"/>
      <c r="AR491" s="96"/>
    </row>
    <row r="492" spans="1:44" s="270" customFormat="1" ht="12" customHeight="1">
      <c r="A492" s="96"/>
      <c r="P492" s="294"/>
      <c r="R492" s="290" t="s">
        <v>119</v>
      </c>
      <c r="S492" s="290" t="s">
        <v>120</v>
      </c>
      <c r="T492" s="291" t="s">
        <v>86</v>
      </c>
      <c r="X492" s="96"/>
      <c r="Y492" s="96"/>
      <c r="Z492" s="2498"/>
      <c r="AA492" s="96"/>
      <c r="AB492" s="96"/>
      <c r="AC492" s="96"/>
      <c r="AD492" s="96"/>
      <c r="AE492" s="96"/>
      <c r="AF492" s="96"/>
      <c r="AG492" s="96"/>
      <c r="AH492" s="96"/>
      <c r="AI492" s="96"/>
      <c r="AJ492" s="96"/>
      <c r="AK492" s="96"/>
      <c r="AL492" s="96"/>
      <c r="AM492" s="96"/>
      <c r="AN492" s="96"/>
      <c r="AO492" s="96"/>
      <c r="AP492" s="96"/>
      <c r="AQ492" s="96"/>
      <c r="AR492" s="96"/>
    </row>
    <row r="493" spans="1:44" s="270" customFormat="1" ht="12" customHeight="1">
      <c r="A493" s="96"/>
      <c r="P493" s="146"/>
      <c r="R493" s="290" t="s">
        <v>121</v>
      </c>
      <c r="S493" s="290" t="s">
        <v>122</v>
      </c>
      <c r="T493" s="291" t="s">
        <v>86</v>
      </c>
      <c r="X493" s="96"/>
      <c r="Y493" s="96"/>
      <c r="Z493" s="2498"/>
      <c r="AA493" s="96"/>
      <c r="AB493" s="96"/>
      <c r="AC493" s="96"/>
      <c r="AD493" s="96"/>
      <c r="AE493" s="96"/>
      <c r="AF493" s="96"/>
      <c r="AG493" s="96"/>
      <c r="AH493" s="96"/>
      <c r="AI493" s="96"/>
      <c r="AJ493" s="96"/>
      <c r="AK493" s="96"/>
      <c r="AL493" s="96"/>
      <c r="AM493" s="96"/>
      <c r="AN493" s="96"/>
      <c r="AO493" s="96"/>
      <c r="AP493" s="96"/>
      <c r="AQ493" s="96"/>
      <c r="AR493" s="96"/>
    </row>
    <row r="494" spans="1:44" s="270" customFormat="1" ht="12" customHeight="1">
      <c r="A494" s="96"/>
      <c r="P494" s="146"/>
      <c r="Q494" s="290"/>
      <c r="R494" s="290" t="s">
        <v>123</v>
      </c>
      <c r="S494" s="290" t="s">
        <v>124</v>
      </c>
      <c r="T494" s="291" t="s">
        <v>86</v>
      </c>
      <c r="X494" s="96"/>
      <c r="Y494" s="96"/>
      <c r="Z494" s="2498"/>
      <c r="AA494" s="96"/>
      <c r="AB494" s="96"/>
      <c r="AC494" s="96"/>
      <c r="AD494" s="96"/>
      <c r="AE494" s="96"/>
      <c r="AF494" s="96"/>
      <c r="AG494" s="96"/>
      <c r="AH494" s="96"/>
      <c r="AI494" s="96"/>
      <c r="AJ494" s="96"/>
      <c r="AK494" s="96"/>
      <c r="AL494" s="96"/>
      <c r="AM494" s="96"/>
      <c r="AN494" s="96"/>
      <c r="AO494" s="96"/>
      <c r="AP494" s="96"/>
      <c r="AQ494" s="96"/>
      <c r="AR494" s="96"/>
    </row>
    <row r="495" spans="1:44" s="270" customFormat="1" ht="12" customHeight="1">
      <c r="A495" s="96"/>
      <c r="P495" s="146"/>
      <c r="R495" s="290" t="s">
        <v>125</v>
      </c>
      <c r="S495" s="290" t="s">
        <v>90</v>
      </c>
      <c r="T495" s="291" t="s">
        <v>86</v>
      </c>
      <c r="X495" s="96"/>
      <c r="Y495" s="96"/>
      <c r="Z495" s="2498"/>
      <c r="AA495" s="96"/>
      <c r="AB495" s="96"/>
      <c r="AC495" s="96"/>
      <c r="AD495" s="96"/>
      <c r="AE495" s="96"/>
      <c r="AF495" s="96"/>
      <c r="AG495" s="96"/>
      <c r="AH495" s="96"/>
      <c r="AI495" s="96"/>
      <c r="AJ495" s="96"/>
      <c r="AK495" s="96"/>
      <c r="AL495" s="96"/>
      <c r="AM495" s="96"/>
      <c r="AN495" s="96"/>
      <c r="AO495" s="96"/>
      <c r="AP495" s="96"/>
      <c r="AQ495" s="96"/>
      <c r="AR495" s="96"/>
    </row>
    <row r="496" spans="1:44" s="270" customFormat="1" ht="12" customHeight="1">
      <c r="A496" s="96"/>
      <c r="P496" s="294"/>
      <c r="R496" s="290" t="s">
        <v>126</v>
      </c>
      <c r="S496" s="290" t="s">
        <v>127</v>
      </c>
      <c r="T496" s="291" t="s">
        <v>86</v>
      </c>
      <c r="X496" s="96"/>
      <c r="Y496" s="96"/>
      <c r="Z496" s="2498"/>
      <c r="AA496" s="96"/>
      <c r="AB496" s="96"/>
      <c r="AC496" s="96"/>
      <c r="AD496" s="96"/>
      <c r="AE496" s="96"/>
      <c r="AF496" s="96"/>
      <c r="AG496" s="96"/>
      <c r="AH496" s="96"/>
      <c r="AI496" s="96"/>
      <c r="AJ496" s="96"/>
      <c r="AK496" s="96"/>
      <c r="AL496" s="96"/>
      <c r="AM496" s="96"/>
      <c r="AN496" s="96"/>
      <c r="AO496" s="96"/>
      <c r="AP496" s="96"/>
      <c r="AQ496" s="96"/>
      <c r="AR496" s="96"/>
    </row>
    <row r="497" spans="1:44" s="270" customFormat="1" ht="12" customHeight="1">
      <c r="A497" s="96"/>
      <c r="P497" s="294"/>
      <c r="R497" s="290" t="s">
        <v>128</v>
      </c>
      <c r="S497" s="290" t="s">
        <v>129</v>
      </c>
      <c r="T497" s="291" t="s">
        <v>86</v>
      </c>
      <c r="X497" s="96"/>
      <c r="Y497" s="96"/>
      <c r="Z497" s="2498"/>
      <c r="AA497" s="96"/>
      <c r="AB497" s="96"/>
      <c r="AC497" s="96"/>
      <c r="AD497" s="96"/>
      <c r="AE497" s="96"/>
      <c r="AF497" s="96"/>
      <c r="AG497" s="96"/>
      <c r="AH497" s="96"/>
      <c r="AI497" s="96"/>
      <c r="AJ497" s="96"/>
      <c r="AK497" s="96"/>
      <c r="AL497" s="96"/>
      <c r="AM497" s="96"/>
      <c r="AN497" s="96"/>
      <c r="AO497" s="96"/>
      <c r="AP497" s="96"/>
      <c r="AQ497" s="96"/>
      <c r="AR497" s="96"/>
    </row>
    <row r="498" spans="1:44" s="270" customFormat="1" ht="12" customHeight="1">
      <c r="A498" s="96"/>
      <c r="P498" s="146"/>
      <c r="R498" s="290" t="s">
        <v>130</v>
      </c>
      <c r="S498" s="290" t="s">
        <v>124</v>
      </c>
      <c r="T498" s="291" t="s">
        <v>86</v>
      </c>
      <c r="X498" s="96"/>
      <c r="Y498" s="96"/>
      <c r="Z498" s="2498"/>
      <c r="AA498" s="96"/>
      <c r="AB498" s="96"/>
      <c r="AC498" s="96"/>
      <c r="AD498" s="96"/>
      <c r="AE498" s="96"/>
      <c r="AF498" s="96"/>
      <c r="AG498" s="96"/>
      <c r="AH498" s="96"/>
      <c r="AI498" s="96"/>
      <c r="AJ498" s="96"/>
      <c r="AK498" s="96"/>
      <c r="AL498" s="96"/>
      <c r="AM498" s="96"/>
      <c r="AN498" s="96"/>
      <c r="AO498" s="96"/>
      <c r="AP498" s="96"/>
      <c r="AQ498" s="96"/>
      <c r="AR498" s="96"/>
    </row>
    <row r="499" spans="1:44" s="270" customFormat="1" ht="12" customHeight="1">
      <c r="A499" s="96"/>
      <c r="P499" s="146"/>
      <c r="R499" s="290" t="s">
        <v>131</v>
      </c>
      <c r="S499" s="290" t="s">
        <v>132</v>
      </c>
      <c r="T499" s="291" t="s">
        <v>86</v>
      </c>
      <c r="X499" s="96"/>
      <c r="Y499" s="96"/>
      <c r="Z499" s="2498"/>
      <c r="AA499" s="96"/>
      <c r="AB499" s="96"/>
      <c r="AC499" s="96"/>
      <c r="AD499" s="96"/>
      <c r="AE499" s="96"/>
      <c r="AF499" s="96"/>
      <c r="AG499" s="96"/>
      <c r="AH499" s="96"/>
      <c r="AI499" s="96"/>
      <c r="AJ499" s="96"/>
      <c r="AK499" s="96"/>
      <c r="AL499" s="96"/>
      <c r="AM499" s="96"/>
      <c r="AN499" s="96"/>
      <c r="AO499" s="96"/>
      <c r="AP499" s="96"/>
      <c r="AQ499" s="96"/>
      <c r="AR499" s="96"/>
    </row>
    <row r="500" spans="1:44" s="270" customFormat="1" ht="12" customHeight="1">
      <c r="A500" s="96"/>
      <c r="P500" s="146"/>
      <c r="R500" s="290" t="s">
        <v>133</v>
      </c>
      <c r="S500" s="290" t="s">
        <v>120</v>
      </c>
      <c r="T500" s="291" t="s">
        <v>86</v>
      </c>
      <c r="X500" s="96"/>
      <c r="Y500" s="96"/>
      <c r="Z500" s="2498"/>
      <c r="AA500" s="96"/>
      <c r="AB500" s="96"/>
      <c r="AC500" s="96"/>
      <c r="AD500" s="96"/>
      <c r="AE500" s="96"/>
      <c r="AF500" s="96"/>
      <c r="AG500" s="96"/>
      <c r="AH500" s="96"/>
      <c r="AI500" s="96"/>
      <c r="AJ500" s="96"/>
      <c r="AK500" s="96"/>
      <c r="AL500" s="96"/>
      <c r="AM500" s="96"/>
      <c r="AN500" s="96"/>
      <c r="AO500" s="96"/>
      <c r="AP500" s="96"/>
      <c r="AQ500" s="96"/>
      <c r="AR500" s="96"/>
    </row>
    <row r="501" spans="1:44" s="270" customFormat="1" ht="12" customHeight="1">
      <c r="A501" s="96"/>
      <c r="P501" s="146"/>
      <c r="R501" s="271" t="s">
        <v>134</v>
      </c>
      <c r="S501" s="271" t="s">
        <v>135</v>
      </c>
      <c r="T501" s="291" t="s">
        <v>86</v>
      </c>
      <c r="X501" s="96"/>
      <c r="Y501" s="96"/>
      <c r="Z501" s="2498"/>
      <c r="AA501" s="96"/>
      <c r="AB501" s="96"/>
      <c r="AC501" s="96"/>
      <c r="AD501" s="96"/>
      <c r="AE501" s="96"/>
      <c r="AF501" s="96"/>
      <c r="AG501" s="96"/>
      <c r="AH501" s="96"/>
      <c r="AI501" s="96"/>
      <c r="AJ501" s="96"/>
      <c r="AK501" s="96"/>
      <c r="AL501" s="96"/>
      <c r="AM501" s="96"/>
      <c r="AN501" s="96"/>
      <c r="AO501" s="96"/>
      <c r="AP501" s="96"/>
      <c r="AQ501" s="96"/>
      <c r="AR501" s="96"/>
    </row>
    <row r="502" spans="1:44" s="270" customFormat="1" ht="12" customHeight="1">
      <c r="A502" s="96"/>
      <c r="P502" s="146"/>
      <c r="R502" s="290" t="s">
        <v>136</v>
      </c>
      <c r="S502" s="290" t="s">
        <v>110</v>
      </c>
      <c r="T502" s="291" t="s">
        <v>86</v>
      </c>
      <c r="X502" s="96"/>
      <c r="Y502" s="96"/>
      <c r="Z502" s="2498"/>
      <c r="AA502" s="96"/>
      <c r="AB502" s="96"/>
      <c r="AC502" s="96"/>
      <c r="AD502" s="96"/>
      <c r="AE502" s="96"/>
      <c r="AF502" s="96"/>
      <c r="AG502" s="96"/>
      <c r="AH502" s="96"/>
      <c r="AI502" s="96"/>
      <c r="AJ502" s="96"/>
      <c r="AK502" s="96"/>
      <c r="AL502" s="96"/>
      <c r="AM502" s="96"/>
      <c r="AN502" s="96"/>
      <c r="AO502" s="96"/>
      <c r="AP502" s="96"/>
      <c r="AQ502" s="96"/>
      <c r="AR502" s="96"/>
    </row>
    <row r="503" spans="1:44" s="270" customFormat="1" ht="12" customHeight="1">
      <c r="A503" s="96"/>
      <c r="P503" s="146"/>
      <c r="R503" s="290" t="s">
        <v>137</v>
      </c>
      <c r="S503" s="290" t="s">
        <v>107</v>
      </c>
      <c r="T503" s="291" t="s">
        <v>86</v>
      </c>
      <c r="X503" s="96"/>
      <c r="Y503" s="96"/>
      <c r="Z503" s="2498"/>
      <c r="AA503" s="96"/>
      <c r="AB503" s="96"/>
      <c r="AC503" s="96"/>
      <c r="AD503" s="96"/>
      <c r="AE503" s="96"/>
      <c r="AF503" s="96"/>
      <c r="AG503" s="96"/>
      <c r="AH503" s="96"/>
      <c r="AI503" s="96"/>
      <c r="AJ503" s="96"/>
      <c r="AK503" s="96"/>
      <c r="AL503" s="96"/>
      <c r="AM503" s="96"/>
      <c r="AN503" s="96"/>
      <c r="AO503" s="96"/>
      <c r="AP503" s="96"/>
      <c r="AQ503" s="96"/>
      <c r="AR503" s="96"/>
    </row>
    <row r="504" spans="1:44" s="270" customFormat="1" ht="12" customHeight="1">
      <c r="A504" s="96"/>
      <c r="P504" s="146"/>
      <c r="R504" s="290" t="s">
        <v>138</v>
      </c>
      <c r="S504" s="290"/>
      <c r="T504" s="291" t="s">
        <v>86</v>
      </c>
      <c r="X504" s="96"/>
      <c r="Y504" s="96"/>
      <c r="Z504" s="2498"/>
      <c r="AA504" s="96"/>
      <c r="AB504" s="96"/>
      <c r="AC504" s="96"/>
      <c r="AD504" s="96"/>
      <c r="AE504" s="96"/>
      <c r="AF504" s="96"/>
      <c r="AG504" s="96"/>
      <c r="AH504" s="96"/>
      <c r="AI504" s="96"/>
      <c r="AJ504" s="96"/>
      <c r="AK504" s="96"/>
      <c r="AL504" s="96"/>
      <c r="AM504" s="96"/>
      <c r="AN504" s="96"/>
      <c r="AO504" s="96"/>
      <c r="AP504" s="96"/>
      <c r="AQ504" s="96"/>
      <c r="AR504" s="96"/>
    </row>
    <row r="505" spans="1:44" s="270" customFormat="1" ht="12" customHeight="1">
      <c r="A505" s="96"/>
      <c r="P505" s="146"/>
      <c r="R505" s="290" t="s">
        <v>139</v>
      </c>
      <c r="S505" s="290" t="s">
        <v>127</v>
      </c>
      <c r="T505" s="291" t="s">
        <v>86</v>
      </c>
      <c r="X505" s="96"/>
      <c r="Y505" s="96"/>
      <c r="Z505" s="2498"/>
      <c r="AA505" s="96"/>
      <c r="AB505" s="96"/>
      <c r="AC505" s="96"/>
      <c r="AD505" s="96"/>
      <c r="AE505" s="96"/>
      <c r="AF505" s="96"/>
      <c r="AG505" s="96"/>
      <c r="AH505" s="96"/>
      <c r="AI505" s="96"/>
      <c r="AJ505" s="96"/>
      <c r="AK505" s="96"/>
      <c r="AL505" s="96"/>
      <c r="AM505" s="96"/>
      <c r="AN505" s="96"/>
      <c r="AO505" s="96"/>
      <c r="AP505" s="96"/>
      <c r="AQ505" s="96"/>
      <c r="AR505" s="96"/>
    </row>
    <row r="506" spans="1:44" s="270" customFormat="1" ht="12" customHeight="1">
      <c r="A506" s="96"/>
      <c r="P506" s="146"/>
      <c r="R506" s="290" t="s">
        <v>140</v>
      </c>
      <c r="S506" s="290" t="s">
        <v>141</v>
      </c>
      <c r="T506" s="291" t="s">
        <v>86</v>
      </c>
      <c r="X506" s="96"/>
      <c r="Y506" s="96"/>
      <c r="Z506" s="2498"/>
      <c r="AA506" s="96"/>
      <c r="AB506" s="96"/>
      <c r="AC506" s="96"/>
      <c r="AD506" s="96"/>
      <c r="AE506" s="96"/>
      <c r="AF506" s="96"/>
      <c r="AG506" s="96"/>
      <c r="AH506" s="96"/>
      <c r="AI506" s="96"/>
      <c r="AJ506" s="96"/>
      <c r="AK506" s="96"/>
      <c r="AL506" s="96"/>
      <c r="AM506" s="96"/>
      <c r="AN506" s="96"/>
      <c r="AO506" s="96"/>
      <c r="AP506" s="96"/>
      <c r="AQ506" s="96"/>
      <c r="AR506" s="96"/>
    </row>
    <row r="507" spans="1:44" s="270" customFormat="1" ht="12" customHeight="1">
      <c r="A507" s="96"/>
      <c r="P507" s="146"/>
      <c r="R507" s="290" t="s">
        <v>142</v>
      </c>
      <c r="S507" s="290" t="s">
        <v>143</v>
      </c>
      <c r="T507" s="291" t="s">
        <v>86</v>
      </c>
      <c r="X507" s="96"/>
      <c r="Y507" s="96"/>
      <c r="Z507" s="2498"/>
      <c r="AA507" s="96"/>
      <c r="AB507" s="96"/>
      <c r="AC507" s="96"/>
      <c r="AD507" s="96"/>
      <c r="AE507" s="96"/>
      <c r="AF507" s="96"/>
      <c r="AG507" s="96"/>
      <c r="AH507" s="96"/>
      <c r="AI507" s="96"/>
      <c r="AJ507" s="96"/>
      <c r="AK507" s="96"/>
      <c r="AL507" s="96"/>
      <c r="AM507" s="96"/>
      <c r="AN507" s="96"/>
      <c r="AO507" s="96"/>
      <c r="AP507" s="96"/>
      <c r="AQ507" s="96"/>
      <c r="AR507" s="96"/>
    </row>
    <row r="508" spans="1:44" s="270" customFormat="1" ht="12" customHeight="1">
      <c r="A508" s="96"/>
      <c r="P508" s="146"/>
      <c r="R508" s="290" t="s">
        <v>144</v>
      </c>
      <c r="S508" s="290" t="s">
        <v>85</v>
      </c>
      <c r="T508" s="291" t="s">
        <v>86</v>
      </c>
      <c r="X508" s="96"/>
      <c r="Y508" s="96"/>
      <c r="Z508" s="2498"/>
      <c r="AA508" s="96"/>
      <c r="AB508" s="96"/>
      <c r="AC508" s="96"/>
      <c r="AD508" s="96"/>
      <c r="AE508" s="96"/>
      <c r="AF508" s="96"/>
      <c r="AG508" s="96"/>
      <c r="AH508" s="96"/>
      <c r="AI508" s="96"/>
      <c r="AJ508" s="96"/>
      <c r="AK508" s="96"/>
      <c r="AL508" s="96"/>
      <c r="AM508" s="96"/>
      <c r="AN508" s="96"/>
      <c r="AO508" s="96"/>
      <c r="AP508" s="96"/>
      <c r="AQ508" s="96"/>
      <c r="AR508" s="96"/>
    </row>
    <row r="509" spans="1:44" s="270" customFormat="1" ht="12" customHeight="1">
      <c r="A509" s="96"/>
      <c r="P509" s="146"/>
      <c r="R509" s="290" t="s">
        <v>145</v>
      </c>
      <c r="S509" s="290" t="s">
        <v>85</v>
      </c>
      <c r="T509" s="291" t="s">
        <v>86</v>
      </c>
      <c r="X509" s="96"/>
      <c r="Y509" s="96"/>
      <c r="Z509" s="2498"/>
      <c r="AA509" s="96"/>
      <c r="AB509" s="96"/>
      <c r="AC509" s="96"/>
      <c r="AD509" s="96"/>
      <c r="AE509" s="96"/>
      <c r="AF509" s="96"/>
      <c r="AG509" s="96"/>
      <c r="AH509" s="96"/>
      <c r="AI509" s="96"/>
      <c r="AJ509" s="96"/>
      <c r="AK509" s="96"/>
      <c r="AL509" s="96"/>
      <c r="AM509" s="96"/>
      <c r="AN509" s="96"/>
      <c r="AO509" s="96"/>
      <c r="AP509" s="96"/>
      <c r="AQ509" s="96"/>
      <c r="AR509" s="96"/>
    </row>
    <row r="510" spans="1:44" s="270" customFormat="1" ht="12" customHeight="1">
      <c r="A510" s="96"/>
      <c r="P510" s="146"/>
      <c r="R510" s="290" t="s">
        <v>146</v>
      </c>
      <c r="S510" s="290" t="s">
        <v>85</v>
      </c>
      <c r="T510" s="291" t="s">
        <v>86</v>
      </c>
      <c r="X510" s="96"/>
      <c r="Y510" s="96"/>
      <c r="Z510" s="2498"/>
      <c r="AA510" s="96"/>
      <c r="AB510" s="96"/>
      <c r="AC510" s="96"/>
      <c r="AD510" s="96"/>
      <c r="AE510" s="96"/>
      <c r="AF510" s="96"/>
      <c r="AG510" s="96"/>
      <c r="AH510" s="96"/>
      <c r="AI510" s="96"/>
      <c r="AJ510" s="96"/>
      <c r="AK510" s="96"/>
      <c r="AL510" s="96"/>
      <c r="AM510" s="96"/>
      <c r="AN510" s="96"/>
      <c r="AO510" s="96"/>
      <c r="AP510" s="96"/>
      <c r="AQ510" s="96"/>
      <c r="AR510" s="96"/>
    </row>
    <row r="511" spans="1:44" s="270" customFormat="1" ht="12" customHeight="1">
      <c r="A511" s="96"/>
      <c r="P511" s="146"/>
      <c r="R511" s="290" t="s">
        <v>147</v>
      </c>
      <c r="S511" s="290" t="s">
        <v>85</v>
      </c>
      <c r="T511" s="291" t="s">
        <v>86</v>
      </c>
      <c r="X511" s="96"/>
      <c r="Y511" s="96"/>
      <c r="Z511" s="2498"/>
      <c r="AA511" s="96"/>
      <c r="AB511" s="96"/>
      <c r="AC511" s="96"/>
      <c r="AD511" s="96"/>
      <c r="AE511" s="96"/>
      <c r="AF511" s="96"/>
      <c r="AG511" s="96"/>
      <c r="AH511" s="96"/>
      <c r="AI511" s="96"/>
      <c r="AJ511" s="96"/>
      <c r="AK511" s="96"/>
      <c r="AL511" s="96"/>
      <c r="AM511" s="96"/>
      <c r="AN511" s="96"/>
      <c r="AO511" s="96"/>
      <c r="AP511" s="96"/>
      <c r="AQ511" s="96"/>
      <c r="AR511" s="96"/>
    </row>
    <row r="512" spans="1:44" s="270" customFormat="1" ht="12" customHeight="1">
      <c r="A512" s="96"/>
      <c r="P512" s="146"/>
      <c r="R512" s="290" t="s">
        <v>148</v>
      </c>
      <c r="S512" s="290" t="s">
        <v>149</v>
      </c>
      <c r="T512" s="291" t="s">
        <v>86</v>
      </c>
      <c r="X512" s="96"/>
      <c r="Y512" s="96"/>
      <c r="Z512" s="2498"/>
      <c r="AA512" s="96"/>
      <c r="AB512" s="96"/>
      <c r="AC512" s="96"/>
      <c r="AD512" s="96"/>
      <c r="AE512" s="96"/>
      <c r="AF512" s="96"/>
      <c r="AG512" s="96"/>
      <c r="AH512" s="96"/>
      <c r="AI512" s="96"/>
      <c r="AJ512" s="96"/>
      <c r="AK512" s="96"/>
      <c r="AL512" s="96"/>
      <c r="AM512" s="96"/>
      <c r="AN512" s="96"/>
      <c r="AO512" s="96"/>
      <c r="AP512" s="96"/>
      <c r="AQ512" s="96"/>
      <c r="AR512" s="96"/>
    </row>
    <row r="513" spans="1:44" s="270" customFormat="1" ht="12" customHeight="1">
      <c r="A513" s="96"/>
      <c r="P513" s="146"/>
      <c r="R513" s="290" t="s">
        <v>150</v>
      </c>
      <c r="S513" s="290" t="s">
        <v>151</v>
      </c>
      <c r="T513" s="291" t="s">
        <v>86</v>
      </c>
      <c r="X513" s="96"/>
      <c r="Y513" s="96"/>
      <c r="Z513" s="2498"/>
      <c r="AA513" s="96"/>
      <c r="AB513" s="96"/>
      <c r="AC513" s="96"/>
      <c r="AD513" s="96"/>
      <c r="AE513" s="96"/>
      <c r="AF513" s="96"/>
      <c r="AG513" s="96"/>
      <c r="AH513" s="96"/>
      <c r="AI513" s="96"/>
      <c r="AJ513" s="96"/>
      <c r="AK513" s="96"/>
      <c r="AL513" s="96"/>
      <c r="AM513" s="96"/>
      <c r="AN513" s="96"/>
      <c r="AO513" s="96"/>
      <c r="AP513" s="96"/>
      <c r="AQ513" s="96"/>
      <c r="AR513" s="96"/>
    </row>
    <row r="514" spans="1:44" s="270" customFormat="1" ht="12" customHeight="1">
      <c r="A514" s="96"/>
      <c r="P514" s="146"/>
      <c r="R514" s="290" t="s">
        <v>152</v>
      </c>
      <c r="S514" s="290" t="s">
        <v>153</v>
      </c>
      <c r="T514" s="291" t="s">
        <v>86</v>
      </c>
      <c r="X514" s="96"/>
      <c r="Y514" s="96"/>
      <c r="Z514" s="2498"/>
      <c r="AA514" s="96"/>
      <c r="AB514" s="96"/>
      <c r="AC514" s="96"/>
      <c r="AD514" s="96"/>
      <c r="AE514" s="96"/>
      <c r="AF514" s="96"/>
      <c r="AG514" s="96"/>
      <c r="AH514" s="96"/>
      <c r="AI514" s="96"/>
      <c r="AJ514" s="96"/>
      <c r="AK514" s="96"/>
      <c r="AL514" s="96"/>
      <c r="AM514" s="96"/>
      <c r="AN514" s="96"/>
      <c r="AO514" s="96"/>
      <c r="AP514" s="96"/>
      <c r="AQ514" s="96"/>
      <c r="AR514" s="96"/>
    </row>
    <row r="515" spans="1:44" s="270" customFormat="1" ht="12" customHeight="1">
      <c r="A515" s="96"/>
      <c r="P515" s="294"/>
      <c r="R515" s="290" t="s">
        <v>154</v>
      </c>
      <c r="S515" s="290" t="s">
        <v>85</v>
      </c>
      <c r="T515" s="291" t="s">
        <v>86</v>
      </c>
      <c r="X515" s="96"/>
      <c r="Y515" s="96"/>
      <c r="Z515" s="2498"/>
      <c r="AA515" s="96"/>
      <c r="AB515" s="96"/>
      <c r="AC515" s="96"/>
      <c r="AD515" s="96"/>
      <c r="AE515" s="96"/>
      <c r="AF515" s="96"/>
      <c r="AG515" s="96"/>
      <c r="AH515" s="96"/>
      <c r="AI515" s="96"/>
      <c r="AJ515" s="96"/>
      <c r="AK515" s="96"/>
      <c r="AL515" s="96"/>
      <c r="AM515" s="96"/>
      <c r="AN515" s="96"/>
      <c r="AO515" s="96"/>
      <c r="AP515" s="96"/>
      <c r="AQ515" s="96"/>
      <c r="AR515" s="96"/>
    </row>
    <row r="516" spans="1:44" s="270" customFormat="1" ht="12" customHeight="1">
      <c r="A516" s="96"/>
      <c r="P516" s="146"/>
      <c r="R516" s="290" t="s">
        <v>155</v>
      </c>
      <c r="S516" s="290" t="s">
        <v>156</v>
      </c>
      <c r="T516" s="291" t="s">
        <v>86</v>
      </c>
      <c r="X516" s="96"/>
      <c r="Y516" s="96"/>
      <c r="Z516" s="2498"/>
      <c r="AA516" s="96"/>
      <c r="AB516" s="96"/>
      <c r="AC516" s="96"/>
      <c r="AD516" s="96"/>
      <c r="AE516" s="96"/>
      <c r="AF516" s="96"/>
      <c r="AG516" s="96"/>
      <c r="AH516" s="96"/>
      <c r="AI516" s="96"/>
      <c r="AJ516" s="96"/>
      <c r="AK516" s="96"/>
      <c r="AL516" s="96"/>
      <c r="AM516" s="96"/>
      <c r="AN516" s="96"/>
      <c r="AO516" s="96"/>
      <c r="AP516" s="96"/>
      <c r="AQ516" s="96"/>
      <c r="AR516" s="96"/>
    </row>
    <row r="517" spans="1:44" s="270" customFormat="1" ht="12" customHeight="1">
      <c r="A517" s="96"/>
      <c r="P517" s="146"/>
      <c r="R517" s="290" t="s">
        <v>157</v>
      </c>
      <c r="S517" s="290" t="s">
        <v>158</v>
      </c>
      <c r="T517" s="291" t="s">
        <v>86</v>
      </c>
      <c r="X517" s="96"/>
      <c r="Y517" s="96"/>
      <c r="Z517" s="2498"/>
      <c r="AA517" s="96"/>
      <c r="AB517" s="96"/>
      <c r="AC517" s="96"/>
      <c r="AD517" s="96"/>
      <c r="AE517" s="96"/>
      <c r="AF517" s="96"/>
      <c r="AG517" s="96"/>
      <c r="AH517" s="96"/>
      <c r="AI517" s="96"/>
      <c r="AJ517" s="96"/>
      <c r="AK517" s="96"/>
      <c r="AL517" s="96"/>
      <c r="AM517" s="96"/>
      <c r="AN517" s="96"/>
      <c r="AO517" s="96"/>
      <c r="AP517" s="96"/>
      <c r="AQ517" s="96"/>
      <c r="AR517" s="96"/>
    </row>
    <row r="518" spans="1:44" s="270" customFormat="1" ht="12" customHeight="1">
      <c r="A518" s="96"/>
      <c r="P518" s="146"/>
      <c r="R518" s="290" t="s">
        <v>159</v>
      </c>
      <c r="S518" s="290" t="s">
        <v>160</v>
      </c>
      <c r="T518" s="291" t="s">
        <v>86</v>
      </c>
      <c r="X518" s="96"/>
      <c r="Y518" s="96"/>
      <c r="Z518" s="2498"/>
      <c r="AA518" s="96"/>
      <c r="AB518" s="96"/>
      <c r="AC518" s="96"/>
      <c r="AD518" s="96"/>
      <c r="AE518" s="96"/>
      <c r="AF518" s="96"/>
      <c r="AG518" s="96"/>
      <c r="AH518" s="96"/>
      <c r="AI518" s="96"/>
      <c r="AJ518" s="96"/>
      <c r="AK518" s="96"/>
      <c r="AL518" s="96"/>
      <c r="AM518" s="96"/>
      <c r="AN518" s="96"/>
      <c r="AO518" s="96"/>
      <c r="AP518" s="96"/>
      <c r="AQ518" s="96"/>
      <c r="AR518" s="96"/>
    </row>
    <row r="519" spans="1:44" s="270" customFormat="1" ht="12" customHeight="1">
      <c r="A519" s="96"/>
      <c r="P519" s="146"/>
      <c r="R519" s="290" t="s">
        <v>161</v>
      </c>
      <c r="S519" s="290" t="s">
        <v>100</v>
      </c>
      <c r="T519" s="291" t="s">
        <v>86</v>
      </c>
      <c r="X519" s="96"/>
      <c r="Y519" s="96"/>
      <c r="Z519" s="2498"/>
      <c r="AA519" s="96"/>
      <c r="AB519" s="96"/>
      <c r="AC519" s="96"/>
      <c r="AD519" s="96"/>
      <c r="AE519" s="96"/>
      <c r="AF519" s="96"/>
      <c r="AG519" s="96"/>
      <c r="AH519" s="96"/>
      <c r="AI519" s="96"/>
      <c r="AJ519" s="96"/>
      <c r="AK519" s="96"/>
      <c r="AL519" s="96"/>
      <c r="AM519" s="96"/>
      <c r="AN519" s="96"/>
      <c r="AO519" s="96"/>
      <c r="AP519" s="96"/>
      <c r="AQ519" s="96"/>
      <c r="AR519" s="96"/>
    </row>
    <row r="520" spans="1:44" s="270" customFormat="1" ht="12" customHeight="1">
      <c r="A520" s="96"/>
      <c r="P520" s="146"/>
      <c r="R520" s="290" t="s">
        <v>162</v>
      </c>
      <c r="S520" s="290" t="s">
        <v>124</v>
      </c>
      <c r="T520" s="291" t="s">
        <v>86</v>
      </c>
      <c r="X520" s="96"/>
      <c r="Y520" s="96"/>
      <c r="Z520" s="2498"/>
      <c r="AA520" s="96"/>
      <c r="AB520" s="96"/>
      <c r="AC520" s="96"/>
      <c r="AD520" s="96"/>
      <c r="AE520" s="96"/>
      <c r="AF520" s="96"/>
      <c r="AG520" s="96"/>
      <c r="AH520" s="96"/>
      <c r="AI520" s="96"/>
      <c r="AJ520" s="96"/>
      <c r="AK520" s="96"/>
      <c r="AL520" s="96"/>
      <c r="AM520" s="96"/>
      <c r="AN520" s="96"/>
      <c r="AO520" s="96"/>
      <c r="AP520" s="96"/>
      <c r="AQ520" s="96"/>
      <c r="AR520" s="96"/>
    </row>
    <row r="521" spans="1:44" s="270" customFormat="1" ht="12" customHeight="1">
      <c r="A521" s="96"/>
      <c r="P521" s="146"/>
      <c r="R521" s="290" t="s">
        <v>163</v>
      </c>
      <c r="S521" s="290" t="s">
        <v>85</v>
      </c>
      <c r="T521" s="291" t="s">
        <v>86</v>
      </c>
      <c r="X521" s="96"/>
      <c r="Y521" s="96"/>
      <c r="Z521" s="2498"/>
      <c r="AA521" s="96"/>
      <c r="AB521" s="96"/>
      <c r="AC521" s="96"/>
      <c r="AD521" s="96"/>
      <c r="AE521" s="96"/>
      <c r="AF521" s="96"/>
      <c r="AG521" s="96"/>
      <c r="AH521" s="96"/>
      <c r="AI521" s="96"/>
      <c r="AJ521" s="96"/>
      <c r="AK521" s="96"/>
      <c r="AL521" s="96"/>
      <c r="AM521" s="96"/>
      <c r="AN521" s="96"/>
      <c r="AO521" s="96"/>
      <c r="AP521" s="96"/>
      <c r="AQ521" s="96"/>
      <c r="AR521" s="96"/>
    </row>
    <row r="522" spans="1:44" s="270" customFormat="1" ht="12" customHeight="1">
      <c r="A522" s="96"/>
      <c r="P522" s="146"/>
      <c r="R522" s="290" t="s">
        <v>164</v>
      </c>
      <c r="S522" s="290" t="s">
        <v>165</v>
      </c>
      <c r="T522" s="291" t="s">
        <v>86</v>
      </c>
      <c r="X522" s="96"/>
      <c r="Y522" s="96"/>
      <c r="Z522" s="2498"/>
      <c r="AA522" s="96"/>
      <c r="AB522" s="96"/>
      <c r="AC522" s="96"/>
      <c r="AD522" s="96"/>
      <c r="AE522" s="96"/>
      <c r="AF522" s="96"/>
      <c r="AG522" s="96"/>
      <c r="AH522" s="96"/>
      <c r="AI522" s="96"/>
      <c r="AJ522" s="96"/>
      <c r="AK522" s="96"/>
      <c r="AL522" s="96"/>
      <c r="AM522" s="96"/>
      <c r="AN522" s="96"/>
      <c r="AO522" s="96"/>
      <c r="AP522" s="96"/>
      <c r="AQ522" s="96"/>
      <c r="AR522" s="96"/>
    </row>
    <row r="523" spans="1:44" s="270" customFormat="1" ht="12" customHeight="1">
      <c r="A523" s="96"/>
      <c r="P523" s="146"/>
      <c r="R523" s="290" t="s">
        <v>166</v>
      </c>
      <c r="S523" s="290" t="s">
        <v>127</v>
      </c>
      <c r="T523" s="291" t="s">
        <v>86</v>
      </c>
      <c r="X523" s="96"/>
      <c r="Y523" s="96"/>
      <c r="Z523" s="2498"/>
      <c r="AA523" s="96"/>
      <c r="AB523" s="96"/>
      <c r="AC523" s="96"/>
      <c r="AD523" s="96"/>
      <c r="AE523" s="96"/>
      <c r="AF523" s="96"/>
      <c r="AG523" s="96"/>
      <c r="AH523" s="96"/>
      <c r="AI523" s="96"/>
      <c r="AJ523" s="96"/>
      <c r="AK523" s="96"/>
      <c r="AL523" s="96"/>
      <c r="AM523" s="96"/>
      <c r="AN523" s="96"/>
      <c r="AO523" s="96"/>
      <c r="AP523" s="96"/>
      <c r="AQ523" s="96"/>
      <c r="AR523" s="96"/>
    </row>
    <row r="524" spans="1:44" s="270" customFormat="1" ht="12" customHeight="1">
      <c r="A524" s="96"/>
      <c r="P524" s="294"/>
      <c r="R524" s="290" t="s">
        <v>167</v>
      </c>
      <c r="S524" s="290" t="s">
        <v>118</v>
      </c>
      <c r="T524" s="291" t="s">
        <v>86</v>
      </c>
      <c r="X524" s="96"/>
      <c r="Y524" s="96"/>
      <c r="Z524" s="2498"/>
      <c r="AA524" s="96"/>
      <c r="AB524" s="96"/>
      <c r="AC524" s="96"/>
      <c r="AD524" s="96"/>
      <c r="AE524" s="96"/>
      <c r="AF524" s="96"/>
      <c r="AG524" s="96"/>
      <c r="AH524" s="96"/>
      <c r="AI524" s="96"/>
      <c r="AJ524" s="96"/>
      <c r="AK524" s="96"/>
      <c r="AL524" s="96"/>
      <c r="AM524" s="96"/>
      <c r="AN524" s="96"/>
      <c r="AO524" s="96"/>
      <c r="AP524" s="96"/>
      <c r="AQ524" s="96"/>
      <c r="AR524" s="96"/>
    </row>
    <row r="525" spans="1:44" s="270" customFormat="1" ht="12" customHeight="1">
      <c r="A525" s="96"/>
      <c r="P525" s="294"/>
      <c r="R525" s="290" t="s">
        <v>168</v>
      </c>
      <c r="S525" s="290" t="s">
        <v>120</v>
      </c>
      <c r="T525" s="291" t="s">
        <v>86</v>
      </c>
      <c r="X525" s="96"/>
      <c r="Y525" s="96"/>
      <c r="Z525" s="2498"/>
      <c r="AA525" s="96"/>
      <c r="AB525" s="96"/>
      <c r="AC525" s="96"/>
      <c r="AD525" s="96"/>
      <c r="AE525" s="96"/>
      <c r="AF525" s="96"/>
      <c r="AG525" s="96"/>
      <c r="AH525" s="96"/>
      <c r="AI525" s="96"/>
      <c r="AJ525" s="96"/>
      <c r="AK525" s="96"/>
      <c r="AL525" s="96"/>
      <c r="AM525" s="96"/>
      <c r="AN525" s="96"/>
      <c r="AO525" s="96"/>
      <c r="AP525" s="96"/>
      <c r="AQ525" s="96"/>
      <c r="AR525" s="96"/>
    </row>
    <row r="526" spans="1:44" s="270" customFormat="1" ht="12" customHeight="1">
      <c r="A526" s="96"/>
      <c r="P526" s="146"/>
      <c r="R526" s="290" t="s">
        <v>169</v>
      </c>
      <c r="S526" s="290" t="s">
        <v>85</v>
      </c>
      <c r="T526" s="291" t="s">
        <v>86</v>
      </c>
      <c r="X526" s="96"/>
      <c r="Y526" s="96"/>
      <c r="Z526" s="2498"/>
      <c r="AA526" s="96"/>
      <c r="AB526" s="96"/>
      <c r="AC526" s="96"/>
      <c r="AD526" s="96"/>
      <c r="AE526" s="96"/>
      <c r="AF526" s="96"/>
      <c r="AG526" s="96"/>
      <c r="AH526" s="96"/>
      <c r="AI526" s="96"/>
      <c r="AJ526" s="96"/>
      <c r="AK526" s="96"/>
      <c r="AL526" s="96"/>
      <c r="AM526" s="96"/>
      <c r="AN526" s="96"/>
      <c r="AO526" s="96"/>
      <c r="AP526" s="96"/>
      <c r="AQ526" s="96"/>
      <c r="AR526" s="96"/>
    </row>
    <row r="527" spans="1:44" s="270" customFormat="1" ht="12" customHeight="1">
      <c r="A527" s="96"/>
      <c r="P527" s="146"/>
      <c r="R527" s="290" t="s">
        <v>170</v>
      </c>
      <c r="S527" s="290" t="s">
        <v>149</v>
      </c>
      <c r="T527" s="291" t="s">
        <v>86</v>
      </c>
      <c r="X527" s="96"/>
      <c r="Y527" s="96"/>
      <c r="Z527" s="2498"/>
      <c r="AA527" s="96"/>
      <c r="AB527" s="96"/>
      <c r="AC527" s="96"/>
      <c r="AD527" s="96"/>
      <c r="AE527" s="96"/>
      <c r="AF527" s="96"/>
      <c r="AG527" s="96"/>
      <c r="AH527" s="96"/>
      <c r="AI527" s="96"/>
      <c r="AJ527" s="96"/>
      <c r="AK527" s="96"/>
      <c r="AL527" s="96"/>
      <c r="AM527" s="96"/>
      <c r="AN527" s="96"/>
      <c r="AO527" s="96"/>
      <c r="AP527" s="96"/>
      <c r="AQ527" s="96"/>
      <c r="AR527" s="96"/>
    </row>
    <row r="528" spans="1:44" s="270" customFormat="1" ht="12" customHeight="1">
      <c r="A528" s="96"/>
      <c r="P528" s="294"/>
      <c r="R528" s="290" t="s">
        <v>171</v>
      </c>
      <c r="S528" s="290" t="s">
        <v>110</v>
      </c>
      <c r="T528" s="291" t="s">
        <v>86</v>
      </c>
      <c r="X528" s="96"/>
      <c r="Y528" s="96"/>
      <c r="Z528" s="2498"/>
      <c r="AA528" s="96"/>
      <c r="AB528" s="96"/>
      <c r="AC528" s="96"/>
      <c r="AD528" s="96"/>
      <c r="AE528" s="96"/>
      <c r="AF528" s="96"/>
      <c r="AG528" s="96"/>
      <c r="AH528" s="96"/>
      <c r="AI528" s="96"/>
      <c r="AJ528" s="96"/>
      <c r="AK528" s="96"/>
      <c r="AL528" s="96"/>
      <c r="AM528" s="96"/>
      <c r="AN528" s="96"/>
      <c r="AO528" s="96"/>
      <c r="AP528" s="96"/>
      <c r="AQ528" s="96"/>
      <c r="AR528" s="96"/>
    </row>
    <row r="529" spans="1:44" s="270" customFormat="1" ht="12" customHeight="1">
      <c r="A529" s="96"/>
      <c r="P529" s="146"/>
      <c r="R529" s="290" t="s">
        <v>172</v>
      </c>
      <c r="S529" s="290" t="s">
        <v>127</v>
      </c>
      <c r="T529" s="291" t="s">
        <v>86</v>
      </c>
      <c r="X529" s="96"/>
      <c r="Y529" s="96"/>
      <c r="Z529" s="2498"/>
      <c r="AA529" s="96"/>
      <c r="AB529" s="96"/>
      <c r="AC529" s="96"/>
      <c r="AD529" s="96"/>
      <c r="AE529" s="96"/>
      <c r="AF529" s="96"/>
      <c r="AG529" s="96"/>
      <c r="AH529" s="96"/>
      <c r="AI529" s="96"/>
      <c r="AJ529" s="96"/>
      <c r="AK529" s="96"/>
      <c r="AL529" s="96"/>
      <c r="AM529" s="96"/>
      <c r="AN529" s="96"/>
      <c r="AO529" s="96"/>
      <c r="AP529" s="96"/>
      <c r="AQ529" s="96"/>
      <c r="AR529" s="96"/>
    </row>
    <row r="530" spans="1:44" s="270" customFormat="1" ht="12" customHeight="1">
      <c r="A530" s="96"/>
      <c r="P530" s="146"/>
      <c r="R530" s="290" t="s">
        <v>173</v>
      </c>
      <c r="S530" s="290" t="s">
        <v>127</v>
      </c>
      <c r="T530" s="291" t="s">
        <v>86</v>
      </c>
      <c r="X530" s="96"/>
      <c r="Y530" s="96"/>
      <c r="Z530" s="2498"/>
      <c r="AA530" s="96"/>
      <c r="AB530" s="96"/>
      <c r="AC530" s="96"/>
      <c r="AD530" s="96"/>
      <c r="AE530" s="96"/>
      <c r="AF530" s="96"/>
      <c r="AG530" s="96"/>
      <c r="AH530" s="96"/>
      <c r="AI530" s="96"/>
      <c r="AJ530" s="96"/>
      <c r="AK530" s="96"/>
      <c r="AL530" s="96"/>
      <c r="AM530" s="96"/>
      <c r="AN530" s="96"/>
      <c r="AO530" s="96"/>
      <c r="AP530" s="96"/>
      <c r="AQ530" s="96"/>
      <c r="AR530" s="96"/>
    </row>
    <row r="531" spans="1:44" s="270" customFormat="1" ht="12" customHeight="1">
      <c r="A531" s="96"/>
      <c r="P531" s="146"/>
      <c r="X531" s="96"/>
      <c r="Y531" s="96"/>
      <c r="Z531" s="2498"/>
      <c r="AA531" s="96"/>
      <c r="AB531" s="96"/>
      <c r="AC531" s="96"/>
      <c r="AD531" s="96"/>
      <c r="AE531" s="96"/>
      <c r="AF531" s="96"/>
      <c r="AG531" s="96"/>
      <c r="AH531" s="96"/>
      <c r="AI531" s="96"/>
      <c r="AJ531" s="96"/>
      <c r="AK531" s="96"/>
      <c r="AL531" s="96"/>
      <c r="AM531" s="96"/>
      <c r="AN531" s="96"/>
      <c r="AO531" s="96"/>
      <c r="AP531" s="96"/>
      <c r="AQ531" s="96"/>
      <c r="AR531" s="96"/>
    </row>
    <row r="532" spans="1:44" s="270" customFormat="1" ht="12" customHeight="1">
      <c r="A532" s="96"/>
      <c r="P532" s="146"/>
      <c r="X532" s="96"/>
      <c r="Y532" s="96"/>
      <c r="Z532" s="2498"/>
      <c r="AA532" s="96"/>
      <c r="AB532" s="96"/>
      <c r="AC532" s="96"/>
      <c r="AD532" s="96"/>
      <c r="AE532" s="96"/>
      <c r="AF532" s="96"/>
      <c r="AG532" s="96"/>
      <c r="AH532" s="96"/>
      <c r="AI532" s="96"/>
      <c r="AJ532" s="96"/>
      <c r="AK532" s="96"/>
      <c r="AL532" s="96"/>
      <c r="AM532" s="96"/>
      <c r="AN532" s="96"/>
      <c r="AO532" s="96"/>
      <c r="AP532" s="96"/>
      <c r="AQ532" s="96"/>
      <c r="AR532" s="96"/>
    </row>
    <row r="533" spans="1:44" s="270" customFormat="1" ht="12" customHeight="1">
      <c r="A533" s="96"/>
      <c r="P533" s="146"/>
      <c r="X533" s="96"/>
      <c r="Y533" s="96"/>
      <c r="Z533" s="2498"/>
      <c r="AA533" s="96"/>
      <c r="AB533" s="96"/>
      <c r="AC533" s="96"/>
      <c r="AD533" s="96"/>
      <c r="AE533" s="96"/>
      <c r="AF533" s="96"/>
      <c r="AG533" s="96"/>
      <c r="AH533" s="96"/>
      <c r="AI533" s="96"/>
      <c r="AJ533" s="96"/>
      <c r="AK533" s="96"/>
      <c r="AL533" s="96"/>
      <c r="AM533" s="96"/>
      <c r="AN533" s="96"/>
      <c r="AO533" s="96"/>
      <c r="AP533" s="96"/>
      <c r="AQ533" s="96"/>
      <c r="AR533" s="96"/>
    </row>
    <row r="534" spans="1:44" s="270" customFormat="1" ht="12" customHeight="1">
      <c r="A534" s="96"/>
      <c r="P534" s="146"/>
      <c r="X534" s="96"/>
      <c r="Y534" s="96"/>
      <c r="Z534" s="2498"/>
      <c r="AA534" s="96"/>
      <c r="AB534" s="96"/>
      <c r="AC534" s="96"/>
      <c r="AD534" s="96"/>
      <c r="AE534" s="96"/>
      <c r="AF534" s="96"/>
      <c r="AG534" s="96"/>
      <c r="AH534" s="96"/>
      <c r="AI534" s="96"/>
      <c r="AJ534" s="96"/>
      <c r="AK534" s="96"/>
      <c r="AL534" s="96"/>
      <c r="AM534" s="96"/>
      <c r="AN534" s="96"/>
      <c r="AO534" s="96"/>
      <c r="AP534" s="96"/>
      <c r="AQ534" s="96"/>
      <c r="AR534" s="96"/>
    </row>
    <row r="535" spans="1:44" s="270" customFormat="1" ht="12" customHeight="1">
      <c r="A535" s="96"/>
      <c r="P535" s="146"/>
      <c r="X535" s="96"/>
      <c r="Y535" s="96"/>
      <c r="Z535" s="2498"/>
      <c r="AA535" s="96"/>
      <c r="AB535" s="96"/>
      <c r="AC535" s="96"/>
      <c r="AD535" s="96"/>
      <c r="AE535" s="96"/>
      <c r="AF535" s="96"/>
      <c r="AG535" s="96"/>
      <c r="AH535" s="96"/>
      <c r="AI535" s="96"/>
      <c r="AJ535" s="96"/>
      <c r="AK535" s="96"/>
      <c r="AL535" s="96"/>
      <c r="AM535" s="96"/>
      <c r="AN535" s="96"/>
      <c r="AO535" s="96"/>
      <c r="AP535" s="96"/>
      <c r="AQ535" s="96"/>
      <c r="AR535" s="96"/>
    </row>
    <row r="536" spans="1:44" s="270" customFormat="1" ht="12" customHeight="1">
      <c r="A536" s="96"/>
      <c r="P536" s="294"/>
      <c r="X536" s="96"/>
      <c r="Y536" s="96"/>
      <c r="Z536" s="2498"/>
      <c r="AA536" s="96"/>
      <c r="AB536" s="96"/>
      <c r="AC536" s="96"/>
      <c r="AD536" s="96"/>
      <c r="AE536" s="96"/>
      <c r="AF536" s="96"/>
      <c r="AG536" s="96"/>
      <c r="AH536" s="96"/>
      <c r="AI536" s="96"/>
      <c r="AJ536" s="96"/>
      <c r="AK536" s="96"/>
      <c r="AL536" s="96"/>
      <c r="AM536" s="96"/>
      <c r="AN536" s="96"/>
      <c r="AO536" s="96"/>
      <c r="AP536" s="96"/>
      <c r="AQ536" s="96"/>
      <c r="AR536" s="96"/>
    </row>
    <row r="537" spans="1:44" s="270" customFormat="1" ht="12" customHeight="1">
      <c r="A537" s="96"/>
      <c r="P537" s="146"/>
      <c r="X537" s="96"/>
      <c r="Y537" s="96"/>
      <c r="Z537" s="2498"/>
      <c r="AA537" s="96"/>
      <c r="AB537" s="96"/>
      <c r="AC537" s="96"/>
      <c r="AD537" s="96"/>
      <c r="AE537" s="96"/>
      <c r="AF537" s="96"/>
      <c r="AG537" s="96"/>
      <c r="AH537" s="96"/>
      <c r="AI537" s="96"/>
      <c r="AJ537" s="96"/>
      <c r="AK537" s="96"/>
      <c r="AL537" s="96"/>
      <c r="AM537" s="96"/>
      <c r="AN537" s="96"/>
      <c r="AO537" s="96"/>
      <c r="AP537" s="96"/>
      <c r="AQ537" s="96"/>
      <c r="AR537" s="96"/>
    </row>
    <row r="538" spans="1:44" s="270" customFormat="1" ht="12" customHeight="1">
      <c r="A538" s="96"/>
      <c r="P538" s="146"/>
      <c r="X538" s="96"/>
      <c r="Y538" s="96"/>
      <c r="Z538" s="2498"/>
      <c r="AA538" s="96"/>
      <c r="AB538" s="96"/>
      <c r="AC538" s="96"/>
      <c r="AD538" s="96"/>
      <c r="AE538" s="96"/>
      <c r="AF538" s="96"/>
      <c r="AG538" s="96"/>
      <c r="AH538" s="96"/>
      <c r="AI538" s="96"/>
      <c r="AJ538" s="96"/>
      <c r="AK538" s="96"/>
      <c r="AL538" s="96"/>
      <c r="AM538" s="96"/>
      <c r="AN538" s="96"/>
      <c r="AO538" s="96"/>
      <c r="AP538" s="96"/>
      <c r="AQ538" s="96"/>
      <c r="AR538" s="96"/>
    </row>
    <row r="539" spans="1:44" s="270" customFormat="1" ht="12" customHeight="1">
      <c r="A539" s="96"/>
      <c r="P539" s="146"/>
      <c r="X539" s="96"/>
      <c r="Y539" s="96"/>
      <c r="Z539" s="2498"/>
      <c r="AA539" s="96"/>
      <c r="AB539" s="96"/>
      <c r="AC539" s="96"/>
      <c r="AD539" s="96"/>
      <c r="AE539" s="96"/>
      <c r="AF539" s="96"/>
      <c r="AG539" s="96"/>
      <c r="AH539" s="96"/>
      <c r="AI539" s="96"/>
      <c r="AJ539" s="96"/>
      <c r="AK539" s="96"/>
      <c r="AL539" s="96"/>
      <c r="AM539" s="96"/>
      <c r="AN539" s="96"/>
      <c r="AO539" s="96"/>
      <c r="AP539" s="96"/>
      <c r="AQ539" s="96"/>
      <c r="AR539" s="96"/>
    </row>
    <row r="540" spans="1:44" s="270" customFormat="1" ht="12" customHeight="1">
      <c r="A540" s="96"/>
      <c r="P540" s="146"/>
      <c r="X540" s="96"/>
      <c r="Y540" s="96"/>
      <c r="Z540" s="2498"/>
      <c r="AA540" s="96"/>
      <c r="AB540" s="96"/>
      <c r="AC540" s="96"/>
      <c r="AD540" s="96"/>
      <c r="AE540" s="96"/>
      <c r="AF540" s="96"/>
      <c r="AG540" s="96"/>
      <c r="AH540" s="96"/>
      <c r="AI540" s="96"/>
      <c r="AJ540" s="96"/>
      <c r="AK540" s="96"/>
      <c r="AL540" s="96"/>
      <c r="AM540" s="96"/>
      <c r="AN540" s="96"/>
      <c r="AO540" s="96"/>
      <c r="AP540" s="96"/>
      <c r="AQ540" s="96"/>
      <c r="AR540" s="96"/>
    </row>
    <row r="541" spans="1:44" s="270" customFormat="1" ht="12" customHeight="1">
      <c r="A541" s="96"/>
      <c r="P541" s="294"/>
      <c r="X541" s="96"/>
      <c r="Y541" s="96"/>
      <c r="Z541" s="2498"/>
      <c r="AA541" s="96"/>
      <c r="AB541" s="96"/>
      <c r="AC541" s="96"/>
      <c r="AD541" s="96"/>
      <c r="AE541" s="96"/>
      <c r="AF541" s="96"/>
      <c r="AG541" s="96"/>
      <c r="AH541" s="96"/>
      <c r="AI541" s="96"/>
      <c r="AJ541" s="96"/>
      <c r="AK541" s="96"/>
      <c r="AL541" s="96"/>
      <c r="AM541" s="96"/>
      <c r="AN541" s="96"/>
      <c r="AO541" s="96"/>
      <c r="AP541" s="96"/>
      <c r="AQ541" s="96"/>
      <c r="AR541" s="96"/>
    </row>
    <row r="542" spans="1:44" s="270" customFormat="1" ht="12" customHeight="1">
      <c r="A542" s="96"/>
      <c r="P542" s="146"/>
      <c r="X542" s="96"/>
      <c r="Y542" s="96"/>
      <c r="Z542" s="2498"/>
      <c r="AA542" s="96"/>
      <c r="AB542" s="96"/>
      <c r="AC542" s="96"/>
      <c r="AD542" s="96"/>
      <c r="AE542" s="96"/>
      <c r="AF542" s="96"/>
      <c r="AG542" s="96"/>
      <c r="AH542" s="96"/>
      <c r="AI542" s="96"/>
      <c r="AJ542" s="96"/>
      <c r="AK542" s="96"/>
      <c r="AL542" s="96"/>
      <c r="AM542" s="96"/>
      <c r="AN542" s="96"/>
      <c r="AO542" s="96"/>
      <c r="AP542" s="96"/>
      <c r="AQ542" s="96"/>
      <c r="AR542" s="96"/>
    </row>
    <row r="543" spans="1:44" s="270" customFormat="1" ht="12" customHeight="1">
      <c r="A543" s="96"/>
      <c r="P543" s="146"/>
      <c r="X543" s="96"/>
      <c r="Y543" s="96"/>
      <c r="Z543" s="2498"/>
      <c r="AA543" s="96"/>
      <c r="AB543" s="96"/>
      <c r="AC543" s="96"/>
      <c r="AD543" s="96"/>
      <c r="AE543" s="96"/>
      <c r="AF543" s="96"/>
      <c r="AG543" s="96"/>
      <c r="AH543" s="96"/>
      <c r="AI543" s="96"/>
      <c r="AJ543" s="96"/>
      <c r="AK543" s="96"/>
      <c r="AL543" s="96"/>
      <c r="AM543" s="96"/>
      <c r="AN543" s="96"/>
      <c r="AO543" s="96"/>
      <c r="AP543" s="96"/>
      <c r="AQ543" s="96"/>
      <c r="AR543" s="96"/>
    </row>
    <row r="544" spans="1:44" s="270" customFormat="1" ht="12" customHeight="1">
      <c r="A544" s="96"/>
      <c r="P544" s="146"/>
      <c r="X544" s="96"/>
      <c r="Y544" s="96"/>
      <c r="Z544" s="2498"/>
      <c r="AA544" s="96"/>
      <c r="AB544" s="96"/>
      <c r="AC544" s="96"/>
      <c r="AD544" s="96"/>
      <c r="AE544" s="96"/>
      <c r="AF544" s="96"/>
      <c r="AG544" s="96"/>
      <c r="AH544" s="96"/>
      <c r="AI544" s="96"/>
      <c r="AJ544" s="96"/>
      <c r="AK544" s="96"/>
      <c r="AL544" s="96"/>
      <c r="AM544" s="96"/>
      <c r="AN544" s="96"/>
      <c r="AO544" s="96"/>
      <c r="AP544" s="96"/>
      <c r="AQ544" s="96"/>
      <c r="AR544" s="96"/>
    </row>
    <row r="545" spans="1:44" s="270" customFormat="1" ht="12" customHeight="1">
      <c r="A545" s="96"/>
      <c r="P545" s="146"/>
      <c r="X545" s="96"/>
      <c r="Y545" s="96"/>
      <c r="Z545" s="2498"/>
      <c r="AA545" s="96"/>
      <c r="AB545" s="96"/>
      <c r="AC545" s="96"/>
      <c r="AD545" s="96"/>
      <c r="AE545" s="96"/>
      <c r="AF545" s="96"/>
      <c r="AG545" s="96"/>
      <c r="AH545" s="96"/>
      <c r="AI545" s="96"/>
      <c r="AJ545" s="96"/>
      <c r="AK545" s="96"/>
      <c r="AL545" s="96"/>
      <c r="AM545" s="96"/>
      <c r="AN545" s="96"/>
      <c r="AO545" s="96"/>
      <c r="AP545" s="96"/>
      <c r="AQ545" s="96"/>
      <c r="AR545" s="96"/>
    </row>
    <row r="546" spans="1:44" s="270" customFormat="1" ht="12" customHeight="1">
      <c r="A546" s="96"/>
      <c r="P546" s="146"/>
      <c r="X546" s="96"/>
      <c r="Y546" s="96"/>
      <c r="Z546" s="2498"/>
      <c r="AA546" s="96"/>
      <c r="AB546" s="96"/>
      <c r="AC546" s="96"/>
      <c r="AD546" s="96"/>
      <c r="AE546" s="96"/>
      <c r="AF546" s="96"/>
      <c r="AG546" s="96"/>
      <c r="AH546" s="96"/>
      <c r="AI546" s="96"/>
      <c r="AJ546" s="96"/>
      <c r="AK546" s="96"/>
      <c r="AL546" s="96"/>
      <c r="AM546" s="96"/>
      <c r="AN546" s="96"/>
      <c r="AO546" s="96"/>
      <c r="AP546" s="96"/>
      <c r="AQ546" s="96"/>
      <c r="AR546" s="96"/>
    </row>
    <row r="547" spans="1:44" s="270" customFormat="1" ht="12" customHeight="1">
      <c r="A547" s="96"/>
      <c r="P547" s="294"/>
      <c r="X547" s="96"/>
      <c r="Y547" s="96"/>
      <c r="Z547" s="2498"/>
      <c r="AA547" s="96"/>
      <c r="AB547" s="96"/>
      <c r="AC547" s="96"/>
      <c r="AD547" s="96"/>
      <c r="AE547" s="96"/>
      <c r="AF547" s="96"/>
      <c r="AG547" s="96"/>
      <c r="AH547" s="96"/>
      <c r="AI547" s="96"/>
      <c r="AJ547" s="96"/>
      <c r="AK547" s="96"/>
      <c r="AL547" s="96"/>
      <c r="AM547" s="96"/>
      <c r="AN547" s="96"/>
      <c r="AO547" s="96"/>
      <c r="AP547" s="96"/>
      <c r="AQ547" s="96"/>
      <c r="AR547" s="96"/>
    </row>
    <row r="548" spans="1:44" s="270" customFormat="1" ht="12" customHeight="1">
      <c r="A548" s="96"/>
      <c r="P548" s="146"/>
      <c r="X548" s="96"/>
      <c r="Y548" s="96"/>
      <c r="Z548" s="2498"/>
      <c r="AA548" s="96"/>
      <c r="AB548" s="96"/>
      <c r="AC548" s="96"/>
      <c r="AD548" s="96"/>
      <c r="AE548" s="96"/>
      <c r="AF548" s="96"/>
      <c r="AG548" s="96"/>
      <c r="AH548" s="96"/>
      <c r="AI548" s="96"/>
      <c r="AJ548" s="96"/>
      <c r="AK548" s="96"/>
      <c r="AL548" s="96"/>
      <c r="AM548" s="96"/>
      <c r="AN548" s="96"/>
      <c r="AO548" s="96"/>
      <c r="AP548" s="96"/>
      <c r="AQ548" s="96"/>
      <c r="AR548" s="96"/>
    </row>
    <row r="549" spans="1:44" s="270" customFormat="1" ht="12" customHeight="1">
      <c r="A549" s="96"/>
      <c r="P549" s="146"/>
      <c r="X549" s="96"/>
      <c r="Y549" s="96"/>
      <c r="Z549" s="2498"/>
      <c r="AA549" s="96"/>
      <c r="AB549" s="96"/>
      <c r="AC549" s="96"/>
      <c r="AD549" s="96"/>
      <c r="AE549" s="96"/>
      <c r="AF549" s="96"/>
      <c r="AG549" s="96"/>
      <c r="AH549" s="96"/>
      <c r="AI549" s="96"/>
      <c r="AJ549" s="96"/>
      <c r="AK549" s="96"/>
      <c r="AL549" s="96"/>
      <c r="AM549" s="96"/>
      <c r="AN549" s="96"/>
      <c r="AO549" s="96"/>
      <c r="AP549" s="96"/>
      <c r="AQ549" s="96"/>
      <c r="AR549" s="96"/>
    </row>
    <row r="550" spans="1:44" s="270" customFormat="1" ht="12" customHeight="1">
      <c r="A550" s="96"/>
      <c r="P550" s="146"/>
      <c r="X550" s="96"/>
      <c r="Y550" s="96"/>
      <c r="Z550" s="2498"/>
      <c r="AA550" s="96"/>
      <c r="AB550" s="96"/>
      <c r="AC550" s="96"/>
      <c r="AD550" s="96"/>
      <c r="AE550" s="96"/>
      <c r="AF550" s="96"/>
      <c r="AG550" s="96"/>
      <c r="AH550" s="96"/>
      <c r="AI550" s="96"/>
      <c r="AJ550" s="96"/>
      <c r="AK550" s="96"/>
      <c r="AL550" s="96"/>
      <c r="AM550" s="96"/>
      <c r="AN550" s="96"/>
      <c r="AO550" s="96"/>
      <c r="AP550" s="96"/>
      <c r="AQ550" s="96"/>
      <c r="AR550" s="96"/>
    </row>
    <row r="551" spans="1:44" s="270" customFormat="1" ht="12" customHeight="1">
      <c r="A551" s="96"/>
      <c r="P551" s="146"/>
      <c r="X551" s="96"/>
      <c r="Y551" s="96"/>
      <c r="Z551" s="2498"/>
      <c r="AA551" s="96"/>
      <c r="AB551" s="96"/>
      <c r="AC551" s="96"/>
      <c r="AD551" s="96"/>
      <c r="AE551" s="96"/>
      <c r="AF551" s="96"/>
      <c r="AG551" s="96"/>
      <c r="AH551" s="96"/>
      <c r="AI551" s="96"/>
      <c r="AJ551" s="96"/>
      <c r="AK551" s="96"/>
      <c r="AL551" s="96"/>
      <c r="AM551" s="96"/>
      <c r="AN551" s="96"/>
      <c r="AO551" s="96"/>
      <c r="AP551" s="96"/>
      <c r="AQ551" s="96"/>
      <c r="AR551" s="96"/>
    </row>
    <row r="552" spans="1:44" s="270" customFormat="1" ht="12" customHeight="1">
      <c r="A552" s="96"/>
      <c r="P552" s="146"/>
      <c r="X552" s="96"/>
      <c r="Y552" s="96"/>
      <c r="Z552" s="2498"/>
      <c r="AA552" s="96"/>
      <c r="AB552" s="96"/>
      <c r="AC552" s="96"/>
      <c r="AD552" s="96"/>
      <c r="AE552" s="96"/>
      <c r="AF552" s="96"/>
      <c r="AG552" s="96"/>
      <c r="AH552" s="96"/>
      <c r="AI552" s="96"/>
      <c r="AJ552" s="96"/>
      <c r="AK552" s="96"/>
      <c r="AL552" s="96"/>
      <c r="AM552" s="96"/>
      <c r="AN552" s="96"/>
      <c r="AO552" s="96"/>
      <c r="AP552" s="96"/>
      <c r="AQ552" s="96"/>
      <c r="AR552" s="96"/>
    </row>
    <row r="553" spans="1:44" s="270" customFormat="1" ht="12" customHeight="1">
      <c r="A553" s="96"/>
      <c r="P553" s="146"/>
      <c r="X553" s="96"/>
      <c r="Y553" s="96"/>
      <c r="Z553" s="2498"/>
      <c r="AA553" s="96"/>
      <c r="AB553" s="96"/>
      <c r="AC553" s="96"/>
      <c r="AD553" s="96"/>
      <c r="AE553" s="96"/>
      <c r="AF553" s="96"/>
      <c r="AG553" s="96"/>
      <c r="AH553" s="96"/>
      <c r="AI553" s="96"/>
      <c r="AJ553" s="96"/>
      <c r="AK553" s="96"/>
      <c r="AL553" s="96"/>
      <c r="AM553" s="96"/>
      <c r="AN553" s="96"/>
      <c r="AO553" s="96"/>
      <c r="AP553" s="96"/>
      <c r="AQ553" s="96"/>
      <c r="AR553" s="96"/>
    </row>
    <row r="554" spans="1:44" s="270" customFormat="1" ht="12" customHeight="1">
      <c r="A554" s="96"/>
      <c r="P554" s="146"/>
      <c r="X554" s="96"/>
      <c r="Y554" s="96"/>
      <c r="Z554" s="2498"/>
      <c r="AA554" s="96"/>
      <c r="AB554" s="96"/>
      <c r="AC554" s="96"/>
      <c r="AD554" s="96"/>
      <c r="AE554" s="96"/>
      <c r="AF554" s="96"/>
      <c r="AG554" s="96"/>
      <c r="AH554" s="96"/>
      <c r="AI554" s="96"/>
      <c r="AJ554" s="96"/>
      <c r="AK554" s="96"/>
      <c r="AL554" s="96"/>
      <c r="AM554" s="96"/>
      <c r="AN554" s="96"/>
      <c r="AO554" s="96"/>
      <c r="AP554" s="96"/>
      <c r="AQ554" s="96"/>
      <c r="AR554" s="96"/>
    </row>
    <row r="555" spans="1:44" s="270" customFormat="1" ht="12" customHeight="1">
      <c r="A555" s="96"/>
      <c r="P555" s="146"/>
      <c r="X555" s="96"/>
      <c r="Y555" s="96"/>
      <c r="Z555" s="2498"/>
      <c r="AA555" s="96"/>
      <c r="AB555" s="96"/>
      <c r="AC555" s="96"/>
      <c r="AD555" s="96"/>
      <c r="AE555" s="96"/>
      <c r="AF555" s="96"/>
      <c r="AG555" s="96"/>
      <c r="AH555" s="96"/>
      <c r="AI555" s="96"/>
      <c r="AJ555" s="96"/>
      <c r="AK555" s="96"/>
      <c r="AL555" s="96"/>
      <c r="AM555" s="96"/>
      <c r="AN555" s="96"/>
      <c r="AO555" s="96"/>
      <c r="AP555" s="96"/>
      <c r="AQ555" s="96"/>
      <c r="AR555" s="96"/>
    </row>
    <row r="556" spans="1:44" s="270" customFormat="1" ht="12" customHeight="1">
      <c r="A556" s="96"/>
      <c r="P556" s="146"/>
      <c r="X556" s="96"/>
      <c r="Y556" s="96"/>
      <c r="Z556" s="2498"/>
      <c r="AA556" s="96"/>
      <c r="AB556" s="96"/>
      <c r="AC556" s="96"/>
      <c r="AD556" s="96"/>
      <c r="AE556" s="96"/>
      <c r="AF556" s="96"/>
      <c r="AG556" s="96"/>
      <c r="AH556" s="96"/>
      <c r="AI556" s="96"/>
      <c r="AJ556" s="96"/>
      <c r="AK556" s="96"/>
      <c r="AL556" s="96"/>
      <c r="AM556" s="96"/>
      <c r="AN556" s="96"/>
      <c r="AO556" s="96"/>
      <c r="AP556" s="96"/>
      <c r="AQ556" s="96"/>
      <c r="AR556" s="96"/>
    </row>
    <row r="557" spans="1:44" s="270" customFormat="1" ht="12" customHeight="1">
      <c r="A557" s="96"/>
      <c r="P557" s="146"/>
      <c r="X557" s="96"/>
      <c r="Y557" s="96"/>
      <c r="Z557" s="2498"/>
      <c r="AA557" s="96"/>
      <c r="AB557" s="96"/>
      <c r="AC557" s="96"/>
      <c r="AD557" s="96"/>
      <c r="AE557" s="96"/>
      <c r="AF557" s="96"/>
      <c r="AG557" s="96"/>
      <c r="AH557" s="96"/>
      <c r="AI557" s="96"/>
      <c r="AJ557" s="96"/>
      <c r="AK557" s="96"/>
      <c r="AL557" s="96"/>
      <c r="AM557" s="96"/>
      <c r="AN557" s="96"/>
      <c r="AO557" s="96"/>
      <c r="AP557" s="96"/>
      <c r="AQ557" s="96"/>
      <c r="AR557" s="96"/>
    </row>
    <row r="558" spans="1:44" s="270" customFormat="1" ht="12" customHeight="1">
      <c r="A558" s="96"/>
      <c r="P558" s="294"/>
      <c r="X558" s="96"/>
      <c r="Y558" s="96"/>
      <c r="Z558" s="2498"/>
      <c r="AA558" s="96"/>
      <c r="AB558" s="96"/>
      <c r="AC558" s="96"/>
      <c r="AD558" s="96"/>
      <c r="AE558" s="96"/>
      <c r="AF558" s="96"/>
      <c r="AG558" s="96"/>
      <c r="AH558" s="96"/>
      <c r="AI558" s="96"/>
      <c r="AJ558" s="96"/>
      <c r="AK558" s="96"/>
      <c r="AL558" s="96"/>
      <c r="AM558" s="96"/>
      <c r="AN558" s="96"/>
      <c r="AO558" s="96"/>
      <c r="AP558" s="96"/>
      <c r="AQ558" s="96"/>
      <c r="AR558" s="96"/>
    </row>
    <row r="559" spans="1:44" s="270" customFormat="1" ht="12" customHeight="1">
      <c r="A559" s="96"/>
      <c r="P559" s="146"/>
      <c r="X559" s="96"/>
      <c r="Y559" s="96"/>
      <c r="Z559" s="2498"/>
      <c r="AA559" s="96"/>
      <c r="AB559" s="96"/>
      <c r="AC559" s="96"/>
      <c r="AD559" s="96"/>
      <c r="AE559" s="96"/>
      <c r="AF559" s="96"/>
      <c r="AG559" s="96"/>
      <c r="AH559" s="96"/>
      <c r="AI559" s="96"/>
      <c r="AJ559" s="96"/>
      <c r="AK559" s="96"/>
      <c r="AL559" s="96"/>
      <c r="AM559" s="96"/>
      <c r="AN559" s="96"/>
      <c r="AO559" s="96"/>
      <c r="AP559" s="96"/>
      <c r="AQ559" s="96"/>
      <c r="AR559" s="96"/>
    </row>
    <row r="560" spans="1:44" s="270" customFormat="1" ht="12" customHeight="1">
      <c r="A560" s="96"/>
      <c r="P560" s="146"/>
      <c r="X560" s="96"/>
      <c r="Y560" s="96"/>
      <c r="Z560" s="2498"/>
      <c r="AA560" s="96"/>
      <c r="AB560" s="96"/>
      <c r="AC560" s="96"/>
      <c r="AD560" s="96"/>
      <c r="AE560" s="96"/>
      <c r="AF560" s="96"/>
      <c r="AG560" s="96"/>
      <c r="AH560" s="96"/>
      <c r="AI560" s="96"/>
      <c r="AJ560" s="96"/>
      <c r="AK560" s="96"/>
      <c r="AL560" s="96"/>
      <c r="AM560" s="96"/>
      <c r="AN560" s="96"/>
      <c r="AO560" s="96"/>
      <c r="AP560" s="96"/>
      <c r="AQ560" s="96"/>
      <c r="AR560" s="96"/>
    </row>
    <row r="561" spans="1:44" s="270" customFormat="1" ht="12" customHeight="1">
      <c r="A561" s="96"/>
      <c r="P561" s="146"/>
      <c r="X561" s="96"/>
      <c r="Y561" s="96"/>
      <c r="Z561" s="2498"/>
      <c r="AA561" s="96"/>
      <c r="AB561" s="96"/>
      <c r="AC561" s="96"/>
      <c r="AD561" s="96"/>
      <c r="AE561" s="96"/>
      <c r="AF561" s="96"/>
      <c r="AG561" s="96"/>
      <c r="AH561" s="96"/>
      <c r="AI561" s="96"/>
      <c r="AJ561" s="96"/>
      <c r="AK561" s="96"/>
      <c r="AL561" s="96"/>
      <c r="AM561" s="96"/>
      <c r="AN561" s="96"/>
      <c r="AO561" s="96"/>
      <c r="AP561" s="96"/>
      <c r="AQ561" s="96"/>
      <c r="AR561" s="96"/>
    </row>
    <row r="562" spans="1:44" s="270" customFormat="1" ht="12" customHeight="1">
      <c r="A562" s="96"/>
      <c r="P562" s="146"/>
      <c r="X562" s="96"/>
      <c r="Y562" s="96"/>
      <c r="Z562" s="2498"/>
      <c r="AA562" s="96"/>
      <c r="AB562" s="96"/>
      <c r="AC562" s="96"/>
      <c r="AD562" s="96"/>
      <c r="AE562" s="96"/>
      <c r="AF562" s="96"/>
      <c r="AG562" s="96"/>
      <c r="AH562" s="96"/>
      <c r="AI562" s="96"/>
      <c r="AJ562" s="96"/>
      <c r="AK562" s="96"/>
      <c r="AL562" s="96"/>
      <c r="AM562" s="96"/>
      <c r="AN562" s="96"/>
      <c r="AO562" s="96"/>
      <c r="AP562" s="96"/>
      <c r="AQ562" s="96"/>
      <c r="AR562" s="96"/>
    </row>
    <row r="563" spans="1:44" s="270" customFormat="1" ht="12" customHeight="1">
      <c r="A563" s="96"/>
      <c r="P563" s="146"/>
      <c r="X563" s="96"/>
      <c r="Y563" s="96"/>
      <c r="Z563" s="2498"/>
      <c r="AA563" s="96"/>
      <c r="AB563" s="96"/>
      <c r="AC563" s="96"/>
      <c r="AD563" s="96"/>
      <c r="AE563" s="96"/>
      <c r="AF563" s="96"/>
      <c r="AG563" s="96"/>
      <c r="AH563" s="96"/>
      <c r="AI563" s="96"/>
      <c r="AJ563" s="96"/>
      <c r="AK563" s="96"/>
      <c r="AL563" s="96"/>
      <c r="AM563" s="96"/>
      <c r="AN563" s="96"/>
      <c r="AO563" s="96"/>
      <c r="AP563" s="96"/>
      <c r="AQ563" s="96"/>
      <c r="AR563" s="96"/>
    </row>
    <row r="564" spans="1:44" s="270" customFormat="1" ht="12" customHeight="1">
      <c r="A564" s="96"/>
      <c r="P564" s="146"/>
      <c r="X564" s="96"/>
      <c r="Y564" s="96"/>
      <c r="Z564" s="2498"/>
      <c r="AA564" s="96"/>
      <c r="AB564" s="96"/>
      <c r="AC564" s="96"/>
      <c r="AD564" s="96"/>
      <c r="AE564" s="96"/>
      <c r="AF564" s="96"/>
      <c r="AG564" s="96"/>
      <c r="AH564" s="96"/>
      <c r="AI564" s="96"/>
      <c r="AJ564" s="96"/>
      <c r="AK564" s="96"/>
      <c r="AL564" s="96"/>
      <c r="AM564" s="96"/>
      <c r="AN564" s="96"/>
      <c r="AO564" s="96"/>
      <c r="AP564" s="96"/>
      <c r="AQ564" s="96"/>
      <c r="AR564" s="96"/>
    </row>
    <row r="565" spans="1:44" s="270" customFormat="1" ht="12" customHeight="1">
      <c r="A565" s="96"/>
      <c r="P565" s="146"/>
      <c r="X565" s="96"/>
      <c r="Y565" s="96"/>
      <c r="Z565" s="2498"/>
      <c r="AA565" s="96"/>
      <c r="AB565" s="96"/>
      <c r="AC565" s="96"/>
      <c r="AD565" s="96"/>
      <c r="AE565" s="96"/>
      <c r="AF565" s="96"/>
      <c r="AG565" s="96"/>
      <c r="AH565" s="96"/>
      <c r="AI565" s="96"/>
      <c r="AJ565" s="96"/>
      <c r="AK565" s="96"/>
      <c r="AL565" s="96"/>
      <c r="AM565" s="96"/>
      <c r="AN565" s="96"/>
      <c r="AO565" s="96"/>
      <c r="AP565" s="96"/>
      <c r="AQ565" s="96"/>
      <c r="AR565" s="96"/>
    </row>
    <row r="566" spans="1:44" s="270" customFormat="1" ht="12" customHeight="1">
      <c r="A566" s="96"/>
      <c r="P566" s="146"/>
      <c r="X566" s="96"/>
      <c r="Y566" s="96"/>
      <c r="Z566" s="2498"/>
      <c r="AA566" s="96"/>
      <c r="AB566" s="96"/>
      <c r="AC566" s="96"/>
      <c r="AD566" s="96"/>
      <c r="AE566" s="96"/>
      <c r="AF566" s="96"/>
      <c r="AG566" s="96"/>
      <c r="AH566" s="96"/>
      <c r="AI566" s="96"/>
      <c r="AJ566" s="96"/>
      <c r="AK566" s="96"/>
      <c r="AL566" s="96"/>
      <c r="AM566" s="96"/>
      <c r="AN566" s="96"/>
      <c r="AO566" s="96"/>
      <c r="AP566" s="96"/>
      <c r="AQ566" s="96"/>
      <c r="AR566" s="96"/>
    </row>
    <row r="567" spans="1:44" s="270" customFormat="1" ht="12" customHeight="1">
      <c r="A567" s="96"/>
      <c r="P567" s="146"/>
      <c r="X567" s="96"/>
      <c r="Y567" s="96"/>
      <c r="Z567" s="2498"/>
      <c r="AA567" s="96"/>
      <c r="AB567" s="96"/>
      <c r="AC567" s="96"/>
      <c r="AD567" s="96"/>
      <c r="AE567" s="96"/>
      <c r="AF567" s="96"/>
      <c r="AG567" s="96"/>
      <c r="AH567" s="96"/>
      <c r="AI567" s="96"/>
      <c r="AJ567" s="96"/>
      <c r="AK567" s="96"/>
      <c r="AL567" s="96"/>
      <c r="AM567" s="96"/>
      <c r="AN567" s="96"/>
      <c r="AO567" s="96"/>
      <c r="AP567" s="96"/>
      <c r="AQ567" s="96"/>
      <c r="AR567" s="96"/>
    </row>
    <row r="568" spans="1:44" s="270" customFormat="1" ht="12" customHeight="1">
      <c r="A568" s="96"/>
      <c r="P568" s="146"/>
      <c r="X568" s="96"/>
      <c r="Y568" s="96"/>
      <c r="Z568" s="2498"/>
      <c r="AA568" s="96"/>
      <c r="AB568" s="96"/>
      <c r="AC568" s="96"/>
      <c r="AD568" s="96"/>
      <c r="AE568" s="96"/>
      <c r="AF568" s="96"/>
      <c r="AG568" s="96"/>
      <c r="AH568" s="96"/>
      <c r="AI568" s="96"/>
      <c r="AJ568" s="96"/>
      <c r="AK568" s="96"/>
      <c r="AL568" s="96"/>
      <c r="AM568" s="96"/>
      <c r="AN568" s="96"/>
      <c r="AO568" s="96"/>
      <c r="AP568" s="96"/>
      <c r="AQ568" s="96"/>
      <c r="AR568" s="96"/>
    </row>
    <row r="569" spans="1:44" s="270" customFormat="1" ht="12" customHeight="1">
      <c r="A569" s="96"/>
      <c r="P569" s="146"/>
      <c r="X569" s="96"/>
      <c r="Y569" s="96"/>
      <c r="Z569" s="2498"/>
      <c r="AA569" s="96"/>
      <c r="AB569" s="96"/>
      <c r="AC569" s="96"/>
      <c r="AD569" s="96"/>
      <c r="AE569" s="96"/>
      <c r="AF569" s="96"/>
      <c r="AG569" s="96"/>
      <c r="AH569" s="96"/>
      <c r="AI569" s="96"/>
      <c r="AJ569" s="96"/>
      <c r="AK569" s="96"/>
      <c r="AL569" s="96"/>
      <c r="AM569" s="96"/>
      <c r="AN569" s="96"/>
      <c r="AO569" s="96"/>
      <c r="AP569" s="96"/>
      <c r="AQ569" s="96"/>
      <c r="AR569" s="96"/>
    </row>
    <row r="570" spans="1:44" s="270" customFormat="1" ht="12" customHeight="1">
      <c r="A570" s="96"/>
      <c r="P570" s="294"/>
      <c r="X570" s="96"/>
      <c r="Y570" s="96"/>
      <c r="Z570" s="2498"/>
      <c r="AA570" s="96"/>
      <c r="AB570" s="96"/>
      <c r="AC570" s="96"/>
      <c r="AD570" s="96"/>
      <c r="AE570" s="96"/>
      <c r="AF570" s="96"/>
      <c r="AG570" s="96"/>
      <c r="AH570" s="96"/>
      <c r="AI570" s="96"/>
      <c r="AJ570" s="96"/>
      <c r="AK570" s="96"/>
      <c r="AL570" s="96"/>
      <c r="AM570" s="96"/>
      <c r="AN570" s="96"/>
      <c r="AO570" s="96"/>
      <c r="AP570" s="96"/>
      <c r="AQ570" s="96"/>
      <c r="AR570" s="96"/>
    </row>
    <row r="571" spans="1:44" s="270" customFormat="1" ht="12" customHeight="1">
      <c r="A571" s="96"/>
      <c r="P571" s="294"/>
      <c r="X571" s="96"/>
      <c r="Y571" s="96"/>
      <c r="Z571" s="2498"/>
      <c r="AA571" s="96"/>
      <c r="AB571" s="96"/>
      <c r="AC571" s="96"/>
      <c r="AD571" s="96"/>
      <c r="AE571" s="96"/>
      <c r="AF571" s="96"/>
      <c r="AG571" s="96"/>
      <c r="AH571" s="96"/>
      <c r="AI571" s="96"/>
      <c r="AJ571" s="96"/>
      <c r="AK571" s="96"/>
      <c r="AL571" s="96"/>
      <c r="AM571" s="96"/>
      <c r="AN571" s="96"/>
      <c r="AO571" s="96"/>
      <c r="AP571" s="96"/>
      <c r="AQ571" s="96"/>
      <c r="AR571" s="96"/>
    </row>
    <row r="572" spans="1:44" s="270" customFormat="1" ht="12" customHeight="1">
      <c r="A572" s="96"/>
      <c r="P572" s="146"/>
      <c r="X572" s="96"/>
      <c r="Y572" s="96"/>
      <c r="Z572" s="2498"/>
      <c r="AA572" s="96"/>
      <c r="AB572" s="96"/>
      <c r="AC572" s="96"/>
      <c r="AD572" s="96"/>
      <c r="AE572" s="96"/>
      <c r="AF572" s="96"/>
      <c r="AG572" s="96"/>
      <c r="AH572" s="96"/>
      <c r="AI572" s="96"/>
      <c r="AJ572" s="96"/>
      <c r="AK572" s="96"/>
      <c r="AL572" s="96"/>
      <c r="AM572" s="96"/>
      <c r="AN572" s="96"/>
      <c r="AO572" s="96"/>
      <c r="AP572" s="96"/>
      <c r="AQ572" s="96"/>
      <c r="AR572" s="96"/>
    </row>
    <row r="573" spans="1:44" s="270" customFormat="1" ht="12" customHeight="1">
      <c r="A573" s="96"/>
      <c r="P573" s="146"/>
      <c r="X573" s="96"/>
      <c r="Y573" s="96"/>
      <c r="Z573" s="2498"/>
      <c r="AA573" s="96"/>
      <c r="AB573" s="96"/>
      <c r="AC573" s="96"/>
      <c r="AD573" s="96"/>
      <c r="AE573" s="96"/>
      <c r="AF573" s="96"/>
      <c r="AG573" s="96"/>
      <c r="AH573" s="96"/>
      <c r="AI573" s="96"/>
      <c r="AJ573" s="96"/>
      <c r="AK573" s="96"/>
      <c r="AL573" s="96"/>
      <c r="AM573" s="96"/>
      <c r="AN573" s="96"/>
      <c r="AO573" s="96"/>
      <c r="AP573" s="96"/>
      <c r="AQ573" s="96"/>
      <c r="AR573" s="96"/>
    </row>
    <row r="574" spans="1:44" s="270" customFormat="1" ht="12" customHeight="1">
      <c r="A574" s="96"/>
      <c r="P574" s="146"/>
      <c r="X574" s="96"/>
      <c r="Y574" s="96"/>
      <c r="Z574" s="2498"/>
      <c r="AA574" s="96"/>
      <c r="AB574" s="96"/>
      <c r="AC574" s="96"/>
      <c r="AD574" s="96"/>
      <c r="AE574" s="96"/>
      <c r="AF574" s="96"/>
      <c r="AG574" s="96"/>
      <c r="AH574" s="96"/>
      <c r="AI574" s="96"/>
      <c r="AJ574" s="96"/>
      <c r="AK574" s="96"/>
      <c r="AL574" s="96"/>
      <c r="AM574" s="96"/>
      <c r="AN574" s="96"/>
      <c r="AO574" s="96"/>
      <c r="AP574" s="96"/>
      <c r="AQ574" s="96"/>
      <c r="AR574" s="96"/>
    </row>
    <row r="575" spans="1:44" s="270" customFormat="1" ht="12" customHeight="1">
      <c r="A575" s="96"/>
      <c r="P575" s="146"/>
      <c r="X575" s="96"/>
      <c r="Y575" s="96"/>
      <c r="Z575" s="2498"/>
      <c r="AA575" s="96"/>
      <c r="AB575" s="96"/>
      <c r="AC575" s="96"/>
      <c r="AD575" s="96"/>
      <c r="AE575" s="96"/>
      <c r="AF575" s="96"/>
      <c r="AG575" s="96"/>
      <c r="AH575" s="96"/>
      <c r="AI575" s="96"/>
      <c r="AJ575" s="96"/>
      <c r="AK575" s="96"/>
      <c r="AL575" s="96"/>
      <c r="AM575" s="96"/>
      <c r="AN575" s="96"/>
      <c r="AO575" s="96"/>
      <c r="AP575" s="96"/>
      <c r="AQ575" s="96"/>
      <c r="AR575" s="96"/>
    </row>
    <row r="576" spans="1:44" s="270" customFormat="1" ht="12" customHeight="1">
      <c r="A576" s="96"/>
      <c r="P576" s="146"/>
      <c r="X576" s="96"/>
      <c r="Y576" s="96"/>
      <c r="Z576" s="2498"/>
      <c r="AA576" s="96"/>
      <c r="AB576" s="96"/>
      <c r="AC576" s="96"/>
      <c r="AD576" s="96"/>
      <c r="AE576" s="96"/>
      <c r="AF576" s="96"/>
      <c r="AG576" s="96"/>
      <c r="AH576" s="96"/>
      <c r="AI576" s="96"/>
      <c r="AJ576" s="96"/>
      <c r="AK576" s="96"/>
      <c r="AL576" s="96"/>
      <c r="AM576" s="96"/>
      <c r="AN576" s="96"/>
      <c r="AO576" s="96"/>
      <c r="AP576" s="96"/>
      <c r="AQ576" s="96"/>
      <c r="AR576" s="96"/>
    </row>
    <row r="577" spans="1:44" s="270" customFormat="1" ht="12" customHeight="1">
      <c r="A577" s="96"/>
      <c r="P577" s="146"/>
      <c r="X577" s="96"/>
      <c r="Y577" s="96"/>
      <c r="Z577" s="2498"/>
      <c r="AA577" s="96"/>
      <c r="AB577" s="96"/>
      <c r="AC577" s="96"/>
      <c r="AD577" s="96"/>
      <c r="AE577" s="96"/>
      <c r="AF577" s="96"/>
      <c r="AG577" s="96"/>
      <c r="AH577" s="96"/>
      <c r="AI577" s="96"/>
      <c r="AJ577" s="96"/>
      <c r="AK577" s="96"/>
      <c r="AL577" s="96"/>
      <c r="AM577" s="96"/>
      <c r="AN577" s="96"/>
      <c r="AO577" s="96"/>
      <c r="AP577" s="96"/>
      <c r="AQ577" s="96"/>
      <c r="AR577" s="96"/>
    </row>
    <row r="578" spans="1:44" s="270" customFormat="1" ht="12" customHeight="1">
      <c r="A578" s="96"/>
      <c r="P578" s="146"/>
      <c r="X578" s="96"/>
      <c r="Y578" s="96"/>
      <c r="Z578" s="2498"/>
      <c r="AA578" s="96"/>
      <c r="AB578" s="96"/>
      <c r="AC578" s="96"/>
      <c r="AD578" s="96"/>
      <c r="AE578" s="96"/>
      <c r="AF578" s="96"/>
      <c r="AG578" s="96"/>
      <c r="AH578" s="96"/>
      <c r="AI578" s="96"/>
      <c r="AJ578" s="96"/>
      <c r="AK578" s="96"/>
      <c r="AL578" s="96"/>
      <c r="AM578" s="96"/>
      <c r="AN578" s="96"/>
      <c r="AO578" s="96"/>
      <c r="AP578" s="96"/>
      <c r="AQ578" s="96"/>
      <c r="AR578" s="96"/>
    </row>
    <row r="579" spans="1:44" s="270" customFormat="1" ht="12" customHeight="1">
      <c r="A579" s="96"/>
      <c r="P579" s="146"/>
      <c r="X579" s="96"/>
      <c r="Y579" s="96"/>
      <c r="Z579" s="2498"/>
      <c r="AA579" s="96"/>
      <c r="AB579" s="96"/>
      <c r="AC579" s="96"/>
      <c r="AD579" s="96"/>
      <c r="AE579" s="96"/>
      <c r="AF579" s="96"/>
      <c r="AG579" s="96"/>
      <c r="AH579" s="96"/>
      <c r="AI579" s="96"/>
      <c r="AJ579" s="96"/>
      <c r="AK579" s="96"/>
      <c r="AL579" s="96"/>
      <c r="AM579" s="96"/>
      <c r="AN579" s="96"/>
      <c r="AO579" s="96"/>
      <c r="AP579" s="96"/>
      <c r="AQ579" s="96"/>
      <c r="AR579" s="96"/>
    </row>
    <row r="580" spans="1:44" s="270" customFormat="1" ht="12" customHeight="1">
      <c r="A580" s="96"/>
      <c r="P580" s="146"/>
      <c r="X580" s="96"/>
      <c r="Y580" s="96"/>
      <c r="Z580" s="2498"/>
      <c r="AA580" s="96"/>
      <c r="AB580" s="96"/>
      <c r="AC580" s="96"/>
      <c r="AD580" s="96"/>
      <c r="AE580" s="96"/>
      <c r="AF580" s="96"/>
      <c r="AG580" s="96"/>
      <c r="AH580" s="96"/>
      <c r="AI580" s="96"/>
      <c r="AJ580" s="96"/>
      <c r="AK580" s="96"/>
      <c r="AL580" s="96"/>
      <c r="AM580" s="96"/>
      <c r="AN580" s="96"/>
      <c r="AO580" s="96"/>
      <c r="AP580" s="96"/>
      <c r="AQ580" s="96"/>
      <c r="AR580" s="96"/>
    </row>
    <row r="581" spans="1:44" s="270" customFormat="1" ht="12" customHeight="1">
      <c r="A581" s="96"/>
      <c r="P581" s="146"/>
      <c r="X581" s="96"/>
      <c r="Y581" s="96"/>
      <c r="Z581" s="2498"/>
      <c r="AA581" s="96"/>
      <c r="AB581" s="96"/>
      <c r="AC581" s="96"/>
      <c r="AD581" s="96"/>
      <c r="AE581" s="96"/>
      <c r="AF581" s="96"/>
      <c r="AG581" s="96"/>
      <c r="AH581" s="96"/>
      <c r="AI581" s="96"/>
      <c r="AJ581" s="96"/>
      <c r="AK581" s="96"/>
      <c r="AL581" s="96"/>
      <c r="AM581" s="96"/>
      <c r="AN581" s="96"/>
      <c r="AO581" s="96"/>
      <c r="AP581" s="96"/>
      <c r="AQ581" s="96"/>
      <c r="AR581" s="96"/>
    </row>
    <row r="582" spans="1:44" s="270" customFormat="1" ht="12" customHeight="1">
      <c r="A582" s="96"/>
      <c r="P582" s="146"/>
      <c r="Q582" s="290"/>
      <c r="X582" s="96"/>
      <c r="Y582" s="96"/>
      <c r="Z582" s="2498"/>
      <c r="AA582" s="96"/>
      <c r="AB582" s="96"/>
      <c r="AC582" s="96"/>
      <c r="AD582" s="96"/>
      <c r="AE582" s="96"/>
      <c r="AF582" s="96"/>
      <c r="AG582" s="96"/>
      <c r="AH582" s="96"/>
      <c r="AI582" s="96"/>
      <c r="AJ582" s="96"/>
      <c r="AK582" s="96"/>
      <c r="AL582" s="96"/>
      <c r="AM582" s="96"/>
      <c r="AN582" s="96"/>
      <c r="AO582" s="96"/>
      <c r="AP582" s="96"/>
      <c r="AQ582" s="96"/>
      <c r="AR582" s="96"/>
    </row>
    <row r="583" spans="1:44" s="270" customFormat="1" ht="12" customHeight="1">
      <c r="A583" s="96"/>
      <c r="P583" s="146"/>
      <c r="X583" s="96"/>
      <c r="Y583" s="96"/>
      <c r="Z583" s="2498"/>
      <c r="AA583" s="96"/>
      <c r="AB583" s="96"/>
      <c r="AC583" s="96"/>
      <c r="AD583" s="96"/>
      <c r="AE583" s="96"/>
      <c r="AF583" s="96"/>
      <c r="AG583" s="96"/>
      <c r="AH583" s="96"/>
      <c r="AI583" s="96"/>
      <c r="AJ583" s="96"/>
      <c r="AK583" s="96"/>
      <c r="AL583" s="96"/>
      <c r="AM583" s="96"/>
      <c r="AN583" s="96"/>
      <c r="AO583" s="96"/>
      <c r="AP583" s="96"/>
      <c r="AQ583" s="96"/>
      <c r="AR583" s="96"/>
    </row>
    <row r="584" spans="1:44" s="270" customFormat="1" ht="12" customHeight="1">
      <c r="A584" s="96"/>
      <c r="P584" s="146"/>
      <c r="X584" s="96"/>
      <c r="Y584" s="96"/>
      <c r="Z584" s="2498"/>
      <c r="AA584" s="96"/>
      <c r="AB584" s="96"/>
      <c r="AC584" s="96"/>
      <c r="AD584" s="96"/>
      <c r="AE584" s="96"/>
      <c r="AF584" s="96"/>
      <c r="AG584" s="96"/>
      <c r="AH584" s="96"/>
      <c r="AI584" s="96"/>
      <c r="AJ584" s="96"/>
      <c r="AK584" s="96"/>
      <c r="AL584" s="96"/>
      <c r="AM584" s="96"/>
      <c r="AN584" s="96"/>
      <c r="AO584" s="96"/>
      <c r="AP584" s="96"/>
      <c r="AQ584" s="96"/>
      <c r="AR584" s="96"/>
    </row>
    <row r="585" spans="1:44" s="270" customFormat="1" ht="12" customHeight="1">
      <c r="A585" s="96"/>
      <c r="P585" s="146"/>
      <c r="X585" s="96"/>
      <c r="Y585" s="96"/>
      <c r="Z585" s="2498"/>
      <c r="AA585" s="96"/>
      <c r="AB585" s="96"/>
      <c r="AC585" s="96"/>
      <c r="AD585" s="96"/>
      <c r="AE585" s="96"/>
      <c r="AF585" s="96"/>
      <c r="AG585" s="96"/>
      <c r="AH585" s="96"/>
      <c r="AI585" s="96"/>
      <c r="AJ585" s="96"/>
      <c r="AK585" s="96"/>
      <c r="AL585" s="96"/>
      <c r="AM585" s="96"/>
      <c r="AN585" s="96"/>
      <c r="AO585" s="96"/>
      <c r="AP585" s="96"/>
      <c r="AQ585" s="96"/>
      <c r="AR585" s="96"/>
    </row>
    <row r="586" spans="1:44" s="270" customFormat="1" ht="12" customHeight="1">
      <c r="A586" s="96"/>
      <c r="P586" s="146"/>
      <c r="X586" s="96"/>
      <c r="Y586" s="96"/>
      <c r="Z586" s="2498"/>
      <c r="AA586" s="96"/>
      <c r="AB586" s="96"/>
      <c r="AC586" s="96"/>
      <c r="AD586" s="96"/>
      <c r="AE586" s="96"/>
      <c r="AF586" s="96"/>
      <c r="AG586" s="96"/>
      <c r="AH586" s="96"/>
      <c r="AI586" s="96"/>
      <c r="AJ586" s="96"/>
      <c r="AK586" s="96"/>
      <c r="AL586" s="96"/>
      <c r="AM586" s="96"/>
      <c r="AN586" s="96"/>
      <c r="AO586" s="96"/>
      <c r="AP586" s="96"/>
      <c r="AQ586" s="96"/>
      <c r="AR586" s="96"/>
    </row>
    <row r="587" spans="1:44" s="270" customFormat="1" ht="12" customHeight="1">
      <c r="A587" s="96"/>
      <c r="P587" s="294"/>
      <c r="X587" s="96"/>
      <c r="Y587" s="96"/>
      <c r="Z587" s="2498"/>
      <c r="AA587" s="96"/>
      <c r="AB587" s="96"/>
      <c r="AC587" s="96"/>
      <c r="AD587" s="96"/>
      <c r="AE587" s="96"/>
      <c r="AF587" s="96"/>
      <c r="AG587" s="96"/>
      <c r="AH587" s="96"/>
      <c r="AI587" s="96"/>
      <c r="AJ587" s="96"/>
      <c r="AK587" s="96"/>
      <c r="AL587" s="96"/>
      <c r="AM587" s="96"/>
      <c r="AN587" s="96"/>
      <c r="AO587" s="96"/>
      <c r="AP587" s="96"/>
      <c r="AQ587" s="96"/>
      <c r="AR587" s="96"/>
    </row>
    <row r="588" spans="1:44" s="270" customFormat="1" ht="12" customHeight="1">
      <c r="A588" s="96"/>
      <c r="P588" s="146"/>
      <c r="X588" s="96"/>
      <c r="Y588" s="96"/>
      <c r="Z588" s="2498"/>
      <c r="AA588" s="96"/>
      <c r="AB588" s="96"/>
      <c r="AC588" s="96"/>
      <c r="AD588" s="96"/>
      <c r="AE588" s="96"/>
      <c r="AF588" s="96"/>
      <c r="AG588" s="96"/>
      <c r="AH588" s="96"/>
      <c r="AI588" s="96"/>
      <c r="AJ588" s="96"/>
      <c r="AK588" s="96"/>
      <c r="AL588" s="96"/>
      <c r="AM588" s="96"/>
      <c r="AN588" s="96"/>
      <c r="AO588" s="96"/>
      <c r="AP588" s="96"/>
      <c r="AQ588" s="96"/>
      <c r="AR588" s="96"/>
    </row>
    <row r="589" spans="1:44" s="270" customFormat="1" ht="12" customHeight="1">
      <c r="A589" s="96"/>
      <c r="P589" s="146"/>
      <c r="X589" s="96"/>
      <c r="Y589" s="96"/>
      <c r="Z589" s="2498"/>
      <c r="AA589" s="96"/>
      <c r="AB589" s="96"/>
      <c r="AC589" s="96"/>
      <c r="AD589" s="96"/>
      <c r="AE589" s="96"/>
      <c r="AF589" s="96"/>
      <c r="AG589" s="96"/>
      <c r="AH589" s="96"/>
      <c r="AI589" s="96"/>
      <c r="AJ589" s="96"/>
      <c r="AK589" s="96"/>
      <c r="AL589" s="96"/>
      <c r="AM589" s="96"/>
      <c r="AN589" s="96"/>
      <c r="AO589" s="96"/>
      <c r="AP589" s="96"/>
      <c r="AQ589" s="96"/>
      <c r="AR589" s="96"/>
    </row>
    <row r="590" spans="1:44" s="270" customFormat="1" ht="12" customHeight="1">
      <c r="A590" s="96"/>
      <c r="P590" s="146"/>
      <c r="X590" s="96"/>
      <c r="Y590" s="96"/>
      <c r="Z590" s="2498"/>
      <c r="AA590" s="96"/>
      <c r="AB590" s="96"/>
      <c r="AC590" s="96"/>
      <c r="AD590" s="96"/>
      <c r="AE590" s="96"/>
      <c r="AF590" s="96"/>
      <c r="AG590" s="96"/>
      <c r="AH590" s="96"/>
      <c r="AI590" s="96"/>
      <c r="AJ590" s="96"/>
      <c r="AK590" s="96"/>
      <c r="AL590" s="96"/>
      <c r="AM590" s="96"/>
      <c r="AN590" s="96"/>
      <c r="AO590" s="96"/>
      <c r="AP590" s="96"/>
      <c r="AQ590" s="96"/>
      <c r="AR590" s="96"/>
    </row>
    <row r="591" spans="1:44" s="270" customFormat="1" ht="12" customHeight="1">
      <c r="A591" s="96"/>
      <c r="P591" s="146"/>
      <c r="X591" s="96"/>
      <c r="Y591" s="96"/>
      <c r="Z591" s="2498"/>
      <c r="AA591" s="96"/>
      <c r="AB591" s="96"/>
      <c r="AC591" s="96"/>
      <c r="AD591" s="96"/>
      <c r="AE591" s="96"/>
      <c r="AF591" s="96"/>
      <c r="AG591" s="96"/>
      <c r="AH591" s="96"/>
      <c r="AI591" s="96"/>
      <c r="AJ591" s="96"/>
      <c r="AK591" s="96"/>
      <c r="AL591" s="96"/>
      <c r="AM591" s="96"/>
      <c r="AN591" s="96"/>
      <c r="AO591" s="96"/>
      <c r="AP591" s="96"/>
      <c r="AQ591" s="96"/>
      <c r="AR591" s="96"/>
    </row>
    <row r="592" spans="1:44" s="270" customFormat="1" ht="12" customHeight="1">
      <c r="A592" s="96"/>
      <c r="P592" s="146"/>
      <c r="X592" s="96"/>
      <c r="Y592" s="96"/>
      <c r="Z592" s="2498"/>
      <c r="AA592" s="96"/>
      <c r="AB592" s="96"/>
      <c r="AC592" s="96"/>
      <c r="AD592" s="96"/>
      <c r="AE592" s="96"/>
      <c r="AF592" s="96"/>
      <c r="AG592" s="96"/>
      <c r="AH592" s="96"/>
      <c r="AI592" s="96"/>
      <c r="AJ592" s="96"/>
      <c r="AK592" s="96"/>
      <c r="AL592" s="96"/>
      <c r="AM592" s="96"/>
      <c r="AN592" s="96"/>
      <c r="AO592" s="96"/>
      <c r="AP592" s="96"/>
      <c r="AQ592" s="96"/>
      <c r="AR592" s="96"/>
    </row>
    <row r="593" spans="1:44" s="270" customFormat="1" ht="12" customHeight="1">
      <c r="A593" s="96"/>
      <c r="P593" s="146"/>
      <c r="X593" s="96"/>
      <c r="Y593" s="96"/>
      <c r="Z593" s="2498"/>
      <c r="AA593" s="96"/>
      <c r="AB593" s="96"/>
      <c r="AC593" s="96"/>
      <c r="AD593" s="96"/>
      <c r="AE593" s="96"/>
      <c r="AF593" s="96"/>
      <c r="AG593" s="96"/>
      <c r="AH593" s="96"/>
      <c r="AI593" s="96"/>
      <c r="AJ593" s="96"/>
      <c r="AK593" s="96"/>
      <c r="AL593" s="96"/>
      <c r="AM593" s="96"/>
      <c r="AN593" s="96"/>
      <c r="AO593" s="96"/>
      <c r="AP593" s="96"/>
      <c r="AQ593" s="96"/>
      <c r="AR593" s="96"/>
    </row>
    <row r="594" spans="1:44" s="270" customFormat="1" ht="12" customHeight="1">
      <c r="A594" s="96"/>
      <c r="P594" s="146"/>
      <c r="X594" s="96"/>
      <c r="Y594" s="96"/>
      <c r="Z594" s="2498"/>
      <c r="AA594" s="96"/>
      <c r="AB594" s="96"/>
      <c r="AC594" s="96"/>
      <c r="AD594" s="96"/>
      <c r="AE594" s="96"/>
      <c r="AF594" s="96"/>
      <c r="AG594" s="96"/>
      <c r="AH594" s="96"/>
      <c r="AI594" s="96"/>
      <c r="AJ594" s="96"/>
      <c r="AK594" s="96"/>
      <c r="AL594" s="96"/>
      <c r="AM594" s="96"/>
      <c r="AN594" s="96"/>
      <c r="AO594" s="96"/>
      <c r="AP594" s="96"/>
      <c r="AQ594" s="96"/>
      <c r="AR594" s="96"/>
    </row>
    <row r="595" spans="1:44" s="270" customFormat="1" ht="12" customHeight="1">
      <c r="A595" s="96"/>
      <c r="P595" s="146"/>
      <c r="X595" s="96"/>
      <c r="Y595" s="96"/>
      <c r="Z595" s="2498"/>
      <c r="AA595" s="96"/>
      <c r="AB595" s="96"/>
      <c r="AC595" s="96"/>
      <c r="AD595" s="96"/>
      <c r="AE595" s="96"/>
      <c r="AF595" s="96"/>
      <c r="AG595" s="96"/>
      <c r="AH595" s="96"/>
      <c r="AI595" s="96"/>
      <c r="AJ595" s="96"/>
      <c r="AK595" s="96"/>
      <c r="AL595" s="96"/>
      <c r="AM595" s="96"/>
      <c r="AN595" s="96"/>
      <c r="AO595" s="96"/>
      <c r="AP595" s="96"/>
      <c r="AQ595" s="96"/>
      <c r="AR595" s="96"/>
    </row>
    <row r="596" spans="1:44" s="270" customFormat="1" ht="12" customHeight="1">
      <c r="A596" s="96"/>
      <c r="P596" s="146"/>
      <c r="X596" s="96"/>
      <c r="Y596" s="96"/>
      <c r="Z596" s="2498"/>
      <c r="AA596" s="96"/>
      <c r="AB596" s="96"/>
      <c r="AC596" s="96"/>
      <c r="AD596" s="96"/>
      <c r="AE596" s="96"/>
      <c r="AF596" s="96"/>
      <c r="AG596" s="96"/>
      <c r="AH596" s="96"/>
      <c r="AI596" s="96"/>
      <c r="AJ596" s="96"/>
      <c r="AK596" s="96"/>
      <c r="AL596" s="96"/>
      <c r="AM596" s="96"/>
      <c r="AN596" s="96"/>
      <c r="AO596" s="96"/>
      <c r="AP596" s="96"/>
      <c r="AQ596" s="96"/>
      <c r="AR596" s="96"/>
    </row>
    <row r="597" spans="1:44" s="270" customFormat="1" ht="12" customHeight="1">
      <c r="A597" s="96"/>
      <c r="P597" s="146"/>
      <c r="X597" s="96"/>
      <c r="Y597" s="96"/>
      <c r="Z597" s="2498"/>
      <c r="AA597" s="96"/>
      <c r="AB597" s="96"/>
      <c r="AC597" s="96"/>
      <c r="AD597" s="96"/>
      <c r="AE597" s="96"/>
      <c r="AF597" s="96"/>
      <c r="AG597" s="96"/>
      <c r="AH597" s="96"/>
      <c r="AI597" s="96"/>
      <c r="AJ597" s="96"/>
      <c r="AK597" s="96"/>
      <c r="AL597" s="96"/>
      <c r="AM597" s="96"/>
      <c r="AN597" s="96"/>
      <c r="AO597" s="96"/>
      <c r="AP597" s="96"/>
      <c r="AQ597" s="96"/>
      <c r="AR597" s="96"/>
    </row>
    <row r="598" spans="1:44" s="270" customFormat="1" ht="12" customHeight="1">
      <c r="A598" s="96"/>
      <c r="P598" s="146"/>
      <c r="X598" s="96"/>
      <c r="Y598" s="96"/>
      <c r="Z598" s="2498"/>
      <c r="AA598" s="96"/>
      <c r="AB598" s="96"/>
      <c r="AC598" s="96"/>
      <c r="AD598" s="96"/>
      <c r="AE598" s="96"/>
      <c r="AF598" s="96"/>
      <c r="AG598" s="96"/>
      <c r="AH598" s="96"/>
      <c r="AI598" s="96"/>
      <c r="AJ598" s="96"/>
      <c r="AK598" s="96"/>
      <c r="AL598" s="96"/>
      <c r="AM598" s="96"/>
      <c r="AN598" s="96"/>
      <c r="AO598" s="96"/>
      <c r="AP598" s="96"/>
      <c r="AQ598" s="96"/>
      <c r="AR598" s="96"/>
    </row>
    <row r="599" spans="1:44" s="270" customFormat="1" ht="12" customHeight="1">
      <c r="A599" s="96"/>
      <c r="P599" s="294"/>
      <c r="X599" s="96"/>
      <c r="Y599" s="96"/>
      <c r="Z599" s="2498"/>
      <c r="AA599" s="96"/>
      <c r="AB599" s="96"/>
      <c r="AC599" s="96"/>
      <c r="AD599" s="96"/>
      <c r="AE599" s="96"/>
      <c r="AF599" s="96"/>
      <c r="AG599" s="96"/>
      <c r="AH599" s="96"/>
      <c r="AI599" s="96"/>
      <c r="AJ599" s="96"/>
      <c r="AK599" s="96"/>
      <c r="AL599" s="96"/>
      <c r="AM599" s="96"/>
      <c r="AN599" s="96"/>
      <c r="AO599" s="96"/>
      <c r="AP599" s="96"/>
      <c r="AQ599" s="96"/>
      <c r="AR599" s="96"/>
    </row>
    <row r="600" spans="1:44" s="270" customFormat="1" ht="12" customHeight="1">
      <c r="A600" s="96"/>
      <c r="P600" s="146"/>
      <c r="X600" s="96"/>
      <c r="Y600" s="96"/>
      <c r="Z600" s="2498"/>
      <c r="AA600" s="96"/>
      <c r="AB600" s="96"/>
      <c r="AC600" s="96"/>
      <c r="AD600" s="96"/>
      <c r="AE600" s="96"/>
      <c r="AF600" s="96"/>
      <c r="AG600" s="96"/>
      <c r="AH600" s="96"/>
      <c r="AI600" s="96"/>
      <c r="AJ600" s="96"/>
      <c r="AK600" s="96"/>
      <c r="AL600" s="96"/>
      <c r="AM600" s="96"/>
      <c r="AN600" s="96"/>
      <c r="AO600" s="96"/>
      <c r="AP600" s="96"/>
      <c r="AQ600" s="96"/>
      <c r="AR600" s="96"/>
    </row>
    <row r="601" spans="1:44" s="270" customFormat="1" ht="12" customHeight="1">
      <c r="A601" s="96"/>
      <c r="P601" s="146"/>
      <c r="X601" s="96"/>
      <c r="Y601" s="96"/>
      <c r="Z601" s="2498"/>
      <c r="AA601" s="96"/>
      <c r="AB601" s="96"/>
      <c r="AC601" s="96"/>
      <c r="AD601" s="96"/>
      <c r="AE601" s="96"/>
      <c r="AF601" s="96"/>
      <c r="AG601" s="96"/>
      <c r="AH601" s="96"/>
      <c r="AI601" s="96"/>
      <c r="AJ601" s="96"/>
      <c r="AK601" s="96"/>
      <c r="AL601" s="96"/>
      <c r="AM601" s="96"/>
      <c r="AN601" s="96"/>
      <c r="AO601" s="96"/>
      <c r="AP601" s="96"/>
      <c r="AQ601" s="96"/>
      <c r="AR601" s="96"/>
    </row>
    <row r="602" spans="1:44" s="270" customFormat="1" ht="12" customHeight="1">
      <c r="A602" s="96"/>
      <c r="P602" s="146"/>
      <c r="X602" s="96"/>
      <c r="Y602" s="96"/>
      <c r="Z602" s="2498"/>
      <c r="AA602" s="96"/>
      <c r="AB602" s="96"/>
      <c r="AC602" s="96"/>
      <c r="AD602" s="96"/>
      <c r="AE602" s="96"/>
      <c r="AF602" s="96"/>
      <c r="AG602" s="96"/>
      <c r="AH602" s="96"/>
      <c r="AI602" s="96"/>
      <c r="AJ602" s="96"/>
      <c r="AK602" s="96"/>
      <c r="AL602" s="96"/>
      <c r="AM602" s="96"/>
      <c r="AN602" s="96"/>
      <c r="AO602" s="96"/>
      <c r="AP602" s="96"/>
      <c r="AQ602" s="96"/>
      <c r="AR602" s="96"/>
    </row>
    <row r="603" spans="1:44" s="270" customFormat="1" ht="12" customHeight="1">
      <c r="A603" s="96"/>
      <c r="P603" s="146"/>
      <c r="X603" s="96"/>
      <c r="Y603" s="96"/>
      <c r="Z603" s="2498"/>
      <c r="AA603" s="96"/>
      <c r="AB603" s="96"/>
      <c r="AC603" s="96"/>
      <c r="AD603" s="96"/>
      <c r="AE603" s="96"/>
      <c r="AF603" s="96"/>
      <c r="AG603" s="96"/>
      <c r="AH603" s="96"/>
      <c r="AI603" s="96"/>
      <c r="AJ603" s="96"/>
      <c r="AK603" s="96"/>
      <c r="AL603" s="96"/>
      <c r="AM603" s="96"/>
      <c r="AN603" s="96"/>
      <c r="AO603" s="96"/>
      <c r="AP603" s="96"/>
      <c r="AQ603" s="96"/>
      <c r="AR603" s="96"/>
    </row>
    <row r="604" spans="1:44" s="270" customFormat="1" ht="12" customHeight="1">
      <c r="A604" s="96"/>
      <c r="P604" s="146"/>
      <c r="X604" s="96"/>
      <c r="Y604" s="96"/>
      <c r="Z604" s="2498"/>
      <c r="AA604" s="96"/>
      <c r="AB604" s="96"/>
      <c r="AC604" s="96"/>
      <c r="AD604" s="96"/>
      <c r="AE604" s="96"/>
      <c r="AF604" s="96"/>
      <c r="AG604" s="96"/>
      <c r="AH604" s="96"/>
      <c r="AI604" s="96"/>
      <c r="AJ604" s="96"/>
      <c r="AK604" s="96"/>
      <c r="AL604" s="96"/>
      <c r="AM604" s="96"/>
      <c r="AN604" s="96"/>
      <c r="AO604" s="96"/>
      <c r="AP604" s="96"/>
      <c r="AQ604" s="96"/>
      <c r="AR604" s="96"/>
    </row>
    <row r="605" spans="1:44" s="270" customFormat="1" ht="12" customHeight="1">
      <c r="A605" s="96"/>
      <c r="P605" s="146"/>
      <c r="X605" s="96"/>
      <c r="Y605" s="96"/>
      <c r="Z605" s="2498"/>
      <c r="AA605" s="96"/>
      <c r="AB605" s="96"/>
      <c r="AC605" s="96"/>
      <c r="AD605" s="96"/>
      <c r="AE605" s="96"/>
      <c r="AF605" s="96"/>
      <c r="AG605" s="96"/>
      <c r="AH605" s="96"/>
      <c r="AI605" s="96"/>
      <c r="AJ605" s="96"/>
      <c r="AK605" s="96"/>
      <c r="AL605" s="96"/>
      <c r="AM605" s="96"/>
      <c r="AN605" s="96"/>
      <c r="AO605" s="96"/>
      <c r="AP605" s="96"/>
      <c r="AQ605" s="96"/>
      <c r="AR605" s="96"/>
    </row>
    <row r="606" spans="1:44" s="270" customFormat="1" ht="12" customHeight="1">
      <c r="A606" s="96"/>
      <c r="P606" s="146"/>
      <c r="X606" s="96"/>
      <c r="Y606" s="96"/>
      <c r="Z606" s="2498"/>
      <c r="AA606" s="96"/>
      <c r="AB606" s="96"/>
      <c r="AC606" s="96"/>
      <c r="AD606" s="96"/>
      <c r="AE606" s="96"/>
      <c r="AF606" s="96"/>
      <c r="AG606" s="96"/>
      <c r="AH606" s="96"/>
      <c r="AI606" s="96"/>
      <c r="AJ606" s="96"/>
      <c r="AK606" s="96"/>
      <c r="AL606" s="96"/>
      <c r="AM606" s="96"/>
      <c r="AN606" s="96"/>
      <c r="AO606" s="96"/>
      <c r="AP606" s="96"/>
      <c r="AQ606" s="96"/>
      <c r="AR606" s="96"/>
    </row>
    <row r="607" spans="1:44" s="270" customFormat="1" ht="12" customHeight="1">
      <c r="A607" s="96"/>
      <c r="P607" s="146"/>
      <c r="X607" s="96"/>
      <c r="Y607" s="96"/>
      <c r="Z607" s="2498"/>
      <c r="AA607" s="96"/>
      <c r="AB607" s="96"/>
      <c r="AC607" s="96"/>
      <c r="AD607" s="96"/>
      <c r="AE607" s="96"/>
      <c r="AF607" s="96"/>
      <c r="AG607" s="96"/>
      <c r="AH607" s="96"/>
      <c r="AI607" s="96"/>
      <c r="AJ607" s="96"/>
      <c r="AK607" s="96"/>
      <c r="AL607" s="96"/>
      <c r="AM607" s="96"/>
      <c r="AN607" s="96"/>
      <c r="AO607" s="96"/>
      <c r="AP607" s="96"/>
      <c r="AQ607" s="96"/>
      <c r="AR607" s="96"/>
    </row>
    <row r="608" spans="1:44" s="270" customFormat="1" ht="12" customHeight="1">
      <c r="A608" s="96"/>
      <c r="P608" s="146"/>
      <c r="X608" s="96"/>
      <c r="Y608" s="96"/>
      <c r="Z608" s="2498"/>
      <c r="AA608" s="96"/>
      <c r="AB608" s="96"/>
      <c r="AC608" s="96"/>
      <c r="AD608" s="96"/>
      <c r="AE608" s="96"/>
      <c r="AF608" s="96"/>
      <c r="AG608" s="96"/>
      <c r="AH608" s="96"/>
      <c r="AI608" s="96"/>
      <c r="AJ608" s="96"/>
      <c r="AK608" s="96"/>
      <c r="AL608" s="96"/>
      <c r="AM608" s="96"/>
      <c r="AN608" s="96"/>
      <c r="AO608" s="96"/>
      <c r="AP608" s="96"/>
      <c r="AQ608" s="96"/>
      <c r="AR608" s="96"/>
    </row>
    <row r="609" spans="1:44" s="270" customFormat="1" ht="12" customHeight="1">
      <c r="A609" s="96"/>
      <c r="P609" s="294"/>
      <c r="X609" s="96"/>
      <c r="Y609" s="96"/>
      <c r="Z609" s="2498"/>
      <c r="AA609" s="96"/>
      <c r="AB609" s="96"/>
      <c r="AC609" s="96"/>
      <c r="AD609" s="96"/>
      <c r="AE609" s="96"/>
      <c r="AF609" s="96"/>
      <c r="AG609" s="96"/>
      <c r="AH609" s="96"/>
      <c r="AI609" s="96"/>
      <c r="AJ609" s="96"/>
      <c r="AK609" s="96"/>
      <c r="AL609" s="96"/>
      <c r="AM609" s="96"/>
      <c r="AN609" s="96"/>
      <c r="AO609" s="96"/>
      <c r="AP609" s="96"/>
      <c r="AQ609" s="96"/>
      <c r="AR609" s="96"/>
    </row>
    <row r="610" spans="1:44" s="270" customFormat="1" ht="12" customHeight="1">
      <c r="A610" s="96"/>
      <c r="P610" s="146"/>
      <c r="X610" s="96"/>
      <c r="Y610" s="96"/>
      <c r="Z610" s="2498"/>
      <c r="AA610" s="96"/>
      <c r="AB610" s="96"/>
      <c r="AC610" s="96"/>
      <c r="AD610" s="96"/>
      <c r="AE610" s="96"/>
      <c r="AF610" s="96"/>
      <c r="AG610" s="96"/>
      <c r="AH610" s="96"/>
      <c r="AI610" s="96"/>
      <c r="AJ610" s="96"/>
      <c r="AK610" s="96"/>
      <c r="AL610" s="96"/>
      <c r="AM610" s="96"/>
      <c r="AN610" s="96"/>
      <c r="AO610" s="96"/>
      <c r="AP610" s="96"/>
      <c r="AQ610" s="96"/>
      <c r="AR610" s="96"/>
    </row>
    <row r="611" spans="1:44" s="270" customFormat="1" ht="12" customHeight="1">
      <c r="A611" s="96"/>
      <c r="P611" s="146"/>
      <c r="X611" s="96"/>
      <c r="Y611" s="96"/>
      <c r="Z611" s="2498"/>
      <c r="AA611" s="96"/>
      <c r="AB611" s="96"/>
      <c r="AC611" s="96"/>
      <c r="AD611" s="96"/>
      <c r="AE611" s="96"/>
      <c r="AF611" s="96"/>
      <c r="AG611" s="96"/>
      <c r="AH611" s="96"/>
      <c r="AI611" s="96"/>
      <c r="AJ611" s="96"/>
      <c r="AK611" s="96"/>
      <c r="AL611" s="96"/>
      <c r="AM611" s="96"/>
      <c r="AN611" s="96"/>
      <c r="AO611" s="96"/>
      <c r="AP611" s="96"/>
      <c r="AQ611" s="96"/>
      <c r="AR611" s="96"/>
    </row>
    <row r="612" spans="1:44" s="270" customFormat="1" ht="12" customHeight="1">
      <c r="A612" s="96"/>
      <c r="P612" s="146"/>
      <c r="X612" s="96"/>
      <c r="Y612" s="96"/>
      <c r="Z612" s="2498"/>
      <c r="AA612" s="96"/>
      <c r="AB612" s="96"/>
      <c r="AC612" s="96"/>
      <c r="AD612" s="96"/>
      <c r="AE612" s="96"/>
      <c r="AF612" s="96"/>
      <c r="AG612" s="96"/>
      <c r="AH612" s="96"/>
      <c r="AI612" s="96"/>
      <c r="AJ612" s="96"/>
      <c r="AK612" s="96"/>
      <c r="AL612" s="96"/>
      <c r="AM612" s="96"/>
      <c r="AN612" s="96"/>
      <c r="AO612" s="96"/>
      <c r="AP612" s="96"/>
      <c r="AQ612" s="96"/>
      <c r="AR612" s="96"/>
    </row>
    <row r="613" spans="1:44" s="270" customFormat="1" ht="12" customHeight="1">
      <c r="A613" s="96"/>
      <c r="P613" s="146"/>
      <c r="X613" s="96"/>
      <c r="Y613" s="96"/>
      <c r="Z613" s="2498"/>
      <c r="AA613" s="96"/>
      <c r="AB613" s="96"/>
      <c r="AC613" s="96"/>
      <c r="AD613" s="96"/>
      <c r="AE613" s="96"/>
      <c r="AF613" s="96"/>
      <c r="AG613" s="96"/>
      <c r="AH613" s="96"/>
      <c r="AI613" s="96"/>
      <c r="AJ613" s="96"/>
      <c r="AK613" s="96"/>
      <c r="AL613" s="96"/>
      <c r="AM613" s="96"/>
      <c r="AN613" s="96"/>
      <c r="AO613" s="96"/>
      <c r="AP613" s="96"/>
      <c r="AQ613" s="96"/>
      <c r="AR613" s="96"/>
    </row>
    <row r="614" spans="1:44" s="270" customFormat="1" ht="12" customHeight="1">
      <c r="A614" s="96"/>
      <c r="P614" s="146"/>
      <c r="X614" s="96"/>
      <c r="Y614" s="96"/>
      <c r="Z614" s="2498"/>
      <c r="AA614" s="96"/>
      <c r="AB614" s="96"/>
      <c r="AC614" s="96"/>
      <c r="AD614" s="96"/>
      <c r="AE614" s="96"/>
      <c r="AF614" s="96"/>
      <c r="AG614" s="96"/>
      <c r="AH614" s="96"/>
      <c r="AI614" s="96"/>
      <c r="AJ614" s="96"/>
      <c r="AK614" s="96"/>
      <c r="AL614" s="96"/>
      <c r="AM614" s="96"/>
      <c r="AN614" s="96"/>
      <c r="AO614" s="96"/>
      <c r="AP614" s="96"/>
      <c r="AQ614" s="96"/>
      <c r="AR614" s="96"/>
    </row>
    <row r="615" spans="1:44" s="270" customFormat="1" ht="12" customHeight="1">
      <c r="A615" s="96"/>
      <c r="P615" s="294"/>
      <c r="X615" s="96"/>
      <c r="Y615" s="96"/>
      <c r="Z615" s="2498"/>
      <c r="AA615" s="96"/>
      <c r="AB615" s="96"/>
      <c r="AC615" s="96"/>
      <c r="AD615" s="96"/>
      <c r="AE615" s="96"/>
      <c r="AF615" s="96"/>
      <c r="AG615" s="96"/>
      <c r="AH615" s="96"/>
      <c r="AI615" s="96"/>
      <c r="AJ615" s="96"/>
      <c r="AK615" s="96"/>
      <c r="AL615" s="96"/>
      <c r="AM615" s="96"/>
      <c r="AN615" s="96"/>
      <c r="AO615" s="96"/>
      <c r="AP615" s="96"/>
      <c r="AQ615" s="96"/>
      <c r="AR615" s="96"/>
    </row>
    <row r="616" spans="1:44" s="270" customFormat="1" ht="12" customHeight="1">
      <c r="A616" s="96"/>
      <c r="P616" s="146"/>
      <c r="X616" s="96"/>
      <c r="Y616" s="96"/>
      <c r="Z616" s="2498"/>
      <c r="AA616" s="96"/>
      <c r="AB616" s="96"/>
      <c r="AC616" s="96"/>
      <c r="AD616" s="96"/>
      <c r="AE616" s="96"/>
      <c r="AF616" s="96"/>
      <c r="AG616" s="96"/>
      <c r="AH616" s="96"/>
      <c r="AI616" s="96"/>
      <c r="AJ616" s="96"/>
      <c r="AK616" s="96"/>
      <c r="AL616" s="96"/>
      <c r="AM616" s="96"/>
      <c r="AN616" s="96"/>
      <c r="AO616" s="96"/>
      <c r="AP616" s="96"/>
      <c r="AQ616" s="96"/>
      <c r="AR616" s="96"/>
    </row>
    <row r="617" spans="1:44" s="270" customFormat="1" ht="12" customHeight="1">
      <c r="A617" s="96"/>
      <c r="P617" s="146"/>
      <c r="X617" s="96"/>
      <c r="Y617" s="96"/>
      <c r="Z617" s="2498"/>
      <c r="AA617" s="96"/>
      <c r="AB617" s="96"/>
      <c r="AC617" s="96"/>
      <c r="AD617" s="96"/>
      <c r="AE617" s="96"/>
      <c r="AF617" s="96"/>
      <c r="AG617" s="96"/>
      <c r="AH617" s="96"/>
      <c r="AI617" s="96"/>
      <c r="AJ617" s="96"/>
      <c r="AK617" s="96"/>
      <c r="AL617" s="96"/>
      <c r="AM617" s="96"/>
      <c r="AN617" s="96"/>
      <c r="AO617" s="96"/>
      <c r="AP617" s="96"/>
      <c r="AQ617" s="96"/>
      <c r="AR617" s="96"/>
    </row>
    <row r="618" spans="1:44" s="270" customFormat="1" ht="12" customHeight="1">
      <c r="A618" s="96"/>
      <c r="P618" s="294"/>
      <c r="X618" s="96"/>
      <c r="Y618" s="96"/>
      <c r="Z618" s="2498"/>
      <c r="AA618" s="96"/>
      <c r="AB618" s="96"/>
      <c r="AC618" s="96"/>
      <c r="AD618" s="96"/>
      <c r="AE618" s="96"/>
      <c r="AF618" s="96"/>
      <c r="AG618" s="96"/>
      <c r="AH618" s="96"/>
      <c r="AI618" s="96"/>
      <c r="AJ618" s="96"/>
      <c r="AK618" s="96"/>
      <c r="AL618" s="96"/>
      <c r="AM618" s="96"/>
      <c r="AN618" s="96"/>
      <c r="AO618" s="96"/>
      <c r="AP618" s="96"/>
      <c r="AQ618" s="96"/>
      <c r="AR618" s="96"/>
    </row>
    <row r="619" spans="1:44" s="270" customFormat="1" ht="12" customHeight="1">
      <c r="A619" s="96"/>
      <c r="P619" s="146"/>
      <c r="X619" s="96"/>
      <c r="Y619" s="96"/>
      <c r="Z619" s="2498"/>
      <c r="AA619" s="96"/>
      <c r="AB619" s="96"/>
      <c r="AC619" s="96"/>
      <c r="AD619" s="96"/>
      <c r="AE619" s="96"/>
      <c r="AF619" s="96"/>
      <c r="AG619" s="96"/>
      <c r="AH619" s="96"/>
      <c r="AI619" s="96"/>
      <c r="AJ619" s="96"/>
      <c r="AK619" s="96"/>
      <c r="AL619" s="96"/>
      <c r="AM619" s="96"/>
      <c r="AN619" s="96"/>
      <c r="AO619" s="96"/>
      <c r="AP619" s="96"/>
      <c r="AQ619" s="96"/>
      <c r="AR619" s="96"/>
    </row>
    <row r="620" spans="1:44" s="270" customFormat="1" ht="12" customHeight="1">
      <c r="A620" s="96"/>
      <c r="P620" s="146"/>
      <c r="X620" s="96"/>
      <c r="Y620" s="96"/>
      <c r="Z620" s="2498"/>
      <c r="AA620" s="96"/>
      <c r="AB620" s="96"/>
      <c r="AC620" s="96"/>
      <c r="AD620" s="96"/>
      <c r="AE620" s="96"/>
      <c r="AF620" s="96"/>
      <c r="AG620" s="96"/>
      <c r="AH620" s="96"/>
      <c r="AI620" s="96"/>
      <c r="AJ620" s="96"/>
      <c r="AK620" s="96"/>
      <c r="AL620" s="96"/>
      <c r="AM620" s="96"/>
      <c r="AN620" s="96"/>
      <c r="AO620" s="96"/>
      <c r="AP620" s="96"/>
      <c r="AQ620" s="96"/>
      <c r="AR620" s="96"/>
    </row>
    <row r="621" spans="1:44" s="270" customFormat="1" ht="12" customHeight="1">
      <c r="A621" s="96"/>
      <c r="P621" s="146"/>
      <c r="X621" s="96"/>
      <c r="Y621" s="96"/>
      <c r="Z621" s="2498"/>
      <c r="AA621" s="96"/>
      <c r="AB621" s="96"/>
      <c r="AC621" s="96"/>
      <c r="AD621" s="96"/>
      <c r="AE621" s="96"/>
      <c r="AF621" s="96"/>
      <c r="AG621" s="96"/>
      <c r="AH621" s="96"/>
      <c r="AI621" s="96"/>
      <c r="AJ621" s="96"/>
      <c r="AK621" s="96"/>
      <c r="AL621" s="96"/>
      <c r="AM621" s="96"/>
      <c r="AN621" s="96"/>
      <c r="AO621" s="96"/>
      <c r="AP621" s="96"/>
      <c r="AQ621" s="96"/>
      <c r="AR621" s="96"/>
    </row>
    <row r="622" spans="1:44" s="270" customFormat="1" ht="12" customHeight="1">
      <c r="A622" s="96"/>
      <c r="P622" s="146"/>
      <c r="X622" s="96"/>
      <c r="Y622" s="96"/>
      <c r="Z622" s="2498"/>
      <c r="AA622" s="96"/>
      <c r="AB622" s="96"/>
      <c r="AC622" s="96"/>
      <c r="AD622" s="96"/>
      <c r="AE622" s="96"/>
      <c r="AF622" s="96"/>
      <c r="AG622" s="96"/>
      <c r="AH622" s="96"/>
      <c r="AI622" s="96"/>
      <c r="AJ622" s="96"/>
      <c r="AK622" s="96"/>
      <c r="AL622" s="96"/>
      <c r="AM622" s="96"/>
      <c r="AN622" s="96"/>
      <c r="AO622" s="96"/>
      <c r="AP622" s="96"/>
      <c r="AQ622" s="96"/>
      <c r="AR622" s="96"/>
    </row>
    <row r="623" spans="1:44" s="270" customFormat="1" ht="12" customHeight="1">
      <c r="A623" s="96"/>
      <c r="P623" s="146"/>
      <c r="X623" s="96"/>
      <c r="Y623" s="96"/>
      <c r="Z623" s="2498"/>
      <c r="AA623" s="96"/>
      <c r="AB623" s="96"/>
      <c r="AC623" s="96"/>
      <c r="AD623" s="96"/>
      <c r="AE623" s="96"/>
      <c r="AF623" s="96"/>
      <c r="AG623" s="96"/>
      <c r="AH623" s="96"/>
      <c r="AI623" s="96"/>
      <c r="AJ623" s="96"/>
      <c r="AK623" s="96"/>
      <c r="AL623" s="96"/>
      <c r="AM623" s="96"/>
      <c r="AN623" s="96"/>
      <c r="AO623" s="96"/>
      <c r="AP623" s="96"/>
      <c r="AQ623" s="96"/>
      <c r="AR623" s="96"/>
    </row>
    <row r="624" spans="1:44" s="270" customFormat="1" ht="12" customHeight="1">
      <c r="A624" s="96"/>
      <c r="P624" s="146"/>
      <c r="X624" s="96"/>
      <c r="Y624" s="96"/>
      <c r="Z624" s="2498"/>
      <c r="AA624" s="96"/>
      <c r="AB624" s="96"/>
      <c r="AC624" s="96"/>
      <c r="AD624" s="96"/>
      <c r="AE624" s="96"/>
      <c r="AF624" s="96"/>
      <c r="AG624" s="96"/>
      <c r="AH624" s="96"/>
      <c r="AI624" s="96"/>
      <c r="AJ624" s="96"/>
      <c r="AK624" s="96"/>
      <c r="AL624" s="96"/>
      <c r="AM624" s="96"/>
      <c r="AN624" s="96"/>
      <c r="AO624" s="96"/>
      <c r="AP624" s="96"/>
      <c r="AQ624" s="96"/>
      <c r="AR624" s="96"/>
    </row>
    <row r="625" spans="1:44" s="270" customFormat="1" ht="12" customHeight="1">
      <c r="A625" s="96"/>
      <c r="P625" s="146"/>
      <c r="X625" s="96"/>
      <c r="Y625" s="96"/>
      <c r="Z625" s="2498"/>
      <c r="AA625" s="96"/>
      <c r="AB625" s="96"/>
      <c r="AC625" s="96"/>
      <c r="AD625" s="96"/>
      <c r="AE625" s="96"/>
      <c r="AF625" s="96"/>
      <c r="AG625" s="96"/>
      <c r="AH625" s="96"/>
      <c r="AI625" s="96"/>
      <c r="AJ625" s="96"/>
      <c r="AK625" s="96"/>
      <c r="AL625" s="96"/>
      <c r="AM625" s="96"/>
      <c r="AN625" s="96"/>
      <c r="AO625" s="96"/>
      <c r="AP625" s="96"/>
      <c r="AQ625" s="96"/>
      <c r="AR625" s="96"/>
    </row>
    <row r="626" spans="1:44" s="270" customFormat="1" ht="12" customHeight="1">
      <c r="A626" s="96"/>
      <c r="P626" s="146"/>
      <c r="X626" s="96"/>
      <c r="Y626" s="96"/>
      <c r="Z626" s="2498"/>
      <c r="AA626" s="96"/>
      <c r="AB626" s="96"/>
      <c r="AC626" s="96"/>
      <c r="AD626" s="96"/>
      <c r="AE626" s="96"/>
      <c r="AF626" s="96"/>
      <c r="AG626" s="96"/>
      <c r="AH626" s="96"/>
      <c r="AI626" s="96"/>
      <c r="AJ626" s="96"/>
      <c r="AK626" s="96"/>
      <c r="AL626" s="96"/>
      <c r="AM626" s="96"/>
      <c r="AN626" s="96"/>
      <c r="AO626" s="96"/>
      <c r="AP626" s="96"/>
      <c r="AQ626" s="96"/>
      <c r="AR626" s="96"/>
    </row>
    <row r="627" spans="1:44" s="270" customFormat="1" ht="12" customHeight="1">
      <c r="A627" s="96"/>
      <c r="P627" s="146"/>
      <c r="X627" s="96"/>
      <c r="Y627" s="96"/>
      <c r="Z627" s="2498"/>
      <c r="AA627" s="96"/>
      <c r="AB627" s="96"/>
      <c r="AC627" s="96"/>
      <c r="AD627" s="96"/>
      <c r="AE627" s="96"/>
      <c r="AF627" s="96"/>
      <c r="AG627" s="96"/>
      <c r="AH627" s="96"/>
      <c r="AI627" s="96"/>
      <c r="AJ627" s="96"/>
      <c r="AK627" s="96"/>
      <c r="AL627" s="96"/>
      <c r="AM627" s="96"/>
      <c r="AN627" s="96"/>
      <c r="AO627" s="96"/>
      <c r="AP627" s="96"/>
      <c r="AQ627" s="96"/>
      <c r="AR627" s="96"/>
    </row>
    <row r="628" spans="1:44" s="270" customFormat="1" ht="12" customHeight="1">
      <c r="A628" s="96"/>
      <c r="P628" s="146"/>
      <c r="X628" s="96"/>
      <c r="Y628" s="96"/>
      <c r="Z628" s="2498"/>
      <c r="AA628" s="96"/>
      <c r="AB628" s="96"/>
      <c r="AC628" s="96"/>
      <c r="AD628" s="96"/>
      <c r="AE628" s="96"/>
      <c r="AF628" s="96"/>
      <c r="AG628" s="96"/>
      <c r="AH628" s="96"/>
      <c r="AI628" s="96"/>
      <c r="AJ628" s="96"/>
      <c r="AK628" s="96"/>
      <c r="AL628" s="96"/>
      <c r="AM628" s="96"/>
      <c r="AN628" s="96"/>
      <c r="AO628" s="96"/>
      <c r="AP628" s="96"/>
      <c r="AQ628" s="96"/>
      <c r="AR628" s="96"/>
    </row>
    <row r="629" spans="1:44" s="270" customFormat="1" ht="12" customHeight="1">
      <c r="A629" s="96"/>
      <c r="P629" s="146"/>
      <c r="X629" s="96"/>
      <c r="Y629" s="96"/>
      <c r="Z629" s="2498"/>
      <c r="AA629" s="96"/>
      <c r="AB629" s="96"/>
      <c r="AC629" s="96"/>
      <c r="AD629" s="96"/>
      <c r="AE629" s="96"/>
      <c r="AF629" s="96"/>
      <c r="AG629" s="96"/>
      <c r="AH629" s="96"/>
      <c r="AI629" s="96"/>
      <c r="AJ629" s="96"/>
      <c r="AK629" s="96"/>
      <c r="AL629" s="96"/>
      <c r="AM629" s="96"/>
      <c r="AN629" s="96"/>
      <c r="AO629" s="96"/>
      <c r="AP629" s="96"/>
      <c r="AQ629" s="96"/>
      <c r="AR629" s="96"/>
    </row>
    <row r="630" spans="1:44" s="270" customFormat="1" ht="12" customHeight="1">
      <c r="A630" s="96"/>
      <c r="P630" s="146"/>
      <c r="X630" s="96"/>
      <c r="Y630" s="96"/>
      <c r="Z630" s="2498"/>
      <c r="AA630" s="96"/>
      <c r="AB630" s="96"/>
      <c r="AC630" s="96"/>
      <c r="AD630" s="96"/>
      <c r="AE630" s="96"/>
      <c r="AF630" s="96"/>
      <c r="AG630" s="96"/>
      <c r="AH630" s="96"/>
      <c r="AI630" s="96"/>
      <c r="AJ630" s="96"/>
      <c r="AK630" s="96"/>
      <c r="AL630" s="96"/>
      <c r="AM630" s="96"/>
      <c r="AN630" s="96"/>
      <c r="AO630" s="96"/>
      <c r="AP630" s="96"/>
      <c r="AQ630" s="96"/>
      <c r="AR630" s="96"/>
    </row>
    <row r="631" spans="1:44" s="270" customFormat="1" ht="12" customHeight="1">
      <c r="A631" s="96"/>
      <c r="P631" s="146"/>
      <c r="X631" s="96"/>
      <c r="Y631" s="96"/>
      <c r="Z631" s="2498"/>
      <c r="AA631" s="96"/>
      <c r="AB631" s="96"/>
      <c r="AC631" s="96"/>
      <c r="AD631" s="96"/>
      <c r="AE631" s="96"/>
      <c r="AF631" s="96"/>
      <c r="AG631" s="96"/>
      <c r="AH631" s="96"/>
      <c r="AI631" s="96"/>
      <c r="AJ631" s="96"/>
      <c r="AK631" s="96"/>
      <c r="AL631" s="96"/>
      <c r="AM631" s="96"/>
      <c r="AN631" s="96"/>
      <c r="AO631" s="96"/>
      <c r="AP631" s="96"/>
      <c r="AQ631" s="96"/>
      <c r="AR631" s="96"/>
    </row>
    <row r="632" spans="1:44" s="270" customFormat="1" ht="12" customHeight="1">
      <c r="A632" s="96"/>
      <c r="P632" s="146"/>
      <c r="X632" s="96"/>
      <c r="Y632" s="96"/>
      <c r="Z632" s="2498"/>
      <c r="AA632" s="96"/>
      <c r="AB632" s="96"/>
      <c r="AC632" s="96"/>
      <c r="AD632" s="96"/>
      <c r="AE632" s="96"/>
      <c r="AF632" s="96"/>
      <c r="AG632" s="96"/>
      <c r="AH632" s="96"/>
      <c r="AI632" s="96"/>
      <c r="AJ632" s="96"/>
      <c r="AK632" s="96"/>
      <c r="AL632" s="96"/>
      <c r="AM632" s="96"/>
      <c r="AN632" s="96"/>
      <c r="AO632" s="96"/>
      <c r="AP632" s="96"/>
      <c r="AQ632" s="96"/>
      <c r="AR632" s="96"/>
    </row>
    <row r="633" spans="1:44" s="270" customFormat="1" ht="12" customHeight="1">
      <c r="A633" s="96"/>
      <c r="P633" s="146"/>
      <c r="X633" s="96"/>
      <c r="Y633" s="96"/>
      <c r="Z633" s="2498"/>
      <c r="AA633" s="96"/>
      <c r="AB633" s="96"/>
      <c r="AC633" s="96"/>
      <c r="AD633" s="96"/>
      <c r="AE633" s="96"/>
      <c r="AF633" s="96"/>
      <c r="AG633" s="96"/>
      <c r="AH633" s="96"/>
      <c r="AI633" s="96"/>
      <c r="AJ633" s="96"/>
      <c r="AK633" s="96"/>
      <c r="AL633" s="96"/>
      <c r="AM633" s="96"/>
      <c r="AN633" s="96"/>
      <c r="AO633" s="96"/>
      <c r="AP633" s="96"/>
      <c r="AQ633" s="96"/>
      <c r="AR633" s="96"/>
    </row>
    <row r="634" spans="1:44" s="270" customFormat="1" ht="12" customHeight="1">
      <c r="A634" s="96"/>
      <c r="P634" s="294"/>
      <c r="X634" s="96"/>
      <c r="Y634" s="96"/>
      <c r="Z634" s="2498"/>
      <c r="AA634" s="96"/>
      <c r="AB634" s="96"/>
      <c r="AC634" s="96"/>
      <c r="AD634" s="96"/>
      <c r="AE634" s="96"/>
      <c r="AF634" s="96"/>
      <c r="AG634" s="96"/>
      <c r="AH634" s="96"/>
      <c r="AI634" s="96"/>
      <c r="AJ634" s="96"/>
      <c r="AK634" s="96"/>
      <c r="AL634" s="96"/>
      <c r="AM634" s="96"/>
      <c r="AN634" s="96"/>
      <c r="AO634" s="96"/>
      <c r="AP634" s="96"/>
      <c r="AQ634" s="96"/>
      <c r="AR634" s="96"/>
    </row>
    <row r="635" spans="1:44" s="270" customFormat="1" ht="12" customHeight="1">
      <c r="A635" s="96"/>
      <c r="P635" s="146"/>
      <c r="X635" s="96"/>
      <c r="Y635" s="96"/>
      <c r="Z635" s="2498"/>
      <c r="AA635" s="96"/>
      <c r="AB635" s="96"/>
      <c r="AC635" s="96"/>
      <c r="AD635" s="96"/>
      <c r="AE635" s="96"/>
      <c r="AF635" s="96"/>
      <c r="AG635" s="96"/>
      <c r="AH635" s="96"/>
      <c r="AI635" s="96"/>
      <c r="AJ635" s="96"/>
      <c r="AK635" s="96"/>
      <c r="AL635" s="96"/>
      <c r="AM635" s="96"/>
      <c r="AN635" s="96"/>
      <c r="AO635" s="96"/>
      <c r="AP635" s="96"/>
      <c r="AQ635" s="96"/>
      <c r="AR635" s="96"/>
    </row>
    <row r="636" spans="1:44" s="270" customFormat="1" ht="12" customHeight="1">
      <c r="A636" s="96"/>
      <c r="P636" s="146"/>
      <c r="X636" s="96"/>
      <c r="Y636" s="96"/>
      <c r="Z636" s="2498"/>
      <c r="AA636" s="96"/>
      <c r="AB636" s="96"/>
      <c r="AC636" s="96"/>
      <c r="AD636" s="96"/>
      <c r="AE636" s="96"/>
      <c r="AF636" s="96"/>
      <c r="AG636" s="96"/>
      <c r="AH636" s="96"/>
      <c r="AI636" s="96"/>
      <c r="AJ636" s="96"/>
      <c r="AK636" s="96"/>
      <c r="AL636" s="96"/>
      <c r="AM636" s="96"/>
      <c r="AN636" s="96"/>
      <c r="AO636" s="96"/>
      <c r="AP636" s="96"/>
      <c r="AQ636" s="96"/>
      <c r="AR636" s="96"/>
    </row>
    <row r="637" spans="1:44" s="270" customFormat="1" ht="12" customHeight="1">
      <c r="A637" s="96"/>
      <c r="P637" s="146"/>
      <c r="X637" s="96"/>
      <c r="Y637" s="96"/>
      <c r="Z637" s="2498"/>
      <c r="AA637" s="96"/>
      <c r="AB637" s="96"/>
      <c r="AC637" s="96"/>
      <c r="AD637" s="96"/>
      <c r="AE637" s="96"/>
      <c r="AF637" s="96"/>
      <c r="AG637" s="96"/>
      <c r="AH637" s="96"/>
      <c r="AI637" s="96"/>
      <c r="AJ637" s="96"/>
      <c r="AK637" s="96"/>
      <c r="AL637" s="96"/>
      <c r="AM637" s="96"/>
      <c r="AN637" s="96"/>
      <c r="AO637" s="96"/>
      <c r="AP637" s="96"/>
      <c r="AQ637" s="96"/>
      <c r="AR637" s="96"/>
    </row>
    <row r="638" spans="1:44" s="270" customFormat="1" ht="12" customHeight="1">
      <c r="A638" s="96"/>
      <c r="P638" s="294"/>
      <c r="X638" s="96"/>
      <c r="Y638" s="96"/>
      <c r="Z638" s="2498"/>
      <c r="AA638" s="96"/>
      <c r="AB638" s="96"/>
      <c r="AC638" s="96"/>
      <c r="AD638" s="96"/>
      <c r="AE638" s="96"/>
      <c r="AF638" s="96"/>
      <c r="AG638" s="96"/>
      <c r="AH638" s="96"/>
      <c r="AI638" s="96"/>
      <c r="AJ638" s="96"/>
      <c r="AK638" s="96"/>
      <c r="AL638" s="96"/>
      <c r="AM638" s="96"/>
      <c r="AN638" s="96"/>
      <c r="AO638" s="96"/>
      <c r="AP638" s="96"/>
      <c r="AQ638" s="96"/>
      <c r="AR638" s="96"/>
    </row>
    <row r="639" spans="1:44" s="270" customFormat="1" ht="12" customHeight="1">
      <c r="A639" s="96"/>
      <c r="P639" s="146"/>
      <c r="X639" s="96"/>
      <c r="Y639" s="96"/>
      <c r="Z639" s="2498"/>
      <c r="AA639" s="96"/>
      <c r="AB639" s="96"/>
      <c r="AC639" s="96"/>
      <c r="AD639" s="96"/>
      <c r="AE639" s="96"/>
      <c r="AF639" s="96"/>
      <c r="AG639" s="96"/>
      <c r="AH639" s="96"/>
      <c r="AI639" s="96"/>
      <c r="AJ639" s="96"/>
      <c r="AK639" s="96"/>
      <c r="AL639" s="96"/>
      <c r="AM639" s="96"/>
      <c r="AN639" s="96"/>
      <c r="AO639" s="96"/>
      <c r="AP639" s="96"/>
      <c r="AQ639" s="96"/>
      <c r="AR639" s="96"/>
    </row>
    <row r="640" spans="1:44" s="270" customFormat="1" ht="12" customHeight="1">
      <c r="A640" s="96"/>
      <c r="P640" s="146"/>
      <c r="X640" s="96"/>
      <c r="Y640" s="96"/>
      <c r="Z640" s="2498"/>
      <c r="AA640" s="96"/>
      <c r="AB640" s="96"/>
      <c r="AC640" s="96"/>
      <c r="AD640" s="96"/>
      <c r="AE640" s="96"/>
      <c r="AF640" s="96"/>
      <c r="AG640" s="96"/>
      <c r="AH640" s="96"/>
      <c r="AI640" s="96"/>
      <c r="AJ640" s="96"/>
      <c r="AK640" s="96"/>
      <c r="AL640" s="96"/>
      <c r="AM640" s="96"/>
      <c r="AN640" s="96"/>
      <c r="AO640" s="96"/>
      <c r="AP640" s="96"/>
      <c r="AQ640" s="96"/>
      <c r="AR640" s="96"/>
    </row>
    <row r="641" spans="1:44" s="270" customFormat="1" ht="12" customHeight="1">
      <c r="A641" s="96"/>
      <c r="P641" s="146"/>
      <c r="X641" s="96"/>
      <c r="Y641" s="96"/>
      <c r="Z641" s="2498"/>
      <c r="AA641" s="96"/>
      <c r="AB641" s="96"/>
      <c r="AC641" s="96"/>
      <c r="AD641" s="96"/>
      <c r="AE641" s="96"/>
      <c r="AF641" s="96"/>
      <c r="AG641" s="96"/>
      <c r="AH641" s="96"/>
      <c r="AI641" s="96"/>
      <c r="AJ641" s="96"/>
      <c r="AK641" s="96"/>
      <c r="AL641" s="96"/>
      <c r="AM641" s="96"/>
      <c r="AN641" s="96"/>
      <c r="AO641" s="96"/>
      <c r="AP641" s="96"/>
      <c r="AQ641" s="96"/>
      <c r="AR641" s="96"/>
    </row>
    <row r="642" spans="1:44" s="270" customFormat="1" ht="12" customHeight="1">
      <c r="A642" s="96"/>
      <c r="P642" s="294"/>
      <c r="X642" s="96"/>
      <c r="Y642" s="96"/>
      <c r="Z642" s="2498"/>
      <c r="AA642" s="96"/>
      <c r="AB642" s="96"/>
      <c r="AC642" s="96"/>
      <c r="AD642" s="96"/>
      <c r="AE642" s="96"/>
      <c r="AF642" s="96"/>
      <c r="AG642" s="96"/>
      <c r="AH642" s="96"/>
      <c r="AI642" s="96"/>
      <c r="AJ642" s="96"/>
      <c r="AK642" s="96"/>
      <c r="AL642" s="96"/>
      <c r="AM642" s="96"/>
      <c r="AN642" s="96"/>
      <c r="AO642" s="96"/>
      <c r="AP642" s="96"/>
      <c r="AQ642" s="96"/>
      <c r="AR642" s="96"/>
    </row>
    <row r="643" spans="1:44" s="270" customFormat="1" ht="12" customHeight="1">
      <c r="A643" s="96"/>
      <c r="P643" s="146"/>
      <c r="X643" s="96"/>
      <c r="Y643" s="96"/>
      <c r="Z643" s="2498"/>
      <c r="AA643" s="96"/>
      <c r="AB643" s="96"/>
      <c r="AC643" s="96"/>
      <c r="AD643" s="96"/>
      <c r="AE643" s="96"/>
      <c r="AF643" s="96"/>
      <c r="AG643" s="96"/>
      <c r="AH643" s="96"/>
      <c r="AI643" s="96"/>
      <c r="AJ643" s="96"/>
      <c r="AK643" s="96"/>
      <c r="AL643" s="96"/>
      <c r="AM643" s="96"/>
      <c r="AN643" s="96"/>
      <c r="AO643" s="96"/>
      <c r="AP643" s="96"/>
      <c r="AQ643" s="96"/>
      <c r="AR643" s="96"/>
    </row>
    <row r="644" spans="1:44" s="270" customFormat="1" ht="12" customHeight="1">
      <c r="A644" s="96"/>
      <c r="P644" s="146"/>
      <c r="X644" s="96"/>
      <c r="Y644" s="96"/>
      <c r="Z644" s="2498"/>
      <c r="AA644" s="96"/>
      <c r="AB644" s="96"/>
      <c r="AC644" s="96"/>
      <c r="AD644" s="96"/>
      <c r="AE644" s="96"/>
      <c r="AF644" s="96"/>
      <c r="AG644" s="96"/>
      <c r="AH644" s="96"/>
      <c r="AI644" s="96"/>
      <c r="AJ644" s="96"/>
      <c r="AK644" s="96"/>
      <c r="AL644" s="96"/>
      <c r="AM644" s="96"/>
      <c r="AN644" s="96"/>
      <c r="AO644" s="96"/>
      <c r="AP644" s="96"/>
      <c r="AQ644" s="96"/>
      <c r="AR644" s="96"/>
    </row>
    <row r="645" spans="1:44" s="270" customFormat="1" ht="12" customHeight="1">
      <c r="A645" s="96"/>
      <c r="P645" s="146"/>
      <c r="X645" s="96"/>
      <c r="Y645" s="96"/>
      <c r="Z645" s="2498"/>
      <c r="AA645" s="96"/>
      <c r="AB645" s="96"/>
      <c r="AC645" s="96"/>
      <c r="AD645" s="96"/>
      <c r="AE645" s="96"/>
      <c r="AF645" s="96"/>
      <c r="AG645" s="96"/>
      <c r="AH645" s="96"/>
      <c r="AI645" s="96"/>
      <c r="AJ645" s="96"/>
      <c r="AK645" s="96"/>
      <c r="AL645" s="96"/>
      <c r="AM645" s="96"/>
      <c r="AN645" s="96"/>
      <c r="AO645" s="96"/>
      <c r="AP645" s="96"/>
      <c r="AQ645" s="96"/>
      <c r="AR645" s="96"/>
    </row>
    <row r="646" spans="1:44" s="270" customFormat="1" ht="12" customHeight="1">
      <c r="A646" s="96"/>
      <c r="P646" s="146"/>
      <c r="X646" s="96"/>
      <c r="Y646" s="96"/>
      <c r="Z646" s="2498"/>
      <c r="AA646" s="96"/>
      <c r="AB646" s="96"/>
      <c r="AC646" s="96"/>
      <c r="AD646" s="96"/>
      <c r="AE646" s="96"/>
      <c r="AF646" s="96"/>
      <c r="AG646" s="96"/>
      <c r="AH646" s="96"/>
      <c r="AI646" s="96"/>
      <c r="AJ646" s="96"/>
      <c r="AK646" s="96"/>
      <c r="AL646" s="96"/>
      <c r="AM646" s="96"/>
      <c r="AN646" s="96"/>
      <c r="AO646" s="96"/>
      <c r="AP646" s="96"/>
      <c r="AQ646" s="96"/>
      <c r="AR646" s="96"/>
    </row>
    <row r="647" spans="1:44" s="270" customFormat="1" ht="12" customHeight="1">
      <c r="A647" s="96"/>
      <c r="P647" s="146"/>
      <c r="X647" s="96"/>
      <c r="Y647" s="96"/>
      <c r="Z647" s="2498"/>
      <c r="AA647" s="96"/>
      <c r="AB647" s="96"/>
      <c r="AC647" s="96"/>
      <c r="AD647" s="96"/>
      <c r="AE647" s="96"/>
      <c r="AF647" s="96"/>
      <c r="AG647" s="96"/>
      <c r="AH647" s="96"/>
      <c r="AI647" s="96"/>
      <c r="AJ647" s="96"/>
      <c r="AK647" s="96"/>
      <c r="AL647" s="96"/>
      <c r="AM647" s="96"/>
      <c r="AN647" s="96"/>
      <c r="AO647" s="96"/>
      <c r="AP647" s="96"/>
      <c r="AQ647" s="96"/>
      <c r="AR647" s="96"/>
    </row>
    <row r="648" spans="1:44" s="270" customFormat="1" ht="12" customHeight="1">
      <c r="A648" s="96"/>
      <c r="P648" s="146"/>
      <c r="X648" s="96"/>
      <c r="Y648" s="96"/>
      <c r="Z648" s="2498"/>
      <c r="AA648" s="96"/>
      <c r="AB648" s="96"/>
      <c r="AC648" s="96"/>
      <c r="AD648" s="96"/>
      <c r="AE648" s="96"/>
      <c r="AF648" s="96"/>
      <c r="AG648" s="96"/>
      <c r="AH648" s="96"/>
      <c r="AI648" s="96"/>
      <c r="AJ648" s="96"/>
      <c r="AK648" s="96"/>
      <c r="AL648" s="96"/>
      <c r="AM648" s="96"/>
      <c r="AN648" s="96"/>
      <c r="AO648" s="96"/>
      <c r="AP648" s="96"/>
      <c r="AQ648" s="96"/>
      <c r="AR648" s="96"/>
    </row>
    <row r="649" spans="1:44" s="270" customFormat="1" ht="12" customHeight="1">
      <c r="A649" s="96"/>
      <c r="P649" s="146"/>
      <c r="X649" s="96"/>
      <c r="Y649" s="96"/>
      <c r="Z649" s="2498"/>
      <c r="AA649" s="96"/>
      <c r="AB649" s="96"/>
      <c r="AC649" s="96"/>
      <c r="AD649" s="96"/>
      <c r="AE649" s="96"/>
      <c r="AF649" s="96"/>
      <c r="AG649" s="96"/>
      <c r="AH649" s="96"/>
      <c r="AI649" s="96"/>
      <c r="AJ649" s="96"/>
      <c r="AK649" s="96"/>
      <c r="AL649" s="96"/>
      <c r="AM649" s="96"/>
      <c r="AN649" s="96"/>
      <c r="AO649" s="96"/>
      <c r="AP649" s="96"/>
      <c r="AQ649" s="96"/>
      <c r="AR649" s="96"/>
    </row>
    <row r="650" spans="1:44" s="270" customFormat="1" ht="12" customHeight="1">
      <c r="A650" s="96"/>
      <c r="P650" s="146"/>
      <c r="X650" s="96"/>
      <c r="Y650" s="96"/>
      <c r="Z650" s="2498"/>
      <c r="AA650" s="96"/>
      <c r="AB650" s="96"/>
      <c r="AC650" s="96"/>
      <c r="AD650" s="96"/>
      <c r="AE650" s="96"/>
      <c r="AF650" s="96"/>
      <c r="AG650" s="96"/>
      <c r="AH650" s="96"/>
      <c r="AI650" s="96"/>
      <c r="AJ650" s="96"/>
      <c r="AK650" s="96"/>
      <c r="AL650" s="96"/>
      <c r="AM650" s="96"/>
      <c r="AN650" s="96"/>
      <c r="AO650" s="96"/>
      <c r="AP650" s="96"/>
      <c r="AQ650" s="96"/>
      <c r="AR650" s="96"/>
    </row>
    <row r="651" spans="1:44" s="270" customFormat="1" ht="12" customHeight="1">
      <c r="A651" s="96"/>
      <c r="P651" s="146"/>
      <c r="X651" s="96"/>
      <c r="Y651" s="96"/>
      <c r="Z651" s="2498"/>
      <c r="AA651" s="96"/>
      <c r="AB651" s="96"/>
      <c r="AC651" s="96"/>
      <c r="AD651" s="96"/>
      <c r="AE651" s="96"/>
      <c r="AF651" s="96"/>
      <c r="AG651" s="96"/>
      <c r="AH651" s="96"/>
      <c r="AI651" s="96"/>
      <c r="AJ651" s="96"/>
      <c r="AK651" s="96"/>
      <c r="AL651" s="96"/>
      <c r="AM651" s="96"/>
      <c r="AN651" s="96"/>
      <c r="AO651" s="96"/>
      <c r="AP651" s="96"/>
      <c r="AQ651" s="96"/>
      <c r="AR651" s="96"/>
    </row>
    <row r="652" spans="1:44" s="270" customFormat="1" ht="12" customHeight="1">
      <c r="A652" s="96"/>
      <c r="P652" s="146"/>
      <c r="X652" s="96"/>
      <c r="Y652" s="96"/>
      <c r="Z652" s="2498"/>
      <c r="AA652" s="96"/>
      <c r="AB652" s="96"/>
      <c r="AC652" s="96"/>
      <c r="AD652" s="96"/>
      <c r="AE652" s="96"/>
      <c r="AF652" s="96"/>
      <c r="AG652" s="96"/>
      <c r="AH652" s="96"/>
      <c r="AI652" s="96"/>
      <c r="AJ652" s="96"/>
      <c r="AK652" s="96"/>
      <c r="AL652" s="96"/>
      <c r="AM652" s="96"/>
      <c r="AN652" s="96"/>
      <c r="AO652" s="96"/>
      <c r="AP652" s="96"/>
      <c r="AQ652" s="96"/>
      <c r="AR652" s="96"/>
    </row>
    <row r="653" spans="1:44" s="270" customFormat="1" ht="12" customHeight="1">
      <c r="A653" s="96"/>
      <c r="P653" s="146"/>
      <c r="X653" s="96"/>
      <c r="Y653" s="96"/>
      <c r="Z653" s="2498"/>
      <c r="AA653" s="96"/>
      <c r="AB653" s="96"/>
      <c r="AC653" s="96"/>
      <c r="AD653" s="96"/>
      <c r="AE653" s="96"/>
      <c r="AF653" s="96"/>
      <c r="AG653" s="96"/>
      <c r="AH653" s="96"/>
      <c r="AI653" s="96"/>
      <c r="AJ653" s="96"/>
      <c r="AK653" s="96"/>
      <c r="AL653" s="96"/>
      <c r="AM653" s="96"/>
      <c r="AN653" s="96"/>
      <c r="AO653" s="96"/>
      <c r="AP653" s="96"/>
      <c r="AQ653" s="96"/>
      <c r="AR653" s="96"/>
    </row>
    <row r="654" spans="1:44" s="270" customFormat="1" ht="12" customHeight="1">
      <c r="A654" s="96"/>
      <c r="P654" s="146"/>
      <c r="X654" s="96"/>
      <c r="Y654" s="96"/>
      <c r="Z654" s="2498"/>
      <c r="AA654" s="96"/>
      <c r="AB654" s="96"/>
      <c r="AC654" s="96"/>
      <c r="AD654" s="96"/>
      <c r="AE654" s="96"/>
      <c r="AF654" s="96"/>
      <c r="AG654" s="96"/>
      <c r="AH654" s="96"/>
      <c r="AI654" s="96"/>
      <c r="AJ654" s="96"/>
      <c r="AK654" s="96"/>
      <c r="AL654" s="96"/>
      <c r="AM654" s="96"/>
      <c r="AN654" s="96"/>
      <c r="AO654" s="96"/>
      <c r="AP654" s="96"/>
      <c r="AQ654" s="96"/>
      <c r="AR654" s="96"/>
    </row>
    <row r="655" spans="1:44" s="270" customFormat="1" ht="12" customHeight="1">
      <c r="A655" s="96"/>
      <c r="P655" s="146"/>
      <c r="X655" s="96"/>
      <c r="Y655" s="96"/>
      <c r="Z655" s="2498"/>
      <c r="AA655" s="96"/>
      <c r="AB655" s="96"/>
      <c r="AC655" s="96"/>
      <c r="AD655" s="96"/>
      <c r="AE655" s="96"/>
      <c r="AF655" s="96"/>
      <c r="AG655" s="96"/>
      <c r="AH655" s="96"/>
      <c r="AI655" s="96"/>
      <c r="AJ655" s="96"/>
      <c r="AK655" s="96"/>
      <c r="AL655" s="96"/>
      <c r="AM655" s="96"/>
      <c r="AN655" s="96"/>
      <c r="AO655" s="96"/>
      <c r="AP655" s="96"/>
      <c r="AQ655" s="96"/>
      <c r="AR655" s="96"/>
    </row>
    <row r="656" spans="1:44" s="270" customFormat="1" ht="12" customHeight="1">
      <c r="A656" s="96"/>
      <c r="P656" s="96"/>
      <c r="X656" s="96"/>
      <c r="Y656" s="96"/>
      <c r="Z656" s="2498"/>
      <c r="AA656" s="96"/>
      <c r="AB656" s="96"/>
      <c r="AC656" s="96"/>
      <c r="AD656" s="96"/>
      <c r="AE656" s="96"/>
      <c r="AF656" s="96"/>
      <c r="AG656" s="96"/>
      <c r="AH656" s="96"/>
      <c r="AI656" s="96"/>
      <c r="AJ656" s="96"/>
      <c r="AK656" s="96"/>
      <c r="AL656" s="96"/>
      <c r="AM656" s="96"/>
      <c r="AN656" s="96"/>
      <c r="AO656" s="96"/>
      <c r="AP656" s="96"/>
      <c r="AQ656" s="96"/>
      <c r="AR656" s="96"/>
    </row>
    <row r="657" spans="1:44" s="270" customFormat="1" ht="12" customHeight="1">
      <c r="A657" s="96"/>
      <c r="P657" s="96"/>
      <c r="X657" s="96"/>
      <c r="Y657" s="96"/>
      <c r="Z657" s="2498"/>
      <c r="AA657" s="96"/>
      <c r="AB657" s="96"/>
      <c r="AC657" s="96"/>
      <c r="AD657" s="96"/>
      <c r="AE657" s="96"/>
      <c r="AF657" s="96"/>
      <c r="AG657" s="96"/>
      <c r="AH657" s="96"/>
      <c r="AI657" s="96"/>
      <c r="AJ657" s="96"/>
      <c r="AK657" s="96"/>
      <c r="AL657" s="96"/>
      <c r="AM657" s="96"/>
      <c r="AN657" s="96"/>
      <c r="AO657" s="96"/>
      <c r="AP657" s="96"/>
      <c r="AQ657" s="96"/>
      <c r="AR657" s="96"/>
    </row>
    <row r="658" spans="1:44" s="270" customFormat="1" ht="12" customHeight="1">
      <c r="A658" s="96"/>
      <c r="P658" s="96"/>
      <c r="X658" s="96"/>
      <c r="Y658" s="96"/>
      <c r="Z658" s="2498"/>
      <c r="AA658" s="96"/>
      <c r="AB658" s="96"/>
      <c r="AC658" s="96"/>
      <c r="AD658" s="96"/>
      <c r="AE658" s="96"/>
      <c r="AF658" s="96"/>
      <c r="AG658" s="96"/>
      <c r="AH658" s="96"/>
      <c r="AI658" s="96"/>
      <c r="AJ658" s="96"/>
      <c r="AK658" s="96"/>
      <c r="AL658" s="96"/>
      <c r="AM658" s="96"/>
      <c r="AN658" s="96"/>
      <c r="AO658" s="96"/>
      <c r="AP658" s="96"/>
      <c r="AQ658" s="96"/>
      <c r="AR658" s="96"/>
    </row>
    <row r="659" spans="1:44" s="270" customFormat="1" ht="12" customHeight="1">
      <c r="A659" s="96"/>
      <c r="P659" s="96"/>
      <c r="X659" s="96"/>
      <c r="Y659" s="96"/>
      <c r="Z659" s="2498"/>
      <c r="AA659" s="96"/>
      <c r="AB659" s="96"/>
      <c r="AC659" s="96"/>
      <c r="AD659" s="96"/>
      <c r="AE659" s="96"/>
      <c r="AF659" s="96"/>
      <c r="AG659" s="96"/>
      <c r="AH659" s="96"/>
      <c r="AI659" s="96"/>
      <c r="AJ659" s="96"/>
      <c r="AK659" s="96"/>
      <c r="AL659" s="96"/>
      <c r="AM659" s="96"/>
      <c r="AN659" s="96"/>
      <c r="AO659" s="96"/>
      <c r="AP659" s="96"/>
      <c r="AQ659" s="96"/>
      <c r="AR659" s="96"/>
    </row>
    <row r="660" spans="1:44" s="270" customFormat="1" ht="12" customHeight="1">
      <c r="A660" s="96"/>
      <c r="P660" s="96"/>
      <c r="X660" s="96"/>
      <c r="Y660" s="96"/>
      <c r="Z660" s="2498"/>
      <c r="AA660" s="96"/>
      <c r="AB660" s="96"/>
      <c r="AC660" s="96"/>
      <c r="AD660" s="96"/>
      <c r="AE660" s="96"/>
      <c r="AF660" s="96"/>
      <c r="AG660" s="96"/>
      <c r="AH660" s="96"/>
      <c r="AI660" s="96"/>
      <c r="AJ660" s="96"/>
      <c r="AK660" s="96"/>
      <c r="AL660" s="96"/>
      <c r="AM660" s="96"/>
      <c r="AN660" s="96"/>
      <c r="AO660" s="96"/>
      <c r="AP660" s="96"/>
      <c r="AQ660" s="96"/>
      <c r="AR660" s="96"/>
    </row>
    <row r="661" spans="1:44" s="270" customFormat="1" ht="12" customHeight="1">
      <c r="A661" s="96"/>
      <c r="P661" s="96"/>
      <c r="X661" s="96"/>
      <c r="Y661" s="96"/>
      <c r="Z661" s="2498"/>
      <c r="AA661" s="96"/>
      <c r="AB661" s="96"/>
      <c r="AC661" s="96"/>
      <c r="AD661" s="96"/>
      <c r="AE661" s="96"/>
      <c r="AF661" s="96"/>
      <c r="AG661" s="96"/>
      <c r="AH661" s="96"/>
      <c r="AI661" s="96"/>
      <c r="AJ661" s="96"/>
      <c r="AK661" s="96"/>
      <c r="AL661" s="96"/>
      <c r="AM661" s="96"/>
      <c r="AN661" s="96"/>
      <c r="AO661" s="96"/>
      <c r="AP661" s="96"/>
      <c r="AQ661" s="96"/>
      <c r="AR661" s="96"/>
    </row>
    <row r="662" spans="1:44" s="270" customFormat="1" ht="12" customHeight="1">
      <c r="A662" s="96"/>
      <c r="P662" s="96"/>
      <c r="X662" s="96"/>
      <c r="Y662" s="96"/>
      <c r="Z662" s="2498"/>
      <c r="AA662" s="96"/>
      <c r="AB662" s="96"/>
      <c r="AC662" s="96"/>
      <c r="AD662" s="96"/>
      <c r="AE662" s="96"/>
      <c r="AF662" s="96"/>
      <c r="AG662" s="96"/>
      <c r="AH662" s="96"/>
      <c r="AI662" s="96"/>
      <c r="AJ662" s="96"/>
      <c r="AK662" s="96"/>
      <c r="AL662" s="96"/>
      <c r="AM662" s="96"/>
      <c r="AN662" s="96"/>
      <c r="AO662" s="96"/>
      <c r="AP662" s="96"/>
      <c r="AQ662" s="96"/>
      <c r="AR662" s="96"/>
    </row>
    <row r="663" spans="1:44" s="270" customFormat="1" ht="12" customHeight="1">
      <c r="A663" s="96"/>
      <c r="P663" s="96"/>
      <c r="X663" s="96"/>
      <c r="Y663" s="96"/>
      <c r="Z663" s="2498"/>
      <c r="AA663" s="96"/>
      <c r="AB663" s="96"/>
      <c r="AC663" s="96"/>
      <c r="AD663" s="96"/>
      <c r="AE663" s="96"/>
      <c r="AF663" s="96"/>
      <c r="AG663" s="96"/>
      <c r="AH663" s="96"/>
      <c r="AI663" s="96"/>
      <c r="AJ663" s="96"/>
      <c r="AK663" s="96"/>
      <c r="AL663" s="96"/>
      <c r="AM663" s="96"/>
      <c r="AN663" s="96"/>
      <c r="AO663" s="96"/>
      <c r="AP663" s="96"/>
      <c r="AQ663" s="96"/>
      <c r="AR663" s="96"/>
    </row>
    <row r="664" spans="1:44" s="270" customFormat="1" ht="12" customHeight="1">
      <c r="A664" s="96"/>
      <c r="P664" s="96"/>
      <c r="X664" s="96"/>
      <c r="Y664" s="96"/>
      <c r="Z664" s="2498"/>
      <c r="AA664" s="96"/>
      <c r="AB664" s="96"/>
      <c r="AC664" s="96"/>
      <c r="AD664" s="96"/>
      <c r="AE664" s="96"/>
      <c r="AF664" s="96"/>
      <c r="AG664" s="96"/>
      <c r="AH664" s="96"/>
      <c r="AI664" s="96"/>
      <c r="AJ664" s="96"/>
      <c r="AK664" s="96"/>
      <c r="AL664" s="96"/>
      <c r="AM664" s="96"/>
      <c r="AN664" s="96"/>
      <c r="AO664" s="96"/>
      <c r="AP664" s="96"/>
      <c r="AQ664" s="96"/>
      <c r="AR664" s="96"/>
    </row>
    <row r="665" spans="1:44" s="270" customFormat="1" ht="12" customHeight="1">
      <c r="A665" s="96"/>
      <c r="P665" s="96"/>
      <c r="X665" s="96"/>
      <c r="Y665" s="96"/>
      <c r="Z665" s="2498"/>
      <c r="AA665" s="96"/>
      <c r="AB665" s="96"/>
      <c r="AC665" s="96"/>
      <c r="AD665" s="96"/>
      <c r="AE665" s="96"/>
      <c r="AF665" s="96"/>
      <c r="AG665" s="96"/>
      <c r="AH665" s="96"/>
      <c r="AI665" s="96"/>
      <c r="AJ665" s="96"/>
      <c r="AK665" s="96"/>
      <c r="AL665" s="96"/>
      <c r="AM665" s="96"/>
      <c r="AN665" s="96"/>
      <c r="AO665" s="96"/>
      <c r="AP665" s="96"/>
      <c r="AQ665" s="96"/>
      <c r="AR665" s="96"/>
    </row>
    <row r="666" spans="1:44" s="270" customFormat="1" ht="12" customHeight="1">
      <c r="A666" s="96"/>
      <c r="P666" s="96"/>
      <c r="X666" s="96"/>
      <c r="Y666" s="96"/>
      <c r="Z666" s="2498"/>
      <c r="AA666" s="96"/>
      <c r="AB666" s="96"/>
      <c r="AC666" s="96"/>
      <c r="AD666" s="96"/>
      <c r="AE666" s="96"/>
      <c r="AF666" s="96"/>
      <c r="AG666" s="96"/>
      <c r="AH666" s="96"/>
      <c r="AI666" s="96"/>
      <c r="AJ666" s="96"/>
      <c r="AK666" s="96"/>
      <c r="AL666" s="96"/>
      <c r="AM666" s="96"/>
      <c r="AN666" s="96"/>
      <c r="AO666" s="96"/>
      <c r="AP666" s="96"/>
      <c r="AQ666" s="96"/>
      <c r="AR666" s="96"/>
    </row>
    <row r="667" spans="1:44" s="270" customFormat="1" ht="12" customHeight="1">
      <c r="A667" s="96"/>
      <c r="P667" s="96"/>
      <c r="X667" s="96"/>
      <c r="Y667" s="96"/>
      <c r="Z667" s="2498"/>
      <c r="AA667" s="96"/>
      <c r="AB667" s="96"/>
      <c r="AC667" s="96"/>
      <c r="AD667" s="96"/>
      <c r="AE667" s="96"/>
      <c r="AF667" s="96"/>
      <c r="AG667" s="96"/>
      <c r="AH667" s="96"/>
      <c r="AI667" s="96"/>
      <c r="AJ667" s="96"/>
      <c r="AK667" s="96"/>
      <c r="AL667" s="96"/>
      <c r="AM667" s="96"/>
      <c r="AN667" s="96"/>
      <c r="AO667" s="96"/>
      <c r="AP667" s="96"/>
      <c r="AQ667" s="96"/>
      <c r="AR667" s="96"/>
    </row>
    <row r="668" spans="1:44" s="270" customFormat="1" ht="12" customHeight="1">
      <c r="A668" s="96"/>
      <c r="P668" s="96"/>
      <c r="X668" s="96"/>
      <c r="Y668" s="96"/>
      <c r="Z668" s="2498"/>
      <c r="AA668" s="96"/>
      <c r="AB668" s="96"/>
      <c r="AC668" s="96"/>
      <c r="AD668" s="96"/>
      <c r="AE668" s="96"/>
      <c r="AF668" s="96"/>
      <c r="AG668" s="96"/>
      <c r="AH668" s="96"/>
      <c r="AI668" s="96"/>
      <c r="AJ668" s="96"/>
      <c r="AK668" s="96"/>
      <c r="AL668" s="96"/>
      <c r="AM668" s="96"/>
      <c r="AN668" s="96"/>
      <c r="AO668" s="96"/>
      <c r="AP668" s="96"/>
      <c r="AQ668" s="96"/>
      <c r="AR668" s="96"/>
    </row>
    <row r="669" spans="1:44" s="270" customFormat="1" ht="12" customHeight="1">
      <c r="A669" s="96"/>
      <c r="P669" s="96"/>
      <c r="X669" s="96"/>
      <c r="Y669" s="96"/>
      <c r="Z669" s="2498"/>
      <c r="AA669" s="96"/>
      <c r="AB669" s="96"/>
      <c r="AC669" s="96"/>
      <c r="AD669" s="96"/>
      <c r="AE669" s="96"/>
      <c r="AF669" s="96"/>
      <c r="AG669" s="96"/>
      <c r="AH669" s="96"/>
      <c r="AI669" s="96"/>
      <c r="AJ669" s="96"/>
      <c r="AK669" s="96"/>
      <c r="AL669" s="96"/>
      <c r="AM669" s="96"/>
      <c r="AN669" s="96"/>
      <c r="AO669" s="96"/>
      <c r="AP669" s="96"/>
      <c r="AQ669" s="96"/>
      <c r="AR669" s="96"/>
    </row>
    <row r="670" spans="1:44" s="270" customFormat="1" ht="12" customHeight="1">
      <c r="A670" s="96"/>
      <c r="P670" s="96"/>
      <c r="X670" s="96"/>
      <c r="Y670" s="96"/>
      <c r="Z670" s="2498"/>
      <c r="AA670" s="96"/>
      <c r="AB670" s="96"/>
      <c r="AC670" s="96"/>
      <c r="AD670" s="96"/>
      <c r="AE670" s="96"/>
      <c r="AF670" s="96"/>
      <c r="AG670" s="96"/>
    </row>
    <row r="671" spans="1:44" s="270" customFormat="1" ht="12" customHeight="1">
      <c r="A671" s="96"/>
      <c r="P671" s="96"/>
      <c r="X671" s="96"/>
      <c r="Y671" s="96"/>
      <c r="Z671" s="2498"/>
      <c r="AA671" s="96"/>
      <c r="AB671" s="96"/>
      <c r="AC671" s="96"/>
      <c r="AD671" s="96"/>
      <c r="AE671" s="96"/>
      <c r="AF671" s="96"/>
      <c r="AG671" s="96"/>
    </row>
    <row r="672" spans="1:44" s="270" customFormat="1" ht="12" customHeight="1">
      <c r="A672" s="96"/>
      <c r="P672" s="96"/>
      <c r="X672" s="96"/>
      <c r="Y672" s="96"/>
      <c r="Z672" s="2498"/>
      <c r="AA672" s="96"/>
      <c r="AB672" s="96"/>
      <c r="AC672" s="96"/>
      <c r="AD672" s="96"/>
      <c r="AE672" s="96"/>
      <c r="AF672" s="96"/>
      <c r="AG672" s="96"/>
    </row>
    <row r="673" spans="1:33" s="270" customFormat="1" ht="12" customHeight="1">
      <c r="A673" s="96"/>
      <c r="P673" s="96"/>
      <c r="X673" s="96"/>
      <c r="Y673" s="96"/>
      <c r="Z673" s="2498"/>
      <c r="AA673" s="96"/>
      <c r="AB673" s="96"/>
      <c r="AC673" s="96"/>
      <c r="AD673" s="96"/>
      <c r="AE673" s="96"/>
      <c r="AF673" s="96"/>
      <c r="AG673" s="96"/>
    </row>
    <row r="674" spans="1:33" s="270" customFormat="1" ht="12" customHeight="1">
      <c r="A674" s="96"/>
      <c r="P674" s="96"/>
      <c r="X674" s="96"/>
      <c r="Y674" s="96"/>
      <c r="Z674" s="2498"/>
      <c r="AA674" s="96"/>
      <c r="AB674" s="96"/>
      <c r="AC674" s="96"/>
      <c r="AD674" s="96"/>
      <c r="AE674" s="96"/>
      <c r="AF674" s="96"/>
      <c r="AG674" s="96"/>
    </row>
    <row r="675" spans="1:33" s="270" customFormat="1" ht="12" customHeight="1">
      <c r="A675" s="96"/>
      <c r="P675" s="96"/>
      <c r="X675" s="96"/>
      <c r="Y675" s="96"/>
      <c r="Z675" s="2498"/>
      <c r="AA675" s="96"/>
      <c r="AB675" s="96"/>
      <c r="AC675" s="96"/>
      <c r="AD675" s="96"/>
      <c r="AE675" s="96"/>
      <c r="AF675" s="96"/>
      <c r="AG675" s="96"/>
    </row>
    <row r="676" spans="1:33" s="270" customFormat="1" ht="12" customHeight="1">
      <c r="A676" s="96"/>
      <c r="P676" s="96"/>
      <c r="X676" s="96"/>
      <c r="Y676" s="96"/>
      <c r="Z676" s="2498"/>
      <c r="AA676" s="96"/>
      <c r="AB676" s="96"/>
      <c r="AC676" s="96"/>
      <c r="AD676" s="96"/>
      <c r="AE676" s="96"/>
      <c r="AF676" s="96"/>
      <c r="AG676" s="96"/>
    </row>
    <row r="677" spans="1:33" s="270" customFormat="1" ht="12" customHeight="1">
      <c r="A677" s="96"/>
      <c r="P677" s="96"/>
      <c r="X677" s="96"/>
      <c r="Y677" s="96"/>
      <c r="Z677" s="2498"/>
      <c r="AA677" s="96"/>
      <c r="AB677" s="96"/>
      <c r="AC677" s="96"/>
      <c r="AD677" s="96"/>
      <c r="AE677" s="96"/>
      <c r="AF677" s="96"/>
      <c r="AG677" s="96"/>
    </row>
    <row r="678" spans="1:33" s="270" customFormat="1" ht="12" customHeight="1">
      <c r="A678" s="96"/>
      <c r="P678" s="96"/>
      <c r="X678" s="96"/>
      <c r="Y678" s="96"/>
      <c r="Z678" s="2498"/>
      <c r="AA678" s="96"/>
      <c r="AB678" s="96"/>
      <c r="AC678" s="96"/>
      <c r="AD678" s="96"/>
      <c r="AE678" s="96"/>
      <c r="AF678" s="96"/>
      <c r="AG678" s="96"/>
    </row>
    <row r="679" spans="1:33" s="270" customFormat="1" ht="12" customHeight="1">
      <c r="A679" s="96"/>
      <c r="P679" s="96"/>
      <c r="X679" s="96"/>
      <c r="Y679" s="96"/>
      <c r="Z679" s="2498"/>
      <c r="AA679" s="96"/>
      <c r="AB679" s="96"/>
      <c r="AC679" s="96"/>
      <c r="AD679" s="96"/>
      <c r="AE679" s="96"/>
      <c r="AF679" s="96"/>
      <c r="AG679" s="96"/>
    </row>
    <row r="680" spans="1:33" s="270" customFormat="1" ht="12" customHeight="1">
      <c r="A680" s="96"/>
      <c r="P680" s="96"/>
      <c r="X680" s="96"/>
      <c r="Y680" s="96"/>
      <c r="Z680" s="2498"/>
      <c r="AA680" s="96"/>
      <c r="AB680" s="96"/>
      <c r="AC680" s="96"/>
      <c r="AD680" s="96"/>
      <c r="AE680" s="96"/>
      <c r="AF680" s="96"/>
      <c r="AG680" s="96"/>
    </row>
    <row r="681" spans="1:33" s="270" customFormat="1" ht="12" customHeight="1">
      <c r="A681" s="96"/>
      <c r="P681" s="96"/>
      <c r="X681" s="96"/>
      <c r="Y681" s="96"/>
      <c r="Z681" s="2498"/>
      <c r="AA681" s="96"/>
      <c r="AB681" s="96"/>
      <c r="AC681" s="96"/>
      <c r="AD681" s="96"/>
      <c r="AE681" s="96"/>
      <c r="AF681" s="96"/>
      <c r="AG681" s="96"/>
    </row>
    <row r="682" spans="1:33" s="270" customFormat="1" ht="12" customHeight="1">
      <c r="A682" s="96"/>
      <c r="P682" s="96"/>
      <c r="X682" s="96"/>
      <c r="Y682" s="96"/>
      <c r="Z682" s="2498"/>
      <c r="AA682" s="96"/>
      <c r="AB682" s="96"/>
      <c r="AC682" s="96"/>
      <c r="AD682" s="96"/>
      <c r="AE682" s="96"/>
      <c r="AF682" s="96"/>
      <c r="AG682" s="96"/>
    </row>
    <row r="683" spans="1:33" s="270" customFormat="1" ht="12" customHeight="1">
      <c r="A683" s="96"/>
      <c r="P683" s="96"/>
      <c r="X683" s="96"/>
      <c r="Y683" s="96"/>
      <c r="Z683" s="2498"/>
      <c r="AA683" s="96"/>
      <c r="AB683" s="96"/>
      <c r="AC683" s="96"/>
      <c r="AD683" s="96"/>
      <c r="AE683" s="96"/>
      <c r="AF683" s="96"/>
      <c r="AG683" s="96"/>
    </row>
    <row r="684" spans="1:33" s="270" customFormat="1" ht="12" customHeight="1">
      <c r="A684" s="96"/>
      <c r="P684" s="96"/>
      <c r="X684" s="96"/>
      <c r="Y684" s="96"/>
      <c r="Z684" s="2498"/>
      <c r="AA684" s="96"/>
      <c r="AB684" s="96"/>
      <c r="AC684" s="96"/>
      <c r="AD684" s="96"/>
      <c r="AE684" s="96"/>
      <c r="AF684" s="96"/>
      <c r="AG684" s="96"/>
    </row>
    <row r="685" spans="1:33" s="270" customFormat="1" ht="12" customHeight="1">
      <c r="B685" s="269"/>
      <c r="X685" s="96"/>
      <c r="Y685" s="96"/>
      <c r="Z685" s="2498"/>
      <c r="AA685" s="96"/>
      <c r="AB685" s="96"/>
      <c r="AC685" s="96"/>
      <c r="AD685" s="96"/>
      <c r="AE685" s="96"/>
      <c r="AF685" s="96"/>
      <c r="AG685" s="96"/>
    </row>
    <row r="686" spans="1:33" s="270" customFormat="1" ht="12" customHeight="1">
      <c r="B686" s="269"/>
      <c r="Z686" s="2498"/>
    </row>
    <row r="687" spans="1:33" s="270" customFormat="1" ht="12" customHeight="1">
      <c r="B687" s="269"/>
      <c r="Z687" s="2498"/>
    </row>
    <row r="688" spans="1:33" s="270" customFormat="1" ht="12" customHeight="1">
      <c r="B688" s="269"/>
      <c r="Z688" s="2498"/>
    </row>
    <row r="689" spans="2:26" s="270" customFormat="1" ht="12" customHeight="1">
      <c r="B689" s="269"/>
      <c r="Z689" s="2498"/>
    </row>
    <row r="690" spans="2:26" s="270" customFormat="1" ht="12" customHeight="1">
      <c r="B690" s="269"/>
      <c r="Z690" s="2498"/>
    </row>
    <row r="691" spans="2:26" s="270" customFormat="1" ht="12" customHeight="1">
      <c r="B691" s="269"/>
      <c r="Z691" s="2498"/>
    </row>
    <row r="692" spans="2:26" s="270" customFormat="1" ht="12" customHeight="1">
      <c r="B692" s="269"/>
      <c r="Z692" s="2498"/>
    </row>
    <row r="693" spans="2:26" s="270" customFormat="1" ht="12" customHeight="1">
      <c r="B693" s="269"/>
      <c r="Z693" s="2498"/>
    </row>
    <row r="694" spans="2:26" s="270" customFormat="1" ht="12" customHeight="1">
      <c r="B694" s="269"/>
      <c r="Z694" s="2498"/>
    </row>
    <row r="695" spans="2:26" s="270" customFormat="1" ht="12" customHeight="1">
      <c r="B695" s="269"/>
      <c r="Z695" s="2498"/>
    </row>
    <row r="696" spans="2:26" s="270" customFormat="1" ht="12" customHeight="1">
      <c r="B696" s="269"/>
      <c r="Z696" s="2498"/>
    </row>
    <row r="697" spans="2:26" s="270" customFormat="1" ht="12" customHeight="1">
      <c r="B697" s="269"/>
      <c r="Z697" s="2498"/>
    </row>
    <row r="698" spans="2:26" s="270" customFormat="1" ht="12" customHeight="1">
      <c r="B698" s="269"/>
      <c r="Z698" s="2498"/>
    </row>
    <row r="699" spans="2:26" s="270" customFormat="1" ht="12" customHeight="1">
      <c r="B699" s="269"/>
      <c r="Z699" s="2498"/>
    </row>
    <row r="700" spans="2:26" s="270" customFormat="1" ht="12" customHeight="1">
      <c r="B700" s="269"/>
      <c r="Z700" s="2498"/>
    </row>
    <row r="701" spans="2:26" s="270" customFormat="1" ht="12" customHeight="1">
      <c r="B701" s="269"/>
      <c r="Z701" s="2498"/>
    </row>
    <row r="702" spans="2:26" s="270" customFormat="1" ht="12" customHeight="1">
      <c r="B702" s="269"/>
      <c r="Z702" s="2498"/>
    </row>
    <row r="703" spans="2:26" s="270" customFormat="1" ht="12" customHeight="1">
      <c r="B703" s="269"/>
      <c r="Z703" s="2498"/>
    </row>
    <row r="704" spans="2:26" s="270" customFormat="1" ht="12" customHeight="1">
      <c r="B704" s="269"/>
      <c r="Z704" s="2498"/>
    </row>
    <row r="705" spans="2:27" s="270" customFormat="1" ht="12" customHeight="1">
      <c r="B705" s="269"/>
      <c r="Z705" s="2498"/>
    </row>
    <row r="706" spans="2:27" s="270" customFormat="1" ht="12" customHeight="1">
      <c r="B706" s="269"/>
      <c r="Z706" s="2498"/>
    </row>
    <row r="707" spans="2:27" s="270" customFormat="1" ht="12" customHeight="1">
      <c r="B707" s="269"/>
      <c r="Z707" s="2498"/>
    </row>
    <row r="708" spans="2:27" s="270" customFormat="1" ht="12" customHeight="1">
      <c r="B708" s="269"/>
      <c r="Z708" s="2498"/>
    </row>
    <row r="709" spans="2:27" s="270" customFormat="1" ht="12" customHeight="1">
      <c r="B709" s="269"/>
      <c r="Z709" s="2498"/>
    </row>
    <row r="710" spans="2:27" s="270" customFormat="1" ht="12" customHeight="1">
      <c r="B710" s="269"/>
      <c r="Z710" s="2498"/>
    </row>
    <row r="711" spans="2:27" s="270" customFormat="1" ht="12" customHeight="1">
      <c r="B711" s="269"/>
      <c r="Z711" s="2498"/>
    </row>
    <row r="712" spans="2:27" s="270" customFormat="1" ht="12" customHeight="1">
      <c r="B712" s="269"/>
      <c r="Z712" s="2498"/>
    </row>
    <row r="713" spans="2:27" s="270" customFormat="1" ht="12" customHeight="1">
      <c r="B713" s="269"/>
      <c r="N713" s="96"/>
      <c r="O713" s="96"/>
      <c r="Z713" s="2498"/>
    </row>
    <row r="714" spans="2:27" ht="12" customHeight="1">
      <c r="I714" s="270"/>
      <c r="AA714" s="220"/>
    </row>
    <row r="715" spans="2:27" ht="12" customHeight="1">
      <c r="AA715" s="220"/>
    </row>
    <row r="716" spans="2:27" ht="12" customHeight="1">
      <c r="AA716" s="220"/>
    </row>
    <row r="717" spans="2:27" ht="12" customHeight="1">
      <c r="AA717" s="220"/>
    </row>
  </sheetData>
  <sheetProtection algorithmName="SHA-512" hashValue="ZY/nu2zF2HlQqpURqg4rui1pV3H6vfuGKE2D6LW4x9oe2A/gThA+Tv6U7+E9Dbg5qiYbWTsB5hinXNXQV+LDDA==" saltValue="nrlEz+c1LWCKZqIOirEipg==" spinCount="100000" sheet="1" objects="1" scenarios="1"/>
  <mergeCells count="38">
    <mergeCell ref="A2:P2"/>
    <mergeCell ref="A4:P4"/>
    <mergeCell ref="A6:D8"/>
    <mergeCell ref="O7:P7"/>
    <mergeCell ref="Q7:S39"/>
    <mergeCell ref="I10:J10"/>
    <mergeCell ref="O10:P10"/>
    <mergeCell ref="F12:H12"/>
    <mergeCell ref="O12:P12"/>
    <mergeCell ref="F17:H17"/>
    <mergeCell ref="F23:L23"/>
    <mergeCell ref="N23:P23"/>
    <mergeCell ref="J17:L17"/>
    <mergeCell ref="N17:P17"/>
    <mergeCell ref="F18:H18"/>
    <mergeCell ref="N18:P18"/>
    <mergeCell ref="Q44:S44"/>
    <mergeCell ref="F27:K27"/>
    <mergeCell ref="F28:H28"/>
    <mergeCell ref="J28:K28"/>
    <mergeCell ref="F29:H29"/>
    <mergeCell ref="O29:P29"/>
    <mergeCell ref="O30:P30"/>
    <mergeCell ref="O37:P37"/>
    <mergeCell ref="O38:P38"/>
    <mergeCell ref="O39:P39"/>
    <mergeCell ref="A44:L44"/>
    <mergeCell ref="M44:P44"/>
    <mergeCell ref="F13:O13"/>
    <mergeCell ref="M14:O14"/>
    <mergeCell ref="I16:P16"/>
    <mergeCell ref="F22:H22"/>
    <mergeCell ref="N22:P22"/>
    <mergeCell ref="F19:L19"/>
    <mergeCell ref="N19:P19"/>
    <mergeCell ref="F21:H21"/>
    <mergeCell ref="J21:L21"/>
    <mergeCell ref="N21:P21"/>
  </mergeCells>
  <dataValidations count="6">
    <dataValidation type="list" allowBlank="1" showInputMessage="1" showErrorMessage="1" sqref="F29:H29" xr:uid="{D1A81F16-7D57-49FD-ADCD-F6980D2CDE72}">
      <formula1>"&lt;&lt; Select from list &gt;&gt;,City Limits, Unincorporated County, Consolidated Government"</formula1>
    </dataValidation>
    <dataValidation type="list" showInputMessage="1" showErrorMessage="1" sqref="F30" xr:uid="{0694A729-D287-43BC-91C6-4944837126BE}">
      <formula1>"Yes, No"</formula1>
    </dataValidation>
    <dataValidation type="list" allowBlank="1" showInputMessage="1" showErrorMessage="1" sqref="H34:H35 D31 P36 I36:I39 D29 P13:Q14" xr:uid="{6B7CB2F4-D8B3-4840-BC25-7993CEB6DE94}">
      <formula1>"Yes, No"</formula1>
    </dataValidation>
    <dataValidation type="whole" allowBlank="1" showInputMessage="1" showErrorMessage="1" error="This cell is formatted for 10 digit phone numbers.  Please enter only numeric characters.  Do not enter hyphens, parentheses, periods, or spaces." sqref="N22:N23 F18 N18:N19 F22" xr:uid="{3A2A2A47-D94F-41F3-B324-FEB870B01364}">
      <formula1>1000000000</formula1>
      <formula2>9999999999</formula2>
    </dataValidation>
    <dataValidation type="list" operator="greaterThanOrEqual" showInputMessage="1" showErrorMessage="1" error="Please enter a whole number or leave this cell empty." sqref="P27:P28" xr:uid="{EC52A7FF-E05A-47F7-893A-A3B4EB0BB2F4}">
      <formula1>"Yes, No"</formula1>
    </dataValidation>
    <dataValidation type="list" allowBlank="1" showInputMessage="1" showErrorMessage="1" sqref="F12:H12" xr:uid="{C4605858-ECF4-450F-8D87-A96B023D5E90}">
      <formula1>"&lt;&lt; Select an Application Type &gt;&gt;,9% Credits,4% Credits/Bonds"</formula1>
    </dataValidation>
  </dataValidations>
  <printOptions horizontalCentered="1"/>
  <pageMargins left="0.25" right="0.25" top="0.75" bottom="0.5" header="0.3" footer="0.3"/>
  <pageSetup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 manualBreakCount="1">
    <brk id="40"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51119DB-2970-4DEF-B302-976576B419EF}">
          <x14:formula1>
            <xm:f>'DCA Underwriting Assumptions'!$T$167:$T$795</xm:f>
          </x14:formula1>
          <xm:sqref>F28:H28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9">
    <pageSetUpPr fitToPage="1"/>
  </sheetPr>
  <dimension ref="A1:Z242"/>
  <sheetViews>
    <sheetView showGridLines="0" topLeftCell="A2" zoomScaleNormal="100" workbookViewId="0">
      <selection activeCell="V13" sqref="V13"/>
    </sheetView>
  </sheetViews>
  <sheetFormatPr defaultColWidth="9.21875" defaultRowHeight="13.8"/>
  <cols>
    <col min="1" max="1" width="2.77734375" style="96" customWidth="1"/>
    <col min="2" max="4" width="1.77734375" style="96" customWidth="1"/>
    <col min="5" max="5" width="14.77734375" style="96" customWidth="1"/>
    <col min="6" max="6" width="6.21875" style="96" customWidth="1"/>
    <col min="7" max="7" width="2.77734375" style="96" customWidth="1"/>
    <col min="8" max="8" width="8" style="96" customWidth="1"/>
    <col min="9" max="9" width="6.21875" style="96" customWidth="1"/>
    <col min="10" max="10" width="8.21875" style="96" customWidth="1"/>
    <col min="11" max="11" width="9.77734375" style="96" customWidth="1"/>
    <col min="12" max="13" width="8.77734375" style="96" customWidth="1"/>
    <col min="14" max="14" width="9.44140625" style="96" customWidth="1"/>
    <col min="15" max="15" width="9.77734375" style="96" customWidth="1"/>
    <col min="16" max="19" width="6.21875" style="96" customWidth="1"/>
    <col min="20" max="24" width="11.5546875" style="96" customWidth="1"/>
    <col min="25" max="25" width="9.21875" style="96"/>
    <col min="26" max="26" width="9.21875" style="1155"/>
    <col min="27" max="16384" width="9.21875" style="96"/>
  </cols>
  <sheetData>
    <row r="1" spans="1:26" s="1183" customFormat="1" ht="13.5" hidden="1" customHeight="1">
      <c r="A1" s="1152"/>
      <c r="D1" s="1183" t="s">
        <v>174</v>
      </c>
      <c r="E1" s="1183" t="s">
        <v>3</v>
      </c>
      <c r="F1" s="1183" t="s">
        <v>175</v>
      </c>
      <c r="H1" s="1183" t="s">
        <v>176</v>
      </c>
      <c r="J1" s="1183" t="s">
        <v>177</v>
      </c>
      <c r="K1" s="1183" t="s">
        <v>178</v>
      </c>
      <c r="L1" s="1183" t="s">
        <v>179</v>
      </c>
      <c r="M1" s="1183" t="s">
        <v>180</v>
      </c>
      <c r="O1" s="1183" t="s">
        <v>181</v>
      </c>
      <c r="Q1" s="1183" t="s">
        <v>182</v>
      </c>
      <c r="Z1" s="1154">
        <v>1</v>
      </c>
    </row>
    <row r="2" spans="1:26" s="95" customFormat="1" ht="14.1" customHeight="1">
      <c r="A2" s="3276" t="e">
        <f>CONCATENATE("PART TWO - DEVELOPMENT TEAM INFORMATION","  -  ",#REF!," ",#REF!,", ",#REF!,", ",#REF!," County")</f>
        <v>#REF!</v>
      </c>
      <c r="B2" s="3277"/>
      <c r="C2" s="3277"/>
      <c r="D2" s="3277"/>
      <c r="E2" s="3277"/>
      <c r="F2" s="3277"/>
      <c r="G2" s="3277"/>
      <c r="H2" s="3277"/>
      <c r="I2" s="3277"/>
      <c r="J2" s="3277"/>
      <c r="K2" s="3277"/>
      <c r="L2" s="3277"/>
      <c r="M2" s="3277"/>
      <c r="N2" s="3277"/>
      <c r="O2" s="3277"/>
      <c r="P2" s="3277"/>
      <c r="Q2" s="3277"/>
      <c r="R2" s="3277"/>
      <c r="S2" s="3278"/>
      <c r="Z2" s="1154">
        <v>2</v>
      </c>
    </row>
    <row r="3" spans="1:26" ht="12" customHeight="1" thickBot="1">
      <c r="A3" s="544" t="s">
        <v>183</v>
      </c>
      <c r="B3" s="545"/>
      <c r="C3" s="545"/>
      <c r="D3" s="545"/>
      <c r="E3" s="545"/>
      <c r="F3" s="545"/>
      <c r="G3" s="545"/>
      <c r="H3" s="545"/>
      <c r="I3" s="545"/>
      <c r="J3" s="545"/>
      <c r="K3" s="545"/>
      <c r="L3" s="545"/>
      <c r="M3" s="545"/>
      <c r="N3" s="545"/>
      <c r="O3" s="545"/>
      <c r="P3" s="545"/>
      <c r="Q3" s="545"/>
      <c r="R3" s="545"/>
      <c r="S3" s="545"/>
      <c r="Z3" s="1154">
        <v>3</v>
      </c>
    </row>
    <row r="4" spans="1:26" s="95" customFormat="1" ht="13.35" customHeight="1" thickBot="1">
      <c r="A4" s="151" t="s">
        <v>21</v>
      </c>
      <c r="B4" s="134" t="s">
        <v>184</v>
      </c>
      <c r="C4" s="134"/>
      <c r="E4" s="134"/>
      <c r="F4" s="134"/>
      <c r="G4" s="134"/>
      <c r="H4" s="676" t="s">
        <v>185</v>
      </c>
      <c r="O4" s="3280" t="e">
        <f>#REF!</f>
        <v>#REF!</v>
      </c>
      <c r="P4" s="3281"/>
      <c r="Q4" s="3281"/>
      <c r="R4" s="3281"/>
      <c r="S4" s="3282"/>
      <c r="Z4" s="1154">
        <v>4</v>
      </c>
    </row>
    <row r="5" spans="1:26" s="95" customFormat="1" ht="8.6999999999999993" customHeight="1">
      <c r="A5" s="151"/>
      <c r="B5" s="151"/>
      <c r="C5" s="151"/>
      <c r="D5" s="134"/>
      <c r="E5" s="134"/>
      <c r="F5" s="134"/>
      <c r="G5" s="134"/>
      <c r="H5" s="134"/>
      <c r="I5" s="134"/>
      <c r="J5" s="134"/>
      <c r="Z5" s="1154">
        <v>5</v>
      </c>
    </row>
    <row r="6" spans="1:26" s="95" customFormat="1" ht="11.25" customHeight="1">
      <c r="B6" s="151" t="s">
        <v>186</v>
      </c>
      <c r="C6" s="134" t="s">
        <v>187</v>
      </c>
      <c r="H6" s="3195" t="s">
        <v>188</v>
      </c>
      <c r="I6" s="3265"/>
      <c r="J6" s="3265"/>
      <c r="K6" s="3265"/>
      <c r="L6" s="3265"/>
      <c r="M6" s="3265"/>
      <c r="N6" s="3266"/>
      <c r="O6" s="164" t="s">
        <v>189</v>
      </c>
      <c r="P6" s="164"/>
      <c r="Q6" s="3195"/>
      <c r="R6" s="3265"/>
      <c r="S6" s="3266"/>
      <c r="Y6" s="604"/>
      <c r="Z6" s="1154">
        <v>6</v>
      </c>
    </row>
    <row r="7" spans="1:26" s="95" customFormat="1" ht="11.25" customHeight="1">
      <c r="D7" s="165"/>
      <c r="E7" s="153" t="s">
        <v>190</v>
      </c>
      <c r="F7" s="154"/>
      <c r="H7" s="3202"/>
      <c r="I7" s="3267"/>
      <c r="J7" s="3267"/>
      <c r="K7" s="3268"/>
      <c r="L7" s="3267"/>
      <c r="M7" s="3267"/>
      <c r="N7" s="3269"/>
      <c r="O7" s="164" t="s">
        <v>191</v>
      </c>
      <c r="P7" s="166"/>
      <c r="Q7" s="3270"/>
      <c r="R7" s="3271"/>
      <c r="S7" s="3272"/>
      <c r="V7" s="604"/>
      <c r="W7" s="604"/>
      <c r="X7" s="604"/>
      <c r="Y7" s="604"/>
      <c r="Z7" s="1154">
        <v>7</v>
      </c>
    </row>
    <row r="8" spans="1:26" s="95" customFormat="1" ht="11.25" customHeight="1">
      <c r="D8" s="165"/>
      <c r="E8" s="153" t="s">
        <v>48</v>
      </c>
      <c r="H8" s="3202"/>
      <c r="I8" s="3268"/>
      <c r="J8" s="3273"/>
      <c r="K8" s="230" t="s">
        <v>192</v>
      </c>
      <c r="L8" s="3279"/>
      <c r="M8" s="3267"/>
      <c r="N8" s="3269"/>
      <c r="O8" s="164" t="s">
        <v>40</v>
      </c>
      <c r="P8" s="166"/>
      <c r="Q8" s="3185"/>
      <c r="R8" s="3186"/>
      <c r="S8" s="3187"/>
      <c r="Z8" s="1154">
        <v>8</v>
      </c>
    </row>
    <row r="9" spans="1:26" s="95" customFormat="1" ht="11.25" customHeight="1">
      <c r="D9" s="165"/>
      <c r="E9" s="153" t="s">
        <v>193</v>
      </c>
      <c r="H9" s="720"/>
      <c r="I9" s="495" t="s">
        <v>194</v>
      </c>
      <c r="J9" s="3257"/>
      <c r="K9" s="3258"/>
      <c r="L9" s="166" t="s">
        <v>195</v>
      </c>
      <c r="M9" s="3259"/>
      <c r="N9" s="3260"/>
      <c r="O9" s="164" t="s">
        <v>42</v>
      </c>
      <c r="P9" s="166"/>
      <c r="Q9" s="3185"/>
      <c r="R9" s="3186"/>
      <c r="S9" s="3187"/>
      <c r="Z9" s="1154">
        <v>9</v>
      </c>
    </row>
    <row r="10" spans="1:26" s="95" customFormat="1" ht="11.25" customHeight="1">
      <c r="D10" s="165"/>
      <c r="E10" s="153" t="s">
        <v>196</v>
      </c>
      <c r="H10" s="3261"/>
      <c r="I10" s="3262"/>
      <c r="J10" s="2644"/>
      <c r="K10" s="167" t="s">
        <v>41</v>
      </c>
      <c r="L10" s="3263"/>
      <c r="M10" s="3189"/>
      <c r="N10" s="3189"/>
      <c r="O10" s="3190"/>
      <c r="P10" s="3190"/>
      <c r="Q10" s="3189"/>
      <c r="R10" s="3189"/>
      <c r="S10" s="3264"/>
      <c r="Z10" s="1154">
        <v>10</v>
      </c>
    </row>
    <row r="11" spans="1:26" s="95" customFormat="1" ht="11.25" customHeight="1">
      <c r="D11" s="165"/>
      <c r="E11" s="676" t="s">
        <v>185</v>
      </c>
      <c r="H11" s="168"/>
      <c r="I11" s="166"/>
      <c r="J11" s="166"/>
      <c r="K11" s="206"/>
      <c r="L11" s="166"/>
      <c r="M11" s="166"/>
      <c r="N11" s="231" t="s">
        <v>197</v>
      </c>
      <c r="O11" s="166"/>
      <c r="P11" s="166"/>
      <c r="Q11" s="167"/>
      <c r="R11" s="166"/>
      <c r="S11" s="166"/>
      <c r="T11" s="166"/>
      <c r="Z11" s="1154">
        <v>11</v>
      </c>
    </row>
    <row r="12" spans="1:26" s="95" customFormat="1" ht="4.3499999999999996" customHeight="1">
      <c r="D12" s="170"/>
      <c r="E12" s="153"/>
      <c r="F12" s="134"/>
      <c r="G12" s="134"/>
      <c r="H12" s="169"/>
      <c r="I12" s="169"/>
      <c r="J12" s="169"/>
      <c r="K12" s="166"/>
      <c r="L12" s="166"/>
      <c r="M12" s="166"/>
      <c r="N12" s="169"/>
      <c r="O12" s="169"/>
      <c r="P12" s="169"/>
      <c r="Q12" s="169"/>
      <c r="R12" s="169"/>
      <c r="S12" s="169"/>
      <c r="T12" s="169"/>
      <c r="Z12" s="1154">
        <v>12</v>
      </c>
    </row>
    <row r="13" spans="1:26" s="95" customFormat="1" ht="11.25" customHeight="1">
      <c r="B13" s="159" t="s">
        <v>198</v>
      </c>
      <c r="C13" s="134" t="s">
        <v>199</v>
      </c>
      <c r="F13" s="134"/>
      <c r="G13" s="134"/>
      <c r="H13" s="169"/>
      <c r="I13" s="169"/>
      <c r="J13" s="166"/>
      <c r="K13" s="166"/>
      <c r="L13" s="166"/>
      <c r="M13" s="166"/>
      <c r="N13" s="276" t="s">
        <v>200</v>
      </c>
      <c r="O13" s="166"/>
      <c r="P13" s="166"/>
      <c r="Q13" s="166"/>
      <c r="R13" s="166"/>
      <c r="S13" s="166"/>
      <c r="W13" s="276"/>
      <c r="X13" s="276"/>
      <c r="Y13" s="276"/>
      <c r="Z13" s="1154">
        <v>13</v>
      </c>
    </row>
    <row r="14" spans="1:26" s="95" customFormat="1" ht="11.25" customHeight="1">
      <c r="C14" s="171" t="s">
        <v>201</v>
      </c>
      <c r="D14" s="159" t="s">
        <v>202</v>
      </c>
      <c r="H14" s="166"/>
      <c r="I14" s="166"/>
      <c r="J14" s="166"/>
      <c r="K14" s="166"/>
      <c r="L14" s="166"/>
      <c r="M14" s="166"/>
      <c r="N14" s="206"/>
      <c r="O14" s="166"/>
      <c r="P14" s="166"/>
      <c r="Q14" s="166"/>
      <c r="R14" s="166"/>
      <c r="S14" s="166"/>
      <c r="W14" s="278"/>
      <c r="X14" s="278"/>
      <c r="Y14" s="278"/>
      <c r="Z14" s="1154">
        <v>14</v>
      </c>
    </row>
    <row r="15" spans="1:26" s="95" customFormat="1" ht="11.25" customHeight="1">
      <c r="D15" s="151" t="s">
        <v>203</v>
      </c>
      <c r="E15" s="95" t="s">
        <v>204</v>
      </c>
      <c r="H15" s="3195"/>
      <c r="I15" s="3265"/>
      <c r="J15" s="3265"/>
      <c r="K15" s="3265"/>
      <c r="L15" s="3265"/>
      <c r="M15" s="3265"/>
      <c r="N15" s="3266"/>
      <c r="O15" s="164" t="s">
        <v>189</v>
      </c>
      <c r="P15" s="164"/>
      <c r="Q15" s="3195"/>
      <c r="R15" s="3265"/>
      <c r="S15" s="3266"/>
      <c r="Z15" s="1154">
        <v>15</v>
      </c>
    </row>
    <row r="16" spans="1:26" s="95" customFormat="1" ht="11.25" customHeight="1">
      <c r="D16" s="165"/>
      <c r="E16" s="153" t="s">
        <v>190</v>
      </c>
      <c r="F16" s="154"/>
      <c r="H16" s="3202"/>
      <c r="I16" s="3267"/>
      <c r="J16" s="3267"/>
      <c r="K16" s="3268"/>
      <c r="L16" s="3267"/>
      <c r="M16" s="3267"/>
      <c r="N16" s="3269"/>
      <c r="O16" s="164" t="s">
        <v>191</v>
      </c>
      <c r="P16" s="166"/>
      <c r="Q16" s="3270"/>
      <c r="R16" s="3271"/>
      <c r="S16" s="3272"/>
      <c r="Z16" s="1154">
        <v>16</v>
      </c>
    </row>
    <row r="17" spans="4:26" s="95" customFormat="1" ht="11.25" customHeight="1">
      <c r="D17" s="165"/>
      <c r="E17" s="153" t="s">
        <v>48</v>
      </c>
      <c r="H17" s="3202"/>
      <c r="I17" s="3268"/>
      <c r="J17" s="3273"/>
      <c r="K17" s="167" t="s">
        <v>205</v>
      </c>
      <c r="L17" s="3202"/>
      <c r="M17" s="3267"/>
      <c r="N17" s="3273"/>
      <c r="O17" s="164" t="s">
        <v>40</v>
      </c>
      <c r="P17" s="166"/>
      <c r="Q17" s="3185"/>
      <c r="R17" s="3186"/>
      <c r="S17" s="3187"/>
      <c r="Z17" s="1154">
        <v>17</v>
      </c>
    </row>
    <row r="18" spans="4:26" s="95" customFormat="1" ht="11.25" customHeight="1">
      <c r="D18" s="151"/>
      <c r="E18" s="153" t="s">
        <v>193</v>
      </c>
      <c r="H18" s="720"/>
      <c r="I18" s="166"/>
      <c r="J18" s="166"/>
      <c r="K18" s="495" t="s">
        <v>194</v>
      </c>
      <c r="L18" s="3274"/>
      <c r="M18" s="3275"/>
      <c r="N18" s="166"/>
      <c r="O18" s="164" t="s">
        <v>42</v>
      </c>
      <c r="P18" s="166"/>
      <c r="Q18" s="3185"/>
      <c r="R18" s="3186"/>
      <c r="S18" s="3187"/>
      <c r="Z18" s="1154">
        <v>18</v>
      </c>
    </row>
    <row r="19" spans="4:26" s="95" customFormat="1" ht="11.25" customHeight="1">
      <c r="D19" s="165"/>
      <c r="E19" s="153" t="s">
        <v>196</v>
      </c>
      <c r="H19" s="3261"/>
      <c r="I19" s="3262"/>
      <c r="J19" s="2644"/>
      <c r="K19" s="167" t="s">
        <v>41</v>
      </c>
      <c r="L19" s="3188"/>
      <c r="M19" s="3189"/>
      <c r="N19" s="3190"/>
      <c r="O19" s="3190"/>
      <c r="P19" s="3190"/>
      <c r="Q19" s="3189"/>
      <c r="R19" s="3189"/>
      <c r="S19" s="3264"/>
      <c r="Z19" s="1154">
        <v>19</v>
      </c>
    </row>
    <row r="20" spans="4:26" ht="4.3499999999999996" customHeight="1">
      <c r="D20" s="159"/>
      <c r="H20" s="2645"/>
      <c r="I20" s="2645"/>
      <c r="J20" s="2645"/>
      <c r="K20" s="167"/>
      <c r="L20" s="2645"/>
      <c r="M20" s="2645"/>
      <c r="N20" s="173"/>
      <c r="O20" s="174"/>
      <c r="P20" s="174"/>
      <c r="Q20" s="167"/>
      <c r="R20" s="174"/>
      <c r="S20" s="174"/>
      <c r="Z20" s="1154">
        <v>20</v>
      </c>
    </row>
    <row r="21" spans="4:26" s="95" customFormat="1" ht="11.25" customHeight="1">
      <c r="D21" s="151" t="s">
        <v>206</v>
      </c>
      <c r="E21" s="95" t="s">
        <v>207</v>
      </c>
      <c r="H21" s="3195"/>
      <c r="I21" s="3265"/>
      <c r="J21" s="3265"/>
      <c r="K21" s="3265"/>
      <c r="L21" s="3265"/>
      <c r="M21" s="3265"/>
      <c r="N21" s="3266"/>
      <c r="O21" s="164" t="s">
        <v>189</v>
      </c>
      <c r="P21" s="164"/>
      <c r="Q21" s="3195"/>
      <c r="R21" s="3265"/>
      <c r="S21" s="3266"/>
      <c r="Z21" s="1154">
        <v>21</v>
      </c>
    </row>
    <row r="22" spans="4:26" s="95" customFormat="1" ht="11.25" customHeight="1">
      <c r="D22" s="165"/>
      <c r="E22" s="153" t="s">
        <v>190</v>
      </c>
      <c r="F22" s="154"/>
      <c r="H22" s="3202"/>
      <c r="I22" s="3267"/>
      <c r="J22" s="3267"/>
      <c r="K22" s="3268"/>
      <c r="L22" s="3267"/>
      <c r="M22" s="3267"/>
      <c r="N22" s="3269"/>
      <c r="O22" s="164" t="s">
        <v>191</v>
      </c>
      <c r="P22" s="166"/>
      <c r="Q22" s="3270"/>
      <c r="R22" s="3271"/>
      <c r="S22" s="3272"/>
      <c r="Z22" s="1154">
        <v>22</v>
      </c>
    </row>
    <row r="23" spans="4:26" s="95" customFormat="1" ht="11.25" customHeight="1">
      <c r="D23" s="165"/>
      <c r="E23" s="153" t="s">
        <v>48</v>
      </c>
      <c r="H23" s="3202"/>
      <c r="I23" s="3268"/>
      <c r="J23" s="3273"/>
      <c r="K23" s="167" t="s">
        <v>205</v>
      </c>
      <c r="L23" s="3202"/>
      <c r="M23" s="3267"/>
      <c r="N23" s="3273"/>
      <c r="O23" s="164" t="s">
        <v>40</v>
      </c>
      <c r="P23" s="166"/>
      <c r="Q23" s="3185"/>
      <c r="R23" s="3186"/>
      <c r="S23" s="3187"/>
      <c r="Z23" s="1154">
        <v>23</v>
      </c>
    </row>
    <row r="24" spans="4:26" s="95" customFormat="1" ht="11.25" customHeight="1">
      <c r="E24" s="153" t="s">
        <v>193</v>
      </c>
      <c r="H24" s="720"/>
      <c r="I24" s="166"/>
      <c r="J24" s="166"/>
      <c r="K24" s="495" t="s">
        <v>194</v>
      </c>
      <c r="L24" s="3274"/>
      <c r="M24" s="3275"/>
      <c r="N24" s="166"/>
      <c r="O24" s="164" t="s">
        <v>42</v>
      </c>
      <c r="P24" s="166"/>
      <c r="Q24" s="3185"/>
      <c r="R24" s="3186"/>
      <c r="S24" s="3187"/>
      <c r="Z24" s="1154">
        <v>24</v>
      </c>
    </row>
    <row r="25" spans="4:26" s="95" customFormat="1" ht="11.25" customHeight="1">
      <c r="D25" s="165"/>
      <c r="E25" s="153" t="s">
        <v>196</v>
      </c>
      <c r="H25" s="3261"/>
      <c r="I25" s="3262"/>
      <c r="J25" s="2644"/>
      <c r="K25" s="167" t="s">
        <v>41</v>
      </c>
      <c r="L25" s="3188"/>
      <c r="M25" s="3189"/>
      <c r="N25" s="3190"/>
      <c r="O25" s="3190"/>
      <c r="P25" s="3190"/>
      <c r="Q25" s="3189"/>
      <c r="R25" s="3189"/>
      <c r="S25" s="3264"/>
      <c r="Z25" s="1154">
        <v>25</v>
      </c>
    </row>
    <row r="26" spans="4:26" s="95" customFormat="1" ht="4.3499999999999996" customHeight="1">
      <c r="D26" s="165"/>
      <c r="G26" s="153"/>
      <c r="H26" s="2645"/>
      <c r="I26" s="2645"/>
      <c r="J26" s="2645"/>
      <c r="K26" s="167"/>
      <c r="L26" s="2645"/>
      <c r="M26" s="2645"/>
      <c r="N26" s="173"/>
      <c r="O26" s="174"/>
      <c r="P26" s="174"/>
      <c r="Q26" s="167"/>
      <c r="R26" s="174"/>
      <c r="S26" s="174"/>
      <c r="Z26" s="1154">
        <v>26</v>
      </c>
    </row>
    <row r="27" spans="4:26" s="95" customFormat="1" ht="11.25" customHeight="1">
      <c r="D27" s="151" t="s">
        <v>208</v>
      </c>
      <c r="E27" s="95" t="s">
        <v>207</v>
      </c>
      <c r="H27" s="3195"/>
      <c r="I27" s="3265"/>
      <c r="J27" s="3265"/>
      <c r="K27" s="3265"/>
      <c r="L27" s="3265"/>
      <c r="M27" s="3265"/>
      <c r="N27" s="3266"/>
      <c r="O27" s="164" t="s">
        <v>189</v>
      </c>
      <c r="P27" s="164"/>
      <c r="Q27" s="3195"/>
      <c r="R27" s="3265"/>
      <c r="S27" s="3266"/>
      <c r="Z27" s="1154">
        <v>27</v>
      </c>
    </row>
    <row r="28" spans="4:26" s="95" customFormat="1" ht="11.25" customHeight="1">
      <c r="D28" s="165"/>
      <c r="E28" s="153" t="s">
        <v>190</v>
      </c>
      <c r="F28" s="154"/>
      <c r="H28" s="3202"/>
      <c r="I28" s="3267"/>
      <c r="J28" s="3267"/>
      <c r="K28" s="3268"/>
      <c r="L28" s="3267"/>
      <c r="M28" s="3267"/>
      <c r="N28" s="3269"/>
      <c r="O28" s="164" t="s">
        <v>191</v>
      </c>
      <c r="P28" s="166"/>
      <c r="Q28" s="3270"/>
      <c r="R28" s="3271"/>
      <c r="S28" s="3272"/>
      <c r="Z28" s="1154">
        <v>28</v>
      </c>
    </row>
    <row r="29" spans="4:26" s="95" customFormat="1" ht="11.25" customHeight="1">
      <c r="D29" s="165"/>
      <c r="E29" s="153" t="s">
        <v>48</v>
      </c>
      <c r="H29" s="3202"/>
      <c r="I29" s="3268"/>
      <c r="J29" s="3273"/>
      <c r="K29" s="167" t="s">
        <v>205</v>
      </c>
      <c r="L29" s="3202"/>
      <c r="M29" s="3267"/>
      <c r="N29" s="3273"/>
      <c r="O29" s="164" t="s">
        <v>40</v>
      </c>
      <c r="P29" s="166"/>
      <c r="Q29" s="3185"/>
      <c r="R29" s="3186"/>
      <c r="S29" s="3187"/>
      <c r="Z29" s="1154">
        <v>29</v>
      </c>
    </row>
    <row r="30" spans="4:26" s="95" customFormat="1" ht="11.25" customHeight="1">
      <c r="E30" s="153" t="s">
        <v>193</v>
      </c>
      <c r="H30" s="720"/>
      <c r="I30" s="166"/>
      <c r="J30" s="166"/>
      <c r="K30" s="495" t="s">
        <v>194</v>
      </c>
      <c r="L30" s="3274"/>
      <c r="M30" s="3275"/>
      <c r="N30" s="166"/>
      <c r="O30" s="164" t="s">
        <v>42</v>
      </c>
      <c r="P30" s="166"/>
      <c r="Q30" s="3185"/>
      <c r="R30" s="3186"/>
      <c r="S30" s="3187"/>
      <c r="Z30" s="1154">
        <v>30</v>
      </c>
    </row>
    <row r="31" spans="4:26" s="95" customFormat="1" ht="11.25" customHeight="1">
      <c r="D31" s="165"/>
      <c r="E31" s="153" t="s">
        <v>196</v>
      </c>
      <c r="H31" s="3261"/>
      <c r="I31" s="3262"/>
      <c r="J31" s="2644"/>
      <c r="K31" s="167" t="s">
        <v>41</v>
      </c>
      <c r="L31" s="3188"/>
      <c r="M31" s="3189"/>
      <c r="N31" s="3190"/>
      <c r="O31" s="3190"/>
      <c r="P31" s="3190"/>
      <c r="Q31" s="3189"/>
      <c r="R31" s="3189"/>
      <c r="S31" s="3264"/>
      <c r="Z31" s="1154">
        <v>31</v>
      </c>
    </row>
    <row r="32" spans="4:26" ht="4.3499999999999996" customHeight="1">
      <c r="H32" s="2509"/>
      <c r="I32" s="2509"/>
      <c r="J32" s="2509"/>
      <c r="K32" s="2509"/>
      <c r="L32" s="2509"/>
      <c r="M32" s="2509"/>
      <c r="N32" s="2509"/>
      <c r="O32" s="2509"/>
      <c r="P32" s="2509"/>
      <c r="Q32" s="2509"/>
      <c r="R32" s="2509"/>
      <c r="S32" s="2509"/>
      <c r="Z32" s="1154">
        <v>32</v>
      </c>
    </row>
    <row r="33" spans="3:26" s="95" customFormat="1" ht="11.25" customHeight="1">
      <c r="C33" s="171" t="s">
        <v>209</v>
      </c>
      <c r="D33" s="159" t="s">
        <v>210</v>
      </c>
      <c r="H33" s="166"/>
      <c r="I33" s="166"/>
      <c r="J33" s="166"/>
      <c r="K33" s="879" t="s">
        <v>185</v>
      </c>
      <c r="L33" s="166"/>
      <c r="M33" s="166"/>
      <c r="N33" s="166"/>
      <c r="O33" s="166"/>
      <c r="P33" s="166"/>
      <c r="Q33" s="166"/>
      <c r="R33" s="166"/>
      <c r="S33" s="166"/>
      <c r="Z33" s="1154">
        <v>33</v>
      </c>
    </row>
    <row r="34" spans="3:26" s="95" customFormat="1" ht="11.25" customHeight="1">
      <c r="D34" s="151" t="s">
        <v>203</v>
      </c>
      <c r="E34" s="95" t="s">
        <v>211</v>
      </c>
      <c r="H34" s="3195"/>
      <c r="I34" s="3265"/>
      <c r="J34" s="3265"/>
      <c r="K34" s="3265"/>
      <c r="L34" s="3265"/>
      <c r="M34" s="3265"/>
      <c r="N34" s="3266"/>
      <c r="O34" s="164" t="s">
        <v>189</v>
      </c>
      <c r="P34" s="164"/>
      <c r="Q34" s="3195"/>
      <c r="R34" s="3265"/>
      <c r="S34" s="3266"/>
      <c r="Z34" s="1154">
        <v>34</v>
      </c>
    </row>
    <row r="35" spans="3:26" s="95" customFormat="1" ht="11.25" customHeight="1">
      <c r="D35" s="165"/>
      <c r="E35" s="153" t="s">
        <v>190</v>
      </c>
      <c r="F35" s="154"/>
      <c r="H35" s="3202"/>
      <c r="I35" s="3267"/>
      <c r="J35" s="3267"/>
      <c r="K35" s="3268"/>
      <c r="L35" s="3267"/>
      <c r="M35" s="3267"/>
      <c r="N35" s="3269"/>
      <c r="O35" s="164" t="s">
        <v>191</v>
      </c>
      <c r="P35" s="166"/>
      <c r="Q35" s="3270"/>
      <c r="R35" s="3271"/>
      <c r="S35" s="3272"/>
      <c r="Z35" s="1154">
        <v>35</v>
      </c>
    </row>
    <row r="36" spans="3:26" s="95" customFormat="1" ht="11.25" customHeight="1">
      <c r="D36" s="165"/>
      <c r="E36" s="153" t="s">
        <v>48</v>
      </c>
      <c r="H36" s="3202"/>
      <c r="I36" s="3268"/>
      <c r="J36" s="3273"/>
      <c r="K36" s="167" t="s">
        <v>205</v>
      </c>
      <c r="L36" s="3202"/>
      <c r="M36" s="3267"/>
      <c r="N36" s="3273"/>
      <c r="O36" s="164" t="s">
        <v>40</v>
      </c>
      <c r="P36" s="166"/>
      <c r="Q36" s="3185"/>
      <c r="R36" s="3186"/>
      <c r="S36" s="3187"/>
      <c r="Z36" s="1154">
        <v>36</v>
      </c>
    </row>
    <row r="37" spans="3:26" s="95" customFormat="1" ht="11.25" customHeight="1">
      <c r="E37" s="153" t="s">
        <v>193</v>
      </c>
      <c r="H37" s="720"/>
      <c r="I37" s="166"/>
      <c r="J37" s="166"/>
      <c r="K37" s="495" t="s">
        <v>194</v>
      </c>
      <c r="L37" s="3274"/>
      <c r="M37" s="3275"/>
      <c r="N37" s="166"/>
      <c r="O37" s="164" t="s">
        <v>42</v>
      </c>
      <c r="P37" s="166"/>
      <c r="Q37" s="3185"/>
      <c r="R37" s="3186"/>
      <c r="S37" s="3187"/>
      <c r="Z37" s="1154">
        <v>37</v>
      </c>
    </row>
    <row r="38" spans="3:26" s="95" customFormat="1" ht="11.25" customHeight="1">
      <c r="D38" s="165"/>
      <c r="E38" s="153" t="s">
        <v>196</v>
      </c>
      <c r="H38" s="3261"/>
      <c r="I38" s="3262"/>
      <c r="J38" s="2644"/>
      <c r="K38" s="167" t="s">
        <v>41</v>
      </c>
      <c r="L38" s="3188"/>
      <c r="M38" s="3189"/>
      <c r="N38" s="3190"/>
      <c r="O38" s="3190"/>
      <c r="P38" s="3190"/>
      <c r="Q38" s="3189"/>
      <c r="R38" s="3189"/>
      <c r="S38" s="3264"/>
      <c r="Z38" s="1154">
        <v>38</v>
      </c>
    </row>
    <row r="39" spans="3:26" ht="4.3499999999999996" customHeight="1">
      <c r="H39" s="2645"/>
      <c r="I39" s="2645"/>
      <c r="J39" s="2645"/>
      <c r="K39" s="167"/>
      <c r="L39" s="2645"/>
      <c r="M39" s="2645"/>
      <c r="N39" s="173"/>
      <c r="O39" s="174"/>
      <c r="P39" s="174"/>
      <c r="Q39" s="167"/>
      <c r="R39" s="174"/>
      <c r="S39" s="174"/>
      <c r="Z39" s="1154">
        <v>39</v>
      </c>
    </row>
    <row r="40" spans="3:26" s="95" customFormat="1" ht="11.25" customHeight="1">
      <c r="D40" s="151" t="s">
        <v>206</v>
      </c>
      <c r="E40" s="95" t="s">
        <v>212</v>
      </c>
      <c r="F40" s="151"/>
      <c r="H40" s="3195"/>
      <c r="I40" s="3265"/>
      <c r="J40" s="3265"/>
      <c r="K40" s="3265"/>
      <c r="L40" s="3265"/>
      <c r="M40" s="3265"/>
      <c r="N40" s="3266"/>
      <c r="O40" s="164" t="s">
        <v>189</v>
      </c>
      <c r="P40" s="164"/>
      <c r="Q40" s="3195"/>
      <c r="R40" s="3265"/>
      <c r="S40" s="3266"/>
      <c r="Z40" s="1154">
        <v>40</v>
      </c>
    </row>
    <row r="41" spans="3:26" s="95" customFormat="1" ht="11.25" customHeight="1">
      <c r="D41" s="165"/>
      <c r="E41" s="153" t="s">
        <v>190</v>
      </c>
      <c r="F41" s="154"/>
      <c r="H41" s="3202"/>
      <c r="I41" s="3267"/>
      <c r="J41" s="3267"/>
      <c r="K41" s="3268"/>
      <c r="L41" s="3267"/>
      <c r="M41" s="3267"/>
      <c r="N41" s="3269"/>
      <c r="O41" s="164" t="s">
        <v>191</v>
      </c>
      <c r="P41" s="166"/>
      <c r="Q41" s="3270"/>
      <c r="R41" s="3271"/>
      <c r="S41" s="3272"/>
      <c r="Z41" s="1154">
        <v>41</v>
      </c>
    </row>
    <row r="42" spans="3:26" s="95" customFormat="1" ht="11.25" customHeight="1">
      <c r="D42" s="165"/>
      <c r="E42" s="153" t="s">
        <v>48</v>
      </c>
      <c r="H42" s="3202"/>
      <c r="I42" s="3268"/>
      <c r="J42" s="3273"/>
      <c r="K42" s="167" t="s">
        <v>205</v>
      </c>
      <c r="L42" s="3202"/>
      <c r="M42" s="3267"/>
      <c r="N42" s="3273"/>
      <c r="O42" s="164" t="s">
        <v>40</v>
      </c>
      <c r="P42" s="166"/>
      <c r="Q42" s="3185"/>
      <c r="R42" s="3186"/>
      <c r="S42" s="3187"/>
      <c r="Z42" s="1154">
        <v>42</v>
      </c>
    </row>
    <row r="43" spans="3:26" s="95" customFormat="1" ht="11.25" customHeight="1">
      <c r="D43" s="151"/>
      <c r="E43" s="153" t="s">
        <v>193</v>
      </c>
      <c r="H43" s="720"/>
      <c r="I43" s="166"/>
      <c r="J43" s="166"/>
      <c r="K43" s="495" t="s">
        <v>194</v>
      </c>
      <c r="L43" s="3274"/>
      <c r="M43" s="3275"/>
      <c r="N43" s="166"/>
      <c r="O43" s="164" t="s">
        <v>42</v>
      </c>
      <c r="P43" s="166"/>
      <c r="Q43" s="3185"/>
      <c r="R43" s="3186"/>
      <c r="S43" s="3187"/>
      <c r="Z43" s="1154">
        <v>43</v>
      </c>
    </row>
    <row r="44" spans="3:26" s="95" customFormat="1" ht="11.25" customHeight="1">
      <c r="D44" s="165"/>
      <c r="E44" s="153" t="s">
        <v>196</v>
      </c>
      <c r="H44" s="3261"/>
      <c r="I44" s="3262"/>
      <c r="J44" s="2644"/>
      <c r="K44" s="167" t="s">
        <v>41</v>
      </c>
      <c r="L44" s="3188"/>
      <c r="M44" s="3189"/>
      <c r="N44" s="3190"/>
      <c r="O44" s="3190"/>
      <c r="P44" s="3190"/>
      <c r="Q44" s="3189"/>
      <c r="R44" s="3189"/>
      <c r="S44" s="3264"/>
      <c r="Z44" s="1154">
        <v>44</v>
      </c>
    </row>
    <row r="45" spans="3:26" s="95" customFormat="1" ht="4.3499999999999996" customHeight="1">
      <c r="D45" s="165"/>
      <c r="E45" s="153"/>
      <c r="F45" s="151"/>
      <c r="H45" s="168"/>
      <c r="I45" s="168"/>
      <c r="J45" s="176"/>
      <c r="K45" s="167"/>
      <c r="L45" s="168"/>
      <c r="M45" s="168"/>
      <c r="N45" s="167"/>
      <c r="O45" s="168"/>
      <c r="P45" s="168"/>
      <c r="Q45" s="167"/>
      <c r="R45" s="168"/>
      <c r="S45" s="168"/>
      <c r="Z45" s="1154">
        <v>45</v>
      </c>
    </row>
    <row r="46" spans="3:26" s="95" customFormat="1" ht="11.25" customHeight="1">
      <c r="C46" s="175" t="s">
        <v>213</v>
      </c>
      <c r="D46" s="159" t="s">
        <v>214</v>
      </c>
      <c r="H46" s="166"/>
      <c r="I46" s="166"/>
      <c r="J46" s="166"/>
      <c r="K46" s="879" t="s">
        <v>185</v>
      </c>
      <c r="L46" s="166"/>
      <c r="M46" s="166"/>
      <c r="N46" s="166"/>
      <c r="O46" s="166"/>
      <c r="P46" s="166"/>
      <c r="Q46" s="166"/>
      <c r="R46" s="166"/>
      <c r="S46" s="166"/>
      <c r="Z46" s="1154">
        <v>46</v>
      </c>
    </row>
    <row r="47" spans="3:26" s="95" customFormat="1" ht="11.25" customHeight="1">
      <c r="E47" s="95" t="s">
        <v>215</v>
      </c>
      <c r="H47" s="3195"/>
      <c r="I47" s="3265"/>
      <c r="J47" s="3265"/>
      <c r="K47" s="3265"/>
      <c r="L47" s="3265"/>
      <c r="M47" s="3265"/>
      <c r="N47" s="3266"/>
      <c r="O47" s="164" t="s">
        <v>189</v>
      </c>
      <c r="P47" s="164"/>
      <c r="Q47" s="3195"/>
      <c r="R47" s="3265"/>
      <c r="S47" s="3266"/>
      <c r="Z47" s="1154">
        <v>47</v>
      </c>
    </row>
    <row r="48" spans="3:26" s="95" customFormat="1" ht="11.25" customHeight="1">
      <c r="D48" s="165"/>
      <c r="E48" s="153" t="s">
        <v>190</v>
      </c>
      <c r="F48" s="154"/>
      <c r="H48" s="3202"/>
      <c r="I48" s="3267"/>
      <c r="J48" s="3267"/>
      <c r="K48" s="3268"/>
      <c r="L48" s="3267"/>
      <c r="M48" s="3267"/>
      <c r="N48" s="3269"/>
      <c r="O48" s="164" t="s">
        <v>191</v>
      </c>
      <c r="P48" s="166"/>
      <c r="Q48" s="3270"/>
      <c r="R48" s="3271"/>
      <c r="S48" s="3272"/>
      <c r="Z48" s="1154">
        <v>48</v>
      </c>
    </row>
    <row r="49" spans="1:26" s="95" customFormat="1" ht="11.25" customHeight="1">
      <c r="D49" s="165"/>
      <c r="E49" s="153" t="s">
        <v>48</v>
      </c>
      <c r="H49" s="3202"/>
      <c r="I49" s="3268"/>
      <c r="J49" s="3273"/>
      <c r="K49" s="167" t="s">
        <v>205</v>
      </c>
      <c r="L49" s="3202"/>
      <c r="M49" s="3267"/>
      <c r="N49" s="3273"/>
      <c r="O49" s="164" t="s">
        <v>40</v>
      </c>
      <c r="P49" s="166"/>
      <c r="Q49" s="3185"/>
      <c r="R49" s="3186"/>
      <c r="S49" s="3187"/>
      <c r="Z49" s="1154">
        <v>49</v>
      </c>
    </row>
    <row r="50" spans="1:26" s="95" customFormat="1" ht="11.25" customHeight="1">
      <c r="E50" s="153" t="s">
        <v>193</v>
      </c>
      <c r="H50" s="720"/>
      <c r="I50" s="166"/>
      <c r="J50" s="166"/>
      <c r="K50" s="495" t="s">
        <v>194</v>
      </c>
      <c r="L50" s="3274"/>
      <c r="M50" s="3275"/>
      <c r="N50" s="166"/>
      <c r="O50" s="164" t="s">
        <v>42</v>
      </c>
      <c r="P50" s="166"/>
      <c r="Q50" s="3185"/>
      <c r="R50" s="3186"/>
      <c r="S50" s="3187"/>
      <c r="Z50" s="1154">
        <v>50</v>
      </c>
    </row>
    <row r="51" spans="1:26" s="95" customFormat="1" ht="11.25" customHeight="1">
      <c r="D51" s="165"/>
      <c r="E51" s="153" t="s">
        <v>196</v>
      </c>
      <c r="H51" s="3261"/>
      <c r="I51" s="3262"/>
      <c r="J51" s="2644"/>
      <c r="K51" s="167" t="s">
        <v>41</v>
      </c>
      <c r="L51" s="3188"/>
      <c r="M51" s="3189"/>
      <c r="N51" s="3190"/>
      <c r="O51" s="3190"/>
      <c r="P51" s="3190"/>
      <c r="Q51" s="3189"/>
      <c r="R51" s="3189"/>
      <c r="S51" s="3264"/>
      <c r="Z51" s="1154">
        <v>51</v>
      </c>
    </row>
    <row r="52" spans="1:26" ht="6.75" customHeight="1">
      <c r="H52" s="2509"/>
      <c r="I52" s="2509"/>
      <c r="J52" s="2509"/>
      <c r="K52" s="2509"/>
      <c r="L52" s="2509"/>
      <c r="M52" s="2509"/>
      <c r="N52" s="2509"/>
      <c r="O52" s="2509"/>
      <c r="P52" s="2509"/>
      <c r="Q52" s="2509"/>
      <c r="R52" s="2509"/>
      <c r="S52" s="2509"/>
      <c r="Z52" s="1154">
        <v>52</v>
      </c>
    </row>
    <row r="53" spans="1:26" s="95" customFormat="1" ht="13.35" customHeight="1">
      <c r="A53" s="151" t="s">
        <v>25</v>
      </c>
      <c r="B53" s="151" t="s">
        <v>216</v>
      </c>
      <c r="F53" s="151"/>
      <c r="G53" s="2517"/>
      <c r="H53" s="167"/>
      <c r="I53" s="167"/>
      <c r="J53" s="166"/>
      <c r="K53" s="879" t="s">
        <v>185</v>
      </c>
      <c r="L53" s="166"/>
      <c r="M53" s="166"/>
      <c r="N53" s="166"/>
      <c r="O53" s="166"/>
      <c r="P53" s="166"/>
      <c r="Q53" s="166"/>
      <c r="R53" s="166"/>
      <c r="S53" s="166"/>
      <c r="Z53" s="1154">
        <v>53</v>
      </c>
    </row>
    <row r="54" spans="1:26" s="95" customFormat="1" ht="3" customHeight="1">
      <c r="A54" s="151"/>
      <c r="B54" s="151"/>
      <c r="F54" s="151"/>
      <c r="G54" s="2517"/>
      <c r="H54" s="172"/>
      <c r="I54" s="172"/>
      <c r="J54" s="172"/>
      <c r="K54" s="173"/>
      <c r="L54" s="172"/>
      <c r="M54" s="172"/>
      <c r="N54" s="173"/>
      <c r="O54" s="174"/>
      <c r="P54" s="174"/>
      <c r="Q54" s="167"/>
      <c r="R54" s="174"/>
      <c r="S54" s="174"/>
      <c r="Z54" s="1154">
        <v>54</v>
      </c>
    </row>
    <row r="55" spans="1:26" s="95" customFormat="1" ht="11.25" customHeight="1">
      <c r="B55" s="151" t="s">
        <v>186</v>
      </c>
      <c r="C55" s="151" t="s">
        <v>217</v>
      </c>
      <c r="H55" s="3195"/>
      <c r="I55" s="3265"/>
      <c r="J55" s="3265"/>
      <c r="K55" s="3265"/>
      <c r="L55" s="3265"/>
      <c r="M55" s="3265"/>
      <c r="N55" s="3266"/>
      <c r="O55" s="164" t="s">
        <v>189</v>
      </c>
      <c r="P55" s="164"/>
      <c r="Q55" s="3195"/>
      <c r="R55" s="3265"/>
      <c r="S55" s="3266"/>
      <c r="Z55" s="1154">
        <v>55</v>
      </c>
    </row>
    <row r="56" spans="1:26" s="95" customFormat="1" ht="11.25" customHeight="1">
      <c r="D56" s="165"/>
      <c r="E56" s="153" t="s">
        <v>190</v>
      </c>
      <c r="F56" s="154"/>
      <c r="H56" s="3202"/>
      <c r="I56" s="3267"/>
      <c r="J56" s="3267"/>
      <c r="K56" s="3268"/>
      <c r="L56" s="3267"/>
      <c r="M56" s="3267"/>
      <c r="N56" s="3269"/>
      <c r="O56" s="164" t="s">
        <v>191</v>
      </c>
      <c r="P56" s="166"/>
      <c r="Q56" s="3270"/>
      <c r="R56" s="3271"/>
      <c r="S56" s="3272"/>
      <c r="Z56" s="1154">
        <v>56</v>
      </c>
    </row>
    <row r="57" spans="1:26" s="95" customFormat="1" ht="11.25" customHeight="1">
      <c r="D57" s="165"/>
      <c r="E57" s="153" t="s">
        <v>48</v>
      </c>
      <c r="H57" s="3202"/>
      <c r="I57" s="3268"/>
      <c r="J57" s="3273"/>
      <c r="K57" s="167" t="s">
        <v>205</v>
      </c>
      <c r="L57" s="3202"/>
      <c r="M57" s="3267"/>
      <c r="N57" s="3273"/>
      <c r="O57" s="164" t="s">
        <v>40</v>
      </c>
      <c r="P57" s="166"/>
      <c r="Q57" s="3185"/>
      <c r="R57" s="3186"/>
      <c r="S57" s="3187"/>
      <c r="Z57" s="1154">
        <v>57</v>
      </c>
    </row>
    <row r="58" spans="1:26" s="95" customFormat="1" ht="11.25" customHeight="1">
      <c r="E58" s="153" t="s">
        <v>193</v>
      </c>
      <c r="H58" s="720"/>
      <c r="I58" s="166"/>
      <c r="J58" s="166"/>
      <c r="K58" s="495" t="s">
        <v>194</v>
      </c>
      <c r="L58" s="3274"/>
      <c r="M58" s="3275"/>
      <c r="N58" s="166"/>
      <c r="O58" s="164" t="s">
        <v>42</v>
      </c>
      <c r="P58" s="166"/>
      <c r="Q58" s="3185"/>
      <c r="R58" s="3186"/>
      <c r="S58" s="3187"/>
      <c r="Z58" s="1154">
        <v>58</v>
      </c>
    </row>
    <row r="59" spans="1:26" s="95" customFormat="1" ht="11.25" customHeight="1">
      <c r="D59" s="165"/>
      <c r="E59" s="153" t="s">
        <v>196</v>
      </c>
      <c r="H59" s="3261"/>
      <c r="I59" s="3262"/>
      <c r="J59" s="2644"/>
      <c r="K59" s="167" t="s">
        <v>41</v>
      </c>
      <c r="L59" s="3188"/>
      <c r="M59" s="3189"/>
      <c r="N59" s="3190"/>
      <c r="O59" s="3190"/>
      <c r="P59" s="3190"/>
      <c r="Q59" s="3189"/>
      <c r="R59" s="3189"/>
      <c r="S59" s="3264"/>
      <c r="Z59" s="1154">
        <v>59</v>
      </c>
    </row>
    <row r="60" spans="1:26" s="95" customFormat="1" ht="6.6" customHeight="1">
      <c r="D60" s="165"/>
      <c r="G60" s="153"/>
      <c r="H60" s="2645"/>
      <c r="I60" s="2645"/>
      <c r="J60" s="2645"/>
      <c r="K60" s="167"/>
      <c r="L60" s="2645"/>
      <c r="M60" s="2645"/>
      <c r="N60" s="173"/>
      <c r="O60" s="174"/>
      <c r="P60" s="174"/>
      <c r="Q60" s="167"/>
      <c r="R60" s="174"/>
      <c r="S60" s="174"/>
      <c r="Z60" s="1154">
        <v>60</v>
      </c>
    </row>
    <row r="61" spans="1:26" s="95" customFormat="1" ht="11.25" customHeight="1">
      <c r="B61" s="151" t="s">
        <v>198</v>
      </c>
      <c r="C61" s="151" t="s">
        <v>218</v>
      </c>
      <c r="H61" s="3195"/>
      <c r="I61" s="3265"/>
      <c r="J61" s="3265"/>
      <c r="K61" s="3265"/>
      <c r="L61" s="3265"/>
      <c r="M61" s="3265"/>
      <c r="N61" s="3266"/>
      <c r="O61" s="164" t="s">
        <v>189</v>
      </c>
      <c r="P61" s="164"/>
      <c r="Q61" s="3195"/>
      <c r="R61" s="3265"/>
      <c r="S61" s="3266"/>
      <c r="Z61" s="1154">
        <v>61</v>
      </c>
    </row>
    <row r="62" spans="1:26" s="95" customFormat="1" ht="11.25" customHeight="1">
      <c r="D62" s="165"/>
      <c r="E62" s="153" t="s">
        <v>190</v>
      </c>
      <c r="F62" s="154"/>
      <c r="H62" s="3202"/>
      <c r="I62" s="3267"/>
      <c r="J62" s="3267"/>
      <c r="K62" s="3268"/>
      <c r="L62" s="3267"/>
      <c r="M62" s="3267"/>
      <c r="N62" s="3269"/>
      <c r="O62" s="164" t="s">
        <v>191</v>
      </c>
      <c r="P62" s="166"/>
      <c r="Q62" s="3270"/>
      <c r="R62" s="3271"/>
      <c r="S62" s="3272"/>
      <c r="Z62" s="1154">
        <v>62</v>
      </c>
    </row>
    <row r="63" spans="1:26" s="95" customFormat="1" ht="11.25" customHeight="1">
      <c r="D63" s="165"/>
      <c r="E63" s="153" t="s">
        <v>48</v>
      </c>
      <c r="H63" s="3202"/>
      <c r="I63" s="3268"/>
      <c r="J63" s="3273"/>
      <c r="K63" s="167" t="s">
        <v>205</v>
      </c>
      <c r="L63" s="3202"/>
      <c r="M63" s="3267"/>
      <c r="N63" s="3273"/>
      <c r="O63" s="164" t="s">
        <v>40</v>
      </c>
      <c r="P63" s="166"/>
      <c r="Q63" s="3185"/>
      <c r="R63" s="3186"/>
      <c r="S63" s="3187"/>
      <c r="Z63" s="1154">
        <v>63</v>
      </c>
    </row>
    <row r="64" spans="1:26" s="95" customFormat="1" ht="11.25" customHeight="1">
      <c r="E64" s="153" t="s">
        <v>193</v>
      </c>
      <c r="H64" s="720"/>
      <c r="I64" s="166"/>
      <c r="J64" s="166"/>
      <c r="K64" s="495" t="s">
        <v>194</v>
      </c>
      <c r="L64" s="3274"/>
      <c r="M64" s="3275"/>
      <c r="N64" s="166"/>
      <c r="O64" s="164" t="s">
        <v>42</v>
      </c>
      <c r="P64" s="166"/>
      <c r="Q64" s="3185"/>
      <c r="R64" s="3186"/>
      <c r="S64" s="3187"/>
      <c r="Z64" s="1154">
        <v>64</v>
      </c>
    </row>
    <row r="65" spans="1:26" s="95" customFormat="1" ht="11.25" customHeight="1">
      <c r="D65" s="165"/>
      <c r="E65" s="153" t="s">
        <v>196</v>
      </c>
      <c r="H65" s="3261"/>
      <c r="I65" s="3262"/>
      <c r="J65" s="2644"/>
      <c r="K65" s="167" t="s">
        <v>41</v>
      </c>
      <c r="L65" s="3188"/>
      <c r="M65" s="3189"/>
      <c r="N65" s="3190"/>
      <c r="O65" s="3190"/>
      <c r="P65" s="3190"/>
      <c r="Q65" s="3189"/>
      <c r="R65" s="3189"/>
      <c r="S65" s="3264"/>
      <c r="Z65" s="1154">
        <v>65</v>
      </c>
    </row>
    <row r="66" spans="1:26" s="95" customFormat="1" ht="6.6" customHeight="1">
      <c r="D66" s="165"/>
      <c r="G66" s="153"/>
      <c r="H66" s="2645"/>
      <c r="I66" s="2645"/>
      <c r="J66" s="2645"/>
      <c r="K66" s="167"/>
      <c r="L66" s="2645"/>
      <c r="M66" s="2645"/>
      <c r="N66" s="173"/>
      <c r="O66" s="174"/>
      <c r="P66" s="174"/>
      <c r="Q66" s="167"/>
      <c r="R66" s="174"/>
      <c r="S66" s="174"/>
      <c r="Z66" s="1154">
        <v>66</v>
      </c>
    </row>
    <row r="67" spans="1:26" s="95" customFormat="1" ht="11.25" customHeight="1">
      <c r="B67" s="151" t="s">
        <v>219</v>
      </c>
      <c r="C67" s="151" t="s">
        <v>220</v>
      </c>
      <c r="H67" s="3195"/>
      <c r="I67" s="3265"/>
      <c r="J67" s="3265"/>
      <c r="K67" s="3265"/>
      <c r="L67" s="3265"/>
      <c r="M67" s="3265"/>
      <c r="N67" s="3266"/>
      <c r="O67" s="164" t="s">
        <v>189</v>
      </c>
      <c r="P67" s="164"/>
      <c r="Q67" s="3195"/>
      <c r="R67" s="3265"/>
      <c r="S67" s="3266"/>
      <c r="Z67" s="1154">
        <v>67</v>
      </c>
    </row>
    <row r="68" spans="1:26" s="95" customFormat="1" ht="11.25" customHeight="1">
      <c r="D68" s="165"/>
      <c r="E68" s="153" t="s">
        <v>190</v>
      </c>
      <c r="F68" s="154"/>
      <c r="H68" s="3202"/>
      <c r="I68" s="3267"/>
      <c r="J68" s="3267"/>
      <c r="K68" s="3268"/>
      <c r="L68" s="3267"/>
      <c r="M68" s="3267"/>
      <c r="N68" s="3269"/>
      <c r="O68" s="164" t="s">
        <v>191</v>
      </c>
      <c r="P68" s="166"/>
      <c r="Q68" s="3270"/>
      <c r="R68" s="3271"/>
      <c r="S68" s="3272"/>
      <c r="Z68" s="1154">
        <v>68</v>
      </c>
    </row>
    <row r="69" spans="1:26" s="95" customFormat="1" ht="11.25" customHeight="1">
      <c r="D69" s="165"/>
      <c r="E69" s="153" t="s">
        <v>48</v>
      </c>
      <c r="H69" s="3202"/>
      <c r="I69" s="3268"/>
      <c r="J69" s="3273"/>
      <c r="K69" s="167" t="s">
        <v>205</v>
      </c>
      <c r="L69" s="3202"/>
      <c r="M69" s="3267"/>
      <c r="N69" s="3273"/>
      <c r="O69" s="164" t="s">
        <v>40</v>
      </c>
      <c r="P69" s="166"/>
      <c r="Q69" s="3185"/>
      <c r="R69" s="3186"/>
      <c r="S69" s="3187"/>
      <c r="Z69" s="1154">
        <v>69</v>
      </c>
    </row>
    <row r="70" spans="1:26" s="95" customFormat="1" ht="11.25" customHeight="1">
      <c r="E70" s="153" t="s">
        <v>193</v>
      </c>
      <c r="H70" s="720"/>
      <c r="I70" s="166"/>
      <c r="J70" s="166"/>
      <c r="K70" s="495" t="s">
        <v>194</v>
      </c>
      <c r="L70" s="3274"/>
      <c r="M70" s="3275"/>
      <c r="N70" s="166"/>
      <c r="O70" s="164" t="s">
        <v>42</v>
      </c>
      <c r="P70" s="166"/>
      <c r="Q70" s="3185"/>
      <c r="R70" s="3186"/>
      <c r="S70" s="3187"/>
      <c r="Z70" s="1154">
        <v>70</v>
      </c>
    </row>
    <row r="71" spans="1:26" s="95" customFormat="1" ht="11.25" customHeight="1">
      <c r="D71" s="165"/>
      <c r="E71" s="153" t="s">
        <v>196</v>
      </c>
      <c r="H71" s="3261"/>
      <c r="I71" s="3262"/>
      <c r="J71" s="2644"/>
      <c r="K71" s="167" t="s">
        <v>41</v>
      </c>
      <c r="L71" s="3188"/>
      <c r="M71" s="3189"/>
      <c r="N71" s="3190"/>
      <c r="O71" s="3190"/>
      <c r="P71" s="3190"/>
      <c r="Q71" s="3189"/>
      <c r="R71" s="3189"/>
      <c r="S71" s="3264"/>
      <c r="Z71" s="1154">
        <v>71</v>
      </c>
    </row>
    <row r="72" spans="1:26" ht="6.6" customHeight="1">
      <c r="H72" s="2645"/>
      <c r="I72" s="2645"/>
      <c r="J72" s="2645"/>
      <c r="K72" s="167"/>
      <c r="L72" s="2645"/>
      <c r="M72" s="2645"/>
      <c r="N72" s="173"/>
      <c r="O72" s="174"/>
      <c r="P72" s="174"/>
      <c r="Q72" s="167"/>
      <c r="R72" s="174"/>
      <c r="S72" s="174"/>
      <c r="Z72" s="1154">
        <v>72</v>
      </c>
    </row>
    <row r="73" spans="1:26" s="95" customFormat="1" ht="11.25" customHeight="1">
      <c r="B73" s="151" t="s">
        <v>221</v>
      </c>
      <c r="C73" s="151" t="s">
        <v>222</v>
      </c>
      <c r="H73" s="3195"/>
      <c r="I73" s="3265"/>
      <c r="J73" s="3265"/>
      <c r="K73" s="3265"/>
      <c r="L73" s="3265"/>
      <c r="M73" s="3265"/>
      <c r="N73" s="3266"/>
      <c r="O73" s="164" t="s">
        <v>189</v>
      </c>
      <c r="P73" s="164"/>
      <c r="Q73" s="3195"/>
      <c r="R73" s="3265"/>
      <c r="S73" s="3266"/>
      <c r="Z73" s="1154">
        <v>73</v>
      </c>
    </row>
    <row r="74" spans="1:26" s="95" customFormat="1" ht="11.25" customHeight="1">
      <c r="D74" s="165"/>
      <c r="E74" s="153" t="s">
        <v>190</v>
      </c>
      <c r="F74" s="154"/>
      <c r="H74" s="3202"/>
      <c r="I74" s="3267"/>
      <c r="J74" s="3267"/>
      <c r="K74" s="3268"/>
      <c r="L74" s="3267"/>
      <c r="M74" s="3267"/>
      <c r="N74" s="3269"/>
      <c r="O74" s="164" t="s">
        <v>191</v>
      </c>
      <c r="P74" s="166"/>
      <c r="Q74" s="3270"/>
      <c r="R74" s="3271"/>
      <c r="S74" s="3272"/>
      <c r="Z74" s="1154">
        <v>74</v>
      </c>
    </row>
    <row r="75" spans="1:26" s="95" customFormat="1" ht="11.25" customHeight="1">
      <c r="D75" s="165"/>
      <c r="E75" s="153" t="s">
        <v>48</v>
      </c>
      <c r="H75" s="3202"/>
      <c r="I75" s="3268"/>
      <c r="J75" s="3273"/>
      <c r="K75" s="167" t="s">
        <v>205</v>
      </c>
      <c r="L75" s="3202"/>
      <c r="M75" s="3267"/>
      <c r="N75" s="3273"/>
      <c r="O75" s="164" t="s">
        <v>40</v>
      </c>
      <c r="P75" s="166"/>
      <c r="Q75" s="3185"/>
      <c r="R75" s="3186"/>
      <c r="S75" s="3187"/>
      <c r="Z75" s="1154">
        <v>75</v>
      </c>
    </row>
    <row r="76" spans="1:26" s="95" customFormat="1" ht="11.25" customHeight="1">
      <c r="E76" s="153" t="s">
        <v>193</v>
      </c>
      <c r="H76" s="720"/>
      <c r="I76" s="166"/>
      <c r="J76" s="166"/>
      <c r="K76" s="495" t="s">
        <v>194</v>
      </c>
      <c r="L76" s="3274"/>
      <c r="M76" s="3275"/>
      <c r="N76" s="166"/>
      <c r="O76" s="164" t="s">
        <v>42</v>
      </c>
      <c r="P76" s="166"/>
      <c r="Q76" s="3185"/>
      <c r="R76" s="3186"/>
      <c r="S76" s="3187"/>
      <c r="Z76" s="1154">
        <v>76</v>
      </c>
    </row>
    <row r="77" spans="1:26" s="95" customFormat="1" ht="11.25" customHeight="1">
      <c r="D77" s="165"/>
      <c r="E77" s="153" t="s">
        <v>196</v>
      </c>
      <c r="H77" s="3261"/>
      <c r="I77" s="3262"/>
      <c r="J77" s="2644"/>
      <c r="K77" s="167" t="s">
        <v>41</v>
      </c>
      <c r="L77" s="3188"/>
      <c r="M77" s="3189"/>
      <c r="N77" s="3190"/>
      <c r="O77" s="3190"/>
      <c r="P77" s="3190"/>
      <c r="Q77" s="3189"/>
      <c r="R77" s="3189"/>
      <c r="S77" s="3264"/>
      <c r="Z77" s="1154">
        <v>77</v>
      </c>
    </row>
    <row r="78" spans="1:26" ht="6.75" customHeight="1">
      <c r="H78" s="2509"/>
      <c r="I78" s="2509"/>
      <c r="J78" s="2509"/>
      <c r="K78" s="2509"/>
      <c r="L78" s="2509"/>
      <c r="M78" s="2509"/>
      <c r="N78" s="2509"/>
      <c r="O78" s="2509"/>
      <c r="P78" s="2509"/>
      <c r="Q78" s="2509"/>
      <c r="R78" s="2509"/>
      <c r="S78" s="2509"/>
      <c r="Z78" s="1154">
        <v>78</v>
      </c>
    </row>
    <row r="79" spans="1:26" s="153" customFormat="1" ht="13.35" customHeight="1">
      <c r="A79" s="134" t="s">
        <v>32</v>
      </c>
      <c r="B79" s="134" t="s">
        <v>223</v>
      </c>
      <c r="D79" s="134"/>
      <c r="F79" s="134"/>
      <c r="G79" s="134"/>
      <c r="H79" s="169"/>
      <c r="I79" s="169"/>
      <c r="J79" s="169"/>
      <c r="K79" s="879" t="s">
        <v>185</v>
      </c>
      <c r="L79" s="169"/>
      <c r="M79" s="169"/>
      <c r="N79" s="164"/>
      <c r="O79" s="164"/>
      <c r="P79" s="164"/>
      <c r="Q79" s="164"/>
      <c r="R79" s="164"/>
      <c r="S79" s="164"/>
      <c r="Z79" s="1154">
        <v>79</v>
      </c>
    </row>
    <row r="80" spans="1:26" s="153" customFormat="1" ht="3" customHeight="1">
      <c r="A80" s="134"/>
      <c r="B80" s="134"/>
      <c r="D80" s="134"/>
      <c r="F80" s="134"/>
      <c r="G80" s="134"/>
      <c r="H80" s="172"/>
      <c r="I80" s="172"/>
      <c r="J80" s="172"/>
      <c r="K80" s="173"/>
      <c r="L80" s="172"/>
      <c r="M80" s="172"/>
      <c r="N80" s="173"/>
      <c r="O80" s="174"/>
      <c r="P80" s="174"/>
      <c r="Q80" s="167"/>
      <c r="R80" s="174"/>
      <c r="S80" s="174"/>
      <c r="Z80" s="1154">
        <v>80</v>
      </c>
    </row>
    <row r="81" spans="2:26" s="95" customFormat="1" ht="11.25" customHeight="1">
      <c r="B81" s="151" t="s">
        <v>186</v>
      </c>
      <c r="C81" s="151" t="s">
        <v>224</v>
      </c>
      <c r="H81" s="3195"/>
      <c r="I81" s="3265"/>
      <c r="J81" s="3265"/>
      <c r="K81" s="3265"/>
      <c r="L81" s="3265"/>
      <c r="M81" s="3265"/>
      <c r="N81" s="3266"/>
      <c r="O81" s="164" t="s">
        <v>189</v>
      </c>
      <c r="P81" s="164"/>
      <c r="Q81" s="3195"/>
      <c r="R81" s="3265"/>
      <c r="S81" s="3266"/>
      <c r="Z81" s="1154">
        <v>81</v>
      </c>
    </row>
    <row r="82" spans="2:26" s="95" customFormat="1" ht="11.25" customHeight="1">
      <c r="D82" s="165"/>
      <c r="E82" s="153" t="s">
        <v>190</v>
      </c>
      <c r="F82" s="154"/>
      <c r="H82" s="3202"/>
      <c r="I82" s="3267"/>
      <c r="J82" s="3267"/>
      <c r="K82" s="3268"/>
      <c r="L82" s="3267"/>
      <c r="M82" s="3267"/>
      <c r="N82" s="3269"/>
      <c r="O82" s="164" t="s">
        <v>191</v>
      </c>
      <c r="P82" s="166"/>
      <c r="Q82" s="3270"/>
      <c r="R82" s="3271"/>
      <c r="S82" s="3272"/>
      <c r="Z82" s="1154">
        <v>82</v>
      </c>
    </row>
    <row r="83" spans="2:26" s="95" customFormat="1" ht="11.25" customHeight="1">
      <c r="D83" s="165"/>
      <c r="E83" s="153" t="s">
        <v>48</v>
      </c>
      <c r="H83" s="3202"/>
      <c r="I83" s="3268"/>
      <c r="J83" s="3273"/>
      <c r="K83" s="167" t="s">
        <v>205</v>
      </c>
      <c r="L83" s="3202"/>
      <c r="M83" s="3267"/>
      <c r="N83" s="3273"/>
      <c r="O83" s="164" t="s">
        <v>40</v>
      </c>
      <c r="P83" s="166"/>
      <c r="Q83" s="3185"/>
      <c r="R83" s="3186"/>
      <c r="S83" s="3187"/>
      <c r="Z83" s="1154">
        <v>83</v>
      </c>
    </row>
    <row r="84" spans="2:26" s="95" customFormat="1" ht="11.25" customHeight="1">
      <c r="E84" s="153" t="s">
        <v>193</v>
      </c>
      <c r="H84" s="720"/>
      <c r="I84" s="166"/>
      <c r="J84" s="166"/>
      <c r="K84" s="495" t="s">
        <v>194</v>
      </c>
      <c r="L84" s="3274"/>
      <c r="M84" s="3275"/>
      <c r="N84" s="166"/>
      <c r="O84" s="164" t="s">
        <v>42</v>
      </c>
      <c r="P84" s="166"/>
      <c r="Q84" s="3185"/>
      <c r="R84" s="3186"/>
      <c r="S84" s="3187"/>
      <c r="Z84" s="1154">
        <v>84</v>
      </c>
    </row>
    <row r="85" spans="2:26" s="95" customFormat="1" ht="11.25" customHeight="1">
      <c r="D85" s="165"/>
      <c r="E85" s="153" t="s">
        <v>196</v>
      </c>
      <c r="H85" s="3261"/>
      <c r="I85" s="3262"/>
      <c r="J85" s="2644"/>
      <c r="K85" s="167" t="s">
        <v>41</v>
      </c>
      <c r="L85" s="3188"/>
      <c r="M85" s="3189"/>
      <c r="N85" s="3190"/>
      <c r="O85" s="3190"/>
      <c r="P85" s="3190"/>
      <c r="Q85" s="3189"/>
      <c r="R85" s="3189"/>
      <c r="S85" s="3264"/>
      <c r="Z85" s="1154">
        <v>85</v>
      </c>
    </row>
    <row r="86" spans="2:26" ht="6.6" customHeight="1">
      <c r="H86" s="2645"/>
      <c r="I86" s="2645"/>
      <c r="J86" s="2645"/>
      <c r="K86" s="167"/>
      <c r="L86" s="2645"/>
      <c r="M86" s="2645"/>
      <c r="N86" s="173"/>
      <c r="O86" s="174"/>
      <c r="P86" s="174"/>
      <c r="Q86" s="167"/>
      <c r="R86" s="174"/>
      <c r="S86" s="174"/>
      <c r="Z86" s="1154">
        <v>86</v>
      </c>
    </row>
    <row r="87" spans="2:26" s="95" customFormat="1" ht="11.25" customHeight="1">
      <c r="B87" s="151" t="s">
        <v>198</v>
      </c>
      <c r="C87" s="151" t="s">
        <v>225</v>
      </c>
      <c r="H87" s="3195"/>
      <c r="I87" s="3265"/>
      <c r="J87" s="3265"/>
      <c r="K87" s="3265"/>
      <c r="L87" s="3265"/>
      <c r="M87" s="3265"/>
      <c r="N87" s="3266"/>
      <c r="O87" s="164" t="s">
        <v>189</v>
      </c>
      <c r="P87" s="164"/>
      <c r="Q87" s="3195"/>
      <c r="R87" s="3265"/>
      <c r="S87" s="3266"/>
      <c r="Z87" s="1154">
        <v>87</v>
      </c>
    </row>
    <row r="88" spans="2:26" s="95" customFormat="1" ht="11.25" customHeight="1">
      <c r="D88" s="165"/>
      <c r="E88" s="153" t="s">
        <v>190</v>
      </c>
      <c r="F88" s="154"/>
      <c r="H88" s="3202"/>
      <c r="I88" s="3267"/>
      <c r="J88" s="3267"/>
      <c r="K88" s="3268"/>
      <c r="L88" s="3267"/>
      <c r="M88" s="3267"/>
      <c r="N88" s="3269"/>
      <c r="O88" s="164" t="s">
        <v>191</v>
      </c>
      <c r="P88" s="166"/>
      <c r="Q88" s="3270"/>
      <c r="R88" s="3271"/>
      <c r="S88" s="3272"/>
      <c r="Z88" s="1154">
        <v>88</v>
      </c>
    </row>
    <row r="89" spans="2:26" s="95" customFormat="1" ht="11.25" customHeight="1">
      <c r="D89" s="165"/>
      <c r="E89" s="153" t="s">
        <v>48</v>
      </c>
      <c r="H89" s="3202"/>
      <c r="I89" s="3268"/>
      <c r="J89" s="3273"/>
      <c r="K89" s="167" t="s">
        <v>205</v>
      </c>
      <c r="L89" s="3202"/>
      <c r="M89" s="3267"/>
      <c r="N89" s="3273"/>
      <c r="O89" s="164" t="s">
        <v>40</v>
      </c>
      <c r="P89" s="166"/>
      <c r="Q89" s="3185"/>
      <c r="R89" s="3186"/>
      <c r="S89" s="3187"/>
      <c r="Z89" s="1154">
        <v>89</v>
      </c>
    </row>
    <row r="90" spans="2:26" s="95" customFormat="1" ht="11.25" customHeight="1">
      <c r="E90" s="153" t="s">
        <v>193</v>
      </c>
      <c r="H90" s="720"/>
      <c r="I90" s="166"/>
      <c r="J90" s="166"/>
      <c r="K90" s="495" t="s">
        <v>194</v>
      </c>
      <c r="L90" s="3274"/>
      <c r="M90" s="3275"/>
      <c r="N90" s="166"/>
      <c r="O90" s="164" t="s">
        <v>42</v>
      </c>
      <c r="P90" s="166"/>
      <c r="Q90" s="3185"/>
      <c r="R90" s="3186"/>
      <c r="S90" s="3187"/>
      <c r="Z90" s="1154">
        <v>90</v>
      </c>
    </row>
    <row r="91" spans="2:26" s="95" customFormat="1" ht="11.25" customHeight="1">
      <c r="D91" s="165"/>
      <c r="E91" s="153" t="s">
        <v>196</v>
      </c>
      <c r="H91" s="3261"/>
      <c r="I91" s="3262"/>
      <c r="J91" s="2644"/>
      <c r="K91" s="167" t="s">
        <v>41</v>
      </c>
      <c r="L91" s="3188"/>
      <c r="M91" s="3189"/>
      <c r="N91" s="3190"/>
      <c r="O91" s="3190"/>
      <c r="P91" s="3190"/>
      <c r="Q91" s="3189"/>
      <c r="R91" s="3189"/>
      <c r="S91" s="3264"/>
      <c r="Z91" s="1154">
        <v>91</v>
      </c>
    </row>
    <row r="92" spans="2:26" ht="6.6" customHeight="1">
      <c r="H92" s="2645"/>
      <c r="I92" s="2645"/>
      <c r="J92" s="2645"/>
      <c r="K92" s="167"/>
      <c r="L92" s="2645"/>
      <c r="M92" s="2645"/>
      <c r="N92" s="173"/>
      <c r="O92" s="174"/>
      <c r="P92" s="174"/>
      <c r="Q92" s="167"/>
      <c r="R92" s="174"/>
      <c r="S92" s="174"/>
      <c r="Z92" s="1154">
        <v>92</v>
      </c>
    </row>
    <row r="93" spans="2:26" s="95" customFormat="1" ht="11.25" customHeight="1">
      <c r="B93" s="151" t="s">
        <v>219</v>
      </c>
      <c r="C93" s="151" t="s">
        <v>226</v>
      </c>
      <c r="F93" s="96"/>
      <c r="H93" s="3195"/>
      <c r="I93" s="3265"/>
      <c r="J93" s="3265"/>
      <c r="K93" s="3265"/>
      <c r="L93" s="3265"/>
      <c r="M93" s="3265"/>
      <c r="N93" s="3266"/>
      <c r="O93" s="164" t="s">
        <v>189</v>
      </c>
      <c r="P93" s="164"/>
      <c r="Q93" s="3195"/>
      <c r="R93" s="3265"/>
      <c r="S93" s="3266"/>
      <c r="Z93" s="1154">
        <v>93</v>
      </c>
    </row>
    <row r="94" spans="2:26" s="95" customFormat="1" ht="11.25" customHeight="1">
      <c r="D94" s="165"/>
      <c r="E94" s="153" t="s">
        <v>190</v>
      </c>
      <c r="F94" s="154"/>
      <c r="H94" s="3202"/>
      <c r="I94" s="3267"/>
      <c r="J94" s="3267"/>
      <c r="K94" s="3268"/>
      <c r="L94" s="3267"/>
      <c r="M94" s="3267"/>
      <c r="N94" s="3269"/>
      <c r="O94" s="164" t="s">
        <v>191</v>
      </c>
      <c r="P94" s="166"/>
      <c r="Q94" s="3270"/>
      <c r="R94" s="3271"/>
      <c r="S94" s="3272"/>
      <c r="Z94" s="1154">
        <v>94</v>
      </c>
    </row>
    <row r="95" spans="2:26" s="95" customFormat="1" ht="11.25" customHeight="1">
      <c r="D95" s="165"/>
      <c r="E95" s="153" t="s">
        <v>48</v>
      </c>
      <c r="H95" s="3202"/>
      <c r="I95" s="3268"/>
      <c r="J95" s="3273"/>
      <c r="K95" s="167" t="s">
        <v>205</v>
      </c>
      <c r="L95" s="3202"/>
      <c r="M95" s="3267"/>
      <c r="N95" s="3273"/>
      <c r="O95" s="164" t="s">
        <v>40</v>
      </c>
      <c r="P95" s="166"/>
      <c r="Q95" s="3185"/>
      <c r="R95" s="3186"/>
      <c r="S95" s="3187"/>
      <c r="Z95" s="1154">
        <v>95</v>
      </c>
    </row>
    <row r="96" spans="2:26" s="95" customFormat="1" ht="11.25" customHeight="1">
      <c r="D96" s="165"/>
      <c r="E96" s="153" t="s">
        <v>193</v>
      </c>
      <c r="H96" s="720"/>
      <c r="I96" s="166"/>
      <c r="J96" s="166"/>
      <c r="K96" s="495" t="s">
        <v>194</v>
      </c>
      <c r="L96" s="3274"/>
      <c r="M96" s="3275"/>
      <c r="N96" s="166"/>
      <c r="O96" s="164" t="s">
        <v>42</v>
      </c>
      <c r="P96" s="166"/>
      <c r="Q96" s="3185"/>
      <c r="R96" s="3186"/>
      <c r="S96" s="3187"/>
      <c r="Z96" s="1154">
        <v>96</v>
      </c>
    </row>
    <row r="97" spans="2:26" s="95" customFormat="1" ht="11.25" customHeight="1">
      <c r="D97" s="165"/>
      <c r="E97" s="153" t="s">
        <v>196</v>
      </c>
      <c r="H97" s="3261"/>
      <c r="I97" s="3262"/>
      <c r="J97" s="2644"/>
      <c r="K97" s="167" t="s">
        <v>41</v>
      </c>
      <c r="L97" s="3188"/>
      <c r="M97" s="3189"/>
      <c r="N97" s="3190"/>
      <c r="O97" s="3190"/>
      <c r="P97" s="3190"/>
      <c r="Q97" s="3189"/>
      <c r="R97" s="3189"/>
      <c r="S97" s="3264"/>
      <c r="Z97" s="1154">
        <v>97</v>
      </c>
    </row>
    <row r="98" spans="2:26" ht="6.6" customHeight="1">
      <c r="H98" s="2645"/>
      <c r="I98" s="2645"/>
      <c r="J98" s="2645"/>
      <c r="K98" s="167"/>
      <c r="L98" s="2645"/>
      <c r="M98" s="2645"/>
      <c r="N98" s="173"/>
      <c r="O98" s="174"/>
      <c r="P98" s="174"/>
      <c r="Q98" s="167"/>
      <c r="R98" s="174"/>
      <c r="S98" s="174"/>
      <c r="Z98" s="1154">
        <v>98</v>
      </c>
    </row>
    <row r="99" spans="2:26" s="95" customFormat="1" ht="11.25" customHeight="1">
      <c r="B99" s="151" t="s">
        <v>221</v>
      </c>
      <c r="C99" s="151" t="s">
        <v>227</v>
      </c>
      <c r="H99" s="3195"/>
      <c r="I99" s="3265"/>
      <c r="J99" s="3265"/>
      <c r="K99" s="3265"/>
      <c r="L99" s="3265"/>
      <c r="M99" s="3265"/>
      <c r="N99" s="3266"/>
      <c r="O99" s="164" t="s">
        <v>189</v>
      </c>
      <c r="P99" s="164"/>
      <c r="Q99" s="3195"/>
      <c r="R99" s="3265"/>
      <c r="S99" s="3266"/>
      <c r="Z99" s="1154">
        <v>99</v>
      </c>
    </row>
    <row r="100" spans="2:26" s="95" customFormat="1" ht="11.25" customHeight="1">
      <c r="D100" s="165"/>
      <c r="E100" s="153" t="s">
        <v>190</v>
      </c>
      <c r="F100" s="154"/>
      <c r="H100" s="3202"/>
      <c r="I100" s="3267"/>
      <c r="J100" s="3267"/>
      <c r="K100" s="3268"/>
      <c r="L100" s="3267"/>
      <c r="M100" s="3267"/>
      <c r="N100" s="3269"/>
      <c r="O100" s="164" t="s">
        <v>191</v>
      </c>
      <c r="P100" s="166"/>
      <c r="Q100" s="3270"/>
      <c r="R100" s="3271"/>
      <c r="S100" s="3272"/>
      <c r="Z100" s="1154">
        <v>100</v>
      </c>
    </row>
    <row r="101" spans="2:26" s="95" customFormat="1" ht="11.25" customHeight="1">
      <c r="D101" s="165"/>
      <c r="E101" s="153" t="s">
        <v>48</v>
      </c>
      <c r="H101" s="3202"/>
      <c r="I101" s="3268"/>
      <c r="J101" s="3273"/>
      <c r="K101" s="167" t="s">
        <v>205</v>
      </c>
      <c r="L101" s="3202"/>
      <c r="M101" s="3267"/>
      <c r="N101" s="3273"/>
      <c r="O101" s="164" t="s">
        <v>40</v>
      </c>
      <c r="P101" s="166"/>
      <c r="Q101" s="3185"/>
      <c r="R101" s="3186"/>
      <c r="S101" s="3187"/>
      <c r="Z101" s="1154">
        <v>101</v>
      </c>
    </row>
    <row r="102" spans="2:26" s="95" customFormat="1" ht="11.25" customHeight="1">
      <c r="D102" s="165"/>
      <c r="E102" s="153" t="s">
        <v>193</v>
      </c>
      <c r="H102" s="720"/>
      <c r="I102" s="166"/>
      <c r="J102" s="166"/>
      <c r="K102" s="495" t="s">
        <v>194</v>
      </c>
      <c r="L102" s="3274"/>
      <c r="M102" s="3275"/>
      <c r="N102" s="166"/>
      <c r="O102" s="164" t="s">
        <v>42</v>
      </c>
      <c r="P102" s="166"/>
      <c r="Q102" s="3185"/>
      <c r="R102" s="3186"/>
      <c r="S102" s="3187"/>
      <c r="Z102" s="1154">
        <v>102</v>
      </c>
    </row>
    <row r="103" spans="2:26" ht="11.25" customHeight="1">
      <c r="E103" s="153" t="s">
        <v>196</v>
      </c>
      <c r="F103" s="95"/>
      <c r="G103" s="95"/>
      <c r="H103" s="3261"/>
      <c r="I103" s="3262"/>
      <c r="J103" s="2644"/>
      <c r="K103" s="167" t="s">
        <v>41</v>
      </c>
      <c r="L103" s="3188"/>
      <c r="M103" s="3189"/>
      <c r="N103" s="3190"/>
      <c r="O103" s="3190"/>
      <c r="P103" s="3190"/>
      <c r="Q103" s="3189"/>
      <c r="R103" s="3189"/>
      <c r="S103" s="3264"/>
      <c r="Z103" s="1154">
        <v>103</v>
      </c>
    </row>
    <row r="104" spans="2:26" ht="6" customHeight="1">
      <c r="E104" s="153"/>
      <c r="F104" s="95"/>
      <c r="G104" s="95"/>
      <c r="H104" s="2645"/>
      <c r="I104" s="2645"/>
      <c r="J104" s="2645"/>
      <c r="K104" s="167"/>
      <c r="L104" s="2645"/>
      <c r="M104" s="2645"/>
      <c r="N104" s="173"/>
      <c r="O104" s="174"/>
      <c r="P104" s="174"/>
      <c r="Q104" s="167"/>
      <c r="R104" s="174"/>
      <c r="S104" s="174"/>
      <c r="Z104" s="1154">
        <v>104</v>
      </c>
    </row>
    <row r="105" spans="2:26" s="95" customFormat="1" ht="11.25" customHeight="1">
      <c r="B105" s="151" t="s">
        <v>228</v>
      </c>
      <c r="C105" s="151" t="s">
        <v>229</v>
      </c>
      <c r="H105" s="3195"/>
      <c r="I105" s="3265"/>
      <c r="J105" s="3265"/>
      <c r="K105" s="3265"/>
      <c r="L105" s="3265"/>
      <c r="M105" s="3265"/>
      <c r="N105" s="3266"/>
      <c r="O105" s="164" t="s">
        <v>189</v>
      </c>
      <c r="P105" s="164"/>
      <c r="Q105" s="3195"/>
      <c r="R105" s="3265"/>
      <c r="S105" s="3266"/>
      <c r="Z105" s="1154">
        <v>105</v>
      </c>
    </row>
    <row r="106" spans="2:26" s="95" customFormat="1" ht="11.25" customHeight="1">
      <c r="D106" s="165"/>
      <c r="E106" s="153" t="s">
        <v>190</v>
      </c>
      <c r="F106" s="154"/>
      <c r="H106" s="3202"/>
      <c r="I106" s="3267"/>
      <c r="J106" s="3267"/>
      <c r="K106" s="3268"/>
      <c r="L106" s="3267"/>
      <c r="M106" s="3267"/>
      <c r="N106" s="3269"/>
      <c r="O106" s="164" t="s">
        <v>191</v>
      </c>
      <c r="P106" s="166"/>
      <c r="Q106" s="3270"/>
      <c r="R106" s="3271"/>
      <c r="S106" s="3272"/>
      <c r="Z106" s="1154">
        <v>106</v>
      </c>
    </row>
    <row r="107" spans="2:26" s="95" customFormat="1" ht="11.25" customHeight="1">
      <c r="D107" s="165"/>
      <c r="E107" s="153" t="s">
        <v>48</v>
      </c>
      <c r="H107" s="3202"/>
      <c r="I107" s="3268"/>
      <c r="J107" s="3273"/>
      <c r="K107" s="167" t="s">
        <v>205</v>
      </c>
      <c r="L107" s="3202"/>
      <c r="M107" s="3267"/>
      <c r="N107" s="3273"/>
      <c r="O107" s="164" t="s">
        <v>40</v>
      </c>
      <c r="P107" s="166"/>
      <c r="Q107" s="3185"/>
      <c r="R107" s="3186"/>
      <c r="S107" s="3187"/>
      <c r="Z107" s="1154">
        <v>107</v>
      </c>
    </row>
    <row r="108" spans="2:26" s="95" customFormat="1" ht="11.25" customHeight="1">
      <c r="D108" s="165"/>
      <c r="E108" s="153" t="s">
        <v>193</v>
      </c>
      <c r="H108" s="720"/>
      <c r="I108" s="166"/>
      <c r="J108" s="166"/>
      <c r="K108" s="495" t="s">
        <v>194</v>
      </c>
      <c r="L108" s="3274"/>
      <c r="M108" s="3275"/>
      <c r="N108" s="166"/>
      <c r="O108" s="164" t="s">
        <v>42</v>
      </c>
      <c r="P108" s="166"/>
      <c r="Q108" s="3185"/>
      <c r="R108" s="3186"/>
      <c r="S108" s="3187"/>
      <c r="Z108" s="1154">
        <v>108</v>
      </c>
    </row>
    <row r="109" spans="2:26" ht="11.25" customHeight="1">
      <c r="E109" s="153" t="s">
        <v>196</v>
      </c>
      <c r="F109" s="95"/>
      <c r="G109" s="95"/>
      <c r="H109" s="3261"/>
      <c r="I109" s="3262"/>
      <c r="J109" s="2644"/>
      <c r="K109" s="167" t="s">
        <v>41</v>
      </c>
      <c r="L109" s="3188"/>
      <c r="M109" s="3189"/>
      <c r="N109" s="3190"/>
      <c r="O109" s="3190"/>
      <c r="P109" s="3190"/>
      <c r="Q109" s="3189"/>
      <c r="R109" s="3189"/>
      <c r="S109" s="3264"/>
      <c r="Z109" s="1154">
        <v>109</v>
      </c>
    </row>
    <row r="110" spans="2:26" ht="6.6" customHeight="1">
      <c r="E110" s="153"/>
      <c r="F110" s="95"/>
      <c r="G110" s="95"/>
      <c r="H110" s="2645"/>
      <c r="I110" s="2645"/>
      <c r="J110" s="2645"/>
      <c r="K110" s="167"/>
      <c r="L110" s="2645"/>
      <c r="M110" s="2645"/>
      <c r="N110" s="173"/>
      <c r="O110" s="174"/>
      <c r="P110" s="174"/>
      <c r="Q110" s="167"/>
      <c r="R110" s="174"/>
      <c r="S110" s="174"/>
      <c r="Z110" s="1154">
        <v>110</v>
      </c>
    </row>
    <row r="111" spans="2:26" s="95" customFormat="1" ht="11.25" customHeight="1">
      <c r="B111" s="151" t="s">
        <v>230</v>
      </c>
      <c r="C111" s="151" t="s">
        <v>231</v>
      </c>
      <c r="H111" s="3195"/>
      <c r="I111" s="3265"/>
      <c r="J111" s="3265"/>
      <c r="K111" s="3265"/>
      <c r="L111" s="3265"/>
      <c r="M111" s="3265"/>
      <c r="N111" s="3266"/>
      <c r="O111" s="164" t="s">
        <v>189</v>
      </c>
      <c r="P111" s="164"/>
      <c r="Q111" s="3195"/>
      <c r="R111" s="3265"/>
      <c r="S111" s="3266"/>
      <c r="Z111" s="1154">
        <v>111</v>
      </c>
    </row>
    <row r="112" spans="2:26" s="95" customFormat="1" ht="11.25" customHeight="1">
      <c r="D112" s="165"/>
      <c r="E112" s="153" t="s">
        <v>190</v>
      </c>
      <c r="F112" s="154"/>
      <c r="H112" s="3202"/>
      <c r="I112" s="3267"/>
      <c r="J112" s="3267"/>
      <c r="K112" s="3268"/>
      <c r="L112" s="3267"/>
      <c r="M112" s="3267"/>
      <c r="N112" s="3269"/>
      <c r="O112" s="164" t="s">
        <v>191</v>
      </c>
      <c r="P112" s="166"/>
      <c r="Q112" s="3270"/>
      <c r="R112" s="3271"/>
      <c r="S112" s="3272"/>
      <c r="Z112" s="1154">
        <v>112</v>
      </c>
    </row>
    <row r="113" spans="1:26" s="95" customFormat="1" ht="11.25" customHeight="1">
      <c r="D113" s="165"/>
      <c r="E113" s="153" t="s">
        <v>48</v>
      </c>
      <c r="H113" s="3202"/>
      <c r="I113" s="3268"/>
      <c r="J113" s="3273"/>
      <c r="K113" s="167" t="s">
        <v>205</v>
      </c>
      <c r="L113" s="3202"/>
      <c r="M113" s="3267"/>
      <c r="N113" s="3273"/>
      <c r="O113" s="164" t="s">
        <v>40</v>
      </c>
      <c r="P113" s="166"/>
      <c r="Q113" s="3185"/>
      <c r="R113" s="3186"/>
      <c r="S113" s="3187"/>
      <c r="Z113" s="1154">
        <v>113</v>
      </c>
    </row>
    <row r="114" spans="1:26" s="95" customFormat="1" ht="11.25" customHeight="1">
      <c r="D114" s="165"/>
      <c r="E114" s="153" t="s">
        <v>193</v>
      </c>
      <c r="H114" s="720"/>
      <c r="I114" s="166"/>
      <c r="J114" s="166"/>
      <c r="K114" s="495" t="s">
        <v>194</v>
      </c>
      <c r="L114" s="3274"/>
      <c r="M114" s="3275"/>
      <c r="N114" s="166"/>
      <c r="O114" s="164" t="s">
        <v>42</v>
      </c>
      <c r="P114" s="166"/>
      <c r="Q114" s="3185"/>
      <c r="R114" s="3186"/>
      <c r="S114" s="3187"/>
      <c r="Z114" s="1154">
        <v>114</v>
      </c>
    </row>
    <row r="115" spans="1:26" s="95" customFormat="1" ht="11.25" customHeight="1">
      <c r="D115" s="165"/>
      <c r="E115" s="153" t="s">
        <v>196</v>
      </c>
      <c r="H115" s="3261"/>
      <c r="I115" s="3262"/>
      <c r="J115" s="2644"/>
      <c r="K115" s="167" t="s">
        <v>41</v>
      </c>
      <c r="L115" s="3188"/>
      <c r="M115" s="3189"/>
      <c r="N115" s="3190"/>
      <c r="O115" s="3190"/>
      <c r="P115" s="3190"/>
      <c r="Q115" s="3189"/>
      <c r="R115" s="3189"/>
      <c r="S115" s="3264"/>
      <c r="Z115" s="1154">
        <v>115</v>
      </c>
    </row>
    <row r="116" spans="1:26" ht="3" customHeight="1">
      <c r="H116" s="2509"/>
      <c r="I116" s="2509"/>
      <c r="J116" s="2509"/>
      <c r="K116" s="2509"/>
      <c r="L116" s="2509"/>
      <c r="M116" s="2509"/>
      <c r="N116" s="2509"/>
      <c r="O116" s="2509"/>
      <c r="P116" s="2509"/>
      <c r="Q116" s="2509"/>
      <c r="R116" s="2509"/>
      <c r="S116" s="2509"/>
      <c r="Z116" s="1154">
        <v>116</v>
      </c>
    </row>
    <row r="117" spans="1:26" s="95" customFormat="1" ht="12" customHeight="1">
      <c r="A117" s="151" t="s">
        <v>44</v>
      </c>
      <c r="B117" s="151" t="s">
        <v>232</v>
      </c>
      <c r="F117" s="151"/>
      <c r="G117" s="2517"/>
      <c r="H117" s="167"/>
      <c r="I117" s="167"/>
      <c r="J117" s="167"/>
      <c r="K117" s="167"/>
      <c r="L117" s="167"/>
      <c r="M117" s="167"/>
      <c r="N117" s="167"/>
      <c r="O117" s="167"/>
      <c r="P117" s="167"/>
      <c r="Q117" s="167"/>
      <c r="R117" s="166"/>
      <c r="S117" s="166"/>
      <c r="Z117" s="1154">
        <v>117</v>
      </c>
    </row>
    <row r="118" spans="1:26" s="95" customFormat="1" ht="12" customHeight="1">
      <c r="A118" s="151"/>
      <c r="B118" s="151" t="s">
        <v>186</v>
      </c>
      <c r="C118" s="151" t="s">
        <v>233</v>
      </c>
      <c r="F118" s="151"/>
      <c r="G118" s="2517"/>
      <c r="H118" s="167"/>
      <c r="I118" s="167"/>
      <c r="J118" s="167"/>
      <c r="K118" s="167"/>
      <c r="L118" s="167"/>
      <c r="M118" s="167"/>
      <c r="N118" s="167"/>
      <c r="O118" s="167"/>
      <c r="P118" s="167"/>
      <c r="Q118" s="167"/>
      <c r="R118" s="166"/>
      <c r="S118" s="166"/>
      <c r="Z118" s="1154">
        <v>118</v>
      </c>
    </row>
    <row r="119" spans="1:26" ht="2.25" customHeight="1">
      <c r="H119" s="2509"/>
      <c r="I119" s="2509"/>
      <c r="J119" s="2509"/>
      <c r="K119" s="2509"/>
      <c r="L119" s="2509"/>
      <c r="M119" s="2509"/>
      <c r="N119" s="2509"/>
      <c r="O119" s="2509"/>
      <c r="P119" s="2509"/>
      <c r="Q119" s="2509"/>
      <c r="R119" s="2509"/>
      <c r="S119" s="2509"/>
      <c r="Z119" s="1154">
        <v>119</v>
      </c>
    </row>
    <row r="120" spans="1:26" s="95" customFormat="1" ht="11.25" customHeight="1">
      <c r="C120" s="1131" t="s">
        <v>201</v>
      </c>
      <c r="D120" s="151" t="s">
        <v>234</v>
      </c>
      <c r="H120" s="3195"/>
      <c r="I120" s="3196"/>
      <c r="J120" s="3197"/>
      <c r="K120" s="167" t="s">
        <v>36</v>
      </c>
      <c r="L120" s="3195"/>
      <c r="M120" s="3265"/>
      <c r="N120" s="3266"/>
      <c r="O120" s="164" t="s">
        <v>235</v>
      </c>
      <c r="P120" s="166"/>
      <c r="Q120" s="3283"/>
      <c r="R120" s="3284"/>
      <c r="S120" s="3285"/>
      <c r="Z120" s="1154">
        <v>120</v>
      </c>
    </row>
    <row r="121" spans="1:26" s="95" customFormat="1" ht="11.25" customHeight="1">
      <c r="C121" s="151"/>
      <c r="D121" s="165"/>
      <c r="E121" s="153" t="s">
        <v>236</v>
      </c>
      <c r="F121" s="154"/>
      <c r="H121" s="3286"/>
      <c r="I121" s="3287"/>
      <c r="J121" s="3288"/>
      <c r="K121" s="3289"/>
      <c r="L121" s="3287"/>
      <c r="M121" s="3287"/>
      <c r="N121" s="3290"/>
      <c r="O121" s="164" t="s">
        <v>48</v>
      </c>
      <c r="P121" s="166"/>
      <c r="Q121" s="3291"/>
      <c r="R121" s="3292"/>
      <c r="S121" s="3293"/>
      <c r="Z121" s="1154">
        <v>121</v>
      </c>
    </row>
    <row r="122" spans="1:26" s="95" customFormat="1" ht="11.25" customHeight="1">
      <c r="C122" s="151"/>
      <c r="D122" s="165"/>
      <c r="E122" s="153" t="s">
        <v>193</v>
      </c>
      <c r="H122" s="866"/>
      <c r="I122" s="495" t="s">
        <v>194</v>
      </c>
      <c r="J122" s="3294"/>
      <c r="K122" s="3273"/>
      <c r="L122" s="167" t="s">
        <v>41</v>
      </c>
      <c r="M122" s="3263"/>
      <c r="N122" s="3190"/>
      <c r="O122" s="3190"/>
      <c r="P122" s="3190"/>
      <c r="Q122" s="3189"/>
      <c r="R122" s="3189"/>
      <c r="S122" s="3264"/>
      <c r="Z122" s="1154">
        <v>122</v>
      </c>
    </row>
    <row r="123" spans="1:26" ht="2.25" customHeight="1">
      <c r="C123" s="159"/>
      <c r="H123" s="2509"/>
      <c r="I123" s="2509"/>
      <c r="J123" s="2509"/>
      <c r="K123" s="2509"/>
      <c r="L123" s="2509"/>
      <c r="M123" s="2509"/>
      <c r="N123" s="2509"/>
      <c r="O123" s="2509"/>
      <c r="P123" s="2509"/>
      <c r="Q123" s="2509"/>
      <c r="R123" s="2509"/>
      <c r="S123" s="2509"/>
      <c r="Z123" s="1154">
        <v>123</v>
      </c>
    </row>
    <row r="124" spans="1:26" s="95" customFormat="1" ht="11.25" hidden="1" customHeight="1">
      <c r="C124" s="1131"/>
      <c r="D124" s="95" t="s">
        <v>237</v>
      </c>
      <c r="H124" s="3195"/>
      <c r="I124" s="3196"/>
      <c r="J124" s="3197"/>
      <c r="K124" s="167" t="s">
        <v>36</v>
      </c>
      <c r="L124" s="3195"/>
      <c r="M124" s="3265"/>
      <c r="N124" s="3266"/>
      <c r="O124" s="164" t="s">
        <v>235</v>
      </c>
      <c r="P124" s="166"/>
      <c r="Q124" s="3283"/>
      <c r="R124" s="3284"/>
      <c r="S124" s="3285"/>
      <c r="Z124" s="1154">
        <v>124</v>
      </c>
    </row>
    <row r="125" spans="1:26" s="95" customFormat="1" ht="11.25" hidden="1" customHeight="1">
      <c r="C125" s="151"/>
      <c r="D125" s="165"/>
      <c r="E125" s="153" t="s">
        <v>236</v>
      </c>
      <c r="F125" s="154"/>
      <c r="H125" s="3286"/>
      <c r="I125" s="3287"/>
      <c r="J125" s="3288"/>
      <c r="K125" s="3289"/>
      <c r="L125" s="3287"/>
      <c r="M125" s="3287"/>
      <c r="N125" s="3290"/>
      <c r="O125" s="164" t="s">
        <v>48</v>
      </c>
      <c r="P125" s="166"/>
      <c r="Q125" s="3291"/>
      <c r="R125" s="3292"/>
      <c r="S125" s="3293"/>
      <c r="Z125" s="1154">
        <v>125</v>
      </c>
    </row>
    <row r="126" spans="1:26" s="95" customFormat="1" ht="11.25" hidden="1" customHeight="1">
      <c r="C126" s="151"/>
      <c r="D126" s="165"/>
      <c r="E126" s="153" t="s">
        <v>193</v>
      </c>
      <c r="H126" s="866"/>
      <c r="I126" s="495" t="s">
        <v>194</v>
      </c>
      <c r="J126" s="3294"/>
      <c r="K126" s="3273"/>
      <c r="L126" s="167" t="s">
        <v>41</v>
      </c>
      <c r="M126" s="3263"/>
      <c r="N126" s="3190"/>
      <c r="O126" s="3190"/>
      <c r="P126" s="3190"/>
      <c r="Q126" s="3189"/>
      <c r="R126" s="3189"/>
      <c r="S126" s="3264"/>
      <c r="Z126" s="1154">
        <v>126</v>
      </c>
    </row>
    <row r="127" spans="1:26" ht="2.25" hidden="1" customHeight="1">
      <c r="C127" s="159"/>
      <c r="H127" s="2509"/>
      <c r="I127" s="2509"/>
      <c r="J127" s="2509"/>
      <c r="K127" s="2509"/>
      <c r="L127" s="2509"/>
      <c r="M127" s="2509"/>
      <c r="N127" s="2509"/>
      <c r="O127" s="2509"/>
      <c r="P127" s="2509"/>
      <c r="Q127" s="2509"/>
      <c r="R127" s="2509"/>
      <c r="S127" s="2509"/>
      <c r="Z127" s="1154">
        <v>127</v>
      </c>
    </row>
    <row r="128" spans="1:26" s="95" customFormat="1" ht="11.25" hidden="1" customHeight="1">
      <c r="C128" s="1131"/>
      <c r="D128" s="95" t="s">
        <v>238</v>
      </c>
      <c r="H128" s="3195"/>
      <c r="I128" s="3196"/>
      <c r="J128" s="3197"/>
      <c r="K128" s="167" t="s">
        <v>36</v>
      </c>
      <c r="L128" s="3195"/>
      <c r="M128" s="3265"/>
      <c r="N128" s="3266"/>
      <c r="O128" s="164" t="s">
        <v>235</v>
      </c>
      <c r="P128" s="166"/>
      <c r="Q128" s="3283"/>
      <c r="R128" s="3284"/>
      <c r="S128" s="3285"/>
      <c r="Z128" s="1154">
        <v>128</v>
      </c>
    </row>
    <row r="129" spans="3:26" s="95" customFormat="1" ht="11.25" hidden="1" customHeight="1">
      <c r="C129" s="151"/>
      <c r="D129" s="165"/>
      <c r="E129" s="153" t="s">
        <v>236</v>
      </c>
      <c r="F129" s="154"/>
      <c r="H129" s="3286"/>
      <c r="I129" s="3287"/>
      <c r="J129" s="3288"/>
      <c r="K129" s="3289"/>
      <c r="L129" s="3287"/>
      <c r="M129" s="3287"/>
      <c r="N129" s="3290"/>
      <c r="O129" s="164" t="s">
        <v>48</v>
      </c>
      <c r="P129" s="166"/>
      <c r="Q129" s="3291"/>
      <c r="R129" s="3292"/>
      <c r="S129" s="3293"/>
      <c r="Z129" s="1154">
        <v>129</v>
      </c>
    </row>
    <row r="130" spans="3:26" s="95" customFormat="1" ht="11.25" hidden="1" customHeight="1">
      <c r="C130" s="151"/>
      <c r="D130" s="165"/>
      <c r="E130" s="153" t="s">
        <v>193</v>
      </c>
      <c r="H130" s="866"/>
      <c r="I130" s="495" t="s">
        <v>194</v>
      </c>
      <c r="J130" s="3294"/>
      <c r="K130" s="3273"/>
      <c r="L130" s="167" t="s">
        <v>41</v>
      </c>
      <c r="M130" s="3263"/>
      <c r="N130" s="3190"/>
      <c r="O130" s="3190"/>
      <c r="P130" s="3190"/>
      <c r="Q130" s="3189"/>
      <c r="R130" s="3189"/>
      <c r="S130" s="3264"/>
      <c r="Z130" s="1154">
        <v>130</v>
      </c>
    </row>
    <row r="131" spans="3:26" ht="2.25" hidden="1" customHeight="1">
      <c r="C131" s="159"/>
      <c r="H131" s="2509"/>
      <c r="I131" s="2509"/>
      <c r="J131" s="2509"/>
      <c r="K131" s="2509"/>
      <c r="L131" s="2509"/>
      <c r="M131" s="2509"/>
      <c r="N131" s="2509"/>
      <c r="O131" s="2509"/>
      <c r="P131" s="2509"/>
      <c r="Q131" s="2509"/>
      <c r="R131" s="2509"/>
      <c r="S131" s="2509"/>
      <c r="Z131" s="1154">
        <v>131</v>
      </c>
    </row>
    <row r="132" spans="3:26" s="95" customFormat="1" ht="11.25" hidden="1" customHeight="1">
      <c r="C132" s="1131"/>
      <c r="D132" s="95" t="s">
        <v>239</v>
      </c>
      <c r="H132" s="3195"/>
      <c r="I132" s="3196"/>
      <c r="J132" s="3197"/>
      <c r="K132" s="167" t="s">
        <v>36</v>
      </c>
      <c r="L132" s="3195"/>
      <c r="M132" s="3265"/>
      <c r="N132" s="3266"/>
      <c r="O132" s="164" t="s">
        <v>235</v>
      </c>
      <c r="P132" s="166"/>
      <c r="Q132" s="3283"/>
      <c r="R132" s="3284"/>
      <c r="S132" s="3285"/>
      <c r="Z132" s="1154">
        <v>132</v>
      </c>
    </row>
    <row r="133" spans="3:26" s="95" customFormat="1" ht="11.25" hidden="1" customHeight="1">
      <c r="C133" s="151"/>
      <c r="D133" s="165"/>
      <c r="E133" s="153" t="s">
        <v>236</v>
      </c>
      <c r="F133" s="154"/>
      <c r="H133" s="3286"/>
      <c r="I133" s="3287"/>
      <c r="J133" s="3288"/>
      <c r="K133" s="3289"/>
      <c r="L133" s="3287"/>
      <c r="M133" s="3287"/>
      <c r="N133" s="3290"/>
      <c r="O133" s="164" t="s">
        <v>48</v>
      </c>
      <c r="P133" s="166"/>
      <c r="Q133" s="3291"/>
      <c r="R133" s="3292"/>
      <c r="S133" s="3293"/>
      <c r="Z133" s="1154">
        <v>133</v>
      </c>
    </row>
    <row r="134" spans="3:26" s="95" customFormat="1" ht="11.25" hidden="1" customHeight="1">
      <c r="C134" s="151"/>
      <c r="D134" s="165"/>
      <c r="E134" s="153" t="s">
        <v>193</v>
      </c>
      <c r="H134" s="866"/>
      <c r="I134" s="495" t="s">
        <v>194</v>
      </c>
      <c r="J134" s="3294"/>
      <c r="K134" s="3273"/>
      <c r="L134" s="167" t="s">
        <v>41</v>
      </c>
      <c r="M134" s="3263"/>
      <c r="N134" s="3190"/>
      <c r="O134" s="3190"/>
      <c r="P134" s="3190"/>
      <c r="Q134" s="3189"/>
      <c r="R134" s="3189"/>
      <c r="S134" s="3264"/>
      <c r="Z134" s="1154">
        <v>134</v>
      </c>
    </row>
    <row r="135" spans="3:26" ht="2.25" hidden="1" customHeight="1">
      <c r="C135" s="159"/>
      <c r="H135" s="2509"/>
      <c r="I135" s="2509"/>
      <c r="J135" s="2509"/>
      <c r="K135" s="2509"/>
      <c r="L135" s="2509"/>
      <c r="M135" s="2509"/>
      <c r="N135" s="2509"/>
      <c r="O135" s="2509"/>
      <c r="P135" s="2509"/>
      <c r="Q135" s="2509"/>
      <c r="R135" s="2509"/>
      <c r="S135" s="2509"/>
      <c r="Z135" s="1154">
        <v>135</v>
      </c>
    </row>
    <row r="136" spans="3:26" s="95" customFormat="1" ht="11.25" hidden="1" customHeight="1">
      <c r="C136" s="1131"/>
      <c r="D136" s="95" t="s">
        <v>240</v>
      </c>
      <c r="H136" s="3195"/>
      <c r="I136" s="3196"/>
      <c r="J136" s="3197"/>
      <c r="K136" s="167" t="s">
        <v>36</v>
      </c>
      <c r="L136" s="3195"/>
      <c r="M136" s="3265"/>
      <c r="N136" s="3266"/>
      <c r="O136" s="164" t="s">
        <v>235</v>
      </c>
      <c r="P136" s="166"/>
      <c r="Q136" s="3283"/>
      <c r="R136" s="3284"/>
      <c r="S136" s="3285"/>
      <c r="Z136" s="1154">
        <v>136</v>
      </c>
    </row>
    <row r="137" spans="3:26" s="95" customFormat="1" ht="11.25" hidden="1" customHeight="1">
      <c r="C137" s="151"/>
      <c r="D137" s="165"/>
      <c r="E137" s="153" t="s">
        <v>236</v>
      </c>
      <c r="F137" s="154"/>
      <c r="H137" s="3286"/>
      <c r="I137" s="3287"/>
      <c r="J137" s="3288"/>
      <c r="K137" s="3289"/>
      <c r="L137" s="3287"/>
      <c r="M137" s="3287"/>
      <c r="N137" s="3290"/>
      <c r="O137" s="164" t="s">
        <v>48</v>
      </c>
      <c r="P137" s="166"/>
      <c r="Q137" s="3291"/>
      <c r="R137" s="3292"/>
      <c r="S137" s="3293"/>
      <c r="Z137" s="1154">
        <v>137</v>
      </c>
    </row>
    <row r="138" spans="3:26" s="95" customFormat="1" ht="11.25" hidden="1" customHeight="1">
      <c r="C138" s="151"/>
      <c r="D138" s="165"/>
      <c r="E138" s="153" t="s">
        <v>193</v>
      </c>
      <c r="H138" s="866"/>
      <c r="I138" s="495" t="s">
        <v>194</v>
      </c>
      <c r="J138" s="3294"/>
      <c r="K138" s="3273"/>
      <c r="L138" s="167" t="s">
        <v>41</v>
      </c>
      <c r="M138" s="3263"/>
      <c r="N138" s="3190"/>
      <c r="O138" s="3190"/>
      <c r="P138" s="3190"/>
      <c r="Q138" s="3189"/>
      <c r="R138" s="3189"/>
      <c r="S138" s="3264"/>
      <c r="Z138" s="1154">
        <v>138</v>
      </c>
    </row>
    <row r="139" spans="3:26" ht="2.25" hidden="1" customHeight="1">
      <c r="C139" s="159"/>
      <c r="H139" s="2509"/>
      <c r="I139" s="2509"/>
      <c r="J139" s="2509"/>
      <c r="K139" s="2509"/>
      <c r="L139" s="2509"/>
      <c r="M139" s="2509"/>
      <c r="N139" s="2509"/>
      <c r="O139" s="2509"/>
      <c r="P139" s="2509"/>
      <c r="Q139" s="2509"/>
      <c r="R139" s="2509"/>
      <c r="S139" s="2509"/>
      <c r="Z139" s="1154">
        <v>139</v>
      </c>
    </row>
    <row r="140" spans="3:26" s="95" customFormat="1" ht="11.25" hidden="1" customHeight="1">
      <c r="C140" s="1131"/>
      <c r="D140" s="95" t="s">
        <v>241</v>
      </c>
      <c r="H140" s="3195"/>
      <c r="I140" s="3196"/>
      <c r="J140" s="3197"/>
      <c r="K140" s="167" t="s">
        <v>36</v>
      </c>
      <c r="L140" s="3195"/>
      <c r="M140" s="3265"/>
      <c r="N140" s="3266"/>
      <c r="O140" s="164" t="s">
        <v>235</v>
      </c>
      <c r="P140" s="166"/>
      <c r="Q140" s="3283"/>
      <c r="R140" s="3284"/>
      <c r="S140" s="3285"/>
      <c r="Z140" s="1154">
        <v>140</v>
      </c>
    </row>
    <row r="141" spans="3:26" s="95" customFormat="1" ht="11.25" hidden="1" customHeight="1">
      <c r="C141" s="151"/>
      <c r="D141" s="165"/>
      <c r="E141" s="153" t="s">
        <v>236</v>
      </c>
      <c r="F141" s="154"/>
      <c r="H141" s="3286"/>
      <c r="I141" s="3287"/>
      <c r="J141" s="3288"/>
      <c r="K141" s="3289"/>
      <c r="L141" s="3287"/>
      <c r="M141" s="3287"/>
      <c r="N141" s="3290"/>
      <c r="O141" s="164" t="s">
        <v>48</v>
      </c>
      <c r="P141" s="166"/>
      <c r="Q141" s="3291"/>
      <c r="R141" s="3292"/>
      <c r="S141" s="3293"/>
      <c r="Z141" s="1154">
        <v>141</v>
      </c>
    </row>
    <row r="142" spans="3:26" s="95" customFormat="1" ht="11.25" hidden="1" customHeight="1">
      <c r="C142" s="151"/>
      <c r="D142" s="165"/>
      <c r="E142" s="153" t="s">
        <v>193</v>
      </c>
      <c r="H142" s="866"/>
      <c r="I142" s="495" t="s">
        <v>194</v>
      </c>
      <c r="J142" s="3294"/>
      <c r="K142" s="3273"/>
      <c r="L142" s="167" t="s">
        <v>41</v>
      </c>
      <c r="M142" s="3263"/>
      <c r="N142" s="3190"/>
      <c r="O142" s="3190"/>
      <c r="P142" s="3190"/>
      <c r="Q142" s="3189"/>
      <c r="R142" s="3189"/>
      <c r="S142" s="3264"/>
      <c r="Z142" s="1154">
        <v>142</v>
      </c>
    </row>
    <row r="143" spans="3:26" ht="2.25" hidden="1" customHeight="1">
      <c r="C143" s="159"/>
      <c r="H143" s="2509"/>
      <c r="I143" s="2509"/>
      <c r="J143" s="2509"/>
      <c r="K143" s="2509"/>
      <c r="L143" s="2509"/>
      <c r="M143" s="2509"/>
      <c r="N143" s="2509"/>
      <c r="O143" s="2509"/>
      <c r="P143" s="2509"/>
      <c r="Q143" s="2509"/>
      <c r="R143" s="2509"/>
      <c r="S143" s="2509"/>
      <c r="Z143" s="1154">
        <v>143</v>
      </c>
    </row>
    <row r="144" spans="3:26" s="95" customFormat="1" ht="11.25" customHeight="1">
      <c r="C144" s="1131" t="s">
        <v>209</v>
      </c>
      <c r="D144" s="95" t="s">
        <v>242</v>
      </c>
      <c r="H144" s="3195"/>
      <c r="I144" s="3196"/>
      <c r="J144" s="3197"/>
      <c r="K144" s="167" t="s">
        <v>36</v>
      </c>
      <c r="L144" s="3195"/>
      <c r="M144" s="3265"/>
      <c r="N144" s="3266"/>
      <c r="O144" s="164" t="s">
        <v>235</v>
      </c>
      <c r="P144" s="166"/>
      <c r="Q144" s="3283"/>
      <c r="R144" s="3284"/>
      <c r="S144" s="3285"/>
      <c r="Z144" s="1154">
        <v>144</v>
      </c>
    </row>
    <row r="145" spans="1:26" s="95" customFormat="1" ht="11.25" customHeight="1">
      <c r="C145" s="151"/>
      <c r="D145" s="165"/>
      <c r="E145" s="153" t="s">
        <v>236</v>
      </c>
      <c r="F145" s="154"/>
      <c r="H145" s="3286"/>
      <c r="I145" s="3287"/>
      <c r="J145" s="3288"/>
      <c r="K145" s="3289"/>
      <c r="L145" s="3287"/>
      <c r="M145" s="3287"/>
      <c r="N145" s="3290"/>
      <c r="O145" s="164" t="s">
        <v>48</v>
      </c>
      <c r="P145" s="166"/>
      <c r="Q145" s="3291"/>
      <c r="R145" s="3292"/>
      <c r="S145" s="3293"/>
      <c r="Z145" s="1154">
        <v>145</v>
      </c>
    </row>
    <row r="146" spans="1:26" s="95" customFormat="1" ht="11.25" customHeight="1">
      <c r="C146" s="151"/>
      <c r="D146" s="165"/>
      <c r="E146" s="153" t="s">
        <v>193</v>
      </c>
      <c r="H146" s="866"/>
      <c r="I146" s="495" t="s">
        <v>194</v>
      </c>
      <c r="J146" s="3294"/>
      <c r="K146" s="3273"/>
      <c r="L146" s="167" t="s">
        <v>41</v>
      </c>
      <c r="M146" s="3263"/>
      <c r="N146" s="3190"/>
      <c r="O146" s="3190"/>
      <c r="P146" s="3190"/>
      <c r="Q146" s="3189"/>
      <c r="R146" s="3189"/>
      <c r="S146" s="3264"/>
      <c r="Z146" s="1154">
        <v>146</v>
      </c>
    </row>
    <row r="147" spans="1:26" ht="2.25" customHeight="1">
      <c r="C147" s="159"/>
      <c r="H147" s="2509"/>
      <c r="I147" s="2509"/>
      <c r="J147" s="2509"/>
      <c r="K147" s="2509"/>
      <c r="L147" s="2509"/>
      <c r="M147" s="2509"/>
      <c r="N147" s="2509"/>
      <c r="O147" s="2509"/>
      <c r="P147" s="2509"/>
      <c r="Q147" s="2509"/>
      <c r="R147" s="2509"/>
      <c r="S147" s="2509"/>
      <c r="Z147" s="1154">
        <v>147</v>
      </c>
    </row>
    <row r="148" spans="1:26" s="95" customFormat="1" ht="11.25" customHeight="1">
      <c r="C148" s="1131" t="s">
        <v>213</v>
      </c>
      <c r="D148" s="95" t="s">
        <v>243</v>
      </c>
      <c r="H148" s="3195"/>
      <c r="I148" s="3196"/>
      <c r="J148" s="3197"/>
      <c r="K148" s="167" t="s">
        <v>36</v>
      </c>
      <c r="L148" s="3195"/>
      <c r="M148" s="3265"/>
      <c r="N148" s="3266"/>
      <c r="O148" s="164" t="s">
        <v>235</v>
      </c>
      <c r="P148" s="166"/>
      <c r="Q148" s="3283"/>
      <c r="R148" s="3284"/>
      <c r="S148" s="3285"/>
      <c r="Z148" s="1154">
        <v>148</v>
      </c>
    </row>
    <row r="149" spans="1:26" s="95" customFormat="1" ht="11.25" customHeight="1">
      <c r="D149" s="165"/>
      <c r="E149" s="153" t="s">
        <v>236</v>
      </c>
      <c r="F149" s="154"/>
      <c r="H149" s="3286"/>
      <c r="I149" s="3287"/>
      <c r="J149" s="3288"/>
      <c r="K149" s="3289"/>
      <c r="L149" s="3287"/>
      <c r="M149" s="3287"/>
      <c r="N149" s="3290"/>
      <c r="O149" s="164" t="s">
        <v>48</v>
      </c>
      <c r="P149" s="166"/>
      <c r="Q149" s="3291"/>
      <c r="R149" s="3292"/>
      <c r="S149" s="3293"/>
      <c r="Z149" s="1154">
        <v>149</v>
      </c>
    </row>
    <row r="150" spans="1:26" s="95" customFormat="1" ht="11.25" customHeight="1">
      <c r="D150" s="165"/>
      <c r="E150" s="153" t="s">
        <v>193</v>
      </c>
      <c r="H150" s="866"/>
      <c r="I150" s="495" t="s">
        <v>194</v>
      </c>
      <c r="J150" s="3294"/>
      <c r="K150" s="3273"/>
      <c r="L150" s="167" t="s">
        <v>41</v>
      </c>
      <c r="M150" s="3263"/>
      <c r="N150" s="3190"/>
      <c r="O150" s="3190"/>
      <c r="P150" s="3190"/>
      <c r="Q150" s="3189"/>
      <c r="R150" s="3189"/>
      <c r="S150" s="3264"/>
      <c r="Z150" s="1154">
        <v>150</v>
      </c>
    </row>
    <row r="151" spans="1:26" ht="6" customHeight="1">
      <c r="H151" s="2509"/>
      <c r="I151" s="2509"/>
      <c r="J151" s="2509"/>
      <c r="K151" s="2509"/>
      <c r="L151" s="2509"/>
      <c r="M151" s="2509"/>
      <c r="N151" s="2509"/>
      <c r="O151" s="2509"/>
      <c r="P151" s="2509"/>
      <c r="Q151" s="2509"/>
      <c r="R151" s="2509"/>
      <c r="S151" s="2509"/>
      <c r="Z151" s="1154">
        <v>151</v>
      </c>
    </row>
    <row r="152" spans="1:26" ht="12" customHeight="1">
      <c r="B152" s="151" t="s">
        <v>198</v>
      </c>
      <c r="C152" s="151" t="s">
        <v>244</v>
      </c>
      <c r="H152" s="337"/>
      <c r="I152" s="337"/>
      <c r="J152" s="337"/>
      <c r="K152" s="337"/>
      <c r="L152" s="337"/>
      <c r="M152" s="337"/>
      <c r="N152" s="337"/>
      <c r="O152" s="337"/>
      <c r="P152" s="337"/>
      <c r="Q152" s="337"/>
      <c r="R152" s="337"/>
      <c r="S152" s="337"/>
      <c r="Z152" s="1154">
        <v>152</v>
      </c>
    </row>
    <row r="153" spans="1:26" ht="14.4" thickBot="1">
      <c r="A153" s="3348" t="s">
        <v>245</v>
      </c>
      <c r="B153" s="3348"/>
      <c r="C153" s="3348"/>
      <c r="D153" s="3348"/>
      <c r="E153" s="3348"/>
      <c r="H153" s="2646" t="s">
        <v>246</v>
      </c>
      <c r="I153" s="3342" t="s">
        <v>247</v>
      </c>
      <c r="J153" s="3343"/>
      <c r="K153" s="3343"/>
      <c r="L153" s="3343"/>
      <c r="M153" s="3343"/>
      <c r="N153" s="3343"/>
      <c r="O153" s="3343"/>
      <c r="P153" s="3343"/>
      <c r="Q153" s="3343"/>
      <c r="R153" s="3343"/>
      <c r="S153" s="3344"/>
      <c r="Z153" s="1154">
        <v>153</v>
      </c>
    </row>
    <row r="154" spans="1:26" s="95" customFormat="1" ht="15" customHeight="1" thickBot="1">
      <c r="B154" s="334" t="s">
        <v>201</v>
      </c>
      <c r="C154" s="161" t="s">
        <v>248</v>
      </c>
      <c r="E154" s="161"/>
      <c r="H154" s="841" t="s">
        <v>249</v>
      </c>
      <c r="I154" s="3254"/>
      <c r="J154" s="3255"/>
      <c r="K154" s="3255"/>
      <c r="L154" s="3255"/>
      <c r="M154" s="3255"/>
      <c r="N154" s="3255"/>
      <c r="O154" s="3255"/>
      <c r="P154" s="3255"/>
      <c r="Q154" s="3255"/>
      <c r="R154" s="3255"/>
      <c r="S154" s="3256"/>
      <c r="U154" s="3179" t="s">
        <v>250</v>
      </c>
      <c r="V154" s="3179"/>
      <c r="Z154" s="1154">
        <v>154</v>
      </c>
    </row>
    <row r="155" spans="1:26" s="95" customFormat="1" ht="15" customHeight="1" thickBot="1">
      <c r="B155" s="334" t="s">
        <v>209</v>
      </c>
      <c r="C155" s="161" t="s">
        <v>251</v>
      </c>
      <c r="E155" s="161"/>
      <c r="H155" s="841" t="s">
        <v>249</v>
      </c>
      <c r="I155" s="3251"/>
      <c r="J155" s="3252"/>
      <c r="K155" s="3252"/>
      <c r="L155" s="3252"/>
      <c r="M155" s="3252"/>
      <c r="N155" s="3252"/>
      <c r="O155" s="3252"/>
      <c r="P155" s="3252"/>
      <c r="Q155" s="3252"/>
      <c r="R155" s="3252"/>
      <c r="S155" s="3253"/>
      <c r="U155" s="3179"/>
      <c r="V155" s="3179"/>
      <c r="Z155" s="1154">
        <v>155</v>
      </c>
    </row>
    <row r="156" spans="1:26" s="95" customFormat="1" ht="15" customHeight="1" thickBot="1">
      <c r="B156" s="334" t="s">
        <v>213</v>
      </c>
      <c r="C156" s="161" t="s">
        <v>252</v>
      </c>
      <c r="E156" s="161"/>
      <c r="H156" s="841" t="s">
        <v>249</v>
      </c>
      <c r="I156" s="3251"/>
      <c r="J156" s="3252"/>
      <c r="K156" s="3252"/>
      <c r="L156" s="3252"/>
      <c r="M156" s="3252"/>
      <c r="N156" s="3252"/>
      <c r="O156" s="3252"/>
      <c r="P156" s="3252"/>
      <c r="Q156" s="3252"/>
      <c r="R156" s="3252"/>
      <c r="S156" s="3253"/>
      <c r="U156" s="3179"/>
      <c r="V156" s="3179"/>
      <c r="Z156" s="1154">
        <v>156</v>
      </c>
    </row>
    <row r="157" spans="1:26" s="95" customFormat="1" ht="15" customHeight="1" thickBot="1">
      <c r="B157" s="334" t="s">
        <v>253</v>
      </c>
      <c r="C157" s="161" t="s">
        <v>254</v>
      </c>
      <c r="E157" s="161"/>
      <c r="H157" s="841" t="s">
        <v>249</v>
      </c>
      <c r="I157" s="3251"/>
      <c r="J157" s="3252"/>
      <c r="K157" s="3252"/>
      <c r="L157" s="3252"/>
      <c r="M157" s="3252"/>
      <c r="N157" s="3252"/>
      <c r="O157" s="3252"/>
      <c r="P157" s="3252"/>
      <c r="Q157" s="3252"/>
      <c r="R157" s="3252"/>
      <c r="S157" s="3253"/>
      <c r="U157" s="3179"/>
      <c r="V157" s="3179"/>
      <c r="Z157" s="1154">
        <v>157</v>
      </c>
    </row>
    <row r="158" spans="1:26" s="95" customFormat="1" ht="15" customHeight="1" thickBot="1">
      <c r="B158" s="334" t="s">
        <v>255</v>
      </c>
      <c r="C158" s="161" t="s">
        <v>256</v>
      </c>
      <c r="E158" s="161"/>
      <c r="H158" s="841" t="s">
        <v>249</v>
      </c>
      <c r="I158" s="3251"/>
      <c r="J158" s="3252"/>
      <c r="K158" s="3252"/>
      <c r="L158" s="3252"/>
      <c r="M158" s="3252"/>
      <c r="N158" s="3252"/>
      <c r="O158" s="3252"/>
      <c r="P158" s="3252"/>
      <c r="Q158" s="3252"/>
      <c r="R158" s="3252"/>
      <c r="S158" s="3253"/>
      <c r="U158" s="3179"/>
      <c r="V158" s="3179"/>
      <c r="Z158" s="1154">
        <v>158</v>
      </c>
    </row>
    <row r="159" spans="1:26" s="95" customFormat="1" ht="15" customHeight="1" thickBot="1">
      <c r="B159" s="334" t="s">
        <v>257</v>
      </c>
      <c r="C159" s="161" t="s">
        <v>258</v>
      </c>
      <c r="E159" s="161"/>
      <c r="H159" s="841" t="s">
        <v>249</v>
      </c>
      <c r="I159" s="3251"/>
      <c r="J159" s="3252"/>
      <c r="K159" s="3252"/>
      <c r="L159" s="3252"/>
      <c r="M159" s="3252"/>
      <c r="N159" s="3252"/>
      <c r="O159" s="3252"/>
      <c r="P159" s="3252"/>
      <c r="Q159" s="3252"/>
      <c r="R159" s="3252"/>
      <c r="S159" s="3253"/>
      <c r="U159" s="3179"/>
      <c r="V159" s="3179"/>
      <c r="Z159" s="1154">
        <v>159</v>
      </c>
    </row>
    <row r="160" spans="1:26" s="95" customFormat="1" ht="15" customHeight="1" thickBot="1">
      <c r="B160" s="334" t="s">
        <v>259</v>
      </c>
      <c r="C160" s="161" t="s">
        <v>260</v>
      </c>
      <c r="E160" s="161"/>
      <c r="H160" s="841" t="s">
        <v>249</v>
      </c>
      <c r="I160" s="3251"/>
      <c r="J160" s="3252"/>
      <c r="K160" s="3252"/>
      <c r="L160" s="3252"/>
      <c r="M160" s="3252"/>
      <c r="N160" s="3252"/>
      <c r="O160" s="3252"/>
      <c r="P160" s="3252"/>
      <c r="Q160" s="3252"/>
      <c r="R160" s="3252"/>
      <c r="S160" s="3253"/>
      <c r="Z160" s="1154">
        <v>160</v>
      </c>
    </row>
    <row r="161" spans="1:26" s="95" customFormat="1" ht="15" customHeight="1" thickBot="1">
      <c r="B161" s="334" t="s">
        <v>261</v>
      </c>
      <c r="C161" s="161" t="s">
        <v>262</v>
      </c>
      <c r="E161" s="161"/>
      <c r="H161" s="841" t="s">
        <v>249</v>
      </c>
      <c r="I161" s="3251"/>
      <c r="J161" s="3252"/>
      <c r="K161" s="3252"/>
      <c r="L161" s="3252"/>
      <c r="M161" s="3252"/>
      <c r="N161" s="3252"/>
      <c r="O161" s="3252"/>
      <c r="P161" s="3252"/>
      <c r="Q161" s="3252"/>
      <c r="R161" s="3252"/>
      <c r="S161" s="3253"/>
      <c r="Z161" s="1154">
        <v>161</v>
      </c>
    </row>
    <row r="162" spans="1:26" s="95" customFormat="1" ht="15" customHeight="1" thickBot="1">
      <c r="B162" s="334" t="s">
        <v>263</v>
      </c>
      <c r="C162" s="3345" t="s">
        <v>264</v>
      </c>
      <c r="D162" s="3346"/>
      <c r="E162" s="3346"/>
      <c r="F162" s="3346"/>
      <c r="G162" s="3347"/>
      <c r="H162" s="841" t="s">
        <v>249</v>
      </c>
      <c r="I162" s="3248"/>
      <c r="J162" s="3249"/>
      <c r="K162" s="3249"/>
      <c r="L162" s="3249"/>
      <c r="M162" s="3249"/>
      <c r="N162" s="3249"/>
      <c r="O162" s="3249"/>
      <c r="P162" s="3249"/>
      <c r="Q162" s="3249"/>
      <c r="R162" s="3249"/>
      <c r="S162" s="3250"/>
      <c r="Z162" s="1154">
        <v>162</v>
      </c>
    </row>
    <row r="163" spans="1:26" s="95" customFormat="1" ht="13.35" customHeight="1">
      <c r="A163" s="151" t="s">
        <v>44</v>
      </c>
      <c r="B163" s="151" t="s">
        <v>265</v>
      </c>
      <c r="F163" s="151"/>
      <c r="G163" s="2517"/>
      <c r="H163" s="2517"/>
      <c r="I163" s="2517"/>
      <c r="J163" s="2517"/>
      <c r="K163" s="2517"/>
      <c r="L163" s="2517"/>
      <c r="M163" s="2517"/>
      <c r="N163" s="2517"/>
      <c r="O163" s="2517"/>
      <c r="P163" s="2517"/>
      <c r="Q163" s="2517"/>
      <c r="Z163" s="1154">
        <v>163</v>
      </c>
    </row>
    <row r="164" spans="1:26" s="95" customFormat="1" ht="2.25" customHeight="1">
      <c r="A164" s="151"/>
      <c r="B164" s="151"/>
      <c r="F164" s="151"/>
      <c r="G164" s="2517"/>
      <c r="H164" s="2517"/>
      <c r="I164" s="2517"/>
      <c r="J164" s="2517"/>
      <c r="K164" s="2517"/>
      <c r="L164" s="2517"/>
      <c r="M164" s="2517"/>
      <c r="N164" s="2517"/>
      <c r="O164" s="2517"/>
      <c r="P164" s="2517"/>
      <c r="Q164" s="2517"/>
      <c r="Z164" s="1154">
        <v>164</v>
      </c>
    </row>
    <row r="165" spans="1:26" ht="13.35" customHeight="1">
      <c r="B165" s="151" t="s">
        <v>219</v>
      </c>
      <c r="C165" s="151" t="s">
        <v>266</v>
      </c>
      <c r="Z165" s="1154">
        <v>165</v>
      </c>
    </row>
    <row r="166" spans="1:26" s="95" customFormat="1" ht="12.75" customHeight="1">
      <c r="A166" s="3310" t="s">
        <v>267</v>
      </c>
      <c r="B166" s="3311"/>
      <c r="C166" s="3311"/>
      <c r="D166" s="3311"/>
      <c r="E166" s="3316" t="s">
        <v>268</v>
      </c>
      <c r="F166" s="3317"/>
      <c r="G166" s="3317"/>
      <c r="H166" s="3317"/>
      <c r="I166" s="3318"/>
      <c r="J166" s="3322" t="s">
        <v>269</v>
      </c>
      <c r="K166" s="3325" t="s">
        <v>270</v>
      </c>
      <c r="L166" s="3325" t="s">
        <v>271</v>
      </c>
      <c r="M166" s="3328" t="s">
        <v>272</v>
      </c>
      <c r="N166" s="3329"/>
      <c r="O166" s="3329"/>
      <c r="P166" s="3329"/>
      <c r="Q166" s="3329"/>
      <c r="R166" s="3329"/>
      <c r="S166" s="3330"/>
      <c r="Z166" s="1154">
        <v>166</v>
      </c>
    </row>
    <row r="167" spans="1:26" s="95" customFormat="1" ht="12.75" customHeight="1">
      <c r="A167" s="3312"/>
      <c r="B167" s="3313"/>
      <c r="C167" s="3313"/>
      <c r="D167" s="3313"/>
      <c r="E167" s="3319"/>
      <c r="F167" s="3320"/>
      <c r="G167" s="3320"/>
      <c r="H167" s="3320"/>
      <c r="I167" s="3321"/>
      <c r="J167" s="3323"/>
      <c r="K167" s="3326"/>
      <c r="L167" s="3326"/>
      <c r="M167" s="3331"/>
      <c r="N167" s="3332"/>
      <c r="O167" s="3332"/>
      <c r="P167" s="3332"/>
      <c r="Q167" s="3332"/>
      <c r="R167" s="3332"/>
      <c r="S167" s="3333"/>
      <c r="Z167" s="1154">
        <v>167</v>
      </c>
    </row>
    <row r="168" spans="1:26" s="95" customFormat="1" ht="12.75" customHeight="1">
      <c r="A168" s="3312"/>
      <c r="B168" s="3313"/>
      <c r="C168" s="3313"/>
      <c r="D168" s="3313"/>
      <c r="E168" s="3319"/>
      <c r="F168" s="3320"/>
      <c r="G168" s="3320"/>
      <c r="H168" s="3320"/>
      <c r="I168" s="3321"/>
      <c r="J168" s="3323"/>
      <c r="K168" s="3326"/>
      <c r="L168" s="3326"/>
      <c r="M168" s="3331"/>
      <c r="N168" s="3332"/>
      <c r="O168" s="3332"/>
      <c r="P168" s="3332"/>
      <c r="Q168" s="3332"/>
      <c r="R168" s="3332"/>
      <c r="S168" s="3333"/>
      <c r="Z168" s="1154">
        <v>168</v>
      </c>
    </row>
    <row r="169" spans="1:26" s="95" customFormat="1" ht="12.75" customHeight="1">
      <c r="A169" s="3312"/>
      <c r="B169" s="3313"/>
      <c r="C169" s="3313"/>
      <c r="D169" s="3313"/>
      <c r="E169" s="3334" t="s">
        <v>273</v>
      </c>
      <c r="F169" s="3335"/>
      <c r="G169" s="3335"/>
      <c r="H169" s="3336"/>
      <c r="I169" s="338"/>
      <c r="J169" s="3323"/>
      <c r="K169" s="3326"/>
      <c r="L169" s="3326"/>
      <c r="M169" s="3331"/>
      <c r="N169" s="3332"/>
      <c r="O169" s="3332"/>
      <c r="P169" s="3332"/>
      <c r="Q169" s="3332"/>
      <c r="R169" s="3332"/>
      <c r="S169" s="3333"/>
      <c r="Z169" s="1154">
        <v>169</v>
      </c>
    </row>
    <row r="170" spans="1:26" s="95" customFormat="1" ht="13.5" customHeight="1">
      <c r="A170" s="3314"/>
      <c r="B170" s="3315"/>
      <c r="C170" s="3315"/>
      <c r="D170" s="3315"/>
      <c r="E170" s="3337"/>
      <c r="F170" s="3338"/>
      <c r="G170" s="3338"/>
      <c r="H170" s="3339"/>
      <c r="I170" s="842" t="s">
        <v>246</v>
      </c>
      <c r="J170" s="3324"/>
      <c r="K170" s="3327"/>
      <c r="L170" s="3326"/>
      <c r="M170" s="843" t="s">
        <v>246</v>
      </c>
      <c r="N170" s="3340" t="s">
        <v>274</v>
      </c>
      <c r="O170" s="3340"/>
      <c r="P170" s="3340"/>
      <c r="Q170" s="3340"/>
      <c r="R170" s="3340"/>
      <c r="S170" s="3341"/>
      <c r="Z170" s="1154">
        <v>170</v>
      </c>
    </row>
    <row r="171" spans="1:26" s="95" customFormat="1" ht="23.25" customHeight="1">
      <c r="A171" s="3305" t="s">
        <v>275</v>
      </c>
      <c r="B171" s="3306"/>
      <c r="C171" s="3306"/>
      <c r="D171" s="3307"/>
      <c r="E171" s="3308"/>
      <c r="F171" s="3255"/>
      <c r="G171" s="3255"/>
      <c r="H171" s="3255"/>
      <c r="I171" s="2647" t="s">
        <v>249</v>
      </c>
      <c r="J171" s="2648" t="s">
        <v>249</v>
      </c>
      <c r="K171" s="2648"/>
      <c r="L171" s="2649"/>
      <c r="M171" s="2650" t="s">
        <v>249</v>
      </c>
      <c r="N171" s="3309"/>
      <c r="O171" s="3255"/>
      <c r="P171" s="3255"/>
      <c r="Q171" s="3255"/>
      <c r="R171" s="3255"/>
      <c r="S171" s="3256"/>
      <c r="Z171" s="1154">
        <v>171</v>
      </c>
    </row>
    <row r="172" spans="1:26" s="95" customFormat="1" ht="23.25" customHeight="1">
      <c r="A172" s="3300" t="s">
        <v>276</v>
      </c>
      <c r="B172" s="3301"/>
      <c r="C172" s="3301"/>
      <c r="D172" s="3302"/>
      <c r="E172" s="3303"/>
      <c r="F172" s="3252"/>
      <c r="G172" s="3252"/>
      <c r="H172" s="3252"/>
      <c r="I172" s="475" t="s">
        <v>249</v>
      </c>
      <c r="J172" s="335" t="s">
        <v>249</v>
      </c>
      <c r="K172" s="335"/>
      <c r="L172" s="477"/>
      <c r="M172" s="339" t="s">
        <v>249</v>
      </c>
      <c r="N172" s="3304"/>
      <c r="O172" s="3252"/>
      <c r="P172" s="3252"/>
      <c r="Q172" s="3252"/>
      <c r="R172" s="3252"/>
      <c r="S172" s="3253"/>
      <c r="U172" s="3179" t="s">
        <v>250</v>
      </c>
      <c r="V172" s="3179"/>
      <c r="Z172" s="1154">
        <v>172</v>
      </c>
    </row>
    <row r="173" spans="1:26" s="95" customFormat="1" ht="23.25" customHeight="1">
      <c r="A173" s="3300" t="s">
        <v>277</v>
      </c>
      <c r="B173" s="3301"/>
      <c r="C173" s="3301"/>
      <c r="D173" s="3302"/>
      <c r="E173" s="3303"/>
      <c r="F173" s="3252"/>
      <c r="G173" s="3252"/>
      <c r="H173" s="3252"/>
      <c r="I173" s="475" t="s">
        <v>249</v>
      </c>
      <c r="J173" s="335" t="s">
        <v>249</v>
      </c>
      <c r="K173" s="335"/>
      <c r="L173" s="477"/>
      <c r="M173" s="339" t="s">
        <v>249</v>
      </c>
      <c r="N173" s="3304"/>
      <c r="O173" s="3252"/>
      <c r="P173" s="3252"/>
      <c r="Q173" s="3252"/>
      <c r="R173" s="3252"/>
      <c r="S173" s="3253"/>
      <c r="U173" s="3179"/>
      <c r="V173" s="3179"/>
      <c r="Z173" s="1154">
        <v>173</v>
      </c>
    </row>
    <row r="174" spans="1:26" s="95" customFormat="1" ht="23.25" customHeight="1">
      <c r="A174" s="3300" t="s">
        <v>278</v>
      </c>
      <c r="B174" s="3301"/>
      <c r="C174" s="3301"/>
      <c r="D174" s="3302"/>
      <c r="E174" s="3303"/>
      <c r="F174" s="3252"/>
      <c r="G174" s="3252"/>
      <c r="H174" s="3252"/>
      <c r="I174" s="475" t="s">
        <v>249</v>
      </c>
      <c r="J174" s="335" t="s">
        <v>249</v>
      </c>
      <c r="K174" s="335"/>
      <c r="L174" s="477"/>
      <c r="M174" s="339" t="s">
        <v>249</v>
      </c>
      <c r="N174" s="3304"/>
      <c r="O174" s="3252"/>
      <c r="P174" s="3252"/>
      <c r="Q174" s="3252"/>
      <c r="R174" s="3252"/>
      <c r="S174" s="3253"/>
      <c r="U174" s="3179"/>
      <c r="V174" s="3179"/>
      <c r="Z174" s="1154">
        <v>174</v>
      </c>
    </row>
    <row r="175" spans="1:26" s="95" customFormat="1" ht="23.25" customHeight="1">
      <c r="A175" s="3300" t="s">
        <v>279</v>
      </c>
      <c r="B175" s="3301"/>
      <c r="C175" s="3301"/>
      <c r="D175" s="3302"/>
      <c r="E175" s="3303"/>
      <c r="F175" s="3252"/>
      <c r="G175" s="3252"/>
      <c r="H175" s="3252"/>
      <c r="I175" s="475" t="s">
        <v>249</v>
      </c>
      <c r="J175" s="335" t="s">
        <v>249</v>
      </c>
      <c r="K175" s="335"/>
      <c r="L175" s="477"/>
      <c r="M175" s="339" t="s">
        <v>249</v>
      </c>
      <c r="N175" s="3304"/>
      <c r="O175" s="3252"/>
      <c r="P175" s="3252"/>
      <c r="Q175" s="3252"/>
      <c r="R175" s="3252"/>
      <c r="S175" s="3253"/>
      <c r="U175" s="3179"/>
      <c r="V175" s="3179"/>
      <c r="Z175" s="1154">
        <v>175</v>
      </c>
    </row>
    <row r="176" spans="1:26" s="95" customFormat="1" ht="23.25" customHeight="1">
      <c r="A176" s="3300" t="s">
        <v>280</v>
      </c>
      <c r="B176" s="3301"/>
      <c r="C176" s="3301"/>
      <c r="D176" s="3302"/>
      <c r="E176" s="3303"/>
      <c r="F176" s="3252"/>
      <c r="G176" s="3252"/>
      <c r="H176" s="3252"/>
      <c r="I176" s="475" t="s">
        <v>249</v>
      </c>
      <c r="J176" s="335" t="s">
        <v>249</v>
      </c>
      <c r="K176" s="335"/>
      <c r="L176" s="477"/>
      <c r="M176" s="339" t="s">
        <v>249</v>
      </c>
      <c r="N176" s="3304"/>
      <c r="O176" s="3252"/>
      <c r="P176" s="3252"/>
      <c r="Q176" s="3252"/>
      <c r="R176" s="3252"/>
      <c r="S176" s="3253"/>
      <c r="U176" s="3179"/>
      <c r="V176" s="3179"/>
      <c r="Z176" s="1154">
        <v>176</v>
      </c>
    </row>
    <row r="177" spans="1:26" s="95" customFormat="1" ht="23.25" customHeight="1">
      <c r="A177" s="3300" t="s">
        <v>281</v>
      </c>
      <c r="B177" s="3301"/>
      <c r="C177" s="3301"/>
      <c r="D177" s="3302"/>
      <c r="E177" s="3303"/>
      <c r="F177" s="3252"/>
      <c r="G177" s="3252"/>
      <c r="H177" s="3252"/>
      <c r="I177" s="475" t="s">
        <v>249</v>
      </c>
      <c r="J177" s="335" t="s">
        <v>249</v>
      </c>
      <c r="K177" s="335"/>
      <c r="L177" s="477"/>
      <c r="M177" s="339" t="s">
        <v>249</v>
      </c>
      <c r="N177" s="3304"/>
      <c r="O177" s="3252"/>
      <c r="P177" s="3252"/>
      <c r="Q177" s="3252"/>
      <c r="R177" s="3252"/>
      <c r="S177" s="3253"/>
      <c r="U177" s="3179"/>
      <c r="V177" s="3179"/>
      <c r="Z177" s="1154">
        <v>177</v>
      </c>
    </row>
    <row r="178" spans="1:26" s="95" customFormat="1" ht="23.25" customHeight="1">
      <c r="A178" s="3300" t="s">
        <v>282</v>
      </c>
      <c r="B178" s="3301"/>
      <c r="C178" s="3301"/>
      <c r="D178" s="3302"/>
      <c r="E178" s="3303"/>
      <c r="F178" s="3252"/>
      <c r="G178" s="3252"/>
      <c r="H178" s="3252"/>
      <c r="I178" s="475" t="s">
        <v>249</v>
      </c>
      <c r="J178" s="335" t="s">
        <v>249</v>
      </c>
      <c r="K178" s="335"/>
      <c r="L178" s="477"/>
      <c r="M178" s="339" t="s">
        <v>249</v>
      </c>
      <c r="N178" s="3304"/>
      <c r="O178" s="3252"/>
      <c r="P178" s="3252"/>
      <c r="Q178" s="3252"/>
      <c r="R178" s="3252"/>
      <c r="S178" s="3253"/>
      <c r="Z178" s="1154">
        <v>178</v>
      </c>
    </row>
    <row r="179" spans="1:26" s="95" customFormat="1" ht="23.25" customHeight="1">
      <c r="A179" s="3300" t="s">
        <v>283</v>
      </c>
      <c r="B179" s="3301"/>
      <c r="C179" s="3301"/>
      <c r="D179" s="3302"/>
      <c r="E179" s="3303"/>
      <c r="F179" s="3252"/>
      <c r="G179" s="3252"/>
      <c r="H179" s="3252"/>
      <c r="I179" s="475" t="s">
        <v>249</v>
      </c>
      <c r="J179" s="335" t="s">
        <v>249</v>
      </c>
      <c r="K179" s="335"/>
      <c r="L179" s="477"/>
      <c r="M179" s="339" t="s">
        <v>249</v>
      </c>
      <c r="N179" s="3304"/>
      <c r="O179" s="3252"/>
      <c r="P179" s="3252"/>
      <c r="Q179" s="3252"/>
      <c r="R179" s="3252"/>
      <c r="S179" s="3253"/>
      <c r="Z179" s="1154">
        <v>179</v>
      </c>
    </row>
    <row r="180" spans="1:26" s="95" customFormat="1" ht="23.25" customHeight="1">
      <c r="A180" s="3300" t="s">
        <v>284</v>
      </c>
      <c r="B180" s="3301"/>
      <c r="C180" s="3301"/>
      <c r="D180" s="3302"/>
      <c r="E180" s="3303"/>
      <c r="F180" s="3252"/>
      <c r="G180" s="3252"/>
      <c r="H180" s="3252"/>
      <c r="I180" s="475" t="s">
        <v>249</v>
      </c>
      <c r="J180" s="335" t="s">
        <v>249</v>
      </c>
      <c r="K180" s="335"/>
      <c r="L180" s="477"/>
      <c r="M180" s="339" t="s">
        <v>249</v>
      </c>
      <c r="N180" s="3304"/>
      <c r="O180" s="3252"/>
      <c r="P180" s="3252"/>
      <c r="Q180" s="3252"/>
      <c r="R180" s="3252"/>
      <c r="S180" s="3253"/>
      <c r="Z180" s="1154">
        <v>180</v>
      </c>
    </row>
    <row r="181" spans="1:26" s="95" customFormat="1" ht="23.25" customHeight="1">
      <c r="A181" s="3300" t="s">
        <v>285</v>
      </c>
      <c r="B181" s="3301"/>
      <c r="C181" s="3301"/>
      <c r="D181" s="3302"/>
      <c r="E181" s="3303"/>
      <c r="F181" s="3252"/>
      <c r="G181" s="3252"/>
      <c r="H181" s="3252"/>
      <c r="I181" s="475" t="s">
        <v>249</v>
      </c>
      <c r="J181" s="335" t="s">
        <v>249</v>
      </c>
      <c r="K181" s="335"/>
      <c r="L181" s="477"/>
      <c r="M181" s="339" t="s">
        <v>249</v>
      </c>
      <c r="N181" s="3304"/>
      <c r="O181" s="3252"/>
      <c r="P181" s="3252"/>
      <c r="Q181" s="3252"/>
      <c r="R181" s="3252"/>
      <c r="S181" s="3253"/>
      <c r="Z181" s="1154">
        <v>181</v>
      </c>
    </row>
    <row r="182" spans="1:26" s="95" customFormat="1" ht="23.25" customHeight="1">
      <c r="A182" s="3300" t="s">
        <v>286</v>
      </c>
      <c r="B182" s="3301"/>
      <c r="C182" s="3301"/>
      <c r="D182" s="3302"/>
      <c r="E182" s="3303"/>
      <c r="F182" s="3252"/>
      <c r="G182" s="3252"/>
      <c r="H182" s="3252"/>
      <c r="I182" s="475" t="s">
        <v>249</v>
      </c>
      <c r="J182" s="335" t="s">
        <v>249</v>
      </c>
      <c r="K182" s="335"/>
      <c r="L182" s="477"/>
      <c r="M182" s="339" t="s">
        <v>249</v>
      </c>
      <c r="N182" s="3304"/>
      <c r="O182" s="3252"/>
      <c r="P182" s="3252"/>
      <c r="Q182" s="3252"/>
      <c r="R182" s="3252"/>
      <c r="S182" s="3253"/>
      <c r="Z182" s="1154">
        <v>182</v>
      </c>
    </row>
    <row r="183" spans="1:26" s="95" customFormat="1" ht="23.25" customHeight="1">
      <c r="A183" s="3295" t="s">
        <v>287</v>
      </c>
      <c r="B183" s="3296"/>
      <c r="C183" s="3296"/>
      <c r="D183" s="3297"/>
      <c r="E183" s="3298"/>
      <c r="F183" s="3249"/>
      <c r="G183" s="3249"/>
      <c r="H183" s="3249"/>
      <c r="I183" s="476" t="s">
        <v>249</v>
      </c>
      <c r="J183" s="336" t="s">
        <v>249</v>
      </c>
      <c r="K183" s="336"/>
      <c r="L183" s="478"/>
      <c r="M183" s="340" t="s">
        <v>249</v>
      </c>
      <c r="N183" s="3299"/>
      <c r="O183" s="3249"/>
      <c r="P183" s="3249"/>
      <c r="Q183" s="3249"/>
      <c r="R183" s="3249"/>
      <c r="S183" s="3250"/>
      <c r="Z183" s="1154">
        <v>183</v>
      </c>
    </row>
    <row r="184" spans="1:26" s="95" customFormat="1" ht="12" customHeight="1">
      <c r="G184" s="151"/>
      <c r="H184" s="151"/>
      <c r="I184" s="151"/>
      <c r="J184" s="2517"/>
      <c r="K184" s="160" t="s">
        <v>288</v>
      </c>
      <c r="L184" s="304">
        <f>SUM(L171:L183)</f>
        <v>0</v>
      </c>
      <c r="M184" s="2517"/>
      <c r="P184" s="96"/>
      <c r="Z184" s="1154">
        <v>184</v>
      </c>
    </row>
    <row r="185" spans="1:26" ht="11.25" customHeight="1">
      <c r="A185" s="159" t="s">
        <v>67</v>
      </c>
      <c r="B185" s="159"/>
      <c r="C185" s="159" t="s">
        <v>68</v>
      </c>
      <c r="N185" s="159" t="s">
        <v>67</v>
      </c>
      <c r="O185" s="159" t="s">
        <v>70</v>
      </c>
      <c r="Z185" s="1154">
        <v>185</v>
      </c>
    </row>
    <row r="186" spans="1:26" ht="105.75" customHeight="1">
      <c r="A186" s="3217"/>
      <c r="B186" s="3218"/>
      <c r="C186" s="3218"/>
      <c r="D186" s="3218"/>
      <c r="E186" s="3218"/>
      <c r="F186" s="3218"/>
      <c r="G186" s="3218"/>
      <c r="H186" s="3218"/>
      <c r="I186" s="3218"/>
      <c r="J186" s="3218"/>
      <c r="K186" s="3218"/>
      <c r="L186" s="3218"/>
      <c r="M186" s="3219"/>
      <c r="N186" s="3220"/>
      <c r="O186" s="3221"/>
      <c r="P186" s="3221"/>
      <c r="Q186" s="3221"/>
      <c r="R186" s="3221"/>
      <c r="S186" s="3222"/>
      <c r="T186" s="3179" t="s">
        <v>289</v>
      </c>
      <c r="U186" s="3179"/>
      <c r="V186" s="3179"/>
      <c r="W186" s="3179"/>
      <c r="X186" s="3179"/>
      <c r="Z186" s="1154">
        <v>186</v>
      </c>
    </row>
    <row r="187" spans="1:26" s="95" customFormat="1" ht="12" customHeight="1">
      <c r="A187" s="134"/>
      <c r="B187" s="96"/>
      <c r="C187" s="96"/>
      <c r="D187" s="96"/>
      <c r="E187" s="96"/>
      <c r="F187" s="96"/>
      <c r="G187" s="96"/>
      <c r="H187" s="96"/>
      <c r="I187" s="96"/>
      <c r="J187" s="96"/>
      <c r="K187" s="96"/>
      <c r="L187" s="96"/>
      <c r="M187" s="96"/>
      <c r="N187" s="96"/>
      <c r="O187" s="96"/>
      <c r="T187" s="3179"/>
      <c r="U187" s="3179"/>
      <c r="V187" s="3179"/>
      <c r="W187" s="3179"/>
      <c r="X187" s="3179"/>
      <c r="Z187" s="1154"/>
    </row>
    <row r="188" spans="1:26" s="95" customFormat="1" ht="12" customHeight="1">
      <c r="A188" s="267"/>
      <c r="B188" s="96"/>
      <c r="C188" s="96"/>
      <c r="D188" s="96"/>
      <c r="E188" s="96"/>
      <c r="F188" s="96"/>
      <c r="G188" s="96"/>
      <c r="H188" s="96"/>
      <c r="I188" s="96"/>
      <c r="J188" s="96"/>
      <c r="K188" s="96"/>
      <c r="L188" s="96"/>
      <c r="M188" s="96"/>
      <c r="N188" s="96"/>
      <c r="O188" s="96"/>
      <c r="Z188" s="1154"/>
    </row>
    <row r="189" spans="1:26" s="95" customFormat="1" ht="12" customHeight="1">
      <c r="A189" s="134"/>
      <c r="B189" s="96"/>
      <c r="C189" s="96"/>
      <c r="D189" s="96"/>
      <c r="E189" s="96"/>
      <c r="F189" s="96"/>
      <c r="G189" s="96"/>
      <c r="H189" s="96"/>
      <c r="I189" s="96"/>
      <c r="J189" s="96"/>
      <c r="K189" s="96"/>
      <c r="L189" s="96"/>
      <c r="M189" s="96"/>
      <c r="N189" s="96"/>
      <c r="O189" s="96"/>
      <c r="Z189" s="1154"/>
    </row>
    <row r="190" spans="1:26" s="95" customFormat="1" ht="12" customHeight="1">
      <c r="A190" s="134"/>
      <c r="B190" s="96"/>
      <c r="C190" s="96"/>
      <c r="D190" s="96"/>
      <c r="E190" s="96"/>
      <c r="F190" s="96"/>
      <c r="G190" s="96"/>
      <c r="H190" s="96"/>
      <c r="I190" s="96"/>
      <c r="J190" s="96"/>
      <c r="K190" s="96"/>
      <c r="L190" s="96"/>
      <c r="M190" s="96"/>
      <c r="N190" s="96"/>
      <c r="O190" s="96"/>
      <c r="Z190" s="1154"/>
    </row>
    <row r="191" spans="1:26" s="95" customFormat="1" ht="12" customHeight="1">
      <c r="B191" s="96"/>
      <c r="C191" s="96"/>
      <c r="D191" s="96"/>
      <c r="E191" s="96"/>
      <c r="F191" s="96"/>
      <c r="G191" s="96"/>
      <c r="H191" s="96"/>
      <c r="I191" s="96"/>
      <c r="J191" s="96"/>
      <c r="K191" s="96"/>
      <c r="L191" s="96"/>
      <c r="M191" s="96"/>
      <c r="N191" s="96"/>
      <c r="O191" s="96"/>
      <c r="P191" s="177" t="s">
        <v>193</v>
      </c>
      <c r="Z191" s="1154"/>
    </row>
    <row r="192" spans="1:26" s="95" customFormat="1" ht="12" customHeight="1">
      <c r="A192" s="165"/>
      <c r="B192" s="96"/>
      <c r="C192" s="96"/>
      <c r="D192" s="96"/>
      <c r="E192" s="96"/>
      <c r="F192" s="96"/>
      <c r="G192" s="96"/>
      <c r="H192" s="96"/>
      <c r="I192" s="96"/>
      <c r="J192" s="96"/>
      <c r="K192" s="96"/>
      <c r="L192" s="96"/>
      <c r="M192" s="96"/>
      <c r="N192" s="96"/>
      <c r="O192" s="96"/>
      <c r="P192" s="178" t="s">
        <v>290</v>
      </c>
      <c r="Z192" s="1154"/>
    </row>
    <row r="193" spans="1:26" s="95" customFormat="1" ht="12" customHeight="1">
      <c r="A193" s="165"/>
      <c r="B193" s="96"/>
      <c r="C193" s="96"/>
      <c r="D193" s="96"/>
      <c r="E193" s="96"/>
      <c r="F193" s="96"/>
      <c r="G193" s="96"/>
      <c r="H193" s="96"/>
      <c r="I193" s="96"/>
      <c r="J193" s="96"/>
      <c r="K193" s="96"/>
      <c r="L193" s="96"/>
      <c r="M193" s="96"/>
      <c r="N193" s="96"/>
      <c r="O193" s="96"/>
      <c r="P193" s="178" t="s">
        <v>291</v>
      </c>
      <c r="Z193" s="1154"/>
    </row>
    <row r="194" spans="1:26" s="95" customFormat="1" ht="12" customHeight="1">
      <c r="A194" s="165"/>
      <c r="B194" s="96"/>
      <c r="C194" s="96"/>
      <c r="D194" s="96"/>
      <c r="E194" s="96"/>
      <c r="F194" s="96"/>
      <c r="G194" s="96"/>
      <c r="H194" s="96"/>
      <c r="I194" s="96"/>
      <c r="J194" s="96"/>
      <c r="K194" s="96"/>
      <c r="L194" s="96"/>
      <c r="M194" s="96"/>
      <c r="N194" s="96"/>
      <c r="O194" s="96"/>
      <c r="P194" s="178" t="s">
        <v>292</v>
      </c>
      <c r="Z194" s="1154"/>
    </row>
    <row r="195" spans="1:26" s="95" customFormat="1" ht="12" customHeight="1">
      <c r="A195" s="267"/>
      <c r="B195" s="96"/>
      <c r="C195" s="96"/>
      <c r="D195" s="96"/>
      <c r="E195" s="96"/>
      <c r="F195" s="96"/>
      <c r="G195" s="96"/>
      <c r="H195" s="96"/>
      <c r="I195" s="96"/>
      <c r="J195" s="96"/>
      <c r="K195" s="96"/>
      <c r="L195" s="96"/>
      <c r="M195" s="96"/>
      <c r="N195" s="96"/>
      <c r="O195" s="96"/>
      <c r="P195" s="178" t="s">
        <v>293</v>
      </c>
      <c r="Z195" s="1154"/>
    </row>
    <row r="196" spans="1:26" s="95" customFormat="1" ht="12" customHeight="1">
      <c r="B196" s="96"/>
      <c r="C196" s="96"/>
      <c r="D196" s="96"/>
      <c r="E196" s="96"/>
      <c r="F196" s="96"/>
      <c r="G196" s="96"/>
      <c r="H196" s="96"/>
      <c r="I196" s="96"/>
      <c r="J196" s="96"/>
      <c r="K196" s="96"/>
      <c r="L196" s="96"/>
      <c r="M196" s="96"/>
      <c r="N196" s="96"/>
      <c r="O196" s="96"/>
      <c r="P196" s="178" t="s">
        <v>294</v>
      </c>
      <c r="Z196" s="1154"/>
    </row>
    <row r="197" spans="1:26" s="95" customFormat="1" ht="12" customHeight="1">
      <c r="B197" s="96"/>
      <c r="C197" s="96"/>
      <c r="D197" s="96"/>
      <c r="E197" s="96"/>
      <c r="F197" s="96"/>
      <c r="G197" s="96"/>
      <c r="H197" s="96"/>
      <c r="I197" s="96"/>
      <c r="J197" s="96"/>
      <c r="K197" s="96"/>
      <c r="L197" s="96"/>
      <c r="M197" s="96"/>
      <c r="N197" s="96"/>
      <c r="O197" s="96"/>
      <c r="P197" s="178" t="s">
        <v>295</v>
      </c>
      <c r="Z197" s="1154"/>
    </row>
    <row r="198" spans="1:26" s="95" customFormat="1" ht="12" customHeight="1">
      <c r="B198" s="96"/>
      <c r="C198" s="96"/>
      <c r="D198" s="96"/>
      <c r="E198" s="96"/>
      <c r="F198" s="96"/>
      <c r="G198" s="96"/>
      <c r="H198" s="96"/>
      <c r="I198" s="96"/>
      <c r="J198" s="96"/>
      <c r="K198" s="96"/>
      <c r="L198" s="96"/>
      <c r="M198" s="96"/>
      <c r="N198" s="96"/>
      <c r="O198" s="96"/>
      <c r="P198" s="178" t="s">
        <v>296</v>
      </c>
      <c r="Z198" s="1154"/>
    </row>
    <row r="199" spans="1:26" s="95" customFormat="1" ht="12" customHeight="1">
      <c r="B199" s="96"/>
      <c r="C199" s="96"/>
      <c r="D199" s="96"/>
      <c r="E199" s="96"/>
      <c r="F199" s="96"/>
      <c r="G199" s="96"/>
      <c r="H199" s="96"/>
      <c r="I199" s="96"/>
      <c r="J199" s="96"/>
      <c r="K199" s="96"/>
      <c r="L199" s="96"/>
      <c r="M199" s="96"/>
      <c r="N199" s="96"/>
      <c r="O199" s="96"/>
      <c r="P199" s="178" t="s">
        <v>297</v>
      </c>
      <c r="Z199" s="1154"/>
    </row>
    <row r="200" spans="1:26" ht="12" customHeight="1">
      <c r="P200" s="178" t="s">
        <v>298</v>
      </c>
    </row>
    <row r="201" spans="1:26" ht="12" customHeight="1">
      <c r="A201" s="159"/>
      <c r="P201" s="178" t="s">
        <v>299</v>
      </c>
    </row>
    <row r="202" spans="1:26" ht="12" customHeight="1">
      <c r="P202" s="178" t="s">
        <v>300</v>
      </c>
    </row>
    <row r="203" spans="1:26" ht="12" customHeight="1">
      <c r="P203" s="178" t="s">
        <v>301</v>
      </c>
    </row>
    <row r="204" spans="1:26" ht="12" customHeight="1">
      <c r="P204" s="178" t="s">
        <v>302</v>
      </c>
    </row>
    <row r="205" spans="1:26" ht="12" customHeight="1">
      <c r="P205" s="178" t="s">
        <v>303</v>
      </c>
    </row>
    <row r="206" spans="1:26" ht="12" customHeight="1">
      <c r="P206" s="178" t="s">
        <v>304</v>
      </c>
    </row>
    <row r="207" spans="1:26" ht="12" customHeight="1">
      <c r="P207" s="178" t="s">
        <v>305</v>
      </c>
    </row>
    <row r="208" spans="1:26" ht="12" customHeight="1">
      <c r="P208" s="178" t="s">
        <v>306</v>
      </c>
    </row>
    <row r="209" spans="16:16" ht="12" customHeight="1">
      <c r="P209" s="178" t="s">
        <v>307</v>
      </c>
    </row>
    <row r="210" spans="16:16" ht="12" customHeight="1">
      <c r="P210" s="178" t="s">
        <v>308</v>
      </c>
    </row>
    <row r="211" spans="16:16" ht="12" customHeight="1">
      <c r="P211" s="178" t="s">
        <v>309</v>
      </c>
    </row>
    <row r="212" spans="16:16" ht="12" customHeight="1">
      <c r="P212" s="178" t="s">
        <v>310</v>
      </c>
    </row>
    <row r="213" spans="16:16" ht="12" customHeight="1">
      <c r="P213" s="178" t="s">
        <v>311</v>
      </c>
    </row>
    <row r="214" spans="16:16" ht="12" customHeight="1">
      <c r="P214" s="178" t="s">
        <v>312</v>
      </c>
    </row>
    <row r="215" spans="16:16" ht="12" customHeight="1">
      <c r="P215" s="178" t="s">
        <v>313</v>
      </c>
    </row>
    <row r="216" spans="16:16" ht="12" customHeight="1">
      <c r="P216" s="178" t="s">
        <v>314</v>
      </c>
    </row>
    <row r="217" spans="16:16" ht="12" customHeight="1">
      <c r="P217" s="178" t="s">
        <v>315</v>
      </c>
    </row>
    <row r="218" spans="16:16" ht="12" customHeight="1">
      <c r="P218" s="178" t="s">
        <v>316</v>
      </c>
    </row>
    <row r="219" spans="16:16" ht="12" customHeight="1">
      <c r="P219" s="178" t="s">
        <v>317</v>
      </c>
    </row>
    <row r="220" spans="16:16" ht="12" customHeight="1">
      <c r="P220" s="178" t="s">
        <v>318</v>
      </c>
    </row>
    <row r="221" spans="16:16" ht="12" customHeight="1">
      <c r="P221" s="178" t="s">
        <v>319</v>
      </c>
    </row>
    <row r="222" spans="16:16">
      <c r="P222" s="178" t="s">
        <v>320</v>
      </c>
    </row>
    <row r="223" spans="16:16" ht="12" customHeight="1">
      <c r="P223" s="178" t="s">
        <v>321</v>
      </c>
    </row>
    <row r="224" spans="16:16" ht="12" customHeight="1">
      <c r="P224" s="178" t="s">
        <v>322</v>
      </c>
    </row>
    <row r="225" spans="16:16" ht="12" customHeight="1">
      <c r="P225" s="178" t="s">
        <v>323</v>
      </c>
    </row>
    <row r="226" spans="16:16" ht="12" customHeight="1">
      <c r="P226" s="178" t="s">
        <v>324</v>
      </c>
    </row>
    <row r="227" spans="16:16" ht="12" customHeight="1">
      <c r="P227" s="178" t="s">
        <v>325</v>
      </c>
    </row>
    <row r="228" spans="16:16" ht="12" customHeight="1">
      <c r="P228" s="178" t="s">
        <v>326</v>
      </c>
    </row>
    <row r="229" spans="16:16" ht="12" customHeight="1">
      <c r="P229" s="178" t="s">
        <v>327</v>
      </c>
    </row>
    <row r="230" spans="16:16" ht="12" customHeight="1">
      <c r="P230" s="178" t="s">
        <v>328</v>
      </c>
    </row>
    <row r="231" spans="16:16" ht="12" customHeight="1">
      <c r="P231" s="178" t="s">
        <v>329</v>
      </c>
    </row>
    <row r="232" spans="16:16" ht="12" customHeight="1">
      <c r="P232" s="178" t="s">
        <v>330</v>
      </c>
    </row>
    <row r="233" spans="16:16" ht="12" customHeight="1">
      <c r="P233" s="178" t="s">
        <v>331</v>
      </c>
    </row>
    <row r="234" spans="16:16" ht="12" customHeight="1">
      <c r="P234" s="178" t="s">
        <v>332</v>
      </c>
    </row>
    <row r="235" spans="16:16" ht="12" customHeight="1">
      <c r="P235" s="178" t="s">
        <v>333</v>
      </c>
    </row>
    <row r="236" spans="16:16" ht="12" customHeight="1">
      <c r="P236" s="178" t="s">
        <v>334</v>
      </c>
    </row>
    <row r="237" spans="16:16" ht="12" customHeight="1">
      <c r="P237" s="178" t="s">
        <v>335</v>
      </c>
    </row>
    <row r="238" spans="16:16" ht="12" customHeight="1">
      <c r="P238" s="178" t="s">
        <v>336</v>
      </c>
    </row>
    <row r="239" spans="16:16" ht="12" customHeight="1">
      <c r="P239" s="178" t="s">
        <v>337</v>
      </c>
    </row>
    <row r="240" spans="16:16" ht="12" customHeight="1">
      <c r="P240" s="178" t="s">
        <v>338</v>
      </c>
    </row>
    <row r="241" spans="16:16" ht="12" customHeight="1">
      <c r="P241" s="178" t="s">
        <v>339</v>
      </c>
    </row>
    <row r="242" spans="16:16" ht="12" customHeight="1">
      <c r="P242" s="178" t="s">
        <v>340</v>
      </c>
    </row>
  </sheetData>
  <sheetProtection algorithmName="SHA-512" hashValue="pwuHYuNlYDJq50Om64tKoAOFeOiAbIl0RyJRgKVO02CIif0o6MZtaFDyuuEkwcQinjHZHtUXQ8hGGMnaqhXSyg==" saltValue="VVqriU5RHqV7veIVV+p5xg==" spinCount="100000" sheet="1" objects="1" scenarios="1" formatRows="0"/>
  <mergeCells count="310">
    <mergeCell ref="I153:S153"/>
    <mergeCell ref="C162:G162"/>
    <mergeCell ref="H141:N141"/>
    <mergeCell ref="Q141:S141"/>
    <mergeCell ref="J142:K142"/>
    <mergeCell ref="M142:S142"/>
    <mergeCell ref="H136:J136"/>
    <mergeCell ref="L136:N136"/>
    <mergeCell ref="Q136:S136"/>
    <mergeCell ref="H137:N137"/>
    <mergeCell ref="Q137:S137"/>
    <mergeCell ref="J138:K138"/>
    <mergeCell ref="M138:S138"/>
    <mergeCell ref="H140:J140"/>
    <mergeCell ref="L140:N140"/>
    <mergeCell ref="Q140:S140"/>
    <mergeCell ref="A153:E153"/>
    <mergeCell ref="H145:N145"/>
    <mergeCell ref="Q145:S145"/>
    <mergeCell ref="J146:K146"/>
    <mergeCell ref="M146:S146"/>
    <mergeCell ref="H148:J148"/>
    <mergeCell ref="L148:N148"/>
    <mergeCell ref="Q148:S148"/>
    <mergeCell ref="J130:K130"/>
    <mergeCell ref="M130:S130"/>
    <mergeCell ref="H132:J132"/>
    <mergeCell ref="L132:N132"/>
    <mergeCell ref="Q132:S132"/>
    <mergeCell ref="H133:N133"/>
    <mergeCell ref="Q133:S133"/>
    <mergeCell ref="J134:K134"/>
    <mergeCell ref="M134:S134"/>
    <mergeCell ref="A171:D171"/>
    <mergeCell ref="E171:H171"/>
    <mergeCell ref="N171:S171"/>
    <mergeCell ref="A172:D172"/>
    <mergeCell ref="E172:H172"/>
    <mergeCell ref="N172:S172"/>
    <mergeCell ref="A166:D170"/>
    <mergeCell ref="E166:I168"/>
    <mergeCell ref="J166:J170"/>
    <mergeCell ref="K166:K170"/>
    <mergeCell ref="L166:L170"/>
    <mergeCell ref="M166:S169"/>
    <mergeCell ref="E169:H170"/>
    <mergeCell ref="N170:S170"/>
    <mergeCell ref="A175:D175"/>
    <mergeCell ref="E175:H175"/>
    <mergeCell ref="N175:S175"/>
    <mergeCell ref="A176:D176"/>
    <mergeCell ref="E176:H176"/>
    <mergeCell ref="N176:S176"/>
    <mergeCell ref="A173:D173"/>
    <mergeCell ref="E173:H173"/>
    <mergeCell ref="N173:S173"/>
    <mergeCell ref="A174:D174"/>
    <mergeCell ref="E174:H174"/>
    <mergeCell ref="N174:S174"/>
    <mergeCell ref="A179:D179"/>
    <mergeCell ref="E179:H179"/>
    <mergeCell ref="N179:S179"/>
    <mergeCell ref="A180:D180"/>
    <mergeCell ref="E180:H180"/>
    <mergeCell ref="N180:S180"/>
    <mergeCell ref="A177:D177"/>
    <mergeCell ref="E177:H177"/>
    <mergeCell ref="N177:S177"/>
    <mergeCell ref="A178:D178"/>
    <mergeCell ref="E178:H178"/>
    <mergeCell ref="N178:S178"/>
    <mergeCell ref="A183:D183"/>
    <mergeCell ref="E183:H183"/>
    <mergeCell ref="N183:S183"/>
    <mergeCell ref="A186:M186"/>
    <mergeCell ref="N186:S186"/>
    <mergeCell ref="T186:X187"/>
    <mergeCell ref="A181:D181"/>
    <mergeCell ref="E181:H181"/>
    <mergeCell ref="N181:S181"/>
    <mergeCell ref="A182:D182"/>
    <mergeCell ref="E182:H182"/>
    <mergeCell ref="N182:S182"/>
    <mergeCell ref="H149:N149"/>
    <mergeCell ref="Q149:S149"/>
    <mergeCell ref="J150:K150"/>
    <mergeCell ref="M150:S150"/>
    <mergeCell ref="H115:I115"/>
    <mergeCell ref="L115:S115"/>
    <mergeCell ref="H120:J120"/>
    <mergeCell ref="L120:N120"/>
    <mergeCell ref="Q120:S120"/>
    <mergeCell ref="H121:N121"/>
    <mergeCell ref="Q121:S121"/>
    <mergeCell ref="H144:J144"/>
    <mergeCell ref="L144:N144"/>
    <mergeCell ref="Q144:S144"/>
    <mergeCell ref="J122:K122"/>
    <mergeCell ref="M122:S122"/>
    <mergeCell ref="H124:J124"/>
    <mergeCell ref="L124:N124"/>
    <mergeCell ref="Q124:S124"/>
    <mergeCell ref="H125:N125"/>
    <mergeCell ref="Q125:S125"/>
    <mergeCell ref="J126:K126"/>
    <mergeCell ref="M126:S126"/>
    <mergeCell ref="H128:J128"/>
    <mergeCell ref="L128:N128"/>
    <mergeCell ref="Q128:S128"/>
    <mergeCell ref="H129:N129"/>
    <mergeCell ref="Q129:S129"/>
    <mergeCell ref="H112:N112"/>
    <mergeCell ref="Q112:S112"/>
    <mergeCell ref="H113:J113"/>
    <mergeCell ref="L113:N113"/>
    <mergeCell ref="Q113:S113"/>
    <mergeCell ref="L114:M114"/>
    <mergeCell ref="Q114:S114"/>
    <mergeCell ref="L108:M108"/>
    <mergeCell ref="Q108:S108"/>
    <mergeCell ref="H109:I109"/>
    <mergeCell ref="L109:S109"/>
    <mergeCell ref="H111:N111"/>
    <mergeCell ref="Q111:S111"/>
    <mergeCell ref="H105:N105"/>
    <mergeCell ref="Q105:S105"/>
    <mergeCell ref="H106:N106"/>
    <mergeCell ref="Q106:S106"/>
    <mergeCell ref="H107:J107"/>
    <mergeCell ref="L107:N107"/>
    <mergeCell ref="Q107:S107"/>
    <mergeCell ref="H101:J101"/>
    <mergeCell ref="L101:N101"/>
    <mergeCell ref="Q101:S101"/>
    <mergeCell ref="L102:M102"/>
    <mergeCell ref="Q102:S102"/>
    <mergeCell ref="H103:I103"/>
    <mergeCell ref="L103:S103"/>
    <mergeCell ref="H97:I97"/>
    <mergeCell ref="L97:S97"/>
    <mergeCell ref="H99:N99"/>
    <mergeCell ref="Q99:S99"/>
    <mergeCell ref="H100:N100"/>
    <mergeCell ref="Q100:S100"/>
    <mergeCell ref="H94:N94"/>
    <mergeCell ref="Q94:S94"/>
    <mergeCell ref="H95:J95"/>
    <mergeCell ref="L95:N95"/>
    <mergeCell ref="Q95:S95"/>
    <mergeCell ref="L96:M96"/>
    <mergeCell ref="Q96:S96"/>
    <mergeCell ref="L90:M90"/>
    <mergeCell ref="Q90:S90"/>
    <mergeCell ref="H91:I91"/>
    <mergeCell ref="L91:S91"/>
    <mergeCell ref="H93:N93"/>
    <mergeCell ref="Q93:S93"/>
    <mergeCell ref="H87:N87"/>
    <mergeCell ref="Q87:S87"/>
    <mergeCell ref="H88:N88"/>
    <mergeCell ref="Q88:S88"/>
    <mergeCell ref="H89:J89"/>
    <mergeCell ref="L89:N89"/>
    <mergeCell ref="Q89:S89"/>
    <mergeCell ref="H83:J83"/>
    <mergeCell ref="L83:N83"/>
    <mergeCell ref="Q83:S83"/>
    <mergeCell ref="L84:M84"/>
    <mergeCell ref="Q84:S84"/>
    <mergeCell ref="H85:I85"/>
    <mergeCell ref="L85:S85"/>
    <mergeCell ref="H77:I77"/>
    <mergeCell ref="L77:S77"/>
    <mergeCell ref="H81:N81"/>
    <mergeCell ref="Q81:S81"/>
    <mergeCell ref="H82:N82"/>
    <mergeCell ref="Q82:S82"/>
    <mergeCell ref="H74:N74"/>
    <mergeCell ref="Q74:S74"/>
    <mergeCell ref="H75:J75"/>
    <mergeCell ref="L75:N75"/>
    <mergeCell ref="Q75:S75"/>
    <mergeCell ref="L76:M76"/>
    <mergeCell ref="Q76:S76"/>
    <mergeCell ref="L70:M70"/>
    <mergeCell ref="Q70:S70"/>
    <mergeCell ref="H71:I71"/>
    <mergeCell ref="L71:S71"/>
    <mergeCell ref="H73:N73"/>
    <mergeCell ref="Q73:S73"/>
    <mergeCell ref="H67:N67"/>
    <mergeCell ref="Q67:S67"/>
    <mergeCell ref="H68:N68"/>
    <mergeCell ref="Q68:S68"/>
    <mergeCell ref="H69:J69"/>
    <mergeCell ref="L69:N69"/>
    <mergeCell ref="Q69:S69"/>
    <mergeCell ref="L64:M64"/>
    <mergeCell ref="Q64:S64"/>
    <mergeCell ref="H65:I65"/>
    <mergeCell ref="L65:S65"/>
    <mergeCell ref="H59:I59"/>
    <mergeCell ref="L59:S59"/>
    <mergeCell ref="H61:N61"/>
    <mergeCell ref="Q61:S61"/>
    <mergeCell ref="H62:N62"/>
    <mergeCell ref="Q62:S62"/>
    <mergeCell ref="L58:M58"/>
    <mergeCell ref="Q58:S58"/>
    <mergeCell ref="L50:M50"/>
    <mergeCell ref="Q50:S50"/>
    <mergeCell ref="H51:I51"/>
    <mergeCell ref="L51:S51"/>
    <mergeCell ref="H55:N55"/>
    <mergeCell ref="Q55:S55"/>
    <mergeCell ref="H63:J63"/>
    <mergeCell ref="L63:N63"/>
    <mergeCell ref="Q63:S63"/>
    <mergeCell ref="L43:M43"/>
    <mergeCell ref="Q43:S43"/>
    <mergeCell ref="H44:I44"/>
    <mergeCell ref="L44:S44"/>
    <mergeCell ref="H56:N56"/>
    <mergeCell ref="Q56:S56"/>
    <mergeCell ref="H57:J57"/>
    <mergeCell ref="L57:N57"/>
    <mergeCell ref="Q57:S57"/>
    <mergeCell ref="H40:N40"/>
    <mergeCell ref="Q40:S40"/>
    <mergeCell ref="H41:N41"/>
    <mergeCell ref="Q41:S41"/>
    <mergeCell ref="U154:V159"/>
    <mergeCell ref="H28:N28"/>
    <mergeCell ref="Q28:S28"/>
    <mergeCell ref="H29:J29"/>
    <mergeCell ref="L29:N29"/>
    <mergeCell ref="Q29:S29"/>
    <mergeCell ref="H36:J36"/>
    <mergeCell ref="Q36:S36"/>
    <mergeCell ref="L37:M37"/>
    <mergeCell ref="Q37:S37"/>
    <mergeCell ref="H47:N47"/>
    <mergeCell ref="Q47:S47"/>
    <mergeCell ref="H48:N48"/>
    <mergeCell ref="Q48:S48"/>
    <mergeCell ref="H49:J49"/>
    <mergeCell ref="L49:N49"/>
    <mergeCell ref="Q49:S49"/>
    <mergeCell ref="H42:J42"/>
    <mergeCell ref="L42:N42"/>
    <mergeCell ref="Q42:S42"/>
    <mergeCell ref="H35:N35"/>
    <mergeCell ref="Q35:S35"/>
    <mergeCell ref="L30:M30"/>
    <mergeCell ref="Q30:S30"/>
    <mergeCell ref="H31:I31"/>
    <mergeCell ref="L31:S31"/>
    <mergeCell ref="H34:N34"/>
    <mergeCell ref="H38:I38"/>
    <mergeCell ref="L38:S38"/>
    <mergeCell ref="A2:S2"/>
    <mergeCell ref="H6:N6"/>
    <mergeCell ref="Q6:S6"/>
    <mergeCell ref="H7:N7"/>
    <mergeCell ref="Q7:S7"/>
    <mergeCell ref="H8:J8"/>
    <mergeCell ref="L8:N8"/>
    <mergeCell ref="Q8:S8"/>
    <mergeCell ref="Q34:S34"/>
    <mergeCell ref="O4:S4"/>
    <mergeCell ref="H23:J23"/>
    <mergeCell ref="L23:N23"/>
    <mergeCell ref="Q23:S23"/>
    <mergeCell ref="L24:M24"/>
    <mergeCell ref="Q24:S24"/>
    <mergeCell ref="H25:I25"/>
    <mergeCell ref="L25:S25"/>
    <mergeCell ref="U172:V177"/>
    <mergeCell ref="J9:K9"/>
    <mergeCell ref="M9:N9"/>
    <mergeCell ref="Q9:S9"/>
    <mergeCell ref="H10:I10"/>
    <mergeCell ref="L10:S10"/>
    <mergeCell ref="H15:N15"/>
    <mergeCell ref="Q15:S15"/>
    <mergeCell ref="H19:I19"/>
    <mergeCell ref="L19:S19"/>
    <mergeCell ref="H21:N21"/>
    <mergeCell ref="Q21:S21"/>
    <mergeCell ref="H22:N22"/>
    <mergeCell ref="Q22:S22"/>
    <mergeCell ref="H16:N16"/>
    <mergeCell ref="Q16:S16"/>
    <mergeCell ref="H17:J17"/>
    <mergeCell ref="L17:N17"/>
    <mergeCell ref="Q17:S17"/>
    <mergeCell ref="L18:M18"/>
    <mergeCell ref="Q18:S18"/>
    <mergeCell ref="H27:N27"/>
    <mergeCell ref="Q27:S27"/>
    <mergeCell ref="L36:N36"/>
    <mergeCell ref="I162:S162"/>
    <mergeCell ref="I155:S155"/>
    <mergeCell ref="I154:S154"/>
    <mergeCell ref="I156:S156"/>
    <mergeCell ref="I157:S157"/>
    <mergeCell ref="I158:S158"/>
    <mergeCell ref="I159:S159"/>
    <mergeCell ref="I160:S160"/>
    <mergeCell ref="I161:S161"/>
  </mergeCells>
  <dataValidations count="8">
    <dataValidation type="list" allowBlank="1" showInputMessage="1" showErrorMessage="1" sqref="M9:N9" xr:uid="{00000000-0002-0000-0200-000000000000}">
      <formula1>"For Profit, Non Profit, CHDO, Joint Venture"</formula1>
    </dataValidation>
    <dataValidation type="whole" allowBlank="1" showInputMessage="1" showErrorMessage="1" errorTitle="9-digit zip code required" error="This cell is formatted for 9 digit zip codes.  Please enter only numeric characters.  Do not enter hyphens, parentheses, periods, or spaces." sqref="L18:M18 L24:M24 L30:M30 L37:M37 L43:M43 J9:K9 L76:M76 L114:M114 L50:M50 L84:M84 L58:M58 L64:M64 L70:M70 L90:M90 L96:M96 L108:M108 L102:M102 J122:K122 J146:K146 J150:K150 J126:K126 J130:K130 J134:K134 J138:K138 J142:K142" xr:uid="{00000000-0002-0000-0200-000001000000}">
      <formula1>1000000</formula1>
      <formula2>999999999</formula2>
    </dataValidation>
    <dataValidation type="list" showErrorMessage="1" errorTitle="State" error="Please select the appropriate state from the list provided by clicking the arrow to the right-hand side of the box." promptTitle="State" prompt="Please select the appropriate state from the list provided by clicking the arrow to the right-hand side of the box." sqref="H24 H142 H138 H150 H122 H18 H102 H96 H90 H70 H64 H58 H84 H30 H50 H76 H9 H43 H37 H108 H114 H146 H130 H134 H126" xr:uid="{00000000-0002-0000-0200-000002000000}">
      <formula1>$P$192:$P$242</formula1>
    </dataValidation>
    <dataValidation type="whole" showInputMessage="1" showErrorMessage="1" error="This cell is formatted for 10 digit phone numbers.  Please enter only numeric characters.  Do not enter hyphens, parentheses, periods, or spaces." sqref="H91:H92 H19:H20 H103:H104 H59:H60 H97:H98 H77 H85:H86 H80 H71:H72 H54 H51 H65:H66 H44 H10:H11 H45:I45 H38:H39 H31 H25:H26 H109:H110 H115" xr:uid="{00000000-0002-0000-0200-000003000000}">
      <formula1>1000000000</formula1>
      <formula2>9999999999</formula2>
    </dataValidation>
    <dataValidation type="whole" allowBlank="1" showInputMessage="1" showErrorMessage="1" error="This cell is formatted for 10 digit phone numbers.  Please enter only numeric characters.  Do not enter hyphens, parentheses, periods, or spaces." sqref="Q8:Q9 L45:M45 Q17:Q18 Q23:Q24 O92:P92 R92:S92 Q95:Q96 O110:P110 O66:P66 Q89:Q90 R110:S110 O39:P39 R60:S60 R66:S66 O80:P80 R98:S98 R80:S80 L80:M80 O26:P26 Q83:Q84 O54:P54 R54:S54 L54:M54 R72:S72 O86:P86 O98:P98 R86:S86 Q75:Q76 R39:S39 Q29:Q30 Q42:Q43 L98:M98 Q69:Q70 Q36:Q37 O60:P60 L60:M60 O72:P72 Q57:Q58 L39:M39 Q63:Q64 L86:M86 Q49:Q50 L66:M66 R26:S26 O45:P45 L72:M72 L104:M104 L110:M110 R45:S45 R20:S20 O20:P20 L20:M20 L26:M26 L92:M92 O104:P104 R104:S104 Q107:Q108 Q101:Q102 Q113:Q114" xr:uid="{00000000-0002-0000-0200-000004000000}">
      <formula1>1000000000</formula1>
      <formula2>9999999999</formula2>
    </dataValidation>
    <dataValidation type="list" allowBlank="1" showErrorMessage="1" sqref="K171:K183" xr:uid="{00000000-0002-0000-0200-000005000000}">
      <formula1>"For Profit, Nonprofit, CHDO"</formula1>
    </dataValidation>
    <dataValidation type="list" allowBlank="1" showErrorMessage="1" sqref="H154:H162" xr:uid="{00000000-0002-0000-0200-000006000000}">
      <formula1>"Select,Yes, No"</formula1>
    </dataValidation>
    <dataValidation type="list" allowBlank="1" showErrorMessage="1" sqref="I171:J183 M171:M183" xr:uid="{00000000-0002-0000-0200-000007000000}">
      <formula1>"Select, Yes, No"</formula1>
    </dataValidation>
  </dataValidations>
  <hyperlinks>
    <hyperlink ref="N13" r:id="rId1" xr:uid="{00000000-0004-0000-0200-000000000000}"/>
  </hyperlinks>
  <printOptions horizontalCentered="1"/>
  <pageMargins left="0.25" right="0.25" top="0.75" bottom="0.5" header="0.5" footer="0.25"/>
  <pageSetup fitToHeight="0" orientation="landscape" horizontalDpi="1200" verticalDpi="1200" r:id="rId2"/>
  <headerFooter alignWithMargins="0">
    <oddHeader>&amp;LGeorgia Department of Community Affairs&amp;C&amp;11 DRAFT 2022 Funding Application&amp;RHousing Finance and Development Division</oddHeader>
    <oddFooter>&amp;L&amp;G&amp;9 &amp;F&amp;C&amp;9&amp;A&amp;R&amp;9&amp;P of &amp;N</oddFooter>
  </headerFooter>
  <rowBreaks count="3" manualBreakCount="3">
    <brk id="52" max="16383" man="1"/>
    <brk id="97" max="16383" man="1"/>
    <brk id="162" max="16383" man="1"/>
  </rowBreak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FA1D-8C66-48D9-959F-B16FF80AB97D}">
  <sheetPr codeName="Sheet13"/>
  <dimension ref="A1:AZ111"/>
  <sheetViews>
    <sheetView showGridLines="0" topLeftCell="A27" zoomScale="76" workbookViewId="0">
      <selection activeCell="E55" sqref="E55:H55"/>
    </sheetView>
  </sheetViews>
  <sheetFormatPr defaultColWidth="9.21875" defaultRowHeight="13.2"/>
  <cols>
    <col min="1" max="1" width="4.21875" style="93" customWidth="1"/>
    <col min="2" max="2" width="8.21875" style="93" customWidth="1"/>
    <col min="3" max="3" width="9.21875" style="93" customWidth="1"/>
    <col min="4" max="4" width="10.44140625" style="93" customWidth="1"/>
    <col min="5" max="5" width="8.77734375" style="93" customWidth="1"/>
    <col min="6" max="6" width="2.77734375" style="93" customWidth="1"/>
    <col min="7" max="8" width="12" style="93" customWidth="1"/>
    <col min="9" max="17" width="8.21875" style="93" customWidth="1"/>
    <col min="18" max="18" width="3.21875" style="93" customWidth="1"/>
    <col min="19" max="19" width="13.5546875" style="93" customWidth="1"/>
    <col min="20" max="20" width="98.77734375" style="93" customWidth="1"/>
    <col min="21" max="24" width="9.21875" style="93"/>
    <col min="25" max="25" width="16.5546875" style="1740" bestFit="1" customWidth="1"/>
    <col min="26" max="26" width="9.21875" style="1812"/>
    <col min="27" max="51" width="9.21875" style="93"/>
    <col min="52" max="52" width="9.21875" style="1127"/>
    <col min="53" max="16384" width="9.21875" style="93"/>
  </cols>
  <sheetData>
    <row r="1" spans="1:52" s="1812" customFormat="1" ht="13.8" hidden="1">
      <c r="A1" s="1808"/>
      <c r="B1" s="1808" t="s">
        <v>3</v>
      </c>
      <c r="C1" s="1808"/>
      <c r="D1" s="1808"/>
      <c r="E1" s="1808" t="s">
        <v>341</v>
      </c>
      <c r="F1" s="1808"/>
      <c r="G1" s="2651"/>
      <c r="H1" s="2651" t="s">
        <v>342</v>
      </c>
      <c r="I1" s="2651" t="s">
        <v>343</v>
      </c>
      <c r="J1" s="2651"/>
      <c r="K1" s="2651" t="s">
        <v>344</v>
      </c>
      <c r="L1" s="2651" t="s">
        <v>345</v>
      </c>
      <c r="M1" s="1812" t="s">
        <v>346</v>
      </c>
      <c r="N1" s="1812" t="s">
        <v>347</v>
      </c>
      <c r="P1" s="1812" t="s">
        <v>348</v>
      </c>
      <c r="Y1" s="1813"/>
      <c r="Z1" s="1809">
        <v>1</v>
      </c>
    </row>
    <row r="2" spans="1:52" s="135" customFormat="1" ht="14.1" customHeight="1">
      <c r="A2" s="3276" t="str">
        <f>CONCATENATE("PART TWO - SOURCES OF FUNDS (Proposed)","  -  ",'Part I-Project Identification'!$O$7," ",'Part I-Project Identification'!$F$27,", ",'Part I-Project Identification'!$F$28,", ",'Part I-Project Identification'!$J$28," County")</f>
        <v>PART TWO - SOURCES OF FUNDS (Proposed)  -  2026-0xx The Groves, Tifton, Tift County</v>
      </c>
      <c r="B2" s="3277"/>
      <c r="C2" s="3277"/>
      <c r="D2" s="3277"/>
      <c r="E2" s="3277"/>
      <c r="F2" s="3277"/>
      <c r="G2" s="3277"/>
      <c r="H2" s="3277"/>
      <c r="I2" s="3277"/>
      <c r="J2" s="3277"/>
      <c r="K2" s="3277"/>
      <c r="L2" s="3277"/>
      <c r="M2" s="3277"/>
      <c r="N2" s="3277"/>
      <c r="O2" s="3277"/>
      <c r="P2" s="3277"/>
      <c r="Q2" s="3278"/>
      <c r="S2" s="3467" t="str">
        <f>$A$2</f>
        <v>PART TWO - SOURCES OF FUNDS (Proposed)  -  2026-0xx The Groves, Tifton, Tift County</v>
      </c>
      <c r="T2" s="3467"/>
      <c r="Y2" s="1741"/>
      <c r="Z2" s="1809">
        <v>2</v>
      </c>
      <c r="AZ2" s="1128"/>
    </row>
    <row r="3" spans="1:52" ht="13.5" customHeight="1">
      <c r="A3" s="96"/>
      <c r="B3" s="96"/>
      <c r="C3" s="96"/>
      <c r="D3" s="96"/>
      <c r="E3" s="96"/>
      <c r="F3" s="96"/>
      <c r="G3" s="2652"/>
      <c r="H3" s="2652"/>
      <c r="I3" s="2652"/>
      <c r="J3" s="2652"/>
      <c r="K3" s="2652"/>
      <c r="L3" s="2652"/>
      <c r="Y3" s="1741"/>
      <c r="Z3" s="1809">
        <v>3</v>
      </c>
      <c r="AZ3" s="1128"/>
    </row>
    <row r="4" spans="1:52" s="135" customFormat="1" ht="13.35" customHeight="1">
      <c r="A4" s="151" t="s">
        <v>21</v>
      </c>
      <c r="B4" s="151" t="s">
        <v>349</v>
      </c>
      <c r="C4" s="95"/>
      <c r="D4" s="95"/>
      <c r="E4" s="95"/>
      <c r="F4" s="95"/>
      <c r="G4" s="95"/>
      <c r="L4" s="3468" t="str">
        <f>'Part I-Project Identification'!$A$6</f>
        <v>May XX, 2026</v>
      </c>
      <c r="M4" s="3469"/>
      <c r="N4" s="3469"/>
      <c r="O4" s="3469"/>
      <c r="P4" s="3470"/>
      <c r="S4" s="163" t="str">
        <f>B4</f>
        <v>GOVERNMENT FUNDING SOURCES  (check all that apply)</v>
      </c>
      <c r="Y4" s="1741"/>
      <c r="Z4" s="1809">
        <v>4</v>
      </c>
      <c r="AZ4" s="1128"/>
    </row>
    <row r="5" spans="1:52" s="135" customFormat="1" ht="13.5" customHeight="1">
      <c r="A5" s="159"/>
      <c r="B5" s="267"/>
      <c r="C5" s="159"/>
      <c r="D5" s="95"/>
      <c r="E5" s="95"/>
      <c r="F5" s="95"/>
      <c r="G5" s="95"/>
      <c r="S5" s="3440" t="s">
        <v>350</v>
      </c>
      <c r="T5" s="3440"/>
      <c r="Y5" s="1741"/>
      <c r="Z5" s="1809">
        <v>5</v>
      </c>
      <c r="AZ5" s="1128"/>
    </row>
    <row r="6" spans="1:52" s="135" customFormat="1" ht="16.5" customHeight="1">
      <c r="A6" s="267"/>
      <c r="B6" s="2653" t="s">
        <v>7444</v>
      </c>
      <c r="C6" s="136" t="s">
        <v>351</v>
      </c>
      <c r="D6" s="95"/>
      <c r="E6" s="2653" t="s">
        <v>7444</v>
      </c>
      <c r="F6" s="136" t="s">
        <v>352</v>
      </c>
      <c r="G6" s="95"/>
      <c r="H6" s="2654"/>
      <c r="L6" s="2653" t="s">
        <v>7474</v>
      </c>
      <c r="M6" s="136" t="s">
        <v>353</v>
      </c>
      <c r="O6" s="2655" t="s">
        <v>7474</v>
      </c>
      <c r="P6" s="136" t="s">
        <v>354</v>
      </c>
      <c r="S6" s="3378"/>
      <c r="T6" s="3379"/>
      <c r="Y6" s="1741"/>
      <c r="Z6" s="1809">
        <v>6</v>
      </c>
      <c r="AZ6" s="1128"/>
    </row>
    <row r="7" spans="1:52" s="135" customFormat="1" ht="16.5" customHeight="1">
      <c r="A7" s="267"/>
      <c r="B7" s="602" t="s">
        <v>7474</v>
      </c>
      <c r="C7" s="136" t="s">
        <v>355</v>
      </c>
      <c r="D7" s="95"/>
      <c r="E7" s="601" t="s">
        <v>7444</v>
      </c>
      <c r="F7" s="136" t="s">
        <v>356</v>
      </c>
      <c r="H7" s="1780">
        <v>1000000</v>
      </c>
      <c r="L7" s="602" t="s">
        <v>7474</v>
      </c>
      <c r="M7" s="1763" t="s">
        <v>357</v>
      </c>
      <c r="S7" s="3366"/>
      <c r="T7" s="3367"/>
      <c r="Y7" s="1741"/>
      <c r="Z7" s="1809">
        <v>7</v>
      </c>
      <c r="AZ7" s="1128"/>
    </row>
    <row r="8" spans="1:52" s="135" customFormat="1" ht="16.5" customHeight="1">
      <c r="A8" s="95"/>
      <c r="B8" s="602" t="s">
        <v>7474</v>
      </c>
      <c r="C8" s="136" t="s">
        <v>358</v>
      </c>
      <c r="F8" s="135" t="s">
        <v>359</v>
      </c>
      <c r="H8" s="3471" t="s">
        <v>1724</v>
      </c>
      <c r="I8" s="3472"/>
      <c r="J8" s="3473"/>
      <c r="L8" s="602" t="s">
        <v>7474</v>
      </c>
      <c r="M8" s="1085" t="s">
        <v>360</v>
      </c>
      <c r="S8" s="3366"/>
      <c r="T8" s="3367"/>
      <c r="Y8" s="1741"/>
      <c r="Z8" s="1809">
        <v>8</v>
      </c>
      <c r="AZ8" s="1128"/>
    </row>
    <row r="9" spans="1:52" s="135" customFormat="1" ht="16.5" customHeight="1">
      <c r="A9" s="267"/>
      <c r="B9" s="602" t="s">
        <v>7474</v>
      </c>
      <c r="C9" s="135" t="s">
        <v>361</v>
      </c>
      <c r="E9" s="2655" t="s">
        <v>7474</v>
      </c>
      <c r="F9" s="136" t="s">
        <v>362</v>
      </c>
      <c r="H9" s="2656"/>
      <c r="I9" s="2657"/>
      <c r="J9" s="2658"/>
      <c r="L9" s="602" t="s">
        <v>7474</v>
      </c>
      <c r="M9" s="1085" t="s">
        <v>363</v>
      </c>
      <c r="Q9" s="1085"/>
      <c r="S9" s="3368"/>
      <c r="T9" s="3369"/>
      <c r="Y9" s="1741"/>
      <c r="Z9" s="1809">
        <v>9</v>
      </c>
      <c r="AZ9" s="1128"/>
    </row>
    <row r="10" spans="1:52" s="135" customFormat="1" ht="16.5" customHeight="1">
      <c r="A10" s="267"/>
      <c r="B10" s="602" t="s">
        <v>7474</v>
      </c>
      <c r="C10" s="136" t="s">
        <v>364</v>
      </c>
      <c r="L10" s="602" t="s">
        <v>7474</v>
      </c>
      <c r="M10" s="136" t="s">
        <v>365</v>
      </c>
      <c r="Q10" s="1085"/>
      <c r="S10" s="3378"/>
      <c r="T10" s="3379"/>
      <c r="Y10" s="1741"/>
      <c r="Z10" s="1809">
        <v>10</v>
      </c>
      <c r="AZ10" s="1128"/>
    </row>
    <row r="11" spans="1:52" s="135" customFormat="1" ht="16.5" customHeight="1">
      <c r="A11" s="267"/>
      <c r="B11" s="602" t="s">
        <v>7474</v>
      </c>
      <c r="C11" s="136" t="s">
        <v>366</v>
      </c>
      <c r="E11" s="2659" t="s">
        <v>7474</v>
      </c>
      <c r="F11" s="3474" t="s">
        <v>367</v>
      </c>
      <c r="G11" s="3475"/>
      <c r="H11" s="3475"/>
      <c r="I11" s="3475"/>
      <c r="J11" s="3476"/>
      <c r="L11" s="602" t="s">
        <v>7474</v>
      </c>
      <c r="M11" s="136" t="s">
        <v>368</v>
      </c>
      <c r="S11" s="3366"/>
      <c r="T11" s="3367"/>
      <c r="Y11" s="1741"/>
      <c r="Z11" s="1809">
        <v>11</v>
      </c>
      <c r="AZ11" s="1128"/>
    </row>
    <row r="12" spans="1:52" s="135" customFormat="1" ht="16.5" customHeight="1">
      <c r="A12" s="267"/>
      <c r="B12" s="602" t="s">
        <v>7474</v>
      </c>
      <c r="C12" s="136" t="s">
        <v>369</v>
      </c>
      <c r="F12" s="3453" t="s">
        <v>370</v>
      </c>
      <c r="G12" s="3454"/>
      <c r="H12" s="3454"/>
      <c r="I12" s="3454"/>
      <c r="J12" s="3455"/>
      <c r="L12" s="602" t="s">
        <v>7474</v>
      </c>
      <c r="M12" s="136" t="s">
        <v>371</v>
      </c>
      <c r="S12" s="3366"/>
      <c r="T12" s="3367"/>
      <c r="Y12" s="1741"/>
      <c r="Z12" s="1809">
        <v>12</v>
      </c>
      <c r="AZ12" s="1128"/>
    </row>
    <row r="13" spans="1:52" s="135" customFormat="1" ht="16.5" customHeight="1">
      <c r="A13" s="267"/>
      <c r="B13" s="602" t="s">
        <v>7474</v>
      </c>
      <c r="C13" s="136" t="s">
        <v>372</v>
      </c>
      <c r="E13" s="2659" t="s">
        <v>7474</v>
      </c>
      <c r="F13" s="3456" t="s">
        <v>373</v>
      </c>
      <c r="G13" s="3457"/>
      <c r="H13" s="3457"/>
      <c r="I13" s="3457"/>
      <c r="J13" s="3458"/>
      <c r="L13" s="602" t="s">
        <v>7474</v>
      </c>
      <c r="M13" s="135" t="s">
        <v>374</v>
      </c>
      <c r="S13" s="3366"/>
      <c r="T13" s="3367"/>
      <c r="Y13" s="1741"/>
      <c r="Z13" s="1809">
        <v>13</v>
      </c>
      <c r="AZ13" s="1128"/>
    </row>
    <row r="14" spans="1:52" s="135" customFormat="1" ht="16.5" customHeight="1">
      <c r="A14" s="267"/>
      <c r="B14" s="602" t="s">
        <v>7474</v>
      </c>
      <c r="C14" s="135" t="s">
        <v>375</v>
      </c>
      <c r="F14" s="3459" t="s">
        <v>376</v>
      </c>
      <c r="G14" s="3460"/>
      <c r="H14" s="3460"/>
      <c r="I14" s="3460"/>
      <c r="J14" s="3461"/>
      <c r="L14" s="602" t="s">
        <v>7474</v>
      </c>
      <c r="M14" s="135" t="s">
        <v>377</v>
      </c>
      <c r="S14" s="3368"/>
      <c r="T14" s="3369"/>
      <c r="Y14" s="1741"/>
      <c r="Z14" s="1809">
        <v>14</v>
      </c>
      <c r="AZ14" s="1128"/>
    </row>
    <row r="15" spans="1:52" s="135" customFormat="1" ht="16.5" customHeight="1">
      <c r="A15" s="267"/>
      <c r="B15" s="602" t="s">
        <v>7474</v>
      </c>
      <c r="C15" s="135" t="s">
        <v>378</v>
      </c>
      <c r="E15" s="2653" t="s">
        <v>7474</v>
      </c>
      <c r="F15" s="2660" t="s">
        <v>379</v>
      </c>
      <c r="G15" s="2661"/>
      <c r="H15" s="3462" t="s">
        <v>380</v>
      </c>
      <c r="I15" s="3463"/>
      <c r="J15" s="3464"/>
      <c r="L15" s="602" t="s">
        <v>7474</v>
      </c>
      <c r="M15" s="135" t="s">
        <v>381</v>
      </c>
      <c r="S15" s="3378"/>
      <c r="T15" s="3379"/>
      <c r="Y15" s="1741"/>
      <c r="Z15" s="1809">
        <v>15</v>
      </c>
      <c r="AZ15" s="1128"/>
    </row>
    <row r="16" spans="1:52" s="135" customFormat="1" ht="16.5" customHeight="1">
      <c r="A16" s="267"/>
      <c r="B16" s="602" t="s">
        <v>7474</v>
      </c>
      <c r="C16" s="136" t="s">
        <v>382</v>
      </c>
      <c r="E16" s="602" t="s">
        <v>7474</v>
      </c>
      <c r="F16" s="136" t="s">
        <v>383</v>
      </c>
      <c r="L16" s="602" t="s">
        <v>7474</v>
      </c>
      <c r="M16" s="135" t="s">
        <v>384</v>
      </c>
      <c r="S16" s="3366"/>
      <c r="T16" s="3367"/>
      <c r="Y16" s="1741"/>
      <c r="Z16" s="1809">
        <v>16</v>
      </c>
      <c r="AZ16" s="1128"/>
    </row>
    <row r="17" spans="1:52" s="135" customFormat="1" ht="16.5" customHeight="1">
      <c r="A17" s="267"/>
      <c r="B17" s="601" t="s">
        <v>7474</v>
      </c>
      <c r="C17" s="136" t="s">
        <v>385</v>
      </c>
      <c r="E17" s="602" t="s">
        <v>7474</v>
      </c>
      <c r="F17" s="136" t="s">
        <v>386</v>
      </c>
      <c r="L17" s="602" t="s">
        <v>7474</v>
      </c>
      <c r="M17" s="1085" t="s">
        <v>387</v>
      </c>
      <c r="S17" s="3366"/>
      <c r="T17" s="3367"/>
      <c r="Y17" s="1741"/>
      <c r="Z17" s="1809">
        <v>17</v>
      </c>
      <c r="AZ17" s="1128"/>
    </row>
    <row r="18" spans="1:52" s="135" customFormat="1" ht="16.5" customHeight="1">
      <c r="A18" s="267"/>
      <c r="B18" s="136" t="s">
        <v>388</v>
      </c>
      <c r="D18" s="3465"/>
      <c r="E18" s="3466"/>
      <c r="F18" s="136"/>
      <c r="L18" s="601" t="s">
        <v>7474</v>
      </c>
      <c r="M18" s="1085" t="s">
        <v>389</v>
      </c>
      <c r="S18" s="3368"/>
      <c r="T18" s="3369"/>
      <c r="Y18" s="1741"/>
      <c r="Z18" s="1809">
        <v>18</v>
      </c>
      <c r="AZ18" s="1128"/>
    </row>
    <row r="19" spans="1:52" s="135" customFormat="1" ht="17.100000000000001" customHeight="1">
      <c r="A19" s="267"/>
      <c r="B19" s="135" t="s">
        <v>390</v>
      </c>
      <c r="C19" s="95"/>
      <c r="D19" s="95"/>
      <c r="E19" s="95"/>
      <c r="F19" s="95"/>
      <c r="G19" s="95"/>
      <c r="H19" s="95"/>
      <c r="I19" s="95"/>
      <c r="J19" s="95"/>
      <c r="K19" s="95"/>
      <c r="L19" s="95"/>
      <c r="M19" s="93"/>
      <c r="N19" s="95"/>
      <c r="O19" s="95"/>
      <c r="P19" s="95"/>
      <c r="Q19" s="95"/>
      <c r="Y19" s="1741"/>
      <c r="Z19" s="1809">
        <v>19</v>
      </c>
      <c r="AZ19" s="1128"/>
    </row>
    <row r="20" spans="1:52" s="135" customFormat="1" ht="12" customHeight="1">
      <c r="A20" s="267"/>
      <c r="L20" s="95"/>
      <c r="M20" s="96"/>
      <c r="N20" s="95"/>
      <c r="O20" s="95"/>
      <c r="P20" s="95"/>
      <c r="Q20" s="95"/>
      <c r="Y20" s="1742"/>
      <c r="Z20" s="1809">
        <v>20</v>
      </c>
      <c r="AZ20" s="1129"/>
    </row>
    <row r="21" spans="1:52" s="163" customFormat="1" ht="15" customHeight="1">
      <c r="A21" s="151" t="s">
        <v>25</v>
      </c>
      <c r="B21" s="134" t="s">
        <v>391</v>
      </c>
      <c r="C21" s="95"/>
      <c r="D21" s="95"/>
      <c r="E21" s="95"/>
      <c r="F21" s="95"/>
      <c r="G21" s="95"/>
      <c r="L21" s="95"/>
      <c r="M21" s="95"/>
      <c r="N21" s="3415"/>
      <c r="O21" s="3415"/>
      <c r="P21" s="95"/>
      <c r="Q21" s="95"/>
      <c r="S21" s="163" t="str">
        <f>B21</f>
        <v>CONSTRUCTION FINANCING</v>
      </c>
      <c r="Y21" s="1742"/>
      <c r="Z21" s="1809">
        <v>21</v>
      </c>
      <c r="AZ21" s="1129"/>
    </row>
    <row r="22" spans="1:52" s="163" customFormat="1" ht="5.25" customHeight="1">
      <c r="A22" s="151"/>
      <c r="B22" s="134"/>
      <c r="C22" s="95"/>
      <c r="K22" s="95"/>
      <c r="L22" s="95"/>
      <c r="M22" s="95"/>
      <c r="N22" s="2517"/>
      <c r="O22" s="2517"/>
      <c r="P22" s="95"/>
      <c r="Q22" s="95"/>
      <c r="Y22" s="1742"/>
      <c r="Z22" s="1809">
        <v>22</v>
      </c>
      <c r="AZ22" s="1128"/>
    </row>
    <row r="23" spans="1:52" s="135" customFormat="1" ht="17.100000000000001" customHeight="1">
      <c r="A23" s="95"/>
      <c r="B23" s="153" t="s">
        <v>392</v>
      </c>
      <c r="C23" s="95"/>
      <c r="D23" s="95"/>
      <c r="E23" s="95"/>
      <c r="F23" s="95"/>
      <c r="G23" s="3418" t="s">
        <v>393</v>
      </c>
      <c r="H23" s="3418"/>
      <c r="I23" s="3418"/>
      <c r="J23" s="3418"/>
      <c r="K23" s="3418"/>
      <c r="L23" s="3419" t="s">
        <v>394</v>
      </c>
      <c r="M23" s="3419"/>
      <c r="N23" s="3419" t="s">
        <v>395</v>
      </c>
      <c r="O23" s="3419"/>
      <c r="P23" s="3419" t="s">
        <v>396</v>
      </c>
      <c r="Q23" s="3419"/>
      <c r="S23" s="3440" t="s">
        <v>350</v>
      </c>
      <c r="T23" s="3440"/>
      <c r="Y23" s="1741"/>
      <c r="Z23" s="1809">
        <v>23</v>
      </c>
      <c r="AZ23" s="1128" t="s">
        <v>397</v>
      </c>
    </row>
    <row r="24" spans="1:52" s="135" customFormat="1" ht="15.75" customHeight="1">
      <c r="A24" s="95"/>
      <c r="B24" s="3372" t="s">
        <v>398</v>
      </c>
      <c r="C24" s="3373"/>
      <c r="D24" s="3373"/>
      <c r="E24" s="2662"/>
      <c r="F24" s="2662"/>
      <c r="G24" s="3370" t="s">
        <v>7747</v>
      </c>
      <c r="H24" s="3375"/>
      <c r="I24" s="3375"/>
      <c r="J24" s="3375"/>
      <c r="K24" s="3371"/>
      <c r="L24" s="3431">
        <v>9750000</v>
      </c>
      <c r="M24" s="3432"/>
      <c r="N24" s="3449">
        <v>6.5000000000000002E-2</v>
      </c>
      <c r="O24" s="3450"/>
      <c r="P24" s="3451">
        <v>18</v>
      </c>
      <c r="Q24" s="3452"/>
      <c r="S24" s="3378"/>
      <c r="T24" s="3379"/>
      <c r="Y24" s="1741" t="s">
        <v>397</v>
      </c>
      <c r="Z24" s="1809">
        <v>24</v>
      </c>
      <c r="AZ24" s="1128" t="s">
        <v>399</v>
      </c>
    </row>
    <row r="25" spans="1:52" s="135" customFormat="1" ht="15.75" customHeight="1">
      <c r="A25" s="95"/>
      <c r="B25" s="3380" t="s">
        <v>400</v>
      </c>
      <c r="C25" s="3381"/>
      <c r="D25" s="3381"/>
      <c r="E25" s="95"/>
      <c r="F25" s="95"/>
      <c r="G25" s="3349" t="s">
        <v>7711</v>
      </c>
      <c r="H25" s="3350"/>
      <c r="I25" s="3350"/>
      <c r="J25" s="3350"/>
      <c r="K25" s="3351"/>
      <c r="L25" s="3429">
        <f>I42</f>
        <v>1810132</v>
      </c>
      <c r="M25" s="3430"/>
      <c r="N25" s="3438">
        <v>0</v>
      </c>
      <c r="O25" s="3439"/>
      <c r="P25" s="3441">
        <v>18</v>
      </c>
      <c r="Q25" s="3442"/>
      <c r="S25" s="3366"/>
      <c r="T25" s="3367"/>
      <c r="Y25" s="1741" t="s">
        <v>399</v>
      </c>
      <c r="Z25" s="1809">
        <v>25</v>
      </c>
      <c r="AZ25" s="1128" t="s">
        <v>401</v>
      </c>
    </row>
    <row r="26" spans="1:52" s="135" customFormat="1" ht="15.75" customHeight="1">
      <c r="A26" s="95"/>
      <c r="B26" s="3443" t="s">
        <v>402</v>
      </c>
      <c r="C26" s="3444"/>
      <c r="D26" s="3444"/>
      <c r="E26" s="2523"/>
      <c r="F26" s="2523"/>
      <c r="G26" s="3355" t="s">
        <v>7726</v>
      </c>
      <c r="H26" s="3357"/>
      <c r="I26" s="3357"/>
      <c r="J26" s="3357"/>
      <c r="K26" s="3356"/>
      <c r="L26" s="3421">
        <v>1000000</v>
      </c>
      <c r="M26" s="3422"/>
      <c r="N26" s="3445">
        <v>0.01</v>
      </c>
      <c r="O26" s="3446"/>
      <c r="P26" s="3447">
        <v>18</v>
      </c>
      <c r="Q26" s="3448"/>
      <c r="S26" s="3366"/>
      <c r="T26" s="3367"/>
      <c r="Y26" s="1741" t="s">
        <v>401</v>
      </c>
      <c r="Z26" s="1809">
        <v>26</v>
      </c>
      <c r="AZ26" s="1128" t="s">
        <v>403</v>
      </c>
    </row>
    <row r="27" spans="1:52" s="135" customFormat="1" ht="15.75" customHeight="1">
      <c r="A27" s="95"/>
      <c r="B27" s="3372" t="s">
        <v>404</v>
      </c>
      <c r="C27" s="3373"/>
      <c r="D27" s="3373"/>
      <c r="E27" s="95"/>
      <c r="F27" s="95"/>
      <c r="G27" s="3370"/>
      <c r="H27" s="3375"/>
      <c r="I27" s="3375"/>
      <c r="J27" s="3375"/>
      <c r="K27" s="3371"/>
      <c r="L27" s="3431"/>
      <c r="M27" s="3432"/>
      <c r="N27" s="3433"/>
      <c r="O27" s="3434"/>
      <c r="P27" s="3435"/>
      <c r="Q27" s="3435"/>
      <c r="S27" s="3366"/>
      <c r="T27" s="3367"/>
      <c r="Y27" s="1741" t="s">
        <v>403</v>
      </c>
      <c r="Z27" s="1809">
        <v>27</v>
      </c>
      <c r="AZ27" s="1128" t="s">
        <v>405</v>
      </c>
    </row>
    <row r="28" spans="1:52" s="135" customFormat="1" ht="15.75" customHeight="1">
      <c r="A28" s="95"/>
      <c r="B28" s="3380" t="s">
        <v>406</v>
      </c>
      <c r="C28" s="3381"/>
      <c r="D28" s="3381"/>
      <c r="E28" s="95"/>
      <c r="G28" s="3349"/>
      <c r="H28" s="3350"/>
      <c r="I28" s="3350"/>
      <c r="J28" s="3350"/>
      <c r="K28" s="3351"/>
      <c r="L28" s="3429"/>
      <c r="M28" s="3430"/>
      <c r="N28" s="3436"/>
      <c r="O28" s="3437"/>
      <c r="P28" s="3415"/>
      <c r="Q28" s="3415"/>
      <c r="S28" s="3366"/>
      <c r="T28" s="3367"/>
      <c r="Y28" s="1741" t="s">
        <v>405</v>
      </c>
      <c r="Z28" s="1809">
        <v>28</v>
      </c>
      <c r="AZ28" s="1128" t="s">
        <v>407</v>
      </c>
    </row>
    <row r="29" spans="1:52" s="135" customFormat="1" ht="15.75" customHeight="1">
      <c r="A29" s="95"/>
      <c r="B29" s="3380" t="s">
        <v>408</v>
      </c>
      <c r="C29" s="3381"/>
      <c r="D29" s="3381"/>
      <c r="E29" s="95"/>
      <c r="G29" s="3349"/>
      <c r="H29" s="3350"/>
      <c r="I29" s="3350"/>
      <c r="J29" s="3350"/>
      <c r="K29" s="3351"/>
      <c r="L29" s="3429"/>
      <c r="M29" s="3430"/>
      <c r="N29" s="3436"/>
      <c r="O29" s="3437"/>
      <c r="P29" s="3415"/>
      <c r="Q29" s="3415"/>
      <c r="S29" s="3366"/>
      <c r="T29" s="3367"/>
      <c r="Y29" s="1741" t="s">
        <v>407</v>
      </c>
      <c r="Z29" s="1809">
        <v>29</v>
      </c>
      <c r="AZ29" s="1128" t="s">
        <v>409</v>
      </c>
    </row>
    <row r="30" spans="1:52" s="135" customFormat="1" ht="15.75" customHeight="1">
      <c r="A30" s="95"/>
      <c r="B30" s="3380" t="s">
        <v>410</v>
      </c>
      <c r="C30" s="3381"/>
      <c r="D30" s="3381"/>
      <c r="E30" s="95"/>
      <c r="G30" s="3349" t="s">
        <v>7748</v>
      </c>
      <c r="H30" s="3350"/>
      <c r="I30" s="3350"/>
      <c r="J30" s="3350"/>
      <c r="K30" s="3351"/>
      <c r="L30" s="3429">
        <f>I53*20%</f>
        <v>1832000</v>
      </c>
      <c r="M30" s="3430"/>
      <c r="N30" s="95"/>
      <c r="Q30" s="95"/>
      <c r="S30" s="3368"/>
      <c r="T30" s="3369"/>
      <c r="Y30" s="1741" t="s">
        <v>409</v>
      </c>
      <c r="Z30" s="1809">
        <v>30</v>
      </c>
      <c r="AZ30" s="1128" t="s">
        <v>411</v>
      </c>
    </row>
    <row r="31" spans="1:52" s="135" customFormat="1" ht="15.75" customHeight="1">
      <c r="A31" s="95"/>
      <c r="B31" s="3380" t="s">
        <v>412</v>
      </c>
      <c r="C31" s="3381"/>
      <c r="D31" s="3381"/>
      <c r="E31" s="95"/>
      <c r="G31" s="3349" t="s">
        <v>7749</v>
      </c>
      <c r="H31" s="3350"/>
      <c r="I31" s="3350"/>
      <c r="J31" s="3350"/>
      <c r="K31" s="3351"/>
      <c r="L31" s="3429">
        <f>I54*20%</f>
        <v>1145000</v>
      </c>
      <c r="M31" s="3430"/>
      <c r="N31" s="95"/>
      <c r="Q31" s="95"/>
      <c r="S31" s="3378"/>
      <c r="T31" s="3379"/>
      <c r="Y31" s="1741" t="s">
        <v>411</v>
      </c>
      <c r="Z31" s="1809">
        <v>31</v>
      </c>
      <c r="AZ31" s="1128" t="s">
        <v>413</v>
      </c>
    </row>
    <row r="32" spans="1:52" s="135" customFormat="1" ht="15.75" customHeight="1">
      <c r="A32" s="95"/>
      <c r="B32" s="2514" t="s">
        <v>414</v>
      </c>
      <c r="C32" s="95"/>
      <c r="D32" s="3370"/>
      <c r="E32" s="3375"/>
      <c r="F32" s="3371"/>
      <c r="G32" s="3349"/>
      <c r="H32" s="3350"/>
      <c r="I32" s="3350"/>
      <c r="J32" s="3350"/>
      <c r="K32" s="3351"/>
      <c r="L32" s="3429"/>
      <c r="M32" s="3430"/>
      <c r="N32" s="95"/>
      <c r="Q32" s="95"/>
      <c r="S32" s="3366"/>
      <c r="T32" s="3367"/>
      <c r="Y32" s="1741" t="s">
        <v>413</v>
      </c>
      <c r="Z32" s="1809">
        <v>32</v>
      </c>
      <c r="AZ32" s="1128" t="s">
        <v>415</v>
      </c>
    </row>
    <row r="33" spans="1:52" s="135" customFormat="1" ht="15.75" customHeight="1">
      <c r="A33" s="95"/>
      <c r="B33" s="2514" t="s">
        <v>414</v>
      </c>
      <c r="C33" s="95"/>
      <c r="D33" s="3349"/>
      <c r="E33" s="3350"/>
      <c r="F33" s="3351"/>
      <c r="G33" s="3349"/>
      <c r="H33" s="3350"/>
      <c r="I33" s="3350"/>
      <c r="J33" s="3350"/>
      <c r="K33" s="3351"/>
      <c r="L33" s="3429"/>
      <c r="M33" s="3430"/>
      <c r="N33" s="95"/>
      <c r="S33" s="3366"/>
      <c r="T33" s="3367"/>
      <c r="Y33" s="1741" t="s">
        <v>415</v>
      </c>
      <c r="Z33" s="1809">
        <v>33</v>
      </c>
      <c r="AZ33" s="1128" t="s">
        <v>416</v>
      </c>
    </row>
    <row r="34" spans="1:52" s="135" customFormat="1" ht="15.75" customHeight="1">
      <c r="A34" s="95"/>
      <c r="B34" s="2522" t="s">
        <v>414</v>
      </c>
      <c r="C34" s="2523"/>
      <c r="D34" s="3355"/>
      <c r="E34" s="3357"/>
      <c r="F34" s="3356"/>
      <c r="G34" s="3355"/>
      <c r="H34" s="3357"/>
      <c r="I34" s="3357"/>
      <c r="J34" s="3357"/>
      <c r="K34" s="3356"/>
      <c r="L34" s="3421"/>
      <c r="M34" s="3422"/>
      <c r="N34" s="95"/>
      <c r="S34" s="3366"/>
      <c r="T34" s="3367"/>
      <c r="Y34" s="1741" t="s">
        <v>416</v>
      </c>
      <c r="Z34" s="1809">
        <v>34</v>
      </c>
      <c r="AZ34" s="1128"/>
    </row>
    <row r="35" spans="1:52" s="135" customFormat="1" ht="16.5" customHeight="1">
      <c r="A35" s="95"/>
      <c r="B35" s="134" t="s">
        <v>417</v>
      </c>
      <c r="C35" s="95"/>
      <c r="D35" s="95"/>
      <c r="E35" s="95"/>
      <c r="F35" s="95"/>
      <c r="G35" s="95"/>
      <c r="H35" s="95"/>
      <c r="I35" s="95"/>
      <c r="L35" s="3423">
        <f>SUM(L24:L34)</f>
        <v>15537132</v>
      </c>
      <c r="M35" s="3424"/>
      <c r="N35" s="96"/>
      <c r="S35" s="3366"/>
      <c r="T35" s="3367"/>
      <c r="Y35" s="1741"/>
      <c r="Z35" s="1809">
        <v>35</v>
      </c>
      <c r="AZ35" s="1128"/>
    </row>
    <row r="36" spans="1:52" s="135" customFormat="1" ht="16.5" customHeight="1">
      <c r="A36" s="95"/>
      <c r="B36" s="153" t="s">
        <v>418</v>
      </c>
      <c r="C36" s="95"/>
      <c r="D36" s="95"/>
      <c r="E36" s="95"/>
      <c r="F36" s="95"/>
      <c r="G36" s="95"/>
      <c r="H36" s="95"/>
      <c r="I36" s="95"/>
      <c r="L36" s="3425">
        <f>'Part III-A-Uses of Funds'!$G$147-'Part III-A-Uses of Funds'!$G$103-'Part III-A-Uses of Funds'!$G$109-'Part III-A-Uses of Funds'!$G$130-'Part III-A-Uses of Funds'!$G$131-'Part III-A-Uses of Funds'!$G$133-'Part III-A-Uses of Funds'!$G$127+'Part III-A-Uses of Funds'!$F$123</f>
        <v>15353575.965999996</v>
      </c>
      <c r="M36" s="3426"/>
      <c r="N36" s="481"/>
      <c r="S36" s="3366"/>
      <c r="T36" s="3367"/>
      <c r="Y36" s="1741"/>
      <c r="Z36" s="1809">
        <v>36</v>
      </c>
      <c r="AZ36" s="1128"/>
    </row>
    <row r="37" spans="1:52" s="135" customFormat="1" ht="16.5" customHeight="1">
      <c r="A37" s="95"/>
      <c r="B37" s="153" t="s">
        <v>419</v>
      </c>
      <c r="C37" s="95"/>
      <c r="D37" s="95"/>
      <c r="E37" s="95"/>
      <c r="F37" s="95"/>
      <c r="G37" s="95"/>
      <c r="H37" s="95"/>
      <c r="I37" s="95"/>
      <c r="L37" s="3427">
        <f>L35-L36</f>
        <v>183556.03400000371</v>
      </c>
      <c r="M37" s="3428"/>
      <c r="N37" s="481"/>
      <c r="S37" s="3368"/>
      <c r="T37" s="3369"/>
      <c r="Y37" s="1741"/>
      <c r="Z37" s="1809">
        <v>37</v>
      </c>
      <c r="AZ37" s="1127"/>
    </row>
    <row r="38" spans="1:52" ht="9.6" customHeight="1">
      <c r="A38" s="159"/>
      <c r="B38" s="134"/>
      <c r="C38" s="96"/>
      <c r="D38" s="96"/>
      <c r="E38" s="96"/>
      <c r="F38" s="96"/>
      <c r="G38" s="96"/>
      <c r="H38" s="96"/>
      <c r="I38" s="96"/>
      <c r="J38" s="96"/>
      <c r="K38" s="96"/>
      <c r="L38" s="96"/>
      <c r="M38" s="2517"/>
      <c r="N38" s="2517"/>
      <c r="Z38" s="1809">
        <v>38</v>
      </c>
    </row>
    <row r="39" spans="1:52" ht="9.6" customHeight="1">
      <c r="A39" s="151" t="s">
        <v>32</v>
      </c>
      <c r="B39" s="134" t="s">
        <v>420</v>
      </c>
      <c r="C39" s="96"/>
      <c r="D39" s="96"/>
      <c r="E39" s="96"/>
      <c r="F39" s="96"/>
      <c r="G39" s="96"/>
      <c r="H39" s="96"/>
      <c r="I39" s="96"/>
      <c r="J39" s="96"/>
      <c r="K39" s="96"/>
      <c r="L39" s="96"/>
      <c r="M39" s="2517"/>
      <c r="N39" s="2517"/>
      <c r="O39" s="96"/>
      <c r="S39" s="163" t="str">
        <f>B39</f>
        <v>PERMANENT FINANCING</v>
      </c>
      <c r="Z39" s="1809">
        <v>39</v>
      </c>
      <c r="AZ39" s="1128"/>
    </row>
    <row r="40" spans="1:52" s="135" customFormat="1" ht="13.35" customHeight="1">
      <c r="A40" s="95"/>
      <c r="B40" s="95"/>
      <c r="C40" s="95"/>
      <c r="D40" s="95"/>
      <c r="E40" s="95"/>
      <c r="F40" s="2517"/>
      <c r="G40" s="2517"/>
      <c r="H40" s="3415"/>
      <c r="I40" s="3415"/>
      <c r="K40" s="158" t="s">
        <v>421</v>
      </c>
      <c r="L40" s="2517" t="s">
        <v>422</v>
      </c>
      <c r="M40" s="2517" t="s">
        <v>423</v>
      </c>
      <c r="P40" s="3416" t="s">
        <v>424</v>
      </c>
      <c r="Q40" s="3416"/>
      <c r="S40" s="163"/>
      <c r="Y40" s="1741"/>
      <c r="Z40" s="1809">
        <v>40</v>
      </c>
      <c r="AZ40" s="1128"/>
    </row>
    <row r="41" spans="1:52" s="135" customFormat="1" ht="13.35" customHeight="1">
      <c r="A41" s="95"/>
      <c r="B41" s="2518" t="s">
        <v>392</v>
      </c>
      <c r="C41" s="2523"/>
      <c r="D41" s="2523"/>
      <c r="E41" s="3418" t="s">
        <v>393</v>
      </c>
      <c r="F41" s="3418"/>
      <c r="G41" s="3418"/>
      <c r="H41" s="3418"/>
      <c r="I41" s="3419" t="s">
        <v>425</v>
      </c>
      <c r="J41" s="3419"/>
      <c r="K41" s="2519" t="s">
        <v>426</v>
      </c>
      <c r="L41" s="2519" t="s">
        <v>427</v>
      </c>
      <c r="M41" s="2519" t="s">
        <v>427</v>
      </c>
      <c r="N41" s="3419" t="s">
        <v>428</v>
      </c>
      <c r="O41" s="3419"/>
      <c r="P41" s="3417"/>
      <c r="Q41" s="3417"/>
      <c r="S41" s="3420" t="s">
        <v>350</v>
      </c>
      <c r="T41" s="3420"/>
      <c r="Y41" s="1741"/>
      <c r="Z41" s="1809">
        <v>41</v>
      </c>
      <c r="AZ41" s="1128" t="s">
        <v>429</v>
      </c>
    </row>
    <row r="42" spans="1:52" s="135" customFormat="1" ht="15" customHeight="1">
      <c r="A42" s="95"/>
      <c r="B42" s="3372" t="s">
        <v>430</v>
      </c>
      <c r="C42" s="3373"/>
      <c r="D42" s="3374"/>
      <c r="E42" s="3370" t="s">
        <v>7711</v>
      </c>
      <c r="F42" s="3375"/>
      <c r="G42" s="3375"/>
      <c r="H42" s="3371"/>
      <c r="I42" s="3376">
        <f>1770408+19474+214+19815+218+3</f>
        <v>1810132</v>
      </c>
      <c r="J42" s="3377"/>
      <c r="K42" s="2663">
        <v>0.06</v>
      </c>
      <c r="L42" s="2653">
        <v>15</v>
      </c>
      <c r="M42" s="2653">
        <v>30</v>
      </c>
      <c r="N42" s="3411" t="s">
        <v>7669</v>
      </c>
      <c r="O42" s="3412"/>
      <c r="P42" s="3413">
        <f>IF(OR(I42&lt;=0,I42=""),"",IF(N42="Cash Flow",0,IF(N42="Amortizing",-PMT(K42/12,M42*12,I42,0,0)*12,"")))</f>
        <v>130231.87094349621</v>
      </c>
      <c r="Q42" s="3414"/>
      <c r="S42" s="3378"/>
      <c r="T42" s="3379"/>
      <c r="Y42" s="1741" t="s">
        <v>429</v>
      </c>
      <c r="Z42" s="1809">
        <v>42</v>
      </c>
      <c r="AZ42" s="1128" t="s">
        <v>431</v>
      </c>
    </row>
    <row r="43" spans="1:52" s="135" customFormat="1" ht="15" customHeight="1">
      <c r="A43" s="95"/>
      <c r="B43" s="3380" t="s">
        <v>432</v>
      </c>
      <c r="C43" s="3381"/>
      <c r="D43" s="3382"/>
      <c r="E43" s="3349" t="s">
        <v>7726</v>
      </c>
      <c r="F43" s="3350"/>
      <c r="G43" s="3350"/>
      <c r="H43" s="3351"/>
      <c r="I43" s="3352">
        <v>1000000</v>
      </c>
      <c r="J43" s="3353"/>
      <c r="K43" s="479">
        <v>0.01</v>
      </c>
      <c r="L43" s="602">
        <v>20</v>
      </c>
      <c r="M43" s="602">
        <v>20</v>
      </c>
      <c r="N43" s="3409" t="s">
        <v>7669</v>
      </c>
      <c r="O43" s="3410"/>
      <c r="P43" s="3399">
        <f>IF(OR(I43&lt;=0,I43=""),"",IF(N43="Cash Flow",0,IF(N43="Amortizing",-PMT(K43/12,M43*12,I43,0,0)*12,"")))</f>
        <v>55187.316834935598</v>
      </c>
      <c r="Q43" s="3400"/>
      <c r="S43" s="3366"/>
      <c r="T43" s="3367"/>
      <c r="Y43" s="1741" t="s">
        <v>431</v>
      </c>
      <c r="Z43" s="1809">
        <v>43</v>
      </c>
      <c r="AZ43" s="1128" t="s">
        <v>433</v>
      </c>
    </row>
    <row r="44" spans="1:52" s="135" customFormat="1" ht="15" customHeight="1">
      <c r="A44" s="95"/>
      <c r="B44" s="3380" t="s">
        <v>434</v>
      </c>
      <c r="C44" s="3381"/>
      <c r="D44" s="3382"/>
      <c r="E44" s="3349"/>
      <c r="F44" s="3350"/>
      <c r="G44" s="3350"/>
      <c r="H44" s="3351"/>
      <c r="I44" s="3352"/>
      <c r="J44" s="3353"/>
      <c r="K44" s="479"/>
      <c r="L44" s="602"/>
      <c r="M44" s="602"/>
      <c r="N44" s="3409"/>
      <c r="O44" s="3410"/>
      <c r="P44" s="3399" t="str">
        <f>IF(OR(I44&lt;=0,I44=""),"",IF(N44="Cash Flow",0,IF(N44="Amortizing",-PMT(K44/12,M44*12,I44,0,0)*12,"")))</f>
        <v/>
      </c>
      <c r="Q44" s="3400"/>
      <c r="S44" s="3366"/>
      <c r="T44" s="3367"/>
      <c r="Y44" s="1741" t="s">
        <v>433</v>
      </c>
      <c r="Z44" s="1809">
        <v>44</v>
      </c>
      <c r="AZ44" s="1128" t="s">
        <v>435</v>
      </c>
    </row>
    <row r="45" spans="1:52" s="135" customFormat="1" ht="15" customHeight="1">
      <c r="A45" s="95"/>
      <c r="B45" s="2514" t="s">
        <v>436</v>
      </c>
      <c r="C45" s="3401"/>
      <c r="D45" s="3402"/>
      <c r="E45" s="3349"/>
      <c r="F45" s="3350"/>
      <c r="G45" s="3350"/>
      <c r="H45" s="3351"/>
      <c r="I45" s="3352"/>
      <c r="J45" s="3353"/>
      <c r="K45" s="480"/>
      <c r="L45" s="601"/>
      <c r="M45" s="601"/>
      <c r="N45" s="3403"/>
      <c r="O45" s="3404"/>
      <c r="P45" s="3405" t="str">
        <f>IF(OR(I45&lt;=0,I45=""),"",IF(N45="Cash Flow",0,IF(N45="Amortizing",-PMT(K45/12,M45*12,I45,0,0)*12,"")))</f>
        <v/>
      </c>
      <c r="Q45" s="3406"/>
      <c r="S45" s="3366"/>
      <c r="T45" s="3367"/>
      <c r="Y45" s="1741" t="s">
        <v>435</v>
      </c>
      <c r="Z45" s="1809">
        <v>45</v>
      </c>
      <c r="AZ45" s="1128" t="s">
        <v>437</v>
      </c>
    </row>
    <row r="46" spans="1:52" s="135" customFormat="1" ht="15" customHeight="1">
      <c r="A46" s="95"/>
      <c r="B46" s="2514" t="s">
        <v>438</v>
      </c>
      <c r="C46" s="95"/>
      <c r="D46" s="2515"/>
      <c r="E46" s="3349"/>
      <c r="F46" s="3350"/>
      <c r="G46" s="3350"/>
      <c r="H46" s="3351"/>
      <c r="I46" s="3352"/>
      <c r="J46" s="3353"/>
      <c r="K46" s="2664"/>
      <c r="L46" s="2665"/>
      <c r="M46" s="2665"/>
      <c r="N46" s="3407"/>
      <c r="O46" s="3407"/>
      <c r="P46" s="3408"/>
      <c r="Q46" s="3408"/>
      <c r="S46" s="3366"/>
      <c r="T46" s="3367"/>
      <c r="Y46" s="1741" t="s">
        <v>437</v>
      </c>
      <c r="Z46" s="1809">
        <v>46</v>
      </c>
      <c r="AZ46" s="1128" t="s">
        <v>439</v>
      </c>
    </row>
    <row r="47" spans="1:52" s="135" customFormat="1" ht="15" customHeight="1">
      <c r="A47" s="95"/>
      <c r="B47" s="2522" t="s">
        <v>440</v>
      </c>
      <c r="C47" s="2523"/>
      <c r="D47" s="2666">
        <f>IF(OR(I47="",I47=0,'Part III-A-Uses of Funds'!$G$127="",'Part III-A-Uses of Funds'!$G$127=0),"",I47/'Part III-A-Uses of Funds'!$G$127)</f>
        <v>4.6913218146370558E-7</v>
      </c>
      <c r="E47" s="3355"/>
      <c r="F47" s="3357"/>
      <c r="G47" s="3357"/>
      <c r="H47" s="3356"/>
      <c r="I47" s="3387">
        <v>1</v>
      </c>
      <c r="J47" s="3388"/>
      <c r="K47" s="2667"/>
      <c r="L47" s="2655"/>
      <c r="M47" s="2655"/>
      <c r="N47" s="3246"/>
      <c r="O47" s="3247"/>
      <c r="P47" s="3389" t="str">
        <f>IF(OR(I47&lt;=0,I47=""),"",IF(N47="Cash Flow",0,IF(N47="Amortizing",-PMT(K47/12,M47*12,I47,0,0)*12,"")))</f>
        <v/>
      </c>
      <c r="Q47" s="3390"/>
      <c r="S47" s="3366"/>
      <c r="T47" s="3367"/>
      <c r="Y47" s="1741" t="s">
        <v>439</v>
      </c>
      <c r="Z47" s="1809">
        <v>47</v>
      </c>
      <c r="AZ47" s="1128"/>
    </row>
    <row r="48" spans="1:52" s="135" customFormat="1" ht="3" customHeight="1">
      <c r="A48" s="95"/>
      <c r="B48" s="95"/>
      <c r="C48" s="95"/>
      <c r="D48" s="95"/>
      <c r="E48" s="95"/>
      <c r="F48" s="95"/>
      <c r="G48" s="95"/>
      <c r="H48" s="95"/>
      <c r="I48" s="697"/>
      <c r="J48" s="698"/>
      <c r="K48" s="605"/>
      <c r="L48" s="167"/>
      <c r="M48" s="167"/>
      <c r="N48" s="606"/>
      <c r="O48" s="606"/>
      <c r="P48" s="167"/>
      <c r="Q48" s="167"/>
      <c r="S48" s="3366"/>
      <c r="T48" s="3367"/>
      <c r="Y48" s="1741"/>
      <c r="Z48" s="1809">
        <v>48</v>
      </c>
      <c r="AZ48" s="1128"/>
    </row>
    <row r="49" spans="1:52" s="135" customFormat="1" ht="15" customHeight="1">
      <c r="A49" s="95"/>
      <c r="B49" s="135" t="s">
        <v>441</v>
      </c>
      <c r="C49" s="95"/>
      <c r="E49" s="135" t="s">
        <v>442</v>
      </c>
      <c r="F49" s="3391" t="e">
        <f>IF(OR($I$47="",$I$47=0,'Part VI-Pro Forma'!$S$35=0,'Part VI-Pro Forma'!$S$35=""),"",VLOOKUP($L$47,'Part VI-Pro Forma'!$Q$21:$S$40,3))</f>
        <v>#N/A</v>
      </c>
      <c r="G49" s="3392"/>
      <c r="H49" s="341" t="s">
        <v>443</v>
      </c>
      <c r="I49" s="3391" t="str">
        <f>IF(OR($I$47="",$I$47=0,'Part VI-Pro Forma'!$R$35=0,'Part VI-Pro Forma'!$R$35=""),"",VLOOKUP($L$47,'Part VI-Pro Forma'!$Q$21:$S$35,2))</f>
        <v/>
      </c>
      <c r="J49" s="3392"/>
      <c r="K49" s="341" t="s">
        <v>444</v>
      </c>
      <c r="L49" s="3393" t="e">
        <f>IF(OR($F$49 = 0,$F$49 =""),"",$I$49/$F$49)</f>
        <v>#N/A</v>
      </c>
      <c r="M49" s="3394"/>
      <c r="N49" s="3395" t="s">
        <v>445</v>
      </c>
      <c r="O49" s="3396"/>
      <c r="P49" s="3397">
        <f>IF(OR($I$64=0,$I$62&gt;$I$63),0,ABS($I$62-$I$63))</f>
        <v>0</v>
      </c>
      <c r="Q49" s="3398"/>
      <c r="S49" s="3366"/>
      <c r="T49" s="3367"/>
      <c r="Y49" s="1741"/>
      <c r="Z49" s="1809">
        <v>49</v>
      </c>
      <c r="AZ49" s="1128"/>
    </row>
    <row r="50" spans="1:52" s="135" customFormat="1" ht="3" customHeight="1">
      <c r="A50" s="95"/>
      <c r="B50" s="95"/>
      <c r="C50" s="95"/>
      <c r="D50" s="95"/>
      <c r="E50" s="95"/>
      <c r="F50" s="95"/>
      <c r="G50" s="95"/>
      <c r="H50" s="95"/>
      <c r="I50" s="607"/>
      <c r="J50" s="608"/>
      <c r="K50" s="605"/>
      <c r="L50" s="167"/>
      <c r="M50" s="167"/>
      <c r="N50" s="606"/>
      <c r="O50" s="606"/>
      <c r="P50" s="167"/>
      <c r="Q50" s="167"/>
      <c r="S50" s="3368"/>
      <c r="T50" s="3369"/>
      <c r="Y50" s="1741"/>
      <c r="Z50" s="1809">
        <v>50</v>
      </c>
      <c r="AZ50" s="1128" t="s">
        <v>446</v>
      </c>
    </row>
    <row r="51" spans="1:52" s="135" customFormat="1" ht="15" customHeight="1">
      <c r="A51" s="95"/>
      <c r="B51" s="3372" t="s">
        <v>404</v>
      </c>
      <c r="C51" s="3373"/>
      <c r="D51" s="3374"/>
      <c r="E51" s="3370"/>
      <c r="F51" s="3375"/>
      <c r="G51" s="3375"/>
      <c r="H51" s="3371"/>
      <c r="I51" s="3376"/>
      <c r="J51" s="3377"/>
      <c r="K51" s="95"/>
      <c r="L51" s="95"/>
      <c r="M51" s="95"/>
      <c r="N51" s="95"/>
      <c r="O51" s="95"/>
      <c r="P51" s="2517" t="s">
        <v>447</v>
      </c>
      <c r="Q51" s="95"/>
      <c r="S51" s="3378"/>
      <c r="T51" s="3379"/>
      <c r="Y51" s="1741" t="s">
        <v>446</v>
      </c>
      <c r="Z51" s="1809">
        <v>51</v>
      </c>
      <c r="AZ51" s="1128" t="s">
        <v>448</v>
      </c>
    </row>
    <row r="52" spans="1:52" s="135" customFormat="1" ht="15" customHeight="1">
      <c r="A52" s="95"/>
      <c r="B52" s="3380" t="s">
        <v>406</v>
      </c>
      <c r="C52" s="3381"/>
      <c r="D52" s="3382"/>
      <c r="E52" s="3349"/>
      <c r="F52" s="3350"/>
      <c r="G52" s="3350"/>
      <c r="H52" s="3351"/>
      <c r="I52" s="3352"/>
      <c r="J52" s="3353"/>
      <c r="L52" s="3383" t="s">
        <v>449</v>
      </c>
      <c r="M52" s="3383"/>
      <c r="N52" s="3384" t="s">
        <v>450</v>
      </c>
      <c r="O52" s="3384"/>
      <c r="P52" s="2516" t="s">
        <v>451</v>
      </c>
      <c r="Q52" s="95"/>
      <c r="S52" s="3366"/>
      <c r="T52" s="3367"/>
      <c r="Y52" s="1741" t="s">
        <v>448</v>
      </c>
      <c r="Z52" s="1809">
        <v>52</v>
      </c>
      <c r="AZ52" s="1128" t="s">
        <v>452</v>
      </c>
    </row>
    <row r="53" spans="1:52" s="135" customFormat="1" ht="15" customHeight="1">
      <c r="A53" s="95"/>
      <c r="B53" s="3380" t="s">
        <v>410</v>
      </c>
      <c r="C53" s="3381"/>
      <c r="D53" s="3382"/>
      <c r="E53" s="3349" t="s">
        <v>7748</v>
      </c>
      <c r="F53" s="3350"/>
      <c r="G53" s="3350"/>
      <c r="H53" s="3351"/>
      <c r="I53" s="3352">
        <v>9160000</v>
      </c>
      <c r="J53" s="3353"/>
      <c r="L53" s="3385">
        <f>'Part III-A-Uses of Funds'!$J$192*10*'Part III-A-Uses of Funds'!$N$183</f>
        <v>9160000</v>
      </c>
      <c r="M53" s="3385"/>
      <c r="N53" s="3386">
        <f>I53-L53</f>
        <v>0</v>
      </c>
      <c r="O53" s="3386"/>
      <c r="P53" s="224">
        <f>I53/I63</f>
        <v>0.50810244382489245</v>
      </c>
      <c r="Q53" s="95"/>
      <c r="S53" s="3366"/>
      <c r="T53" s="3367"/>
      <c r="Y53" s="1741" t="s">
        <v>452</v>
      </c>
      <c r="Z53" s="1809">
        <v>53</v>
      </c>
      <c r="AZ53" s="1128" t="s">
        <v>453</v>
      </c>
    </row>
    <row r="54" spans="1:52" s="135" customFormat="1" ht="15" customHeight="1">
      <c r="A54" s="95"/>
      <c r="B54" s="3380" t="s">
        <v>412</v>
      </c>
      <c r="C54" s="3381"/>
      <c r="D54" s="3382"/>
      <c r="E54" s="3349" t="s">
        <v>7749</v>
      </c>
      <c r="F54" s="3350"/>
      <c r="G54" s="3350"/>
      <c r="H54" s="3351"/>
      <c r="I54" s="3352">
        <v>5725000</v>
      </c>
      <c r="J54" s="3353"/>
      <c r="L54" s="3385">
        <f>'Part III-A-Uses of Funds'!$J$192*10*'Part III-A-Uses of Funds'!$Q$183</f>
        <v>5725000</v>
      </c>
      <c r="M54" s="3385"/>
      <c r="N54" s="3386">
        <f>I54-L54</f>
        <v>0</v>
      </c>
      <c r="O54" s="3386"/>
      <c r="P54" s="224">
        <f>I54/I63</f>
        <v>0.31756402739055778</v>
      </c>
      <c r="Q54" s="95"/>
      <c r="S54" s="3366"/>
      <c r="T54" s="3367"/>
      <c r="Y54" s="1741" t="s">
        <v>453</v>
      </c>
      <c r="Z54" s="1809">
        <v>54</v>
      </c>
      <c r="AZ54" s="1128" t="s">
        <v>454</v>
      </c>
    </row>
    <row r="55" spans="1:52" s="135" customFormat="1" ht="15" customHeight="1">
      <c r="A55" s="95"/>
      <c r="B55" s="3380" t="s">
        <v>455</v>
      </c>
      <c r="C55" s="3381"/>
      <c r="D55" s="3382"/>
      <c r="E55" s="3349"/>
      <c r="F55" s="3350"/>
      <c r="G55" s="3350"/>
      <c r="H55" s="3351"/>
      <c r="I55" s="3352"/>
      <c r="J55" s="3353"/>
      <c r="P55" s="2668">
        <f>SUM(P53:P54)</f>
        <v>0.82566647121545023</v>
      </c>
      <c r="Q55" s="95"/>
      <c r="S55" s="3368"/>
      <c r="T55" s="3369"/>
      <c r="Y55" s="1741" t="s">
        <v>454</v>
      </c>
      <c r="Z55" s="1809">
        <v>55</v>
      </c>
      <c r="AZ55" s="1128"/>
    </row>
    <row r="56" spans="1:52" s="135" customFormat="1" ht="15" customHeight="1">
      <c r="A56" s="95"/>
      <c r="B56" s="2514" t="s">
        <v>456</v>
      </c>
      <c r="C56" s="95"/>
      <c r="D56" s="2515"/>
      <c r="E56" s="3349"/>
      <c r="F56" s="3350"/>
      <c r="G56" s="3350"/>
      <c r="H56" s="3351"/>
      <c r="I56" s="3352"/>
      <c r="J56" s="3353"/>
      <c r="K56" s="95"/>
      <c r="Q56" s="95"/>
      <c r="S56" s="3366"/>
      <c r="T56" s="3367"/>
      <c r="Y56" s="1741"/>
      <c r="Z56" s="1809">
        <v>56</v>
      </c>
      <c r="AZ56" s="1128"/>
    </row>
    <row r="57" spans="1:52" s="135" customFormat="1" ht="15" customHeight="1">
      <c r="A57" s="95"/>
      <c r="B57" s="2514" t="s">
        <v>457</v>
      </c>
      <c r="C57" s="95"/>
      <c r="D57" s="2515"/>
      <c r="E57" s="3349"/>
      <c r="F57" s="3350"/>
      <c r="G57" s="3350"/>
      <c r="H57" s="3351"/>
      <c r="I57" s="3352"/>
      <c r="J57" s="3353"/>
      <c r="N57" s="203"/>
      <c r="O57" s="203"/>
      <c r="P57" s="203"/>
      <c r="Q57" s="95"/>
      <c r="S57" s="3366"/>
      <c r="T57" s="3367"/>
      <c r="Y57" s="1741"/>
      <c r="Z57" s="1809">
        <v>57</v>
      </c>
      <c r="AZ57" s="1128"/>
    </row>
    <row r="58" spans="1:52" s="135" customFormat="1" ht="15" customHeight="1">
      <c r="A58" s="95"/>
      <c r="B58" s="2514" t="s">
        <v>458</v>
      </c>
      <c r="C58" s="95"/>
      <c r="D58" s="2515"/>
      <c r="E58" s="3349"/>
      <c r="F58" s="3350"/>
      <c r="G58" s="3350"/>
      <c r="H58" s="3351"/>
      <c r="I58" s="3352"/>
      <c r="J58" s="3353"/>
      <c r="M58" s="203"/>
      <c r="N58" s="203"/>
      <c r="O58" s="203"/>
      <c r="P58" s="203"/>
      <c r="Q58" s="95"/>
      <c r="S58" s="3366"/>
      <c r="T58" s="3367"/>
      <c r="Y58" s="1741"/>
      <c r="Z58" s="1809">
        <v>58</v>
      </c>
      <c r="AZ58" s="1128" t="s">
        <v>459</v>
      </c>
    </row>
    <row r="59" spans="1:52" s="135" customFormat="1" ht="15" customHeight="1">
      <c r="A59" s="95"/>
      <c r="B59" s="2514" t="s">
        <v>436</v>
      </c>
      <c r="C59" s="3370"/>
      <c r="D59" s="3371"/>
      <c r="E59" s="3349" t="s">
        <v>7712</v>
      </c>
      <c r="F59" s="3350"/>
      <c r="G59" s="3350"/>
      <c r="H59" s="3351"/>
      <c r="I59" s="3352">
        <f>27500+197471+107757</f>
        <v>332728</v>
      </c>
      <c r="J59" s="3353"/>
      <c r="M59" s="203"/>
      <c r="N59" s="203"/>
      <c r="O59" s="203"/>
      <c r="P59" s="203"/>
      <c r="Q59" s="95"/>
      <c r="S59" s="3366"/>
      <c r="T59" s="3367"/>
      <c r="Y59" s="1741" t="s">
        <v>459</v>
      </c>
      <c r="Z59" s="1809">
        <v>59</v>
      </c>
      <c r="AZ59" s="1128" t="s">
        <v>460</v>
      </c>
    </row>
    <row r="60" spans="1:52" s="135" customFormat="1" ht="15" customHeight="1">
      <c r="A60" s="95"/>
      <c r="B60" s="2514" t="s">
        <v>436</v>
      </c>
      <c r="C60" s="3349"/>
      <c r="D60" s="3351"/>
      <c r="E60" s="3349"/>
      <c r="F60" s="3350"/>
      <c r="G60" s="3350"/>
      <c r="H60" s="3351"/>
      <c r="I60" s="3352"/>
      <c r="J60" s="3353"/>
      <c r="K60" s="95"/>
      <c r="L60" s="2517"/>
      <c r="M60" s="203"/>
      <c r="N60" s="203"/>
      <c r="O60" s="203"/>
      <c r="P60" s="203"/>
      <c r="Q60" s="95"/>
      <c r="S60" s="3366"/>
      <c r="T60" s="3367"/>
      <c r="Y60" s="1741" t="s">
        <v>460</v>
      </c>
      <c r="Z60" s="1809">
        <v>60</v>
      </c>
      <c r="AZ60" s="1128" t="s">
        <v>461</v>
      </c>
    </row>
    <row r="61" spans="1:52" s="135" customFormat="1" ht="15" customHeight="1">
      <c r="A61" s="95"/>
      <c r="B61" s="2522" t="s">
        <v>436</v>
      </c>
      <c r="C61" s="3355"/>
      <c r="D61" s="3356"/>
      <c r="E61" s="3355"/>
      <c r="F61" s="3357"/>
      <c r="G61" s="3357"/>
      <c r="H61" s="3356"/>
      <c r="I61" s="3358"/>
      <c r="J61" s="3359"/>
      <c r="K61" s="95"/>
      <c r="L61" s="2517"/>
      <c r="M61" s="203"/>
      <c r="N61" s="203"/>
      <c r="O61" s="203"/>
      <c r="P61" s="203"/>
      <c r="Q61" s="95"/>
      <c r="S61" s="3366"/>
      <c r="T61" s="3367"/>
      <c r="Y61" s="1741" t="s">
        <v>461</v>
      </c>
      <c r="Z61" s="1809">
        <v>61</v>
      </c>
      <c r="AZ61" s="1128"/>
    </row>
    <row r="62" spans="1:52" s="135" customFormat="1" ht="14.25" customHeight="1">
      <c r="A62" s="95"/>
      <c r="B62" s="153" t="s">
        <v>462</v>
      </c>
      <c r="C62" s="95"/>
      <c r="D62" s="95"/>
      <c r="E62" s="95"/>
      <c r="F62" s="95"/>
      <c r="G62" s="95"/>
      <c r="I62" s="3360">
        <f>SUM(I42:J47)+SUM(I51:J61)</f>
        <v>18027861</v>
      </c>
      <c r="J62" s="3361"/>
      <c r="K62" s="95"/>
      <c r="L62" s="2517"/>
      <c r="M62" s="203"/>
      <c r="N62" s="203"/>
      <c r="O62" s="203"/>
      <c r="P62" s="203"/>
      <c r="Q62" s="95"/>
      <c r="S62" s="3366"/>
      <c r="T62" s="3367"/>
      <c r="Y62" s="1741"/>
      <c r="Z62" s="1809">
        <v>62</v>
      </c>
      <c r="AZ62" s="1128"/>
    </row>
    <row r="63" spans="1:52" s="135" customFormat="1" ht="14.25" customHeight="1" thickBot="1">
      <c r="A63" s="95"/>
      <c r="B63" s="153" t="s">
        <v>463</v>
      </c>
      <c r="C63" s="95"/>
      <c r="D63" s="95"/>
      <c r="E63" s="95"/>
      <c r="F63" s="95"/>
      <c r="G63" s="95"/>
      <c r="I63" s="3362">
        <f>'Part III-A-Uses of Funds'!$G$147</f>
        <v>18027860.545297466</v>
      </c>
      <c r="J63" s="3363"/>
      <c r="K63" s="95"/>
      <c r="L63" s="2517"/>
      <c r="M63" s="203"/>
      <c r="N63" s="203"/>
      <c r="O63" s="203"/>
      <c r="P63" s="203"/>
      <c r="Q63" s="95"/>
      <c r="S63" s="3366"/>
      <c r="T63" s="3367"/>
      <c r="Y63" s="1741"/>
      <c r="Z63" s="1809">
        <v>63</v>
      </c>
      <c r="AZ63" s="1128"/>
    </row>
    <row r="64" spans="1:52" s="135" customFormat="1" ht="14.25" customHeight="1" thickBot="1">
      <c r="A64" s="95"/>
      <c r="B64" s="153" t="s">
        <v>464</v>
      </c>
      <c r="C64" s="95"/>
      <c r="D64" s="95"/>
      <c r="E64" s="95"/>
      <c r="F64" s="95"/>
      <c r="G64" s="95"/>
      <c r="I64" s="3364">
        <f>I62-I63</f>
        <v>0.45470253378152847</v>
      </c>
      <c r="J64" s="3365"/>
      <c r="K64" s="95"/>
      <c r="L64" s="2517"/>
      <c r="M64" s="203"/>
      <c r="N64" s="203"/>
      <c r="O64" s="203"/>
      <c r="P64" s="203"/>
      <c r="Q64" s="95"/>
      <c r="S64" s="3368"/>
      <c r="T64" s="3369"/>
      <c r="Y64" s="1741"/>
      <c r="Z64" s="1809">
        <v>64</v>
      </c>
      <c r="AZ64" s="1128"/>
    </row>
    <row r="65" spans="1:52" s="135" customFormat="1" ht="13.35" customHeight="1">
      <c r="A65" s="95" t="s">
        <v>465</v>
      </c>
      <c r="B65" s="153"/>
      <c r="C65" s="95"/>
      <c r="D65" s="95"/>
      <c r="E65" s="95"/>
      <c r="F65" s="95"/>
      <c r="G65" s="95"/>
      <c r="H65" s="200"/>
      <c r="I65" s="200"/>
      <c r="J65" s="96"/>
      <c r="K65" s="95"/>
      <c r="L65" s="2517"/>
      <c r="M65" s="203"/>
      <c r="N65" s="203"/>
      <c r="O65" s="203"/>
      <c r="P65" s="203"/>
      <c r="Q65" s="95"/>
      <c r="R65" s="95"/>
      <c r="S65" s="95"/>
      <c r="T65" s="95"/>
      <c r="Y65" s="1741"/>
      <c r="Z65" s="1809">
        <v>65</v>
      </c>
      <c r="AZ65" s="1127"/>
    </row>
    <row r="66" spans="1:52" ht="2.25" customHeight="1">
      <c r="A66" s="96"/>
      <c r="B66" s="96"/>
      <c r="C66" s="96"/>
      <c r="D66" s="96"/>
      <c r="E66" s="96"/>
      <c r="F66" s="96"/>
      <c r="G66" s="96"/>
      <c r="H66" s="96"/>
      <c r="I66" s="96"/>
      <c r="J66" s="96"/>
      <c r="K66" s="96"/>
      <c r="L66" s="96"/>
      <c r="M66" s="96"/>
      <c r="N66" s="96"/>
      <c r="O66" s="96"/>
      <c r="P66" s="96"/>
      <c r="Q66" s="96"/>
      <c r="Z66" s="1809">
        <v>66</v>
      </c>
    </row>
    <row r="67" spans="1:52" ht="12" customHeight="1">
      <c r="A67" s="151" t="s">
        <v>44</v>
      </c>
      <c r="B67" s="151" t="s">
        <v>68</v>
      </c>
      <c r="C67" s="96"/>
      <c r="D67" s="96"/>
      <c r="E67" s="96"/>
      <c r="F67" s="96"/>
      <c r="G67" s="96"/>
      <c r="H67" s="96"/>
      <c r="I67" s="96"/>
      <c r="J67" s="96"/>
      <c r="M67" s="151" t="s">
        <v>44</v>
      </c>
      <c r="N67" s="151" t="s">
        <v>70</v>
      </c>
      <c r="O67" s="96"/>
      <c r="P67" s="96"/>
      <c r="Q67" s="96"/>
      <c r="Z67" s="1809">
        <v>67</v>
      </c>
      <c r="AZ67" s="1130"/>
    </row>
    <row r="68" spans="1:52" ht="141" customHeight="1">
      <c r="A68" s="3217"/>
      <c r="B68" s="3218"/>
      <c r="C68" s="3218"/>
      <c r="D68" s="3218"/>
      <c r="E68" s="3218"/>
      <c r="F68" s="3218"/>
      <c r="G68" s="3218"/>
      <c r="H68" s="3218"/>
      <c r="I68" s="3218"/>
      <c r="J68" s="3218"/>
      <c r="K68" s="3218"/>
      <c r="L68" s="3219"/>
      <c r="M68" s="3220"/>
      <c r="N68" s="3221"/>
      <c r="O68" s="3221"/>
      <c r="P68" s="3221"/>
      <c r="Q68" s="3222"/>
      <c r="S68" s="3354" t="s">
        <v>289</v>
      </c>
      <c r="T68" s="3354"/>
      <c r="U68" s="260"/>
      <c r="V68" s="260"/>
      <c r="W68" s="260"/>
      <c r="Y68" s="1743"/>
      <c r="Z68" s="1809">
        <v>68</v>
      </c>
      <c r="AZ68" s="1130"/>
    </row>
    <row r="69" spans="1:52" ht="11.25" customHeight="1">
      <c r="S69" s="260"/>
      <c r="T69" s="260"/>
      <c r="U69" s="260"/>
      <c r="V69" s="260"/>
      <c r="W69" s="260"/>
      <c r="Y69" s="1743"/>
      <c r="Z69" s="1809">
        <v>69</v>
      </c>
    </row>
    <row r="70" spans="1:52" ht="12" customHeight="1">
      <c r="Z70" s="1809">
        <v>70</v>
      </c>
    </row>
    <row r="71" spans="1:52" ht="12" customHeight="1">
      <c r="B71" s="180"/>
      <c r="Z71" s="1809">
        <v>71</v>
      </c>
    </row>
    <row r="72" spans="1:52" ht="14.7" customHeight="1">
      <c r="Z72" s="1809">
        <v>72</v>
      </c>
      <c r="AZ72" s="1128"/>
    </row>
    <row r="73" spans="1:52" s="135" customFormat="1" ht="14.7" customHeight="1">
      <c r="Y73" s="1741"/>
      <c r="Z73" s="1809">
        <v>73</v>
      </c>
      <c r="AZ73" s="1128"/>
    </row>
    <row r="74" spans="1:52" s="135" customFormat="1" ht="14.7" customHeight="1">
      <c r="Y74" s="1741"/>
      <c r="Z74" s="1809">
        <v>74</v>
      </c>
      <c r="AZ74" s="1128"/>
    </row>
    <row r="75" spans="1:52" s="135" customFormat="1" ht="14.7" customHeight="1">
      <c r="Y75" s="1741"/>
      <c r="Z75" s="1811"/>
      <c r="AZ75" s="1127"/>
    </row>
    <row r="76" spans="1:52" ht="14.7" customHeight="1">
      <c r="AZ76" s="1128"/>
    </row>
    <row r="77" spans="1:52" s="135" customFormat="1" ht="14.7" customHeight="1">
      <c r="A77" s="181"/>
      <c r="Y77" s="1741"/>
      <c r="Z77" s="1811"/>
      <c r="AZ77" s="1128"/>
    </row>
    <row r="78" spans="1:52" s="135" customFormat="1" ht="14.7" customHeight="1">
      <c r="A78" s="181"/>
      <c r="Y78" s="1741"/>
      <c r="Z78" s="1811"/>
      <c r="AZ78" s="1128"/>
    </row>
    <row r="79" spans="1:52" s="135" customFormat="1" ht="14.7" customHeight="1">
      <c r="Y79" s="1741"/>
      <c r="Z79" s="1811"/>
      <c r="AZ79" s="1128"/>
    </row>
    <row r="80" spans="1:52" s="135" customFormat="1" ht="14.7" customHeight="1">
      <c r="A80" s="181"/>
      <c r="Y80" s="1741"/>
      <c r="Z80" s="1811"/>
      <c r="AZ80" s="1128"/>
    </row>
    <row r="81" spans="1:52" s="135" customFormat="1" ht="14.7" customHeight="1">
      <c r="A81" s="179"/>
      <c r="Y81" s="1741"/>
      <c r="Z81" s="1811"/>
      <c r="AZ81" s="1128"/>
    </row>
    <row r="82" spans="1:52" s="135" customFormat="1" ht="14.7" customHeight="1">
      <c r="A82" s="179"/>
      <c r="Y82" s="1741"/>
      <c r="Z82" s="1811"/>
      <c r="AZ82" s="1128"/>
    </row>
    <row r="83" spans="1:52" s="135" customFormat="1" ht="14.7" customHeight="1">
      <c r="A83" s="182"/>
      <c r="Y83" s="1741"/>
      <c r="Z83" s="1811"/>
      <c r="AZ83" s="1128"/>
    </row>
    <row r="84" spans="1:52" s="135" customFormat="1" ht="14.7" customHeight="1">
      <c r="A84" s="181"/>
      <c r="Y84" s="1741"/>
      <c r="Z84" s="1811"/>
      <c r="AZ84" s="1128"/>
    </row>
    <row r="85" spans="1:52" s="135" customFormat="1" ht="14.7" customHeight="1">
      <c r="A85" s="179"/>
      <c r="Y85" s="1741"/>
      <c r="Z85" s="1811"/>
      <c r="AZ85" s="1128"/>
    </row>
    <row r="86" spans="1:52" s="135" customFormat="1" ht="14.7" customHeight="1">
      <c r="A86" s="179"/>
      <c r="Y86" s="1741"/>
      <c r="Z86" s="1811"/>
      <c r="AZ86" s="1128"/>
    </row>
    <row r="87" spans="1:52" s="135" customFormat="1" ht="14.7" customHeight="1">
      <c r="A87" s="182"/>
      <c r="Y87" s="1741"/>
      <c r="Z87" s="1811"/>
      <c r="AZ87" s="1128"/>
    </row>
    <row r="88" spans="1:52" s="135" customFormat="1" ht="14.7" customHeight="1">
      <c r="A88" s="181"/>
      <c r="Y88" s="1741"/>
      <c r="Z88" s="1811"/>
      <c r="AZ88" s="1128"/>
    </row>
    <row r="89" spans="1:52" s="135" customFormat="1" ht="14.7" customHeight="1">
      <c r="A89" s="179"/>
      <c r="Y89" s="1741"/>
      <c r="Z89" s="1811"/>
      <c r="AZ89" s="1128"/>
    </row>
    <row r="90" spans="1:52" s="135" customFormat="1" ht="14.7" customHeight="1">
      <c r="A90" s="179"/>
      <c r="Y90" s="1741"/>
      <c r="Z90" s="1811"/>
      <c r="AZ90" s="1128"/>
    </row>
    <row r="91" spans="1:52" s="135" customFormat="1" ht="14.7" customHeight="1">
      <c r="A91" s="182"/>
      <c r="Y91" s="1741"/>
      <c r="Z91" s="1811"/>
      <c r="AZ91" s="1128"/>
    </row>
    <row r="92" spans="1:52" s="135" customFormat="1" ht="14.7" customHeight="1">
      <c r="A92" s="182"/>
      <c r="Y92" s="1741"/>
      <c r="Z92" s="1811"/>
      <c r="AZ92" s="1128"/>
    </row>
    <row r="93" spans="1:52" s="135" customFormat="1" ht="14.7" customHeight="1">
      <c r="A93" s="182"/>
      <c r="Y93" s="1741"/>
      <c r="Z93" s="1811"/>
      <c r="AZ93" s="1128"/>
    </row>
    <row r="94" spans="1:52" s="135" customFormat="1" ht="14.7" customHeight="1">
      <c r="A94" s="182"/>
      <c r="Y94" s="1741"/>
      <c r="Z94" s="1811"/>
      <c r="AZ94" s="1128"/>
    </row>
    <row r="95" spans="1:52" s="135" customFormat="1" ht="14.7" customHeight="1">
      <c r="Y95" s="1741"/>
      <c r="Z95" s="1811"/>
      <c r="AZ95" s="1128"/>
    </row>
    <row r="96" spans="1:52" s="135" customFormat="1" ht="14.7" customHeight="1">
      <c r="Y96" s="1741"/>
      <c r="Z96" s="1811"/>
      <c r="AZ96" s="1127"/>
    </row>
    <row r="97" spans="11:14" ht="14.7" customHeight="1"/>
    <row r="98" spans="11:14" ht="14.7" customHeight="1"/>
    <row r="99" spans="11:14" ht="14.7" customHeight="1"/>
    <row r="100" spans="11:14" ht="14.7" customHeight="1"/>
    <row r="101" spans="11:14" ht="14.7" customHeight="1"/>
    <row r="102" spans="11:14" ht="14.7" customHeight="1"/>
    <row r="103" spans="11:14" ht="14.7" customHeight="1">
      <c r="K103" s="95"/>
      <c r="L103" s="135"/>
      <c r="M103" s="135"/>
      <c r="N103" s="135"/>
    </row>
    <row r="104" spans="11:14" ht="14.7" customHeight="1"/>
    <row r="105" spans="11:14" ht="14.7" customHeight="1"/>
    <row r="106" spans="11:14" ht="14.7" customHeight="1"/>
    <row r="107" spans="11:14" ht="14.7" customHeight="1"/>
    <row r="108" spans="11:14" ht="14.7" customHeight="1"/>
    <row r="109" spans="11:14" ht="14.7" customHeight="1"/>
    <row r="110" spans="11:14" ht="14.7" customHeight="1"/>
    <row r="111" spans="11:14" ht="14.7" customHeight="1"/>
  </sheetData>
  <sheetProtection algorithmName="SHA-512" hashValue="27mpemuLEagcAM9vYA05Q5wI4/O/6s9gY35xL/7sPpAvA0yM+SWUXpauyH8feGxyKlbNn0ZimrsmRIYdo7Ue2Q==" saltValue="TZnx1urbKCADoaSPw4+53Q==" spinCount="100000" sheet="1" objects="1" scenarios="1" formatRows="0"/>
  <mergeCells count="155">
    <mergeCell ref="G23:K23"/>
    <mergeCell ref="G27:K27"/>
    <mergeCell ref="G24:K24"/>
    <mergeCell ref="G25:K25"/>
    <mergeCell ref="G26:K26"/>
    <mergeCell ref="G28:K28"/>
    <mergeCell ref="G29:K29"/>
    <mergeCell ref="G30:K30"/>
    <mergeCell ref="G31:K31"/>
    <mergeCell ref="F12:J12"/>
    <mergeCell ref="S10:T14"/>
    <mergeCell ref="F13:J13"/>
    <mergeCell ref="F14:J14"/>
    <mergeCell ref="H15:J15"/>
    <mergeCell ref="D18:E18"/>
    <mergeCell ref="A2:Q2"/>
    <mergeCell ref="S2:T2"/>
    <mergeCell ref="L4:P4"/>
    <mergeCell ref="S5:T5"/>
    <mergeCell ref="S6:T9"/>
    <mergeCell ref="H8:J8"/>
    <mergeCell ref="F11:J11"/>
    <mergeCell ref="S15:T18"/>
    <mergeCell ref="S24:T30"/>
    <mergeCell ref="B25:D25"/>
    <mergeCell ref="L25:M25"/>
    <mergeCell ref="N25:O25"/>
    <mergeCell ref="N21:O21"/>
    <mergeCell ref="L23:M23"/>
    <mergeCell ref="N23:O23"/>
    <mergeCell ref="P23:Q23"/>
    <mergeCell ref="S23:T23"/>
    <mergeCell ref="P25:Q25"/>
    <mergeCell ref="B26:D26"/>
    <mergeCell ref="L26:M26"/>
    <mergeCell ref="N26:O26"/>
    <mergeCell ref="P26:Q26"/>
    <mergeCell ref="B24:D24"/>
    <mergeCell ref="L24:M24"/>
    <mergeCell ref="N24:O24"/>
    <mergeCell ref="P24:Q24"/>
    <mergeCell ref="B29:D29"/>
    <mergeCell ref="L29:M29"/>
    <mergeCell ref="N29:O29"/>
    <mergeCell ref="P29:Q29"/>
    <mergeCell ref="B30:D30"/>
    <mergeCell ref="L30:M30"/>
    <mergeCell ref="B27:D27"/>
    <mergeCell ref="L27:M27"/>
    <mergeCell ref="N27:O27"/>
    <mergeCell ref="P27:Q27"/>
    <mergeCell ref="B28:D28"/>
    <mergeCell ref="L28:M28"/>
    <mergeCell ref="N28:O28"/>
    <mergeCell ref="P28:Q28"/>
    <mergeCell ref="B31:D31"/>
    <mergeCell ref="L31:M31"/>
    <mergeCell ref="H40:I40"/>
    <mergeCell ref="P40:Q41"/>
    <mergeCell ref="E41:H41"/>
    <mergeCell ref="I41:J41"/>
    <mergeCell ref="N41:O41"/>
    <mergeCell ref="S41:T41"/>
    <mergeCell ref="L34:M34"/>
    <mergeCell ref="L35:M35"/>
    <mergeCell ref="L36:M36"/>
    <mergeCell ref="L37:M37"/>
    <mergeCell ref="S31:T37"/>
    <mergeCell ref="L32:M32"/>
    <mergeCell ref="L33:M33"/>
    <mergeCell ref="D32:F32"/>
    <mergeCell ref="D33:F33"/>
    <mergeCell ref="D34:F34"/>
    <mergeCell ref="G32:K32"/>
    <mergeCell ref="G33:K33"/>
    <mergeCell ref="G34:K34"/>
    <mergeCell ref="B44:D44"/>
    <mergeCell ref="E44:H44"/>
    <mergeCell ref="I44:J44"/>
    <mergeCell ref="N44:O44"/>
    <mergeCell ref="P44:Q44"/>
    <mergeCell ref="B42:D42"/>
    <mergeCell ref="E42:H42"/>
    <mergeCell ref="I42:J42"/>
    <mergeCell ref="N42:O42"/>
    <mergeCell ref="P42:Q42"/>
    <mergeCell ref="B43:D43"/>
    <mergeCell ref="E43:H43"/>
    <mergeCell ref="I43:J43"/>
    <mergeCell ref="N43:O43"/>
    <mergeCell ref="C45:D45"/>
    <mergeCell ref="E45:H45"/>
    <mergeCell ref="I45:J45"/>
    <mergeCell ref="N45:O45"/>
    <mergeCell ref="P45:Q45"/>
    <mergeCell ref="E46:H46"/>
    <mergeCell ref="I46:J46"/>
    <mergeCell ref="N46:O46"/>
    <mergeCell ref="P46:Q46"/>
    <mergeCell ref="E47:H47"/>
    <mergeCell ref="I47:J47"/>
    <mergeCell ref="N47:O47"/>
    <mergeCell ref="P47:Q47"/>
    <mergeCell ref="S48:T50"/>
    <mergeCell ref="F49:G49"/>
    <mergeCell ref="I49:J49"/>
    <mergeCell ref="L49:M49"/>
    <mergeCell ref="N49:O49"/>
    <mergeCell ref="P49:Q49"/>
    <mergeCell ref="S42:T47"/>
    <mergeCell ref="P43:Q43"/>
    <mergeCell ref="B51:D51"/>
    <mergeCell ref="E51:H51"/>
    <mergeCell ref="I51:J51"/>
    <mergeCell ref="S51:T55"/>
    <mergeCell ref="B52:D52"/>
    <mergeCell ref="E52:H52"/>
    <mergeCell ref="I52:J52"/>
    <mergeCell ref="L52:M52"/>
    <mergeCell ref="N52:O52"/>
    <mergeCell ref="B53:D53"/>
    <mergeCell ref="E53:H53"/>
    <mergeCell ref="I53:J53"/>
    <mergeCell ref="L53:M53"/>
    <mergeCell ref="N53:O53"/>
    <mergeCell ref="B54:D54"/>
    <mergeCell ref="E54:H54"/>
    <mergeCell ref="I54:J54"/>
    <mergeCell ref="L54:M54"/>
    <mergeCell ref="N54:O54"/>
    <mergeCell ref="B55:D55"/>
    <mergeCell ref="E55:H55"/>
    <mergeCell ref="I55:J55"/>
    <mergeCell ref="E56:H56"/>
    <mergeCell ref="I56:J56"/>
    <mergeCell ref="E57:H57"/>
    <mergeCell ref="I57:J57"/>
    <mergeCell ref="E58:H58"/>
    <mergeCell ref="I58:J58"/>
    <mergeCell ref="A68:L68"/>
    <mergeCell ref="M68:Q68"/>
    <mergeCell ref="S68:T68"/>
    <mergeCell ref="C61:D61"/>
    <mergeCell ref="E61:H61"/>
    <mergeCell ref="I61:J61"/>
    <mergeCell ref="I62:J62"/>
    <mergeCell ref="I63:J63"/>
    <mergeCell ref="I64:J64"/>
    <mergeCell ref="S56:T64"/>
    <mergeCell ref="C59:D59"/>
    <mergeCell ref="E59:H59"/>
    <mergeCell ref="I59:J59"/>
    <mergeCell ref="C60:D60"/>
    <mergeCell ref="E60:H60"/>
    <mergeCell ref="I60:J60"/>
  </mergeCells>
  <conditionalFormatting sqref="B42:D44">
    <cfRule type="cellIs" dxfId="124" priority="5" stopIfTrue="1" operator="equal">
      <formula>"Make a selection FIRST --&gt;"</formula>
    </cfRule>
  </conditionalFormatting>
  <conditionalFormatting sqref="D47">
    <cfRule type="cellIs" dxfId="123" priority="2" operator="greaterThan">
      <formula>50.000001%</formula>
    </cfRule>
  </conditionalFormatting>
  <conditionalFormatting sqref="J48">
    <cfRule type="cellIs" dxfId="122" priority="3" operator="equal">
      <formula>"No"</formula>
    </cfRule>
  </conditionalFormatting>
  <conditionalFormatting sqref="J50">
    <cfRule type="cellIs" dxfId="121" priority="4" operator="equal">
      <formula>"No"</formula>
    </cfRule>
  </conditionalFormatting>
  <conditionalFormatting sqref="P49:Q49">
    <cfRule type="cellIs" dxfId="120" priority="1" operator="notEqual">
      <formula>0</formula>
    </cfRule>
  </conditionalFormatting>
  <dataValidations count="3">
    <dataValidation type="list" allowBlank="1" showInputMessage="1" showErrorMessage="1" sqref="N47:O47 P48:Q48 P50:Q50" xr:uid="{F7872E1F-F0BF-4E6F-A1D8-ACCA54A37B0E}">
      <formula1>"Amortizing, Cash Flow"</formula1>
    </dataValidation>
    <dataValidation type="list" allowBlank="1" showInputMessage="1" showErrorMessage="1" sqref="E13 E6:E7 E11 E9 B6:B17 E15:E18 L6:L18 O6" xr:uid="{1BE2F415-EEB8-48CD-BBC4-A769FDC2D20E}">
      <formula1>"Yes, No"</formula1>
    </dataValidation>
    <dataValidation type="list" allowBlank="1" showInputMessage="1" showErrorMessage="1" sqref="N42:O46" xr:uid="{03927594-7B6E-4363-BACD-6159E8989745}">
      <formula1>"Amortizing, DCA HOME IPS, Cash Flow, Adjusted Interest"</formula1>
    </dataValidation>
  </dataValidations>
  <printOptions horizontalCentered="1"/>
  <pageMargins left="0.25" right="0.25" top="0.5" bottom="0.5" header="0.25" footer="0.25"/>
  <pageSetup scale="95"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1" manualBreakCount="1">
    <brk id="38" max="16383" man="1"/>
  </rowBreaks>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543"/>
  <sheetViews>
    <sheetView showGridLines="0" workbookViewId="0">
      <selection activeCell="J42" sqref="J42"/>
    </sheetView>
  </sheetViews>
  <sheetFormatPr defaultColWidth="8.77734375" defaultRowHeight="13.2"/>
  <cols>
    <col min="1" max="1" width="17.77734375" customWidth="1"/>
    <col min="2" max="5" width="16.77734375" customWidth="1"/>
    <col min="6" max="6" width="4.77734375" bestFit="1" customWidth="1"/>
    <col min="7" max="7" width="11.21875" customWidth="1"/>
    <col min="8" max="8" width="12.21875" bestFit="1" customWidth="1"/>
    <col min="9" max="9" width="12.44140625" bestFit="1" customWidth="1"/>
    <col min="10" max="10" width="11.77734375" bestFit="1" customWidth="1"/>
    <col min="11" max="11" width="15.21875" bestFit="1" customWidth="1"/>
  </cols>
  <sheetData>
    <row r="1" spans="1:17" s="4" customFormat="1" ht="16.350000000000001" customHeight="1">
      <c r="A1" s="3484" t="e">
        <f>CONCATENATE("PART III B: USD 538 LOAN","  -  ",#REF!," ",#REF!,", ",#REF!,", ",#REF!," County")</f>
        <v>#REF!</v>
      </c>
      <c r="B1" s="3485"/>
      <c r="C1" s="3485"/>
      <c r="D1" s="3485"/>
      <c r="E1" s="3485"/>
      <c r="F1" s="3486"/>
      <c r="G1" s="91"/>
      <c r="H1" s="91"/>
      <c r="I1" s="91"/>
      <c r="J1" s="91"/>
      <c r="K1" s="91"/>
      <c r="L1" s="91"/>
      <c r="M1" s="91"/>
      <c r="N1" s="91"/>
      <c r="O1" s="91"/>
      <c r="P1" s="91"/>
      <c r="Q1" s="91"/>
    </row>
    <row r="2" spans="1:17" ht="11.1" customHeight="1">
      <c r="A2" s="108"/>
      <c r="B2" s="108"/>
      <c r="C2" s="108"/>
      <c r="D2" s="108"/>
      <c r="E2" s="108"/>
      <c r="F2" s="108"/>
      <c r="G2" s="108"/>
      <c r="H2" s="108"/>
    </row>
    <row r="3" spans="1:17" ht="14.7" customHeight="1">
      <c r="A3" s="3477" t="s">
        <v>466</v>
      </c>
      <c r="B3" s="3477"/>
      <c r="C3" s="3477"/>
      <c r="D3" s="3477"/>
      <c r="E3" s="3477"/>
      <c r="F3" s="3477"/>
      <c r="G3" s="108"/>
      <c r="H3" s="108"/>
    </row>
    <row r="4" spans="1:17" ht="6" customHeight="1"/>
    <row r="5" spans="1:17">
      <c r="A5" s="11" t="s">
        <v>467</v>
      </c>
      <c r="B5" s="11"/>
      <c r="C5" s="2669"/>
      <c r="D5" s="2330">
        <f>IF(C5&gt;1500000,1500000,0)</f>
        <v>0</v>
      </c>
      <c r="E5" s="2331">
        <f>IF(C5&gt;1500000,C5-1500000,0)</f>
        <v>0</v>
      </c>
    </row>
    <row r="6" spans="1:17">
      <c r="A6" s="11" t="s">
        <v>468</v>
      </c>
      <c r="B6" s="48" t="s">
        <v>469</v>
      </c>
      <c r="C6" s="132">
        <v>0</v>
      </c>
      <c r="D6" s="13" t="s">
        <v>470</v>
      </c>
      <c r="E6" s="11"/>
    </row>
    <row r="7" spans="1:17">
      <c r="A7" s="11"/>
      <c r="B7" s="48" t="s">
        <v>471</v>
      </c>
      <c r="C7" s="2670"/>
      <c r="D7" s="13" t="s">
        <v>472</v>
      </c>
      <c r="E7" s="11"/>
    </row>
    <row r="8" spans="1:17" ht="13.35" customHeight="1">
      <c r="A8" s="11" t="s">
        <v>473</v>
      </c>
      <c r="B8" s="11"/>
      <c r="C8" s="132">
        <v>0</v>
      </c>
      <c r="D8" s="13" t="s">
        <v>474</v>
      </c>
      <c r="E8" s="11"/>
    </row>
    <row r="9" spans="1:17">
      <c r="A9" s="11" t="s">
        <v>475</v>
      </c>
      <c r="B9" s="11"/>
      <c r="C9" s="2671"/>
      <c r="D9" s="11"/>
      <c r="E9" s="11"/>
    </row>
    <row r="10" spans="1:17">
      <c r="A10" s="11" t="s">
        <v>476</v>
      </c>
      <c r="B10" s="11"/>
      <c r="C10" s="2671"/>
      <c r="D10" s="11"/>
      <c r="E10" s="11"/>
    </row>
    <row r="11" spans="1:17">
      <c r="A11" s="11" t="s">
        <v>477</v>
      </c>
      <c r="B11" s="11"/>
      <c r="C11" s="133" t="e">
        <f>PMT(C7/12,C10*12,-C5,0,0)*12</f>
        <v>#NUM!</v>
      </c>
      <c r="D11" s="2330" t="e">
        <f>PMT($C$7/12,$C$10*12,-D5,0,0)*12</f>
        <v>#NUM!</v>
      </c>
      <c r="E11" s="2330" t="e">
        <f>PMT($C$7/12,$C$10*12,-E5,0,0)*12</f>
        <v>#NUM!</v>
      </c>
    </row>
    <row r="12" spans="1:17">
      <c r="A12" s="11" t="s">
        <v>478</v>
      </c>
      <c r="B12" s="11"/>
      <c r="C12" s="133" t="e">
        <f>C11/12</f>
        <v>#NUM!</v>
      </c>
      <c r="D12" s="2330" t="e">
        <f>D11/12</f>
        <v>#NUM!</v>
      </c>
      <c r="E12" s="2330" t="e">
        <f>E11/12</f>
        <v>#NUM!</v>
      </c>
    </row>
    <row r="13" spans="1:17" ht="11.1" customHeight="1">
      <c r="A13" s="108"/>
      <c r="B13" s="108"/>
      <c r="C13" s="108"/>
      <c r="D13" s="108"/>
      <c r="E13" s="108"/>
      <c r="F13" s="108"/>
      <c r="G13" s="108"/>
      <c r="H13" s="108"/>
    </row>
    <row r="14" spans="1:17" ht="12.6" customHeight="1">
      <c r="A14" s="3478" t="s">
        <v>479</v>
      </c>
      <c r="B14" s="3478"/>
      <c r="C14" s="3478"/>
      <c r="D14" s="3478"/>
      <c r="E14" s="3478"/>
      <c r="F14" s="3478"/>
      <c r="G14" s="108"/>
      <c r="H14" s="108"/>
    </row>
    <row r="15" spans="1:17" ht="5.7" customHeight="1">
      <c r="A15" s="6"/>
      <c r="E15" s="115"/>
      <c r="F15" s="108"/>
      <c r="G15" s="108"/>
      <c r="H15" s="108"/>
    </row>
    <row r="16" spans="1:17" ht="13.35" customHeight="1">
      <c r="A16" s="116" t="s">
        <v>480</v>
      </c>
      <c r="B16" s="2529" t="s">
        <v>481</v>
      </c>
      <c r="C16" s="2529" t="s">
        <v>482</v>
      </c>
      <c r="D16" s="3487" t="s">
        <v>483</v>
      </c>
      <c r="E16" s="3487"/>
      <c r="F16" s="108"/>
      <c r="G16" s="108"/>
      <c r="H16" s="108"/>
    </row>
    <row r="17" spans="1:8" ht="12.6" customHeight="1">
      <c r="A17" s="34">
        <v>1</v>
      </c>
      <c r="B17" s="2332">
        <f>IF(A17&gt;$C$9,0,SUM(C64:C75)*($C$6/$C$7))</f>
        <v>0</v>
      </c>
      <c r="C17" s="2526">
        <f>IF(A17&gt;C9,0,(E63+K63)*$C$8)</f>
        <v>0</v>
      </c>
      <c r="D17" s="3482">
        <f t="shared" ref="D17:D56" si="0">IF(A17&gt;$C$9,0,$C$11+C17)</f>
        <v>0</v>
      </c>
      <c r="E17" s="3482"/>
      <c r="F17" s="108"/>
      <c r="G17" s="108"/>
      <c r="H17" s="108"/>
    </row>
    <row r="18" spans="1:8" ht="12.6" customHeight="1">
      <c r="A18" s="34">
        <v>2</v>
      </c>
      <c r="B18" s="2332">
        <f>IF(A18&gt;C9,0,SUM(C76:C87)*($C$6/$C$7))</f>
        <v>0</v>
      </c>
      <c r="C18" s="2526">
        <f>IF(A18&gt;C9,0,(E75+K75)*$C$8)</f>
        <v>0</v>
      </c>
      <c r="D18" s="3480">
        <f t="shared" si="0"/>
        <v>0</v>
      </c>
      <c r="E18" s="3480"/>
      <c r="F18" s="108"/>
      <c r="G18" s="108"/>
      <c r="H18" s="108"/>
    </row>
    <row r="19" spans="1:8" ht="12.6" customHeight="1">
      <c r="A19" s="34">
        <v>3</v>
      </c>
      <c r="B19" s="2332">
        <f>IF(A19&gt;C9,0,SUM(C88:C99)*($C$6/$C$7))</f>
        <v>0</v>
      </c>
      <c r="C19" s="2526">
        <f>IF(A19&gt;C9,0,(E87+K87)*$C$8)</f>
        <v>0</v>
      </c>
      <c r="D19" s="3480">
        <f t="shared" si="0"/>
        <v>0</v>
      </c>
      <c r="E19" s="3480"/>
      <c r="F19" s="108"/>
      <c r="G19" s="108"/>
      <c r="H19" s="108"/>
    </row>
    <row r="20" spans="1:8" ht="12.6" customHeight="1">
      <c r="A20" s="34">
        <v>4</v>
      </c>
      <c r="B20" s="2332">
        <f>IF(A20&gt;C9,0,SUM(C100:C111)*($C$6/$C$7))</f>
        <v>0</v>
      </c>
      <c r="C20" s="2526">
        <f>IF(A20&gt;C9,0,(E99+K99)*$C$8)</f>
        <v>0</v>
      </c>
      <c r="D20" s="3480">
        <f t="shared" si="0"/>
        <v>0</v>
      </c>
      <c r="E20" s="3480"/>
      <c r="F20" s="108"/>
      <c r="G20" s="108"/>
      <c r="H20" s="108"/>
    </row>
    <row r="21" spans="1:8" ht="12.6" customHeight="1">
      <c r="A21" s="34">
        <v>5</v>
      </c>
      <c r="B21" s="2332">
        <f>IF(A21&gt;C9,0,SUM(C112:C123)*($C$6/$C$7))</f>
        <v>0</v>
      </c>
      <c r="C21" s="2526">
        <f>IF(A21&gt;C9,0,(E111+K111)*$C$8)</f>
        <v>0</v>
      </c>
      <c r="D21" s="3481">
        <f t="shared" si="0"/>
        <v>0</v>
      </c>
      <c r="E21" s="3481"/>
      <c r="F21" s="108"/>
      <c r="G21" s="108"/>
      <c r="H21" s="108"/>
    </row>
    <row r="22" spans="1:8" ht="12.6" customHeight="1">
      <c r="A22" s="105">
        <v>6</v>
      </c>
      <c r="B22" s="2333">
        <f>IF(A22&gt;C9,0,SUM(C124:C135)*($C$6/$C$7))</f>
        <v>0</v>
      </c>
      <c r="C22" s="2528">
        <f>IF(A22&gt;C9,0,(E123+K123)*$C$8)</f>
        <v>0</v>
      </c>
      <c r="D22" s="3480">
        <f t="shared" si="0"/>
        <v>0</v>
      </c>
      <c r="E22" s="3480"/>
      <c r="F22" s="108"/>
      <c r="G22" s="108"/>
      <c r="H22" s="108"/>
    </row>
    <row r="23" spans="1:8" ht="12.6" customHeight="1">
      <c r="A23" s="34">
        <v>7</v>
      </c>
      <c r="B23" s="2332">
        <f>IF(A23&gt;C9,0,SUM(C136:C147)*($C$6/$C$7))</f>
        <v>0</v>
      </c>
      <c r="C23" s="2526">
        <f>IF(A23&gt;C9,0,(E135+K135)*$C$8)</f>
        <v>0</v>
      </c>
      <c r="D23" s="3480">
        <f t="shared" si="0"/>
        <v>0</v>
      </c>
      <c r="E23" s="3480"/>
      <c r="F23" s="108"/>
      <c r="G23" s="108"/>
      <c r="H23" s="108"/>
    </row>
    <row r="24" spans="1:8" ht="12.6" customHeight="1">
      <c r="A24" s="34">
        <v>8</v>
      </c>
      <c r="B24" s="2332">
        <f>IF(A24&gt;C9,0,SUM(C148:C159)*($C$6/$C$7))</f>
        <v>0</v>
      </c>
      <c r="C24" s="2526">
        <f>IF(A24&gt;C9,0,(E147+K147)*$C$8)</f>
        <v>0</v>
      </c>
      <c r="D24" s="3480">
        <f t="shared" si="0"/>
        <v>0</v>
      </c>
      <c r="E24" s="3480"/>
      <c r="F24" s="108"/>
      <c r="G24" s="108"/>
      <c r="H24" s="108"/>
    </row>
    <row r="25" spans="1:8" ht="12.6" customHeight="1">
      <c r="A25" s="34">
        <v>9</v>
      </c>
      <c r="B25" s="2332">
        <f>IF(A25&gt;C9,0,SUM(C160:C171)*($C$6/$C$7))</f>
        <v>0</v>
      </c>
      <c r="C25" s="2526">
        <f>IF(A25&gt;C9,0,(E159+K159)*$C$8)</f>
        <v>0</v>
      </c>
      <c r="D25" s="3480">
        <f t="shared" si="0"/>
        <v>0</v>
      </c>
      <c r="E25" s="3480"/>
      <c r="F25" s="108"/>
      <c r="G25" s="108"/>
      <c r="H25" s="108"/>
    </row>
    <row r="26" spans="1:8" ht="12.6" customHeight="1">
      <c r="A26" s="106">
        <v>10</v>
      </c>
      <c r="B26" s="2334">
        <f>IF(A26&gt;C9,0,SUM(C172:C183)*($C$6/$C$7))</f>
        <v>0</v>
      </c>
      <c r="C26" s="2527">
        <f>IF(A26&gt;C9,0,(E171+K171)*$C$8)</f>
        <v>0</v>
      </c>
      <c r="D26" s="3481">
        <f t="shared" si="0"/>
        <v>0</v>
      </c>
      <c r="E26" s="3481"/>
      <c r="F26" s="108"/>
      <c r="G26" s="108"/>
      <c r="H26" s="108"/>
    </row>
    <row r="27" spans="1:8" ht="12.6" customHeight="1">
      <c r="A27" s="34">
        <v>11</v>
      </c>
      <c r="B27" s="2332">
        <f>IF(A27&gt;C9,0,SUM(C184:C195)*($C$6/$C$7))</f>
        <v>0</v>
      </c>
      <c r="C27" s="2526">
        <f>IF(A27&gt;C9,0,(E183+K183)*$C$8)</f>
        <v>0</v>
      </c>
      <c r="D27" s="3480">
        <f t="shared" si="0"/>
        <v>0</v>
      </c>
      <c r="E27" s="3480"/>
      <c r="F27" s="108"/>
      <c r="G27" s="108"/>
      <c r="H27" s="108"/>
    </row>
    <row r="28" spans="1:8" ht="12.6" customHeight="1">
      <c r="A28" s="34">
        <v>12</v>
      </c>
      <c r="B28" s="2332">
        <f>IF(A28&gt;C9,0,SUM(C196:C207)*($C$6/$C$7))</f>
        <v>0</v>
      </c>
      <c r="C28" s="2526">
        <f>IF(A28&gt;C9,0,(E195+K195)*$C$8)</f>
        <v>0</v>
      </c>
      <c r="D28" s="3480">
        <f t="shared" si="0"/>
        <v>0</v>
      </c>
      <c r="E28" s="3480"/>
      <c r="F28" s="108"/>
      <c r="G28" s="108"/>
      <c r="H28" s="108"/>
    </row>
    <row r="29" spans="1:8" ht="12.6" customHeight="1">
      <c r="A29" s="34">
        <v>13</v>
      </c>
      <c r="B29" s="2332">
        <f>IF(A29&gt;C9,0,SUM(C208:C219)*($C$6/$C$7))</f>
        <v>0</v>
      </c>
      <c r="C29" s="2526">
        <f>IF(A29&gt;C9,0,(E207+K207)*$C$8)</f>
        <v>0</v>
      </c>
      <c r="D29" s="3480">
        <f t="shared" si="0"/>
        <v>0</v>
      </c>
      <c r="E29" s="3480"/>
      <c r="F29" s="108"/>
      <c r="G29" s="108"/>
      <c r="H29" s="108"/>
    </row>
    <row r="30" spans="1:8" ht="12.6" customHeight="1">
      <c r="A30" s="34">
        <v>14</v>
      </c>
      <c r="B30" s="2332">
        <f>IF(A30&gt;C9,0,SUM(C220:C231)*($C$6/$C$7))</f>
        <v>0</v>
      </c>
      <c r="C30" s="2526">
        <f>IF(A30&gt;C9,0,(E219+K219)*$C$8)</f>
        <v>0</v>
      </c>
      <c r="D30" s="3480">
        <f t="shared" si="0"/>
        <v>0</v>
      </c>
      <c r="E30" s="3480"/>
      <c r="F30" s="108"/>
      <c r="G30" s="108"/>
      <c r="H30" s="108"/>
    </row>
    <row r="31" spans="1:8" ht="12.6" customHeight="1">
      <c r="A31" s="34">
        <v>15</v>
      </c>
      <c r="B31" s="2332">
        <f>IF(A31&gt;C9,0,SUM(C232:C243)*($C$6/$C$7))</f>
        <v>0</v>
      </c>
      <c r="C31" s="2526">
        <f>IF(A31&gt;C9,0,(E231+K231)*$C$8)</f>
        <v>0</v>
      </c>
      <c r="D31" s="3481">
        <f t="shared" si="0"/>
        <v>0</v>
      </c>
      <c r="E31" s="3481"/>
      <c r="F31" s="108"/>
      <c r="G31" s="108"/>
      <c r="H31" s="108"/>
    </row>
    <row r="32" spans="1:8" ht="12.6" customHeight="1">
      <c r="A32" s="105">
        <v>16</v>
      </c>
      <c r="B32" s="2333">
        <f>IF(A32&gt;C9,0,SUM(C244:C255)*($C$6/$C$7))</f>
        <v>0</v>
      </c>
      <c r="C32" s="2528">
        <f>IF(A32&gt;C9,0,(E243+K243)*$C$8)</f>
        <v>0</v>
      </c>
      <c r="D32" s="3480">
        <f t="shared" si="0"/>
        <v>0</v>
      </c>
      <c r="E32" s="3480"/>
      <c r="F32" s="108"/>
      <c r="G32" s="108"/>
      <c r="H32" s="108"/>
    </row>
    <row r="33" spans="1:8" ht="12.6" customHeight="1">
      <c r="A33" s="34">
        <v>17</v>
      </c>
      <c r="B33" s="2332">
        <f>IF(A33&gt;C9,0,SUM(C256:C267)*($C$6/$C$7))</f>
        <v>0</v>
      </c>
      <c r="C33" s="2526">
        <f>IF(A33&gt;C9,0,(E255+K255)*$C$8)</f>
        <v>0</v>
      </c>
      <c r="D33" s="3480">
        <f t="shared" si="0"/>
        <v>0</v>
      </c>
      <c r="E33" s="3480"/>
      <c r="F33" s="108"/>
      <c r="G33" s="108"/>
      <c r="H33" s="108"/>
    </row>
    <row r="34" spans="1:8" ht="12.6" customHeight="1">
      <c r="A34" s="34">
        <v>18</v>
      </c>
      <c r="B34" s="2332">
        <f>IF(A34&gt;C9,0,SUM(C268:C279)*($C$6/$C$7))</f>
        <v>0</v>
      </c>
      <c r="C34" s="2526">
        <f>IF(A34&gt;C9,0,(E267+K267)*$C$8)</f>
        <v>0</v>
      </c>
      <c r="D34" s="3480">
        <f t="shared" si="0"/>
        <v>0</v>
      </c>
      <c r="E34" s="3480"/>
      <c r="F34" s="108"/>
      <c r="G34" s="108"/>
      <c r="H34" s="108"/>
    </row>
    <row r="35" spans="1:8" ht="12.6" customHeight="1">
      <c r="A35" s="34">
        <v>19</v>
      </c>
      <c r="B35" s="2332">
        <f>IF(A35&gt;C9,0,SUM(C280:C291)*($C$6/$C$7))</f>
        <v>0</v>
      </c>
      <c r="C35" s="2526">
        <f>IF(A35&gt;C9,0,(E279+K279)*$C$8)</f>
        <v>0</v>
      </c>
      <c r="D35" s="3480">
        <f t="shared" si="0"/>
        <v>0</v>
      </c>
      <c r="E35" s="3480"/>
      <c r="F35" s="108"/>
      <c r="G35" s="108"/>
      <c r="H35" s="108"/>
    </row>
    <row r="36" spans="1:8" ht="12.6" customHeight="1">
      <c r="A36" s="106">
        <v>20</v>
      </c>
      <c r="B36" s="2334">
        <f>IF(A36&gt;C9,0,SUM(C292:C303)*($C$6/$C$7))</f>
        <v>0</v>
      </c>
      <c r="C36" s="2527">
        <f>IF(A36&gt;C9,0,(E291+K291)*$C$8)</f>
        <v>0</v>
      </c>
      <c r="D36" s="3481">
        <f t="shared" si="0"/>
        <v>0</v>
      </c>
      <c r="E36" s="3481"/>
      <c r="F36" s="108"/>
      <c r="G36" s="108"/>
      <c r="H36" s="108"/>
    </row>
    <row r="37" spans="1:8" ht="12.6" customHeight="1">
      <c r="A37" s="34">
        <v>21</v>
      </c>
      <c r="B37" s="2333">
        <f>IF(A37&gt;C9,0,SUM(C293:C304)*($C$6/$C$7))</f>
        <v>0</v>
      </c>
      <c r="C37" s="2528">
        <f>IF(A37&gt;C9,0,(E303+K303)*$C$8)</f>
        <v>0</v>
      </c>
      <c r="D37" s="3483">
        <f t="shared" si="0"/>
        <v>0</v>
      </c>
      <c r="E37" s="3483"/>
      <c r="F37" s="108"/>
      <c r="G37" s="108"/>
      <c r="H37" s="108"/>
    </row>
    <row r="38" spans="1:8" ht="12.6" customHeight="1">
      <c r="A38" s="34">
        <v>22</v>
      </c>
      <c r="B38" s="2332">
        <f>IF(A38&gt;C9,0,SUM(C294:C305)*($C$6/$C$7))</f>
        <v>0</v>
      </c>
      <c r="C38" s="2526">
        <f>IF(A38&gt;C9,0,(E315+K315)*$C$8)</f>
        <v>0</v>
      </c>
      <c r="D38" s="3480">
        <f t="shared" si="0"/>
        <v>0</v>
      </c>
      <c r="E38" s="3480"/>
      <c r="F38" s="108"/>
      <c r="G38" s="108"/>
      <c r="H38" s="108"/>
    </row>
    <row r="39" spans="1:8" ht="12.6" customHeight="1">
      <c r="A39" s="34">
        <v>23</v>
      </c>
      <c r="B39" s="2332">
        <f>IF(A39&gt;C9,0,SUM(C295:C306)*($C$6/$C$7))</f>
        <v>0</v>
      </c>
      <c r="C39" s="2526">
        <f>IF(A39&gt;C9,0,(E327+K327)*$C$8)</f>
        <v>0</v>
      </c>
      <c r="D39" s="3480">
        <f t="shared" si="0"/>
        <v>0</v>
      </c>
      <c r="E39" s="3480"/>
      <c r="F39" s="108"/>
      <c r="G39" s="108"/>
      <c r="H39" s="108"/>
    </row>
    <row r="40" spans="1:8" ht="12.6" customHeight="1">
      <c r="A40" s="34">
        <v>24</v>
      </c>
      <c r="B40" s="2332">
        <f>IF(A40&gt;C9,0,SUM(C296:C307)*($C$6/$C$7))</f>
        <v>0</v>
      </c>
      <c r="C40" s="2526">
        <f>IF(A40&gt;C9,0,(E339+K339)*$C$8)</f>
        <v>0</v>
      </c>
      <c r="D40" s="3480">
        <f t="shared" si="0"/>
        <v>0</v>
      </c>
      <c r="E40" s="3480"/>
      <c r="F40" s="108"/>
      <c r="G40" s="108"/>
      <c r="H40" s="108"/>
    </row>
    <row r="41" spans="1:8" ht="12.6" customHeight="1">
      <c r="A41" s="34">
        <v>25</v>
      </c>
      <c r="B41" s="2334">
        <f>IF(A41&gt;C9,0,SUM(C297:C308)*($C$6/$C$7))</f>
        <v>0</v>
      </c>
      <c r="C41" s="2527">
        <f>IF(A41&gt;C9,0,(E351+K351)*$C$8)</f>
        <v>0</v>
      </c>
      <c r="D41" s="3481">
        <f t="shared" si="0"/>
        <v>0</v>
      </c>
      <c r="E41" s="3481"/>
      <c r="F41" s="108"/>
      <c r="G41" s="108"/>
      <c r="H41" s="108"/>
    </row>
    <row r="42" spans="1:8" ht="12.6" customHeight="1">
      <c r="A42" s="105">
        <v>26</v>
      </c>
      <c r="B42" s="2333">
        <f>IF(A42&gt;C9,0,SUM(C298:C309)*($C$6/$C$7))</f>
        <v>0</v>
      </c>
      <c r="C42" s="2528">
        <f>IF(A42&gt;C9,0,(E363+K363)*$C$8)</f>
        <v>0</v>
      </c>
      <c r="D42" s="3483">
        <f t="shared" si="0"/>
        <v>0</v>
      </c>
      <c r="E42" s="3483"/>
      <c r="F42" s="108"/>
      <c r="G42" s="108"/>
      <c r="H42" s="108"/>
    </row>
    <row r="43" spans="1:8" ht="12.6" customHeight="1">
      <c r="A43" s="34">
        <v>27</v>
      </c>
      <c r="B43" s="2332">
        <f>IF(A43&gt;C9,0,SUM(C299:C310)*($C$6/$C$7))</f>
        <v>0</v>
      </c>
      <c r="C43" s="2526">
        <f>IF(A43&gt;C9,0,(E375+K375)*$C$8)</f>
        <v>0</v>
      </c>
      <c r="D43" s="3480">
        <f t="shared" si="0"/>
        <v>0</v>
      </c>
      <c r="E43" s="3480"/>
      <c r="F43" s="108"/>
      <c r="G43" s="108"/>
      <c r="H43" s="108"/>
    </row>
    <row r="44" spans="1:8" ht="12.6" customHeight="1">
      <c r="A44" s="34">
        <v>28</v>
      </c>
      <c r="B44" s="2332">
        <f>IF(A44&gt;C9,0,SUM(C300:C311)*($C$6/$C$7))</f>
        <v>0</v>
      </c>
      <c r="C44" s="2526">
        <f>IF(A44&gt;C9,0,(E387+K387)*$C$8)</f>
        <v>0</v>
      </c>
      <c r="D44" s="3480">
        <f t="shared" si="0"/>
        <v>0</v>
      </c>
      <c r="E44" s="3480"/>
      <c r="F44" s="108"/>
      <c r="G44" s="108"/>
      <c r="H44" s="108"/>
    </row>
    <row r="45" spans="1:8" ht="12.6" customHeight="1">
      <c r="A45" s="34">
        <v>29</v>
      </c>
      <c r="B45" s="2332">
        <f>IF(A45&gt;C9,0,SUM(C301:C312)*($C$6/$C$7))</f>
        <v>0</v>
      </c>
      <c r="C45" s="2526">
        <f>IF(A45&gt;C9,0,(E411+K411)*$C$8)</f>
        <v>0</v>
      </c>
      <c r="D45" s="3480">
        <f t="shared" si="0"/>
        <v>0</v>
      </c>
      <c r="E45" s="3480"/>
      <c r="F45" s="108"/>
      <c r="G45" s="108"/>
      <c r="H45" s="108"/>
    </row>
    <row r="46" spans="1:8" ht="12.6" customHeight="1">
      <c r="A46" s="106">
        <v>30</v>
      </c>
      <c r="B46" s="2334">
        <f>IF(A46&gt;C9,0,SUM(C302:C313)*($C$6/$C$7))</f>
        <v>0</v>
      </c>
      <c r="C46" s="2527">
        <f>IF(A46&gt;C9,0,(E423+K423)*$C$8)</f>
        <v>0</v>
      </c>
      <c r="D46" s="3481">
        <f t="shared" si="0"/>
        <v>0</v>
      </c>
      <c r="E46" s="3481"/>
      <c r="F46" s="108"/>
      <c r="G46" s="108"/>
      <c r="H46" s="108"/>
    </row>
    <row r="47" spans="1:8" ht="12.6" customHeight="1">
      <c r="A47" s="105">
        <v>31</v>
      </c>
      <c r="B47" s="2333">
        <f>IF(A47&gt;C9,0,SUM(C303:C314)*($C$6/$C$7))</f>
        <v>0</v>
      </c>
      <c r="C47" s="2528">
        <f>IF(A47&gt;C9,0,(E435+K435)*$C$8)</f>
        <v>0</v>
      </c>
      <c r="D47" s="3483">
        <f t="shared" si="0"/>
        <v>0</v>
      </c>
      <c r="E47" s="3483"/>
      <c r="F47" s="108"/>
      <c r="G47" s="108"/>
      <c r="H47" s="108"/>
    </row>
    <row r="48" spans="1:8" ht="12.6" customHeight="1">
      <c r="A48" s="34">
        <v>32</v>
      </c>
      <c r="B48" s="2332">
        <f>IF(A48&gt;C9,0,SUM(C304:C315)*($C$6/$C$7))</f>
        <v>0</v>
      </c>
      <c r="C48" s="2526">
        <f>IF(A48&gt;C9,0,(E447+K447)*$C$8)</f>
        <v>0</v>
      </c>
      <c r="D48" s="3480">
        <f t="shared" si="0"/>
        <v>0</v>
      </c>
      <c r="E48" s="3480"/>
      <c r="F48" s="108"/>
      <c r="G48" s="108"/>
      <c r="H48" s="108"/>
    </row>
    <row r="49" spans="1:12" ht="12.6" customHeight="1">
      <c r="A49" s="34">
        <v>33</v>
      </c>
      <c r="B49" s="2332">
        <f>IF(A49&gt;C9,0,SUM(C305:C316)*($C$6/$C$7))</f>
        <v>0</v>
      </c>
      <c r="C49" s="2526">
        <f>IF(A49&gt;C9,0,(E459+K459)*$C$8)</f>
        <v>0</v>
      </c>
      <c r="D49" s="3480">
        <f t="shared" si="0"/>
        <v>0</v>
      </c>
      <c r="E49" s="3480"/>
      <c r="F49" s="108"/>
      <c r="G49" s="108"/>
      <c r="H49" s="108"/>
    </row>
    <row r="50" spans="1:12" ht="12.6" customHeight="1">
      <c r="A50" s="34">
        <v>34</v>
      </c>
      <c r="B50" s="2332">
        <f>IF(A50&gt;C9,0,SUM(C306:C317)*($C$6/$C$7))</f>
        <v>0</v>
      </c>
      <c r="C50" s="2526">
        <f>IF(A50&gt;C9,0,(E471+K471)*$C$8)</f>
        <v>0</v>
      </c>
      <c r="D50" s="3480">
        <f t="shared" si="0"/>
        <v>0</v>
      </c>
      <c r="E50" s="3480"/>
      <c r="F50" s="108"/>
      <c r="G50" s="108"/>
      <c r="H50" s="108"/>
    </row>
    <row r="51" spans="1:12" ht="12.6" customHeight="1">
      <c r="A51" s="106">
        <v>35</v>
      </c>
      <c r="B51" s="2334">
        <f>IF(A51&gt;C9,0,SUM(C307:C318)*($C$6/$C$7))</f>
        <v>0</v>
      </c>
      <c r="C51" s="2527">
        <f>IF(A51&gt;C9,0,(E483+K483)*$C$8)</f>
        <v>0</v>
      </c>
      <c r="D51" s="3481">
        <f t="shared" si="0"/>
        <v>0</v>
      </c>
      <c r="E51" s="3481"/>
      <c r="F51" s="108"/>
      <c r="G51" s="108"/>
      <c r="H51" s="108"/>
    </row>
    <row r="52" spans="1:12" ht="12.6" customHeight="1">
      <c r="A52" s="105">
        <v>36</v>
      </c>
      <c r="B52" s="2333">
        <f>IF(A52&gt;C9,0,SUM(C308:C319)*($C$6/$C$7))</f>
        <v>0</v>
      </c>
      <c r="C52" s="2528">
        <f>IF(A52&gt;C9,0,(E495+K495)*$C$8)</f>
        <v>0</v>
      </c>
      <c r="D52" s="3483">
        <f t="shared" si="0"/>
        <v>0</v>
      </c>
      <c r="E52" s="3483"/>
      <c r="F52" s="108"/>
      <c r="G52" s="108"/>
      <c r="H52" s="108"/>
    </row>
    <row r="53" spans="1:12" ht="12.6" customHeight="1">
      <c r="A53" s="34">
        <v>37</v>
      </c>
      <c r="B53" s="2332">
        <f>IF(A53&gt;C9,0,SUM(C309:C320)*($C$6/$C$7))</f>
        <v>0</v>
      </c>
      <c r="C53" s="2526">
        <f>IF(A53&gt;C9,0,(E507+K507)*$C$8)</f>
        <v>0</v>
      </c>
      <c r="D53" s="3480">
        <f t="shared" si="0"/>
        <v>0</v>
      </c>
      <c r="E53" s="3480"/>
      <c r="F53" s="108"/>
      <c r="G53" s="108"/>
      <c r="H53" s="108"/>
    </row>
    <row r="54" spans="1:12" ht="12.6" customHeight="1">
      <c r="A54" s="34">
        <v>38</v>
      </c>
      <c r="B54" s="2332">
        <f>IF(A54&gt;C9,0,SUM(C310:C321)*($C$6/$C$7))</f>
        <v>0</v>
      </c>
      <c r="C54" s="2526">
        <f>IF(A54&gt;C9,0,(E519+K519)*$C$8)</f>
        <v>0</v>
      </c>
      <c r="D54" s="3480">
        <f t="shared" si="0"/>
        <v>0</v>
      </c>
      <c r="E54" s="3480"/>
      <c r="F54" s="108"/>
      <c r="G54" s="108"/>
      <c r="H54" s="108"/>
    </row>
    <row r="55" spans="1:12" ht="12.6" customHeight="1">
      <c r="A55" s="34">
        <v>39</v>
      </c>
      <c r="B55" s="2332">
        <f>IF(A55&gt;C9,0,SUM(C311:C322)*($C$6/$C$7))</f>
        <v>0</v>
      </c>
      <c r="C55" s="2526">
        <f>IF(A55&gt;C9,0,(E531+K531)*$C$8)</f>
        <v>0</v>
      </c>
      <c r="D55" s="3480">
        <f t="shared" si="0"/>
        <v>0</v>
      </c>
      <c r="E55" s="3480"/>
      <c r="F55" s="108"/>
      <c r="G55" s="108"/>
      <c r="H55" s="108"/>
    </row>
    <row r="56" spans="1:12" ht="12.6" customHeight="1">
      <c r="A56" s="106">
        <v>40</v>
      </c>
      <c r="B56" s="2334">
        <f>IF(A56&gt;C9,0,SUM(C312:C323)*($C$6/$C$7))</f>
        <v>0</v>
      </c>
      <c r="C56" s="2527">
        <f>IF(A56&gt;C9,0,(E543+K543)*$C$8)</f>
        <v>0</v>
      </c>
      <c r="D56" s="3481">
        <f t="shared" si="0"/>
        <v>0</v>
      </c>
      <c r="E56" s="3481"/>
      <c r="F56" s="108"/>
      <c r="G56" s="108"/>
      <c r="H56" s="108"/>
    </row>
    <row r="57" spans="1:12" ht="3" customHeight="1">
      <c r="A57" s="108"/>
      <c r="B57" s="108"/>
      <c r="C57" s="108"/>
      <c r="D57" s="108"/>
      <c r="E57" s="108"/>
      <c r="F57" s="108"/>
      <c r="G57" s="108"/>
      <c r="H57" s="108"/>
    </row>
    <row r="58" spans="1:12" ht="13.35" customHeight="1">
      <c r="A58" s="3479" t="e">
        <f>CONCATENATE(#REF!," ",#REF!,", ",#REF!,", ",#REF!," County")</f>
        <v>#REF!</v>
      </c>
      <c r="B58" s="3479"/>
      <c r="C58" s="3479"/>
      <c r="D58" s="3479"/>
      <c r="E58" s="3479"/>
      <c r="F58" s="3479"/>
      <c r="G58" s="3479" t="e">
        <f>CONCATENATE(#REF!," ",#REF!,", ",#REF!,", ",#REF!," County")</f>
        <v>#REF!</v>
      </c>
      <c r="H58" s="3479"/>
      <c r="I58" s="3479"/>
      <c r="J58" s="3479"/>
      <c r="K58" s="3479"/>
      <c r="L58" s="3479"/>
    </row>
    <row r="59" spans="1:12" ht="13.8">
      <c r="A59" s="3477" t="s">
        <v>484</v>
      </c>
      <c r="B59" s="3477"/>
      <c r="C59" s="3477"/>
      <c r="D59" s="3477"/>
      <c r="E59" s="3477"/>
      <c r="F59" s="3477"/>
      <c r="G59" s="3477" t="s">
        <v>484</v>
      </c>
      <c r="H59" s="3477"/>
      <c r="I59" s="3477"/>
      <c r="J59" s="3477"/>
      <c r="K59" s="3477"/>
      <c r="L59" s="3477"/>
    </row>
    <row r="60" spans="1:12" ht="6" customHeight="1">
      <c r="C60" s="107"/>
      <c r="D60" s="107"/>
      <c r="I60" s="107"/>
      <c r="J60" s="107"/>
    </row>
    <row r="61" spans="1:12">
      <c r="A61" s="109" t="s">
        <v>485</v>
      </c>
      <c r="B61" s="110" t="s">
        <v>486</v>
      </c>
      <c r="C61" s="110" t="s">
        <v>487</v>
      </c>
      <c r="D61" s="110" t="s">
        <v>488</v>
      </c>
      <c r="E61" s="109" t="s">
        <v>489</v>
      </c>
      <c r="F61" s="119" t="s">
        <v>480</v>
      </c>
      <c r="G61" s="109" t="s">
        <v>485</v>
      </c>
      <c r="H61" s="110" t="s">
        <v>486</v>
      </c>
      <c r="I61" s="110" t="s">
        <v>487</v>
      </c>
      <c r="J61" s="110" t="s">
        <v>488</v>
      </c>
      <c r="K61" s="109" t="s">
        <v>489</v>
      </c>
      <c r="L61" s="119" t="s">
        <v>480</v>
      </c>
    </row>
    <row r="62" spans="1:12" ht="3.6" customHeight="1">
      <c r="A62" s="34"/>
      <c r="F62" s="34"/>
      <c r="G62" s="34"/>
      <c r="L62" s="34"/>
    </row>
    <row r="63" spans="1:12">
      <c r="A63" s="106" t="s">
        <v>490</v>
      </c>
      <c r="B63" s="111"/>
      <c r="C63" s="111"/>
      <c r="D63" s="111"/>
      <c r="E63" s="112">
        <f>IF($C$5&gt;1500000,$D$5,$C$5)</f>
        <v>0</v>
      </c>
      <c r="F63" s="34"/>
      <c r="G63" s="106" t="s">
        <v>490</v>
      </c>
      <c r="H63" s="111"/>
      <c r="I63" s="111"/>
      <c r="J63" s="111"/>
      <c r="K63" s="112">
        <f>IF($C$5&gt;1500000,$E$5,0)</f>
        <v>0</v>
      </c>
      <c r="L63" s="34"/>
    </row>
    <row r="64" spans="1:12">
      <c r="A64" s="113">
        <v>1</v>
      </c>
      <c r="B64" s="114">
        <f t="shared" ref="B64:B127" si="1">IF(A64&gt;12*$C$9,0,IF($C$5&gt;1500000,$D$12,$C$12))</f>
        <v>0</v>
      </c>
      <c r="C64" s="114">
        <f t="shared" ref="C64:C127" si="2">IF(A64&gt;12*$C$9,0,E63*$C$7/12)</f>
        <v>0</v>
      </c>
      <c r="D64" s="114">
        <f t="shared" ref="D64:D127" si="3">IF(A64&gt;12*$C$9,0,B64-C64)</f>
        <v>0</v>
      </c>
      <c r="E64" s="114">
        <f t="shared" ref="E64:E127" si="4">IF(A64&gt;12*$C$9,0,E63-D64)</f>
        <v>0</v>
      </c>
      <c r="F64" s="113"/>
      <c r="G64" s="113">
        <v>1</v>
      </c>
      <c r="H64" s="114">
        <f t="shared" ref="H64:H127" si="5">IF(G64&gt;12*$C$9,0,IF($C$5&gt;1500000,$E$12,0))</f>
        <v>0</v>
      </c>
      <c r="I64" s="114">
        <f t="shared" ref="I64:I127" si="6">IF(G64&gt;12*$C$9,0,K63*$C$7/12)</f>
        <v>0</v>
      </c>
      <c r="J64" s="114">
        <f t="shared" ref="J64:J127" si="7">IF(G64&gt;12*$C$9,0,H64-I64)</f>
        <v>0</v>
      </c>
      <c r="K64" s="114">
        <f t="shared" ref="K64:K127" si="8">IF(G64&gt;12*$C$9,0,K63-J64)</f>
        <v>0</v>
      </c>
      <c r="L64" s="113"/>
    </row>
    <row r="65" spans="1:12">
      <c r="A65" s="113">
        <v>2</v>
      </c>
      <c r="B65" s="114">
        <f t="shared" si="1"/>
        <v>0</v>
      </c>
      <c r="C65" s="114">
        <f t="shared" si="2"/>
        <v>0</v>
      </c>
      <c r="D65" s="114">
        <f t="shared" si="3"/>
        <v>0</v>
      </c>
      <c r="E65" s="114">
        <f t="shared" si="4"/>
        <v>0</v>
      </c>
      <c r="F65" s="113"/>
      <c r="G65" s="113">
        <v>2</v>
      </c>
      <c r="H65" s="114">
        <f t="shared" si="5"/>
        <v>0</v>
      </c>
      <c r="I65" s="114">
        <f t="shared" si="6"/>
        <v>0</v>
      </c>
      <c r="J65" s="114">
        <f t="shared" si="7"/>
        <v>0</v>
      </c>
      <c r="K65" s="114">
        <f t="shared" si="8"/>
        <v>0</v>
      </c>
      <c r="L65" s="113"/>
    </row>
    <row r="66" spans="1:12">
      <c r="A66" s="113">
        <v>3</v>
      </c>
      <c r="B66" s="114">
        <f t="shared" si="1"/>
        <v>0</v>
      </c>
      <c r="C66" s="114">
        <f t="shared" si="2"/>
        <v>0</v>
      </c>
      <c r="D66" s="114">
        <f t="shared" si="3"/>
        <v>0</v>
      </c>
      <c r="E66" s="114">
        <f t="shared" si="4"/>
        <v>0</v>
      </c>
      <c r="F66" s="113"/>
      <c r="G66" s="113">
        <v>3</v>
      </c>
      <c r="H66" s="114">
        <f t="shared" si="5"/>
        <v>0</v>
      </c>
      <c r="I66" s="114">
        <f t="shared" si="6"/>
        <v>0</v>
      </c>
      <c r="J66" s="114">
        <f t="shared" si="7"/>
        <v>0</v>
      </c>
      <c r="K66" s="114">
        <f t="shared" si="8"/>
        <v>0</v>
      </c>
      <c r="L66" s="113"/>
    </row>
    <row r="67" spans="1:12">
      <c r="A67" s="113">
        <v>4</v>
      </c>
      <c r="B67" s="114">
        <f t="shared" si="1"/>
        <v>0</v>
      </c>
      <c r="C67" s="114">
        <f t="shared" si="2"/>
        <v>0</v>
      </c>
      <c r="D67" s="114">
        <f t="shared" si="3"/>
        <v>0</v>
      </c>
      <c r="E67" s="114">
        <f t="shared" si="4"/>
        <v>0</v>
      </c>
      <c r="F67" s="113"/>
      <c r="G67" s="113">
        <v>4</v>
      </c>
      <c r="H67" s="114">
        <f t="shared" si="5"/>
        <v>0</v>
      </c>
      <c r="I67" s="114">
        <f t="shared" si="6"/>
        <v>0</v>
      </c>
      <c r="J67" s="114">
        <f t="shared" si="7"/>
        <v>0</v>
      </c>
      <c r="K67" s="114">
        <f t="shared" si="8"/>
        <v>0</v>
      </c>
      <c r="L67" s="113"/>
    </row>
    <row r="68" spans="1:12">
      <c r="A68" s="113">
        <v>5</v>
      </c>
      <c r="B68" s="114">
        <f t="shared" si="1"/>
        <v>0</v>
      </c>
      <c r="C68" s="114">
        <f t="shared" si="2"/>
        <v>0</v>
      </c>
      <c r="D68" s="114">
        <f t="shared" si="3"/>
        <v>0</v>
      </c>
      <c r="E68" s="114">
        <f t="shared" si="4"/>
        <v>0</v>
      </c>
      <c r="F68" s="113"/>
      <c r="G68" s="113">
        <v>5</v>
      </c>
      <c r="H68" s="114">
        <f t="shared" si="5"/>
        <v>0</v>
      </c>
      <c r="I68" s="114">
        <f t="shared" si="6"/>
        <v>0</v>
      </c>
      <c r="J68" s="114">
        <f t="shared" si="7"/>
        <v>0</v>
      </c>
      <c r="K68" s="114">
        <f t="shared" si="8"/>
        <v>0</v>
      </c>
      <c r="L68" s="113"/>
    </row>
    <row r="69" spans="1:12">
      <c r="A69" s="113">
        <v>6</v>
      </c>
      <c r="B69" s="114">
        <f t="shared" si="1"/>
        <v>0</v>
      </c>
      <c r="C69" s="114">
        <f t="shared" si="2"/>
        <v>0</v>
      </c>
      <c r="D69" s="114">
        <f t="shared" si="3"/>
        <v>0</v>
      </c>
      <c r="E69" s="114">
        <f t="shared" si="4"/>
        <v>0</v>
      </c>
      <c r="F69" s="113"/>
      <c r="G69" s="113">
        <v>6</v>
      </c>
      <c r="H69" s="114">
        <f t="shared" si="5"/>
        <v>0</v>
      </c>
      <c r="I69" s="114">
        <f t="shared" si="6"/>
        <v>0</v>
      </c>
      <c r="J69" s="114">
        <f t="shared" si="7"/>
        <v>0</v>
      </c>
      <c r="K69" s="114">
        <f t="shared" si="8"/>
        <v>0</v>
      </c>
      <c r="L69" s="113"/>
    </row>
    <row r="70" spans="1:12">
      <c r="A70" s="113">
        <v>7</v>
      </c>
      <c r="B70" s="114">
        <f t="shared" si="1"/>
        <v>0</v>
      </c>
      <c r="C70" s="114">
        <f t="shared" si="2"/>
        <v>0</v>
      </c>
      <c r="D70" s="114">
        <f t="shared" si="3"/>
        <v>0</v>
      </c>
      <c r="E70" s="114">
        <f t="shared" si="4"/>
        <v>0</v>
      </c>
      <c r="F70" s="113"/>
      <c r="G70" s="113">
        <v>7</v>
      </c>
      <c r="H70" s="114">
        <f t="shared" si="5"/>
        <v>0</v>
      </c>
      <c r="I70" s="114">
        <f t="shared" si="6"/>
        <v>0</v>
      </c>
      <c r="J70" s="114">
        <f t="shared" si="7"/>
        <v>0</v>
      </c>
      <c r="K70" s="114">
        <f t="shared" si="8"/>
        <v>0</v>
      </c>
      <c r="L70" s="113"/>
    </row>
    <row r="71" spans="1:12">
      <c r="A71" s="113">
        <v>8</v>
      </c>
      <c r="B71" s="114">
        <f t="shared" si="1"/>
        <v>0</v>
      </c>
      <c r="C71" s="114">
        <f t="shared" si="2"/>
        <v>0</v>
      </c>
      <c r="D71" s="114">
        <f t="shared" si="3"/>
        <v>0</v>
      </c>
      <c r="E71" s="114">
        <f t="shared" si="4"/>
        <v>0</v>
      </c>
      <c r="F71" s="113"/>
      <c r="G71" s="113">
        <v>8</v>
      </c>
      <c r="H71" s="114">
        <f t="shared" si="5"/>
        <v>0</v>
      </c>
      <c r="I71" s="114">
        <f t="shared" si="6"/>
        <v>0</v>
      </c>
      <c r="J71" s="114">
        <f t="shared" si="7"/>
        <v>0</v>
      </c>
      <c r="K71" s="114">
        <f t="shared" si="8"/>
        <v>0</v>
      </c>
      <c r="L71" s="113"/>
    </row>
    <row r="72" spans="1:12">
      <c r="A72" s="113">
        <v>9</v>
      </c>
      <c r="B72" s="114">
        <f t="shared" si="1"/>
        <v>0</v>
      </c>
      <c r="C72" s="114">
        <f t="shared" si="2"/>
        <v>0</v>
      </c>
      <c r="D72" s="114">
        <f t="shared" si="3"/>
        <v>0</v>
      </c>
      <c r="E72" s="114">
        <f t="shared" si="4"/>
        <v>0</v>
      </c>
      <c r="F72" s="113"/>
      <c r="G72" s="113">
        <v>9</v>
      </c>
      <c r="H72" s="114">
        <f t="shared" si="5"/>
        <v>0</v>
      </c>
      <c r="I72" s="114">
        <f t="shared" si="6"/>
        <v>0</v>
      </c>
      <c r="J72" s="114">
        <f t="shared" si="7"/>
        <v>0</v>
      </c>
      <c r="K72" s="114">
        <f t="shared" si="8"/>
        <v>0</v>
      </c>
      <c r="L72" s="113"/>
    </row>
    <row r="73" spans="1:12">
      <c r="A73" s="113">
        <v>10</v>
      </c>
      <c r="B73" s="114">
        <f t="shared" si="1"/>
        <v>0</v>
      </c>
      <c r="C73" s="114">
        <f t="shared" si="2"/>
        <v>0</v>
      </c>
      <c r="D73" s="114">
        <f t="shared" si="3"/>
        <v>0</v>
      </c>
      <c r="E73" s="114">
        <f t="shared" si="4"/>
        <v>0</v>
      </c>
      <c r="F73" s="113"/>
      <c r="G73" s="113">
        <v>10</v>
      </c>
      <c r="H73" s="114">
        <f t="shared" si="5"/>
        <v>0</v>
      </c>
      <c r="I73" s="114">
        <f t="shared" si="6"/>
        <v>0</v>
      </c>
      <c r="J73" s="114">
        <f t="shared" si="7"/>
        <v>0</v>
      </c>
      <c r="K73" s="114">
        <f t="shared" si="8"/>
        <v>0</v>
      </c>
      <c r="L73" s="113"/>
    </row>
    <row r="74" spans="1:12">
      <c r="A74" s="113">
        <v>11</v>
      </c>
      <c r="B74" s="114">
        <f t="shared" si="1"/>
        <v>0</v>
      </c>
      <c r="C74" s="114">
        <f t="shared" si="2"/>
        <v>0</v>
      </c>
      <c r="D74" s="114">
        <f t="shared" si="3"/>
        <v>0</v>
      </c>
      <c r="E74" s="114">
        <f t="shared" si="4"/>
        <v>0</v>
      </c>
      <c r="F74" s="113"/>
      <c r="G74" s="113">
        <v>11</v>
      </c>
      <c r="H74" s="114">
        <f t="shared" si="5"/>
        <v>0</v>
      </c>
      <c r="I74" s="114">
        <f t="shared" si="6"/>
        <v>0</v>
      </c>
      <c r="J74" s="114">
        <f t="shared" si="7"/>
        <v>0</v>
      </c>
      <c r="K74" s="114">
        <f t="shared" si="8"/>
        <v>0</v>
      </c>
      <c r="L74" s="113"/>
    </row>
    <row r="75" spans="1:12">
      <c r="A75" s="113">
        <v>12</v>
      </c>
      <c r="B75" s="114">
        <f t="shared" si="1"/>
        <v>0</v>
      </c>
      <c r="C75" s="114">
        <f t="shared" si="2"/>
        <v>0</v>
      </c>
      <c r="D75" s="114">
        <f t="shared" si="3"/>
        <v>0</v>
      </c>
      <c r="E75" s="114">
        <f t="shared" si="4"/>
        <v>0</v>
      </c>
      <c r="F75" s="113">
        <v>1</v>
      </c>
      <c r="G75" s="113">
        <v>12</v>
      </c>
      <c r="H75" s="114">
        <f t="shared" si="5"/>
        <v>0</v>
      </c>
      <c r="I75" s="114">
        <f t="shared" si="6"/>
        <v>0</v>
      </c>
      <c r="J75" s="114">
        <f t="shared" si="7"/>
        <v>0</v>
      </c>
      <c r="K75" s="114">
        <f t="shared" si="8"/>
        <v>0</v>
      </c>
      <c r="L75" s="113">
        <v>1</v>
      </c>
    </row>
    <row r="76" spans="1:12">
      <c r="A76" s="113">
        <v>13</v>
      </c>
      <c r="B76" s="114">
        <f t="shared" si="1"/>
        <v>0</v>
      </c>
      <c r="C76" s="114">
        <f t="shared" si="2"/>
        <v>0</v>
      </c>
      <c r="D76" s="114">
        <f t="shared" si="3"/>
        <v>0</v>
      </c>
      <c r="E76" s="114">
        <f t="shared" si="4"/>
        <v>0</v>
      </c>
      <c r="F76" s="113"/>
      <c r="G76" s="113">
        <v>13</v>
      </c>
      <c r="H76" s="114">
        <f t="shared" si="5"/>
        <v>0</v>
      </c>
      <c r="I76" s="114">
        <f t="shared" si="6"/>
        <v>0</v>
      </c>
      <c r="J76" s="114">
        <f t="shared" si="7"/>
        <v>0</v>
      </c>
      <c r="K76" s="114">
        <f t="shared" si="8"/>
        <v>0</v>
      </c>
      <c r="L76" s="113"/>
    </row>
    <row r="77" spans="1:12">
      <c r="A77" s="113">
        <v>14</v>
      </c>
      <c r="B77" s="114">
        <f t="shared" si="1"/>
        <v>0</v>
      </c>
      <c r="C77" s="114">
        <f t="shared" si="2"/>
        <v>0</v>
      </c>
      <c r="D77" s="114">
        <f t="shared" si="3"/>
        <v>0</v>
      </c>
      <c r="E77" s="114">
        <f t="shared" si="4"/>
        <v>0</v>
      </c>
      <c r="F77" s="113"/>
      <c r="G77" s="113">
        <v>14</v>
      </c>
      <c r="H77" s="114">
        <f t="shared" si="5"/>
        <v>0</v>
      </c>
      <c r="I77" s="114">
        <f t="shared" si="6"/>
        <v>0</v>
      </c>
      <c r="J77" s="114">
        <f t="shared" si="7"/>
        <v>0</v>
      </c>
      <c r="K77" s="114">
        <f t="shared" si="8"/>
        <v>0</v>
      </c>
      <c r="L77" s="113"/>
    </row>
    <row r="78" spans="1:12">
      <c r="A78" s="113">
        <v>15</v>
      </c>
      <c r="B78" s="114">
        <f t="shared" si="1"/>
        <v>0</v>
      </c>
      <c r="C78" s="114">
        <f t="shared" si="2"/>
        <v>0</v>
      </c>
      <c r="D78" s="114">
        <f t="shared" si="3"/>
        <v>0</v>
      </c>
      <c r="E78" s="114">
        <f t="shared" si="4"/>
        <v>0</v>
      </c>
      <c r="F78" s="113"/>
      <c r="G78" s="113">
        <v>15</v>
      </c>
      <c r="H78" s="114">
        <f t="shared" si="5"/>
        <v>0</v>
      </c>
      <c r="I78" s="114">
        <f t="shared" si="6"/>
        <v>0</v>
      </c>
      <c r="J78" s="114">
        <f t="shared" si="7"/>
        <v>0</v>
      </c>
      <c r="K78" s="114">
        <f t="shared" si="8"/>
        <v>0</v>
      </c>
      <c r="L78" s="113"/>
    </row>
    <row r="79" spans="1:12">
      <c r="A79" s="113">
        <v>16</v>
      </c>
      <c r="B79" s="114">
        <f t="shared" si="1"/>
        <v>0</v>
      </c>
      <c r="C79" s="114">
        <f t="shared" si="2"/>
        <v>0</v>
      </c>
      <c r="D79" s="114">
        <f t="shared" si="3"/>
        <v>0</v>
      </c>
      <c r="E79" s="114">
        <f t="shared" si="4"/>
        <v>0</v>
      </c>
      <c r="F79" s="113"/>
      <c r="G79" s="113">
        <v>16</v>
      </c>
      <c r="H79" s="114">
        <f t="shared" si="5"/>
        <v>0</v>
      </c>
      <c r="I79" s="114">
        <f t="shared" si="6"/>
        <v>0</v>
      </c>
      <c r="J79" s="114">
        <f t="shared" si="7"/>
        <v>0</v>
      </c>
      <c r="K79" s="114">
        <f t="shared" si="8"/>
        <v>0</v>
      </c>
      <c r="L79" s="113"/>
    </row>
    <row r="80" spans="1:12">
      <c r="A80" s="113">
        <v>17</v>
      </c>
      <c r="B80" s="114">
        <f t="shared" si="1"/>
        <v>0</v>
      </c>
      <c r="C80" s="114">
        <f t="shared" si="2"/>
        <v>0</v>
      </c>
      <c r="D80" s="114">
        <f t="shared" si="3"/>
        <v>0</v>
      </c>
      <c r="E80" s="114">
        <f t="shared" si="4"/>
        <v>0</v>
      </c>
      <c r="F80" s="113"/>
      <c r="G80" s="113">
        <v>17</v>
      </c>
      <c r="H80" s="114">
        <f t="shared" si="5"/>
        <v>0</v>
      </c>
      <c r="I80" s="114">
        <f t="shared" si="6"/>
        <v>0</v>
      </c>
      <c r="J80" s="114">
        <f t="shared" si="7"/>
        <v>0</v>
      </c>
      <c r="K80" s="114">
        <f t="shared" si="8"/>
        <v>0</v>
      </c>
      <c r="L80" s="113"/>
    </row>
    <row r="81" spans="1:12">
      <c r="A81" s="113">
        <v>18</v>
      </c>
      <c r="B81" s="114">
        <f t="shared" si="1"/>
        <v>0</v>
      </c>
      <c r="C81" s="114">
        <f t="shared" si="2"/>
        <v>0</v>
      </c>
      <c r="D81" s="114">
        <f t="shared" si="3"/>
        <v>0</v>
      </c>
      <c r="E81" s="114">
        <f t="shared" si="4"/>
        <v>0</v>
      </c>
      <c r="F81" s="113"/>
      <c r="G81" s="113">
        <v>18</v>
      </c>
      <c r="H81" s="114">
        <f t="shared" si="5"/>
        <v>0</v>
      </c>
      <c r="I81" s="114">
        <f t="shared" si="6"/>
        <v>0</v>
      </c>
      <c r="J81" s="114">
        <f t="shared" si="7"/>
        <v>0</v>
      </c>
      <c r="K81" s="114">
        <f t="shared" si="8"/>
        <v>0</v>
      </c>
      <c r="L81" s="113"/>
    </row>
    <row r="82" spans="1:12">
      <c r="A82" s="113">
        <v>19</v>
      </c>
      <c r="B82" s="114">
        <f t="shared" si="1"/>
        <v>0</v>
      </c>
      <c r="C82" s="114">
        <f t="shared" si="2"/>
        <v>0</v>
      </c>
      <c r="D82" s="114">
        <f t="shared" si="3"/>
        <v>0</v>
      </c>
      <c r="E82" s="114">
        <f t="shared" si="4"/>
        <v>0</v>
      </c>
      <c r="F82" s="113"/>
      <c r="G82" s="113">
        <v>19</v>
      </c>
      <c r="H82" s="114">
        <f t="shared" si="5"/>
        <v>0</v>
      </c>
      <c r="I82" s="114">
        <f t="shared" si="6"/>
        <v>0</v>
      </c>
      <c r="J82" s="114">
        <f t="shared" si="7"/>
        <v>0</v>
      </c>
      <c r="K82" s="114">
        <f t="shared" si="8"/>
        <v>0</v>
      </c>
      <c r="L82" s="113"/>
    </row>
    <row r="83" spans="1:12">
      <c r="A83" s="113">
        <v>20</v>
      </c>
      <c r="B83" s="114">
        <f t="shared" si="1"/>
        <v>0</v>
      </c>
      <c r="C83" s="114">
        <f t="shared" si="2"/>
        <v>0</v>
      </c>
      <c r="D83" s="114">
        <f t="shared" si="3"/>
        <v>0</v>
      </c>
      <c r="E83" s="114">
        <f t="shared" si="4"/>
        <v>0</v>
      </c>
      <c r="F83" s="113"/>
      <c r="G83" s="113">
        <v>20</v>
      </c>
      <c r="H83" s="114">
        <f t="shared" si="5"/>
        <v>0</v>
      </c>
      <c r="I83" s="114">
        <f t="shared" si="6"/>
        <v>0</v>
      </c>
      <c r="J83" s="114">
        <f t="shared" si="7"/>
        <v>0</v>
      </c>
      <c r="K83" s="114">
        <f t="shared" si="8"/>
        <v>0</v>
      </c>
      <c r="L83" s="113"/>
    </row>
    <row r="84" spans="1:12">
      <c r="A84" s="113">
        <v>21</v>
      </c>
      <c r="B84" s="114">
        <f t="shared" si="1"/>
        <v>0</v>
      </c>
      <c r="C84" s="114">
        <f t="shared" si="2"/>
        <v>0</v>
      </c>
      <c r="D84" s="114">
        <f t="shared" si="3"/>
        <v>0</v>
      </c>
      <c r="E84" s="114">
        <f t="shared" si="4"/>
        <v>0</v>
      </c>
      <c r="F84" s="113"/>
      <c r="G84" s="113">
        <v>21</v>
      </c>
      <c r="H84" s="114">
        <f t="shared" si="5"/>
        <v>0</v>
      </c>
      <c r="I84" s="114">
        <f t="shared" si="6"/>
        <v>0</v>
      </c>
      <c r="J84" s="114">
        <f t="shared" si="7"/>
        <v>0</v>
      </c>
      <c r="K84" s="114">
        <f t="shared" si="8"/>
        <v>0</v>
      </c>
      <c r="L84" s="113"/>
    </row>
    <row r="85" spans="1:12">
      <c r="A85" s="113">
        <v>22</v>
      </c>
      <c r="B85" s="114">
        <f t="shared" si="1"/>
        <v>0</v>
      </c>
      <c r="C85" s="114">
        <f t="shared" si="2"/>
        <v>0</v>
      </c>
      <c r="D85" s="114">
        <f t="shared" si="3"/>
        <v>0</v>
      </c>
      <c r="E85" s="114">
        <f t="shared" si="4"/>
        <v>0</v>
      </c>
      <c r="F85" s="113"/>
      <c r="G85" s="113">
        <v>22</v>
      </c>
      <c r="H85" s="114">
        <f t="shared" si="5"/>
        <v>0</v>
      </c>
      <c r="I85" s="114">
        <f t="shared" si="6"/>
        <v>0</v>
      </c>
      <c r="J85" s="114">
        <f t="shared" si="7"/>
        <v>0</v>
      </c>
      <c r="K85" s="114">
        <f t="shared" si="8"/>
        <v>0</v>
      </c>
      <c r="L85" s="113"/>
    </row>
    <row r="86" spans="1:12">
      <c r="A86" s="113">
        <v>23</v>
      </c>
      <c r="B86" s="114">
        <f t="shared" si="1"/>
        <v>0</v>
      </c>
      <c r="C86" s="114">
        <f t="shared" si="2"/>
        <v>0</v>
      </c>
      <c r="D86" s="114">
        <f t="shared" si="3"/>
        <v>0</v>
      </c>
      <c r="E86" s="114">
        <f t="shared" si="4"/>
        <v>0</v>
      </c>
      <c r="F86" s="113"/>
      <c r="G86" s="113">
        <v>23</v>
      </c>
      <c r="H86" s="114">
        <f t="shared" si="5"/>
        <v>0</v>
      </c>
      <c r="I86" s="114">
        <f t="shared" si="6"/>
        <v>0</v>
      </c>
      <c r="J86" s="114">
        <f t="shared" si="7"/>
        <v>0</v>
      </c>
      <c r="K86" s="114">
        <f t="shared" si="8"/>
        <v>0</v>
      </c>
      <c r="L86" s="113"/>
    </row>
    <row r="87" spans="1:12">
      <c r="A87" s="113">
        <v>24</v>
      </c>
      <c r="B87" s="114">
        <f t="shared" si="1"/>
        <v>0</v>
      </c>
      <c r="C87" s="114">
        <f t="shared" si="2"/>
        <v>0</v>
      </c>
      <c r="D87" s="114">
        <f t="shared" si="3"/>
        <v>0</v>
      </c>
      <c r="E87" s="114">
        <f t="shared" si="4"/>
        <v>0</v>
      </c>
      <c r="F87" s="113">
        <v>2</v>
      </c>
      <c r="G87" s="113">
        <v>24</v>
      </c>
      <c r="H87" s="114">
        <f t="shared" si="5"/>
        <v>0</v>
      </c>
      <c r="I87" s="114">
        <f t="shared" si="6"/>
        <v>0</v>
      </c>
      <c r="J87" s="114">
        <f t="shared" si="7"/>
        <v>0</v>
      </c>
      <c r="K87" s="114">
        <f t="shared" si="8"/>
        <v>0</v>
      </c>
      <c r="L87" s="113">
        <v>2</v>
      </c>
    </row>
    <row r="88" spans="1:12">
      <c r="A88" s="113">
        <v>25</v>
      </c>
      <c r="B88" s="114">
        <f t="shared" si="1"/>
        <v>0</v>
      </c>
      <c r="C88" s="114">
        <f t="shared" si="2"/>
        <v>0</v>
      </c>
      <c r="D88" s="114">
        <f t="shared" si="3"/>
        <v>0</v>
      </c>
      <c r="E88" s="114">
        <f t="shared" si="4"/>
        <v>0</v>
      </c>
      <c r="F88" s="113"/>
      <c r="G88" s="113">
        <v>25</v>
      </c>
      <c r="H88" s="114">
        <f t="shared" si="5"/>
        <v>0</v>
      </c>
      <c r="I88" s="114">
        <f t="shared" si="6"/>
        <v>0</v>
      </c>
      <c r="J88" s="114">
        <f t="shared" si="7"/>
        <v>0</v>
      </c>
      <c r="K88" s="114">
        <f t="shared" si="8"/>
        <v>0</v>
      </c>
      <c r="L88" s="113"/>
    </row>
    <row r="89" spans="1:12">
      <c r="A89" s="113">
        <v>26</v>
      </c>
      <c r="B89" s="114">
        <f t="shared" si="1"/>
        <v>0</v>
      </c>
      <c r="C89" s="114">
        <f t="shared" si="2"/>
        <v>0</v>
      </c>
      <c r="D89" s="114">
        <f t="shared" si="3"/>
        <v>0</v>
      </c>
      <c r="E89" s="114">
        <f t="shared" si="4"/>
        <v>0</v>
      </c>
      <c r="F89" s="113"/>
      <c r="G89" s="113">
        <v>26</v>
      </c>
      <c r="H89" s="114">
        <f t="shared" si="5"/>
        <v>0</v>
      </c>
      <c r="I89" s="114">
        <f t="shared" si="6"/>
        <v>0</v>
      </c>
      <c r="J89" s="114">
        <f t="shared" si="7"/>
        <v>0</v>
      </c>
      <c r="K89" s="114">
        <f t="shared" si="8"/>
        <v>0</v>
      </c>
      <c r="L89" s="113"/>
    </row>
    <row r="90" spans="1:12">
      <c r="A90" s="113">
        <v>27</v>
      </c>
      <c r="B90" s="114">
        <f t="shared" si="1"/>
        <v>0</v>
      </c>
      <c r="C90" s="114">
        <f t="shared" si="2"/>
        <v>0</v>
      </c>
      <c r="D90" s="114">
        <f t="shared" si="3"/>
        <v>0</v>
      </c>
      <c r="E90" s="114">
        <f t="shared" si="4"/>
        <v>0</v>
      </c>
      <c r="F90" s="113"/>
      <c r="G90" s="113">
        <v>27</v>
      </c>
      <c r="H90" s="114">
        <f t="shared" si="5"/>
        <v>0</v>
      </c>
      <c r="I90" s="114">
        <f t="shared" si="6"/>
        <v>0</v>
      </c>
      <c r="J90" s="114">
        <f t="shared" si="7"/>
        <v>0</v>
      </c>
      <c r="K90" s="114">
        <f t="shared" si="8"/>
        <v>0</v>
      </c>
      <c r="L90" s="113"/>
    </row>
    <row r="91" spans="1:12">
      <c r="A91" s="113">
        <v>28</v>
      </c>
      <c r="B91" s="114">
        <f t="shared" si="1"/>
        <v>0</v>
      </c>
      <c r="C91" s="114">
        <f t="shared" si="2"/>
        <v>0</v>
      </c>
      <c r="D91" s="114">
        <f t="shared" si="3"/>
        <v>0</v>
      </c>
      <c r="E91" s="114">
        <f t="shared" si="4"/>
        <v>0</v>
      </c>
      <c r="F91" s="113"/>
      <c r="G91" s="113">
        <v>28</v>
      </c>
      <c r="H91" s="114">
        <f t="shared" si="5"/>
        <v>0</v>
      </c>
      <c r="I91" s="114">
        <f t="shared" si="6"/>
        <v>0</v>
      </c>
      <c r="J91" s="114">
        <f t="shared" si="7"/>
        <v>0</v>
      </c>
      <c r="K91" s="114">
        <f t="shared" si="8"/>
        <v>0</v>
      </c>
      <c r="L91" s="113"/>
    </row>
    <row r="92" spans="1:12">
      <c r="A92" s="113">
        <v>29</v>
      </c>
      <c r="B92" s="114">
        <f t="shared" si="1"/>
        <v>0</v>
      </c>
      <c r="C92" s="114">
        <f t="shared" si="2"/>
        <v>0</v>
      </c>
      <c r="D92" s="114">
        <f t="shared" si="3"/>
        <v>0</v>
      </c>
      <c r="E92" s="114">
        <f t="shared" si="4"/>
        <v>0</v>
      </c>
      <c r="F92" s="113"/>
      <c r="G92" s="113">
        <v>29</v>
      </c>
      <c r="H92" s="114">
        <f t="shared" si="5"/>
        <v>0</v>
      </c>
      <c r="I92" s="114">
        <f t="shared" si="6"/>
        <v>0</v>
      </c>
      <c r="J92" s="114">
        <f t="shared" si="7"/>
        <v>0</v>
      </c>
      <c r="K92" s="114">
        <f t="shared" si="8"/>
        <v>0</v>
      </c>
      <c r="L92" s="113"/>
    </row>
    <row r="93" spans="1:12">
      <c r="A93" s="113">
        <v>30</v>
      </c>
      <c r="B93" s="114">
        <f t="shared" si="1"/>
        <v>0</v>
      </c>
      <c r="C93" s="114">
        <f t="shared" si="2"/>
        <v>0</v>
      </c>
      <c r="D93" s="114">
        <f t="shared" si="3"/>
        <v>0</v>
      </c>
      <c r="E93" s="114">
        <f t="shared" si="4"/>
        <v>0</v>
      </c>
      <c r="F93" s="113"/>
      <c r="G93" s="113">
        <v>30</v>
      </c>
      <c r="H93" s="114">
        <f t="shared" si="5"/>
        <v>0</v>
      </c>
      <c r="I93" s="114">
        <f t="shared" si="6"/>
        <v>0</v>
      </c>
      <c r="J93" s="114">
        <f t="shared" si="7"/>
        <v>0</v>
      </c>
      <c r="K93" s="114">
        <f t="shared" si="8"/>
        <v>0</v>
      </c>
      <c r="L93" s="113"/>
    </row>
    <row r="94" spans="1:12">
      <c r="A94" s="113">
        <v>31</v>
      </c>
      <c r="B94" s="114">
        <f t="shared" si="1"/>
        <v>0</v>
      </c>
      <c r="C94" s="114">
        <f t="shared" si="2"/>
        <v>0</v>
      </c>
      <c r="D94" s="114">
        <f t="shared" si="3"/>
        <v>0</v>
      </c>
      <c r="E94" s="114">
        <f t="shared" si="4"/>
        <v>0</v>
      </c>
      <c r="F94" s="113"/>
      <c r="G94" s="113">
        <v>31</v>
      </c>
      <c r="H94" s="114">
        <f t="shared" si="5"/>
        <v>0</v>
      </c>
      <c r="I94" s="114">
        <f t="shared" si="6"/>
        <v>0</v>
      </c>
      <c r="J94" s="114">
        <f t="shared" si="7"/>
        <v>0</v>
      </c>
      <c r="K94" s="114">
        <f t="shared" si="8"/>
        <v>0</v>
      </c>
      <c r="L94" s="113"/>
    </row>
    <row r="95" spans="1:12">
      <c r="A95" s="113">
        <v>32</v>
      </c>
      <c r="B95" s="114">
        <f t="shared" si="1"/>
        <v>0</v>
      </c>
      <c r="C95" s="114">
        <f t="shared" si="2"/>
        <v>0</v>
      </c>
      <c r="D95" s="114">
        <f t="shared" si="3"/>
        <v>0</v>
      </c>
      <c r="E95" s="114">
        <f t="shared" si="4"/>
        <v>0</v>
      </c>
      <c r="F95" s="113"/>
      <c r="G95" s="113">
        <v>32</v>
      </c>
      <c r="H95" s="114">
        <f t="shared" si="5"/>
        <v>0</v>
      </c>
      <c r="I95" s="114">
        <f t="shared" si="6"/>
        <v>0</v>
      </c>
      <c r="J95" s="114">
        <f t="shared" si="7"/>
        <v>0</v>
      </c>
      <c r="K95" s="114">
        <f t="shared" si="8"/>
        <v>0</v>
      </c>
      <c r="L95" s="113"/>
    </row>
    <row r="96" spans="1:12">
      <c r="A96" s="113">
        <v>33</v>
      </c>
      <c r="B96" s="114">
        <f t="shared" si="1"/>
        <v>0</v>
      </c>
      <c r="C96" s="114">
        <f t="shared" si="2"/>
        <v>0</v>
      </c>
      <c r="D96" s="114">
        <f t="shared" si="3"/>
        <v>0</v>
      </c>
      <c r="E96" s="114">
        <f t="shared" si="4"/>
        <v>0</v>
      </c>
      <c r="F96" s="113"/>
      <c r="G96" s="113">
        <v>33</v>
      </c>
      <c r="H96" s="114">
        <f t="shared" si="5"/>
        <v>0</v>
      </c>
      <c r="I96" s="114">
        <f t="shared" si="6"/>
        <v>0</v>
      </c>
      <c r="J96" s="114">
        <f t="shared" si="7"/>
        <v>0</v>
      </c>
      <c r="K96" s="114">
        <f t="shared" si="8"/>
        <v>0</v>
      </c>
      <c r="L96" s="113"/>
    </row>
    <row r="97" spans="1:12">
      <c r="A97" s="113">
        <v>34</v>
      </c>
      <c r="B97" s="114">
        <f t="shared" si="1"/>
        <v>0</v>
      </c>
      <c r="C97" s="114">
        <f t="shared" si="2"/>
        <v>0</v>
      </c>
      <c r="D97" s="114">
        <f t="shared" si="3"/>
        <v>0</v>
      </c>
      <c r="E97" s="114">
        <f t="shared" si="4"/>
        <v>0</v>
      </c>
      <c r="F97" s="113"/>
      <c r="G97" s="113">
        <v>34</v>
      </c>
      <c r="H97" s="114">
        <f t="shared" si="5"/>
        <v>0</v>
      </c>
      <c r="I97" s="114">
        <f t="shared" si="6"/>
        <v>0</v>
      </c>
      <c r="J97" s="114">
        <f t="shared" si="7"/>
        <v>0</v>
      </c>
      <c r="K97" s="114">
        <f t="shared" si="8"/>
        <v>0</v>
      </c>
      <c r="L97" s="113"/>
    </row>
    <row r="98" spans="1:12">
      <c r="A98" s="113">
        <v>35</v>
      </c>
      <c r="B98" s="114">
        <f t="shared" si="1"/>
        <v>0</v>
      </c>
      <c r="C98" s="114">
        <f t="shared" si="2"/>
        <v>0</v>
      </c>
      <c r="D98" s="114">
        <f t="shared" si="3"/>
        <v>0</v>
      </c>
      <c r="E98" s="114">
        <f t="shared" si="4"/>
        <v>0</v>
      </c>
      <c r="F98" s="113"/>
      <c r="G98" s="113">
        <v>35</v>
      </c>
      <c r="H98" s="114">
        <f t="shared" si="5"/>
        <v>0</v>
      </c>
      <c r="I98" s="114">
        <f t="shared" si="6"/>
        <v>0</v>
      </c>
      <c r="J98" s="114">
        <f t="shared" si="7"/>
        <v>0</v>
      </c>
      <c r="K98" s="114">
        <f t="shared" si="8"/>
        <v>0</v>
      </c>
      <c r="L98" s="113"/>
    </row>
    <row r="99" spans="1:12">
      <c r="A99" s="113">
        <v>36</v>
      </c>
      <c r="B99" s="114">
        <f t="shared" si="1"/>
        <v>0</v>
      </c>
      <c r="C99" s="114">
        <f t="shared" si="2"/>
        <v>0</v>
      </c>
      <c r="D99" s="114">
        <f t="shared" si="3"/>
        <v>0</v>
      </c>
      <c r="E99" s="114">
        <f t="shared" si="4"/>
        <v>0</v>
      </c>
      <c r="F99" s="113">
        <v>3</v>
      </c>
      <c r="G99" s="113">
        <v>36</v>
      </c>
      <c r="H99" s="114">
        <f t="shared" si="5"/>
        <v>0</v>
      </c>
      <c r="I99" s="114">
        <f t="shared" si="6"/>
        <v>0</v>
      </c>
      <c r="J99" s="114">
        <f t="shared" si="7"/>
        <v>0</v>
      </c>
      <c r="K99" s="114">
        <f t="shared" si="8"/>
        <v>0</v>
      </c>
      <c r="L99" s="113">
        <v>3</v>
      </c>
    </row>
    <row r="100" spans="1:12">
      <c r="A100" s="113">
        <v>37</v>
      </c>
      <c r="B100" s="114">
        <f t="shared" si="1"/>
        <v>0</v>
      </c>
      <c r="C100" s="114">
        <f t="shared" si="2"/>
        <v>0</v>
      </c>
      <c r="D100" s="114">
        <f t="shared" si="3"/>
        <v>0</v>
      </c>
      <c r="E100" s="114">
        <f t="shared" si="4"/>
        <v>0</v>
      </c>
      <c r="F100" s="113"/>
      <c r="G100" s="113">
        <v>37</v>
      </c>
      <c r="H100" s="114">
        <f t="shared" si="5"/>
        <v>0</v>
      </c>
      <c r="I100" s="114">
        <f t="shared" si="6"/>
        <v>0</v>
      </c>
      <c r="J100" s="114">
        <f t="shared" si="7"/>
        <v>0</v>
      </c>
      <c r="K100" s="114">
        <f t="shared" si="8"/>
        <v>0</v>
      </c>
      <c r="L100" s="113"/>
    </row>
    <row r="101" spans="1:12">
      <c r="A101" s="113">
        <v>38</v>
      </c>
      <c r="B101" s="114">
        <f t="shared" si="1"/>
        <v>0</v>
      </c>
      <c r="C101" s="114">
        <f t="shared" si="2"/>
        <v>0</v>
      </c>
      <c r="D101" s="114">
        <f t="shared" si="3"/>
        <v>0</v>
      </c>
      <c r="E101" s="114">
        <f t="shared" si="4"/>
        <v>0</v>
      </c>
      <c r="F101" s="113"/>
      <c r="G101" s="113">
        <v>38</v>
      </c>
      <c r="H101" s="114">
        <f t="shared" si="5"/>
        <v>0</v>
      </c>
      <c r="I101" s="114">
        <f t="shared" si="6"/>
        <v>0</v>
      </c>
      <c r="J101" s="114">
        <f t="shared" si="7"/>
        <v>0</v>
      </c>
      <c r="K101" s="114">
        <f t="shared" si="8"/>
        <v>0</v>
      </c>
      <c r="L101" s="113"/>
    </row>
    <row r="102" spans="1:12">
      <c r="A102" s="113">
        <v>39</v>
      </c>
      <c r="B102" s="114">
        <f t="shared" si="1"/>
        <v>0</v>
      </c>
      <c r="C102" s="114">
        <f t="shared" si="2"/>
        <v>0</v>
      </c>
      <c r="D102" s="114">
        <f t="shared" si="3"/>
        <v>0</v>
      </c>
      <c r="E102" s="114">
        <f t="shared" si="4"/>
        <v>0</v>
      </c>
      <c r="F102" s="113"/>
      <c r="G102" s="113">
        <v>39</v>
      </c>
      <c r="H102" s="114">
        <f t="shared" si="5"/>
        <v>0</v>
      </c>
      <c r="I102" s="114">
        <f t="shared" si="6"/>
        <v>0</v>
      </c>
      <c r="J102" s="114">
        <f t="shared" si="7"/>
        <v>0</v>
      </c>
      <c r="K102" s="114">
        <f t="shared" si="8"/>
        <v>0</v>
      </c>
      <c r="L102" s="113"/>
    </row>
    <row r="103" spans="1:12">
      <c r="A103" s="113">
        <v>40</v>
      </c>
      <c r="B103" s="114">
        <f t="shared" si="1"/>
        <v>0</v>
      </c>
      <c r="C103" s="114">
        <f t="shared" si="2"/>
        <v>0</v>
      </c>
      <c r="D103" s="114">
        <f t="shared" si="3"/>
        <v>0</v>
      </c>
      <c r="E103" s="114">
        <f t="shared" si="4"/>
        <v>0</v>
      </c>
      <c r="F103" s="113"/>
      <c r="G103" s="113">
        <v>40</v>
      </c>
      <c r="H103" s="114">
        <f t="shared" si="5"/>
        <v>0</v>
      </c>
      <c r="I103" s="114">
        <f t="shared" si="6"/>
        <v>0</v>
      </c>
      <c r="J103" s="114">
        <f t="shared" si="7"/>
        <v>0</v>
      </c>
      <c r="K103" s="114">
        <f t="shared" si="8"/>
        <v>0</v>
      </c>
      <c r="L103" s="113"/>
    </row>
    <row r="104" spans="1:12">
      <c r="A104" s="113">
        <v>41</v>
      </c>
      <c r="B104" s="114">
        <f t="shared" si="1"/>
        <v>0</v>
      </c>
      <c r="C104" s="114">
        <f t="shared" si="2"/>
        <v>0</v>
      </c>
      <c r="D104" s="114">
        <f t="shared" si="3"/>
        <v>0</v>
      </c>
      <c r="E104" s="114">
        <f t="shared" si="4"/>
        <v>0</v>
      </c>
      <c r="F104" s="113"/>
      <c r="G104" s="113">
        <v>41</v>
      </c>
      <c r="H104" s="114">
        <f t="shared" si="5"/>
        <v>0</v>
      </c>
      <c r="I104" s="114">
        <f t="shared" si="6"/>
        <v>0</v>
      </c>
      <c r="J104" s="114">
        <f t="shared" si="7"/>
        <v>0</v>
      </c>
      <c r="K104" s="114">
        <f t="shared" si="8"/>
        <v>0</v>
      </c>
      <c r="L104" s="113"/>
    </row>
    <row r="105" spans="1:12">
      <c r="A105" s="113">
        <v>42</v>
      </c>
      <c r="B105" s="114">
        <f t="shared" si="1"/>
        <v>0</v>
      </c>
      <c r="C105" s="114">
        <f t="shared" si="2"/>
        <v>0</v>
      </c>
      <c r="D105" s="114">
        <f t="shared" si="3"/>
        <v>0</v>
      </c>
      <c r="E105" s="114">
        <f t="shared" si="4"/>
        <v>0</v>
      </c>
      <c r="F105" s="113"/>
      <c r="G105" s="113">
        <v>42</v>
      </c>
      <c r="H105" s="114">
        <f t="shared" si="5"/>
        <v>0</v>
      </c>
      <c r="I105" s="114">
        <f t="shared" si="6"/>
        <v>0</v>
      </c>
      <c r="J105" s="114">
        <f t="shared" si="7"/>
        <v>0</v>
      </c>
      <c r="K105" s="114">
        <f t="shared" si="8"/>
        <v>0</v>
      </c>
      <c r="L105" s="113"/>
    </row>
    <row r="106" spans="1:12">
      <c r="A106" s="113">
        <v>43</v>
      </c>
      <c r="B106" s="114">
        <f t="shared" si="1"/>
        <v>0</v>
      </c>
      <c r="C106" s="114">
        <f t="shared" si="2"/>
        <v>0</v>
      </c>
      <c r="D106" s="114">
        <f t="shared" si="3"/>
        <v>0</v>
      </c>
      <c r="E106" s="114">
        <f t="shared" si="4"/>
        <v>0</v>
      </c>
      <c r="F106" s="113"/>
      <c r="G106" s="113">
        <v>43</v>
      </c>
      <c r="H106" s="114">
        <f t="shared" si="5"/>
        <v>0</v>
      </c>
      <c r="I106" s="114">
        <f t="shared" si="6"/>
        <v>0</v>
      </c>
      <c r="J106" s="114">
        <f t="shared" si="7"/>
        <v>0</v>
      </c>
      <c r="K106" s="114">
        <f t="shared" si="8"/>
        <v>0</v>
      </c>
      <c r="L106" s="113"/>
    </row>
    <row r="107" spans="1:12">
      <c r="A107" s="113">
        <v>44</v>
      </c>
      <c r="B107" s="114">
        <f t="shared" si="1"/>
        <v>0</v>
      </c>
      <c r="C107" s="114">
        <f t="shared" si="2"/>
        <v>0</v>
      </c>
      <c r="D107" s="114">
        <f t="shared" si="3"/>
        <v>0</v>
      </c>
      <c r="E107" s="114">
        <f t="shared" si="4"/>
        <v>0</v>
      </c>
      <c r="F107" s="113"/>
      <c r="G107" s="113">
        <v>44</v>
      </c>
      <c r="H107" s="114">
        <f t="shared" si="5"/>
        <v>0</v>
      </c>
      <c r="I107" s="114">
        <f t="shared" si="6"/>
        <v>0</v>
      </c>
      <c r="J107" s="114">
        <f t="shared" si="7"/>
        <v>0</v>
      </c>
      <c r="K107" s="114">
        <f t="shared" si="8"/>
        <v>0</v>
      </c>
      <c r="L107" s="113"/>
    </row>
    <row r="108" spans="1:12">
      <c r="A108" s="113">
        <v>45</v>
      </c>
      <c r="B108" s="114">
        <f t="shared" si="1"/>
        <v>0</v>
      </c>
      <c r="C108" s="114">
        <f t="shared" si="2"/>
        <v>0</v>
      </c>
      <c r="D108" s="114">
        <f t="shared" si="3"/>
        <v>0</v>
      </c>
      <c r="E108" s="114">
        <f t="shared" si="4"/>
        <v>0</v>
      </c>
      <c r="F108" s="113"/>
      <c r="G108" s="113">
        <v>45</v>
      </c>
      <c r="H108" s="114">
        <f t="shared" si="5"/>
        <v>0</v>
      </c>
      <c r="I108" s="114">
        <f t="shared" si="6"/>
        <v>0</v>
      </c>
      <c r="J108" s="114">
        <f t="shared" si="7"/>
        <v>0</v>
      </c>
      <c r="K108" s="114">
        <f t="shared" si="8"/>
        <v>0</v>
      </c>
      <c r="L108" s="113"/>
    </row>
    <row r="109" spans="1:12">
      <c r="A109" s="113">
        <v>46</v>
      </c>
      <c r="B109" s="114">
        <f t="shared" si="1"/>
        <v>0</v>
      </c>
      <c r="C109" s="114">
        <f t="shared" si="2"/>
        <v>0</v>
      </c>
      <c r="D109" s="114">
        <f t="shared" si="3"/>
        <v>0</v>
      </c>
      <c r="E109" s="114">
        <f t="shared" si="4"/>
        <v>0</v>
      </c>
      <c r="F109" s="113"/>
      <c r="G109" s="113">
        <v>46</v>
      </c>
      <c r="H109" s="114">
        <f t="shared" si="5"/>
        <v>0</v>
      </c>
      <c r="I109" s="114">
        <f t="shared" si="6"/>
        <v>0</v>
      </c>
      <c r="J109" s="114">
        <f t="shared" si="7"/>
        <v>0</v>
      </c>
      <c r="K109" s="114">
        <f t="shared" si="8"/>
        <v>0</v>
      </c>
      <c r="L109" s="113"/>
    </row>
    <row r="110" spans="1:12">
      <c r="A110" s="113">
        <v>47</v>
      </c>
      <c r="B110" s="114">
        <f t="shared" si="1"/>
        <v>0</v>
      </c>
      <c r="C110" s="114">
        <f t="shared" si="2"/>
        <v>0</v>
      </c>
      <c r="D110" s="114">
        <f t="shared" si="3"/>
        <v>0</v>
      </c>
      <c r="E110" s="114">
        <f t="shared" si="4"/>
        <v>0</v>
      </c>
      <c r="F110" s="113"/>
      <c r="G110" s="113">
        <v>47</v>
      </c>
      <c r="H110" s="114">
        <f t="shared" si="5"/>
        <v>0</v>
      </c>
      <c r="I110" s="114">
        <f t="shared" si="6"/>
        <v>0</v>
      </c>
      <c r="J110" s="114">
        <f t="shared" si="7"/>
        <v>0</v>
      </c>
      <c r="K110" s="114">
        <f t="shared" si="8"/>
        <v>0</v>
      </c>
      <c r="L110" s="113"/>
    </row>
    <row r="111" spans="1:12">
      <c r="A111" s="113">
        <v>48</v>
      </c>
      <c r="B111" s="114">
        <f t="shared" si="1"/>
        <v>0</v>
      </c>
      <c r="C111" s="114">
        <f t="shared" si="2"/>
        <v>0</v>
      </c>
      <c r="D111" s="114">
        <f t="shared" si="3"/>
        <v>0</v>
      </c>
      <c r="E111" s="114">
        <f t="shared" si="4"/>
        <v>0</v>
      </c>
      <c r="F111" s="113">
        <v>4</v>
      </c>
      <c r="G111" s="113">
        <v>48</v>
      </c>
      <c r="H111" s="114">
        <f t="shared" si="5"/>
        <v>0</v>
      </c>
      <c r="I111" s="114">
        <f t="shared" si="6"/>
        <v>0</v>
      </c>
      <c r="J111" s="114">
        <f t="shared" si="7"/>
        <v>0</v>
      </c>
      <c r="K111" s="114">
        <f t="shared" si="8"/>
        <v>0</v>
      </c>
      <c r="L111" s="113">
        <v>4</v>
      </c>
    </row>
    <row r="112" spans="1:12">
      <c r="A112" s="113">
        <v>49</v>
      </c>
      <c r="B112" s="114">
        <f t="shared" si="1"/>
        <v>0</v>
      </c>
      <c r="C112" s="114">
        <f t="shared" si="2"/>
        <v>0</v>
      </c>
      <c r="D112" s="114">
        <f t="shared" si="3"/>
        <v>0</v>
      </c>
      <c r="E112" s="114">
        <f t="shared" si="4"/>
        <v>0</v>
      </c>
      <c r="F112" s="113"/>
      <c r="G112" s="113">
        <v>49</v>
      </c>
      <c r="H112" s="114">
        <f t="shared" si="5"/>
        <v>0</v>
      </c>
      <c r="I112" s="114">
        <f t="shared" si="6"/>
        <v>0</v>
      </c>
      <c r="J112" s="114">
        <f t="shared" si="7"/>
        <v>0</v>
      </c>
      <c r="K112" s="114">
        <f t="shared" si="8"/>
        <v>0</v>
      </c>
      <c r="L112" s="113"/>
    </row>
    <row r="113" spans="1:12">
      <c r="A113" s="113">
        <v>50</v>
      </c>
      <c r="B113" s="114">
        <f t="shared" si="1"/>
        <v>0</v>
      </c>
      <c r="C113" s="114">
        <f t="shared" si="2"/>
        <v>0</v>
      </c>
      <c r="D113" s="114">
        <f t="shared" si="3"/>
        <v>0</v>
      </c>
      <c r="E113" s="114">
        <f t="shared" si="4"/>
        <v>0</v>
      </c>
      <c r="F113" s="113"/>
      <c r="G113" s="113">
        <v>50</v>
      </c>
      <c r="H113" s="114">
        <f t="shared" si="5"/>
        <v>0</v>
      </c>
      <c r="I113" s="114">
        <f t="shared" si="6"/>
        <v>0</v>
      </c>
      <c r="J113" s="114">
        <f t="shared" si="7"/>
        <v>0</v>
      </c>
      <c r="K113" s="114">
        <f t="shared" si="8"/>
        <v>0</v>
      </c>
      <c r="L113" s="113"/>
    </row>
    <row r="114" spans="1:12">
      <c r="A114" s="113">
        <v>51</v>
      </c>
      <c r="B114" s="114">
        <f t="shared" si="1"/>
        <v>0</v>
      </c>
      <c r="C114" s="114">
        <f t="shared" si="2"/>
        <v>0</v>
      </c>
      <c r="D114" s="114">
        <f t="shared" si="3"/>
        <v>0</v>
      </c>
      <c r="E114" s="114">
        <f t="shared" si="4"/>
        <v>0</v>
      </c>
      <c r="F114" s="113"/>
      <c r="G114" s="113">
        <v>51</v>
      </c>
      <c r="H114" s="114">
        <f t="shared" si="5"/>
        <v>0</v>
      </c>
      <c r="I114" s="114">
        <f t="shared" si="6"/>
        <v>0</v>
      </c>
      <c r="J114" s="114">
        <f t="shared" si="7"/>
        <v>0</v>
      </c>
      <c r="K114" s="114">
        <f t="shared" si="8"/>
        <v>0</v>
      </c>
      <c r="L114" s="113"/>
    </row>
    <row r="115" spans="1:12">
      <c r="A115" s="113">
        <v>52</v>
      </c>
      <c r="B115" s="114">
        <f t="shared" si="1"/>
        <v>0</v>
      </c>
      <c r="C115" s="114">
        <f t="shared" si="2"/>
        <v>0</v>
      </c>
      <c r="D115" s="114">
        <f t="shared" si="3"/>
        <v>0</v>
      </c>
      <c r="E115" s="114">
        <f t="shared" si="4"/>
        <v>0</v>
      </c>
      <c r="F115" s="113"/>
      <c r="G115" s="113">
        <v>52</v>
      </c>
      <c r="H115" s="114">
        <f t="shared" si="5"/>
        <v>0</v>
      </c>
      <c r="I115" s="114">
        <f t="shared" si="6"/>
        <v>0</v>
      </c>
      <c r="J115" s="114">
        <f t="shared" si="7"/>
        <v>0</v>
      </c>
      <c r="K115" s="114">
        <f t="shared" si="8"/>
        <v>0</v>
      </c>
      <c r="L115" s="113"/>
    </row>
    <row r="116" spans="1:12">
      <c r="A116" s="113">
        <v>53</v>
      </c>
      <c r="B116" s="114">
        <f t="shared" si="1"/>
        <v>0</v>
      </c>
      <c r="C116" s="114">
        <f t="shared" si="2"/>
        <v>0</v>
      </c>
      <c r="D116" s="114">
        <f t="shared" si="3"/>
        <v>0</v>
      </c>
      <c r="E116" s="114">
        <f t="shared" si="4"/>
        <v>0</v>
      </c>
      <c r="F116" s="113"/>
      <c r="G116" s="113">
        <v>53</v>
      </c>
      <c r="H116" s="114">
        <f t="shared" si="5"/>
        <v>0</v>
      </c>
      <c r="I116" s="114">
        <f t="shared" si="6"/>
        <v>0</v>
      </c>
      <c r="J116" s="114">
        <f t="shared" si="7"/>
        <v>0</v>
      </c>
      <c r="K116" s="114">
        <f t="shared" si="8"/>
        <v>0</v>
      </c>
      <c r="L116" s="113"/>
    </row>
    <row r="117" spans="1:12">
      <c r="A117" s="113">
        <v>54</v>
      </c>
      <c r="B117" s="114">
        <f t="shared" si="1"/>
        <v>0</v>
      </c>
      <c r="C117" s="114">
        <f t="shared" si="2"/>
        <v>0</v>
      </c>
      <c r="D117" s="114">
        <f t="shared" si="3"/>
        <v>0</v>
      </c>
      <c r="E117" s="114">
        <f t="shared" si="4"/>
        <v>0</v>
      </c>
      <c r="F117" s="113"/>
      <c r="G117" s="113">
        <v>54</v>
      </c>
      <c r="H117" s="114">
        <f t="shared" si="5"/>
        <v>0</v>
      </c>
      <c r="I117" s="114">
        <f t="shared" si="6"/>
        <v>0</v>
      </c>
      <c r="J117" s="114">
        <f t="shared" si="7"/>
        <v>0</v>
      </c>
      <c r="K117" s="114">
        <f t="shared" si="8"/>
        <v>0</v>
      </c>
      <c r="L117" s="113"/>
    </row>
    <row r="118" spans="1:12">
      <c r="A118" s="113">
        <v>55</v>
      </c>
      <c r="B118" s="114">
        <f t="shared" si="1"/>
        <v>0</v>
      </c>
      <c r="C118" s="114">
        <f t="shared" si="2"/>
        <v>0</v>
      </c>
      <c r="D118" s="114">
        <f t="shared" si="3"/>
        <v>0</v>
      </c>
      <c r="E118" s="114">
        <f t="shared" si="4"/>
        <v>0</v>
      </c>
      <c r="F118" s="113"/>
      <c r="G118" s="113">
        <v>55</v>
      </c>
      <c r="H118" s="114">
        <f t="shared" si="5"/>
        <v>0</v>
      </c>
      <c r="I118" s="114">
        <f t="shared" si="6"/>
        <v>0</v>
      </c>
      <c r="J118" s="114">
        <f t="shared" si="7"/>
        <v>0</v>
      </c>
      <c r="K118" s="114">
        <f t="shared" si="8"/>
        <v>0</v>
      </c>
      <c r="L118" s="113"/>
    </row>
    <row r="119" spans="1:12">
      <c r="A119" s="113">
        <v>56</v>
      </c>
      <c r="B119" s="114">
        <f t="shared" si="1"/>
        <v>0</v>
      </c>
      <c r="C119" s="114">
        <f t="shared" si="2"/>
        <v>0</v>
      </c>
      <c r="D119" s="114">
        <f t="shared" si="3"/>
        <v>0</v>
      </c>
      <c r="E119" s="114">
        <f t="shared" si="4"/>
        <v>0</v>
      </c>
      <c r="F119" s="113"/>
      <c r="G119" s="113">
        <v>56</v>
      </c>
      <c r="H119" s="114">
        <f t="shared" si="5"/>
        <v>0</v>
      </c>
      <c r="I119" s="114">
        <f t="shared" si="6"/>
        <v>0</v>
      </c>
      <c r="J119" s="114">
        <f t="shared" si="7"/>
        <v>0</v>
      </c>
      <c r="K119" s="114">
        <f t="shared" si="8"/>
        <v>0</v>
      </c>
      <c r="L119" s="113"/>
    </row>
    <row r="120" spans="1:12">
      <c r="A120" s="113">
        <v>57</v>
      </c>
      <c r="B120" s="114">
        <f t="shared" si="1"/>
        <v>0</v>
      </c>
      <c r="C120" s="114">
        <f t="shared" si="2"/>
        <v>0</v>
      </c>
      <c r="D120" s="114">
        <f t="shared" si="3"/>
        <v>0</v>
      </c>
      <c r="E120" s="114">
        <f t="shared" si="4"/>
        <v>0</v>
      </c>
      <c r="F120" s="113"/>
      <c r="G120" s="113">
        <v>57</v>
      </c>
      <c r="H120" s="114">
        <f t="shared" si="5"/>
        <v>0</v>
      </c>
      <c r="I120" s="114">
        <f t="shared" si="6"/>
        <v>0</v>
      </c>
      <c r="J120" s="114">
        <f t="shared" si="7"/>
        <v>0</v>
      </c>
      <c r="K120" s="114">
        <f t="shared" si="8"/>
        <v>0</v>
      </c>
      <c r="L120" s="113"/>
    </row>
    <row r="121" spans="1:12">
      <c r="A121" s="113">
        <v>58</v>
      </c>
      <c r="B121" s="114">
        <f t="shared" si="1"/>
        <v>0</v>
      </c>
      <c r="C121" s="114">
        <f t="shared" si="2"/>
        <v>0</v>
      </c>
      <c r="D121" s="114">
        <f t="shared" si="3"/>
        <v>0</v>
      </c>
      <c r="E121" s="114">
        <f t="shared" si="4"/>
        <v>0</v>
      </c>
      <c r="F121" s="113"/>
      <c r="G121" s="113">
        <v>58</v>
      </c>
      <c r="H121" s="114">
        <f t="shared" si="5"/>
        <v>0</v>
      </c>
      <c r="I121" s="114">
        <f t="shared" si="6"/>
        <v>0</v>
      </c>
      <c r="J121" s="114">
        <f t="shared" si="7"/>
        <v>0</v>
      </c>
      <c r="K121" s="114">
        <f t="shared" si="8"/>
        <v>0</v>
      </c>
      <c r="L121" s="113"/>
    </row>
    <row r="122" spans="1:12">
      <c r="A122" s="113">
        <v>59</v>
      </c>
      <c r="B122" s="114">
        <f t="shared" si="1"/>
        <v>0</v>
      </c>
      <c r="C122" s="114">
        <f t="shared" si="2"/>
        <v>0</v>
      </c>
      <c r="D122" s="114">
        <f t="shared" si="3"/>
        <v>0</v>
      </c>
      <c r="E122" s="114">
        <f t="shared" si="4"/>
        <v>0</v>
      </c>
      <c r="F122" s="113"/>
      <c r="G122" s="113">
        <v>59</v>
      </c>
      <c r="H122" s="114">
        <f t="shared" si="5"/>
        <v>0</v>
      </c>
      <c r="I122" s="114">
        <f t="shared" si="6"/>
        <v>0</v>
      </c>
      <c r="J122" s="114">
        <f t="shared" si="7"/>
        <v>0</v>
      </c>
      <c r="K122" s="114">
        <f t="shared" si="8"/>
        <v>0</v>
      </c>
      <c r="L122" s="113"/>
    </row>
    <row r="123" spans="1:12">
      <c r="A123" s="113">
        <v>60</v>
      </c>
      <c r="B123" s="114">
        <f t="shared" si="1"/>
        <v>0</v>
      </c>
      <c r="C123" s="114">
        <f t="shared" si="2"/>
        <v>0</v>
      </c>
      <c r="D123" s="114">
        <f t="shared" si="3"/>
        <v>0</v>
      </c>
      <c r="E123" s="114">
        <f t="shared" si="4"/>
        <v>0</v>
      </c>
      <c r="F123" s="113"/>
      <c r="G123" s="113">
        <v>60</v>
      </c>
      <c r="H123" s="114">
        <f t="shared" si="5"/>
        <v>0</v>
      </c>
      <c r="I123" s="114">
        <f t="shared" si="6"/>
        <v>0</v>
      </c>
      <c r="J123" s="114">
        <f t="shared" si="7"/>
        <v>0</v>
      </c>
      <c r="K123" s="114">
        <f t="shared" si="8"/>
        <v>0</v>
      </c>
      <c r="L123" s="113"/>
    </row>
    <row r="124" spans="1:12">
      <c r="A124" s="113">
        <v>61</v>
      </c>
      <c r="B124" s="114">
        <f t="shared" si="1"/>
        <v>0</v>
      </c>
      <c r="C124" s="114">
        <f t="shared" si="2"/>
        <v>0</v>
      </c>
      <c r="D124" s="114">
        <f t="shared" si="3"/>
        <v>0</v>
      </c>
      <c r="E124" s="114">
        <f t="shared" si="4"/>
        <v>0</v>
      </c>
      <c r="F124" s="113"/>
      <c r="G124" s="113">
        <v>61</v>
      </c>
      <c r="H124" s="114">
        <f t="shared" si="5"/>
        <v>0</v>
      </c>
      <c r="I124" s="114">
        <f t="shared" si="6"/>
        <v>0</v>
      </c>
      <c r="J124" s="114">
        <f t="shared" si="7"/>
        <v>0</v>
      </c>
      <c r="K124" s="114">
        <f t="shared" si="8"/>
        <v>0</v>
      </c>
      <c r="L124" s="113"/>
    </row>
    <row r="125" spans="1:12">
      <c r="A125" s="113">
        <v>62</v>
      </c>
      <c r="B125" s="114">
        <f t="shared" si="1"/>
        <v>0</v>
      </c>
      <c r="C125" s="114">
        <f t="shared" si="2"/>
        <v>0</v>
      </c>
      <c r="D125" s="114">
        <f t="shared" si="3"/>
        <v>0</v>
      </c>
      <c r="E125" s="114">
        <f t="shared" si="4"/>
        <v>0</v>
      </c>
      <c r="F125" s="113">
        <v>5</v>
      </c>
      <c r="G125" s="113">
        <v>62</v>
      </c>
      <c r="H125" s="114">
        <f t="shared" si="5"/>
        <v>0</v>
      </c>
      <c r="I125" s="114">
        <f t="shared" si="6"/>
        <v>0</v>
      </c>
      <c r="J125" s="114">
        <f t="shared" si="7"/>
        <v>0</v>
      </c>
      <c r="K125" s="114">
        <f t="shared" si="8"/>
        <v>0</v>
      </c>
      <c r="L125" s="113">
        <v>5</v>
      </c>
    </row>
    <row r="126" spans="1:12">
      <c r="A126" s="113">
        <v>63</v>
      </c>
      <c r="B126" s="114">
        <f t="shared" si="1"/>
        <v>0</v>
      </c>
      <c r="C126" s="114">
        <f t="shared" si="2"/>
        <v>0</v>
      </c>
      <c r="D126" s="114">
        <f t="shared" si="3"/>
        <v>0</v>
      </c>
      <c r="E126" s="114">
        <f t="shared" si="4"/>
        <v>0</v>
      </c>
      <c r="F126" s="113"/>
      <c r="G126" s="113">
        <v>63</v>
      </c>
      <c r="H126" s="114">
        <f t="shared" si="5"/>
        <v>0</v>
      </c>
      <c r="I126" s="114">
        <f t="shared" si="6"/>
        <v>0</v>
      </c>
      <c r="J126" s="114">
        <f t="shared" si="7"/>
        <v>0</v>
      </c>
      <c r="K126" s="114">
        <f t="shared" si="8"/>
        <v>0</v>
      </c>
      <c r="L126" s="113"/>
    </row>
    <row r="127" spans="1:12">
      <c r="A127" s="113">
        <v>64</v>
      </c>
      <c r="B127" s="114">
        <f t="shared" si="1"/>
        <v>0</v>
      </c>
      <c r="C127" s="114">
        <f t="shared" si="2"/>
        <v>0</v>
      </c>
      <c r="D127" s="114">
        <f t="shared" si="3"/>
        <v>0</v>
      </c>
      <c r="E127" s="114">
        <f t="shared" si="4"/>
        <v>0</v>
      </c>
      <c r="F127" s="113"/>
      <c r="G127" s="113">
        <v>64</v>
      </c>
      <c r="H127" s="114">
        <f t="shared" si="5"/>
        <v>0</v>
      </c>
      <c r="I127" s="114">
        <f t="shared" si="6"/>
        <v>0</v>
      </c>
      <c r="J127" s="114">
        <f t="shared" si="7"/>
        <v>0</v>
      </c>
      <c r="K127" s="114">
        <f t="shared" si="8"/>
        <v>0</v>
      </c>
      <c r="L127" s="113"/>
    </row>
    <row r="128" spans="1:12">
      <c r="A128" s="113">
        <v>65</v>
      </c>
      <c r="B128" s="114">
        <f t="shared" ref="B128:B191" si="9">IF(A128&gt;12*$C$9,0,IF($C$5&gt;1500000,$D$12,$C$12))</f>
        <v>0</v>
      </c>
      <c r="C128" s="114">
        <f t="shared" ref="C128:C191" si="10">IF(A128&gt;12*$C$9,0,E127*$C$7/12)</f>
        <v>0</v>
      </c>
      <c r="D128" s="114">
        <f t="shared" ref="D128:D191" si="11">IF(A128&gt;12*$C$9,0,B128-C128)</f>
        <v>0</v>
      </c>
      <c r="E128" s="114">
        <f t="shared" ref="E128:E191" si="12">IF(A128&gt;12*$C$9,0,E127-D128)</f>
        <v>0</v>
      </c>
      <c r="F128" s="113"/>
      <c r="G128" s="113">
        <v>65</v>
      </c>
      <c r="H128" s="114">
        <f t="shared" ref="H128:H191" si="13">IF(G128&gt;12*$C$9,0,IF($C$5&gt;1500000,$E$12,0))</f>
        <v>0</v>
      </c>
      <c r="I128" s="114">
        <f t="shared" ref="I128:I191" si="14">IF(G128&gt;12*$C$9,0,K127*$C$7/12)</f>
        <v>0</v>
      </c>
      <c r="J128" s="114">
        <f t="shared" ref="J128:J191" si="15">IF(G128&gt;12*$C$9,0,H128-I128)</f>
        <v>0</v>
      </c>
      <c r="K128" s="114">
        <f t="shared" ref="K128:K191" si="16">IF(G128&gt;12*$C$9,0,K127-J128)</f>
        <v>0</v>
      </c>
      <c r="L128" s="113"/>
    </row>
    <row r="129" spans="1:12">
      <c r="A129" s="113">
        <v>66</v>
      </c>
      <c r="B129" s="114">
        <f t="shared" si="9"/>
        <v>0</v>
      </c>
      <c r="C129" s="114">
        <f t="shared" si="10"/>
        <v>0</v>
      </c>
      <c r="D129" s="114">
        <f t="shared" si="11"/>
        <v>0</v>
      </c>
      <c r="E129" s="114">
        <f t="shared" si="12"/>
        <v>0</v>
      </c>
      <c r="F129" s="113"/>
      <c r="G129" s="113">
        <v>66</v>
      </c>
      <c r="H129" s="114">
        <f t="shared" si="13"/>
        <v>0</v>
      </c>
      <c r="I129" s="114">
        <f t="shared" si="14"/>
        <v>0</v>
      </c>
      <c r="J129" s="114">
        <f t="shared" si="15"/>
        <v>0</v>
      </c>
      <c r="K129" s="114">
        <f t="shared" si="16"/>
        <v>0</v>
      </c>
      <c r="L129" s="113"/>
    </row>
    <row r="130" spans="1:12">
      <c r="A130" s="113">
        <v>67</v>
      </c>
      <c r="B130" s="114">
        <f t="shared" si="9"/>
        <v>0</v>
      </c>
      <c r="C130" s="114">
        <f t="shared" si="10"/>
        <v>0</v>
      </c>
      <c r="D130" s="114">
        <f t="shared" si="11"/>
        <v>0</v>
      </c>
      <c r="E130" s="114">
        <f t="shared" si="12"/>
        <v>0</v>
      </c>
      <c r="F130" s="113"/>
      <c r="G130" s="113">
        <v>67</v>
      </c>
      <c r="H130" s="114">
        <f t="shared" si="13"/>
        <v>0</v>
      </c>
      <c r="I130" s="114">
        <f t="shared" si="14"/>
        <v>0</v>
      </c>
      <c r="J130" s="114">
        <f t="shared" si="15"/>
        <v>0</v>
      </c>
      <c r="K130" s="114">
        <f t="shared" si="16"/>
        <v>0</v>
      </c>
      <c r="L130" s="113"/>
    </row>
    <row r="131" spans="1:12">
      <c r="A131" s="113">
        <v>68</v>
      </c>
      <c r="B131" s="114">
        <f t="shared" si="9"/>
        <v>0</v>
      </c>
      <c r="C131" s="114">
        <f t="shared" si="10"/>
        <v>0</v>
      </c>
      <c r="D131" s="114">
        <f t="shared" si="11"/>
        <v>0</v>
      </c>
      <c r="E131" s="114">
        <f t="shared" si="12"/>
        <v>0</v>
      </c>
      <c r="F131" s="113"/>
      <c r="G131" s="113">
        <v>68</v>
      </c>
      <c r="H131" s="114">
        <f t="shared" si="13"/>
        <v>0</v>
      </c>
      <c r="I131" s="114">
        <f t="shared" si="14"/>
        <v>0</v>
      </c>
      <c r="J131" s="114">
        <f t="shared" si="15"/>
        <v>0</v>
      </c>
      <c r="K131" s="114">
        <f t="shared" si="16"/>
        <v>0</v>
      </c>
      <c r="L131" s="113"/>
    </row>
    <row r="132" spans="1:12">
      <c r="A132" s="113">
        <v>69</v>
      </c>
      <c r="B132" s="114">
        <f t="shared" si="9"/>
        <v>0</v>
      </c>
      <c r="C132" s="114">
        <f t="shared" si="10"/>
        <v>0</v>
      </c>
      <c r="D132" s="114">
        <f t="shared" si="11"/>
        <v>0</v>
      </c>
      <c r="E132" s="114">
        <f t="shared" si="12"/>
        <v>0</v>
      </c>
      <c r="F132" s="113"/>
      <c r="G132" s="113">
        <v>69</v>
      </c>
      <c r="H132" s="114">
        <f t="shared" si="13"/>
        <v>0</v>
      </c>
      <c r="I132" s="114">
        <f t="shared" si="14"/>
        <v>0</v>
      </c>
      <c r="J132" s="114">
        <f t="shared" si="15"/>
        <v>0</v>
      </c>
      <c r="K132" s="114">
        <f t="shared" si="16"/>
        <v>0</v>
      </c>
      <c r="L132" s="113"/>
    </row>
    <row r="133" spans="1:12">
      <c r="A133" s="113">
        <v>70</v>
      </c>
      <c r="B133" s="114">
        <f t="shared" si="9"/>
        <v>0</v>
      </c>
      <c r="C133" s="114">
        <f t="shared" si="10"/>
        <v>0</v>
      </c>
      <c r="D133" s="114">
        <f t="shared" si="11"/>
        <v>0</v>
      </c>
      <c r="E133" s="114">
        <f t="shared" si="12"/>
        <v>0</v>
      </c>
      <c r="F133" s="113"/>
      <c r="G133" s="113">
        <v>70</v>
      </c>
      <c r="H133" s="114">
        <f t="shared" si="13"/>
        <v>0</v>
      </c>
      <c r="I133" s="114">
        <f t="shared" si="14"/>
        <v>0</v>
      </c>
      <c r="J133" s="114">
        <f t="shared" si="15"/>
        <v>0</v>
      </c>
      <c r="K133" s="114">
        <f t="shared" si="16"/>
        <v>0</v>
      </c>
      <c r="L133" s="113"/>
    </row>
    <row r="134" spans="1:12">
      <c r="A134" s="113">
        <v>71</v>
      </c>
      <c r="B134" s="114">
        <f t="shared" si="9"/>
        <v>0</v>
      </c>
      <c r="C134" s="114">
        <f t="shared" si="10"/>
        <v>0</v>
      </c>
      <c r="D134" s="114">
        <f t="shared" si="11"/>
        <v>0</v>
      </c>
      <c r="E134" s="114">
        <f t="shared" si="12"/>
        <v>0</v>
      </c>
      <c r="F134" s="113"/>
      <c r="G134" s="113">
        <v>71</v>
      </c>
      <c r="H134" s="114">
        <f t="shared" si="13"/>
        <v>0</v>
      </c>
      <c r="I134" s="114">
        <f t="shared" si="14"/>
        <v>0</v>
      </c>
      <c r="J134" s="114">
        <f t="shared" si="15"/>
        <v>0</v>
      </c>
      <c r="K134" s="114">
        <f t="shared" si="16"/>
        <v>0</v>
      </c>
      <c r="L134" s="113"/>
    </row>
    <row r="135" spans="1:12">
      <c r="A135" s="113">
        <v>72</v>
      </c>
      <c r="B135" s="114">
        <f t="shared" si="9"/>
        <v>0</v>
      </c>
      <c r="C135" s="114">
        <f t="shared" si="10"/>
        <v>0</v>
      </c>
      <c r="D135" s="114">
        <f t="shared" si="11"/>
        <v>0</v>
      </c>
      <c r="E135" s="114">
        <f t="shared" si="12"/>
        <v>0</v>
      </c>
      <c r="F135" s="113"/>
      <c r="G135" s="113">
        <v>72</v>
      </c>
      <c r="H135" s="114">
        <f t="shared" si="13"/>
        <v>0</v>
      </c>
      <c r="I135" s="114">
        <f t="shared" si="14"/>
        <v>0</v>
      </c>
      <c r="J135" s="114">
        <f t="shared" si="15"/>
        <v>0</v>
      </c>
      <c r="K135" s="114">
        <f t="shared" si="16"/>
        <v>0</v>
      </c>
      <c r="L135" s="113"/>
    </row>
    <row r="136" spans="1:12">
      <c r="A136" s="113">
        <v>73</v>
      </c>
      <c r="B136" s="114">
        <f t="shared" si="9"/>
        <v>0</v>
      </c>
      <c r="C136" s="114">
        <f t="shared" si="10"/>
        <v>0</v>
      </c>
      <c r="D136" s="114">
        <f t="shared" si="11"/>
        <v>0</v>
      </c>
      <c r="E136" s="114">
        <f t="shared" si="12"/>
        <v>0</v>
      </c>
      <c r="F136" s="113"/>
      <c r="G136" s="113">
        <v>73</v>
      </c>
      <c r="H136" s="114">
        <f t="shared" si="13"/>
        <v>0</v>
      </c>
      <c r="I136" s="114">
        <f t="shared" si="14"/>
        <v>0</v>
      </c>
      <c r="J136" s="114">
        <f t="shared" si="15"/>
        <v>0</v>
      </c>
      <c r="K136" s="114">
        <f t="shared" si="16"/>
        <v>0</v>
      </c>
      <c r="L136" s="113"/>
    </row>
    <row r="137" spans="1:12">
      <c r="A137" s="113">
        <v>74</v>
      </c>
      <c r="B137" s="114">
        <f t="shared" si="9"/>
        <v>0</v>
      </c>
      <c r="C137" s="114">
        <f t="shared" si="10"/>
        <v>0</v>
      </c>
      <c r="D137" s="114">
        <f t="shared" si="11"/>
        <v>0</v>
      </c>
      <c r="E137" s="114">
        <f t="shared" si="12"/>
        <v>0</v>
      </c>
      <c r="F137" s="113">
        <v>6</v>
      </c>
      <c r="G137" s="113">
        <v>74</v>
      </c>
      <c r="H137" s="114">
        <f t="shared" si="13"/>
        <v>0</v>
      </c>
      <c r="I137" s="114">
        <f t="shared" si="14"/>
        <v>0</v>
      </c>
      <c r="J137" s="114">
        <f t="shared" si="15"/>
        <v>0</v>
      </c>
      <c r="K137" s="114">
        <f t="shared" si="16"/>
        <v>0</v>
      </c>
      <c r="L137" s="113">
        <v>6</v>
      </c>
    </row>
    <row r="138" spans="1:12">
      <c r="A138" s="113">
        <v>75</v>
      </c>
      <c r="B138" s="114">
        <f t="shared" si="9"/>
        <v>0</v>
      </c>
      <c r="C138" s="114">
        <f t="shared" si="10"/>
        <v>0</v>
      </c>
      <c r="D138" s="114">
        <f t="shared" si="11"/>
        <v>0</v>
      </c>
      <c r="E138" s="114">
        <f t="shared" si="12"/>
        <v>0</v>
      </c>
      <c r="F138" s="113"/>
      <c r="G138" s="113">
        <v>75</v>
      </c>
      <c r="H138" s="114">
        <f t="shared" si="13"/>
        <v>0</v>
      </c>
      <c r="I138" s="114">
        <f t="shared" si="14"/>
        <v>0</v>
      </c>
      <c r="J138" s="114">
        <f t="shared" si="15"/>
        <v>0</v>
      </c>
      <c r="K138" s="114">
        <f t="shared" si="16"/>
        <v>0</v>
      </c>
      <c r="L138" s="113"/>
    </row>
    <row r="139" spans="1:12">
      <c r="A139" s="113">
        <v>76</v>
      </c>
      <c r="B139" s="114">
        <f t="shared" si="9"/>
        <v>0</v>
      </c>
      <c r="C139" s="114">
        <f t="shared" si="10"/>
        <v>0</v>
      </c>
      <c r="D139" s="114">
        <f t="shared" si="11"/>
        <v>0</v>
      </c>
      <c r="E139" s="114">
        <f t="shared" si="12"/>
        <v>0</v>
      </c>
      <c r="F139" s="113"/>
      <c r="G139" s="113">
        <v>76</v>
      </c>
      <c r="H139" s="114">
        <f t="shared" si="13"/>
        <v>0</v>
      </c>
      <c r="I139" s="114">
        <f t="shared" si="14"/>
        <v>0</v>
      </c>
      <c r="J139" s="114">
        <f t="shared" si="15"/>
        <v>0</v>
      </c>
      <c r="K139" s="114">
        <f t="shared" si="16"/>
        <v>0</v>
      </c>
      <c r="L139" s="113"/>
    </row>
    <row r="140" spans="1:12">
      <c r="A140" s="113">
        <v>77</v>
      </c>
      <c r="B140" s="114">
        <f t="shared" si="9"/>
        <v>0</v>
      </c>
      <c r="C140" s="114">
        <f t="shared" si="10"/>
        <v>0</v>
      </c>
      <c r="D140" s="114">
        <f t="shared" si="11"/>
        <v>0</v>
      </c>
      <c r="E140" s="114">
        <f t="shared" si="12"/>
        <v>0</v>
      </c>
      <c r="F140" s="113"/>
      <c r="G140" s="113">
        <v>77</v>
      </c>
      <c r="H140" s="114">
        <f t="shared" si="13"/>
        <v>0</v>
      </c>
      <c r="I140" s="114">
        <f t="shared" si="14"/>
        <v>0</v>
      </c>
      <c r="J140" s="114">
        <f t="shared" si="15"/>
        <v>0</v>
      </c>
      <c r="K140" s="114">
        <f t="shared" si="16"/>
        <v>0</v>
      </c>
      <c r="L140" s="113"/>
    </row>
    <row r="141" spans="1:12">
      <c r="A141" s="113">
        <v>78</v>
      </c>
      <c r="B141" s="114">
        <f t="shared" si="9"/>
        <v>0</v>
      </c>
      <c r="C141" s="114">
        <f t="shared" si="10"/>
        <v>0</v>
      </c>
      <c r="D141" s="114">
        <f t="shared" si="11"/>
        <v>0</v>
      </c>
      <c r="E141" s="114">
        <f t="shared" si="12"/>
        <v>0</v>
      </c>
      <c r="F141" s="113"/>
      <c r="G141" s="113">
        <v>78</v>
      </c>
      <c r="H141" s="114">
        <f t="shared" si="13"/>
        <v>0</v>
      </c>
      <c r="I141" s="114">
        <f t="shared" si="14"/>
        <v>0</v>
      </c>
      <c r="J141" s="114">
        <f t="shared" si="15"/>
        <v>0</v>
      </c>
      <c r="K141" s="114">
        <f t="shared" si="16"/>
        <v>0</v>
      </c>
      <c r="L141" s="113"/>
    </row>
    <row r="142" spans="1:12">
      <c r="A142" s="113">
        <v>79</v>
      </c>
      <c r="B142" s="114">
        <f t="shared" si="9"/>
        <v>0</v>
      </c>
      <c r="C142" s="114">
        <f t="shared" si="10"/>
        <v>0</v>
      </c>
      <c r="D142" s="114">
        <f t="shared" si="11"/>
        <v>0</v>
      </c>
      <c r="E142" s="114">
        <f t="shared" si="12"/>
        <v>0</v>
      </c>
      <c r="F142" s="113"/>
      <c r="G142" s="113">
        <v>79</v>
      </c>
      <c r="H142" s="114">
        <f t="shared" si="13"/>
        <v>0</v>
      </c>
      <c r="I142" s="114">
        <f t="shared" si="14"/>
        <v>0</v>
      </c>
      <c r="J142" s="114">
        <f t="shared" si="15"/>
        <v>0</v>
      </c>
      <c r="K142" s="114">
        <f t="shared" si="16"/>
        <v>0</v>
      </c>
      <c r="L142" s="113"/>
    </row>
    <row r="143" spans="1:12">
      <c r="A143" s="113">
        <v>80</v>
      </c>
      <c r="B143" s="114">
        <f t="shared" si="9"/>
        <v>0</v>
      </c>
      <c r="C143" s="114">
        <f t="shared" si="10"/>
        <v>0</v>
      </c>
      <c r="D143" s="114">
        <f t="shared" si="11"/>
        <v>0</v>
      </c>
      <c r="E143" s="114">
        <f t="shared" si="12"/>
        <v>0</v>
      </c>
      <c r="F143" s="113"/>
      <c r="G143" s="113">
        <v>80</v>
      </c>
      <c r="H143" s="114">
        <f t="shared" si="13"/>
        <v>0</v>
      </c>
      <c r="I143" s="114">
        <f t="shared" si="14"/>
        <v>0</v>
      </c>
      <c r="J143" s="114">
        <f t="shared" si="15"/>
        <v>0</v>
      </c>
      <c r="K143" s="114">
        <f t="shared" si="16"/>
        <v>0</v>
      </c>
      <c r="L143" s="113"/>
    </row>
    <row r="144" spans="1:12">
      <c r="A144" s="113">
        <v>81</v>
      </c>
      <c r="B144" s="114">
        <f t="shared" si="9"/>
        <v>0</v>
      </c>
      <c r="C144" s="114">
        <f t="shared" si="10"/>
        <v>0</v>
      </c>
      <c r="D144" s="114">
        <f t="shared" si="11"/>
        <v>0</v>
      </c>
      <c r="E144" s="114">
        <f t="shared" si="12"/>
        <v>0</v>
      </c>
      <c r="F144" s="113"/>
      <c r="G144" s="113">
        <v>81</v>
      </c>
      <c r="H144" s="114">
        <f t="shared" si="13"/>
        <v>0</v>
      </c>
      <c r="I144" s="114">
        <f t="shared" si="14"/>
        <v>0</v>
      </c>
      <c r="J144" s="114">
        <f t="shared" si="15"/>
        <v>0</v>
      </c>
      <c r="K144" s="114">
        <f t="shared" si="16"/>
        <v>0</v>
      </c>
      <c r="L144" s="113"/>
    </row>
    <row r="145" spans="1:12">
      <c r="A145" s="113">
        <v>82</v>
      </c>
      <c r="B145" s="114">
        <f t="shared" si="9"/>
        <v>0</v>
      </c>
      <c r="C145" s="114">
        <f t="shared" si="10"/>
        <v>0</v>
      </c>
      <c r="D145" s="114">
        <f t="shared" si="11"/>
        <v>0</v>
      </c>
      <c r="E145" s="114">
        <f t="shared" si="12"/>
        <v>0</v>
      </c>
      <c r="F145" s="113"/>
      <c r="G145" s="113">
        <v>82</v>
      </c>
      <c r="H145" s="114">
        <f t="shared" si="13"/>
        <v>0</v>
      </c>
      <c r="I145" s="114">
        <f t="shared" si="14"/>
        <v>0</v>
      </c>
      <c r="J145" s="114">
        <f t="shared" si="15"/>
        <v>0</v>
      </c>
      <c r="K145" s="114">
        <f t="shared" si="16"/>
        <v>0</v>
      </c>
      <c r="L145" s="113"/>
    </row>
    <row r="146" spans="1:12">
      <c r="A146" s="113">
        <v>83</v>
      </c>
      <c r="B146" s="114">
        <f t="shared" si="9"/>
        <v>0</v>
      </c>
      <c r="C146" s="114">
        <f t="shared" si="10"/>
        <v>0</v>
      </c>
      <c r="D146" s="114">
        <f t="shared" si="11"/>
        <v>0</v>
      </c>
      <c r="E146" s="114">
        <f t="shared" si="12"/>
        <v>0</v>
      </c>
      <c r="F146" s="113"/>
      <c r="G146" s="113">
        <v>83</v>
      </c>
      <c r="H146" s="114">
        <f t="shared" si="13"/>
        <v>0</v>
      </c>
      <c r="I146" s="114">
        <f t="shared" si="14"/>
        <v>0</v>
      </c>
      <c r="J146" s="114">
        <f t="shared" si="15"/>
        <v>0</v>
      </c>
      <c r="K146" s="114">
        <f t="shared" si="16"/>
        <v>0</v>
      </c>
      <c r="L146" s="113"/>
    </row>
    <row r="147" spans="1:12">
      <c r="A147" s="113">
        <v>84</v>
      </c>
      <c r="B147" s="114">
        <f t="shared" si="9"/>
        <v>0</v>
      </c>
      <c r="C147" s="114">
        <f t="shared" si="10"/>
        <v>0</v>
      </c>
      <c r="D147" s="114">
        <f t="shared" si="11"/>
        <v>0</v>
      </c>
      <c r="E147" s="114">
        <f t="shared" si="12"/>
        <v>0</v>
      </c>
      <c r="F147" s="113">
        <v>7</v>
      </c>
      <c r="G147" s="113">
        <v>84</v>
      </c>
      <c r="H147" s="114">
        <f t="shared" si="13"/>
        <v>0</v>
      </c>
      <c r="I147" s="114">
        <f t="shared" si="14"/>
        <v>0</v>
      </c>
      <c r="J147" s="114">
        <f t="shared" si="15"/>
        <v>0</v>
      </c>
      <c r="K147" s="114">
        <f t="shared" si="16"/>
        <v>0</v>
      </c>
      <c r="L147" s="113">
        <v>7</v>
      </c>
    </row>
    <row r="148" spans="1:12">
      <c r="A148" s="113">
        <v>85</v>
      </c>
      <c r="B148" s="114">
        <f t="shared" si="9"/>
        <v>0</v>
      </c>
      <c r="C148" s="114">
        <f t="shared" si="10"/>
        <v>0</v>
      </c>
      <c r="D148" s="114">
        <f t="shared" si="11"/>
        <v>0</v>
      </c>
      <c r="E148" s="114">
        <f t="shared" si="12"/>
        <v>0</v>
      </c>
      <c r="F148" s="113"/>
      <c r="G148" s="113">
        <v>85</v>
      </c>
      <c r="H148" s="114">
        <f t="shared" si="13"/>
        <v>0</v>
      </c>
      <c r="I148" s="114">
        <f t="shared" si="14"/>
        <v>0</v>
      </c>
      <c r="J148" s="114">
        <f t="shared" si="15"/>
        <v>0</v>
      </c>
      <c r="K148" s="114">
        <f t="shared" si="16"/>
        <v>0</v>
      </c>
      <c r="L148" s="113"/>
    </row>
    <row r="149" spans="1:12">
      <c r="A149" s="113">
        <v>86</v>
      </c>
      <c r="B149" s="114">
        <f t="shared" si="9"/>
        <v>0</v>
      </c>
      <c r="C149" s="114">
        <f t="shared" si="10"/>
        <v>0</v>
      </c>
      <c r="D149" s="114">
        <f t="shared" si="11"/>
        <v>0</v>
      </c>
      <c r="E149" s="114">
        <f t="shared" si="12"/>
        <v>0</v>
      </c>
      <c r="F149" s="113"/>
      <c r="G149" s="113">
        <v>86</v>
      </c>
      <c r="H149" s="114">
        <f t="shared" si="13"/>
        <v>0</v>
      </c>
      <c r="I149" s="114">
        <f t="shared" si="14"/>
        <v>0</v>
      </c>
      <c r="J149" s="114">
        <f t="shared" si="15"/>
        <v>0</v>
      </c>
      <c r="K149" s="114">
        <f t="shared" si="16"/>
        <v>0</v>
      </c>
      <c r="L149" s="113"/>
    </row>
    <row r="150" spans="1:12">
      <c r="A150" s="113">
        <v>87</v>
      </c>
      <c r="B150" s="114">
        <f t="shared" si="9"/>
        <v>0</v>
      </c>
      <c r="C150" s="114">
        <f t="shared" si="10"/>
        <v>0</v>
      </c>
      <c r="D150" s="114">
        <f t="shared" si="11"/>
        <v>0</v>
      </c>
      <c r="E150" s="114">
        <f t="shared" si="12"/>
        <v>0</v>
      </c>
      <c r="F150" s="113"/>
      <c r="G150" s="113">
        <v>87</v>
      </c>
      <c r="H150" s="114">
        <f t="shared" si="13"/>
        <v>0</v>
      </c>
      <c r="I150" s="114">
        <f t="shared" si="14"/>
        <v>0</v>
      </c>
      <c r="J150" s="114">
        <f t="shared" si="15"/>
        <v>0</v>
      </c>
      <c r="K150" s="114">
        <f t="shared" si="16"/>
        <v>0</v>
      </c>
      <c r="L150" s="113"/>
    </row>
    <row r="151" spans="1:12">
      <c r="A151" s="113">
        <v>88</v>
      </c>
      <c r="B151" s="114">
        <f t="shared" si="9"/>
        <v>0</v>
      </c>
      <c r="C151" s="114">
        <f t="shared" si="10"/>
        <v>0</v>
      </c>
      <c r="D151" s="114">
        <f t="shared" si="11"/>
        <v>0</v>
      </c>
      <c r="E151" s="114">
        <f t="shared" si="12"/>
        <v>0</v>
      </c>
      <c r="F151" s="113"/>
      <c r="G151" s="113">
        <v>88</v>
      </c>
      <c r="H151" s="114">
        <f t="shared" si="13"/>
        <v>0</v>
      </c>
      <c r="I151" s="114">
        <f t="shared" si="14"/>
        <v>0</v>
      </c>
      <c r="J151" s="114">
        <f t="shared" si="15"/>
        <v>0</v>
      </c>
      <c r="K151" s="114">
        <f t="shared" si="16"/>
        <v>0</v>
      </c>
      <c r="L151" s="113"/>
    </row>
    <row r="152" spans="1:12">
      <c r="A152" s="113">
        <v>89</v>
      </c>
      <c r="B152" s="114">
        <f t="shared" si="9"/>
        <v>0</v>
      </c>
      <c r="C152" s="114">
        <f t="shared" si="10"/>
        <v>0</v>
      </c>
      <c r="D152" s="114">
        <f t="shared" si="11"/>
        <v>0</v>
      </c>
      <c r="E152" s="114">
        <f t="shared" si="12"/>
        <v>0</v>
      </c>
      <c r="F152" s="113"/>
      <c r="G152" s="113">
        <v>89</v>
      </c>
      <c r="H152" s="114">
        <f t="shared" si="13"/>
        <v>0</v>
      </c>
      <c r="I152" s="114">
        <f t="shared" si="14"/>
        <v>0</v>
      </c>
      <c r="J152" s="114">
        <f t="shared" si="15"/>
        <v>0</v>
      </c>
      <c r="K152" s="114">
        <f t="shared" si="16"/>
        <v>0</v>
      </c>
      <c r="L152" s="113"/>
    </row>
    <row r="153" spans="1:12">
      <c r="A153" s="113">
        <v>90</v>
      </c>
      <c r="B153" s="114">
        <f t="shared" si="9"/>
        <v>0</v>
      </c>
      <c r="C153" s="114">
        <f t="shared" si="10"/>
        <v>0</v>
      </c>
      <c r="D153" s="114">
        <f t="shared" si="11"/>
        <v>0</v>
      </c>
      <c r="E153" s="114">
        <f t="shared" si="12"/>
        <v>0</v>
      </c>
      <c r="F153" s="113"/>
      <c r="G153" s="113">
        <v>90</v>
      </c>
      <c r="H153" s="114">
        <f t="shared" si="13"/>
        <v>0</v>
      </c>
      <c r="I153" s="114">
        <f t="shared" si="14"/>
        <v>0</v>
      </c>
      <c r="J153" s="114">
        <f t="shared" si="15"/>
        <v>0</v>
      </c>
      <c r="K153" s="114">
        <f t="shared" si="16"/>
        <v>0</v>
      </c>
      <c r="L153" s="113"/>
    </row>
    <row r="154" spans="1:12">
      <c r="A154" s="113">
        <v>91</v>
      </c>
      <c r="B154" s="114">
        <f t="shared" si="9"/>
        <v>0</v>
      </c>
      <c r="C154" s="114">
        <f t="shared" si="10"/>
        <v>0</v>
      </c>
      <c r="D154" s="114">
        <f t="shared" si="11"/>
        <v>0</v>
      </c>
      <c r="E154" s="114">
        <f t="shared" si="12"/>
        <v>0</v>
      </c>
      <c r="F154" s="113"/>
      <c r="G154" s="113">
        <v>91</v>
      </c>
      <c r="H154" s="114">
        <f t="shared" si="13"/>
        <v>0</v>
      </c>
      <c r="I154" s="114">
        <f t="shared" si="14"/>
        <v>0</v>
      </c>
      <c r="J154" s="114">
        <f t="shared" si="15"/>
        <v>0</v>
      </c>
      <c r="K154" s="114">
        <f t="shared" si="16"/>
        <v>0</v>
      </c>
      <c r="L154" s="113"/>
    </row>
    <row r="155" spans="1:12">
      <c r="A155" s="113">
        <v>92</v>
      </c>
      <c r="B155" s="114">
        <f t="shared" si="9"/>
        <v>0</v>
      </c>
      <c r="C155" s="114">
        <f t="shared" si="10"/>
        <v>0</v>
      </c>
      <c r="D155" s="114">
        <f t="shared" si="11"/>
        <v>0</v>
      </c>
      <c r="E155" s="114">
        <f t="shared" si="12"/>
        <v>0</v>
      </c>
      <c r="F155" s="113"/>
      <c r="G155" s="113">
        <v>92</v>
      </c>
      <c r="H155" s="114">
        <f t="shared" si="13"/>
        <v>0</v>
      </c>
      <c r="I155" s="114">
        <f t="shared" si="14"/>
        <v>0</v>
      </c>
      <c r="J155" s="114">
        <f t="shared" si="15"/>
        <v>0</v>
      </c>
      <c r="K155" s="114">
        <f t="shared" si="16"/>
        <v>0</v>
      </c>
      <c r="L155" s="113"/>
    </row>
    <row r="156" spans="1:12">
      <c r="A156" s="113">
        <v>93</v>
      </c>
      <c r="B156" s="114">
        <f t="shared" si="9"/>
        <v>0</v>
      </c>
      <c r="C156" s="114">
        <f t="shared" si="10"/>
        <v>0</v>
      </c>
      <c r="D156" s="114">
        <f t="shared" si="11"/>
        <v>0</v>
      </c>
      <c r="E156" s="114">
        <f t="shared" si="12"/>
        <v>0</v>
      </c>
      <c r="F156" s="113"/>
      <c r="G156" s="113">
        <v>93</v>
      </c>
      <c r="H156" s="114">
        <f t="shared" si="13"/>
        <v>0</v>
      </c>
      <c r="I156" s="114">
        <f t="shared" si="14"/>
        <v>0</v>
      </c>
      <c r="J156" s="114">
        <f t="shared" si="15"/>
        <v>0</v>
      </c>
      <c r="K156" s="114">
        <f t="shared" si="16"/>
        <v>0</v>
      </c>
      <c r="L156" s="113"/>
    </row>
    <row r="157" spans="1:12">
      <c r="A157" s="113">
        <v>94</v>
      </c>
      <c r="B157" s="114">
        <f t="shared" si="9"/>
        <v>0</v>
      </c>
      <c r="C157" s="114">
        <f t="shared" si="10"/>
        <v>0</v>
      </c>
      <c r="D157" s="114">
        <f t="shared" si="11"/>
        <v>0</v>
      </c>
      <c r="E157" s="114">
        <f t="shared" si="12"/>
        <v>0</v>
      </c>
      <c r="F157" s="113"/>
      <c r="G157" s="113">
        <v>94</v>
      </c>
      <c r="H157" s="114">
        <f t="shared" si="13"/>
        <v>0</v>
      </c>
      <c r="I157" s="114">
        <f t="shared" si="14"/>
        <v>0</v>
      </c>
      <c r="J157" s="114">
        <f t="shared" si="15"/>
        <v>0</v>
      </c>
      <c r="K157" s="114">
        <f t="shared" si="16"/>
        <v>0</v>
      </c>
      <c r="L157" s="113"/>
    </row>
    <row r="158" spans="1:12">
      <c r="A158" s="113">
        <v>95</v>
      </c>
      <c r="B158" s="114">
        <f t="shared" si="9"/>
        <v>0</v>
      </c>
      <c r="C158" s="114">
        <f t="shared" si="10"/>
        <v>0</v>
      </c>
      <c r="D158" s="114">
        <f t="shared" si="11"/>
        <v>0</v>
      </c>
      <c r="E158" s="114">
        <f t="shared" si="12"/>
        <v>0</v>
      </c>
      <c r="F158" s="113"/>
      <c r="G158" s="113">
        <v>95</v>
      </c>
      <c r="H158" s="114">
        <f t="shared" si="13"/>
        <v>0</v>
      </c>
      <c r="I158" s="114">
        <f t="shared" si="14"/>
        <v>0</v>
      </c>
      <c r="J158" s="114">
        <f t="shared" si="15"/>
        <v>0</v>
      </c>
      <c r="K158" s="114">
        <f t="shared" si="16"/>
        <v>0</v>
      </c>
      <c r="L158" s="113"/>
    </row>
    <row r="159" spans="1:12">
      <c r="A159" s="113">
        <v>96</v>
      </c>
      <c r="B159" s="114">
        <f t="shared" si="9"/>
        <v>0</v>
      </c>
      <c r="C159" s="114">
        <f t="shared" si="10"/>
        <v>0</v>
      </c>
      <c r="D159" s="114">
        <f t="shared" si="11"/>
        <v>0</v>
      </c>
      <c r="E159" s="114">
        <f t="shared" si="12"/>
        <v>0</v>
      </c>
      <c r="F159" s="113">
        <v>8</v>
      </c>
      <c r="G159" s="113">
        <v>96</v>
      </c>
      <c r="H159" s="114">
        <f t="shared" si="13"/>
        <v>0</v>
      </c>
      <c r="I159" s="114">
        <f t="shared" si="14"/>
        <v>0</v>
      </c>
      <c r="J159" s="114">
        <f t="shared" si="15"/>
        <v>0</v>
      </c>
      <c r="K159" s="114">
        <f t="shared" si="16"/>
        <v>0</v>
      </c>
      <c r="L159" s="113">
        <v>8</v>
      </c>
    </row>
    <row r="160" spans="1:12">
      <c r="A160" s="113">
        <v>97</v>
      </c>
      <c r="B160" s="114">
        <f t="shared" si="9"/>
        <v>0</v>
      </c>
      <c r="C160" s="114">
        <f t="shared" si="10"/>
        <v>0</v>
      </c>
      <c r="D160" s="114">
        <f t="shared" si="11"/>
        <v>0</v>
      </c>
      <c r="E160" s="114">
        <f t="shared" si="12"/>
        <v>0</v>
      </c>
      <c r="F160" s="113"/>
      <c r="G160" s="113">
        <v>97</v>
      </c>
      <c r="H160" s="114">
        <f t="shared" si="13"/>
        <v>0</v>
      </c>
      <c r="I160" s="114">
        <f t="shared" si="14"/>
        <v>0</v>
      </c>
      <c r="J160" s="114">
        <f t="shared" si="15"/>
        <v>0</v>
      </c>
      <c r="K160" s="114">
        <f t="shared" si="16"/>
        <v>0</v>
      </c>
      <c r="L160" s="113"/>
    </row>
    <row r="161" spans="1:12">
      <c r="A161" s="113">
        <v>98</v>
      </c>
      <c r="B161" s="114">
        <f t="shared" si="9"/>
        <v>0</v>
      </c>
      <c r="C161" s="114">
        <f t="shared" si="10"/>
        <v>0</v>
      </c>
      <c r="D161" s="114">
        <f t="shared" si="11"/>
        <v>0</v>
      </c>
      <c r="E161" s="114">
        <f t="shared" si="12"/>
        <v>0</v>
      </c>
      <c r="F161" s="113"/>
      <c r="G161" s="113">
        <v>98</v>
      </c>
      <c r="H161" s="114">
        <f t="shared" si="13"/>
        <v>0</v>
      </c>
      <c r="I161" s="114">
        <f t="shared" si="14"/>
        <v>0</v>
      </c>
      <c r="J161" s="114">
        <f t="shared" si="15"/>
        <v>0</v>
      </c>
      <c r="K161" s="114">
        <f t="shared" si="16"/>
        <v>0</v>
      </c>
      <c r="L161" s="113"/>
    </row>
    <row r="162" spans="1:12">
      <c r="A162" s="113">
        <v>99</v>
      </c>
      <c r="B162" s="114">
        <f t="shared" si="9"/>
        <v>0</v>
      </c>
      <c r="C162" s="114">
        <f t="shared" si="10"/>
        <v>0</v>
      </c>
      <c r="D162" s="114">
        <f t="shared" si="11"/>
        <v>0</v>
      </c>
      <c r="E162" s="114">
        <f t="shared" si="12"/>
        <v>0</v>
      </c>
      <c r="F162" s="113"/>
      <c r="G162" s="113">
        <v>99</v>
      </c>
      <c r="H162" s="114">
        <f t="shared" si="13"/>
        <v>0</v>
      </c>
      <c r="I162" s="114">
        <f t="shared" si="14"/>
        <v>0</v>
      </c>
      <c r="J162" s="114">
        <f t="shared" si="15"/>
        <v>0</v>
      </c>
      <c r="K162" s="114">
        <f t="shared" si="16"/>
        <v>0</v>
      </c>
      <c r="L162" s="113"/>
    </row>
    <row r="163" spans="1:12">
      <c r="A163" s="113">
        <v>100</v>
      </c>
      <c r="B163" s="114">
        <f t="shared" si="9"/>
        <v>0</v>
      </c>
      <c r="C163" s="114">
        <f t="shared" si="10"/>
        <v>0</v>
      </c>
      <c r="D163" s="114">
        <f t="shared" si="11"/>
        <v>0</v>
      </c>
      <c r="E163" s="114">
        <f t="shared" si="12"/>
        <v>0</v>
      </c>
      <c r="F163" s="113"/>
      <c r="G163" s="113">
        <v>100</v>
      </c>
      <c r="H163" s="114">
        <f t="shared" si="13"/>
        <v>0</v>
      </c>
      <c r="I163" s="114">
        <f t="shared" si="14"/>
        <v>0</v>
      </c>
      <c r="J163" s="114">
        <f t="shared" si="15"/>
        <v>0</v>
      </c>
      <c r="K163" s="114">
        <f t="shared" si="16"/>
        <v>0</v>
      </c>
      <c r="L163" s="113"/>
    </row>
    <row r="164" spans="1:12">
      <c r="A164" s="113">
        <v>101</v>
      </c>
      <c r="B164" s="114">
        <f t="shared" si="9"/>
        <v>0</v>
      </c>
      <c r="C164" s="114">
        <f t="shared" si="10"/>
        <v>0</v>
      </c>
      <c r="D164" s="114">
        <f t="shared" si="11"/>
        <v>0</v>
      </c>
      <c r="E164" s="114">
        <f t="shared" si="12"/>
        <v>0</v>
      </c>
      <c r="F164" s="113"/>
      <c r="G164" s="113">
        <v>101</v>
      </c>
      <c r="H164" s="114">
        <f t="shared" si="13"/>
        <v>0</v>
      </c>
      <c r="I164" s="114">
        <f t="shared" si="14"/>
        <v>0</v>
      </c>
      <c r="J164" s="114">
        <f t="shared" si="15"/>
        <v>0</v>
      </c>
      <c r="K164" s="114">
        <f t="shared" si="16"/>
        <v>0</v>
      </c>
      <c r="L164" s="113"/>
    </row>
    <row r="165" spans="1:12">
      <c r="A165" s="113">
        <v>102</v>
      </c>
      <c r="B165" s="114">
        <f t="shared" si="9"/>
        <v>0</v>
      </c>
      <c r="C165" s="114">
        <f t="shared" si="10"/>
        <v>0</v>
      </c>
      <c r="D165" s="114">
        <f t="shared" si="11"/>
        <v>0</v>
      </c>
      <c r="E165" s="114">
        <f t="shared" si="12"/>
        <v>0</v>
      </c>
      <c r="F165" s="113"/>
      <c r="G165" s="113">
        <v>102</v>
      </c>
      <c r="H165" s="114">
        <f t="shared" si="13"/>
        <v>0</v>
      </c>
      <c r="I165" s="114">
        <f t="shared" si="14"/>
        <v>0</v>
      </c>
      <c r="J165" s="114">
        <f t="shared" si="15"/>
        <v>0</v>
      </c>
      <c r="K165" s="114">
        <f t="shared" si="16"/>
        <v>0</v>
      </c>
      <c r="L165" s="113"/>
    </row>
    <row r="166" spans="1:12">
      <c r="A166" s="113">
        <v>103</v>
      </c>
      <c r="B166" s="114">
        <f t="shared" si="9"/>
        <v>0</v>
      </c>
      <c r="C166" s="114">
        <f t="shared" si="10"/>
        <v>0</v>
      </c>
      <c r="D166" s="114">
        <f t="shared" si="11"/>
        <v>0</v>
      </c>
      <c r="E166" s="114">
        <f t="shared" si="12"/>
        <v>0</v>
      </c>
      <c r="F166" s="113"/>
      <c r="G166" s="113">
        <v>103</v>
      </c>
      <c r="H166" s="114">
        <f t="shared" si="13"/>
        <v>0</v>
      </c>
      <c r="I166" s="114">
        <f t="shared" si="14"/>
        <v>0</v>
      </c>
      <c r="J166" s="114">
        <f t="shared" si="15"/>
        <v>0</v>
      </c>
      <c r="K166" s="114">
        <f t="shared" si="16"/>
        <v>0</v>
      </c>
      <c r="L166" s="113"/>
    </row>
    <row r="167" spans="1:12">
      <c r="A167" s="113">
        <v>104</v>
      </c>
      <c r="B167" s="114">
        <f t="shared" si="9"/>
        <v>0</v>
      </c>
      <c r="C167" s="114">
        <f t="shared" si="10"/>
        <v>0</v>
      </c>
      <c r="D167" s="114">
        <f t="shared" si="11"/>
        <v>0</v>
      </c>
      <c r="E167" s="114">
        <f t="shared" si="12"/>
        <v>0</v>
      </c>
      <c r="F167" s="113"/>
      <c r="G167" s="113">
        <v>104</v>
      </c>
      <c r="H167" s="114">
        <f t="shared" si="13"/>
        <v>0</v>
      </c>
      <c r="I167" s="114">
        <f t="shared" si="14"/>
        <v>0</v>
      </c>
      <c r="J167" s="114">
        <f t="shared" si="15"/>
        <v>0</v>
      </c>
      <c r="K167" s="114">
        <f t="shared" si="16"/>
        <v>0</v>
      </c>
      <c r="L167" s="113"/>
    </row>
    <row r="168" spans="1:12">
      <c r="A168" s="113">
        <v>105</v>
      </c>
      <c r="B168" s="114">
        <f t="shared" si="9"/>
        <v>0</v>
      </c>
      <c r="C168" s="114">
        <f t="shared" si="10"/>
        <v>0</v>
      </c>
      <c r="D168" s="114">
        <f t="shared" si="11"/>
        <v>0</v>
      </c>
      <c r="E168" s="114">
        <f t="shared" si="12"/>
        <v>0</v>
      </c>
      <c r="F168" s="113"/>
      <c r="G168" s="113">
        <v>105</v>
      </c>
      <c r="H168" s="114">
        <f t="shared" si="13"/>
        <v>0</v>
      </c>
      <c r="I168" s="114">
        <f t="shared" si="14"/>
        <v>0</v>
      </c>
      <c r="J168" s="114">
        <f t="shared" si="15"/>
        <v>0</v>
      </c>
      <c r="K168" s="114">
        <f t="shared" si="16"/>
        <v>0</v>
      </c>
      <c r="L168" s="113"/>
    </row>
    <row r="169" spans="1:12">
      <c r="A169" s="113">
        <v>106</v>
      </c>
      <c r="B169" s="114">
        <f t="shared" si="9"/>
        <v>0</v>
      </c>
      <c r="C169" s="114">
        <f t="shared" si="10"/>
        <v>0</v>
      </c>
      <c r="D169" s="114">
        <f t="shared" si="11"/>
        <v>0</v>
      </c>
      <c r="E169" s="114">
        <f t="shared" si="12"/>
        <v>0</v>
      </c>
      <c r="F169" s="113"/>
      <c r="G169" s="113">
        <v>106</v>
      </c>
      <c r="H169" s="114">
        <f t="shared" si="13"/>
        <v>0</v>
      </c>
      <c r="I169" s="114">
        <f t="shared" si="14"/>
        <v>0</v>
      </c>
      <c r="J169" s="114">
        <f t="shared" si="15"/>
        <v>0</v>
      </c>
      <c r="K169" s="114">
        <f t="shared" si="16"/>
        <v>0</v>
      </c>
      <c r="L169" s="113"/>
    </row>
    <row r="170" spans="1:12">
      <c r="A170" s="113">
        <v>107</v>
      </c>
      <c r="B170" s="114">
        <f t="shared" si="9"/>
        <v>0</v>
      </c>
      <c r="C170" s="114">
        <f t="shared" si="10"/>
        <v>0</v>
      </c>
      <c r="D170" s="114">
        <f t="shared" si="11"/>
        <v>0</v>
      </c>
      <c r="E170" s="114">
        <f t="shared" si="12"/>
        <v>0</v>
      </c>
      <c r="F170" s="113"/>
      <c r="G170" s="113">
        <v>107</v>
      </c>
      <c r="H170" s="114">
        <f t="shared" si="13"/>
        <v>0</v>
      </c>
      <c r="I170" s="114">
        <f t="shared" si="14"/>
        <v>0</v>
      </c>
      <c r="J170" s="114">
        <f t="shared" si="15"/>
        <v>0</v>
      </c>
      <c r="K170" s="114">
        <f t="shared" si="16"/>
        <v>0</v>
      </c>
      <c r="L170" s="113"/>
    </row>
    <row r="171" spans="1:12">
      <c r="A171" s="113">
        <v>108</v>
      </c>
      <c r="B171" s="114">
        <f t="shared" si="9"/>
        <v>0</v>
      </c>
      <c r="C171" s="114">
        <f t="shared" si="10"/>
        <v>0</v>
      </c>
      <c r="D171" s="114">
        <f t="shared" si="11"/>
        <v>0</v>
      </c>
      <c r="E171" s="114">
        <f t="shared" si="12"/>
        <v>0</v>
      </c>
      <c r="F171" s="113">
        <v>9</v>
      </c>
      <c r="G171" s="113">
        <v>108</v>
      </c>
      <c r="H171" s="114">
        <f t="shared" si="13"/>
        <v>0</v>
      </c>
      <c r="I171" s="114">
        <f t="shared" si="14"/>
        <v>0</v>
      </c>
      <c r="J171" s="114">
        <f t="shared" si="15"/>
        <v>0</v>
      </c>
      <c r="K171" s="114">
        <f t="shared" si="16"/>
        <v>0</v>
      </c>
      <c r="L171" s="113">
        <v>9</v>
      </c>
    </row>
    <row r="172" spans="1:12">
      <c r="A172" s="113">
        <v>109</v>
      </c>
      <c r="B172" s="114">
        <f t="shared" si="9"/>
        <v>0</v>
      </c>
      <c r="C172" s="114">
        <f t="shared" si="10"/>
        <v>0</v>
      </c>
      <c r="D172" s="114">
        <f t="shared" si="11"/>
        <v>0</v>
      </c>
      <c r="E172" s="114">
        <f t="shared" si="12"/>
        <v>0</v>
      </c>
      <c r="F172" s="113"/>
      <c r="G172" s="113">
        <v>109</v>
      </c>
      <c r="H172" s="114">
        <f t="shared" si="13"/>
        <v>0</v>
      </c>
      <c r="I172" s="114">
        <f t="shared" si="14"/>
        <v>0</v>
      </c>
      <c r="J172" s="114">
        <f t="shared" si="15"/>
        <v>0</v>
      </c>
      <c r="K172" s="114">
        <f t="shared" si="16"/>
        <v>0</v>
      </c>
      <c r="L172" s="113"/>
    </row>
    <row r="173" spans="1:12">
      <c r="A173" s="113">
        <v>110</v>
      </c>
      <c r="B173" s="114">
        <f t="shared" si="9"/>
        <v>0</v>
      </c>
      <c r="C173" s="114">
        <f t="shared" si="10"/>
        <v>0</v>
      </c>
      <c r="D173" s="114">
        <f t="shared" si="11"/>
        <v>0</v>
      </c>
      <c r="E173" s="114">
        <f t="shared" si="12"/>
        <v>0</v>
      </c>
      <c r="F173" s="113"/>
      <c r="G173" s="113">
        <v>110</v>
      </c>
      <c r="H173" s="114">
        <f t="shared" si="13"/>
        <v>0</v>
      </c>
      <c r="I173" s="114">
        <f t="shared" si="14"/>
        <v>0</v>
      </c>
      <c r="J173" s="114">
        <f t="shared" si="15"/>
        <v>0</v>
      </c>
      <c r="K173" s="114">
        <f t="shared" si="16"/>
        <v>0</v>
      </c>
      <c r="L173" s="113"/>
    </row>
    <row r="174" spans="1:12">
      <c r="A174" s="113">
        <v>111</v>
      </c>
      <c r="B174" s="114">
        <f t="shared" si="9"/>
        <v>0</v>
      </c>
      <c r="C174" s="114">
        <f t="shared" si="10"/>
        <v>0</v>
      </c>
      <c r="D174" s="114">
        <f t="shared" si="11"/>
        <v>0</v>
      </c>
      <c r="E174" s="114">
        <f t="shared" si="12"/>
        <v>0</v>
      </c>
      <c r="F174" s="113"/>
      <c r="G174" s="113">
        <v>111</v>
      </c>
      <c r="H174" s="114">
        <f t="shared" si="13"/>
        <v>0</v>
      </c>
      <c r="I174" s="114">
        <f t="shared" si="14"/>
        <v>0</v>
      </c>
      <c r="J174" s="114">
        <f t="shared" si="15"/>
        <v>0</v>
      </c>
      <c r="K174" s="114">
        <f t="shared" si="16"/>
        <v>0</v>
      </c>
      <c r="L174" s="113"/>
    </row>
    <row r="175" spans="1:12">
      <c r="A175" s="113">
        <v>112</v>
      </c>
      <c r="B175" s="114">
        <f t="shared" si="9"/>
        <v>0</v>
      </c>
      <c r="C175" s="114">
        <f t="shared" si="10"/>
        <v>0</v>
      </c>
      <c r="D175" s="114">
        <f t="shared" si="11"/>
        <v>0</v>
      </c>
      <c r="E175" s="114">
        <f t="shared" si="12"/>
        <v>0</v>
      </c>
      <c r="F175" s="113"/>
      <c r="G175" s="113">
        <v>112</v>
      </c>
      <c r="H175" s="114">
        <f t="shared" si="13"/>
        <v>0</v>
      </c>
      <c r="I175" s="114">
        <f t="shared" si="14"/>
        <v>0</v>
      </c>
      <c r="J175" s="114">
        <f t="shared" si="15"/>
        <v>0</v>
      </c>
      <c r="K175" s="114">
        <f t="shared" si="16"/>
        <v>0</v>
      </c>
      <c r="L175" s="113"/>
    </row>
    <row r="176" spans="1:12">
      <c r="A176" s="113">
        <v>113</v>
      </c>
      <c r="B176" s="114">
        <f t="shared" si="9"/>
        <v>0</v>
      </c>
      <c r="C176" s="114">
        <f t="shared" si="10"/>
        <v>0</v>
      </c>
      <c r="D176" s="114">
        <f t="shared" si="11"/>
        <v>0</v>
      </c>
      <c r="E176" s="114">
        <f t="shared" si="12"/>
        <v>0</v>
      </c>
      <c r="F176" s="113"/>
      <c r="G176" s="113">
        <v>113</v>
      </c>
      <c r="H176" s="114">
        <f t="shared" si="13"/>
        <v>0</v>
      </c>
      <c r="I176" s="114">
        <f t="shared" si="14"/>
        <v>0</v>
      </c>
      <c r="J176" s="114">
        <f t="shared" si="15"/>
        <v>0</v>
      </c>
      <c r="K176" s="114">
        <f t="shared" si="16"/>
        <v>0</v>
      </c>
      <c r="L176" s="113"/>
    </row>
    <row r="177" spans="1:12">
      <c r="A177" s="113">
        <v>114</v>
      </c>
      <c r="B177" s="114">
        <f t="shared" si="9"/>
        <v>0</v>
      </c>
      <c r="C177" s="114">
        <f t="shared" si="10"/>
        <v>0</v>
      </c>
      <c r="D177" s="114">
        <f t="shared" si="11"/>
        <v>0</v>
      </c>
      <c r="E177" s="114">
        <f t="shared" si="12"/>
        <v>0</v>
      </c>
      <c r="F177" s="113"/>
      <c r="G177" s="113">
        <v>114</v>
      </c>
      <c r="H177" s="114">
        <f t="shared" si="13"/>
        <v>0</v>
      </c>
      <c r="I177" s="114">
        <f t="shared" si="14"/>
        <v>0</v>
      </c>
      <c r="J177" s="114">
        <f t="shared" si="15"/>
        <v>0</v>
      </c>
      <c r="K177" s="114">
        <f t="shared" si="16"/>
        <v>0</v>
      </c>
      <c r="L177" s="113"/>
    </row>
    <row r="178" spans="1:12">
      <c r="A178" s="113">
        <v>115</v>
      </c>
      <c r="B178" s="114">
        <f t="shared" si="9"/>
        <v>0</v>
      </c>
      <c r="C178" s="114">
        <f t="shared" si="10"/>
        <v>0</v>
      </c>
      <c r="D178" s="114">
        <f t="shared" si="11"/>
        <v>0</v>
      </c>
      <c r="E178" s="114">
        <f t="shared" si="12"/>
        <v>0</v>
      </c>
      <c r="F178" s="113"/>
      <c r="G178" s="113">
        <v>115</v>
      </c>
      <c r="H178" s="114">
        <f t="shared" si="13"/>
        <v>0</v>
      </c>
      <c r="I178" s="114">
        <f t="shared" si="14"/>
        <v>0</v>
      </c>
      <c r="J178" s="114">
        <f t="shared" si="15"/>
        <v>0</v>
      </c>
      <c r="K178" s="114">
        <f t="shared" si="16"/>
        <v>0</v>
      </c>
      <c r="L178" s="113"/>
    </row>
    <row r="179" spans="1:12">
      <c r="A179" s="113">
        <v>116</v>
      </c>
      <c r="B179" s="114">
        <f t="shared" si="9"/>
        <v>0</v>
      </c>
      <c r="C179" s="114">
        <f t="shared" si="10"/>
        <v>0</v>
      </c>
      <c r="D179" s="114">
        <f t="shared" si="11"/>
        <v>0</v>
      </c>
      <c r="E179" s="114">
        <f t="shared" si="12"/>
        <v>0</v>
      </c>
      <c r="F179" s="113"/>
      <c r="G179" s="113">
        <v>116</v>
      </c>
      <c r="H179" s="114">
        <f t="shared" si="13"/>
        <v>0</v>
      </c>
      <c r="I179" s="114">
        <f t="shared" si="14"/>
        <v>0</v>
      </c>
      <c r="J179" s="114">
        <f t="shared" si="15"/>
        <v>0</v>
      </c>
      <c r="K179" s="114">
        <f t="shared" si="16"/>
        <v>0</v>
      </c>
      <c r="L179" s="113"/>
    </row>
    <row r="180" spans="1:12">
      <c r="A180" s="113">
        <v>117</v>
      </c>
      <c r="B180" s="114">
        <f t="shared" si="9"/>
        <v>0</v>
      </c>
      <c r="C180" s="114">
        <f t="shared" si="10"/>
        <v>0</v>
      </c>
      <c r="D180" s="114">
        <f t="shared" si="11"/>
        <v>0</v>
      </c>
      <c r="E180" s="114">
        <f t="shared" si="12"/>
        <v>0</v>
      </c>
      <c r="F180" s="113"/>
      <c r="G180" s="113">
        <v>117</v>
      </c>
      <c r="H180" s="114">
        <f t="shared" si="13"/>
        <v>0</v>
      </c>
      <c r="I180" s="114">
        <f t="shared" si="14"/>
        <v>0</v>
      </c>
      <c r="J180" s="114">
        <f t="shared" si="15"/>
        <v>0</v>
      </c>
      <c r="K180" s="114">
        <f t="shared" si="16"/>
        <v>0</v>
      </c>
      <c r="L180" s="113"/>
    </row>
    <row r="181" spans="1:12">
      <c r="A181" s="113">
        <v>118</v>
      </c>
      <c r="B181" s="114">
        <f t="shared" si="9"/>
        <v>0</v>
      </c>
      <c r="C181" s="114">
        <f t="shared" si="10"/>
        <v>0</v>
      </c>
      <c r="D181" s="114">
        <f t="shared" si="11"/>
        <v>0</v>
      </c>
      <c r="E181" s="114">
        <f t="shared" si="12"/>
        <v>0</v>
      </c>
      <c r="F181" s="113"/>
      <c r="G181" s="113">
        <v>118</v>
      </c>
      <c r="H181" s="114">
        <f t="shared" si="13"/>
        <v>0</v>
      </c>
      <c r="I181" s="114">
        <f t="shared" si="14"/>
        <v>0</v>
      </c>
      <c r="J181" s="114">
        <f t="shared" si="15"/>
        <v>0</v>
      </c>
      <c r="K181" s="114">
        <f t="shared" si="16"/>
        <v>0</v>
      </c>
      <c r="L181" s="113"/>
    </row>
    <row r="182" spans="1:12">
      <c r="A182" s="113">
        <v>119</v>
      </c>
      <c r="B182" s="114">
        <f t="shared" si="9"/>
        <v>0</v>
      </c>
      <c r="C182" s="114">
        <f t="shared" si="10"/>
        <v>0</v>
      </c>
      <c r="D182" s="114">
        <f t="shared" si="11"/>
        <v>0</v>
      </c>
      <c r="E182" s="114">
        <f t="shared" si="12"/>
        <v>0</v>
      </c>
      <c r="F182" s="113"/>
      <c r="G182" s="113">
        <v>119</v>
      </c>
      <c r="H182" s="114">
        <f t="shared" si="13"/>
        <v>0</v>
      </c>
      <c r="I182" s="114">
        <f t="shared" si="14"/>
        <v>0</v>
      </c>
      <c r="J182" s="114">
        <f t="shared" si="15"/>
        <v>0</v>
      </c>
      <c r="K182" s="114">
        <f t="shared" si="16"/>
        <v>0</v>
      </c>
      <c r="L182" s="113"/>
    </row>
    <row r="183" spans="1:12">
      <c r="A183" s="113">
        <v>120</v>
      </c>
      <c r="B183" s="114">
        <f t="shared" si="9"/>
        <v>0</v>
      </c>
      <c r="C183" s="114">
        <f t="shared" si="10"/>
        <v>0</v>
      </c>
      <c r="D183" s="114">
        <f t="shared" si="11"/>
        <v>0</v>
      </c>
      <c r="E183" s="114">
        <f t="shared" si="12"/>
        <v>0</v>
      </c>
      <c r="F183" s="113">
        <v>10</v>
      </c>
      <c r="G183" s="113">
        <v>120</v>
      </c>
      <c r="H183" s="114">
        <f t="shared" si="13"/>
        <v>0</v>
      </c>
      <c r="I183" s="114">
        <f t="shared" si="14"/>
        <v>0</v>
      </c>
      <c r="J183" s="114">
        <f t="shared" si="15"/>
        <v>0</v>
      </c>
      <c r="K183" s="114">
        <f t="shared" si="16"/>
        <v>0</v>
      </c>
      <c r="L183" s="113">
        <v>10</v>
      </c>
    </row>
    <row r="184" spans="1:12">
      <c r="A184" s="113">
        <v>121</v>
      </c>
      <c r="B184" s="114">
        <f t="shared" si="9"/>
        <v>0</v>
      </c>
      <c r="C184" s="114">
        <f t="shared" si="10"/>
        <v>0</v>
      </c>
      <c r="D184" s="114">
        <f t="shared" si="11"/>
        <v>0</v>
      </c>
      <c r="E184" s="114">
        <f t="shared" si="12"/>
        <v>0</v>
      </c>
      <c r="F184" s="113"/>
      <c r="G184" s="113">
        <v>121</v>
      </c>
      <c r="H184" s="114">
        <f t="shared" si="13"/>
        <v>0</v>
      </c>
      <c r="I184" s="114">
        <f t="shared" si="14"/>
        <v>0</v>
      </c>
      <c r="J184" s="114">
        <f t="shared" si="15"/>
        <v>0</v>
      </c>
      <c r="K184" s="114">
        <f t="shared" si="16"/>
        <v>0</v>
      </c>
      <c r="L184" s="113"/>
    </row>
    <row r="185" spans="1:12">
      <c r="A185" s="113">
        <v>122</v>
      </c>
      <c r="B185" s="114">
        <f t="shared" si="9"/>
        <v>0</v>
      </c>
      <c r="C185" s="114">
        <f t="shared" si="10"/>
        <v>0</v>
      </c>
      <c r="D185" s="114">
        <f t="shared" si="11"/>
        <v>0</v>
      </c>
      <c r="E185" s="114">
        <f t="shared" si="12"/>
        <v>0</v>
      </c>
      <c r="F185" s="113"/>
      <c r="G185" s="113">
        <v>122</v>
      </c>
      <c r="H185" s="114">
        <f t="shared" si="13"/>
        <v>0</v>
      </c>
      <c r="I185" s="114">
        <f t="shared" si="14"/>
        <v>0</v>
      </c>
      <c r="J185" s="114">
        <f t="shared" si="15"/>
        <v>0</v>
      </c>
      <c r="K185" s="114">
        <f t="shared" si="16"/>
        <v>0</v>
      </c>
      <c r="L185" s="113"/>
    </row>
    <row r="186" spans="1:12">
      <c r="A186" s="113">
        <v>123</v>
      </c>
      <c r="B186" s="114">
        <f t="shared" si="9"/>
        <v>0</v>
      </c>
      <c r="C186" s="114">
        <f t="shared" si="10"/>
        <v>0</v>
      </c>
      <c r="D186" s="114">
        <f t="shared" si="11"/>
        <v>0</v>
      </c>
      <c r="E186" s="114">
        <f t="shared" si="12"/>
        <v>0</v>
      </c>
      <c r="F186" s="113"/>
      <c r="G186" s="113">
        <v>123</v>
      </c>
      <c r="H186" s="114">
        <f t="shared" si="13"/>
        <v>0</v>
      </c>
      <c r="I186" s="114">
        <f t="shared" si="14"/>
        <v>0</v>
      </c>
      <c r="J186" s="114">
        <f t="shared" si="15"/>
        <v>0</v>
      </c>
      <c r="K186" s="114">
        <f t="shared" si="16"/>
        <v>0</v>
      </c>
      <c r="L186" s="113"/>
    </row>
    <row r="187" spans="1:12">
      <c r="A187" s="113">
        <v>124</v>
      </c>
      <c r="B187" s="114">
        <f t="shared" si="9"/>
        <v>0</v>
      </c>
      <c r="C187" s="114">
        <f t="shared" si="10"/>
        <v>0</v>
      </c>
      <c r="D187" s="114">
        <f t="shared" si="11"/>
        <v>0</v>
      </c>
      <c r="E187" s="114">
        <f t="shared" si="12"/>
        <v>0</v>
      </c>
      <c r="F187" s="113"/>
      <c r="G187" s="113">
        <v>124</v>
      </c>
      <c r="H187" s="114">
        <f t="shared" si="13"/>
        <v>0</v>
      </c>
      <c r="I187" s="114">
        <f t="shared" si="14"/>
        <v>0</v>
      </c>
      <c r="J187" s="114">
        <f t="shared" si="15"/>
        <v>0</v>
      </c>
      <c r="K187" s="114">
        <f t="shared" si="16"/>
        <v>0</v>
      </c>
      <c r="L187" s="113"/>
    </row>
    <row r="188" spans="1:12">
      <c r="A188" s="113">
        <v>125</v>
      </c>
      <c r="B188" s="114">
        <f t="shared" si="9"/>
        <v>0</v>
      </c>
      <c r="C188" s="114">
        <f t="shared" si="10"/>
        <v>0</v>
      </c>
      <c r="D188" s="114">
        <f t="shared" si="11"/>
        <v>0</v>
      </c>
      <c r="E188" s="114">
        <f t="shared" si="12"/>
        <v>0</v>
      </c>
      <c r="F188" s="113"/>
      <c r="G188" s="113">
        <v>125</v>
      </c>
      <c r="H188" s="114">
        <f t="shared" si="13"/>
        <v>0</v>
      </c>
      <c r="I188" s="114">
        <f t="shared" si="14"/>
        <v>0</v>
      </c>
      <c r="J188" s="114">
        <f t="shared" si="15"/>
        <v>0</v>
      </c>
      <c r="K188" s="114">
        <f t="shared" si="16"/>
        <v>0</v>
      </c>
      <c r="L188" s="113"/>
    </row>
    <row r="189" spans="1:12">
      <c r="A189" s="113">
        <v>126</v>
      </c>
      <c r="B189" s="114">
        <f t="shared" si="9"/>
        <v>0</v>
      </c>
      <c r="C189" s="114">
        <f t="shared" si="10"/>
        <v>0</v>
      </c>
      <c r="D189" s="114">
        <f t="shared" si="11"/>
        <v>0</v>
      </c>
      <c r="E189" s="114">
        <f t="shared" si="12"/>
        <v>0</v>
      </c>
      <c r="F189" s="113"/>
      <c r="G189" s="113">
        <v>126</v>
      </c>
      <c r="H189" s="114">
        <f t="shared" si="13"/>
        <v>0</v>
      </c>
      <c r="I189" s="114">
        <f t="shared" si="14"/>
        <v>0</v>
      </c>
      <c r="J189" s="114">
        <f t="shared" si="15"/>
        <v>0</v>
      </c>
      <c r="K189" s="114">
        <f t="shared" si="16"/>
        <v>0</v>
      </c>
      <c r="L189" s="113"/>
    </row>
    <row r="190" spans="1:12">
      <c r="A190" s="113">
        <v>127</v>
      </c>
      <c r="B190" s="114">
        <f t="shared" si="9"/>
        <v>0</v>
      </c>
      <c r="C190" s="114">
        <f t="shared" si="10"/>
        <v>0</v>
      </c>
      <c r="D190" s="114">
        <f t="shared" si="11"/>
        <v>0</v>
      </c>
      <c r="E190" s="114">
        <f t="shared" si="12"/>
        <v>0</v>
      </c>
      <c r="F190" s="113"/>
      <c r="G190" s="113">
        <v>127</v>
      </c>
      <c r="H190" s="114">
        <f t="shared" si="13"/>
        <v>0</v>
      </c>
      <c r="I190" s="114">
        <f t="shared" si="14"/>
        <v>0</v>
      </c>
      <c r="J190" s="114">
        <f t="shared" si="15"/>
        <v>0</v>
      </c>
      <c r="K190" s="114">
        <f t="shared" si="16"/>
        <v>0</v>
      </c>
      <c r="L190" s="113"/>
    </row>
    <row r="191" spans="1:12">
      <c r="A191" s="113">
        <v>128</v>
      </c>
      <c r="B191" s="114">
        <f t="shared" si="9"/>
        <v>0</v>
      </c>
      <c r="C191" s="114">
        <f t="shared" si="10"/>
        <v>0</v>
      </c>
      <c r="D191" s="114">
        <f t="shared" si="11"/>
        <v>0</v>
      </c>
      <c r="E191" s="114">
        <f t="shared" si="12"/>
        <v>0</v>
      </c>
      <c r="F191" s="113"/>
      <c r="G191" s="113">
        <v>128</v>
      </c>
      <c r="H191" s="114">
        <f t="shared" si="13"/>
        <v>0</v>
      </c>
      <c r="I191" s="114">
        <f t="shared" si="14"/>
        <v>0</v>
      </c>
      <c r="J191" s="114">
        <f t="shared" si="15"/>
        <v>0</v>
      </c>
      <c r="K191" s="114">
        <f t="shared" si="16"/>
        <v>0</v>
      </c>
      <c r="L191" s="113"/>
    </row>
    <row r="192" spans="1:12">
      <c r="A192" s="113">
        <v>129</v>
      </c>
      <c r="B192" s="114">
        <f t="shared" ref="B192:B255" si="17">IF(A192&gt;12*$C$9,0,IF($C$5&gt;1500000,$D$12,$C$12))</f>
        <v>0</v>
      </c>
      <c r="C192" s="114">
        <f t="shared" ref="C192:C255" si="18">IF(A192&gt;12*$C$9,0,E191*$C$7/12)</f>
        <v>0</v>
      </c>
      <c r="D192" s="114">
        <f t="shared" ref="D192:D255" si="19">IF(A192&gt;12*$C$9,0,B192-C192)</f>
        <v>0</v>
      </c>
      <c r="E192" s="114">
        <f t="shared" ref="E192:E255" si="20">IF(A192&gt;12*$C$9,0,E191-D192)</f>
        <v>0</v>
      </c>
      <c r="F192" s="113"/>
      <c r="G192" s="113">
        <v>129</v>
      </c>
      <c r="H192" s="114">
        <f t="shared" ref="H192:H255" si="21">IF(G192&gt;12*$C$9,0,IF($C$5&gt;1500000,$E$12,0))</f>
        <v>0</v>
      </c>
      <c r="I192" s="114">
        <f t="shared" ref="I192:I255" si="22">IF(G192&gt;12*$C$9,0,K191*$C$7/12)</f>
        <v>0</v>
      </c>
      <c r="J192" s="114">
        <f t="shared" ref="J192:J255" si="23">IF(G192&gt;12*$C$9,0,H192-I192)</f>
        <v>0</v>
      </c>
      <c r="K192" s="114">
        <f t="shared" ref="K192:K255" si="24">IF(G192&gt;12*$C$9,0,K191-J192)</f>
        <v>0</v>
      </c>
      <c r="L192" s="113"/>
    </row>
    <row r="193" spans="1:12">
      <c r="A193" s="113">
        <v>130</v>
      </c>
      <c r="B193" s="114">
        <f t="shared" si="17"/>
        <v>0</v>
      </c>
      <c r="C193" s="114">
        <f t="shared" si="18"/>
        <v>0</v>
      </c>
      <c r="D193" s="114">
        <f t="shared" si="19"/>
        <v>0</v>
      </c>
      <c r="E193" s="114">
        <f t="shared" si="20"/>
        <v>0</v>
      </c>
      <c r="F193" s="113"/>
      <c r="G193" s="113">
        <v>130</v>
      </c>
      <c r="H193" s="114">
        <f t="shared" si="21"/>
        <v>0</v>
      </c>
      <c r="I193" s="114">
        <f t="shared" si="22"/>
        <v>0</v>
      </c>
      <c r="J193" s="114">
        <f t="shared" si="23"/>
        <v>0</v>
      </c>
      <c r="K193" s="114">
        <f t="shared" si="24"/>
        <v>0</v>
      </c>
      <c r="L193" s="113"/>
    </row>
    <row r="194" spans="1:12">
      <c r="A194" s="113">
        <v>131</v>
      </c>
      <c r="B194" s="114">
        <f t="shared" si="17"/>
        <v>0</v>
      </c>
      <c r="C194" s="114">
        <f t="shared" si="18"/>
        <v>0</v>
      </c>
      <c r="D194" s="114">
        <f t="shared" si="19"/>
        <v>0</v>
      </c>
      <c r="E194" s="114">
        <f t="shared" si="20"/>
        <v>0</v>
      </c>
      <c r="F194" s="113"/>
      <c r="G194" s="113">
        <v>131</v>
      </c>
      <c r="H194" s="114">
        <f t="shared" si="21"/>
        <v>0</v>
      </c>
      <c r="I194" s="114">
        <f t="shared" si="22"/>
        <v>0</v>
      </c>
      <c r="J194" s="114">
        <f t="shared" si="23"/>
        <v>0</v>
      </c>
      <c r="K194" s="114">
        <f t="shared" si="24"/>
        <v>0</v>
      </c>
      <c r="L194" s="113"/>
    </row>
    <row r="195" spans="1:12">
      <c r="A195" s="113">
        <v>132</v>
      </c>
      <c r="B195" s="114">
        <f t="shared" si="17"/>
        <v>0</v>
      </c>
      <c r="C195" s="114">
        <f t="shared" si="18"/>
        <v>0</v>
      </c>
      <c r="D195" s="114">
        <f t="shared" si="19"/>
        <v>0</v>
      </c>
      <c r="E195" s="114">
        <f t="shared" si="20"/>
        <v>0</v>
      </c>
      <c r="F195" s="113">
        <v>11</v>
      </c>
      <c r="G195" s="113">
        <v>132</v>
      </c>
      <c r="H195" s="114">
        <f t="shared" si="21"/>
        <v>0</v>
      </c>
      <c r="I195" s="114">
        <f t="shared" si="22"/>
        <v>0</v>
      </c>
      <c r="J195" s="114">
        <f t="shared" si="23"/>
        <v>0</v>
      </c>
      <c r="K195" s="114">
        <f t="shared" si="24"/>
        <v>0</v>
      </c>
      <c r="L195" s="113">
        <v>11</v>
      </c>
    </row>
    <row r="196" spans="1:12">
      <c r="A196" s="113">
        <v>133</v>
      </c>
      <c r="B196" s="114">
        <f t="shared" si="17"/>
        <v>0</v>
      </c>
      <c r="C196" s="114">
        <f t="shared" si="18"/>
        <v>0</v>
      </c>
      <c r="D196" s="114">
        <f t="shared" si="19"/>
        <v>0</v>
      </c>
      <c r="E196" s="114">
        <f t="shared" si="20"/>
        <v>0</v>
      </c>
      <c r="F196" s="113"/>
      <c r="G196" s="113">
        <v>133</v>
      </c>
      <c r="H196" s="114">
        <f t="shared" si="21"/>
        <v>0</v>
      </c>
      <c r="I196" s="114">
        <f t="shared" si="22"/>
        <v>0</v>
      </c>
      <c r="J196" s="114">
        <f t="shared" si="23"/>
        <v>0</v>
      </c>
      <c r="K196" s="114">
        <f t="shared" si="24"/>
        <v>0</v>
      </c>
      <c r="L196" s="113"/>
    </row>
    <row r="197" spans="1:12">
      <c r="A197" s="113">
        <v>134</v>
      </c>
      <c r="B197" s="114">
        <f t="shared" si="17"/>
        <v>0</v>
      </c>
      <c r="C197" s="114">
        <f t="shared" si="18"/>
        <v>0</v>
      </c>
      <c r="D197" s="114">
        <f t="shared" si="19"/>
        <v>0</v>
      </c>
      <c r="E197" s="114">
        <f t="shared" si="20"/>
        <v>0</v>
      </c>
      <c r="F197" s="113"/>
      <c r="G197" s="113">
        <v>134</v>
      </c>
      <c r="H197" s="114">
        <f t="shared" si="21"/>
        <v>0</v>
      </c>
      <c r="I197" s="114">
        <f t="shared" si="22"/>
        <v>0</v>
      </c>
      <c r="J197" s="114">
        <f t="shared" si="23"/>
        <v>0</v>
      </c>
      <c r="K197" s="114">
        <f t="shared" si="24"/>
        <v>0</v>
      </c>
      <c r="L197" s="113"/>
    </row>
    <row r="198" spans="1:12">
      <c r="A198" s="113">
        <v>135</v>
      </c>
      <c r="B198" s="114">
        <f t="shared" si="17"/>
        <v>0</v>
      </c>
      <c r="C198" s="114">
        <f t="shared" si="18"/>
        <v>0</v>
      </c>
      <c r="D198" s="114">
        <f t="shared" si="19"/>
        <v>0</v>
      </c>
      <c r="E198" s="114">
        <f t="shared" si="20"/>
        <v>0</v>
      </c>
      <c r="F198" s="113"/>
      <c r="G198" s="113">
        <v>135</v>
      </c>
      <c r="H198" s="114">
        <f t="shared" si="21"/>
        <v>0</v>
      </c>
      <c r="I198" s="114">
        <f t="shared" si="22"/>
        <v>0</v>
      </c>
      <c r="J198" s="114">
        <f t="shared" si="23"/>
        <v>0</v>
      </c>
      <c r="K198" s="114">
        <f t="shared" si="24"/>
        <v>0</v>
      </c>
      <c r="L198" s="113"/>
    </row>
    <row r="199" spans="1:12">
      <c r="A199" s="113">
        <v>136</v>
      </c>
      <c r="B199" s="114">
        <f t="shared" si="17"/>
        <v>0</v>
      </c>
      <c r="C199" s="114">
        <f t="shared" si="18"/>
        <v>0</v>
      </c>
      <c r="D199" s="114">
        <f t="shared" si="19"/>
        <v>0</v>
      </c>
      <c r="E199" s="114">
        <f t="shared" si="20"/>
        <v>0</v>
      </c>
      <c r="F199" s="113"/>
      <c r="G199" s="113">
        <v>136</v>
      </c>
      <c r="H199" s="114">
        <f t="shared" si="21"/>
        <v>0</v>
      </c>
      <c r="I199" s="114">
        <f t="shared" si="22"/>
        <v>0</v>
      </c>
      <c r="J199" s="114">
        <f t="shared" si="23"/>
        <v>0</v>
      </c>
      <c r="K199" s="114">
        <f t="shared" si="24"/>
        <v>0</v>
      </c>
      <c r="L199" s="113"/>
    </row>
    <row r="200" spans="1:12">
      <c r="A200" s="113">
        <v>137</v>
      </c>
      <c r="B200" s="114">
        <f t="shared" si="17"/>
        <v>0</v>
      </c>
      <c r="C200" s="114">
        <f t="shared" si="18"/>
        <v>0</v>
      </c>
      <c r="D200" s="114">
        <f t="shared" si="19"/>
        <v>0</v>
      </c>
      <c r="E200" s="114">
        <f t="shared" si="20"/>
        <v>0</v>
      </c>
      <c r="F200" s="113"/>
      <c r="G200" s="113">
        <v>137</v>
      </c>
      <c r="H200" s="114">
        <f t="shared" si="21"/>
        <v>0</v>
      </c>
      <c r="I200" s="114">
        <f t="shared" si="22"/>
        <v>0</v>
      </c>
      <c r="J200" s="114">
        <f t="shared" si="23"/>
        <v>0</v>
      </c>
      <c r="K200" s="114">
        <f t="shared" si="24"/>
        <v>0</v>
      </c>
      <c r="L200" s="113"/>
    </row>
    <row r="201" spans="1:12">
      <c r="A201" s="113">
        <v>138</v>
      </c>
      <c r="B201" s="114">
        <f t="shared" si="17"/>
        <v>0</v>
      </c>
      <c r="C201" s="114">
        <f t="shared" si="18"/>
        <v>0</v>
      </c>
      <c r="D201" s="114">
        <f t="shared" si="19"/>
        <v>0</v>
      </c>
      <c r="E201" s="114">
        <f t="shared" si="20"/>
        <v>0</v>
      </c>
      <c r="F201" s="113"/>
      <c r="G201" s="113">
        <v>138</v>
      </c>
      <c r="H201" s="114">
        <f t="shared" si="21"/>
        <v>0</v>
      </c>
      <c r="I201" s="114">
        <f t="shared" si="22"/>
        <v>0</v>
      </c>
      <c r="J201" s="114">
        <f t="shared" si="23"/>
        <v>0</v>
      </c>
      <c r="K201" s="114">
        <f t="shared" si="24"/>
        <v>0</v>
      </c>
      <c r="L201" s="113"/>
    </row>
    <row r="202" spans="1:12">
      <c r="A202" s="113">
        <v>139</v>
      </c>
      <c r="B202" s="114">
        <f t="shared" si="17"/>
        <v>0</v>
      </c>
      <c r="C202" s="114">
        <f t="shared" si="18"/>
        <v>0</v>
      </c>
      <c r="D202" s="114">
        <f t="shared" si="19"/>
        <v>0</v>
      </c>
      <c r="E202" s="114">
        <f t="shared" si="20"/>
        <v>0</v>
      </c>
      <c r="F202" s="113"/>
      <c r="G202" s="113">
        <v>139</v>
      </c>
      <c r="H202" s="114">
        <f t="shared" si="21"/>
        <v>0</v>
      </c>
      <c r="I202" s="114">
        <f t="shared" si="22"/>
        <v>0</v>
      </c>
      <c r="J202" s="114">
        <f t="shared" si="23"/>
        <v>0</v>
      </c>
      <c r="K202" s="114">
        <f t="shared" si="24"/>
        <v>0</v>
      </c>
      <c r="L202" s="113"/>
    </row>
    <row r="203" spans="1:12">
      <c r="A203" s="113">
        <v>140</v>
      </c>
      <c r="B203" s="114">
        <f t="shared" si="17"/>
        <v>0</v>
      </c>
      <c r="C203" s="114">
        <f t="shared" si="18"/>
        <v>0</v>
      </c>
      <c r="D203" s="114">
        <f t="shared" si="19"/>
        <v>0</v>
      </c>
      <c r="E203" s="114">
        <f t="shared" si="20"/>
        <v>0</v>
      </c>
      <c r="F203" s="113"/>
      <c r="G203" s="113">
        <v>140</v>
      </c>
      <c r="H203" s="114">
        <f t="shared" si="21"/>
        <v>0</v>
      </c>
      <c r="I203" s="114">
        <f t="shared" si="22"/>
        <v>0</v>
      </c>
      <c r="J203" s="114">
        <f t="shared" si="23"/>
        <v>0</v>
      </c>
      <c r="K203" s="114">
        <f t="shared" si="24"/>
        <v>0</v>
      </c>
      <c r="L203" s="113"/>
    </row>
    <row r="204" spans="1:12">
      <c r="A204" s="113">
        <v>141</v>
      </c>
      <c r="B204" s="114">
        <f t="shared" si="17"/>
        <v>0</v>
      </c>
      <c r="C204" s="114">
        <f t="shared" si="18"/>
        <v>0</v>
      </c>
      <c r="D204" s="114">
        <f t="shared" si="19"/>
        <v>0</v>
      </c>
      <c r="E204" s="114">
        <f t="shared" si="20"/>
        <v>0</v>
      </c>
      <c r="F204" s="113"/>
      <c r="G204" s="113">
        <v>141</v>
      </c>
      <c r="H204" s="114">
        <f t="shared" si="21"/>
        <v>0</v>
      </c>
      <c r="I204" s="114">
        <f t="shared" si="22"/>
        <v>0</v>
      </c>
      <c r="J204" s="114">
        <f t="shared" si="23"/>
        <v>0</v>
      </c>
      <c r="K204" s="114">
        <f t="shared" si="24"/>
        <v>0</v>
      </c>
      <c r="L204" s="113"/>
    </row>
    <row r="205" spans="1:12">
      <c r="A205" s="113">
        <v>142</v>
      </c>
      <c r="B205" s="114">
        <f t="shared" si="17"/>
        <v>0</v>
      </c>
      <c r="C205" s="114">
        <f t="shared" si="18"/>
        <v>0</v>
      </c>
      <c r="D205" s="114">
        <f t="shared" si="19"/>
        <v>0</v>
      </c>
      <c r="E205" s="114">
        <f t="shared" si="20"/>
        <v>0</v>
      </c>
      <c r="F205" s="113"/>
      <c r="G205" s="113">
        <v>142</v>
      </c>
      <c r="H205" s="114">
        <f t="shared" si="21"/>
        <v>0</v>
      </c>
      <c r="I205" s="114">
        <f t="shared" si="22"/>
        <v>0</v>
      </c>
      <c r="J205" s="114">
        <f t="shared" si="23"/>
        <v>0</v>
      </c>
      <c r="K205" s="114">
        <f t="shared" si="24"/>
        <v>0</v>
      </c>
      <c r="L205" s="113"/>
    </row>
    <row r="206" spans="1:12">
      <c r="A206" s="113">
        <v>143</v>
      </c>
      <c r="B206" s="114">
        <f t="shared" si="17"/>
        <v>0</v>
      </c>
      <c r="C206" s="114">
        <f t="shared" si="18"/>
        <v>0</v>
      </c>
      <c r="D206" s="114">
        <f t="shared" si="19"/>
        <v>0</v>
      </c>
      <c r="E206" s="114">
        <f t="shared" si="20"/>
        <v>0</v>
      </c>
      <c r="F206" s="113"/>
      <c r="G206" s="113">
        <v>143</v>
      </c>
      <c r="H206" s="114">
        <f t="shared" si="21"/>
        <v>0</v>
      </c>
      <c r="I206" s="114">
        <f t="shared" si="22"/>
        <v>0</v>
      </c>
      <c r="J206" s="114">
        <f t="shared" si="23"/>
        <v>0</v>
      </c>
      <c r="K206" s="114">
        <f t="shared" si="24"/>
        <v>0</v>
      </c>
      <c r="L206" s="113"/>
    </row>
    <row r="207" spans="1:12">
      <c r="A207" s="113">
        <v>144</v>
      </c>
      <c r="B207" s="114">
        <f t="shared" si="17"/>
        <v>0</v>
      </c>
      <c r="C207" s="114">
        <f t="shared" si="18"/>
        <v>0</v>
      </c>
      <c r="D207" s="114">
        <f t="shared" si="19"/>
        <v>0</v>
      </c>
      <c r="E207" s="114">
        <f t="shared" si="20"/>
        <v>0</v>
      </c>
      <c r="F207" s="113">
        <v>12</v>
      </c>
      <c r="G207" s="113">
        <v>144</v>
      </c>
      <c r="H207" s="114">
        <f t="shared" si="21"/>
        <v>0</v>
      </c>
      <c r="I207" s="114">
        <f t="shared" si="22"/>
        <v>0</v>
      </c>
      <c r="J207" s="114">
        <f t="shared" si="23"/>
        <v>0</v>
      </c>
      <c r="K207" s="114">
        <f t="shared" si="24"/>
        <v>0</v>
      </c>
      <c r="L207" s="113">
        <v>12</v>
      </c>
    </row>
    <row r="208" spans="1:12">
      <c r="A208" s="113">
        <v>145</v>
      </c>
      <c r="B208" s="114">
        <f t="shared" si="17"/>
        <v>0</v>
      </c>
      <c r="C208" s="114">
        <f t="shared" si="18"/>
        <v>0</v>
      </c>
      <c r="D208" s="114">
        <f t="shared" si="19"/>
        <v>0</v>
      </c>
      <c r="E208" s="114">
        <f t="shared" si="20"/>
        <v>0</v>
      </c>
      <c r="F208" s="113"/>
      <c r="G208" s="113">
        <v>145</v>
      </c>
      <c r="H208" s="114">
        <f t="shared" si="21"/>
        <v>0</v>
      </c>
      <c r="I208" s="114">
        <f t="shared" si="22"/>
        <v>0</v>
      </c>
      <c r="J208" s="114">
        <f t="shared" si="23"/>
        <v>0</v>
      </c>
      <c r="K208" s="114">
        <f t="shared" si="24"/>
        <v>0</v>
      </c>
      <c r="L208" s="113"/>
    </row>
    <row r="209" spans="1:12">
      <c r="A209" s="113">
        <v>146</v>
      </c>
      <c r="B209" s="114">
        <f t="shared" si="17"/>
        <v>0</v>
      </c>
      <c r="C209" s="114">
        <f t="shared" si="18"/>
        <v>0</v>
      </c>
      <c r="D209" s="114">
        <f t="shared" si="19"/>
        <v>0</v>
      </c>
      <c r="E209" s="114">
        <f t="shared" si="20"/>
        <v>0</v>
      </c>
      <c r="F209" s="113"/>
      <c r="G209" s="113">
        <v>146</v>
      </c>
      <c r="H209" s="114">
        <f t="shared" si="21"/>
        <v>0</v>
      </c>
      <c r="I209" s="114">
        <f t="shared" si="22"/>
        <v>0</v>
      </c>
      <c r="J209" s="114">
        <f t="shared" si="23"/>
        <v>0</v>
      </c>
      <c r="K209" s="114">
        <f t="shared" si="24"/>
        <v>0</v>
      </c>
      <c r="L209" s="113"/>
    </row>
    <row r="210" spans="1:12">
      <c r="A210" s="113">
        <v>147</v>
      </c>
      <c r="B210" s="114">
        <f t="shared" si="17"/>
        <v>0</v>
      </c>
      <c r="C210" s="114">
        <f t="shared" si="18"/>
        <v>0</v>
      </c>
      <c r="D210" s="114">
        <f t="shared" si="19"/>
        <v>0</v>
      </c>
      <c r="E210" s="114">
        <f t="shared" si="20"/>
        <v>0</v>
      </c>
      <c r="F210" s="113"/>
      <c r="G210" s="113">
        <v>147</v>
      </c>
      <c r="H210" s="114">
        <f t="shared" si="21"/>
        <v>0</v>
      </c>
      <c r="I210" s="114">
        <f t="shared" si="22"/>
        <v>0</v>
      </c>
      <c r="J210" s="114">
        <f t="shared" si="23"/>
        <v>0</v>
      </c>
      <c r="K210" s="114">
        <f t="shared" si="24"/>
        <v>0</v>
      </c>
      <c r="L210" s="113"/>
    </row>
    <row r="211" spans="1:12">
      <c r="A211" s="113">
        <v>148</v>
      </c>
      <c r="B211" s="114">
        <f t="shared" si="17"/>
        <v>0</v>
      </c>
      <c r="C211" s="114">
        <f t="shared" si="18"/>
        <v>0</v>
      </c>
      <c r="D211" s="114">
        <f t="shared" si="19"/>
        <v>0</v>
      </c>
      <c r="E211" s="114">
        <f t="shared" si="20"/>
        <v>0</v>
      </c>
      <c r="F211" s="113"/>
      <c r="G211" s="113">
        <v>148</v>
      </c>
      <c r="H211" s="114">
        <f t="shared" si="21"/>
        <v>0</v>
      </c>
      <c r="I211" s="114">
        <f t="shared" si="22"/>
        <v>0</v>
      </c>
      <c r="J211" s="114">
        <f t="shared" si="23"/>
        <v>0</v>
      </c>
      <c r="K211" s="114">
        <f t="shared" si="24"/>
        <v>0</v>
      </c>
      <c r="L211" s="113"/>
    </row>
    <row r="212" spans="1:12">
      <c r="A212" s="113">
        <v>149</v>
      </c>
      <c r="B212" s="114">
        <f t="shared" si="17"/>
        <v>0</v>
      </c>
      <c r="C212" s="114">
        <f t="shared" si="18"/>
        <v>0</v>
      </c>
      <c r="D212" s="114">
        <f t="shared" si="19"/>
        <v>0</v>
      </c>
      <c r="E212" s="114">
        <f t="shared" si="20"/>
        <v>0</v>
      </c>
      <c r="F212" s="113"/>
      <c r="G212" s="113">
        <v>149</v>
      </c>
      <c r="H212" s="114">
        <f t="shared" si="21"/>
        <v>0</v>
      </c>
      <c r="I212" s="114">
        <f t="shared" si="22"/>
        <v>0</v>
      </c>
      <c r="J212" s="114">
        <f t="shared" si="23"/>
        <v>0</v>
      </c>
      <c r="K212" s="114">
        <f t="shared" si="24"/>
        <v>0</v>
      </c>
      <c r="L212" s="113"/>
    </row>
    <row r="213" spans="1:12">
      <c r="A213" s="113">
        <v>150</v>
      </c>
      <c r="B213" s="114">
        <f t="shared" si="17"/>
        <v>0</v>
      </c>
      <c r="C213" s="114">
        <f t="shared" si="18"/>
        <v>0</v>
      </c>
      <c r="D213" s="114">
        <f t="shared" si="19"/>
        <v>0</v>
      </c>
      <c r="E213" s="114">
        <f t="shared" si="20"/>
        <v>0</v>
      </c>
      <c r="F213" s="113"/>
      <c r="G213" s="113">
        <v>150</v>
      </c>
      <c r="H213" s="114">
        <f t="shared" si="21"/>
        <v>0</v>
      </c>
      <c r="I213" s="114">
        <f t="shared" si="22"/>
        <v>0</v>
      </c>
      <c r="J213" s="114">
        <f t="shared" si="23"/>
        <v>0</v>
      </c>
      <c r="K213" s="114">
        <f t="shared" si="24"/>
        <v>0</v>
      </c>
      <c r="L213" s="113"/>
    </row>
    <row r="214" spans="1:12">
      <c r="A214" s="113">
        <v>151</v>
      </c>
      <c r="B214" s="114">
        <f t="shared" si="17"/>
        <v>0</v>
      </c>
      <c r="C214" s="114">
        <f t="shared" si="18"/>
        <v>0</v>
      </c>
      <c r="D214" s="114">
        <f t="shared" si="19"/>
        <v>0</v>
      </c>
      <c r="E214" s="114">
        <f t="shared" si="20"/>
        <v>0</v>
      </c>
      <c r="F214" s="113"/>
      <c r="G214" s="113">
        <v>151</v>
      </c>
      <c r="H214" s="114">
        <f t="shared" si="21"/>
        <v>0</v>
      </c>
      <c r="I214" s="114">
        <f t="shared" si="22"/>
        <v>0</v>
      </c>
      <c r="J214" s="114">
        <f t="shared" si="23"/>
        <v>0</v>
      </c>
      <c r="K214" s="114">
        <f t="shared" si="24"/>
        <v>0</v>
      </c>
      <c r="L214" s="113"/>
    </row>
    <row r="215" spans="1:12">
      <c r="A215" s="113">
        <v>152</v>
      </c>
      <c r="B215" s="114">
        <f t="shared" si="17"/>
        <v>0</v>
      </c>
      <c r="C215" s="114">
        <f t="shared" si="18"/>
        <v>0</v>
      </c>
      <c r="D215" s="114">
        <f t="shared" si="19"/>
        <v>0</v>
      </c>
      <c r="E215" s="114">
        <f t="shared" si="20"/>
        <v>0</v>
      </c>
      <c r="F215" s="113"/>
      <c r="G215" s="113">
        <v>152</v>
      </c>
      <c r="H215" s="114">
        <f t="shared" si="21"/>
        <v>0</v>
      </c>
      <c r="I215" s="114">
        <f t="shared" si="22"/>
        <v>0</v>
      </c>
      <c r="J215" s="114">
        <f t="shared" si="23"/>
        <v>0</v>
      </c>
      <c r="K215" s="114">
        <f t="shared" si="24"/>
        <v>0</v>
      </c>
      <c r="L215" s="113"/>
    </row>
    <row r="216" spans="1:12">
      <c r="A216" s="113">
        <v>153</v>
      </c>
      <c r="B216" s="114">
        <f t="shared" si="17"/>
        <v>0</v>
      </c>
      <c r="C216" s="114">
        <f t="shared" si="18"/>
        <v>0</v>
      </c>
      <c r="D216" s="114">
        <f t="shared" si="19"/>
        <v>0</v>
      </c>
      <c r="E216" s="114">
        <f t="shared" si="20"/>
        <v>0</v>
      </c>
      <c r="F216" s="113"/>
      <c r="G216" s="113">
        <v>153</v>
      </c>
      <c r="H216" s="114">
        <f t="shared" si="21"/>
        <v>0</v>
      </c>
      <c r="I216" s="114">
        <f t="shared" si="22"/>
        <v>0</v>
      </c>
      <c r="J216" s="114">
        <f t="shared" si="23"/>
        <v>0</v>
      </c>
      <c r="K216" s="114">
        <f t="shared" si="24"/>
        <v>0</v>
      </c>
      <c r="L216" s="113"/>
    </row>
    <row r="217" spans="1:12">
      <c r="A217" s="113">
        <v>154</v>
      </c>
      <c r="B217" s="114">
        <f t="shared" si="17"/>
        <v>0</v>
      </c>
      <c r="C217" s="114">
        <f t="shared" si="18"/>
        <v>0</v>
      </c>
      <c r="D217" s="114">
        <f t="shared" si="19"/>
        <v>0</v>
      </c>
      <c r="E217" s="114">
        <f t="shared" si="20"/>
        <v>0</v>
      </c>
      <c r="F217" s="113"/>
      <c r="G217" s="113">
        <v>154</v>
      </c>
      <c r="H217" s="114">
        <f t="shared" si="21"/>
        <v>0</v>
      </c>
      <c r="I217" s="114">
        <f t="shared" si="22"/>
        <v>0</v>
      </c>
      <c r="J217" s="114">
        <f t="shared" si="23"/>
        <v>0</v>
      </c>
      <c r="K217" s="114">
        <f t="shared" si="24"/>
        <v>0</v>
      </c>
      <c r="L217" s="113"/>
    </row>
    <row r="218" spans="1:12">
      <c r="A218" s="113">
        <v>155</v>
      </c>
      <c r="B218" s="114">
        <f t="shared" si="17"/>
        <v>0</v>
      </c>
      <c r="C218" s="114">
        <f t="shared" si="18"/>
        <v>0</v>
      </c>
      <c r="D218" s="114">
        <f t="shared" si="19"/>
        <v>0</v>
      </c>
      <c r="E218" s="114">
        <f t="shared" si="20"/>
        <v>0</v>
      </c>
      <c r="F218" s="113"/>
      <c r="G218" s="113">
        <v>155</v>
      </c>
      <c r="H218" s="114">
        <f t="shared" si="21"/>
        <v>0</v>
      </c>
      <c r="I218" s="114">
        <f t="shared" si="22"/>
        <v>0</v>
      </c>
      <c r="J218" s="114">
        <f t="shared" si="23"/>
        <v>0</v>
      </c>
      <c r="K218" s="114">
        <f t="shared" si="24"/>
        <v>0</v>
      </c>
      <c r="L218" s="113"/>
    </row>
    <row r="219" spans="1:12">
      <c r="A219" s="113">
        <v>156</v>
      </c>
      <c r="B219" s="114">
        <f t="shared" si="17"/>
        <v>0</v>
      </c>
      <c r="C219" s="114">
        <f t="shared" si="18"/>
        <v>0</v>
      </c>
      <c r="D219" s="114">
        <f t="shared" si="19"/>
        <v>0</v>
      </c>
      <c r="E219" s="114">
        <f t="shared" si="20"/>
        <v>0</v>
      </c>
      <c r="F219" s="113">
        <v>13</v>
      </c>
      <c r="G219" s="113">
        <v>156</v>
      </c>
      <c r="H219" s="114">
        <f t="shared" si="21"/>
        <v>0</v>
      </c>
      <c r="I219" s="114">
        <f t="shared" si="22"/>
        <v>0</v>
      </c>
      <c r="J219" s="114">
        <f t="shared" si="23"/>
        <v>0</v>
      </c>
      <c r="K219" s="114">
        <f t="shared" si="24"/>
        <v>0</v>
      </c>
      <c r="L219" s="113">
        <v>13</v>
      </c>
    </row>
    <row r="220" spans="1:12">
      <c r="A220" s="113">
        <v>157</v>
      </c>
      <c r="B220" s="114">
        <f t="shared" si="17"/>
        <v>0</v>
      </c>
      <c r="C220" s="114">
        <f t="shared" si="18"/>
        <v>0</v>
      </c>
      <c r="D220" s="114">
        <f t="shared" si="19"/>
        <v>0</v>
      </c>
      <c r="E220" s="114">
        <f t="shared" si="20"/>
        <v>0</v>
      </c>
      <c r="F220" s="113"/>
      <c r="G220" s="113">
        <v>157</v>
      </c>
      <c r="H220" s="114">
        <f t="shared" si="21"/>
        <v>0</v>
      </c>
      <c r="I220" s="114">
        <f t="shared" si="22"/>
        <v>0</v>
      </c>
      <c r="J220" s="114">
        <f t="shared" si="23"/>
        <v>0</v>
      </c>
      <c r="K220" s="114">
        <f t="shared" si="24"/>
        <v>0</v>
      </c>
      <c r="L220" s="113"/>
    </row>
    <row r="221" spans="1:12">
      <c r="A221" s="113">
        <v>158</v>
      </c>
      <c r="B221" s="114">
        <f t="shared" si="17"/>
        <v>0</v>
      </c>
      <c r="C221" s="114">
        <f t="shared" si="18"/>
        <v>0</v>
      </c>
      <c r="D221" s="114">
        <f t="shared" si="19"/>
        <v>0</v>
      </c>
      <c r="E221" s="114">
        <f t="shared" si="20"/>
        <v>0</v>
      </c>
      <c r="F221" s="113"/>
      <c r="G221" s="113">
        <v>158</v>
      </c>
      <c r="H221" s="114">
        <f t="shared" si="21"/>
        <v>0</v>
      </c>
      <c r="I221" s="114">
        <f t="shared" si="22"/>
        <v>0</v>
      </c>
      <c r="J221" s="114">
        <f t="shared" si="23"/>
        <v>0</v>
      </c>
      <c r="K221" s="114">
        <f t="shared" si="24"/>
        <v>0</v>
      </c>
      <c r="L221" s="113"/>
    </row>
    <row r="222" spans="1:12">
      <c r="A222" s="113">
        <v>159</v>
      </c>
      <c r="B222" s="114">
        <f t="shared" si="17"/>
        <v>0</v>
      </c>
      <c r="C222" s="114">
        <f t="shared" si="18"/>
        <v>0</v>
      </c>
      <c r="D222" s="114">
        <f t="shared" si="19"/>
        <v>0</v>
      </c>
      <c r="E222" s="114">
        <f t="shared" si="20"/>
        <v>0</v>
      </c>
      <c r="F222" s="113"/>
      <c r="G222" s="113">
        <v>159</v>
      </c>
      <c r="H222" s="114">
        <f t="shared" si="21"/>
        <v>0</v>
      </c>
      <c r="I222" s="114">
        <f t="shared" si="22"/>
        <v>0</v>
      </c>
      <c r="J222" s="114">
        <f t="shared" si="23"/>
        <v>0</v>
      </c>
      <c r="K222" s="114">
        <f t="shared" si="24"/>
        <v>0</v>
      </c>
      <c r="L222" s="113"/>
    </row>
    <row r="223" spans="1:12">
      <c r="A223" s="113">
        <v>160</v>
      </c>
      <c r="B223" s="114">
        <f t="shared" si="17"/>
        <v>0</v>
      </c>
      <c r="C223" s="114">
        <f t="shared" si="18"/>
        <v>0</v>
      </c>
      <c r="D223" s="114">
        <f t="shared" si="19"/>
        <v>0</v>
      </c>
      <c r="E223" s="114">
        <f t="shared" si="20"/>
        <v>0</v>
      </c>
      <c r="F223" s="113"/>
      <c r="G223" s="113">
        <v>160</v>
      </c>
      <c r="H223" s="114">
        <f t="shared" si="21"/>
        <v>0</v>
      </c>
      <c r="I223" s="114">
        <f t="shared" si="22"/>
        <v>0</v>
      </c>
      <c r="J223" s="114">
        <f t="shared" si="23"/>
        <v>0</v>
      </c>
      <c r="K223" s="114">
        <f t="shared" si="24"/>
        <v>0</v>
      </c>
      <c r="L223" s="113"/>
    </row>
    <row r="224" spans="1:12">
      <c r="A224" s="113">
        <v>161</v>
      </c>
      <c r="B224" s="114">
        <f t="shared" si="17"/>
        <v>0</v>
      </c>
      <c r="C224" s="114">
        <f t="shared" si="18"/>
        <v>0</v>
      </c>
      <c r="D224" s="114">
        <f t="shared" si="19"/>
        <v>0</v>
      </c>
      <c r="E224" s="114">
        <f t="shared" si="20"/>
        <v>0</v>
      </c>
      <c r="F224" s="113"/>
      <c r="G224" s="113">
        <v>161</v>
      </c>
      <c r="H224" s="114">
        <f t="shared" si="21"/>
        <v>0</v>
      </c>
      <c r="I224" s="114">
        <f t="shared" si="22"/>
        <v>0</v>
      </c>
      <c r="J224" s="114">
        <f t="shared" si="23"/>
        <v>0</v>
      </c>
      <c r="K224" s="114">
        <f t="shared" si="24"/>
        <v>0</v>
      </c>
      <c r="L224" s="113"/>
    </row>
    <row r="225" spans="1:12">
      <c r="A225" s="113">
        <v>162</v>
      </c>
      <c r="B225" s="114">
        <f t="shared" si="17"/>
        <v>0</v>
      </c>
      <c r="C225" s="114">
        <f t="shared" si="18"/>
        <v>0</v>
      </c>
      <c r="D225" s="114">
        <f t="shared" si="19"/>
        <v>0</v>
      </c>
      <c r="E225" s="114">
        <f t="shared" si="20"/>
        <v>0</v>
      </c>
      <c r="F225" s="113"/>
      <c r="G225" s="113">
        <v>162</v>
      </c>
      <c r="H225" s="114">
        <f t="shared" si="21"/>
        <v>0</v>
      </c>
      <c r="I225" s="114">
        <f t="shared" si="22"/>
        <v>0</v>
      </c>
      <c r="J225" s="114">
        <f t="shared" si="23"/>
        <v>0</v>
      </c>
      <c r="K225" s="114">
        <f t="shared" si="24"/>
        <v>0</v>
      </c>
      <c r="L225" s="113"/>
    </row>
    <row r="226" spans="1:12">
      <c r="A226" s="113">
        <v>163</v>
      </c>
      <c r="B226" s="114">
        <f t="shared" si="17"/>
        <v>0</v>
      </c>
      <c r="C226" s="114">
        <f t="shared" si="18"/>
        <v>0</v>
      </c>
      <c r="D226" s="114">
        <f t="shared" si="19"/>
        <v>0</v>
      </c>
      <c r="E226" s="114">
        <f t="shared" si="20"/>
        <v>0</v>
      </c>
      <c r="F226" s="113"/>
      <c r="G226" s="113">
        <v>163</v>
      </c>
      <c r="H226" s="114">
        <f t="shared" si="21"/>
        <v>0</v>
      </c>
      <c r="I226" s="114">
        <f t="shared" si="22"/>
        <v>0</v>
      </c>
      <c r="J226" s="114">
        <f t="shared" si="23"/>
        <v>0</v>
      </c>
      <c r="K226" s="114">
        <f t="shared" si="24"/>
        <v>0</v>
      </c>
      <c r="L226" s="113"/>
    </row>
    <row r="227" spans="1:12">
      <c r="A227" s="113">
        <v>164</v>
      </c>
      <c r="B227" s="114">
        <f t="shared" si="17"/>
        <v>0</v>
      </c>
      <c r="C227" s="114">
        <f t="shared" si="18"/>
        <v>0</v>
      </c>
      <c r="D227" s="114">
        <f t="shared" si="19"/>
        <v>0</v>
      </c>
      <c r="E227" s="114">
        <f t="shared" si="20"/>
        <v>0</v>
      </c>
      <c r="F227" s="113"/>
      <c r="G227" s="113">
        <v>164</v>
      </c>
      <c r="H227" s="114">
        <f t="shared" si="21"/>
        <v>0</v>
      </c>
      <c r="I227" s="114">
        <f t="shared" si="22"/>
        <v>0</v>
      </c>
      <c r="J227" s="114">
        <f t="shared" si="23"/>
        <v>0</v>
      </c>
      <c r="K227" s="114">
        <f t="shared" si="24"/>
        <v>0</v>
      </c>
      <c r="L227" s="113"/>
    </row>
    <row r="228" spans="1:12">
      <c r="A228" s="113">
        <v>165</v>
      </c>
      <c r="B228" s="114">
        <f t="shared" si="17"/>
        <v>0</v>
      </c>
      <c r="C228" s="114">
        <f t="shared" si="18"/>
        <v>0</v>
      </c>
      <c r="D228" s="114">
        <f t="shared" si="19"/>
        <v>0</v>
      </c>
      <c r="E228" s="114">
        <f t="shared" si="20"/>
        <v>0</v>
      </c>
      <c r="F228" s="113"/>
      <c r="G228" s="113">
        <v>165</v>
      </c>
      <c r="H228" s="114">
        <f t="shared" si="21"/>
        <v>0</v>
      </c>
      <c r="I228" s="114">
        <f t="shared" si="22"/>
        <v>0</v>
      </c>
      <c r="J228" s="114">
        <f t="shared" si="23"/>
        <v>0</v>
      </c>
      <c r="K228" s="114">
        <f t="shared" si="24"/>
        <v>0</v>
      </c>
      <c r="L228" s="113"/>
    </row>
    <row r="229" spans="1:12">
      <c r="A229" s="113">
        <v>166</v>
      </c>
      <c r="B229" s="114">
        <f t="shared" si="17"/>
        <v>0</v>
      </c>
      <c r="C229" s="114">
        <f t="shared" si="18"/>
        <v>0</v>
      </c>
      <c r="D229" s="114">
        <f t="shared" si="19"/>
        <v>0</v>
      </c>
      <c r="E229" s="114">
        <f t="shared" si="20"/>
        <v>0</v>
      </c>
      <c r="F229" s="113"/>
      <c r="G229" s="113">
        <v>166</v>
      </c>
      <c r="H229" s="114">
        <f t="shared" si="21"/>
        <v>0</v>
      </c>
      <c r="I229" s="114">
        <f t="shared" si="22"/>
        <v>0</v>
      </c>
      <c r="J229" s="114">
        <f t="shared" si="23"/>
        <v>0</v>
      </c>
      <c r="K229" s="114">
        <f t="shared" si="24"/>
        <v>0</v>
      </c>
      <c r="L229" s="113"/>
    </row>
    <row r="230" spans="1:12">
      <c r="A230" s="113">
        <v>167</v>
      </c>
      <c r="B230" s="114">
        <f t="shared" si="17"/>
        <v>0</v>
      </c>
      <c r="C230" s="114">
        <f t="shared" si="18"/>
        <v>0</v>
      </c>
      <c r="D230" s="114">
        <f t="shared" si="19"/>
        <v>0</v>
      </c>
      <c r="E230" s="114">
        <f t="shared" si="20"/>
        <v>0</v>
      </c>
      <c r="F230" s="113"/>
      <c r="G230" s="113">
        <v>167</v>
      </c>
      <c r="H230" s="114">
        <f t="shared" si="21"/>
        <v>0</v>
      </c>
      <c r="I230" s="114">
        <f t="shared" si="22"/>
        <v>0</v>
      </c>
      <c r="J230" s="114">
        <f t="shared" si="23"/>
        <v>0</v>
      </c>
      <c r="K230" s="114">
        <f t="shared" si="24"/>
        <v>0</v>
      </c>
      <c r="L230" s="113"/>
    </row>
    <row r="231" spans="1:12">
      <c r="A231" s="113">
        <v>168</v>
      </c>
      <c r="B231" s="114">
        <f t="shared" si="17"/>
        <v>0</v>
      </c>
      <c r="C231" s="114">
        <f t="shared" si="18"/>
        <v>0</v>
      </c>
      <c r="D231" s="114">
        <f t="shared" si="19"/>
        <v>0</v>
      </c>
      <c r="E231" s="114">
        <f t="shared" si="20"/>
        <v>0</v>
      </c>
      <c r="F231" s="113">
        <v>14</v>
      </c>
      <c r="G231" s="113">
        <v>168</v>
      </c>
      <c r="H231" s="114">
        <f t="shared" si="21"/>
        <v>0</v>
      </c>
      <c r="I231" s="114">
        <f t="shared" si="22"/>
        <v>0</v>
      </c>
      <c r="J231" s="114">
        <f t="shared" si="23"/>
        <v>0</v>
      </c>
      <c r="K231" s="114">
        <f t="shared" si="24"/>
        <v>0</v>
      </c>
      <c r="L231" s="113">
        <v>14</v>
      </c>
    </row>
    <row r="232" spans="1:12">
      <c r="A232" s="113">
        <v>169</v>
      </c>
      <c r="B232" s="114">
        <f t="shared" si="17"/>
        <v>0</v>
      </c>
      <c r="C232" s="114">
        <f t="shared" si="18"/>
        <v>0</v>
      </c>
      <c r="D232" s="114">
        <f t="shared" si="19"/>
        <v>0</v>
      </c>
      <c r="E232" s="114">
        <f t="shared" si="20"/>
        <v>0</v>
      </c>
      <c r="F232" s="113"/>
      <c r="G232" s="113">
        <v>169</v>
      </c>
      <c r="H232" s="114">
        <f t="shared" si="21"/>
        <v>0</v>
      </c>
      <c r="I232" s="114">
        <f t="shared" si="22"/>
        <v>0</v>
      </c>
      <c r="J232" s="114">
        <f t="shared" si="23"/>
        <v>0</v>
      </c>
      <c r="K232" s="114">
        <f t="shared" si="24"/>
        <v>0</v>
      </c>
      <c r="L232" s="113"/>
    </row>
    <row r="233" spans="1:12">
      <c r="A233" s="113">
        <v>170</v>
      </c>
      <c r="B233" s="114">
        <f t="shared" si="17"/>
        <v>0</v>
      </c>
      <c r="C233" s="114">
        <f t="shared" si="18"/>
        <v>0</v>
      </c>
      <c r="D233" s="114">
        <f t="shared" si="19"/>
        <v>0</v>
      </c>
      <c r="E233" s="114">
        <f t="shared" si="20"/>
        <v>0</v>
      </c>
      <c r="F233" s="113"/>
      <c r="G233" s="113">
        <v>170</v>
      </c>
      <c r="H233" s="114">
        <f t="shared" si="21"/>
        <v>0</v>
      </c>
      <c r="I233" s="114">
        <f t="shared" si="22"/>
        <v>0</v>
      </c>
      <c r="J233" s="114">
        <f t="shared" si="23"/>
        <v>0</v>
      </c>
      <c r="K233" s="114">
        <f t="shared" si="24"/>
        <v>0</v>
      </c>
      <c r="L233" s="113"/>
    </row>
    <row r="234" spans="1:12">
      <c r="A234" s="113">
        <v>171</v>
      </c>
      <c r="B234" s="114">
        <f t="shared" si="17"/>
        <v>0</v>
      </c>
      <c r="C234" s="114">
        <f t="shared" si="18"/>
        <v>0</v>
      </c>
      <c r="D234" s="114">
        <f t="shared" si="19"/>
        <v>0</v>
      </c>
      <c r="E234" s="114">
        <f t="shared" si="20"/>
        <v>0</v>
      </c>
      <c r="F234" s="113"/>
      <c r="G234" s="113">
        <v>171</v>
      </c>
      <c r="H234" s="114">
        <f t="shared" si="21"/>
        <v>0</v>
      </c>
      <c r="I234" s="114">
        <f t="shared" si="22"/>
        <v>0</v>
      </c>
      <c r="J234" s="114">
        <f t="shared" si="23"/>
        <v>0</v>
      </c>
      <c r="K234" s="114">
        <f t="shared" si="24"/>
        <v>0</v>
      </c>
      <c r="L234" s="113"/>
    </row>
    <row r="235" spans="1:12">
      <c r="A235" s="113">
        <v>172</v>
      </c>
      <c r="B235" s="114">
        <f t="shared" si="17"/>
        <v>0</v>
      </c>
      <c r="C235" s="114">
        <f t="shared" si="18"/>
        <v>0</v>
      </c>
      <c r="D235" s="114">
        <f t="shared" si="19"/>
        <v>0</v>
      </c>
      <c r="E235" s="114">
        <f t="shared" si="20"/>
        <v>0</v>
      </c>
      <c r="F235" s="113"/>
      <c r="G235" s="113">
        <v>172</v>
      </c>
      <c r="H235" s="114">
        <f t="shared" si="21"/>
        <v>0</v>
      </c>
      <c r="I235" s="114">
        <f t="shared" si="22"/>
        <v>0</v>
      </c>
      <c r="J235" s="114">
        <f t="shared" si="23"/>
        <v>0</v>
      </c>
      <c r="K235" s="114">
        <f t="shared" si="24"/>
        <v>0</v>
      </c>
      <c r="L235" s="113"/>
    </row>
    <row r="236" spans="1:12">
      <c r="A236" s="113">
        <v>173</v>
      </c>
      <c r="B236" s="114">
        <f t="shared" si="17"/>
        <v>0</v>
      </c>
      <c r="C236" s="114">
        <f t="shared" si="18"/>
        <v>0</v>
      </c>
      <c r="D236" s="114">
        <f t="shared" si="19"/>
        <v>0</v>
      </c>
      <c r="E236" s="114">
        <f t="shared" si="20"/>
        <v>0</v>
      </c>
      <c r="F236" s="113"/>
      <c r="G236" s="113">
        <v>173</v>
      </c>
      <c r="H236" s="114">
        <f t="shared" si="21"/>
        <v>0</v>
      </c>
      <c r="I236" s="114">
        <f t="shared" si="22"/>
        <v>0</v>
      </c>
      <c r="J236" s="114">
        <f t="shared" si="23"/>
        <v>0</v>
      </c>
      <c r="K236" s="114">
        <f t="shared" si="24"/>
        <v>0</v>
      </c>
      <c r="L236" s="113"/>
    </row>
    <row r="237" spans="1:12">
      <c r="A237" s="113">
        <v>174</v>
      </c>
      <c r="B237" s="114">
        <f t="shared" si="17"/>
        <v>0</v>
      </c>
      <c r="C237" s="114">
        <f t="shared" si="18"/>
        <v>0</v>
      </c>
      <c r="D237" s="114">
        <f t="shared" si="19"/>
        <v>0</v>
      </c>
      <c r="E237" s="114">
        <f t="shared" si="20"/>
        <v>0</v>
      </c>
      <c r="F237" s="113"/>
      <c r="G237" s="113">
        <v>174</v>
      </c>
      <c r="H237" s="114">
        <f t="shared" si="21"/>
        <v>0</v>
      </c>
      <c r="I237" s="114">
        <f t="shared" si="22"/>
        <v>0</v>
      </c>
      <c r="J237" s="114">
        <f t="shared" si="23"/>
        <v>0</v>
      </c>
      <c r="K237" s="114">
        <f t="shared" si="24"/>
        <v>0</v>
      </c>
      <c r="L237" s="113"/>
    </row>
    <row r="238" spans="1:12">
      <c r="A238" s="113">
        <v>175</v>
      </c>
      <c r="B238" s="114">
        <f t="shared" si="17"/>
        <v>0</v>
      </c>
      <c r="C238" s="114">
        <f t="shared" si="18"/>
        <v>0</v>
      </c>
      <c r="D238" s="114">
        <f t="shared" si="19"/>
        <v>0</v>
      </c>
      <c r="E238" s="114">
        <f t="shared" si="20"/>
        <v>0</v>
      </c>
      <c r="F238" s="113"/>
      <c r="G238" s="113">
        <v>175</v>
      </c>
      <c r="H238" s="114">
        <f t="shared" si="21"/>
        <v>0</v>
      </c>
      <c r="I238" s="114">
        <f t="shared" si="22"/>
        <v>0</v>
      </c>
      <c r="J238" s="114">
        <f t="shared" si="23"/>
        <v>0</v>
      </c>
      <c r="K238" s="114">
        <f t="shared" si="24"/>
        <v>0</v>
      </c>
      <c r="L238" s="113"/>
    </row>
    <row r="239" spans="1:12">
      <c r="A239" s="113">
        <v>176</v>
      </c>
      <c r="B239" s="114">
        <f t="shared" si="17"/>
        <v>0</v>
      </c>
      <c r="C239" s="114">
        <f t="shared" si="18"/>
        <v>0</v>
      </c>
      <c r="D239" s="114">
        <f t="shared" si="19"/>
        <v>0</v>
      </c>
      <c r="E239" s="114">
        <f t="shared" si="20"/>
        <v>0</v>
      </c>
      <c r="F239" s="113"/>
      <c r="G239" s="113">
        <v>176</v>
      </c>
      <c r="H239" s="114">
        <f t="shared" si="21"/>
        <v>0</v>
      </c>
      <c r="I239" s="114">
        <f t="shared" si="22"/>
        <v>0</v>
      </c>
      <c r="J239" s="114">
        <f t="shared" si="23"/>
        <v>0</v>
      </c>
      <c r="K239" s="114">
        <f t="shared" si="24"/>
        <v>0</v>
      </c>
      <c r="L239" s="113"/>
    </row>
    <row r="240" spans="1:12">
      <c r="A240" s="113">
        <v>177</v>
      </c>
      <c r="B240" s="114">
        <f t="shared" si="17"/>
        <v>0</v>
      </c>
      <c r="C240" s="114">
        <f t="shared" si="18"/>
        <v>0</v>
      </c>
      <c r="D240" s="114">
        <f t="shared" si="19"/>
        <v>0</v>
      </c>
      <c r="E240" s="114">
        <f t="shared" si="20"/>
        <v>0</v>
      </c>
      <c r="F240" s="113"/>
      <c r="G240" s="113">
        <v>177</v>
      </c>
      <c r="H240" s="114">
        <f t="shared" si="21"/>
        <v>0</v>
      </c>
      <c r="I240" s="114">
        <f t="shared" si="22"/>
        <v>0</v>
      </c>
      <c r="J240" s="114">
        <f t="shared" si="23"/>
        <v>0</v>
      </c>
      <c r="K240" s="114">
        <f t="shared" si="24"/>
        <v>0</v>
      </c>
      <c r="L240" s="113"/>
    </row>
    <row r="241" spans="1:12">
      <c r="A241" s="113">
        <v>178</v>
      </c>
      <c r="B241" s="114">
        <f t="shared" si="17"/>
        <v>0</v>
      </c>
      <c r="C241" s="114">
        <f t="shared" si="18"/>
        <v>0</v>
      </c>
      <c r="D241" s="114">
        <f t="shared" si="19"/>
        <v>0</v>
      </c>
      <c r="E241" s="114">
        <f t="shared" si="20"/>
        <v>0</v>
      </c>
      <c r="F241" s="113"/>
      <c r="G241" s="113">
        <v>178</v>
      </c>
      <c r="H241" s="114">
        <f t="shared" si="21"/>
        <v>0</v>
      </c>
      <c r="I241" s="114">
        <f t="shared" si="22"/>
        <v>0</v>
      </c>
      <c r="J241" s="114">
        <f t="shared" si="23"/>
        <v>0</v>
      </c>
      <c r="K241" s="114">
        <f t="shared" si="24"/>
        <v>0</v>
      </c>
      <c r="L241" s="113"/>
    </row>
    <row r="242" spans="1:12">
      <c r="A242" s="113">
        <v>179</v>
      </c>
      <c r="B242" s="114">
        <f t="shared" si="17"/>
        <v>0</v>
      </c>
      <c r="C242" s="114">
        <f t="shared" si="18"/>
        <v>0</v>
      </c>
      <c r="D242" s="114">
        <f t="shared" si="19"/>
        <v>0</v>
      </c>
      <c r="E242" s="114">
        <f t="shared" si="20"/>
        <v>0</v>
      </c>
      <c r="F242" s="113"/>
      <c r="G242" s="113">
        <v>179</v>
      </c>
      <c r="H242" s="114">
        <f t="shared" si="21"/>
        <v>0</v>
      </c>
      <c r="I242" s="114">
        <f t="shared" si="22"/>
        <v>0</v>
      </c>
      <c r="J242" s="114">
        <f t="shared" si="23"/>
        <v>0</v>
      </c>
      <c r="K242" s="114">
        <f t="shared" si="24"/>
        <v>0</v>
      </c>
      <c r="L242" s="113"/>
    </row>
    <row r="243" spans="1:12">
      <c r="A243" s="113">
        <v>180</v>
      </c>
      <c r="B243" s="114">
        <f t="shared" si="17"/>
        <v>0</v>
      </c>
      <c r="C243" s="114">
        <f t="shared" si="18"/>
        <v>0</v>
      </c>
      <c r="D243" s="114">
        <f t="shared" si="19"/>
        <v>0</v>
      </c>
      <c r="E243" s="114">
        <f t="shared" si="20"/>
        <v>0</v>
      </c>
      <c r="F243" s="113">
        <v>15</v>
      </c>
      <c r="G243" s="113">
        <v>180</v>
      </c>
      <c r="H243" s="114">
        <f t="shared" si="21"/>
        <v>0</v>
      </c>
      <c r="I243" s="114">
        <f t="shared" si="22"/>
        <v>0</v>
      </c>
      <c r="J243" s="114">
        <f t="shared" si="23"/>
        <v>0</v>
      </c>
      <c r="K243" s="114">
        <f t="shared" si="24"/>
        <v>0</v>
      </c>
      <c r="L243" s="113">
        <v>15</v>
      </c>
    </row>
    <row r="244" spans="1:12">
      <c r="A244" s="113">
        <v>181</v>
      </c>
      <c r="B244" s="114">
        <f t="shared" si="17"/>
        <v>0</v>
      </c>
      <c r="C244" s="114">
        <f t="shared" si="18"/>
        <v>0</v>
      </c>
      <c r="D244" s="114">
        <f t="shared" si="19"/>
        <v>0</v>
      </c>
      <c r="E244" s="114">
        <f t="shared" si="20"/>
        <v>0</v>
      </c>
      <c r="F244" s="113"/>
      <c r="G244" s="113">
        <v>181</v>
      </c>
      <c r="H244" s="114">
        <f t="shared" si="21"/>
        <v>0</v>
      </c>
      <c r="I244" s="114">
        <f t="shared" si="22"/>
        <v>0</v>
      </c>
      <c r="J244" s="114">
        <f t="shared" si="23"/>
        <v>0</v>
      </c>
      <c r="K244" s="114">
        <f t="shared" si="24"/>
        <v>0</v>
      </c>
      <c r="L244" s="113"/>
    </row>
    <row r="245" spans="1:12">
      <c r="A245" s="113">
        <v>182</v>
      </c>
      <c r="B245" s="114">
        <f t="shared" si="17"/>
        <v>0</v>
      </c>
      <c r="C245" s="114">
        <f t="shared" si="18"/>
        <v>0</v>
      </c>
      <c r="D245" s="114">
        <f t="shared" si="19"/>
        <v>0</v>
      </c>
      <c r="E245" s="114">
        <f t="shared" si="20"/>
        <v>0</v>
      </c>
      <c r="F245" s="113"/>
      <c r="G245" s="113">
        <v>182</v>
      </c>
      <c r="H245" s="114">
        <f t="shared" si="21"/>
        <v>0</v>
      </c>
      <c r="I245" s="114">
        <f t="shared" si="22"/>
        <v>0</v>
      </c>
      <c r="J245" s="114">
        <f t="shared" si="23"/>
        <v>0</v>
      </c>
      <c r="K245" s="114">
        <f t="shared" si="24"/>
        <v>0</v>
      </c>
      <c r="L245" s="113"/>
    </row>
    <row r="246" spans="1:12">
      <c r="A246" s="113">
        <v>183</v>
      </c>
      <c r="B246" s="114">
        <f t="shared" si="17"/>
        <v>0</v>
      </c>
      <c r="C246" s="114">
        <f t="shared" si="18"/>
        <v>0</v>
      </c>
      <c r="D246" s="114">
        <f t="shared" si="19"/>
        <v>0</v>
      </c>
      <c r="E246" s="114">
        <f t="shared" si="20"/>
        <v>0</v>
      </c>
      <c r="F246" s="113"/>
      <c r="G246" s="113">
        <v>183</v>
      </c>
      <c r="H246" s="114">
        <f t="shared" si="21"/>
        <v>0</v>
      </c>
      <c r="I246" s="114">
        <f t="shared" si="22"/>
        <v>0</v>
      </c>
      <c r="J246" s="114">
        <f t="shared" si="23"/>
        <v>0</v>
      </c>
      <c r="K246" s="114">
        <f t="shared" si="24"/>
        <v>0</v>
      </c>
      <c r="L246" s="113"/>
    </row>
    <row r="247" spans="1:12">
      <c r="A247" s="113">
        <v>184</v>
      </c>
      <c r="B247" s="114">
        <f t="shared" si="17"/>
        <v>0</v>
      </c>
      <c r="C247" s="114">
        <f t="shared" si="18"/>
        <v>0</v>
      </c>
      <c r="D247" s="114">
        <f t="shared" si="19"/>
        <v>0</v>
      </c>
      <c r="E247" s="114">
        <f t="shared" si="20"/>
        <v>0</v>
      </c>
      <c r="F247" s="113"/>
      <c r="G247" s="113">
        <v>184</v>
      </c>
      <c r="H247" s="114">
        <f t="shared" si="21"/>
        <v>0</v>
      </c>
      <c r="I247" s="114">
        <f t="shared" si="22"/>
        <v>0</v>
      </c>
      <c r="J247" s="114">
        <f t="shared" si="23"/>
        <v>0</v>
      </c>
      <c r="K247" s="114">
        <f t="shared" si="24"/>
        <v>0</v>
      </c>
      <c r="L247" s="113"/>
    </row>
    <row r="248" spans="1:12">
      <c r="A248" s="113">
        <v>185</v>
      </c>
      <c r="B248" s="114">
        <f t="shared" si="17"/>
        <v>0</v>
      </c>
      <c r="C248" s="114">
        <f t="shared" si="18"/>
        <v>0</v>
      </c>
      <c r="D248" s="114">
        <f t="shared" si="19"/>
        <v>0</v>
      </c>
      <c r="E248" s="114">
        <f t="shared" si="20"/>
        <v>0</v>
      </c>
      <c r="F248" s="113"/>
      <c r="G248" s="113">
        <v>185</v>
      </c>
      <c r="H248" s="114">
        <f t="shared" si="21"/>
        <v>0</v>
      </c>
      <c r="I248" s="114">
        <f t="shared" si="22"/>
        <v>0</v>
      </c>
      <c r="J248" s="114">
        <f t="shared" si="23"/>
        <v>0</v>
      </c>
      <c r="K248" s="114">
        <f t="shared" si="24"/>
        <v>0</v>
      </c>
      <c r="L248" s="113"/>
    </row>
    <row r="249" spans="1:12">
      <c r="A249" s="113">
        <v>186</v>
      </c>
      <c r="B249" s="114">
        <f t="shared" si="17"/>
        <v>0</v>
      </c>
      <c r="C249" s="114">
        <f t="shared" si="18"/>
        <v>0</v>
      </c>
      <c r="D249" s="114">
        <f t="shared" si="19"/>
        <v>0</v>
      </c>
      <c r="E249" s="114">
        <f t="shared" si="20"/>
        <v>0</v>
      </c>
      <c r="F249" s="113"/>
      <c r="G249" s="113">
        <v>186</v>
      </c>
      <c r="H249" s="114">
        <f t="shared" si="21"/>
        <v>0</v>
      </c>
      <c r="I249" s="114">
        <f t="shared" si="22"/>
        <v>0</v>
      </c>
      <c r="J249" s="114">
        <f t="shared" si="23"/>
        <v>0</v>
      </c>
      <c r="K249" s="114">
        <f t="shared" si="24"/>
        <v>0</v>
      </c>
      <c r="L249" s="113"/>
    </row>
    <row r="250" spans="1:12">
      <c r="A250" s="113">
        <v>187</v>
      </c>
      <c r="B250" s="114">
        <f t="shared" si="17"/>
        <v>0</v>
      </c>
      <c r="C250" s="114">
        <f t="shared" si="18"/>
        <v>0</v>
      </c>
      <c r="D250" s="114">
        <f t="shared" si="19"/>
        <v>0</v>
      </c>
      <c r="E250" s="114">
        <f t="shared" si="20"/>
        <v>0</v>
      </c>
      <c r="F250" s="113"/>
      <c r="G250" s="113">
        <v>187</v>
      </c>
      <c r="H250" s="114">
        <f t="shared" si="21"/>
        <v>0</v>
      </c>
      <c r="I250" s="114">
        <f t="shared" si="22"/>
        <v>0</v>
      </c>
      <c r="J250" s="114">
        <f t="shared" si="23"/>
        <v>0</v>
      </c>
      <c r="K250" s="114">
        <f t="shared" si="24"/>
        <v>0</v>
      </c>
      <c r="L250" s="113"/>
    </row>
    <row r="251" spans="1:12">
      <c r="A251" s="113">
        <v>188</v>
      </c>
      <c r="B251" s="114">
        <f t="shared" si="17"/>
        <v>0</v>
      </c>
      <c r="C251" s="114">
        <f t="shared" si="18"/>
        <v>0</v>
      </c>
      <c r="D251" s="114">
        <f t="shared" si="19"/>
        <v>0</v>
      </c>
      <c r="E251" s="114">
        <f t="shared" si="20"/>
        <v>0</v>
      </c>
      <c r="F251" s="113"/>
      <c r="G251" s="113">
        <v>188</v>
      </c>
      <c r="H251" s="114">
        <f t="shared" si="21"/>
        <v>0</v>
      </c>
      <c r="I251" s="114">
        <f t="shared" si="22"/>
        <v>0</v>
      </c>
      <c r="J251" s="114">
        <f t="shared" si="23"/>
        <v>0</v>
      </c>
      <c r="K251" s="114">
        <f t="shared" si="24"/>
        <v>0</v>
      </c>
      <c r="L251" s="113"/>
    </row>
    <row r="252" spans="1:12">
      <c r="A252" s="113">
        <v>189</v>
      </c>
      <c r="B252" s="114">
        <f t="shared" si="17"/>
        <v>0</v>
      </c>
      <c r="C252" s="114">
        <f t="shared" si="18"/>
        <v>0</v>
      </c>
      <c r="D252" s="114">
        <f t="shared" si="19"/>
        <v>0</v>
      </c>
      <c r="E252" s="114">
        <f t="shared" si="20"/>
        <v>0</v>
      </c>
      <c r="F252" s="113"/>
      <c r="G252" s="113">
        <v>189</v>
      </c>
      <c r="H252" s="114">
        <f t="shared" si="21"/>
        <v>0</v>
      </c>
      <c r="I252" s="114">
        <f t="shared" si="22"/>
        <v>0</v>
      </c>
      <c r="J252" s="114">
        <f t="shared" si="23"/>
        <v>0</v>
      </c>
      <c r="K252" s="114">
        <f t="shared" si="24"/>
        <v>0</v>
      </c>
      <c r="L252" s="113"/>
    </row>
    <row r="253" spans="1:12">
      <c r="A253" s="113">
        <v>190</v>
      </c>
      <c r="B253" s="114">
        <f t="shared" si="17"/>
        <v>0</v>
      </c>
      <c r="C253" s="114">
        <f t="shared" si="18"/>
        <v>0</v>
      </c>
      <c r="D253" s="114">
        <f t="shared" si="19"/>
        <v>0</v>
      </c>
      <c r="E253" s="114">
        <f t="shared" si="20"/>
        <v>0</v>
      </c>
      <c r="F253" s="113"/>
      <c r="G253" s="113">
        <v>190</v>
      </c>
      <c r="H253" s="114">
        <f t="shared" si="21"/>
        <v>0</v>
      </c>
      <c r="I253" s="114">
        <f t="shared" si="22"/>
        <v>0</v>
      </c>
      <c r="J253" s="114">
        <f t="shared" si="23"/>
        <v>0</v>
      </c>
      <c r="K253" s="114">
        <f t="shared" si="24"/>
        <v>0</v>
      </c>
      <c r="L253" s="113"/>
    </row>
    <row r="254" spans="1:12">
      <c r="A254" s="113">
        <v>191</v>
      </c>
      <c r="B254" s="114">
        <f t="shared" si="17"/>
        <v>0</v>
      </c>
      <c r="C254" s="114">
        <f t="shared" si="18"/>
        <v>0</v>
      </c>
      <c r="D254" s="114">
        <f t="shared" si="19"/>
        <v>0</v>
      </c>
      <c r="E254" s="114">
        <f t="shared" si="20"/>
        <v>0</v>
      </c>
      <c r="F254" s="113"/>
      <c r="G254" s="113">
        <v>191</v>
      </c>
      <c r="H254" s="114">
        <f t="shared" si="21"/>
        <v>0</v>
      </c>
      <c r="I254" s="114">
        <f t="shared" si="22"/>
        <v>0</v>
      </c>
      <c r="J254" s="114">
        <f t="shared" si="23"/>
        <v>0</v>
      </c>
      <c r="K254" s="114">
        <f t="shared" si="24"/>
        <v>0</v>
      </c>
      <c r="L254" s="113"/>
    </row>
    <row r="255" spans="1:12">
      <c r="A255" s="113">
        <v>192</v>
      </c>
      <c r="B255" s="114">
        <f t="shared" si="17"/>
        <v>0</v>
      </c>
      <c r="C255" s="114">
        <f t="shared" si="18"/>
        <v>0</v>
      </c>
      <c r="D255" s="114">
        <f t="shared" si="19"/>
        <v>0</v>
      </c>
      <c r="E255" s="114">
        <f t="shared" si="20"/>
        <v>0</v>
      </c>
      <c r="F255" s="113">
        <v>16</v>
      </c>
      <c r="G255" s="113">
        <v>192</v>
      </c>
      <c r="H255" s="114">
        <f t="shared" si="21"/>
        <v>0</v>
      </c>
      <c r="I255" s="114">
        <f t="shared" si="22"/>
        <v>0</v>
      </c>
      <c r="J255" s="114">
        <f t="shared" si="23"/>
        <v>0</v>
      </c>
      <c r="K255" s="114">
        <f t="shared" si="24"/>
        <v>0</v>
      </c>
      <c r="L255" s="113">
        <v>16</v>
      </c>
    </row>
    <row r="256" spans="1:12">
      <c r="A256" s="113">
        <v>193</v>
      </c>
      <c r="B256" s="114">
        <f t="shared" ref="B256:B319" si="25">IF(A256&gt;12*$C$9,0,IF($C$5&gt;1500000,$D$12,$C$12))</f>
        <v>0</v>
      </c>
      <c r="C256" s="114">
        <f t="shared" ref="C256:C319" si="26">IF(A256&gt;12*$C$9,0,E255*$C$7/12)</f>
        <v>0</v>
      </c>
      <c r="D256" s="114">
        <f t="shared" ref="D256:D319" si="27">IF(A256&gt;12*$C$9,0,B256-C256)</f>
        <v>0</v>
      </c>
      <c r="E256" s="114">
        <f t="shared" ref="E256:E319" si="28">IF(A256&gt;12*$C$9,0,E255-D256)</f>
        <v>0</v>
      </c>
      <c r="F256" s="113"/>
      <c r="G256" s="113">
        <v>193</v>
      </c>
      <c r="H256" s="114">
        <f t="shared" ref="H256:H319" si="29">IF(G256&gt;12*$C$9,0,IF($C$5&gt;1500000,$E$12,0))</f>
        <v>0</v>
      </c>
      <c r="I256" s="114">
        <f t="shared" ref="I256:I319" si="30">IF(G256&gt;12*$C$9,0,K255*$C$7/12)</f>
        <v>0</v>
      </c>
      <c r="J256" s="114">
        <f t="shared" ref="J256:J319" si="31">IF(G256&gt;12*$C$9,0,H256-I256)</f>
        <v>0</v>
      </c>
      <c r="K256" s="114">
        <f t="shared" ref="K256:K319" si="32">IF(G256&gt;12*$C$9,0,K255-J256)</f>
        <v>0</v>
      </c>
      <c r="L256" s="113"/>
    </row>
    <row r="257" spans="1:12">
      <c r="A257" s="113">
        <v>194</v>
      </c>
      <c r="B257" s="114">
        <f t="shared" si="25"/>
        <v>0</v>
      </c>
      <c r="C257" s="114">
        <f t="shared" si="26"/>
        <v>0</v>
      </c>
      <c r="D257" s="114">
        <f t="shared" si="27"/>
        <v>0</v>
      </c>
      <c r="E257" s="114">
        <f t="shared" si="28"/>
        <v>0</v>
      </c>
      <c r="F257" s="113"/>
      <c r="G257" s="113">
        <v>194</v>
      </c>
      <c r="H257" s="114">
        <f t="shared" si="29"/>
        <v>0</v>
      </c>
      <c r="I257" s="114">
        <f t="shared" si="30"/>
        <v>0</v>
      </c>
      <c r="J257" s="114">
        <f t="shared" si="31"/>
        <v>0</v>
      </c>
      <c r="K257" s="114">
        <f t="shared" si="32"/>
        <v>0</v>
      </c>
      <c r="L257" s="113"/>
    </row>
    <row r="258" spans="1:12">
      <c r="A258" s="113">
        <v>195</v>
      </c>
      <c r="B258" s="114">
        <f t="shared" si="25"/>
        <v>0</v>
      </c>
      <c r="C258" s="114">
        <f t="shared" si="26"/>
        <v>0</v>
      </c>
      <c r="D258" s="114">
        <f t="shared" si="27"/>
        <v>0</v>
      </c>
      <c r="E258" s="114">
        <f t="shared" si="28"/>
        <v>0</v>
      </c>
      <c r="F258" s="113"/>
      <c r="G258" s="113">
        <v>195</v>
      </c>
      <c r="H258" s="114">
        <f t="shared" si="29"/>
        <v>0</v>
      </c>
      <c r="I258" s="114">
        <f t="shared" si="30"/>
        <v>0</v>
      </c>
      <c r="J258" s="114">
        <f t="shared" si="31"/>
        <v>0</v>
      </c>
      <c r="K258" s="114">
        <f t="shared" si="32"/>
        <v>0</v>
      </c>
      <c r="L258" s="113"/>
    </row>
    <row r="259" spans="1:12">
      <c r="A259" s="113">
        <v>196</v>
      </c>
      <c r="B259" s="114">
        <f t="shared" si="25"/>
        <v>0</v>
      </c>
      <c r="C259" s="114">
        <f t="shared" si="26"/>
        <v>0</v>
      </c>
      <c r="D259" s="114">
        <f t="shared" si="27"/>
        <v>0</v>
      </c>
      <c r="E259" s="114">
        <f t="shared" si="28"/>
        <v>0</v>
      </c>
      <c r="F259" s="113"/>
      <c r="G259" s="113">
        <v>196</v>
      </c>
      <c r="H259" s="114">
        <f t="shared" si="29"/>
        <v>0</v>
      </c>
      <c r="I259" s="114">
        <f t="shared" si="30"/>
        <v>0</v>
      </c>
      <c r="J259" s="114">
        <f t="shared" si="31"/>
        <v>0</v>
      </c>
      <c r="K259" s="114">
        <f t="shared" si="32"/>
        <v>0</v>
      </c>
      <c r="L259" s="113"/>
    </row>
    <row r="260" spans="1:12">
      <c r="A260" s="113">
        <v>197</v>
      </c>
      <c r="B260" s="114">
        <f t="shared" si="25"/>
        <v>0</v>
      </c>
      <c r="C260" s="114">
        <f t="shared" si="26"/>
        <v>0</v>
      </c>
      <c r="D260" s="114">
        <f t="shared" si="27"/>
        <v>0</v>
      </c>
      <c r="E260" s="114">
        <f t="shared" si="28"/>
        <v>0</v>
      </c>
      <c r="F260" s="113"/>
      <c r="G260" s="113">
        <v>197</v>
      </c>
      <c r="H260" s="114">
        <f t="shared" si="29"/>
        <v>0</v>
      </c>
      <c r="I260" s="114">
        <f t="shared" si="30"/>
        <v>0</v>
      </c>
      <c r="J260" s="114">
        <f t="shared" si="31"/>
        <v>0</v>
      </c>
      <c r="K260" s="114">
        <f t="shared" si="32"/>
        <v>0</v>
      </c>
      <c r="L260" s="113"/>
    </row>
    <row r="261" spans="1:12">
      <c r="A261" s="113">
        <v>198</v>
      </c>
      <c r="B261" s="114">
        <f t="shared" si="25"/>
        <v>0</v>
      </c>
      <c r="C261" s="114">
        <f t="shared" si="26"/>
        <v>0</v>
      </c>
      <c r="D261" s="114">
        <f t="shared" si="27"/>
        <v>0</v>
      </c>
      <c r="E261" s="114">
        <f t="shared" si="28"/>
        <v>0</v>
      </c>
      <c r="F261" s="113"/>
      <c r="G261" s="113">
        <v>198</v>
      </c>
      <c r="H261" s="114">
        <f t="shared" si="29"/>
        <v>0</v>
      </c>
      <c r="I261" s="114">
        <f t="shared" si="30"/>
        <v>0</v>
      </c>
      <c r="J261" s="114">
        <f t="shared" si="31"/>
        <v>0</v>
      </c>
      <c r="K261" s="114">
        <f t="shared" si="32"/>
        <v>0</v>
      </c>
      <c r="L261" s="113"/>
    </row>
    <row r="262" spans="1:12">
      <c r="A262" s="113">
        <v>199</v>
      </c>
      <c r="B262" s="114">
        <f t="shared" si="25"/>
        <v>0</v>
      </c>
      <c r="C262" s="114">
        <f t="shared" si="26"/>
        <v>0</v>
      </c>
      <c r="D262" s="114">
        <f t="shared" si="27"/>
        <v>0</v>
      </c>
      <c r="E262" s="114">
        <f t="shared" si="28"/>
        <v>0</v>
      </c>
      <c r="F262" s="113"/>
      <c r="G262" s="113">
        <v>199</v>
      </c>
      <c r="H262" s="114">
        <f t="shared" si="29"/>
        <v>0</v>
      </c>
      <c r="I262" s="114">
        <f t="shared" si="30"/>
        <v>0</v>
      </c>
      <c r="J262" s="114">
        <f t="shared" si="31"/>
        <v>0</v>
      </c>
      <c r="K262" s="114">
        <f t="shared" si="32"/>
        <v>0</v>
      </c>
      <c r="L262" s="113"/>
    </row>
    <row r="263" spans="1:12">
      <c r="A263" s="113">
        <v>200</v>
      </c>
      <c r="B263" s="114">
        <f t="shared" si="25"/>
        <v>0</v>
      </c>
      <c r="C263" s="114">
        <f t="shared" si="26"/>
        <v>0</v>
      </c>
      <c r="D263" s="114">
        <f t="shared" si="27"/>
        <v>0</v>
      </c>
      <c r="E263" s="114">
        <f t="shared" si="28"/>
        <v>0</v>
      </c>
      <c r="F263" s="113"/>
      <c r="G263" s="113">
        <v>200</v>
      </c>
      <c r="H263" s="114">
        <f t="shared" si="29"/>
        <v>0</v>
      </c>
      <c r="I263" s="114">
        <f t="shared" si="30"/>
        <v>0</v>
      </c>
      <c r="J263" s="114">
        <f t="shared" si="31"/>
        <v>0</v>
      </c>
      <c r="K263" s="114">
        <f t="shared" si="32"/>
        <v>0</v>
      </c>
      <c r="L263" s="113"/>
    </row>
    <row r="264" spans="1:12">
      <c r="A264" s="113">
        <v>201</v>
      </c>
      <c r="B264" s="114">
        <f t="shared" si="25"/>
        <v>0</v>
      </c>
      <c r="C264" s="114">
        <f t="shared" si="26"/>
        <v>0</v>
      </c>
      <c r="D264" s="114">
        <f t="shared" si="27"/>
        <v>0</v>
      </c>
      <c r="E264" s="114">
        <f t="shared" si="28"/>
        <v>0</v>
      </c>
      <c r="F264" s="113"/>
      <c r="G264" s="113">
        <v>201</v>
      </c>
      <c r="H264" s="114">
        <f t="shared" si="29"/>
        <v>0</v>
      </c>
      <c r="I264" s="114">
        <f t="shared" si="30"/>
        <v>0</v>
      </c>
      <c r="J264" s="114">
        <f t="shared" si="31"/>
        <v>0</v>
      </c>
      <c r="K264" s="114">
        <f t="shared" si="32"/>
        <v>0</v>
      </c>
      <c r="L264" s="113"/>
    </row>
    <row r="265" spans="1:12">
      <c r="A265" s="113">
        <v>202</v>
      </c>
      <c r="B265" s="114">
        <f t="shared" si="25"/>
        <v>0</v>
      </c>
      <c r="C265" s="114">
        <f t="shared" si="26"/>
        <v>0</v>
      </c>
      <c r="D265" s="114">
        <f t="shared" si="27"/>
        <v>0</v>
      </c>
      <c r="E265" s="114">
        <f t="shared" si="28"/>
        <v>0</v>
      </c>
      <c r="F265" s="113"/>
      <c r="G265" s="113">
        <v>202</v>
      </c>
      <c r="H265" s="114">
        <f t="shared" si="29"/>
        <v>0</v>
      </c>
      <c r="I265" s="114">
        <f t="shared" si="30"/>
        <v>0</v>
      </c>
      <c r="J265" s="114">
        <f t="shared" si="31"/>
        <v>0</v>
      </c>
      <c r="K265" s="114">
        <f t="shared" si="32"/>
        <v>0</v>
      </c>
      <c r="L265" s="113"/>
    </row>
    <row r="266" spans="1:12">
      <c r="A266" s="113">
        <v>203</v>
      </c>
      <c r="B266" s="114">
        <f t="shared" si="25"/>
        <v>0</v>
      </c>
      <c r="C266" s="114">
        <f t="shared" si="26"/>
        <v>0</v>
      </c>
      <c r="D266" s="114">
        <f t="shared" si="27"/>
        <v>0</v>
      </c>
      <c r="E266" s="114">
        <f t="shared" si="28"/>
        <v>0</v>
      </c>
      <c r="F266" s="113"/>
      <c r="G266" s="113">
        <v>203</v>
      </c>
      <c r="H266" s="114">
        <f t="shared" si="29"/>
        <v>0</v>
      </c>
      <c r="I266" s="114">
        <f t="shared" si="30"/>
        <v>0</v>
      </c>
      <c r="J266" s="114">
        <f t="shared" si="31"/>
        <v>0</v>
      </c>
      <c r="K266" s="114">
        <f t="shared" si="32"/>
        <v>0</v>
      </c>
      <c r="L266" s="113"/>
    </row>
    <row r="267" spans="1:12">
      <c r="A267" s="113">
        <v>204</v>
      </c>
      <c r="B267" s="114">
        <f t="shared" si="25"/>
        <v>0</v>
      </c>
      <c r="C267" s="114">
        <f t="shared" si="26"/>
        <v>0</v>
      </c>
      <c r="D267" s="114">
        <f t="shared" si="27"/>
        <v>0</v>
      </c>
      <c r="E267" s="114">
        <f t="shared" si="28"/>
        <v>0</v>
      </c>
      <c r="F267" s="113">
        <v>17</v>
      </c>
      <c r="G267" s="113">
        <v>204</v>
      </c>
      <c r="H267" s="114">
        <f t="shared" si="29"/>
        <v>0</v>
      </c>
      <c r="I267" s="114">
        <f t="shared" si="30"/>
        <v>0</v>
      </c>
      <c r="J267" s="114">
        <f t="shared" si="31"/>
        <v>0</v>
      </c>
      <c r="K267" s="114">
        <f t="shared" si="32"/>
        <v>0</v>
      </c>
      <c r="L267" s="113">
        <v>17</v>
      </c>
    </row>
    <row r="268" spans="1:12">
      <c r="A268" s="113">
        <v>205</v>
      </c>
      <c r="B268" s="114">
        <f t="shared" si="25"/>
        <v>0</v>
      </c>
      <c r="C268" s="114">
        <f t="shared" si="26"/>
        <v>0</v>
      </c>
      <c r="D268" s="114">
        <f t="shared" si="27"/>
        <v>0</v>
      </c>
      <c r="E268" s="114">
        <f t="shared" si="28"/>
        <v>0</v>
      </c>
      <c r="F268" s="113"/>
      <c r="G268" s="113">
        <v>205</v>
      </c>
      <c r="H268" s="114">
        <f t="shared" si="29"/>
        <v>0</v>
      </c>
      <c r="I268" s="114">
        <f t="shared" si="30"/>
        <v>0</v>
      </c>
      <c r="J268" s="114">
        <f t="shared" si="31"/>
        <v>0</v>
      </c>
      <c r="K268" s="114">
        <f t="shared" si="32"/>
        <v>0</v>
      </c>
      <c r="L268" s="113"/>
    </row>
    <row r="269" spans="1:12">
      <c r="A269" s="113">
        <v>206</v>
      </c>
      <c r="B269" s="114">
        <f t="shared" si="25"/>
        <v>0</v>
      </c>
      <c r="C269" s="114">
        <f t="shared" si="26"/>
        <v>0</v>
      </c>
      <c r="D269" s="114">
        <f t="shared" si="27"/>
        <v>0</v>
      </c>
      <c r="E269" s="114">
        <f t="shared" si="28"/>
        <v>0</v>
      </c>
      <c r="F269" s="113"/>
      <c r="G269" s="113">
        <v>206</v>
      </c>
      <c r="H269" s="114">
        <f t="shared" si="29"/>
        <v>0</v>
      </c>
      <c r="I269" s="114">
        <f t="shared" si="30"/>
        <v>0</v>
      </c>
      <c r="J269" s="114">
        <f t="shared" si="31"/>
        <v>0</v>
      </c>
      <c r="K269" s="114">
        <f t="shared" si="32"/>
        <v>0</v>
      </c>
      <c r="L269" s="113"/>
    </row>
    <row r="270" spans="1:12">
      <c r="A270" s="113">
        <v>207</v>
      </c>
      <c r="B270" s="114">
        <f t="shared" si="25"/>
        <v>0</v>
      </c>
      <c r="C270" s="114">
        <f t="shared" si="26"/>
        <v>0</v>
      </c>
      <c r="D270" s="114">
        <f t="shared" si="27"/>
        <v>0</v>
      </c>
      <c r="E270" s="114">
        <f t="shared" si="28"/>
        <v>0</v>
      </c>
      <c r="F270" s="113"/>
      <c r="G270" s="113">
        <v>207</v>
      </c>
      <c r="H270" s="114">
        <f t="shared" si="29"/>
        <v>0</v>
      </c>
      <c r="I270" s="114">
        <f t="shared" si="30"/>
        <v>0</v>
      </c>
      <c r="J270" s="114">
        <f t="shared" si="31"/>
        <v>0</v>
      </c>
      <c r="K270" s="114">
        <f t="shared" si="32"/>
        <v>0</v>
      </c>
      <c r="L270" s="113"/>
    </row>
    <row r="271" spans="1:12">
      <c r="A271" s="113">
        <v>208</v>
      </c>
      <c r="B271" s="114">
        <f t="shared" si="25"/>
        <v>0</v>
      </c>
      <c r="C271" s="114">
        <f t="shared" si="26"/>
        <v>0</v>
      </c>
      <c r="D271" s="114">
        <f t="shared" si="27"/>
        <v>0</v>
      </c>
      <c r="E271" s="114">
        <f t="shared" si="28"/>
        <v>0</v>
      </c>
      <c r="F271" s="113"/>
      <c r="G271" s="113">
        <v>208</v>
      </c>
      <c r="H271" s="114">
        <f t="shared" si="29"/>
        <v>0</v>
      </c>
      <c r="I271" s="114">
        <f t="shared" si="30"/>
        <v>0</v>
      </c>
      <c r="J271" s="114">
        <f t="shared" si="31"/>
        <v>0</v>
      </c>
      <c r="K271" s="114">
        <f t="shared" si="32"/>
        <v>0</v>
      </c>
      <c r="L271" s="113"/>
    </row>
    <row r="272" spans="1:12">
      <c r="A272" s="113">
        <v>209</v>
      </c>
      <c r="B272" s="114">
        <f t="shared" si="25"/>
        <v>0</v>
      </c>
      <c r="C272" s="114">
        <f t="shared" si="26"/>
        <v>0</v>
      </c>
      <c r="D272" s="114">
        <f t="shared" si="27"/>
        <v>0</v>
      </c>
      <c r="E272" s="114">
        <f t="shared" si="28"/>
        <v>0</v>
      </c>
      <c r="F272" s="113"/>
      <c r="G272" s="113">
        <v>209</v>
      </c>
      <c r="H272" s="114">
        <f t="shared" si="29"/>
        <v>0</v>
      </c>
      <c r="I272" s="114">
        <f t="shared" si="30"/>
        <v>0</v>
      </c>
      <c r="J272" s="114">
        <f t="shared" si="31"/>
        <v>0</v>
      </c>
      <c r="K272" s="114">
        <f t="shared" si="32"/>
        <v>0</v>
      </c>
      <c r="L272" s="113"/>
    </row>
    <row r="273" spans="1:12">
      <c r="A273" s="113">
        <v>210</v>
      </c>
      <c r="B273" s="114">
        <f t="shared" si="25"/>
        <v>0</v>
      </c>
      <c r="C273" s="114">
        <f t="shared" si="26"/>
        <v>0</v>
      </c>
      <c r="D273" s="114">
        <f t="shared" si="27"/>
        <v>0</v>
      </c>
      <c r="E273" s="114">
        <f t="shared" si="28"/>
        <v>0</v>
      </c>
      <c r="F273" s="113"/>
      <c r="G273" s="113">
        <v>210</v>
      </c>
      <c r="H273" s="114">
        <f t="shared" si="29"/>
        <v>0</v>
      </c>
      <c r="I273" s="114">
        <f t="shared" si="30"/>
        <v>0</v>
      </c>
      <c r="J273" s="114">
        <f t="shared" si="31"/>
        <v>0</v>
      </c>
      <c r="K273" s="114">
        <f t="shared" si="32"/>
        <v>0</v>
      </c>
      <c r="L273" s="113"/>
    </row>
    <row r="274" spans="1:12">
      <c r="A274" s="113">
        <v>211</v>
      </c>
      <c r="B274" s="114">
        <f t="shared" si="25"/>
        <v>0</v>
      </c>
      <c r="C274" s="114">
        <f t="shared" si="26"/>
        <v>0</v>
      </c>
      <c r="D274" s="114">
        <f t="shared" si="27"/>
        <v>0</v>
      </c>
      <c r="E274" s="114">
        <f t="shared" si="28"/>
        <v>0</v>
      </c>
      <c r="F274" s="113"/>
      <c r="G274" s="113">
        <v>211</v>
      </c>
      <c r="H274" s="114">
        <f t="shared" si="29"/>
        <v>0</v>
      </c>
      <c r="I274" s="114">
        <f t="shared" si="30"/>
        <v>0</v>
      </c>
      <c r="J274" s="114">
        <f t="shared" si="31"/>
        <v>0</v>
      </c>
      <c r="K274" s="114">
        <f t="shared" si="32"/>
        <v>0</v>
      </c>
      <c r="L274" s="113"/>
    </row>
    <row r="275" spans="1:12">
      <c r="A275" s="113">
        <v>212</v>
      </c>
      <c r="B275" s="114">
        <f t="shared" si="25"/>
        <v>0</v>
      </c>
      <c r="C275" s="114">
        <f t="shared" si="26"/>
        <v>0</v>
      </c>
      <c r="D275" s="114">
        <f t="shared" si="27"/>
        <v>0</v>
      </c>
      <c r="E275" s="114">
        <f t="shared" si="28"/>
        <v>0</v>
      </c>
      <c r="F275" s="113"/>
      <c r="G275" s="113">
        <v>212</v>
      </c>
      <c r="H275" s="114">
        <f t="shared" si="29"/>
        <v>0</v>
      </c>
      <c r="I275" s="114">
        <f t="shared" si="30"/>
        <v>0</v>
      </c>
      <c r="J275" s="114">
        <f t="shared" si="31"/>
        <v>0</v>
      </c>
      <c r="K275" s="114">
        <f t="shared" si="32"/>
        <v>0</v>
      </c>
      <c r="L275" s="113"/>
    </row>
    <row r="276" spans="1:12">
      <c r="A276" s="113">
        <v>213</v>
      </c>
      <c r="B276" s="114">
        <f t="shared" si="25"/>
        <v>0</v>
      </c>
      <c r="C276" s="114">
        <f t="shared" si="26"/>
        <v>0</v>
      </c>
      <c r="D276" s="114">
        <f t="shared" si="27"/>
        <v>0</v>
      </c>
      <c r="E276" s="114">
        <f t="shared" si="28"/>
        <v>0</v>
      </c>
      <c r="F276" s="113"/>
      <c r="G276" s="113">
        <v>213</v>
      </c>
      <c r="H276" s="114">
        <f t="shared" si="29"/>
        <v>0</v>
      </c>
      <c r="I276" s="114">
        <f t="shared" si="30"/>
        <v>0</v>
      </c>
      <c r="J276" s="114">
        <f t="shared" si="31"/>
        <v>0</v>
      </c>
      <c r="K276" s="114">
        <f t="shared" si="32"/>
        <v>0</v>
      </c>
      <c r="L276" s="113"/>
    </row>
    <row r="277" spans="1:12">
      <c r="A277" s="113">
        <v>214</v>
      </c>
      <c r="B277" s="114">
        <f t="shared" si="25"/>
        <v>0</v>
      </c>
      <c r="C277" s="114">
        <f t="shared" si="26"/>
        <v>0</v>
      </c>
      <c r="D277" s="114">
        <f t="shared" si="27"/>
        <v>0</v>
      </c>
      <c r="E277" s="114">
        <f t="shared" si="28"/>
        <v>0</v>
      </c>
      <c r="F277" s="113"/>
      <c r="G277" s="113">
        <v>214</v>
      </c>
      <c r="H277" s="114">
        <f t="shared" si="29"/>
        <v>0</v>
      </c>
      <c r="I277" s="114">
        <f t="shared" si="30"/>
        <v>0</v>
      </c>
      <c r="J277" s="114">
        <f t="shared" si="31"/>
        <v>0</v>
      </c>
      <c r="K277" s="114">
        <f t="shared" si="32"/>
        <v>0</v>
      </c>
      <c r="L277" s="113"/>
    </row>
    <row r="278" spans="1:12">
      <c r="A278" s="113">
        <v>215</v>
      </c>
      <c r="B278" s="114">
        <f t="shared" si="25"/>
        <v>0</v>
      </c>
      <c r="C278" s="114">
        <f t="shared" si="26"/>
        <v>0</v>
      </c>
      <c r="D278" s="114">
        <f t="shared" si="27"/>
        <v>0</v>
      </c>
      <c r="E278" s="114">
        <f t="shared" si="28"/>
        <v>0</v>
      </c>
      <c r="F278" s="113"/>
      <c r="G278" s="113">
        <v>215</v>
      </c>
      <c r="H278" s="114">
        <f t="shared" si="29"/>
        <v>0</v>
      </c>
      <c r="I278" s="114">
        <f t="shared" si="30"/>
        <v>0</v>
      </c>
      <c r="J278" s="114">
        <f t="shared" si="31"/>
        <v>0</v>
      </c>
      <c r="K278" s="114">
        <f t="shared" si="32"/>
        <v>0</v>
      </c>
      <c r="L278" s="113"/>
    </row>
    <row r="279" spans="1:12">
      <c r="A279" s="113">
        <v>216</v>
      </c>
      <c r="B279" s="114">
        <f t="shared" si="25"/>
        <v>0</v>
      </c>
      <c r="C279" s="114">
        <f t="shared" si="26"/>
        <v>0</v>
      </c>
      <c r="D279" s="114">
        <f t="shared" si="27"/>
        <v>0</v>
      </c>
      <c r="E279" s="114">
        <f t="shared" si="28"/>
        <v>0</v>
      </c>
      <c r="F279" s="113">
        <v>18</v>
      </c>
      <c r="G279" s="113">
        <v>216</v>
      </c>
      <c r="H279" s="114">
        <f t="shared" si="29"/>
        <v>0</v>
      </c>
      <c r="I279" s="114">
        <f t="shared" si="30"/>
        <v>0</v>
      </c>
      <c r="J279" s="114">
        <f t="shared" si="31"/>
        <v>0</v>
      </c>
      <c r="K279" s="114">
        <f t="shared" si="32"/>
        <v>0</v>
      </c>
      <c r="L279" s="113">
        <v>18</v>
      </c>
    </row>
    <row r="280" spans="1:12">
      <c r="A280" s="113">
        <v>217</v>
      </c>
      <c r="B280" s="114">
        <f t="shared" si="25"/>
        <v>0</v>
      </c>
      <c r="C280" s="114">
        <f t="shared" si="26"/>
        <v>0</v>
      </c>
      <c r="D280" s="114">
        <f t="shared" si="27"/>
        <v>0</v>
      </c>
      <c r="E280" s="114">
        <f t="shared" si="28"/>
        <v>0</v>
      </c>
      <c r="F280" s="113"/>
      <c r="G280" s="113">
        <v>217</v>
      </c>
      <c r="H280" s="114">
        <f t="shared" si="29"/>
        <v>0</v>
      </c>
      <c r="I280" s="114">
        <f t="shared" si="30"/>
        <v>0</v>
      </c>
      <c r="J280" s="114">
        <f t="shared" si="31"/>
        <v>0</v>
      </c>
      <c r="K280" s="114">
        <f t="shared" si="32"/>
        <v>0</v>
      </c>
      <c r="L280" s="113"/>
    </row>
    <row r="281" spans="1:12">
      <c r="A281" s="113">
        <v>218</v>
      </c>
      <c r="B281" s="114">
        <f t="shared" si="25"/>
        <v>0</v>
      </c>
      <c r="C281" s="114">
        <f t="shared" si="26"/>
        <v>0</v>
      </c>
      <c r="D281" s="114">
        <f t="shared" si="27"/>
        <v>0</v>
      </c>
      <c r="E281" s="114">
        <f t="shared" si="28"/>
        <v>0</v>
      </c>
      <c r="F281" s="113"/>
      <c r="G281" s="113">
        <v>218</v>
      </c>
      <c r="H281" s="114">
        <f t="shared" si="29"/>
        <v>0</v>
      </c>
      <c r="I281" s="114">
        <f t="shared" si="30"/>
        <v>0</v>
      </c>
      <c r="J281" s="114">
        <f t="shared" si="31"/>
        <v>0</v>
      </c>
      <c r="K281" s="114">
        <f t="shared" si="32"/>
        <v>0</v>
      </c>
      <c r="L281" s="113"/>
    </row>
    <row r="282" spans="1:12">
      <c r="A282" s="113">
        <v>219</v>
      </c>
      <c r="B282" s="114">
        <f t="shared" si="25"/>
        <v>0</v>
      </c>
      <c r="C282" s="114">
        <f t="shared" si="26"/>
        <v>0</v>
      </c>
      <c r="D282" s="114">
        <f t="shared" si="27"/>
        <v>0</v>
      </c>
      <c r="E282" s="114">
        <f t="shared" si="28"/>
        <v>0</v>
      </c>
      <c r="F282" s="113"/>
      <c r="G282" s="113">
        <v>219</v>
      </c>
      <c r="H282" s="114">
        <f t="shared" si="29"/>
        <v>0</v>
      </c>
      <c r="I282" s="114">
        <f t="shared" si="30"/>
        <v>0</v>
      </c>
      <c r="J282" s="114">
        <f t="shared" si="31"/>
        <v>0</v>
      </c>
      <c r="K282" s="114">
        <f t="shared" si="32"/>
        <v>0</v>
      </c>
      <c r="L282" s="113"/>
    </row>
    <row r="283" spans="1:12">
      <c r="A283" s="113">
        <v>220</v>
      </c>
      <c r="B283" s="114">
        <f t="shared" si="25"/>
        <v>0</v>
      </c>
      <c r="C283" s="114">
        <f t="shared" si="26"/>
        <v>0</v>
      </c>
      <c r="D283" s="114">
        <f t="shared" si="27"/>
        <v>0</v>
      </c>
      <c r="E283" s="114">
        <f t="shared" si="28"/>
        <v>0</v>
      </c>
      <c r="F283" s="113"/>
      <c r="G283" s="113">
        <v>220</v>
      </c>
      <c r="H283" s="114">
        <f t="shared" si="29"/>
        <v>0</v>
      </c>
      <c r="I283" s="114">
        <f t="shared" si="30"/>
        <v>0</v>
      </c>
      <c r="J283" s="114">
        <f t="shared" si="31"/>
        <v>0</v>
      </c>
      <c r="K283" s="114">
        <f t="shared" si="32"/>
        <v>0</v>
      </c>
      <c r="L283" s="113"/>
    </row>
    <row r="284" spans="1:12">
      <c r="A284" s="113">
        <v>221</v>
      </c>
      <c r="B284" s="114">
        <f t="shared" si="25"/>
        <v>0</v>
      </c>
      <c r="C284" s="114">
        <f t="shared" si="26"/>
        <v>0</v>
      </c>
      <c r="D284" s="114">
        <f t="shared" si="27"/>
        <v>0</v>
      </c>
      <c r="E284" s="114">
        <f t="shared" si="28"/>
        <v>0</v>
      </c>
      <c r="F284" s="113"/>
      <c r="G284" s="113">
        <v>221</v>
      </c>
      <c r="H284" s="114">
        <f t="shared" si="29"/>
        <v>0</v>
      </c>
      <c r="I284" s="114">
        <f t="shared" si="30"/>
        <v>0</v>
      </c>
      <c r="J284" s="114">
        <f t="shared" si="31"/>
        <v>0</v>
      </c>
      <c r="K284" s="114">
        <f t="shared" si="32"/>
        <v>0</v>
      </c>
      <c r="L284" s="113"/>
    </row>
    <row r="285" spans="1:12">
      <c r="A285" s="113">
        <v>222</v>
      </c>
      <c r="B285" s="114">
        <f t="shared" si="25"/>
        <v>0</v>
      </c>
      <c r="C285" s="114">
        <f t="shared" si="26"/>
        <v>0</v>
      </c>
      <c r="D285" s="114">
        <f t="shared" si="27"/>
        <v>0</v>
      </c>
      <c r="E285" s="114">
        <f t="shared" si="28"/>
        <v>0</v>
      </c>
      <c r="F285" s="113"/>
      <c r="G285" s="113">
        <v>222</v>
      </c>
      <c r="H285" s="114">
        <f t="shared" si="29"/>
        <v>0</v>
      </c>
      <c r="I285" s="114">
        <f t="shared" si="30"/>
        <v>0</v>
      </c>
      <c r="J285" s="114">
        <f t="shared" si="31"/>
        <v>0</v>
      </c>
      <c r="K285" s="114">
        <f t="shared" si="32"/>
        <v>0</v>
      </c>
      <c r="L285" s="113"/>
    </row>
    <row r="286" spans="1:12">
      <c r="A286" s="113">
        <v>223</v>
      </c>
      <c r="B286" s="114">
        <f t="shared" si="25"/>
        <v>0</v>
      </c>
      <c r="C286" s="114">
        <f t="shared" si="26"/>
        <v>0</v>
      </c>
      <c r="D286" s="114">
        <f t="shared" si="27"/>
        <v>0</v>
      </c>
      <c r="E286" s="114">
        <f t="shared" si="28"/>
        <v>0</v>
      </c>
      <c r="F286" s="113"/>
      <c r="G286" s="113">
        <v>223</v>
      </c>
      <c r="H286" s="114">
        <f t="shared" si="29"/>
        <v>0</v>
      </c>
      <c r="I286" s="114">
        <f t="shared" si="30"/>
        <v>0</v>
      </c>
      <c r="J286" s="114">
        <f t="shared" si="31"/>
        <v>0</v>
      </c>
      <c r="K286" s="114">
        <f t="shared" si="32"/>
        <v>0</v>
      </c>
      <c r="L286" s="113"/>
    </row>
    <row r="287" spans="1:12">
      <c r="A287" s="113">
        <v>224</v>
      </c>
      <c r="B287" s="114">
        <f t="shared" si="25"/>
        <v>0</v>
      </c>
      <c r="C287" s="114">
        <f t="shared" si="26"/>
        <v>0</v>
      </c>
      <c r="D287" s="114">
        <f t="shared" si="27"/>
        <v>0</v>
      </c>
      <c r="E287" s="114">
        <f t="shared" si="28"/>
        <v>0</v>
      </c>
      <c r="F287" s="113"/>
      <c r="G287" s="113">
        <v>224</v>
      </c>
      <c r="H287" s="114">
        <f t="shared" si="29"/>
        <v>0</v>
      </c>
      <c r="I287" s="114">
        <f t="shared" si="30"/>
        <v>0</v>
      </c>
      <c r="J287" s="114">
        <f t="shared" si="31"/>
        <v>0</v>
      </c>
      <c r="K287" s="114">
        <f t="shared" si="32"/>
        <v>0</v>
      </c>
      <c r="L287" s="113"/>
    </row>
    <row r="288" spans="1:12">
      <c r="A288" s="113">
        <v>225</v>
      </c>
      <c r="B288" s="114">
        <f t="shared" si="25"/>
        <v>0</v>
      </c>
      <c r="C288" s="114">
        <f t="shared" si="26"/>
        <v>0</v>
      </c>
      <c r="D288" s="114">
        <f t="shared" si="27"/>
        <v>0</v>
      </c>
      <c r="E288" s="114">
        <f t="shared" si="28"/>
        <v>0</v>
      </c>
      <c r="F288" s="113"/>
      <c r="G288" s="113">
        <v>225</v>
      </c>
      <c r="H288" s="114">
        <f t="shared" si="29"/>
        <v>0</v>
      </c>
      <c r="I288" s="114">
        <f t="shared" si="30"/>
        <v>0</v>
      </c>
      <c r="J288" s="114">
        <f t="shared" si="31"/>
        <v>0</v>
      </c>
      <c r="K288" s="114">
        <f t="shared" si="32"/>
        <v>0</v>
      </c>
      <c r="L288" s="113"/>
    </row>
    <row r="289" spans="1:12">
      <c r="A289" s="113">
        <v>226</v>
      </c>
      <c r="B289" s="114">
        <f t="shared" si="25"/>
        <v>0</v>
      </c>
      <c r="C289" s="114">
        <f t="shared" si="26"/>
        <v>0</v>
      </c>
      <c r="D289" s="114">
        <f t="shared" si="27"/>
        <v>0</v>
      </c>
      <c r="E289" s="114">
        <f t="shared" si="28"/>
        <v>0</v>
      </c>
      <c r="F289" s="113"/>
      <c r="G289" s="113">
        <v>226</v>
      </c>
      <c r="H289" s="114">
        <f t="shared" si="29"/>
        <v>0</v>
      </c>
      <c r="I289" s="114">
        <f t="shared" si="30"/>
        <v>0</v>
      </c>
      <c r="J289" s="114">
        <f t="shared" si="31"/>
        <v>0</v>
      </c>
      <c r="K289" s="114">
        <f t="shared" si="32"/>
        <v>0</v>
      </c>
      <c r="L289" s="113"/>
    </row>
    <row r="290" spans="1:12">
      <c r="A290" s="113">
        <v>227</v>
      </c>
      <c r="B290" s="114">
        <f t="shared" si="25"/>
        <v>0</v>
      </c>
      <c r="C290" s="114">
        <f t="shared" si="26"/>
        <v>0</v>
      </c>
      <c r="D290" s="114">
        <f t="shared" si="27"/>
        <v>0</v>
      </c>
      <c r="E290" s="114">
        <f t="shared" si="28"/>
        <v>0</v>
      </c>
      <c r="F290" s="113"/>
      <c r="G290" s="113">
        <v>227</v>
      </c>
      <c r="H290" s="114">
        <f t="shared" si="29"/>
        <v>0</v>
      </c>
      <c r="I290" s="114">
        <f t="shared" si="30"/>
        <v>0</v>
      </c>
      <c r="J290" s="114">
        <f t="shared" si="31"/>
        <v>0</v>
      </c>
      <c r="K290" s="114">
        <f t="shared" si="32"/>
        <v>0</v>
      </c>
      <c r="L290" s="113"/>
    </row>
    <row r="291" spans="1:12">
      <c r="A291" s="113">
        <v>228</v>
      </c>
      <c r="B291" s="114">
        <f t="shared" si="25"/>
        <v>0</v>
      </c>
      <c r="C291" s="114">
        <f t="shared" si="26"/>
        <v>0</v>
      </c>
      <c r="D291" s="114">
        <f t="shared" si="27"/>
        <v>0</v>
      </c>
      <c r="E291" s="114">
        <f t="shared" si="28"/>
        <v>0</v>
      </c>
      <c r="F291" s="113">
        <v>19</v>
      </c>
      <c r="G291" s="113">
        <v>228</v>
      </c>
      <c r="H291" s="114">
        <f t="shared" si="29"/>
        <v>0</v>
      </c>
      <c r="I291" s="114">
        <f t="shared" si="30"/>
        <v>0</v>
      </c>
      <c r="J291" s="114">
        <f t="shared" si="31"/>
        <v>0</v>
      </c>
      <c r="K291" s="114">
        <f t="shared" si="32"/>
        <v>0</v>
      </c>
      <c r="L291" s="113">
        <v>19</v>
      </c>
    </row>
    <row r="292" spans="1:12">
      <c r="A292" s="113">
        <v>229</v>
      </c>
      <c r="B292" s="114">
        <f t="shared" si="25"/>
        <v>0</v>
      </c>
      <c r="C292" s="114">
        <f t="shared" si="26"/>
        <v>0</v>
      </c>
      <c r="D292" s="114">
        <f t="shared" si="27"/>
        <v>0</v>
      </c>
      <c r="E292" s="114">
        <f t="shared" si="28"/>
        <v>0</v>
      </c>
      <c r="F292" s="113"/>
      <c r="G292" s="113">
        <v>229</v>
      </c>
      <c r="H292" s="114">
        <f t="shared" si="29"/>
        <v>0</v>
      </c>
      <c r="I292" s="114">
        <f t="shared" si="30"/>
        <v>0</v>
      </c>
      <c r="J292" s="114">
        <f t="shared" si="31"/>
        <v>0</v>
      </c>
      <c r="K292" s="114">
        <f t="shared" si="32"/>
        <v>0</v>
      </c>
      <c r="L292" s="113"/>
    </row>
    <row r="293" spans="1:12">
      <c r="A293" s="113">
        <v>230</v>
      </c>
      <c r="B293" s="114">
        <f t="shared" si="25"/>
        <v>0</v>
      </c>
      <c r="C293" s="114">
        <f t="shared" si="26"/>
        <v>0</v>
      </c>
      <c r="D293" s="114">
        <f t="shared" si="27"/>
        <v>0</v>
      </c>
      <c r="E293" s="114">
        <f t="shared" si="28"/>
        <v>0</v>
      </c>
      <c r="F293" s="113"/>
      <c r="G293" s="113">
        <v>230</v>
      </c>
      <c r="H293" s="114">
        <f t="shared" si="29"/>
        <v>0</v>
      </c>
      <c r="I293" s="114">
        <f t="shared" si="30"/>
        <v>0</v>
      </c>
      <c r="J293" s="114">
        <f t="shared" si="31"/>
        <v>0</v>
      </c>
      <c r="K293" s="114">
        <f t="shared" si="32"/>
        <v>0</v>
      </c>
      <c r="L293" s="113"/>
    </row>
    <row r="294" spans="1:12">
      <c r="A294" s="113">
        <v>231</v>
      </c>
      <c r="B294" s="114">
        <f t="shared" si="25"/>
        <v>0</v>
      </c>
      <c r="C294" s="114">
        <f t="shared" si="26"/>
        <v>0</v>
      </c>
      <c r="D294" s="114">
        <f t="shared" si="27"/>
        <v>0</v>
      </c>
      <c r="E294" s="114">
        <f t="shared" si="28"/>
        <v>0</v>
      </c>
      <c r="F294" s="113"/>
      <c r="G294" s="113">
        <v>231</v>
      </c>
      <c r="H294" s="114">
        <f t="shared" si="29"/>
        <v>0</v>
      </c>
      <c r="I294" s="114">
        <f t="shared" si="30"/>
        <v>0</v>
      </c>
      <c r="J294" s="114">
        <f t="shared" si="31"/>
        <v>0</v>
      </c>
      <c r="K294" s="114">
        <f t="shared" si="32"/>
        <v>0</v>
      </c>
      <c r="L294" s="113"/>
    </row>
    <row r="295" spans="1:12">
      <c r="A295" s="113">
        <v>232</v>
      </c>
      <c r="B295" s="114">
        <f t="shared" si="25"/>
        <v>0</v>
      </c>
      <c r="C295" s="114">
        <f t="shared" si="26"/>
        <v>0</v>
      </c>
      <c r="D295" s="114">
        <f t="shared" si="27"/>
        <v>0</v>
      </c>
      <c r="E295" s="114">
        <f t="shared" si="28"/>
        <v>0</v>
      </c>
      <c r="F295" s="113"/>
      <c r="G295" s="113">
        <v>232</v>
      </c>
      <c r="H295" s="114">
        <f t="shared" si="29"/>
        <v>0</v>
      </c>
      <c r="I295" s="114">
        <f t="shared" si="30"/>
        <v>0</v>
      </c>
      <c r="J295" s="114">
        <f t="shared" si="31"/>
        <v>0</v>
      </c>
      <c r="K295" s="114">
        <f t="shared" si="32"/>
        <v>0</v>
      </c>
      <c r="L295" s="113"/>
    </row>
    <row r="296" spans="1:12">
      <c r="A296" s="113">
        <v>233</v>
      </c>
      <c r="B296" s="114">
        <f t="shared" si="25"/>
        <v>0</v>
      </c>
      <c r="C296" s="114">
        <f t="shared" si="26"/>
        <v>0</v>
      </c>
      <c r="D296" s="114">
        <f t="shared" si="27"/>
        <v>0</v>
      </c>
      <c r="E296" s="114">
        <f t="shared" si="28"/>
        <v>0</v>
      </c>
      <c r="F296" s="113"/>
      <c r="G296" s="113">
        <v>233</v>
      </c>
      <c r="H296" s="114">
        <f t="shared" si="29"/>
        <v>0</v>
      </c>
      <c r="I296" s="114">
        <f t="shared" si="30"/>
        <v>0</v>
      </c>
      <c r="J296" s="114">
        <f t="shared" si="31"/>
        <v>0</v>
      </c>
      <c r="K296" s="114">
        <f t="shared" si="32"/>
        <v>0</v>
      </c>
      <c r="L296" s="113"/>
    </row>
    <row r="297" spans="1:12">
      <c r="A297" s="113">
        <v>234</v>
      </c>
      <c r="B297" s="114">
        <f t="shared" si="25"/>
        <v>0</v>
      </c>
      <c r="C297" s="114">
        <f t="shared" si="26"/>
        <v>0</v>
      </c>
      <c r="D297" s="114">
        <f t="shared" si="27"/>
        <v>0</v>
      </c>
      <c r="E297" s="114">
        <f t="shared" si="28"/>
        <v>0</v>
      </c>
      <c r="F297" s="113"/>
      <c r="G297" s="113">
        <v>234</v>
      </c>
      <c r="H297" s="114">
        <f t="shared" si="29"/>
        <v>0</v>
      </c>
      <c r="I297" s="114">
        <f t="shared" si="30"/>
        <v>0</v>
      </c>
      <c r="J297" s="114">
        <f t="shared" si="31"/>
        <v>0</v>
      </c>
      <c r="K297" s="114">
        <f t="shared" si="32"/>
        <v>0</v>
      </c>
      <c r="L297" s="113"/>
    </row>
    <row r="298" spans="1:12">
      <c r="A298" s="113">
        <v>235</v>
      </c>
      <c r="B298" s="114">
        <f t="shared" si="25"/>
        <v>0</v>
      </c>
      <c r="C298" s="114">
        <f t="shared" si="26"/>
        <v>0</v>
      </c>
      <c r="D298" s="114">
        <f t="shared" si="27"/>
        <v>0</v>
      </c>
      <c r="E298" s="114">
        <f t="shared" si="28"/>
        <v>0</v>
      </c>
      <c r="F298" s="113"/>
      <c r="G298" s="113">
        <v>235</v>
      </c>
      <c r="H298" s="114">
        <f t="shared" si="29"/>
        <v>0</v>
      </c>
      <c r="I298" s="114">
        <f t="shared" si="30"/>
        <v>0</v>
      </c>
      <c r="J298" s="114">
        <f t="shared" si="31"/>
        <v>0</v>
      </c>
      <c r="K298" s="114">
        <f t="shared" si="32"/>
        <v>0</v>
      </c>
      <c r="L298" s="113"/>
    </row>
    <row r="299" spans="1:12">
      <c r="A299" s="113">
        <v>236</v>
      </c>
      <c r="B299" s="114">
        <f t="shared" si="25"/>
        <v>0</v>
      </c>
      <c r="C299" s="114">
        <f t="shared" si="26"/>
        <v>0</v>
      </c>
      <c r="D299" s="114">
        <f t="shared" si="27"/>
        <v>0</v>
      </c>
      <c r="E299" s="114">
        <f t="shared" si="28"/>
        <v>0</v>
      </c>
      <c r="F299" s="113"/>
      <c r="G299" s="113">
        <v>236</v>
      </c>
      <c r="H299" s="114">
        <f t="shared" si="29"/>
        <v>0</v>
      </c>
      <c r="I299" s="114">
        <f t="shared" si="30"/>
        <v>0</v>
      </c>
      <c r="J299" s="114">
        <f t="shared" si="31"/>
        <v>0</v>
      </c>
      <c r="K299" s="114">
        <f t="shared" si="32"/>
        <v>0</v>
      </c>
      <c r="L299" s="113"/>
    </row>
    <row r="300" spans="1:12">
      <c r="A300" s="113">
        <v>237</v>
      </c>
      <c r="B300" s="114">
        <f t="shared" si="25"/>
        <v>0</v>
      </c>
      <c r="C300" s="114">
        <f t="shared" si="26"/>
        <v>0</v>
      </c>
      <c r="D300" s="114">
        <f t="shared" si="27"/>
        <v>0</v>
      </c>
      <c r="E300" s="114">
        <f t="shared" si="28"/>
        <v>0</v>
      </c>
      <c r="F300" s="113"/>
      <c r="G300" s="113">
        <v>237</v>
      </c>
      <c r="H300" s="114">
        <f t="shared" si="29"/>
        <v>0</v>
      </c>
      <c r="I300" s="114">
        <f t="shared" si="30"/>
        <v>0</v>
      </c>
      <c r="J300" s="114">
        <f t="shared" si="31"/>
        <v>0</v>
      </c>
      <c r="K300" s="114">
        <f t="shared" si="32"/>
        <v>0</v>
      </c>
      <c r="L300" s="113"/>
    </row>
    <row r="301" spans="1:12">
      <c r="A301" s="113">
        <v>238</v>
      </c>
      <c r="B301" s="114">
        <f t="shared" si="25"/>
        <v>0</v>
      </c>
      <c r="C301" s="114">
        <f t="shared" si="26"/>
        <v>0</v>
      </c>
      <c r="D301" s="114">
        <f t="shared" si="27"/>
        <v>0</v>
      </c>
      <c r="E301" s="114">
        <f t="shared" si="28"/>
        <v>0</v>
      </c>
      <c r="F301" s="113"/>
      <c r="G301" s="113">
        <v>238</v>
      </c>
      <c r="H301" s="114">
        <f t="shared" si="29"/>
        <v>0</v>
      </c>
      <c r="I301" s="114">
        <f t="shared" si="30"/>
        <v>0</v>
      </c>
      <c r="J301" s="114">
        <f t="shared" si="31"/>
        <v>0</v>
      </c>
      <c r="K301" s="114">
        <f t="shared" si="32"/>
        <v>0</v>
      </c>
      <c r="L301" s="113"/>
    </row>
    <row r="302" spans="1:12">
      <c r="A302" s="113">
        <v>239</v>
      </c>
      <c r="B302" s="114">
        <f t="shared" si="25"/>
        <v>0</v>
      </c>
      <c r="C302" s="114">
        <f t="shared" si="26"/>
        <v>0</v>
      </c>
      <c r="D302" s="114">
        <f t="shared" si="27"/>
        <v>0</v>
      </c>
      <c r="E302" s="114">
        <f t="shared" si="28"/>
        <v>0</v>
      </c>
      <c r="F302" s="113"/>
      <c r="G302" s="113">
        <v>239</v>
      </c>
      <c r="H302" s="114">
        <f t="shared" si="29"/>
        <v>0</v>
      </c>
      <c r="I302" s="114">
        <f t="shared" si="30"/>
        <v>0</v>
      </c>
      <c r="J302" s="114">
        <f t="shared" si="31"/>
        <v>0</v>
      </c>
      <c r="K302" s="114">
        <f t="shared" si="32"/>
        <v>0</v>
      </c>
      <c r="L302" s="113"/>
    </row>
    <row r="303" spans="1:12">
      <c r="A303" s="113">
        <v>240</v>
      </c>
      <c r="B303" s="114">
        <f t="shared" si="25"/>
        <v>0</v>
      </c>
      <c r="C303" s="114">
        <f t="shared" si="26"/>
        <v>0</v>
      </c>
      <c r="D303" s="114">
        <f t="shared" si="27"/>
        <v>0</v>
      </c>
      <c r="E303" s="114">
        <f t="shared" si="28"/>
        <v>0</v>
      </c>
      <c r="F303" s="113">
        <v>20</v>
      </c>
      <c r="G303" s="113">
        <v>240</v>
      </c>
      <c r="H303" s="114">
        <f t="shared" si="29"/>
        <v>0</v>
      </c>
      <c r="I303" s="114">
        <f t="shared" si="30"/>
        <v>0</v>
      </c>
      <c r="J303" s="114">
        <f t="shared" si="31"/>
        <v>0</v>
      </c>
      <c r="K303" s="114">
        <f t="shared" si="32"/>
        <v>0</v>
      </c>
      <c r="L303" s="113">
        <v>20</v>
      </c>
    </row>
    <row r="304" spans="1:12">
      <c r="A304" s="113">
        <v>241</v>
      </c>
      <c r="B304" s="114">
        <f t="shared" si="25"/>
        <v>0</v>
      </c>
      <c r="C304" s="114">
        <f t="shared" si="26"/>
        <v>0</v>
      </c>
      <c r="D304" s="114">
        <f t="shared" si="27"/>
        <v>0</v>
      </c>
      <c r="E304" s="114">
        <f t="shared" si="28"/>
        <v>0</v>
      </c>
      <c r="F304" s="113"/>
      <c r="G304" s="113">
        <v>241</v>
      </c>
      <c r="H304" s="114">
        <f t="shared" si="29"/>
        <v>0</v>
      </c>
      <c r="I304" s="114">
        <f t="shared" si="30"/>
        <v>0</v>
      </c>
      <c r="J304" s="114">
        <f t="shared" si="31"/>
        <v>0</v>
      </c>
      <c r="K304" s="114">
        <f t="shared" si="32"/>
        <v>0</v>
      </c>
      <c r="L304" s="113"/>
    </row>
    <row r="305" spans="1:12">
      <c r="A305" s="113">
        <v>242</v>
      </c>
      <c r="B305" s="114">
        <f t="shared" si="25"/>
        <v>0</v>
      </c>
      <c r="C305" s="114">
        <f t="shared" si="26"/>
        <v>0</v>
      </c>
      <c r="D305" s="114">
        <f t="shared" si="27"/>
        <v>0</v>
      </c>
      <c r="E305" s="114">
        <f t="shared" si="28"/>
        <v>0</v>
      </c>
      <c r="F305" s="113"/>
      <c r="G305" s="113">
        <v>242</v>
      </c>
      <c r="H305" s="114">
        <f t="shared" si="29"/>
        <v>0</v>
      </c>
      <c r="I305" s="114">
        <f t="shared" si="30"/>
        <v>0</v>
      </c>
      <c r="J305" s="114">
        <f t="shared" si="31"/>
        <v>0</v>
      </c>
      <c r="K305" s="114">
        <f t="shared" si="32"/>
        <v>0</v>
      </c>
      <c r="L305" s="113"/>
    </row>
    <row r="306" spans="1:12">
      <c r="A306" s="113">
        <v>243</v>
      </c>
      <c r="B306" s="114">
        <f t="shared" si="25"/>
        <v>0</v>
      </c>
      <c r="C306" s="114">
        <f t="shared" si="26"/>
        <v>0</v>
      </c>
      <c r="D306" s="114">
        <f t="shared" si="27"/>
        <v>0</v>
      </c>
      <c r="E306" s="114">
        <f t="shared" si="28"/>
        <v>0</v>
      </c>
      <c r="F306" s="113"/>
      <c r="G306" s="113">
        <v>243</v>
      </c>
      <c r="H306" s="114">
        <f t="shared" si="29"/>
        <v>0</v>
      </c>
      <c r="I306" s="114">
        <f t="shared" si="30"/>
        <v>0</v>
      </c>
      <c r="J306" s="114">
        <f t="shared" si="31"/>
        <v>0</v>
      </c>
      <c r="K306" s="114">
        <f t="shared" si="32"/>
        <v>0</v>
      </c>
      <c r="L306" s="113"/>
    </row>
    <row r="307" spans="1:12">
      <c r="A307" s="113">
        <v>244</v>
      </c>
      <c r="B307" s="114">
        <f t="shared" si="25"/>
        <v>0</v>
      </c>
      <c r="C307" s="114">
        <f t="shared" si="26"/>
        <v>0</v>
      </c>
      <c r="D307" s="114">
        <f t="shared" si="27"/>
        <v>0</v>
      </c>
      <c r="E307" s="114">
        <f t="shared" si="28"/>
        <v>0</v>
      </c>
      <c r="F307" s="113"/>
      <c r="G307" s="113">
        <v>244</v>
      </c>
      <c r="H307" s="114">
        <f t="shared" si="29"/>
        <v>0</v>
      </c>
      <c r="I307" s="114">
        <f t="shared" si="30"/>
        <v>0</v>
      </c>
      <c r="J307" s="114">
        <f t="shared" si="31"/>
        <v>0</v>
      </c>
      <c r="K307" s="114">
        <f t="shared" si="32"/>
        <v>0</v>
      </c>
      <c r="L307" s="113"/>
    </row>
    <row r="308" spans="1:12">
      <c r="A308" s="113">
        <v>245</v>
      </c>
      <c r="B308" s="114">
        <f t="shared" si="25"/>
        <v>0</v>
      </c>
      <c r="C308" s="114">
        <f t="shared" si="26"/>
        <v>0</v>
      </c>
      <c r="D308" s="114">
        <f t="shared" si="27"/>
        <v>0</v>
      </c>
      <c r="E308" s="114">
        <f t="shared" si="28"/>
        <v>0</v>
      </c>
      <c r="F308" s="113"/>
      <c r="G308" s="113">
        <v>245</v>
      </c>
      <c r="H308" s="114">
        <f t="shared" si="29"/>
        <v>0</v>
      </c>
      <c r="I308" s="114">
        <f t="shared" si="30"/>
        <v>0</v>
      </c>
      <c r="J308" s="114">
        <f t="shared" si="31"/>
        <v>0</v>
      </c>
      <c r="K308" s="114">
        <f t="shared" si="32"/>
        <v>0</v>
      </c>
      <c r="L308" s="113"/>
    </row>
    <row r="309" spans="1:12">
      <c r="A309" s="113">
        <v>246</v>
      </c>
      <c r="B309" s="114">
        <f t="shared" si="25"/>
        <v>0</v>
      </c>
      <c r="C309" s="114">
        <f t="shared" si="26"/>
        <v>0</v>
      </c>
      <c r="D309" s="114">
        <f t="shared" si="27"/>
        <v>0</v>
      </c>
      <c r="E309" s="114">
        <f t="shared" si="28"/>
        <v>0</v>
      </c>
      <c r="F309" s="113"/>
      <c r="G309" s="113">
        <v>246</v>
      </c>
      <c r="H309" s="114">
        <f t="shared" si="29"/>
        <v>0</v>
      </c>
      <c r="I309" s="114">
        <f t="shared" si="30"/>
        <v>0</v>
      </c>
      <c r="J309" s="114">
        <f t="shared" si="31"/>
        <v>0</v>
      </c>
      <c r="K309" s="114">
        <f t="shared" si="32"/>
        <v>0</v>
      </c>
      <c r="L309" s="113"/>
    </row>
    <row r="310" spans="1:12">
      <c r="A310" s="113">
        <v>247</v>
      </c>
      <c r="B310" s="114">
        <f t="shared" si="25"/>
        <v>0</v>
      </c>
      <c r="C310" s="114">
        <f t="shared" si="26"/>
        <v>0</v>
      </c>
      <c r="D310" s="114">
        <f t="shared" si="27"/>
        <v>0</v>
      </c>
      <c r="E310" s="114">
        <f t="shared" si="28"/>
        <v>0</v>
      </c>
      <c r="F310" s="113"/>
      <c r="G310" s="113">
        <v>247</v>
      </c>
      <c r="H310" s="114">
        <f t="shared" si="29"/>
        <v>0</v>
      </c>
      <c r="I310" s="114">
        <f t="shared" si="30"/>
        <v>0</v>
      </c>
      <c r="J310" s="114">
        <f t="shared" si="31"/>
        <v>0</v>
      </c>
      <c r="K310" s="114">
        <f t="shared" si="32"/>
        <v>0</v>
      </c>
      <c r="L310" s="113"/>
    </row>
    <row r="311" spans="1:12">
      <c r="A311" s="113">
        <v>248</v>
      </c>
      <c r="B311" s="114">
        <f t="shared" si="25"/>
        <v>0</v>
      </c>
      <c r="C311" s="114">
        <f t="shared" si="26"/>
        <v>0</v>
      </c>
      <c r="D311" s="114">
        <f t="shared" si="27"/>
        <v>0</v>
      </c>
      <c r="E311" s="114">
        <f t="shared" si="28"/>
        <v>0</v>
      </c>
      <c r="F311" s="113"/>
      <c r="G311" s="113">
        <v>248</v>
      </c>
      <c r="H311" s="114">
        <f t="shared" si="29"/>
        <v>0</v>
      </c>
      <c r="I311" s="114">
        <f t="shared" si="30"/>
        <v>0</v>
      </c>
      <c r="J311" s="114">
        <f t="shared" si="31"/>
        <v>0</v>
      </c>
      <c r="K311" s="114">
        <f t="shared" si="32"/>
        <v>0</v>
      </c>
      <c r="L311" s="113"/>
    </row>
    <row r="312" spans="1:12">
      <c r="A312" s="113">
        <v>249</v>
      </c>
      <c r="B312" s="114">
        <f t="shared" si="25"/>
        <v>0</v>
      </c>
      <c r="C312" s="114">
        <f t="shared" si="26"/>
        <v>0</v>
      </c>
      <c r="D312" s="114">
        <f t="shared" si="27"/>
        <v>0</v>
      </c>
      <c r="E312" s="114">
        <f t="shared" si="28"/>
        <v>0</v>
      </c>
      <c r="F312" s="113"/>
      <c r="G312" s="113">
        <v>249</v>
      </c>
      <c r="H312" s="114">
        <f t="shared" si="29"/>
        <v>0</v>
      </c>
      <c r="I312" s="114">
        <f t="shared" si="30"/>
        <v>0</v>
      </c>
      <c r="J312" s="114">
        <f t="shared" si="31"/>
        <v>0</v>
      </c>
      <c r="K312" s="114">
        <f t="shared" si="32"/>
        <v>0</v>
      </c>
      <c r="L312" s="113"/>
    </row>
    <row r="313" spans="1:12">
      <c r="A313" s="113">
        <v>250</v>
      </c>
      <c r="B313" s="114">
        <f t="shared" si="25"/>
        <v>0</v>
      </c>
      <c r="C313" s="114">
        <f t="shared" si="26"/>
        <v>0</v>
      </c>
      <c r="D313" s="114">
        <f t="shared" si="27"/>
        <v>0</v>
      </c>
      <c r="E313" s="114">
        <f t="shared" si="28"/>
        <v>0</v>
      </c>
      <c r="F313" s="113"/>
      <c r="G313" s="113">
        <v>250</v>
      </c>
      <c r="H313" s="114">
        <f t="shared" si="29"/>
        <v>0</v>
      </c>
      <c r="I313" s="114">
        <f t="shared" si="30"/>
        <v>0</v>
      </c>
      <c r="J313" s="114">
        <f t="shared" si="31"/>
        <v>0</v>
      </c>
      <c r="K313" s="114">
        <f t="shared" si="32"/>
        <v>0</v>
      </c>
      <c r="L313" s="113"/>
    </row>
    <row r="314" spans="1:12">
      <c r="A314" s="113">
        <v>251</v>
      </c>
      <c r="B314" s="114">
        <f t="shared" si="25"/>
        <v>0</v>
      </c>
      <c r="C314" s="114">
        <f t="shared" si="26"/>
        <v>0</v>
      </c>
      <c r="D314" s="114">
        <f t="shared" si="27"/>
        <v>0</v>
      </c>
      <c r="E314" s="114">
        <f t="shared" si="28"/>
        <v>0</v>
      </c>
      <c r="F314" s="113"/>
      <c r="G314" s="113">
        <v>251</v>
      </c>
      <c r="H314" s="114">
        <f t="shared" si="29"/>
        <v>0</v>
      </c>
      <c r="I314" s="114">
        <f t="shared" si="30"/>
        <v>0</v>
      </c>
      <c r="J314" s="114">
        <f t="shared" si="31"/>
        <v>0</v>
      </c>
      <c r="K314" s="114">
        <f t="shared" si="32"/>
        <v>0</v>
      </c>
      <c r="L314" s="113"/>
    </row>
    <row r="315" spans="1:12">
      <c r="A315" s="113">
        <v>252</v>
      </c>
      <c r="B315" s="114">
        <f t="shared" si="25"/>
        <v>0</v>
      </c>
      <c r="C315" s="114">
        <f t="shared" si="26"/>
        <v>0</v>
      </c>
      <c r="D315" s="114">
        <f t="shared" si="27"/>
        <v>0</v>
      </c>
      <c r="E315" s="114">
        <f t="shared" si="28"/>
        <v>0</v>
      </c>
      <c r="F315" s="113">
        <v>21</v>
      </c>
      <c r="G315" s="113">
        <v>252</v>
      </c>
      <c r="H315" s="114">
        <f t="shared" si="29"/>
        <v>0</v>
      </c>
      <c r="I315" s="114">
        <f t="shared" si="30"/>
        <v>0</v>
      </c>
      <c r="J315" s="114">
        <f t="shared" si="31"/>
        <v>0</v>
      </c>
      <c r="K315" s="114">
        <f t="shared" si="32"/>
        <v>0</v>
      </c>
      <c r="L315" s="113">
        <v>21</v>
      </c>
    </row>
    <row r="316" spans="1:12">
      <c r="A316" s="113">
        <v>253</v>
      </c>
      <c r="B316" s="114">
        <f t="shared" si="25"/>
        <v>0</v>
      </c>
      <c r="C316" s="114">
        <f t="shared" si="26"/>
        <v>0</v>
      </c>
      <c r="D316" s="114">
        <f t="shared" si="27"/>
        <v>0</v>
      </c>
      <c r="E316" s="114">
        <f t="shared" si="28"/>
        <v>0</v>
      </c>
      <c r="F316" s="113"/>
      <c r="G316" s="113">
        <v>253</v>
      </c>
      <c r="H316" s="114">
        <f t="shared" si="29"/>
        <v>0</v>
      </c>
      <c r="I316" s="114">
        <f t="shared" si="30"/>
        <v>0</v>
      </c>
      <c r="J316" s="114">
        <f t="shared" si="31"/>
        <v>0</v>
      </c>
      <c r="K316" s="114">
        <f t="shared" si="32"/>
        <v>0</v>
      </c>
      <c r="L316" s="113"/>
    </row>
    <row r="317" spans="1:12">
      <c r="A317" s="113">
        <v>254</v>
      </c>
      <c r="B317" s="114">
        <f t="shared" si="25"/>
        <v>0</v>
      </c>
      <c r="C317" s="114">
        <f t="shared" si="26"/>
        <v>0</v>
      </c>
      <c r="D317" s="114">
        <f t="shared" si="27"/>
        <v>0</v>
      </c>
      <c r="E317" s="114">
        <f t="shared" si="28"/>
        <v>0</v>
      </c>
      <c r="F317" s="113"/>
      <c r="G317" s="113">
        <v>254</v>
      </c>
      <c r="H317" s="114">
        <f t="shared" si="29"/>
        <v>0</v>
      </c>
      <c r="I317" s="114">
        <f t="shared" si="30"/>
        <v>0</v>
      </c>
      <c r="J317" s="114">
        <f t="shared" si="31"/>
        <v>0</v>
      </c>
      <c r="K317" s="114">
        <f t="shared" si="32"/>
        <v>0</v>
      </c>
      <c r="L317" s="113"/>
    </row>
    <row r="318" spans="1:12">
      <c r="A318" s="113">
        <v>255</v>
      </c>
      <c r="B318" s="114">
        <f t="shared" si="25"/>
        <v>0</v>
      </c>
      <c r="C318" s="114">
        <f t="shared" si="26"/>
        <v>0</v>
      </c>
      <c r="D318" s="114">
        <f t="shared" si="27"/>
        <v>0</v>
      </c>
      <c r="E318" s="114">
        <f t="shared" si="28"/>
        <v>0</v>
      </c>
      <c r="F318" s="113"/>
      <c r="G318" s="113">
        <v>255</v>
      </c>
      <c r="H318" s="114">
        <f t="shared" si="29"/>
        <v>0</v>
      </c>
      <c r="I318" s="114">
        <f t="shared" si="30"/>
        <v>0</v>
      </c>
      <c r="J318" s="114">
        <f t="shared" si="31"/>
        <v>0</v>
      </c>
      <c r="K318" s="114">
        <f t="shared" si="32"/>
        <v>0</v>
      </c>
      <c r="L318" s="113"/>
    </row>
    <row r="319" spans="1:12">
      <c r="A319" s="113">
        <v>256</v>
      </c>
      <c r="B319" s="114">
        <f t="shared" si="25"/>
        <v>0</v>
      </c>
      <c r="C319" s="114">
        <f t="shared" si="26"/>
        <v>0</v>
      </c>
      <c r="D319" s="114">
        <f t="shared" si="27"/>
        <v>0</v>
      </c>
      <c r="E319" s="114">
        <f t="shared" si="28"/>
        <v>0</v>
      </c>
      <c r="F319" s="113"/>
      <c r="G319" s="113">
        <v>256</v>
      </c>
      <c r="H319" s="114">
        <f t="shared" si="29"/>
        <v>0</v>
      </c>
      <c r="I319" s="114">
        <f t="shared" si="30"/>
        <v>0</v>
      </c>
      <c r="J319" s="114">
        <f t="shared" si="31"/>
        <v>0</v>
      </c>
      <c r="K319" s="114">
        <f t="shared" si="32"/>
        <v>0</v>
      </c>
      <c r="L319" s="113"/>
    </row>
    <row r="320" spans="1:12">
      <c r="A320" s="113">
        <v>257</v>
      </c>
      <c r="B320" s="114">
        <f t="shared" ref="B320:B383" si="33">IF(A320&gt;12*$C$9,0,IF($C$5&gt;1500000,$D$12,$C$12))</f>
        <v>0</v>
      </c>
      <c r="C320" s="114">
        <f t="shared" ref="C320:C383" si="34">IF(A320&gt;12*$C$9,0,E319*$C$7/12)</f>
        <v>0</v>
      </c>
      <c r="D320" s="114">
        <f t="shared" ref="D320:D383" si="35">IF(A320&gt;12*$C$9,0,B320-C320)</f>
        <v>0</v>
      </c>
      <c r="E320" s="114">
        <f t="shared" ref="E320:E383" si="36">IF(A320&gt;12*$C$9,0,E319-D320)</f>
        <v>0</v>
      </c>
      <c r="F320" s="113"/>
      <c r="G320" s="113">
        <v>257</v>
      </c>
      <c r="H320" s="114">
        <f t="shared" ref="H320:H383" si="37">IF(G320&gt;12*$C$9,0,IF($C$5&gt;1500000,$E$12,0))</f>
        <v>0</v>
      </c>
      <c r="I320" s="114">
        <f t="shared" ref="I320:I383" si="38">IF(G320&gt;12*$C$9,0,K319*$C$7/12)</f>
        <v>0</v>
      </c>
      <c r="J320" s="114">
        <f t="shared" ref="J320:J383" si="39">IF(G320&gt;12*$C$9,0,H320-I320)</f>
        <v>0</v>
      </c>
      <c r="K320" s="114">
        <f t="shared" ref="K320:K383" si="40">IF(G320&gt;12*$C$9,0,K319-J320)</f>
        <v>0</v>
      </c>
      <c r="L320" s="113"/>
    </row>
    <row r="321" spans="1:12">
      <c r="A321" s="113">
        <v>258</v>
      </c>
      <c r="B321" s="114">
        <f t="shared" si="33"/>
        <v>0</v>
      </c>
      <c r="C321" s="114">
        <f t="shared" si="34"/>
        <v>0</v>
      </c>
      <c r="D321" s="114">
        <f t="shared" si="35"/>
        <v>0</v>
      </c>
      <c r="E321" s="114">
        <f t="shared" si="36"/>
        <v>0</v>
      </c>
      <c r="F321" s="113"/>
      <c r="G321" s="113">
        <v>258</v>
      </c>
      <c r="H321" s="114">
        <f t="shared" si="37"/>
        <v>0</v>
      </c>
      <c r="I321" s="114">
        <f t="shared" si="38"/>
        <v>0</v>
      </c>
      <c r="J321" s="114">
        <f t="shared" si="39"/>
        <v>0</v>
      </c>
      <c r="K321" s="114">
        <f t="shared" si="40"/>
        <v>0</v>
      </c>
      <c r="L321" s="113"/>
    </row>
    <row r="322" spans="1:12">
      <c r="A322" s="113">
        <v>259</v>
      </c>
      <c r="B322" s="114">
        <f t="shared" si="33"/>
        <v>0</v>
      </c>
      <c r="C322" s="114">
        <f t="shared" si="34"/>
        <v>0</v>
      </c>
      <c r="D322" s="114">
        <f t="shared" si="35"/>
        <v>0</v>
      </c>
      <c r="E322" s="114">
        <f t="shared" si="36"/>
        <v>0</v>
      </c>
      <c r="F322" s="113"/>
      <c r="G322" s="113">
        <v>259</v>
      </c>
      <c r="H322" s="114">
        <f t="shared" si="37"/>
        <v>0</v>
      </c>
      <c r="I322" s="114">
        <f t="shared" si="38"/>
        <v>0</v>
      </c>
      <c r="J322" s="114">
        <f t="shared" si="39"/>
        <v>0</v>
      </c>
      <c r="K322" s="114">
        <f t="shared" si="40"/>
        <v>0</v>
      </c>
      <c r="L322" s="113"/>
    </row>
    <row r="323" spans="1:12">
      <c r="A323" s="113">
        <v>260</v>
      </c>
      <c r="B323" s="114">
        <f t="shared" si="33"/>
        <v>0</v>
      </c>
      <c r="C323" s="114">
        <f t="shared" si="34"/>
        <v>0</v>
      </c>
      <c r="D323" s="114">
        <f t="shared" si="35"/>
        <v>0</v>
      </c>
      <c r="E323" s="114">
        <f t="shared" si="36"/>
        <v>0</v>
      </c>
      <c r="F323" s="113"/>
      <c r="G323" s="113">
        <v>260</v>
      </c>
      <c r="H323" s="114">
        <f t="shared" si="37"/>
        <v>0</v>
      </c>
      <c r="I323" s="114">
        <f t="shared" si="38"/>
        <v>0</v>
      </c>
      <c r="J323" s="114">
        <f t="shared" si="39"/>
        <v>0</v>
      </c>
      <c r="K323" s="114">
        <f t="shared" si="40"/>
        <v>0</v>
      </c>
      <c r="L323" s="113"/>
    </row>
    <row r="324" spans="1:12">
      <c r="A324" s="113">
        <v>261</v>
      </c>
      <c r="B324" s="114">
        <f t="shared" si="33"/>
        <v>0</v>
      </c>
      <c r="C324" s="114">
        <f t="shared" si="34"/>
        <v>0</v>
      </c>
      <c r="D324" s="114">
        <f t="shared" si="35"/>
        <v>0</v>
      </c>
      <c r="E324" s="114">
        <f t="shared" si="36"/>
        <v>0</v>
      </c>
      <c r="F324" s="113"/>
      <c r="G324" s="113">
        <v>261</v>
      </c>
      <c r="H324" s="114">
        <f t="shared" si="37"/>
        <v>0</v>
      </c>
      <c r="I324" s="114">
        <f t="shared" si="38"/>
        <v>0</v>
      </c>
      <c r="J324" s="114">
        <f t="shared" si="39"/>
        <v>0</v>
      </c>
      <c r="K324" s="114">
        <f t="shared" si="40"/>
        <v>0</v>
      </c>
      <c r="L324" s="113"/>
    </row>
    <row r="325" spans="1:12">
      <c r="A325" s="113">
        <v>262</v>
      </c>
      <c r="B325" s="114">
        <f t="shared" si="33"/>
        <v>0</v>
      </c>
      <c r="C325" s="114">
        <f t="shared" si="34"/>
        <v>0</v>
      </c>
      <c r="D325" s="114">
        <f t="shared" si="35"/>
        <v>0</v>
      </c>
      <c r="E325" s="114">
        <f t="shared" si="36"/>
        <v>0</v>
      </c>
      <c r="F325" s="113"/>
      <c r="G325" s="113">
        <v>262</v>
      </c>
      <c r="H325" s="114">
        <f t="shared" si="37"/>
        <v>0</v>
      </c>
      <c r="I325" s="114">
        <f t="shared" si="38"/>
        <v>0</v>
      </c>
      <c r="J325" s="114">
        <f t="shared" si="39"/>
        <v>0</v>
      </c>
      <c r="K325" s="114">
        <f t="shared" si="40"/>
        <v>0</v>
      </c>
      <c r="L325" s="113"/>
    </row>
    <row r="326" spans="1:12">
      <c r="A326" s="113">
        <v>263</v>
      </c>
      <c r="B326" s="114">
        <f t="shared" si="33"/>
        <v>0</v>
      </c>
      <c r="C326" s="114">
        <f t="shared" si="34"/>
        <v>0</v>
      </c>
      <c r="D326" s="114">
        <f t="shared" si="35"/>
        <v>0</v>
      </c>
      <c r="E326" s="114">
        <f t="shared" si="36"/>
        <v>0</v>
      </c>
      <c r="F326" s="113"/>
      <c r="G326" s="113">
        <v>263</v>
      </c>
      <c r="H326" s="114">
        <f t="shared" si="37"/>
        <v>0</v>
      </c>
      <c r="I326" s="114">
        <f t="shared" si="38"/>
        <v>0</v>
      </c>
      <c r="J326" s="114">
        <f t="shared" si="39"/>
        <v>0</v>
      </c>
      <c r="K326" s="114">
        <f t="shared" si="40"/>
        <v>0</v>
      </c>
      <c r="L326" s="113"/>
    </row>
    <row r="327" spans="1:12">
      <c r="A327" s="113">
        <v>264</v>
      </c>
      <c r="B327" s="114">
        <f t="shared" si="33"/>
        <v>0</v>
      </c>
      <c r="C327" s="114">
        <f t="shared" si="34"/>
        <v>0</v>
      </c>
      <c r="D327" s="114">
        <f t="shared" si="35"/>
        <v>0</v>
      </c>
      <c r="E327" s="114">
        <f t="shared" si="36"/>
        <v>0</v>
      </c>
      <c r="F327" s="113">
        <v>22</v>
      </c>
      <c r="G327" s="113">
        <v>264</v>
      </c>
      <c r="H327" s="114">
        <f t="shared" si="37"/>
        <v>0</v>
      </c>
      <c r="I327" s="114">
        <f t="shared" si="38"/>
        <v>0</v>
      </c>
      <c r="J327" s="114">
        <f t="shared" si="39"/>
        <v>0</v>
      </c>
      <c r="K327" s="114">
        <f t="shared" si="40"/>
        <v>0</v>
      </c>
      <c r="L327" s="113">
        <v>22</v>
      </c>
    </row>
    <row r="328" spans="1:12">
      <c r="A328" s="113">
        <v>265</v>
      </c>
      <c r="B328" s="114">
        <f t="shared" si="33"/>
        <v>0</v>
      </c>
      <c r="C328" s="114">
        <f t="shared" si="34"/>
        <v>0</v>
      </c>
      <c r="D328" s="114">
        <f t="shared" si="35"/>
        <v>0</v>
      </c>
      <c r="E328" s="114">
        <f t="shared" si="36"/>
        <v>0</v>
      </c>
      <c r="F328" s="113"/>
      <c r="G328" s="113">
        <v>265</v>
      </c>
      <c r="H328" s="114">
        <f t="shared" si="37"/>
        <v>0</v>
      </c>
      <c r="I328" s="114">
        <f t="shared" si="38"/>
        <v>0</v>
      </c>
      <c r="J328" s="114">
        <f t="shared" si="39"/>
        <v>0</v>
      </c>
      <c r="K328" s="114">
        <f t="shared" si="40"/>
        <v>0</v>
      </c>
      <c r="L328" s="113"/>
    </row>
    <row r="329" spans="1:12">
      <c r="A329" s="113">
        <v>266</v>
      </c>
      <c r="B329" s="114">
        <f t="shared" si="33"/>
        <v>0</v>
      </c>
      <c r="C329" s="114">
        <f t="shared" si="34"/>
        <v>0</v>
      </c>
      <c r="D329" s="114">
        <f t="shared" si="35"/>
        <v>0</v>
      </c>
      <c r="E329" s="114">
        <f t="shared" si="36"/>
        <v>0</v>
      </c>
      <c r="F329" s="113"/>
      <c r="G329" s="113">
        <v>266</v>
      </c>
      <c r="H329" s="114">
        <f t="shared" si="37"/>
        <v>0</v>
      </c>
      <c r="I329" s="114">
        <f t="shared" si="38"/>
        <v>0</v>
      </c>
      <c r="J329" s="114">
        <f t="shared" si="39"/>
        <v>0</v>
      </c>
      <c r="K329" s="114">
        <f t="shared" si="40"/>
        <v>0</v>
      </c>
      <c r="L329" s="113"/>
    </row>
    <row r="330" spans="1:12">
      <c r="A330" s="113">
        <v>267</v>
      </c>
      <c r="B330" s="114">
        <f t="shared" si="33"/>
        <v>0</v>
      </c>
      <c r="C330" s="114">
        <f t="shared" si="34"/>
        <v>0</v>
      </c>
      <c r="D330" s="114">
        <f t="shared" si="35"/>
        <v>0</v>
      </c>
      <c r="E330" s="114">
        <f t="shared" si="36"/>
        <v>0</v>
      </c>
      <c r="F330" s="113"/>
      <c r="G330" s="113">
        <v>267</v>
      </c>
      <c r="H330" s="114">
        <f t="shared" si="37"/>
        <v>0</v>
      </c>
      <c r="I330" s="114">
        <f t="shared" si="38"/>
        <v>0</v>
      </c>
      <c r="J330" s="114">
        <f t="shared" si="39"/>
        <v>0</v>
      </c>
      <c r="K330" s="114">
        <f t="shared" si="40"/>
        <v>0</v>
      </c>
      <c r="L330" s="113"/>
    </row>
    <row r="331" spans="1:12">
      <c r="A331" s="113">
        <v>268</v>
      </c>
      <c r="B331" s="114">
        <f t="shared" si="33"/>
        <v>0</v>
      </c>
      <c r="C331" s="114">
        <f t="shared" si="34"/>
        <v>0</v>
      </c>
      <c r="D331" s="114">
        <f t="shared" si="35"/>
        <v>0</v>
      </c>
      <c r="E331" s="114">
        <f t="shared" si="36"/>
        <v>0</v>
      </c>
      <c r="F331" s="113"/>
      <c r="G331" s="113">
        <v>268</v>
      </c>
      <c r="H331" s="114">
        <f t="shared" si="37"/>
        <v>0</v>
      </c>
      <c r="I331" s="114">
        <f t="shared" si="38"/>
        <v>0</v>
      </c>
      <c r="J331" s="114">
        <f t="shared" si="39"/>
        <v>0</v>
      </c>
      <c r="K331" s="114">
        <f t="shared" si="40"/>
        <v>0</v>
      </c>
      <c r="L331" s="113"/>
    </row>
    <row r="332" spans="1:12">
      <c r="A332" s="113">
        <v>269</v>
      </c>
      <c r="B332" s="114">
        <f t="shared" si="33"/>
        <v>0</v>
      </c>
      <c r="C332" s="114">
        <f t="shared" si="34"/>
        <v>0</v>
      </c>
      <c r="D332" s="114">
        <f t="shared" si="35"/>
        <v>0</v>
      </c>
      <c r="E332" s="114">
        <f t="shared" si="36"/>
        <v>0</v>
      </c>
      <c r="F332" s="113"/>
      <c r="G332" s="113">
        <v>269</v>
      </c>
      <c r="H332" s="114">
        <f t="shared" si="37"/>
        <v>0</v>
      </c>
      <c r="I332" s="114">
        <f t="shared" si="38"/>
        <v>0</v>
      </c>
      <c r="J332" s="114">
        <f t="shared" si="39"/>
        <v>0</v>
      </c>
      <c r="K332" s="114">
        <f t="shared" si="40"/>
        <v>0</v>
      </c>
      <c r="L332" s="113"/>
    </row>
    <row r="333" spans="1:12">
      <c r="A333" s="113">
        <v>270</v>
      </c>
      <c r="B333" s="114">
        <f t="shared" si="33"/>
        <v>0</v>
      </c>
      <c r="C333" s="114">
        <f t="shared" si="34"/>
        <v>0</v>
      </c>
      <c r="D333" s="114">
        <f t="shared" si="35"/>
        <v>0</v>
      </c>
      <c r="E333" s="114">
        <f t="shared" si="36"/>
        <v>0</v>
      </c>
      <c r="F333" s="113"/>
      <c r="G333" s="113">
        <v>270</v>
      </c>
      <c r="H333" s="114">
        <f t="shared" si="37"/>
        <v>0</v>
      </c>
      <c r="I333" s="114">
        <f t="shared" si="38"/>
        <v>0</v>
      </c>
      <c r="J333" s="114">
        <f t="shared" si="39"/>
        <v>0</v>
      </c>
      <c r="K333" s="114">
        <f t="shared" si="40"/>
        <v>0</v>
      </c>
      <c r="L333" s="113"/>
    </row>
    <row r="334" spans="1:12">
      <c r="A334" s="113">
        <v>271</v>
      </c>
      <c r="B334" s="114">
        <f t="shared" si="33"/>
        <v>0</v>
      </c>
      <c r="C334" s="114">
        <f t="shared" si="34"/>
        <v>0</v>
      </c>
      <c r="D334" s="114">
        <f t="shared" si="35"/>
        <v>0</v>
      </c>
      <c r="E334" s="114">
        <f t="shared" si="36"/>
        <v>0</v>
      </c>
      <c r="F334" s="113"/>
      <c r="G334" s="113">
        <v>271</v>
      </c>
      <c r="H334" s="114">
        <f t="shared" si="37"/>
        <v>0</v>
      </c>
      <c r="I334" s="114">
        <f t="shared" si="38"/>
        <v>0</v>
      </c>
      <c r="J334" s="114">
        <f t="shared" si="39"/>
        <v>0</v>
      </c>
      <c r="K334" s="114">
        <f t="shared" si="40"/>
        <v>0</v>
      </c>
      <c r="L334" s="113"/>
    </row>
    <row r="335" spans="1:12">
      <c r="A335" s="113">
        <v>272</v>
      </c>
      <c r="B335" s="114">
        <f t="shared" si="33"/>
        <v>0</v>
      </c>
      <c r="C335" s="114">
        <f t="shared" si="34"/>
        <v>0</v>
      </c>
      <c r="D335" s="114">
        <f t="shared" si="35"/>
        <v>0</v>
      </c>
      <c r="E335" s="114">
        <f t="shared" si="36"/>
        <v>0</v>
      </c>
      <c r="F335" s="113"/>
      <c r="G335" s="113">
        <v>272</v>
      </c>
      <c r="H335" s="114">
        <f t="shared" si="37"/>
        <v>0</v>
      </c>
      <c r="I335" s="114">
        <f t="shared" si="38"/>
        <v>0</v>
      </c>
      <c r="J335" s="114">
        <f t="shared" si="39"/>
        <v>0</v>
      </c>
      <c r="K335" s="114">
        <f t="shared" si="40"/>
        <v>0</v>
      </c>
      <c r="L335" s="113"/>
    </row>
    <row r="336" spans="1:12">
      <c r="A336" s="113">
        <v>273</v>
      </c>
      <c r="B336" s="114">
        <f t="shared" si="33"/>
        <v>0</v>
      </c>
      <c r="C336" s="114">
        <f t="shared" si="34"/>
        <v>0</v>
      </c>
      <c r="D336" s="114">
        <f t="shared" si="35"/>
        <v>0</v>
      </c>
      <c r="E336" s="114">
        <f t="shared" si="36"/>
        <v>0</v>
      </c>
      <c r="F336" s="113"/>
      <c r="G336" s="113">
        <v>273</v>
      </c>
      <c r="H336" s="114">
        <f t="shared" si="37"/>
        <v>0</v>
      </c>
      <c r="I336" s="114">
        <f t="shared" si="38"/>
        <v>0</v>
      </c>
      <c r="J336" s="114">
        <f t="shared" si="39"/>
        <v>0</v>
      </c>
      <c r="K336" s="114">
        <f t="shared" si="40"/>
        <v>0</v>
      </c>
      <c r="L336" s="113"/>
    </row>
    <row r="337" spans="1:12">
      <c r="A337" s="113">
        <v>274</v>
      </c>
      <c r="B337" s="114">
        <f t="shared" si="33"/>
        <v>0</v>
      </c>
      <c r="C337" s="114">
        <f t="shared" si="34"/>
        <v>0</v>
      </c>
      <c r="D337" s="114">
        <f t="shared" si="35"/>
        <v>0</v>
      </c>
      <c r="E337" s="114">
        <f t="shared" si="36"/>
        <v>0</v>
      </c>
      <c r="F337" s="113"/>
      <c r="G337" s="113">
        <v>274</v>
      </c>
      <c r="H337" s="114">
        <f t="shared" si="37"/>
        <v>0</v>
      </c>
      <c r="I337" s="114">
        <f t="shared" si="38"/>
        <v>0</v>
      </c>
      <c r="J337" s="114">
        <f t="shared" si="39"/>
        <v>0</v>
      </c>
      <c r="K337" s="114">
        <f t="shared" si="40"/>
        <v>0</v>
      </c>
      <c r="L337" s="113"/>
    </row>
    <row r="338" spans="1:12">
      <c r="A338" s="113">
        <v>275</v>
      </c>
      <c r="B338" s="114">
        <f t="shared" si="33"/>
        <v>0</v>
      </c>
      <c r="C338" s="114">
        <f t="shared" si="34"/>
        <v>0</v>
      </c>
      <c r="D338" s="114">
        <f t="shared" si="35"/>
        <v>0</v>
      </c>
      <c r="E338" s="114">
        <f t="shared" si="36"/>
        <v>0</v>
      </c>
      <c r="F338" s="113"/>
      <c r="G338" s="113">
        <v>275</v>
      </c>
      <c r="H338" s="114">
        <f t="shared" si="37"/>
        <v>0</v>
      </c>
      <c r="I338" s="114">
        <f t="shared" si="38"/>
        <v>0</v>
      </c>
      <c r="J338" s="114">
        <f t="shared" si="39"/>
        <v>0</v>
      </c>
      <c r="K338" s="114">
        <f t="shared" si="40"/>
        <v>0</v>
      </c>
      <c r="L338" s="113"/>
    </row>
    <row r="339" spans="1:12">
      <c r="A339" s="113">
        <v>276</v>
      </c>
      <c r="B339" s="114">
        <f t="shared" si="33"/>
        <v>0</v>
      </c>
      <c r="C339" s="114">
        <f t="shared" si="34"/>
        <v>0</v>
      </c>
      <c r="D339" s="114">
        <f t="shared" si="35"/>
        <v>0</v>
      </c>
      <c r="E339" s="114">
        <f t="shared" si="36"/>
        <v>0</v>
      </c>
      <c r="F339" s="113">
        <v>23</v>
      </c>
      <c r="G339" s="113">
        <v>276</v>
      </c>
      <c r="H339" s="114">
        <f t="shared" si="37"/>
        <v>0</v>
      </c>
      <c r="I339" s="114">
        <f t="shared" si="38"/>
        <v>0</v>
      </c>
      <c r="J339" s="114">
        <f t="shared" si="39"/>
        <v>0</v>
      </c>
      <c r="K339" s="114">
        <f t="shared" si="40"/>
        <v>0</v>
      </c>
      <c r="L339" s="113">
        <v>23</v>
      </c>
    </row>
    <row r="340" spans="1:12">
      <c r="A340" s="113">
        <v>277</v>
      </c>
      <c r="B340" s="114">
        <f t="shared" si="33"/>
        <v>0</v>
      </c>
      <c r="C340" s="114">
        <f t="shared" si="34"/>
        <v>0</v>
      </c>
      <c r="D340" s="114">
        <f t="shared" si="35"/>
        <v>0</v>
      </c>
      <c r="E340" s="114">
        <f t="shared" si="36"/>
        <v>0</v>
      </c>
      <c r="F340" s="113"/>
      <c r="G340" s="113">
        <v>277</v>
      </c>
      <c r="H340" s="114">
        <f t="shared" si="37"/>
        <v>0</v>
      </c>
      <c r="I340" s="114">
        <f t="shared" si="38"/>
        <v>0</v>
      </c>
      <c r="J340" s="114">
        <f t="shared" si="39"/>
        <v>0</v>
      </c>
      <c r="K340" s="114">
        <f t="shared" si="40"/>
        <v>0</v>
      </c>
      <c r="L340" s="113"/>
    </row>
    <row r="341" spans="1:12">
      <c r="A341" s="113">
        <v>278</v>
      </c>
      <c r="B341" s="114">
        <f t="shared" si="33"/>
        <v>0</v>
      </c>
      <c r="C341" s="114">
        <f t="shared" si="34"/>
        <v>0</v>
      </c>
      <c r="D341" s="114">
        <f t="shared" si="35"/>
        <v>0</v>
      </c>
      <c r="E341" s="114">
        <f t="shared" si="36"/>
        <v>0</v>
      </c>
      <c r="F341" s="113"/>
      <c r="G341" s="113">
        <v>278</v>
      </c>
      <c r="H341" s="114">
        <f t="shared" si="37"/>
        <v>0</v>
      </c>
      <c r="I341" s="114">
        <f t="shared" si="38"/>
        <v>0</v>
      </c>
      <c r="J341" s="114">
        <f t="shared" si="39"/>
        <v>0</v>
      </c>
      <c r="K341" s="114">
        <f t="shared" si="40"/>
        <v>0</v>
      </c>
      <c r="L341" s="113"/>
    </row>
    <row r="342" spans="1:12">
      <c r="A342" s="113">
        <v>279</v>
      </c>
      <c r="B342" s="114">
        <f t="shared" si="33"/>
        <v>0</v>
      </c>
      <c r="C342" s="114">
        <f t="shared" si="34"/>
        <v>0</v>
      </c>
      <c r="D342" s="114">
        <f t="shared" si="35"/>
        <v>0</v>
      </c>
      <c r="E342" s="114">
        <f t="shared" si="36"/>
        <v>0</v>
      </c>
      <c r="F342" s="113"/>
      <c r="G342" s="113">
        <v>279</v>
      </c>
      <c r="H342" s="114">
        <f t="shared" si="37"/>
        <v>0</v>
      </c>
      <c r="I342" s="114">
        <f t="shared" si="38"/>
        <v>0</v>
      </c>
      <c r="J342" s="114">
        <f t="shared" si="39"/>
        <v>0</v>
      </c>
      <c r="K342" s="114">
        <f t="shared" si="40"/>
        <v>0</v>
      </c>
      <c r="L342" s="113"/>
    </row>
    <row r="343" spans="1:12">
      <c r="A343" s="113">
        <v>280</v>
      </c>
      <c r="B343" s="114">
        <f t="shared" si="33"/>
        <v>0</v>
      </c>
      <c r="C343" s="114">
        <f t="shared" si="34"/>
        <v>0</v>
      </c>
      <c r="D343" s="114">
        <f t="shared" si="35"/>
        <v>0</v>
      </c>
      <c r="E343" s="114">
        <f t="shared" si="36"/>
        <v>0</v>
      </c>
      <c r="F343" s="113"/>
      <c r="G343" s="113">
        <v>280</v>
      </c>
      <c r="H343" s="114">
        <f t="shared" si="37"/>
        <v>0</v>
      </c>
      <c r="I343" s="114">
        <f t="shared" si="38"/>
        <v>0</v>
      </c>
      <c r="J343" s="114">
        <f t="shared" si="39"/>
        <v>0</v>
      </c>
      <c r="K343" s="114">
        <f t="shared" si="40"/>
        <v>0</v>
      </c>
      <c r="L343" s="113"/>
    </row>
    <row r="344" spans="1:12">
      <c r="A344" s="113">
        <v>281</v>
      </c>
      <c r="B344" s="114">
        <f t="shared" si="33"/>
        <v>0</v>
      </c>
      <c r="C344" s="114">
        <f t="shared" si="34"/>
        <v>0</v>
      </c>
      <c r="D344" s="114">
        <f t="shared" si="35"/>
        <v>0</v>
      </c>
      <c r="E344" s="114">
        <f t="shared" si="36"/>
        <v>0</v>
      </c>
      <c r="F344" s="113"/>
      <c r="G344" s="113">
        <v>281</v>
      </c>
      <c r="H344" s="114">
        <f t="shared" si="37"/>
        <v>0</v>
      </c>
      <c r="I344" s="114">
        <f t="shared" si="38"/>
        <v>0</v>
      </c>
      <c r="J344" s="114">
        <f t="shared" si="39"/>
        <v>0</v>
      </c>
      <c r="K344" s="114">
        <f t="shared" si="40"/>
        <v>0</v>
      </c>
      <c r="L344" s="113"/>
    </row>
    <row r="345" spans="1:12">
      <c r="A345" s="113">
        <v>282</v>
      </c>
      <c r="B345" s="114">
        <f t="shared" si="33"/>
        <v>0</v>
      </c>
      <c r="C345" s="114">
        <f t="shared" si="34"/>
        <v>0</v>
      </c>
      <c r="D345" s="114">
        <f t="shared" si="35"/>
        <v>0</v>
      </c>
      <c r="E345" s="114">
        <f t="shared" si="36"/>
        <v>0</v>
      </c>
      <c r="F345" s="113"/>
      <c r="G345" s="113">
        <v>282</v>
      </c>
      <c r="H345" s="114">
        <f t="shared" si="37"/>
        <v>0</v>
      </c>
      <c r="I345" s="114">
        <f t="shared" si="38"/>
        <v>0</v>
      </c>
      <c r="J345" s="114">
        <f t="shared" si="39"/>
        <v>0</v>
      </c>
      <c r="K345" s="114">
        <f t="shared" si="40"/>
        <v>0</v>
      </c>
      <c r="L345" s="113"/>
    </row>
    <row r="346" spans="1:12">
      <c r="A346" s="113">
        <v>283</v>
      </c>
      <c r="B346" s="114">
        <f t="shared" si="33"/>
        <v>0</v>
      </c>
      <c r="C346" s="114">
        <f t="shared" si="34"/>
        <v>0</v>
      </c>
      <c r="D346" s="114">
        <f t="shared" si="35"/>
        <v>0</v>
      </c>
      <c r="E346" s="114">
        <f t="shared" si="36"/>
        <v>0</v>
      </c>
      <c r="F346" s="113"/>
      <c r="G346" s="113">
        <v>283</v>
      </c>
      <c r="H346" s="114">
        <f t="shared" si="37"/>
        <v>0</v>
      </c>
      <c r="I346" s="114">
        <f t="shared" si="38"/>
        <v>0</v>
      </c>
      <c r="J346" s="114">
        <f t="shared" si="39"/>
        <v>0</v>
      </c>
      <c r="K346" s="114">
        <f t="shared" si="40"/>
        <v>0</v>
      </c>
      <c r="L346" s="113"/>
    </row>
    <row r="347" spans="1:12">
      <c r="A347" s="113">
        <v>284</v>
      </c>
      <c r="B347" s="114">
        <f t="shared" si="33"/>
        <v>0</v>
      </c>
      <c r="C347" s="114">
        <f t="shared" si="34"/>
        <v>0</v>
      </c>
      <c r="D347" s="114">
        <f t="shared" si="35"/>
        <v>0</v>
      </c>
      <c r="E347" s="114">
        <f t="shared" si="36"/>
        <v>0</v>
      </c>
      <c r="F347" s="113"/>
      <c r="G347" s="113">
        <v>284</v>
      </c>
      <c r="H347" s="114">
        <f t="shared" si="37"/>
        <v>0</v>
      </c>
      <c r="I347" s="114">
        <f t="shared" si="38"/>
        <v>0</v>
      </c>
      <c r="J347" s="114">
        <f t="shared" si="39"/>
        <v>0</v>
      </c>
      <c r="K347" s="114">
        <f t="shared" si="40"/>
        <v>0</v>
      </c>
      <c r="L347" s="113"/>
    </row>
    <row r="348" spans="1:12">
      <c r="A348" s="113">
        <v>285</v>
      </c>
      <c r="B348" s="114">
        <f t="shared" si="33"/>
        <v>0</v>
      </c>
      <c r="C348" s="114">
        <f t="shared" si="34"/>
        <v>0</v>
      </c>
      <c r="D348" s="114">
        <f t="shared" si="35"/>
        <v>0</v>
      </c>
      <c r="E348" s="114">
        <f t="shared" si="36"/>
        <v>0</v>
      </c>
      <c r="F348" s="113"/>
      <c r="G348" s="113">
        <v>285</v>
      </c>
      <c r="H348" s="114">
        <f t="shared" si="37"/>
        <v>0</v>
      </c>
      <c r="I348" s="114">
        <f t="shared" si="38"/>
        <v>0</v>
      </c>
      <c r="J348" s="114">
        <f t="shared" si="39"/>
        <v>0</v>
      </c>
      <c r="K348" s="114">
        <f t="shared" si="40"/>
        <v>0</v>
      </c>
      <c r="L348" s="113"/>
    </row>
    <row r="349" spans="1:12">
      <c r="A349" s="113">
        <v>286</v>
      </c>
      <c r="B349" s="114">
        <f t="shared" si="33"/>
        <v>0</v>
      </c>
      <c r="C349" s="114">
        <f t="shared" si="34"/>
        <v>0</v>
      </c>
      <c r="D349" s="114">
        <f t="shared" si="35"/>
        <v>0</v>
      </c>
      <c r="E349" s="114">
        <f t="shared" si="36"/>
        <v>0</v>
      </c>
      <c r="F349" s="113"/>
      <c r="G349" s="113">
        <v>286</v>
      </c>
      <c r="H349" s="114">
        <f t="shared" si="37"/>
        <v>0</v>
      </c>
      <c r="I349" s="114">
        <f t="shared" si="38"/>
        <v>0</v>
      </c>
      <c r="J349" s="114">
        <f t="shared" si="39"/>
        <v>0</v>
      </c>
      <c r="K349" s="114">
        <f t="shared" si="40"/>
        <v>0</v>
      </c>
      <c r="L349" s="113"/>
    </row>
    <row r="350" spans="1:12">
      <c r="A350" s="113">
        <v>287</v>
      </c>
      <c r="B350" s="114">
        <f t="shared" si="33"/>
        <v>0</v>
      </c>
      <c r="C350" s="114">
        <f t="shared" si="34"/>
        <v>0</v>
      </c>
      <c r="D350" s="114">
        <f t="shared" si="35"/>
        <v>0</v>
      </c>
      <c r="E350" s="114">
        <f t="shared" si="36"/>
        <v>0</v>
      </c>
      <c r="F350" s="113"/>
      <c r="G350" s="113">
        <v>287</v>
      </c>
      <c r="H350" s="114">
        <f t="shared" si="37"/>
        <v>0</v>
      </c>
      <c r="I350" s="114">
        <f t="shared" si="38"/>
        <v>0</v>
      </c>
      <c r="J350" s="114">
        <f t="shared" si="39"/>
        <v>0</v>
      </c>
      <c r="K350" s="114">
        <f t="shared" si="40"/>
        <v>0</v>
      </c>
      <c r="L350" s="113"/>
    </row>
    <row r="351" spans="1:12">
      <c r="A351" s="113">
        <v>288</v>
      </c>
      <c r="B351" s="114">
        <f t="shared" si="33"/>
        <v>0</v>
      </c>
      <c r="C351" s="114">
        <f t="shared" si="34"/>
        <v>0</v>
      </c>
      <c r="D351" s="114">
        <f t="shared" si="35"/>
        <v>0</v>
      </c>
      <c r="E351" s="114">
        <f t="shared" si="36"/>
        <v>0</v>
      </c>
      <c r="F351" s="113">
        <v>24</v>
      </c>
      <c r="G351" s="113">
        <v>288</v>
      </c>
      <c r="H351" s="114">
        <f t="shared" si="37"/>
        <v>0</v>
      </c>
      <c r="I351" s="114">
        <f t="shared" si="38"/>
        <v>0</v>
      </c>
      <c r="J351" s="114">
        <f t="shared" si="39"/>
        <v>0</v>
      </c>
      <c r="K351" s="114">
        <f t="shared" si="40"/>
        <v>0</v>
      </c>
      <c r="L351" s="113">
        <v>24</v>
      </c>
    </row>
    <row r="352" spans="1:12">
      <c r="A352" s="113">
        <v>289</v>
      </c>
      <c r="B352" s="114">
        <f t="shared" si="33"/>
        <v>0</v>
      </c>
      <c r="C352" s="114">
        <f t="shared" si="34"/>
        <v>0</v>
      </c>
      <c r="D352" s="114">
        <f t="shared" si="35"/>
        <v>0</v>
      </c>
      <c r="E352" s="114">
        <f t="shared" si="36"/>
        <v>0</v>
      </c>
      <c r="F352" s="113"/>
      <c r="G352" s="113">
        <v>289</v>
      </c>
      <c r="H352" s="114">
        <f t="shared" si="37"/>
        <v>0</v>
      </c>
      <c r="I352" s="114">
        <f t="shared" si="38"/>
        <v>0</v>
      </c>
      <c r="J352" s="114">
        <f t="shared" si="39"/>
        <v>0</v>
      </c>
      <c r="K352" s="114">
        <f t="shared" si="40"/>
        <v>0</v>
      </c>
      <c r="L352" s="113"/>
    </row>
    <row r="353" spans="1:12">
      <c r="A353" s="113">
        <v>290</v>
      </c>
      <c r="B353" s="114">
        <f t="shared" si="33"/>
        <v>0</v>
      </c>
      <c r="C353" s="114">
        <f t="shared" si="34"/>
        <v>0</v>
      </c>
      <c r="D353" s="114">
        <f t="shared" si="35"/>
        <v>0</v>
      </c>
      <c r="E353" s="114">
        <f t="shared" si="36"/>
        <v>0</v>
      </c>
      <c r="F353" s="113"/>
      <c r="G353" s="113">
        <v>290</v>
      </c>
      <c r="H353" s="114">
        <f t="shared" si="37"/>
        <v>0</v>
      </c>
      <c r="I353" s="114">
        <f t="shared" si="38"/>
        <v>0</v>
      </c>
      <c r="J353" s="114">
        <f t="shared" si="39"/>
        <v>0</v>
      </c>
      <c r="K353" s="114">
        <f t="shared" si="40"/>
        <v>0</v>
      </c>
      <c r="L353" s="113"/>
    </row>
    <row r="354" spans="1:12">
      <c r="A354" s="113">
        <v>291</v>
      </c>
      <c r="B354" s="114">
        <f t="shared" si="33"/>
        <v>0</v>
      </c>
      <c r="C354" s="114">
        <f t="shared" si="34"/>
        <v>0</v>
      </c>
      <c r="D354" s="114">
        <f t="shared" si="35"/>
        <v>0</v>
      </c>
      <c r="E354" s="114">
        <f t="shared" si="36"/>
        <v>0</v>
      </c>
      <c r="F354" s="113"/>
      <c r="G354" s="113">
        <v>291</v>
      </c>
      <c r="H354" s="114">
        <f t="shared" si="37"/>
        <v>0</v>
      </c>
      <c r="I354" s="114">
        <f t="shared" si="38"/>
        <v>0</v>
      </c>
      <c r="J354" s="114">
        <f t="shared" si="39"/>
        <v>0</v>
      </c>
      <c r="K354" s="114">
        <f t="shared" si="40"/>
        <v>0</v>
      </c>
      <c r="L354" s="113"/>
    </row>
    <row r="355" spans="1:12">
      <c r="A355" s="113">
        <v>292</v>
      </c>
      <c r="B355" s="114">
        <f t="shared" si="33"/>
        <v>0</v>
      </c>
      <c r="C355" s="114">
        <f t="shared" si="34"/>
        <v>0</v>
      </c>
      <c r="D355" s="114">
        <f t="shared" si="35"/>
        <v>0</v>
      </c>
      <c r="E355" s="114">
        <f t="shared" si="36"/>
        <v>0</v>
      </c>
      <c r="F355" s="113"/>
      <c r="G355" s="113">
        <v>292</v>
      </c>
      <c r="H355" s="114">
        <f t="shared" si="37"/>
        <v>0</v>
      </c>
      <c r="I355" s="114">
        <f t="shared" si="38"/>
        <v>0</v>
      </c>
      <c r="J355" s="114">
        <f t="shared" si="39"/>
        <v>0</v>
      </c>
      <c r="K355" s="114">
        <f t="shared" si="40"/>
        <v>0</v>
      </c>
      <c r="L355" s="113"/>
    </row>
    <row r="356" spans="1:12">
      <c r="A356" s="113">
        <v>293</v>
      </c>
      <c r="B356" s="114">
        <f t="shared" si="33"/>
        <v>0</v>
      </c>
      <c r="C356" s="114">
        <f t="shared" si="34"/>
        <v>0</v>
      </c>
      <c r="D356" s="114">
        <f t="shared" si="35"/>
        <v>0</v>
      </c>
      <c r="E356" s="114">
        <f t="shared" si="36"/>
        <v>0</v>
      </c>
      <c r="F356" s="113"/>
      <c r="G356" s="113">
        <v>293</v>
      </c>
      <c r="H356" s="114">
        <f t="shared" si="37"/>
        <v>0</v>
      </c>
      <c r="I356" s="114">
        <f t="shared" si="38"/>
        <v>0</v>
      </c>
      <c r="J356" s="114">
        <f t="shared" si="39"/>
        <v>0</v>
      </c>
      <c r="K356" s="114">
        <f t="shared" si="40"/>
        <v>0</v>
      </c>
      <c r="L356" s="113"/>
    </row>
    <row r="357" spans="1:12">
      <c r="A357" s="113">
        <v>294</v>
      </c>
      <c r="B357" s="114">
        <f t="shared" si="33"/>
        <v>0</v>
      </c>
      <c r="C357" s="114">
        <f t="shared" si="34"/>
        <v>0</v>
      </c>
      <c r="D357" s="114">
        <f t="shared" si="35"/>
        <v>0</v>
      </c>
      <c r="E357" s="114">
        <f t="shared" si="36"/>
        <v>0</v>
      </c>
      <c r="F357" s="113"/>
      <c r="G357" s="113">
        <v>294</v>
      </c>
      <c r="H357" s="114">
        <f t="shared" si="37"/>
        <v>0</v>
      </c>
      <c r="I357" s="114">
        <f t="shared" si="38"/>
        <v>0</v>
      </c>
      <c r="J357" s="114">
        <f t="shared" si="39"/>
        <v>0</v>
      </c>
      <c r="K357" s="114">
        <f t="shared" si="40"/>
        <v>0</v>
      </c>
      <c r="L357" s="113"/>
    </row>
    <row r="358" spans="1:12">
      <c r="A358" s="113">
        <v>295</v>
      </c>
      <c r="B358" s="114">
        <f t="shared" si="33"/>
        <v>0</v>
      </c>
      <c r="C358" s="114">
        <f t="shared" si="34"/>
        <v>0</v>
      </c>
      <c r="D358" s="114">
        <f t="shared" si="35"/>
        <v>0</v>
      </c>
      <c r="E358" s="114">
        <f t="shared" si="36"/>
        <v>0</v>
      </c>
      <c r="F358" s="113"/>
      <c r="G358" s="113">
        <v>295</v>
      </c>
      <c r="H358" s="114">
        <f t="shared" si="37"/>
        <v>0</v>
      </c>
      <c r="I358" s="114">
        <f t="shared" si="38"/>
        <v>0</v>
      </c>
      <c r="J358" s="114">
        <f t="shared" si="39"/>
        <v>0</v>
      </c>
      <c r="K358" s="114">
        <f t="shared" si="40"/>
        <v>0</v>
      </c>
      <c r="L358" s="113"/>
    </row>
    <row r="359" spans="1:12">
      <c r="A359" s="113">
        <v>296</v>
      </c>
      <c r="B359" s="114">
        <f t="shared" si="33"/>
        <v>0</v>
      </c>
      <c r="C359" s="114">
        <f t="shared" si="34"/>
        <v>0</v>
      </c>
      <c r="D359" s="114">
        <f t="shared" si="35"/>
        <v>0</v>
      </c>
      <c r="E359" s="114">
        <f t="shared" si="36"/>
        <v>0</v>
      </c>
      <c r="F359" s="113"/>
      <c r="G359" s="113">
        <v>296</v>
      </c>
      <c r="H359" s="114">
        <f t="shared" si="37"/>
        <v>0</v>
      </c>
      <c r="I359" s="114">
        <f t="shared" si="38"/>
        <v>0</v>
      </c>
      <c r="J359" s="114">
        <f t="shared" si="39"/>
        <v>0</v>
      </c>
      <c r="K359" s="114">
        <f t="shared" si="40"/>
        <v>0</v>
      </c>
      <c r="L359" s="113"/>
    </row>
    <row r="360" spans="1:12">
      <c r="A360" s="113">
        <v>297</v>
      </c>
      <c r="B360" s="114">
        <f t="shared" si="33"/>
        <v>0</v>
      </c>
      <c r="C360" s="114">
        <f t="shared" si="34"/>
        <v>0</v>
      </c>
      <c r="D360" s="114">
        <f t="shared" si="35"/>
        <v>0</v>
      </c>
      <c r="E360" s="114">
        <f t="shared" si="36"/>
        <v>0</v>
      </c>
      <c r="F360" s="113"/>
      <c r="G360" s="113">
        <v>297</v>
      </c>
      <c r="H360" s="114">
        <f t="shared" si="37"/>
        <v>0</v>
      </c>
      <c r="I360" s="114">
        <f t="shared" si="38"/>
        <v>0</v>
      </c>
      <c r="J360" s="114">
        <f t="shared" si="39"/>
        <v>0</v>
      </c>
      <c r="K360" s="114">
        <f t="shared" si="40"/>
        <v>0</v>
      </c>
      <c r="L360" s="113"/>
    </row>
    <row r="361" spans="1:12">
      <c r="A361" s="113">
        <v>298</v>
      </c>
      <c r="B361" s="114">
        <f t="shared" si="33"/>
        <v>0</v>
      </c>
      <c r="C361" s="114">
        <f t="shared" si="34"/>
        <v>0</v>
      </c>
      <c r="D361" s="114">
        <f t="shared" si="35"/>
        <v>0</v>
      </c>
      <c r="E361" s="114">
        <f t="shared" si="36"/>
        <v>0</v>
      </c>
      <c r="F361" s="113"/>
      <c r="G361" s="113">
        <v>298</v>
      </c>
      <c r="H361" s="114">
        <f t="shared" si="37"/>
        <v>0</v>
      </c>
      <c r="I361" s="114">
        <f t="shared" si="38"/>
        <v>0</v>
      </c>
      <c r="J361" s="114">
        <f t="shared" si="39"/>
        <v>0</v>
      </c>
      <c r="K361" s="114">
        <f t="shared" si="40"/>
        <v>0</v>
      </c>
      <c r="L361" s="113"/>
    </row>
    <row r="362" spans="1:12">
      <c r="A362" s="113">
        <v>299</v>
      </c>
      <c r="B362" s="114">
        <f t="shared" si="33"/>
        <v>0</v>
      </c>
      <c r="C362" s="114">
        <f t="shared" si="34"/>
        <v>0</v>
      </c>
      <c r="D362" s="114">
        <f t="shared" si="35"/>
        <v>0</v>
      </c>
      <c r="E362" s="114">
        <f t="shared" si="36"/>
        <v>0</v>
      </c>
      <c r="F362" s="113"/>
      <c r="G362" s="113">
        <v>299</v>
      </c>
      <c r="H362" s="114">
        <f t="shared" si="37"/>
        <v>0</v>
      </c>
      <c r="I362" s="114">
        <f t="shared" si="38"/>
        <v>0</v>
      </c>
      <c r="J362" s="114">
        <f t="shared" si="39"/>
        <v>0</v>
      </c>
      <c r="K362" s="114">
        <f t="shared" si="40"/>
        <v>0</v>
      </c>
      <c r="L362" s="113"/>
    </row>
    <row r="363" spans="1:12">
      <c r="A363" s="113">
        <v>300</v>
      </c>
      <c r="B363" s="114">
        <f t="shared" si="33"/>
        <v>0</v>
      </c>
      <c r="C363" s="114">
        <f t="shared" si="34"/>
        <v>0</v>
      </c>
      <c r="D363" s="114">
        <f t="shared" si="35"/>
        <v>0</v>
      </c>
      <c r="E363" s="114">
        <f t="shared" si="36"/>
        <v>0</v>
      </c>
      <c r="F363" s="113">
        <v>25</v>
      </c>
      <c r="G363" s="113">
        <v>300</v>
      </c>
      <c r="H363" s="114">
        <f t="shared" si="37"/>
        <v>0</v>
      </c>
      <c r="I363" s="114">
        <f t="shared" si="38"/>
        <v>0</v>
      </c>
      <c r="J363" s="114">
        <f t="shared" si="39"/>
        <v>0</v>
      </c>
      <c r="K363" s="114">
        <f t="shared" si="40"/>
        <v>0</v>
      </c>
      <c r="L363" s="113">
        <v>25</v>
      </c>
    </row>
    <row r="364" spans="1:12">
      <c r="A364" s="113">
        <v>301</v>
      </c>
      <c r="B364" s="114">
        <f t="shared" si="33"/>
        <v>0</v>
      </c>
      <c r="C364" s="114">
        <f t="shared" si="34"/>
        <v>0</v>
      </c>
      <c r="D364" s="114">
        <f t="shared" si="35"/>
        <v>0</v>
      </c>
      <c r="E364" s="114">
        <f t="shared" si="36"/>
        <v>0</v>
      </c>
      <c r="F364" s="113"/>
      <c r="G364" s="113">
        <v>301</v>
      </c>
      <c r="H364" s="114">
        <f t="shared" si="37"/>
        <v>0</v>
      </c>
      <c r="I364" s="114">
        <f t="shared" si="38"/>
        <v>0</v>
      </c>
      <c r="J364" s="114">
        <f t="shared" si="39"/>
        <v>0</v>
      </c>
      <c r="K364" s="114">
        <f t="shared" si="40"/>
        <v>0</v>
      </c>
      <c r="L364" s="113"/>
    </row>
    <row r="365" spans="1:12">
      <c r="A365" s="113">
        <v>302</v>
      </c>
      <c r="B365" s="114">
        <f t="shared" si="33"/>
        <v>0</v>
      </c>
      <c r="C365" s="114">
        <f t="shared" si="34"/>
        <v>0</v>
      </c>
      <c r="D365" s="114">
        <f t="shared" si="35"/>
        <v>0</v>
      </c>
      <c r="E365" s="114">
        <f t="shared" si="36"/>
        <v>0</v>
      </c>
      <c r="F365" s="113"/>
      <c r="G365" s="113">
        <v>302</v>
      </c>
      <c r="H365" s="114">
        <f t="shared" si="37"/>
        <v>0</v>
      </c>
      <c r="I365" s="114">
        <f t="shared" si="38"/>
        <v>0</v>
      </c>
      <c r="J365" s="114">
        <f t="shared" si="39"/>
        <v>0</v>
      </c>
      <c r="K365" s="114">
        <f t="shared" si="40"/>
        <v>0</v>
      </c>
      <c r="L365" s="113"/>
    </row>
    <row r="366" spans="1:12">
      <c r="A366" s="113">
        <v>303</v>
      </c>
      <c r="B366" s="114">
        <f t="shared" si="33"/>
        <v>0</v>
      </c>
      <c r="C366" s="114">
        <f t="shared" si="34"/>
        <v>0</v>
      </c>
      <c r="D366" s="114">
        <f t="shared" si="35"/>
        <v>0</v>
      </c>
      <c r="E366" s="114">
        <f t="shared" si="36"/>
        <v>0</v>
      </c>
      <c r="F366" s="113"/>
      <c r="G366" s="113">
        <v>303</v>
      </c>
      <c r="H366" s="114">
        <f t="shared" si="37"/>
        <v>0</v>
      </c>
      <c r="I366" s="114">
        <f t="shared" si="38"/>
        <v>0</v>
      </c>
      <c r="J366" s="114">
        <f t="shared" si="39"/>
        <v>0</v>
      </c>
      <c r="K366" s="114">
        <f t="shared" si="40"/>
        <v>0</v>
      </c>
      <c r="L366" s="113"/>
    </row>
    <row r="367" spans="1:12">
      <c r="A367" s="113">
        <v>304</v>
      </c>
      <c r="B367" s="114">
        <f t="shared" si="33"/>
        <v>0</v>
      </c>
      <c r="C367" s="114">
        <f t="shared" si="34"/>
        <v>0</v>
      </c>
      <c r="D367" s="114">
        <f t="shared" si="35"/>
        <v>0</v>
      </c>
      <c r="E367" s="114">
        <f t="shared" si="36"/>
        <v>0</v>
      </c>
      <c r="F367" s="113"/>
      <c r="G367" s="113">
        <v>304</v>
      </c>
      <c r="H367" s="114">
        <f t="shared" si="37"/>
        <v>0</v>
      </c>
      <c r="I367" s="114">
        <f t="shared" si="38"/>
        <v>0</v>
      </c>
      <c r="J367" s="114">
        <f t="shared" si="39"/>
        <v>0</v>
      </c>
      <c r="K367" s="114">
        <f t="shared" si="40"/>
        <v>0</v>
      </c>
      <c r="L367" s="113"/>
    </row>
    <row r="368" spans="1:12">
      <c r="A368" s="113">
        <v>305</v>
      </c>
      <c r="B368" s="114">
        <f t="shared" si="33"/>
        <v>0</v>
      </c>
      <c r="C368" s="114">
        <f t="shared" si="34"/>
        <v>0</v>
      </c>
      <c r="D368" s="114">
        <f t="shared" si="35"/>
        <v>0</v>
      </c>
      <c r="E368" s="114">
        <f t="shared" si="36"/>
        <v>0</v>
      </c>
      <c r="F368" s="113"/>
      <c r="G368" s="113">
        <v>305</v>
      </c>
      <c r="H368" s="114">
        <f t="shared" si="37"/>
        <v>0</v>
      </c>
      <c r="I368" s="114">
        <f t="shared" si="38"/>
        <v>0</v>
      </c>
      <c r="J368" s="114">
        <f t="shared" si="39"/>
        <v>0</v>
      </c>
      <c r="K368" s="114">
        <f t="shared" si="40"/>
        <v>0</v>
      </c>
      <c r="L368" s="113"/>
    </row>
    <row r="369" spans="1:12">
      <c r="A369" s="113">
        <v>306</v>
      </c>
      <c r="B369" s="114">
        <f t="shared" si="33"/>
        <v>0</v>
      </c>
      <c r="C369" s="114">
        <f t="shared" si="34"/>
        <v>0</v>
      </c>
      <c r="D369" s="114">
        <f t="shared" si="35"/>
        <v>0</v>
      </c>
      <c r="E369" s="114">
        <f t="shared" si="36"/>
        <v>0</v>
      </c>
      <c r="F369" s="113"/>
      <c r="G369" s="113">
        <v>306</v>
      </c>
      <c r="H369" s="114">
        <f t="shared" si="37"/>
        <v>0</v>
      </c>
      <c r="I369" s="114">
        <f t="shared" si="38"/>
        <v>0</v>
      </c>
      <c r="J369" s="114">
        <f t="shared" si="39"/>
        <v>0</v>
      </c>
      <c r="K369" s="114">
        <f t="shared" si="40"/>
        <v>0</v>
      </c>
      <c r="L369" s="113"/>
    </row>
    <row r="370" spans="1:12">
      <c r="A370" s="113">
        <v>307</v>
      </c>
      <c r="B370" s="114">
        <f t="shared" si="33"/>
        <v>0</v>
      </c>
      <c r="C370" s="114">
        <f t="shared" si="34"/>
        <v>0</v>
      </c>
      <c r="D370" s="114">
        <f t="shared" si="35"/>
        <v>0</v>
      </c>
      <c r="E370" s="114">
        <f t="shared" si="36"/>
        <v>0</v>
      </c>
      <c r="F370" s="113"/>
      <c r="G370" s="113">
        <v>307</v>
      </c>
      <c r="H370" s="114">
        <f t="shared" si="37"/>
        <v>0</v>
      </c>
      <c r="I370" s="114">
        <f t="shared" si="38"/>
        <v>0</v>
      </c>
      <c r="J370" s="114">
        <f t="shared" si="39"/>
        <v>0</v>
      </c>
      <c r="K370" s="114">
        <f t="shared" si="40"/>
        <v>0</v>
      </c>
      <c r="L370" s="113"/>
    </row>
    <row r="371" spans="1:12">
      <c r="A371" s="113">
        <v>308</v>
      </c>
      <c r="B371" s="114">
        <f t="shared" si="33"/>
        <v>0</v>
      </c>
      <c r="C371" s="114">
        <f t="shared" si="34"/>
        <v>0</v>
      </c>
      <c r="D371" s="114">
        <f t="shared" si="35"/>
        <v>0</v>
      </c>
      <c r="E371" s="114">
        <f t="shared" si="36"/>
        <v>0</v>
      </c>
      <c r="F371" s="113"/>
      <c r="G371" s="113">
        <v>308</v>
      </c>
      <c r="H371" s="114">
        <f t="shared" si="37"/>
        <v>0</v>
      </c>
      <c r="I371" s="114">
        <f t="shared" si="38"/>
        <v>0</v>
      </c>
      <c r="J371" s="114">
        <f t="shared" si="39"/>
        <v>0</v>
      </c>
      <c r="K371" s="114">
        <f t="shared" si="40"/>
        <v>0</v>
      </c>
      <c r="L371" s="113"/>
    </row>
    <row r="372" spans="1:12">
      <c r="A372" s="113">
        <v>309</v>
      </c>
      <c r="B372" s="114">
        <f t="shared" si="33"/>
        <v>0</v>
      </c>
      <c r="C372" s="114">
        <f t="shared" si="34"/>
        <v>0</v>
      </c>
      <c r="D372" s="114">
        <f t="shared" si="35"/>
        <v>0</v>
      </c>
      <c r="E372" s="114">
        <f t="shared" si="36"/>
        <v>0</v>
      </c>
      <c r="F372" s="113"/>
      <c r="G372" s="113">
        <v>309</v>
      </c>
      <c r="H372" s="114">
        <f t="shared" si="37"/>
        <v>0</v>
      </c>
      <c r="I372" s="114">
        <f t="shared" si="38"/>
        <v>0</v>
      </c>
      <c r="J372" s="114">
        <f t="shared" si="39"/>
        <v>0</v>
      </c>
      <c r="K372" s="114">
        <f t="shared" si="40"/>
        <v>0</v>
      </c>
      <c r="L372" s="113"/>
    </row>
    <row r="373" spans="1:12">
      <c r="A373" s="113">
        <v>310</v>
      </c>
      <c r="B373" s="114">
        <f t="shared" si="33"/>
        <v>0</v>
      </c>
      <c r="C373" s="114">
        <f t="shared" si="34"/>
        <v>0</v>
      </c>
      <c r="D373" s="114">
        <f t="shared" si="35"/>
        <v>0</v>
      </c>
      <c r="E373" s="114">
        <f t="shared" si="36"/>
        <v>0</v>
      </c>
      <c r="F373" s="113"/>
      <c r="G373" s="113">
        <v>310</v>
      </c>
      <c r="H373" s="114">
        <f t="shared" si="37"/>
        <v>0</v>
      </c>
      <c r="I373" s="114">
        <f t="shared" si="38"/>
        <v>0</v>
      </c>
      <c r="J373" s="114">
        <f t="shared" si="39"/>
        <v>0</v>
      </c>
      <c r="K373" s="114">
        <f t="shared" si="40"/>
        <v>0</v>
      </c>
      <c r="L373" s="113"/>
    </row>
    <row r="374" spans="1:12">
      <c r="A374" s="113">
        <v>311</v>
      </c>
      <c r="B374" s="114">
        <f t="shared" si="33"/>
        <v>0</v>
      </c>
      <c r="C374" s="114">
        <f t="shared" si="34"/>
        <v>0</v>
      </c>
      <c r="D374" s="114">
        <f t="shared" si="35"/>
        <v>0</v>
      </c>
      <c r="E374" s="114">
        <f t="shared" si="36"/>
        <v>0</v>
      </c>
      <c r="F374" s="113"/>
      <c r="G374" s="113">
        <v>311</v>
      </c>
      <c r="H374" s="114">
        <f t="shared" si="37"/>
        <v>0</v>
      </c>
      <c r="I374" s="114">
        <f t="shared" si="38"/>
        <v>0</v>
      </c>
      <c r="J374" s="114">
        <f t="shared" si="39"/>
        <v>0</v>
      </c>
      <c r="K374" s="114">
        <f t="shared" si="40"/>
        <v>0</v>
      </c>
      <c r="L374" s="113"/>
    </row>
    <row r="375" spans="1:12">
      <c r="A375" s="113">
        <v>312</v>
      </c>
      <c r="B375" s="114">
        <f t="shared" si="33"/>
        <v>0</v>
      </c>
      <c r="C375" s="114">
        <f t="shared" si="34"/>
        <v>0</v>
      </c>
      <c r="D375" s="114">
        <f t="shared" si="35"/>
        <v>0</v>
      </c>
      <c r="E375" s="114">
        <f t="shared" si="36"/>
        <v>0</v>
      </c>
      <c r="F375" s="113">
        <v>26</v>
      </c>
      <c r="G375" s="113">
        <v>312</v>
      </c>
      <c r="H375" s="114">
        <f t="shared" si="37"/>
        <v>0</v>
      </c>
      <c r="I375" s="114">
        <f t="shared" si="38"/>
        <v>0</v>
      </c>
      <c r="J375" s="114">
        <f t="shared" si="39"/>
        <v>0</v>
      </c>
      <c r="K375" s="114">
        <f t="shared" si="40"/>
        <v>0</v>
      </c>
      <c r="L375" s="113">
        <v>26</v>
      </c>
    </row>
    <row r="376" spans="1:12">
      <c r="A376" s="113">
        <v>313</v>
      </c>
      <c r="B376" s="114">
        <f t="shared" si="33"/>
        <v>0</v>
      </c>
      <c r="C376" s="114">
        <f t="shared" si="34"/>
        <v>0</v>
      </c>
      <c r="D376" s="114">
        <f t="shared" si="35"/>
        <v>0</v>
      </c>
      <c r="E376" s="114">
        <f t="shared" si="36"/>
        <v>0</v>
      </c>
      <c r="F376" s="113"/>
      <c r="G376" s="113">
        <v>313</v>
      </c>
      <c r="H376" s="114">
        <f t="shared" si="37"/>
        <v>0</v>
      </c>
      <c r="I376" s="114">
        <f t="shared" si="38"/>
        <v>0</v>
      </c>
      <c r="J376" s="114">
        <f t="shared" si="39"/>
        <v>0</v>
      </c>
      <c r="K376" s="114">
        <f t="shared" si="40"/>
        <v>0</v>
      </c>
      <c r="L376" s="113"/>
    </row>
    <row r="377" spans="1:12">
      <c r="A377" s="113">
        <v>314</v>
      </c>
      <c r="B377" s="114">
        <f t="shared" si="33"/>
        <v>0</v>
      </c>
      <c r="C377" s="114">
        <f t="shared" si="34"/>
        <v>0</v>
      </c>
      <c r="D377" s="114">
        <f t="shared" si="35"/>
        <v>0</v>
      </c>
      <c r="E377" s="114">
        <f t="shared" si="36"/>
        <v>0</v>
      </c>
      <c r="F377" s="113"/>
      <c r="G377" s="113">
        <v>314</v>
      </c>
      <c r="H377" s="114">
        <f t="shared" si="37"/>
        <v>0</v>
      </c>
      <c r="I377" s="114">
        <f t="shared" si="38"/>
        <v>0</v>
      </c>
      <c r="J377" s="114">
        <f t="shared" si="39"/>
        <v>0</v>
      </c>
      <c r="K377" s="114">
        <f t="shared" si="40"/>
        <v>0</v>
      </c>
      <c r="L377" s="113"/>
    </row>
    <row r="378" spans="1:12">
      <c r="A378" s="113">
        <v>315</v>
      </c>
      <c r="B378" s="114">
        <f t="shared" si="33"/>
        <v>0</v>
      </c>
      <c r="C378" s="114">
        <f t="shared" si="34"/>
        <v>0</v>
      </c>
      <c r="D378" s="114">
        <f t="shared" si="35"/>
        <v>0</v>
      </c>
      <c r="E378" s="114">
        <f t="shared" si="36"/>
        <v>0</v>
      </c>
      <c r="F378" s="113"/>
      <c r="G378" s="113">
        <v>315</v>
      </c>
      <c r="H378" s="114">
        <f t="shared" si="37"/>
        <v>0</v>
      </c>
      <c r="I378" s="114">
        <f t="shared" si="38"/>
        <v>0</v>
      </c>
      <c r="J378" s="114">
        <f t="shared" si="39"/>
        <v>0</v>
      </c>
      <c r="K378" s="114">
        <f t="shared" si="40"/>
        <v>0</v>
      </c>
      <c r="L378" s="113"/>
    </row>
    <row r="379" spans="1:12">
      <c r="A379" s="113">
        <v>316</v>
      </c>
      <c r="B379" s="114">
        <f t="shared" si="33"/>
        <v>0</v>
      </c>
      <c r="C379" s="114">
        <f t="shared" si="34"/>
        <v>0</v>
      </c>
      <c r="D379" s="114">
        <f t="shared" si="35"/>
        <v>0</v>
      </c>
      <c r="E379" s="114">
        <f t="shared" si="36"/>
        <v>0</v>
      </c>
      <c r="F379" s="113"/>
      <c r="G379" s="113">
        <v>316</v>
      </c>
      <c r="H379" s="114">
        <f t="shared" si="37"/>
        <v>0</v>
      </c>
      <c r="I379" s="114">
        <f t="shared" si="38"/>
        <v>0</v>
      </c>
      <c r="J379" s="114">
        <f t="shared" si="39"/>
        <v>0</v>
      </c>
      <c r="K379" s="114">
        <f t="shared" si="40"/>
        <v>0</v>
      </c>
      <c r="L379" s="113"/>
    </row>
    <row r="380" spans="1:12">
      <c r="A380" s="113">
        <v>317</v>
      </c>
      <c r="B380" s="114">
        <f t="shared" si="33"/>
        <v>0</v>
      </c>
      <c r="C380" s="114">
        <f t="shared" si="34"/>
        <v>0</v>
      </c>
      <c r="D380" s="114">
        <f t="shared" si="35"/>
        <v>0</v>
      </c>
      <c r="E380" s="114">
        <f t="shared" si="36"/>
        <v>0</v>
      </c>
      <c r="F380" s="113"/>
      <c r="G380" s="113">
        <v>317</v>
      </c>
      <c r="H380" s="114">
        <f t="shared" si="37"/>
        <v>0</v>
      </c>
      <c r="I380" s="114">
        <f t="shared" si="38"/>
        <v>0</v>
      </c>
      <c r="J380" s="114">
        <f t="shared" si="39"/>
        <v>0</v>
      </c>
      <c r="K380" s="114">
        <f t="shared" si="40"/>
        <v>0</v>
      </c>
      <c r="L380" s="113"/>
    </row>
    <row r="381" spans="1:12">
      <c r="A381" s="113">
        <v>318</v>
      </c>
      <c r="B381" s="114">
        <f t="shared" si="33"/>
        <v>0</v>
      </c>
      <c r="C381" s="114">
        <f t="shared" si="34"/>
        <v>0</v>
      </c>
      <c r="D381" s="114">
        <f t="shared" si="35"/>
        <v>0</v>
      </c>
      <c r="E381" s="114">
        <f t="shared" si="36"/>
        <v>0</v>
      </c>
      <c r="F381" s="113"/>
      <c r="G381" s="113">
        <v>318</v>
      </c>
      <c r="H381" s="114">
        <f t="shared" si="37"/>
        <v>0</v>
      </c>
      <c r="I381" s="114">
        <f t="shared" si="38"/>
        <v>0</v>
      </c>
      <c r="J381" s="114">
        <f t="shared" si="39"/>
        <v>0</v>
      </c>
      <c r="K381" s="114">
        <f t="shared" si="40"/>
        <v>0</v>
      </c>
      <c r="L381" s="113"/>
    </row>
    <row r="382" spans="1:12">
      <c r="A382" s="113">
        <v>319</v>
      </c>
      <c r="B382" s="114">
        <f t="shared" si="33"/>
        <v>0</v>
      </c>
      <c r="C382" s="114">
        <f t="shared" si="34"/>
        <v>0</v>
      </c>
      <c r="D382" s="114">
        <f t="shared" si="35"/>
        <v>0</v>
      </c>
      <c r="E382" s="114">
        <f t="shared" si="36"/>
        <v>0</v>
      </c>
      <c r="F382" s="113"/>
      <c r="G382" s="113">
        <v>319</v>
      </c>
      <c r="H382" s="114">
        <f t="shared" si="37"/>
        <v>0</v>
      </c>
      <c r="I382" s="114">
        <f t="shared" si="38"/>
        <v>0</v>
      </c>
      <c r="J382" s="114">
        <f t="shared" si="39"/>
        <v>0</v>
      </c>
      <c r="K382" s="114">
        <f t="shared" si="40"/>
        <v>0</v>
      </c>
      <c r="L382" s="113"/>
    </row>
    <row r="383" spans="1:12">
      <c r="A383" s="113">
        <v>320</v>
      </c>
      <c r="B383" s="114">
        <f t="shared" si="33"/>
        <v>0</v>
      </c>
      <c r="C383" s="114">
        <f t="shared" si="34"/>
        <v>0</v>
      </c>
      <c r="D383" s="114">
        <f t="shared" si="35"/>
        <v>0</v>
      </c>
      <c r="E383" s="114">
        <f t="shared" si="36"/>
        <v>0</v>
      </c>
      <c r="F383" s="113"/>
      <c r="G383" s="113">
        <v>320</v>
      </c>
      <c r="H383" s="114">
        <f t="shared" si="37"/>
        <v>0</v>
      </c>
      <c r="I383" s="114">
        <f t="shared" si="38"/>
        <v>0</v>
      </c>
      <c r="J383" s="114">
        <f t="shared" si="39"/>
        <v>0</v>
      </c>
      <c r="K383" s="114">
        <f t="shared" si="40"/>
        <v>0</v>
      </c>
      <c r="L383" s="113"/>
    </row>
    <row r="384" spans="1:12">
      <c r="A384" s="113">
        <v>321</v>
      </c>
      <c r="B384" s="114">
        <f t="shared" ref="B384:B447" si="41">IF(A384&gt;12*$C$9,0,IF($C$5&gt;1500000,$D$12,$C$12))</f>
        <v>0</v>
      </c>
      <c r="C384" s="114">
        <f t="shared" ref="C384:C447" si="42">IF(A384&gt;12*$C$9,0,E383*$C$7/12)</f>
        <v>0</v>
      </c>
      <c r="D384" s="114">
        <f t="shared" ref="D384:D447" si="43">IF(A384&gt;12*$C$9,0,B384-C384)</f>
        <v>0</v>
      </c>
      <c r="E384" s="114">
        <f t="shared" ref="E384:E447" si="44">IF(A384&gt;12*$C$9,0,E383-D384)</f>
        <v>0</v>
      </c>
      <c r="F384" s="113"/>
      <c r="G384" s="113">
        <v>321</v>
      </c>
      <c r="H384" s="114">
        <f t="shared" ref="H384:H447" si="45">IF(G384&gt;12*$C$9,0,IF($C$5&gt;1500000,$E$12,0))</f>
        <v>0</v>
      </c>
      <c r="I384" s="114">
        <f t="shared" ref="I384:I447" si="46">IF(G384&gt;12*$C$9,0,K383*$C$7/12)</f>
        <v>0</v>
      </c>
      <c r="J384" s="114">
        <f t="shared" ref="J384:J447" si="47">IF(G384&gt;12*$C$9,0,H384-I384)</f>
        <v>0</v>
      </c>
      <c r="K384" s="114">
        <f t="shared" ref="K384:K447" si="48">IF(G384&gt;12*$C$9,0,K383-J384)</f>
        <v>0</v>
      </c>
      <c r="L384" s="113"/>
    </row>
    <row r="385" spans="1:12">
      <c r="A385" s="113">
        <v>322</v>
      </c>
      <c r="B385" s="114">
        <f t="shared" si="41"/>
        <v>0</v>
      </c>
      <c r="C385" s="114">
        <f t="shared" si="42"/>
        <v>0</v>
      </c>
      <c r="D385" s="114">
        <f t="shared" si="43"/>
        <v>0</v>
      </c>
      <c r="E385" s="114">
        <f t="shared" si="44"/>
        <v>0</v>
      </c>
      <c r="F385" s="113"/>
      <c r="G385" s="113">
        <v>322</v>
      </c>
      <c r="H385" s="114">
        <f t="shared" si="45"/>
        <v>0</v>
      </c>
      <c r="I385" s="114">
        <f t="shared" si="46"/>
        <v>0</v>
      </c>
      <c r="J385" s="114">
        <f t="shared" si="47"/>
        <v>0</v>
      </c>
      <c r="K385" s="114">
        <f t="shared" si="48"/>
        <v>0</v>
      </c>
      <c r="L385" s="113"/>
    </row>
    <row r="386" spans="1:12">
      <c r="A386" s="113">
        <v>323</v>
      </c>
      <c r="B386" s="114">
        <f t="shared" si="41"/>
        <v>0</v>
      </c>
      <c r="C386" s="114">
        <f t="shared" si="42"/>
        <v>0</v>
      </c>
      <c r="D386" s="114">
        <f t="shared" si="43"/>
        <v>0</v>
      </c>
      <c r="E386" s="114">
        <f t="shared" si="44"/>
        <v>0</v>
      </c>
      <c r="F386" s="113"/>
      <c r="G386" s="113">
        <v>323</v>
      </c>
      <c r="H386" s="114">
        <f t="shared" si="45"/>
        <v>0</v>
      </c>
      <c r="I386" s="114">
        <f t="shared" si="46"/>
        <v>0</v>
      </c>
      <c r="J386" s="114">
        <f t="shared" si="47"/>
        <v>0</v>
      </c>
      <c r="K386" s="114">
        <f t="shared" si="48"/>
        <v>0</v>
      </c>
      <c r="L386" s="113"/>
    </row>
    <row r="387" spans="1:12">
      <c r="A387" s="113">
        <v>324</v>
      </c>
      <c r="B387" s="114">
        <f t="shared" si="41"/>
        <v>0</v>
      </c>
      <c r="C387" s="114">
        <f t="shared" si="42"/>
        <v>0</v>
      </c>
      <c r="D387" s="114">
        <f t="shared" si="43"/>
        <v>0</v>
      </c>
      <c r="E387" s="114">
        <f t="shared" si="44"/>
        <v>0</v>
      </c>
      <c r="F387" s="113">
        <v>27</v>
      </c>
      <c r="G387" s="113">
        <v>324</v>
      </c>
      <c r="H387" s="114">
        <f t="shared" si="45"/>
        <v>0</v>
      </c>
      <c r="I387" s="114">
        <f t="shared" si="46"/>
        <v>0</v>
      </c>
      <c r="J387" s="114">
        <f t="shared" si="47"/>
        <v>0</v>
      </c>
      <c r="K387" s="114">
        <f t="shared" si="48"/>
        <v>0</v>
      </c>
      <c r="L387" s="113">
        <v>27</v>
      </c>
    </row>
    <row r="388" spans="1:12">
      <c r="A388" s="113">
        <v>325</v>
      </c>
      <c r="B388" s="114">
        <f t="shared" si="41"/>
        <v>0</v>
      </c>
      <c r="C388" s="114">
        <f t="shared" si="42"/>
        <v>0</v>
      </c>
      <c r="D388" s="114">
        <f t="shared" si="43"/>
        <v>0</v>
      </c>
      <c r="E388" s="114">
        <f t="shared" si="44"/>
        <v>0</v>
      </c>
      <c r="F388" s="113"/>
      <c r="G388" s="113">
        <v>325</v>
      </c>
      <c r="H388" s="114">
        <f t="shared" si="45"/>
        <v>0</v>
      </c>
      <c r="I388" s="114">
        <f t="shared" si="46"/>
        <v>0</v>
      </c>
      <c r="J388" s="114">
        <f t="shared" si="47"/>
        <v>0</v>
      </c>
      <c r="K388" s="114">
        <f t="shared" si="48"/>
        <v>0</v>
      </c>
      <c r="L388" s="113"/>
    </row>
    <row r="389" spans="1:12">
      <c r="A389" s="113">
        <v>326</v>
      </c>
      <c r="B389" s="114">
        <f t="shared" si="41"/>
        <v>0</v>
      </c>
      <c r="C389" s="114">
        <f t="shared" si="42"/>
        <v>0</v>
      </c>
      <c r="D389" s="114">
        <f t="shared" si="43"/>
        <v>0</v>
      </c>
      <c r="E389" s="114">
        <f t="shared" si="44"/>
        <v>0</v>
      </c>
      <c r="F389" s="113"/>
      <c r="G389" s="113">
        <v>326</v>
      </c>
      <c r="H389" s="114">
        <f t="shared" si="45"/>
        <v>0</v>
      </c>
      <c r="I389" s="114">
        <f t="shared" si="46"/>
        <v>0</v>
      </c>
      <c r="J389" s="114">
        <f t="shared" si="47"/>
        <v>0</v>
      </c>
      <c r="K389" s="114">
        <f t="shared" si="48"/>
        <v>0</v>
      </c>
      <c r="L389" s="113"/>
    </row>
    <row r="390" spans="1:12">
      <c r="A390" s="113">
        <v>327</v>
      </c>
      <c r="B390" s="114">
        <f t="shared" si="41"/>
        <v>0</v>
      </c>
      <c r="C390" s="114">
        <f t="shared" si="42"/>
        <v>0</v>
      </c>
      <c r="D390" s="114">
        <f t="shared" si="43"/>
        <v>0</v>
      </c>
      <c r="E390" s="114">
        <f t="shared" si="44"/>
        <v>0</v>
      </c>
      <c r="F390" s="113"/>
      <c r="G390" s="113">
        <v>327</v>
      </c>
      <c r="H390" s="114">
        <f t="shared" si="45"/>
        <v>0</v>
      </c>
      <c r="I390" s="114">
        <f t="shared" si="46"/>
        <v>0</v>
      </c>
      <c r="J390" s="114">
        <f t="shared" si="47"/>
        <v>0</v>
      </c>
      <c r="K390" s="114">
        <f t="shared" si="48"/>
        <v>0</v>
      </c>
      <c r="L390" s="113"/>
    </row>
    <row r="391" spans="1:12">
      <c r="A391" s="113">
        <v>328</v>
      </c>
      <c r="B391" s="114">
        <f t="shared" si="41"/>
        <v>0</v>
      </c>
      <c r="C391" s="114">
        <f t="shared" si="42"/>
        <v>0</v>
      </c>
      <c r="D391" s="114">
        <f t="shared" si="43"/>
        <v>0</v>
      </c>
      <c r="E391" s="114">
        <f t="shared" si="44"/>
        <v>0</v>
      </c>
      <c r="F391" s="113"/>
      <c r="G391" s="113">
        <v>328</v>
      </c>
      <c r="H391" s="114">
        <f t="shared" si="45"/>
        <v>0</v>
      </c>
      <c r="I391" s="114">
        <f t="shared" si="46"/>
        <v>0</v>
      </c>
      <c r="J391" s="114">
        <f t="shared" si="47"/>
        <v>0</v>
      </c>
      <c r="K391" s="114">
        <f t="shared" si="48"/>
        <v>0</v>
      </c>
      <c r="L391" s="113"/>
    </row>
    <row r="392" spans="1:12">
      <c r="A392" s="113">
        <v>329</v>
      </c>
      <c r="B392" s="114">
        <f t="shared" si="41"/>
        <v>0</v>
      </c>
      <c r="C392" s="114">
        <f t="shared" si="42"/>
        <v>0</v>
      </c>
      <c r="D392" s="114">
        <f t="shared" si="43"/>
        <v>0</v>
      </c>
      <c r="E392" s="114">
        <f t="shared" si="44"/>
        <v>0</v>
      </c>
      <c r="F392" s="113"/>
      <c r="G392" s="113">
        <v>329</v>
      </c>
      <c r="H392" s="114">
        <f t="shared" si="45"/>
        <v>0</v>
      </c>
      <c r="I392" s="114">
        <f t="shared" si="46"/>
        <v>0</v>
      </c>
      <c r="J392" s="114">
        <f t="shared" si="47"/>
        <v>0</v>
      </c>
      <c r="K392" s="114">
        <f t="shared" si="48"/>
        <v>0</v>
      </c>
      <c r="L392" s="113"/>
    </row>
    <row r="393" spans="1:12">
      <c r="A393" s="113">
        <v>330</v>
      </c>
      <c r="B393" s="114">
        <f t="shared" si="41"/>
        <v>0</v>
      </c>
      <c r="C393" s="114">
        <f t="shared" si="42"/>
        <v>0</v>
      </c>
      <c r="D393" s="114">
        <f t="shared" si="43"/>
        <v>0</v>
      </c>
      <c r="E393" s="114">
        <f t="shared" si="44"/>
        <v>0</v>
      </c>
      <c r="F393" s="113"/>
      <c r="G393" s="113">
        <v>330</v>
      </c>
      <c r="H393" s="114">
        <f t="shared" si="45"/>
        <v>0</v>
      </c>
      <c r="I393" s="114">
        <f t="shared" si="46"/>
        <v>0</v>
      </c>
      <c r="J393" s="114">
        <f t="shared" si="47"/>
        <v>0</v>
      </c>
      <c r="K393" s="114">
        <f t="shared" si="48"/>
        <v>0</v>
      </c>
      <c r="L393" s="113"/>
    </row>
    <row r="394" spans="1:12">
      <c r="A394" s="113">
        <v>331</v>
      </c>
      <c r="B394" s="114">
        <f t="shared" si="41"/>
        <v>0</v>
      </c>
      <c r="C394" s="114">
        <f t="shared" si="42"/>
        <v>0</v>
      </c>
      <c r="D394" s="114">
        <f t="shared" si="43"/>
        <v>0</v>
      </c>
      <c r="E394" s="114">
        <f t="shared" si="44"/>
        <v>0</v>
      </c>
      <c r="F394" s="113"/>
      <c r="G394" s="113">
        <v>331</v>
      </c>
      <c r="H394" s="114">
        <f t="shared" si="45"/>
        <v>0</v>
      </c>
      <c r="I394" s="114">
        <f t="shared" si="46"/>
        <v>0</v>
      </c>
      <c r="J394" s="114">
        <f t="shared" si="47"/>
        <v>0</v>
      </c>
      <c r="K394" s="114">
        <f t="shared" si="48"/>
        <v>0</v>
      </c>
      <c r="L394" s="113"/>
    </row>
    <row r="395" spans="1:12">
      <c r="A395" s="113">
        <v>332</v>
      </c>
      <c r="B395" s="114">
        <f t="shared" si="41"/>
        <v>0</v>
      </c>
      <c r="C395" s="114">
        <f t="shared" si="42"/>
        <v>0</v>
      </c>
      <c r="D395" s="114">
        <f t="shared" si="43"/>
        <v>0</v>
      </c>
      <c r="E395" s="114">
        <f t="shared" si="44"/>
        <v>0</v>
      </c>
      <c r="F395" s="113"/>
      <c r="G395" s="113">
        <v>332</v>
      </c>
      <c r="H395" s="114">
        <f t="shared" si="45"/>
        <v>0</v>
      </c>
      <c r="I395" s="114">
        <f t="shared" si="46"/>
        <v>0</v>
      </c>
      <c r="J395" s="114">
        <f t="shared" si="47"/>
        <v>0</v>
      </c>
      <c r="K395" s="114">
        <f t="shared" si="48"/>
        <v>0</v>
      </c>
      <c r="L395" s="113"/>
    </row>
    <row r="396" spans="1:12">
      <c r="A396" s="113">
        <v>333</v>
      </c>
      <c r="B396" s="114">
        <f t="shared" si="41"/>
        <v>0</v>
      </c>
      <c r="C396" s="114">
        <f t="shared" si="42"/>
        <v>0</v>
      </c>
      <c r="D396" s="114">
        <f t="shared" si="43"/>
        <v>0</v>
      </c>
      <c r="E396" s="114">
        <f t="shared" si="44"/>
        <v>0</v>
      </c>
      <c r="F396" s="113"/>
      <c r="G396" s="113">
        <v>333</v>
      </c>
      <c r="H396" s="114">
        <f t="shared" si="45"/>
        <v>0</v>
      </c>
      <c r="I396" s="114">
        <f t="shared" si="46"/>
        <v>0</v>
      </c>
      <c r="J396" s="114">
        <f t="shared" si="47"/>
        <v>0</v>
      </c>
      <c r="K396" s="114">
        <f t="shared" si="48"/>
        <v>0</v>
      </c>
      <c r="L396" s="113"/>
    </row>
    <row r="397" spans="1:12">
      <c r="A397" s="113">
        <v>334</v>
      </c>
      <c r="B397" s="114">
        <f t="shared" si="41"/>
        <v>0</v>
      </c>
      <c r="C397" s="114">
        <f t="shared" si="42"/>
        <v>0</v>
      </c>
      <c r="D397" s="114">
        <f t="shared" si="43"/>
        <v>0</v>
      </c>
      <c r="E397" s="114">
        <f t="shared" si="44"/>
        <v>0</v>
      </c>
      <c r="F397" s="113"/>
      <c r="G397" s="113">
        <v>334</v>
      </c>
      <c r="H397" s="114">
        <f t="shared" si="45"/>
        <v>0</v>
      </c>
      <c r="I397" s="114">
        <f t="shared" si="46"/>
        <v>0</v>
      </c>
      <c r="J397" s="114">
        <f t="shared" si="47"/>
        <v>0</v>
      </c>
      <c r="K397" s="114">
        <f t="shared" si="48"/>
        <v>0</v>
      </c>
      <c r="L397" s="113"/>
    </row>
    <row r="398" spans="1:12">
      <c r="A398" s="113">
        <v>335</v>
      </c>
      <c r="B398" s="114">
        <f t="shared" si="41"/>
        <v>0</v>
      </c>
      <c r="C398" s="114">
        <f t="shared" si="42"/>
        <v>0</v>
      </c>
      <c r="D398" s="114">
        <f t="shared" si="43"/>
        <v>0</v>
      </c>
      <c r="E398" s="114">
        <f t="shared" si="44"/>
        <v>0</v>
      </c>
      <c r="F398" s="113"/>
      <c r="G398" s="113">
        <v>335</v>
      </c>
      <c r="H398" s="114">
        <f t="shared" si="45"/>
        <v>0</v>
      </c>
      <c r="I398" s="114">
        <f t="shared" si="46"/>
        <v>0</v>
      </c>
      <c r="J398" s="114">
        <f t="shared" si="47"/>
        <v>0</v>
      </c>
      <c r="K398" s="114">
        <f t="shared" si="48"/>
        <v>0</v>
      </c>
      <c r="L398" s="113"/>
    </row>
    <row r="399" spans="1:12">
      <c r="A399" s="113">
        <v>336</v>
      </c>
      <c r="B399" s="114">
        <f t="shared" si="41"/>
        <v>0</v>
      </c>
      <c r="C399" s="114">
        <f t="shared" si="42"/>
        <v>0</v>
      </c>
      <c r="D399" s="114">
        <f t="shared" si="43"/>
        <v>0</v>
      </c>
      <c r="E399" s="114">
        <f t="shared" si="44"/>
        <v>0</v>
      </c>
      <c r="F399" s="113">
        <v>28</v>
      </c>
      <c r="G399" s="113">
        <v>336</v>
      </c>
      <c r="H399" s="114">
        <f t="shared" si="45"/>
        <v>0</v>
      </c>
      <c r="I399" s="114">
        <f t="shared" si="46"/>
        <v>0</v>
      </c>
      <c r="J399" s="114">
        <f t="shared" si="47"/>
        <v>0</v>
      </c>
      <c r="K399" s="114">
        <f t="shared" si="48"/>
        <v>0</v>
      </c>
      <c r="L399" s="113">
        <v>28</v>
      </c>
    </row>
    <row r="400" spans="1:12">
      <c r="A400" s="113">
        <v>337</v>
      </c>
      <c r="B400" s="114">
        <f t="shared" si="41"/>
        <v>0</v>
      </c>
      <c r="C400" s="114">
        <f t="shared" si="42"/>
        <v>0</v>
      </c>
      <c r="D400" s="114">
        <f t="shared" si="43"/>
        <v>0</v>
      </c>
      <c r="E400" s="114">
        <f t="shared" si="44"/>
        <v>0</v>
      </c>
      <c r="F400" s="113"/>
      <c r="G400" s="113">
        <v>337</v>
      </c>
      <c r="H400" s="114">
        <f t="shared" si="45"/>
        <v>0</v>
      </c>
      <c r="I400" s="114">
        <f t="shared" si="46"/>
        <v>0</v>
      </c>
      <c r="J400" s="114">
        <f t="shared" si="47"/>
        <v>0</v>
      </c>
      <c r="K400" s="114">
        <f t="shared" si="48"/>
        <v>0</v>
      </c>
      <c r="L400" s="113"/>
    </row>
    <row r="401" spans="1:12">
      <c r="A401" s="113">
        <v>338</v>
      </c>
      <c r="B401" s="114">
        <f t="shared" si="41"/>
        <v>0</v>
      </c>
      <c r="C401" s="114">
        <f t="shared" si="42"/>
        <v>0</v>
      </c>
      <c r="D401" s="114">
        <f t="shared" si="43"/>
        <v>0</v>
      </c>
      <c r="E401" s="114">
        <f t="shared" si="44"/>
        <v>0</v>
      </c>
      <c r="F401" s="113"/>
      <c r="G401" s="113">
        <v>338</v>
      </c>
      <c r="H401" s="114">
        <f t="shared" si="45"/>
        <v>0</v>
      </c>
      <c r="I401" s="114">
        <f t="shared" si="46"/>
        <v>0</v>
      </c>
      <c r="J401" s="114">
        <f t="shared" si="47"/>
        <v>0</v>
      </c>
      <c r="K401" s="114">
        <f t="shared" si="48"/>
        <v>0</v>
      </c>
      <c r="L401" s="113"/>
    </row>
    <row r="402" spans="1:12">
      <c r="A402" s="113">
        <v>339</v>
      </c>
      <c r="B402" s="114">
        <f t="shared" si="41"/>
        <v>0</v>
      </c>
      <c r="C402" s="114">
        <f t="shared" si="42"/>
        <v>0</v>
      </c>
      <c r="D402" s="114">
        <f t="shared" si="43"/>
        <v>0</v>
      </c>
      <c r="E402" s="114">
        <f t="shared" si="44"/>
        <v>0</v>
      </c>
      <c r="F402" s="113"/>
      <c r="G402" s="113">
        <v>339</v>
      </c>
      <c r="H402" s="114">
        <f t="shared" si="45"/>
        <v>0</v>
      </c>
      <c r="I402" s="114">
        <f t="shared" si="46"/>
        <v>0</v>
      </c>
      <c r="J402" s="114">
        <f t="shared" si="47"/>
        <v>0</v>
      </c>
      <c r="K402" s="114">
        <f t="shared" si="48"/>
        <v>0</v>
      </c>
      <c r="L402" s="113"/>
    </row>
    <row r="403" spans="1:12">
      <c r="A403" s="113">
        <v>340</v>
      </c>
      <c r="B403" s="114">
        <f t="shared" si="41"/>
        <v>0</v>
      </c>
      <c r="C403" s="114">
        <f t="shared" si="42"/>
        <v>0</v>
      </c>
      <c r="D403" s="114">
        <f t="shared" si="43"/>
        <v>0</v>
      </c>
      <c r="E403" s="114">
        <f t="shared" si="44"/>
        <v>0</v>
      </c>
      <c r="F403" s="113"/>
      <c r="G403" s="113">
        <v>340</v>
      </c>
      <c r="H403" s="114">
        <f t="shared" si="45"/>
        <v>0</v>
      </c>
      <c r="I403" s="114">
        <f t="shared" si="46"/>
        <v>0</v>
      </c>
      <c r="J403" s="114">
        <f t="shared" si="47"/>
        <v>0</v>
      </c>
      <c r="K403" s="114">
        <f t="shared" si="48"/>
        <v>0</v>
      </c>
      <c r="L403" s="113"/>
    </row>
    <row r="404" spans="1:12">
      <c r="A404" s="113">
        <v>341</v>
      </c>
      <c r="B404" s="114">
        <f t="shared" si="41"/>
        <v>0</v>
      </c>
      <c r="C404" s="114">
        <f t="shared" si="42"/>
        <v>0</v>
      </c>
      <c r="D404" s="114">
        <f t="shared" si="43"/>
        <v>0</v>
      </c>
      <c r="E404" s="114">
        <f t="shared" si="44"/>
        <v>0</v>
      </c>
      <c r="F404" s="113"/>
      <c r="G404" s="113">
        <v>341</v>
      </c>
      <c r="H404" s="114">
        <f t="shared" si="45"/>
        <v>0</v>
      </c>
      <c r="I404" s="114">
        <f t="shared" si="46"/>
        <v>0</v>
      </c>
      <c r="J404" s="114">
        <f t="shared" si="47"/>
        <v>0</v>
      </c>
      <c r="K404" s="114">
        <f t="shared" si="48"/>
        <v>0</v>
      </c>
      <c r="L404" s="113"/>
    </row>
    <row r="405" spans="1:12">
      <c r="A405" s="113">
        <v>342</v>
      </c>
      <c r="B405" s="114">
        <f t="shared" si="41"/>
        <v>0</v>
      </c>
      <c r="C405" s="114">
        <f t="shared" si="42"/>
        <v>0</v>
      </c>
      <c r="D405" s="114">
        <f t="shared" si="43"/>
        <v>0</v>
      </c>
      <c r="E405" s="114">
        <f t="shared" si="44"/>
        <v>0</v>
      </c>
      <c r="F405" s="113"/>
      <c r="G405" s="113">
        <v>342</v>
      </c>
      <c r="H405" s="114">
        <f t="shared" si="45"/>
        <v>0</v>
      </c>
      <c r="I405" s="114">
        <f t="shared" si="46"/>
        <v>0</v>
      </c>
      <c r="J405" s="114">
        <f t="shared" si="47"/>
        <v>0</v>
      </c>
      <c r="K405" s="114">
        <f t="shared" si="48"/>
        <v>0</v>
      </c>
      <c r="L405" s="113"/>
    </row>
    <row r="406" spans="1:12">
      <c r="A406" s="113">
        <v>343</v>
      </c>
      <c r="B406" s="114">
        <f t="shared" si="41"/>
        <v>0</v>
      </c>
      <c r="C406" s="114">
        <f t="shared" si="42"/>
        <v>0</v>
      </c>
      <c r="D406" s="114">
        <f t="shared" si="43"/>
        <v>0</v>
      </c>
      <c r="E406" s="114">
        <f t="shared" si="44"/>
        <v>0</v>
      </c>
      <c r="F406" s="113"/>
      <c r="G406" s="113">
        <v>343</v>
      </c>
      <c r="H406" s="114">
        <f t="shared" si="45"/>
        <v>0</v>
      </c>
      <c r="I406" s="114">
        <f t="shared" si="46"/>
        <v>0</v>
      </c>
      <c r="J406" s="114">
        <f t="shared" si="47"/>
        <v>0</v>
      </c>
      <c r="K406" s="114">
        <f t="shared" si="48"/>
        <v>0</v>
      </c>
      <c r="L406" s="113"/>
    </row>
    <row r="407" spans="1:12">
      <c r="A407" s="113">
        <v>344</v>
      </c>
      <c r="B407" s="114">
        <f t="shared" si="41"/>
        <v>0</v>
      </c>
      <c r="C407" s="114">
        <f t="shared" si="42"/>
        <v>0</v>
      </c>
      <c r="D407" s="114">
        <f t="shared" si="43"/>
        <v>0</v>
      </c>
      <c r="E407" s="114">
        <f t="shared" si="44"/>
        <v>0</v>
      </c>
      <c r="F407" s="113"/>
      <c r="G407" s="113">
        <v>344</v>
      </c>
      <c r="H407" s="114">
        <f t="shared" si="45"/>
        <v>0</v>
      </c>
      <c r="I407" s="114">
        <f t="shared" si="46"/>
        <v>0</v>
      </c>
      <c r="J407" s="114">
        <f t="shared" si="47"/>
        <v>0</v>
      </c>
      <c r="K407" s="114">
        <f t="shared" si="48"/>
        <v>0</v>
      </c>
      <c r="L407" s="113"/>
    </row>
    <row r="408" spans="1:12">
      <c r="A408" s="113">
        <v>345</v>
      </c>
      <c r="B408" s="114">
        <f t="shared" si="41"/>
        <v>0</v>
      </c>
      <c r="C408" s="114">
        <f t="shared" si="42"/>
        <v>0</v>
      </c>
      <c r="D408" s="114">
        <f t="shared" si="43"/>
        <v>0</v>
      </c>
      <c r="E408" s="114">
        <f t="shared" si="44"/>
        <v>0</v>
      </c>
      <c r="F408" s="113"/>
      <c r="G408" s="113">
        <v>345</v>
      </c>
      <c r="H408" s="114">
        <f t="shared" si="45"/>
        <v>0</v>
      </c>
      <c r="I408" s="114">
        <f t="shared" si="46"/>
        <v>0</v>
      </c>
      <c r="J408" s="114">
        <f t="shared" si="47"/>
        <v>0</v>
      </c>
      <c r="K408" s="114">
        <f t="shared" si="48"/>
        <v>0</v>
      </c>
      <c r="L408" s="113"/>
    </row>
    <row r="409" spans="1:12">
      <c r="A409" s="113">
        <v>346</v>
      </c>
      <c r="B409" s="114">
        <f t="shared" si="41"/>
        <v>0</v>
      </c>
      <c r="C409" s="114">
        <f t="shared" si="42"/>
        <v>0</v>
      </c>
      <c r="D409" s="114">
        <f t="shared" si="43"/>
        <v>0</v>
      </c>
      <c r="E409" s="114">
        <f t="shared" si="44"/>
        <v>0</v>
      </c>
      <c r="F409" s="113"/>
      <c r="G409" s="113">
        <v>346</v>
      </c>
      <c r="H409" s="114">
        <f t="shared" si="45"/>
        <v>0</v>
      </c>
      <c r="I409" s="114">
        <f t="shared" si="46"/>
        <v>0</v>
      </c>
      <c r="J409" s="114">
        <f t="shared" si="47"/>
        <v>0</v>
      </c>
      <c r="K409" s="114">
        <f t="shared" si="48"/>
        <v>0</v>
      </c>
      <c r="L409" s="113"/>
    </row>
    <row r="410" spans="1:12">
      <c r="A410" s="113">
        <v>347</v>
      </c>
      <c r="B410" s="114">
        <f t="shared" si="41"/>
        <v>0</v>
      </c>
      <c r="C410" s="114">
        <f t="shared" si="42"/>
        <v>0</v>
      </c>
      <c r="D410" s="114">
        <f t="shared" si="43"/>
        <v>0</v>
      </c>
      <c r="E410" s="114">
        <f t="shared" si="44"/>
        <v>0</v>
      </c>
      <c r="F410" s="113"/>
      <c r="G410" s="113">
        <v>347</v>
      </c>
      <c r="H410" s="114">
        <f t="shared" si="45"/>
        <v>0</v>
      </c>
      <c r="I410" s="114">
        <f t="shared" si="46"/>
        <v>0</v>
      </c>
      <c r="J410" s="114">
        <f t="shared" si="47"/>
        <v>0</v>
      </c>
      <c r="K410" s="114">
        <f t="shared" si="48"/>
        <v>0</v>
      </c>
      <c r="L410" s="113"/>
    </row>
    <row r="411" spans="1:12">
      <c r="A411" s="113">
        <v>348</v>
      </c>
      <c r="B411" s="114">
        <f t="shared" si="41"/>
        <v>0</v>
      </c>
      <c r="C411" s="114">
        <f t="shared" si="42"/>
        <v>0</v>
      </c>
      <c r="D411" s="114">
        <f t="shared" si="43"/>
        <v>0</v>
      </c>
      <c r="E411" s="114">
        <f t="shared" si="44"/>
        <v>0</v>
      </c>
      <c r="F411" s="113">
        <v>29</v>
      </c>
      <c r="G411" s="113">
        <v>348</v>
      </c>
      <c r="H411" s="114">
        <f t="shared" si="45"/>
        <v>0</v>
      </c>
      <c r="I411" s="114">
        <f t="shared" si="46"/>
        <v>0</v>
      </c>
      <c r="J411" s="114">
        <f t="shared" si="47"/>
        <v>0</v>
      </c>
      <c r="K411" s="114">
        <f t="shared" si="48"/>
        <v>0</v>
      </c>
      <c r="L411" s="113">
        <v>29</v>
      </c>
    </row>
    <row r="412" spans="1:12">
      <c r="A412" s="113">
        <v>349</v>
      </c>
      <c r="B412" s="114">
        <f t="shared" si="41"/>
        <v>0</v>
      </c>
      <c r="C412" s="114">
        <f t="shared" si="42"/>
        <v>0</v>
      </c>
      <c r="D412" s="114">
        <f t="shared" si="43"/>
        <v>0</v>
      </c>
      <c r="E412" s="114">
        <f t="shared" si="44"/>
        <v>0</v>
      </c>
      <c r="F412" s="113"/>
      <c r="G412" s="113">
        <v>349</v>
      </c>
      <c r="H412" s="114">
        <f t="shared" si="45"/>
        <v>0</v>
      </c>
      <c r="I412" s="114">
        <f t="shared" si="46"/>
        <v>0</v>
      </c>
      <c r="J412" s="114">
        <f t="shared" si="47"/>
        <v>0</v>
      </c>
      <c r="K412" s="114">
        <f t="shared" si="48"/>
        <v>0</v>
      </c>
      <c r="L412" s="113"/>
    </row>
    <row r="413" spans="1:12">
      <c r="A413" s="113">
        <v>350</v>
      </c>
      <c r="B413" s="114">
        <f t="shared" si="41"/>
        <v>0</v>
      </c>
      <c r="C413" s="114">
        <f t="shared" si="42"/>
        <v>0</v>
      </c>
      <c r="D413" s="114">
        <f t="shared" si="43"/>
        <v>0</v>
      </c>
      <c r="E413" s="114">
        <f t="shared" si="44"/>
        <v>0</v>
      </c>
      <c r="F413" s="113"/>
      <c r="G413" s="113">
        <v>350</v>
      </c>
      <c r="H413" s="114">
        <f t="shared" si="45"/>
        <v>0</v>
      </c>
      <c r="I413" s="114">
        <f t="shared" si="46"/>
        <v>0</v>
      </c>
      <c r="J413" s="114">
        <f t="shared" si="47"/>
        <v>0</v>
      </c>
      <c r="K413" s="114">
        <f t="shared" si="48"/>
        <v>0</v>
      </c>
      <c r="L413" s="113"/>
    </row>
    <row r="414" spans="1:12">
      <c r="A414" s="113">
        <v>351</v>
      </c>
      <c r="B414" s="114">
        <f t="shared" si="41"/>
        <v>0</v>
      </c>
      <c r="C414" s="114">
        <f t="shared" si="42"/>
        <v>0</v>
      </c>
      <c r="D414" s="114">
        <f t="shared" si="43"/>
        <v>0</v>
      </c>
      <c r="E414" s="114">
        <f t="shared" si="44"/>
        <v>0</v>
      </c>
      <c r="F414" s="113"/>
      <c r="G414" s="113">
        <v>351</v>
      </c>
      <c r="H414" s="114">
        <f t="shared" si="45"/>
        <v>0</v>
      </c>
      <c r="I414" s="114">
        <f t="shared" si="46"/>
        <v>0</v>
      </c>
      <c r="J414" s="114">
        <f t="shared" si="47"/>
        <v>0</v>
      </c>
      <c r="K414" s="114">
        <f t="shared" si="48"/>
        <v>0</v>
      </c>
      <c r="L414" s="113"/>
    </row>
    <row r="415" spans="1:12">
      <c r="A415" s="113">
        <v>352</v>
      </c>
      <c r="B415" s="114">
        <f t="shared" si="41"/>
        <v>0</v>
      </c>
      <c r="C415" s="114">
        <f t="shared" si="42"/>
        <v>0</v>
      </c>
      <c r="D415" s="114">
        <f t="shared" si="43"/>
        <v>0</v>
      </c>
      <c r="E415" s="114">
        <f t="shared" si="44"/>
        <v>0</v>
      </c>
      <c r="F415" s="113"/>
      <c r="G415" s="113">
        <v>352</v>
      </c>
      <c r="H415" s="114">
        <f t="shared" si="45"/>
        <v>0</v>
      </c>
      <c r="I415" s="114">
        <f t="shared" si="46"/>
        <v>0</v>
      </c>
      <c r="J415" s="114">
        <f t="shared" si="47"/>
        <v>0</v>
      </c>
      <c r="K415" s="114">
        <f t="shared" si="48"/>
        <v>0</v>
      </c>
      <c r="L415" s="113"/>
    </row>
    <row r="416" spans="1:12">
      <c r="A416" s="113">
        <v>353</v>
      </c>
      <c r="B416" s="114">
        <f t="shared" si="41"/>
        <v>0</v>
      </c>
      <c r="C416" s="114">
        <f t="shared" si="42"/>
        <v>0</v>
      </c>
      <c r="D416" s="114">
        <f t="shared" si="43"/>
        <v>0</v>
      </c>
      <c r="E416" s="114">
        <f t="shared" si="44"/>
        <v>0</v>
      </c>
      <c r="F416" s="113"/>
      <c r="G416" s="113">
        <v>353</v>
      </c>
      <c r="H416" s="114">
        <f t="shared" si="45"/>
        <v>0</v>
      </c>
      <c r="I416" s="114">
        <f t="shared" si="46"/>
        <v>0</v>
      </c>
      <c r="J416" s="114">
        <f t="shared" si="47"/>
        <v>0</v>
      </c>
      <c r="K416" s="114">
        <f t="shared" si="48"/>
        <v>0</v>
      </c>
      <c r="L416" s="113"/>
    </row>
    <row r="417" spans="1:12">
      <c r="A417" s="113">
        <v>354</v>
      </c>
      <c r="B417" s="114">
        <f t="shared" si="41"/>
        <v>0</v>
      </c>
      <c r="C417" s="114">
        <f t="shared" si="42"/>
        <v>0</v>
      </c>
      <c r="D417" s="114">
        <f t="shared" si="43"/>
        <v>0</v>
      </c>
      <c r="E417" s="114">
        <f t="shared" si="44"/>
        <v>0</v>
      </c>
      <c r="F417" s="113"/>
      <c r="G417" s="113">
        <v>354</v>
      </c>
      <c r="H417" s="114">
        <f t="shared" si="45"/>
        <v>0</v>
      </c>
      <c r="I417" s="114">
        <f t="shared" si="46"/>
        <v>0</v>
      </c>
      <c r="J417" s="114">
        <f t="shared" si="47"/>
        <v>0</v>
      </c>
      <c r="K417" s="114">
        <f t="shared" si="48"/>
        <v>0</v>
      </c>
      <c r="L417" s="113"/>
    </row>
    <row r="418" spans="1:12">
      <c r="A418" s="113">
        <v>355</v>
      </c>
      <c r="B418" s="114">
        <f t="shared" si="41"/>
        <v>0</v>
      </c>
      <c r="C418" s="114">
        <f t="shared" si="42"/>
        <v>0</v>
      </c>
      <c r="D418" s="114">
        <f t="shared" si="43"/>
        <v>0</v>
      </c>
      <c r="E418" s="114">
        <f t="shared" si="44"/>
        <v>0</v>
      </c>
      <c r="F418" s="113"/>
      <c r="G418" s="113">
        <v>355</v>
      </c>
      <c r="H418" s="114">
        <f t="shared" si="45"/>
        <v>0</v>
      </c>
      <c r="I418" s="114">
        <f t="shared" si="46"/>
        <v>0</v>
      </c>
      <c r="J418" s="114">
        <f t="shared" si="47"/>
        <v>0</v>
      </c>
      <c r="K418" s="114">
        <f t="shared" si="48"/>
        <v>0</v>
      </c>
      <c r="L418" s="113"/>
    </row>
    <row r="419" spans="1:12">
      <c r="A419" s="113">
        <v>356</v>
      </c>
      <c r="B419" s="114">
        <f t="shared" si="41"/>
        <v>0</v>
      </c>
      <c r="C419" s="114">
        <f t="shared" si="42"/>
        <v>0</v>
      </c>
      <c r="D419" s="114">
        <f t="shared" si="43"/>
        <v>0</v>
      </c>
      <c r="E419" s="114">
        <f t="shared" si="44"/>
        <v>0</v>
      </c>
      <c r="F419" s="113"/>
      <c r="G419" s="113">
        <v>356</v>
      </c>
      <c r="H419" s="114">
        <f t="shared" si="45"/>
        <v>0</v>
      </c>
      <c r="I419" s="114">
        <f t="shared" si="46"/>
        <v>0</v>
      </c>
      <c r="J419" s="114">
        <f t="shared" si="47"/>
        <v>0</v>
      </c>
      <c r="K419" s="114">
        <f t="shared" si="48"/>
        <v>0</v>
      </c>
      <c r="L419" s="113"/>
    </row>
    <row r="420" spans="1:12">
      <c r="A420" s="113">
        <v>357</v>
      </c>
      <c r="B420" s="114">
        <f t="shared" si="41"/>
        <v>0</v>
      </c>
      <c r="C420" s="114">
        <f t="shared" si="42"/>
        <v>0</v>
      </c>
      <c r="D420" s="114">
        <f t="shared" si="43"/>
        <v>0</v>
      </c>
      <c r="E420" s="114">
        <f t="shared" si="44"/>
        <v>0</v>
      </c>
      <c r="F420" s="113"/>
      <c r="G420" s="113">
        <v>357</v>
      </c>
      <c r="H420" s="114">
        <f t="shared" si="45"/>
        <v>0</v>
      </c>
      <c r="I420" s="114">
        <f t="shared" si="46"/>
        <v>0</v>
      </c>
      <c r="J420" s="114">
        <f t="shared" si="47"/>
        <v>0</v>
      </c>
      <c r="K420" s="114">
        <f t="shared" si="48"/>
        <v>0</v>
      </c>
      <c r="L420" s="113"/>
    </row>
    <row r="421" spans="1:12">
      <c r="A421" s="113">
        <v>358</v>
      </c>
      <c r="B421" s="114">
        <f t="shared" si="41"/>
        <v>0</v>
      </c>
      <c r="C421" s="114">
        <f t="shared" si="42"/>
        <v>0</v>
      </c>
      <c r="D421" s="114">
        <f t="shared" si="43"/>
        <v>0</v>
      </c>
      <c r="E421" s="114">
        <f t="shared" si="44"/>
        <v>0</v>
      </c>
      <c r="F421" s="113"/>
      <c r="G421" s="113">
        <v>358</v>
      </c>
      <c r="H421" s="114">
        <f t="shared" si="45"/>
        <v>0</v>
      </c>
      <c r="I421" s="114">
        <f t="shared" si="46"/>
        <v>0</v>
      </c>
      <c r="J421" s="114">
        <f t="shared" si="47"/>
        <v>0</v>
      </c>
      <c r="K421" s="114">
        <f t="shared" si="48"/>
        <v>0</v>
      </c>
      <c r="L421" s="113"/>
    </row>
    <row r="422" spans="1:12">
      <c r="A422" s="113">
        <v>359</v>
      </c>
      <c r="B422" s="114">
        <f t="shared" si="41"/>
        <v>0</v>
      </c>
      <c r="C422" s="114">
        <f t="shared" si="42"/>
        <v>0</v>
      </c>
      <c r="D422" s="114">
        <f t="shared" si="43"/>
        <v>0</v>
      </c>
      <c r="E422" s="114">
        <f t="shared" si="44"/>
        <v>0</v>
      </c>
      <c r="F422" s="113"/>
      <c r="G422" s="113">
        <v>359</v>
      </c>
      <c r="H422" s="114">
        <f t="shared" si="45"/>
        <v>0</v>
      </c>
      <c r="I422" s="114">
        <f t="shared" si="46"/>
        <v>0</v>
      </c>
      <c r="J422" s="114">
        <f t="shared" si="47"/>
        <v>0</v>
      </c>
      <c r="K422" s="114">
        <f t="shared" si="48"/>
        <v>0</v>
      </c>
      <c r="L422" s="113"/>
    </row>
    <row r="423" spans="1:12">
      <c r="A423" s="113">
        <v>360</v>
      </c>
      <c r="B423" s="114">
        <f t="shared" si="41"/>
        <v>0</v>
      </c>
      <c r="C423" s="114">
        <f t="shared" si="42"/>
        <v>0</v>
      </c>
      <c r="D423" s="114">
        <f t="shared" si="43"/>
        <v>0</v>
      </c>
      <c r="E423" s="114">
        <f t="shared" si="44"/>
        <v>0</v>
      </c>
      <c r="F423" s="113">
        <v>30</v>
      </c>
      <c r="G423" s="113">
        <v>360</v>
      </c>
      <c r="H423" s="114">
        <f t="shared" si="45"/>
        <v>0</v>
      </c>
      <c r="I423" s="114">
        <f t="shared" si="46"/>
        <v>0</v>
      </c>
      <c r="J423" s="114">
        <f t="shared" si="47"/>
        <v>0</v>
      </c>
      <c r="K423" s="114">
        <f t="shared" si="48"/>
        <v>0</v>
      </c>
      <c r="L423" s="113">
        <v>30</v>
      </c>
    </row>
    <row r="424" spans="1:12">
      <c r="A424" s="113">
        <v>361</v>
      </c>
      <c r="B424" s="114">
        <f t="shared" si="41"/>
        <v>0</v>
      </c>
      <c r="C424" s="114">
        <f t="shared" si="42"/>
        <v>0</v>
      </c>
      <c r="D424" s="114">
        <f t="shared" si="43"/>
        <v>0</v>
      </c>
      <c r="E424" s="114">
        <f t="shared" si="44"/>
        <v>0</v>
      </c>
      <c r="F424" s="113"/>
      <c r="G424" s="113">
        <v>361</v>
      </c>
      <c r="H424" s="114">
        <f t="shared" si="45"/>
        <v>0</v>
      </c>
      <c r="I424" s="114">
        <f t="shared" si="46"/>
        <v>0</v>
      </c>
      <c r="J424" s="114">
        <f t="shared" si="47"/>
        <v>0</v>
      </c>
      <c r="K424" s="114">
        <f t="shared" si="48"/>
        <v>0</v>
      </c>
      <c r="L424" s="113"/>
    </row>
    <row r="425" spans="1:12">
      <c r="A425" s="113">
        <v>362</v>
      </c>
      <c r="B425" s="114">
        <f t="shared" si="41"/>
        <v>0</v>
      </c>
      <c r="C425" s="114">
        <f t="shared" si="42"/>
        <v>0</v>
      </c>
      <c r="D425" s="114">
        <f t="shared" si="43"/>
        <v>0</v>
      </c>
      <c r="E425" s="114">
        <f t="shared" si="44"/>
        <v>0</v>
      </c>
      <c r="F425" s="113"/>
      <c r="G425" s="113">
        <v>362</v>
      </c>
      <c r="H425" s="114">
        <f t="shared" si="45"/>
        <v>0</v>
      </c>
      <c r="I425" s="114">
        <f t="shared" si="46"/>
        <v>0</v>
      </c>
      <c r="J425" s="114">
        <f t="shared" si="47"/>
        <v>0</v>
      </c>
      <c r="K425" s="114">
        <f t="shared" si="48"/>
        <v>0</v>
      </c>
      <c r="L425" s="113"/>
    </row>
    <row r="426" spans="1:12">
      <c r="A426" s="113">
        <v>363</v>
      </c>
      <c r="B426" s="114">
        <f t="shared" si="41"/>
        <v>0</v>
      </c>
      <c r="C426" s="114">
        <f t="shared" si="42"/>
        <v>0</v>
      </c>
      <c r="D426" s="114">
        <f t="shared" si="43"/>
        <v>0</v>
      </c>
      <c r="E426" s="114">
        <f t="shared" si="44"/>
        <v>0</v>
      </c>
      <c r="F426" s="113"/>
      <c r="G426" s="113">
        <v>363</v>
      </c>
      <c r="H426" s="114">
        <f t="shared" si="45"/>
        <v>0</v>
      </c>
      <c r="I426" s="114">
        <f t="shared" si="46"/>
        <v>0</v>
      </c>
      <c r="J426" s="114">
        <f t="shared" si="47"/>
        <v>0</v>
      </c>
      <c r="K426" s="114">
        <f t="shared" si="48"/>
        <v>0</v>
      </c>
      <c r="L426" s="113"/>
    </row>
    <row r="427" spans="1:12">
      <c r="A427" s="113">
        <v>364</v>
      </c>
      <c r="B427" s="114">
        <f t="shared" si="41"/>
        <v>0</v>
      </c>
      <c r="C427" s="114">
        <f t="shared" si="42"/>
        <v>0</v>
      </c>
      <c r="D427" s="114">
        <f t="shared" si="43"/>
        <v>0</v>
      </c>
      <c r="E427" s="114">
        <f t="shared" si="44"/>
        <v>0</v>
      </c>
      <c r="F427" s="113"/>
      <c r="G427" s="113">
        <v>364</v>
      </c>
      <c r="H427" s="114">
        <f t="shared" si="45"/>
        <v>0</v>
      </c>
      <c r="I427" s="114">
        <f t="shared" si="46"/>
        <v>0</v>
      </c>
      <c r="J427" s="114">
        <f t="shared" si="47"/>
        <v>0</v>
      </c>
      <c r="K427" s="114">
        <f t="shared" si="48"/>
        <v>0</v>
      </c>
      <c r="L427" s="113"/>
    </row>
    <row r="428" spans="1:12">
      <c r="A428" s="113">
        <v>365</v>
      </c>
      <c r="B428" s="114">
        <f t="shared" si="41"/>
        <v>0</v>
      </c>
      <c r="C428" s="114">
        <f t="shared" si="42"/>
        <v>0</v>
      </c>
      <c r="D428" s="114">
        <f t="shared" si="43"/>
        <v>0</v>
      </c>
      <c r="E428" s="114">
        <f t="shared" si="44"/>
        <v>0</v>
      </c>
      <c r="F428" s="113"/>
      <c r="G428" s="113">
        <v>365</v>
      </c>
      <c r="H428" s="114">
        <f t="shared" si="45"/>
        <v>0</v>
      </c>
      <c r="I428" s="114">
        <f t="shared" si="46"/>
        <v>0</v>
      </c>
      <c r="J428" s="114">
        <f t="shared" si="47"/>
        <v>0</v>
      </c>
      <c r="K428" s="114">
        <f t="shared" si="48"/>
        <v>0</v>
      </c>
      <c r="L428" s="113"/>
    </row>
    <row r="429" spans="1:12">
      <c r="A429" s="113">
        <v>366</v>
      </c>
      <c r="B429" s="114">
        <f t="shared" si="41"/>
        <v>0</v>
      </c>
      <c r="C429" s="114">
        <f t="shared" si="42"/>
        <v>0</v>
      </c>
      <c r="D429" s="114">
        <f t="shared" si="43"/>
        <v>0</v>
      </c>
      <c r="E429" s="114">
        <f t="shared" si="44"/>
        <v>0</v>
      </c>
      <c r="F429" s="113"/>
      <c r="G429" s="113">
        <v>366</v>
      </c>
      <c r="H429" s="114">
        <f t="shared" si="45"/>
        <v>0</v>
      </c>
      <c r="I429" s="114">
        <f t="shared" si="46"/>
        <v>0</v>
      </c>
      <c r="J429" s="114">
        <f t="shared" si="47"/>
        <v>0</v>
      </c>
      <c r="K429" s="114">
        <f t="shared" si="48"/>
        <v>0</v>
      </c>
      <c r="L429" s="113"/>
    </row>
    <row r="430" spans="1:12">
      <c r="A430" s="113">
        <v>367</v>
      </c>
      <c r="B430" s="114">
        <f t="shared" si="41"/>
        <v>0</v>
      </c>
      <c r="C430" s="114">
        <f t="shared" si="42"/>
        <v>0</v>
      </c>
      <c r="D430" s="114">
        <f t="shared" si="43"/>
        <v>0</v>
      </c>
      <c r="E430" s="114">
        <f t="shared" si="44"/>
        <v>0</v>
      </c>
      <c r="F430" s="113"/>
      <c r="G430" s="113">
        <v>367</v>
      </c>
      <c r="H430" s="114">
        <f t="shared" si="45"/>
        <v>0</v>
      </c>
      <c r="I430" s="114">
        <f t="shared" si="46"/>
        <v>0</v>
      </c>
      <c r="J430" s="114">
        <f t="shared" si="47"/>
        <v>0</v>
      </c>
      <c r="K430" s="114">
        <f t="shared" si="48"/>
        <v>0</v>
      </c>
      <c r="L430" s="113"/>
    </row>
    <row r="431" spans="1:12">
      <c r="A431" s="113">
        <v>368</v>
      </c>
      <c r="B431" s="114">
        <f t="shared" si="41"/>
        <v>0</v>
      </c>
      <c r="C431" s="114">
        <f t="shared" si="42"/>
        <v>0</v>
      </c>
      <c r="D431" s="114">
        <f t="shared" si="43"/>
        <v>0</v>
      </c>
      <c r="E431" s="114">
        <f t="shared" si="44"/>
        <v>0</v>
      </c>
      <c r="F431" s="113"/>
      <c r="G431" s="113">
        <v>368</v>
      </c>
      <c r="H431" s="114">
        <f t="shared" si="45"/>
        <v>0</v>
      </c>
      <c r="I431" s="114">
        <f t="shared" si="46"/>
        <v>0</v>
      </c>
      <c r="J431" s="114">
        <f t="shared" si="47"/>
        <v>0</v>
      </c>
      <c r="K431" s="114">
        <f t="shared" si="48"/>
        <v>0</v>
      </c>
      <c r="L431" s="113"/>
    </row>
    <row r="432" spans="1:12">
      <c r="A432" s="113">
        <v>369</v>
      </c>
      <c r="B432" s="114">
        <f t="shared" si="41"/>
        <v>0</v>
      </c>
      <c r="C432" s="114">
        <f t="shared" si="42"/>
        <v>0</v>
      </c>
      <c r="D432" s="114">
        <f t="shared" si="43"/>
        <v>0</v>
      </c>
      <c r="E432" s="114">
        <f t="shared" si="44"/>
        <v>0</v>
      </c>
      <c r="F432" s="113"/>
      <c r="G432" s="113">
        <v>369</v>
      </c>
      <c r="H432" s="114">
        <f t="shared" si="45"/>
        <v>0</v>
      </c>
      <c r="I432" s="114">
        <f t="shared" si="46"/>
        <v>0</v>
      </c>
      <c r="J432" s="114">
        <f t="shared" si="47"/>
        <v>0</v>
      </c>
      <c r="K432" s="114">
        <f t="shared" si="48"/>
        <v>0</v>
      </c>
      <c r="L432" s="113"/>
    </row>
    <row r="433" spans="1:12">
      <c r="A433" s="113">
        <v>370</v>
      </c>
      <c r="B433" s="114">
        <f t="shared" si="41"/>
        <v>0</v>
      </c>
      <c r="C433" s="114">
        <f t="shared" si="42"/>
        <v>0</v>
      </c>
      <c r="D433" s="114">
        <f t="shared" si="43"/>
        <v>0</v>
      </c>
      <c r="E433" s="114">
        <f t="shared" si="44"/>
        <v>0</v>
      </c>
      <c r="F433" s="113"/>
      <c r="G433" s="113">
        <v>370</v>
      </c>
      <c r="H433" s="114">
        <f t="shared" si="45"/>
        <v>0</v>
      </c>
      <c r="I433" s="114">
        <f t="shared" si="46"/>
        <v>0</v>
      </c>
      <c r="J433" s="114">
        <f t="shared" si="47"/>
        <v>0</v>
      </c>
      <c r="K433" s="114">
        <f t="shared" si="48"/>
        <v>0</v>
      </c>
      <c r="L433" s="113"/>
    </row>
    <row r="434" spans="1:12">
      <c r="A434" s="113">
        <v>371</v>
      </c>
      <c r="B434" s="114">
        <f t="shared" si="41"/>
        <v>0</v>
      </c>
      <c r="C434" s="114">
        <f t="shared" si="42"/>
        <v>0</v>
      </c>
      <c r="D434" s="114">
        <f t="shared" si="43"/>
        <v>0</v>
      </c>
      <c r="E434" s="114">
        <f t="shared" si="44"/>
        <v>0</v>
      </c>
      <c r="F434" s="113"/>
      <c r="G434" s="113">
        <v>371</v>
      </c>
      <c r="H434" s="114">
        <f t="shared" si="45"/>
        <v>0</v>
      </c>
      <c r="I434" s="114">
        <f t="shared" si="46"/>
        <v>0</v>
      </c>
      <c r="J434" s="114">
        <f t="shared" si="47"/>
        <v>0</v>
      </c>
      <c r="K434" s="114">
        <f t="shared" si="48"/>
        <v>0</v>
      </c>
      <c r="L434" s="113"/>
    </row>
    <row r="435" spans="1:12">
      <c r="A435" s="113">
        <v>372</v>
      </c>
      <c r="B435" s="114">
        <f t="shared" si="41"/>
        <v>0</v>
      </c>
      <c r="C435" s="114">
        <f t="shared" si="42"/>
        <v>0</v>
      </c>
      <c r="D435" s="114">
        <f t="shared" si="43"/>
        <v>0</v>
      </c>
      <c r="E435" s="114">
        <f t="shared" si="44"/>
        <v>0</v>
      </c>
      <c r="F435" s="113">
        <v>31</v>
      </c>
      <c r="G435" s="113">
        <v>372</v>
      </c>
      <c r="H435" s="114">
        <f t="shared" si="45"/>
        <v>0</v>
      </c>
      <c r="I435" s="114">
        <f t="shared" si="46"/>
        <v>0</v>
      </c>
      <c r="J435" s="114">
        <f t="shared" si="47"/>
        <v>0</v>
      </c>
      <c r="K435" s="114">
        <f t="shared" si="48"/>
        <v>0</v>
      </c>
      <c r="L435" s="113">
        <v>31</v>
      </c>
    </row>
    <row r="436" spans="1:12">
      <c r="A436" s="113">
        <v>373</v>
      </c>
      <c r="B436" s="114">
        <f t="shared" si="41"/>
        <v>0</v>
      </c>
      <c r="C436" s="114">
        <f t="shared" si="42"/>
        <v>0</v>
      </c>
      <c r="D436" s="114">
        <f t="shared" si="43"/>
        <v>0</v>
      </c>
      <c r="E436" s="114">
        <f t="shared" si="44"/>
        <v>0</v>
      </c>
      <c r="F436" s="113"/>
      <c r="G436" s="113">
        <v>373</v>
      </c>
      <c r="H436" s="114">
        <f t="shared" si="45"/>
        <v>0</v>
      </c>
      <c r="I436" s="114">
        <f t="shared" si="46"/>
        <v>0</v>
      </c>
      <c r="J436" s="114">
        <f t="shared" si="47"/>
        <v>0</v>
      </c>
      <c r="K436" s="114">
        <f t="shared" si="48"/>
        <v>0</v>
      </c>
      <c r="L436" s="113"/>
    </row>
    <row r="437" spans="1:12">
      <c r="A437" s="113">
        <v>374</v>
      </c>
      <c r="B437" s="114">
        <f t="shared" si="41"/>
        <v>0</v>
      </c>
      <c r="C437" s="114">
        <f t="shared" si="42"/>
        <v>0</v>
      </c>
      <c r="D437" s="114">
        <f t="shared" si="43"/>
        <v>0</v>
      </c>
      <c r="E437" s="114">
        <f t="shared" si="44"/>
        <v>0</v>
      </c>
      <c r="F437" s="113"/>
      <c r="G437" s="113">
        <v>374</v>
      </c>
      <c r="H437" s="114">
        <f t="shared" si="45"/>
        <v>0</v>
      </c>
      <c r="I437" s="114">
        <f t="shared" si="46"/>
        <v>0</v>
      </c>
      <c r="J437" s="114">
        <f t="shared" si="47"/>
        <v>0</v>
      </c>
      <c r="K437" s="114">
        <f t="shared" si="48"/>
        <v>0</v>
      </c>
      <c r="L437" s="113"/>
    </row>
    <row r="438" spans="1:12">
      <c r="A438" s="113">
        <v>375</v>
      </c>
      <c r="B438" s="114">
        <f t="shared" si="41"/>
        <v>0</v>
      </c>
      <c r="C438" s="114">
        <f t="shared" si="42"/>
        <v>0</v>
      </c>
      <c r="D438" s="114">
        <f t="shared" si="43"/>
        <v>0</v>
      </c>
      <c r="E438" s="114">
        <f t="shared" si="44"/>
        <v>0</v>
      </c>
      <c r="F438" s="113"/>
      <c r="G438" s="113">
        <v>375</v>
      </c>
      <c r="H438" s="114">
        <f t="shared" si="45"/>
        <v>0</v>
      </c>
      <c r="I438" s="114">
        <f t="shared" si="46"/>
        <v>0</v>
      </c>
      <c r="J438" s="114">
        <f t="shared" si="47"/>
        <v>0</v>
      </c>
      <c r="K438" s="114">
        <f t="shared" si="48"/>
        <v>0</v>
      </c>
      <c r="L438" s="113"/>
    </row>
    <row r="439" spans="1:12">
      <c r="A439" s="113">
        <v>376</v>
      </c>
      <c r="B439" s="114">
        <f t="shared" si="41"/>
        <v>0</v>
      </c>
      <c r="C439" s="114">
        <f t="shared" si="42"/>
        <v>0</v>
      </c>
      <c r="D439" s="114">
        <f t="shared" si="43"/>
        <v>0</v>
      </c>
      <c r="E439" s="114">
        <f t="shared" si="44"/>
        <v>0</v>
      </c>
      <c r="F439" s="113"/>
      <c r="G439" s="113">
        <v>376</v>
      </c>
      <c r="H439" s="114">
        <f t="shared" si="45"/>
        <v>0</v>
      </c>
      <c r="I439" s="114">
        <f t="shared" si="46"/>
        <v>0</v>
      </c>
      <c r="J439" s="114">
        <f t="shared" si="47"/>
        <v>0</v>
      </c>
      <c r="K439" s="114">
        <f t="shared" si="48"/>
        <v>0</v>
      </c>
      <c r="L439" s="113"/>
    </row>
    <row r="440" spans="1:12">
      <c r="A440" s="113">
        <v>377</v>
      </c>
      <c r="B440" s="114">
        <f t="shared" si="41"/>
        <v>0</v>
      </c>
      <c r="C440" s="114">
        <f t="shared" si="42"/>
        <v>0</v>
      </c>
      <c r="D440" s="114">
        <f t="shared" si="43"/>
        <v>0</v>
      </c>
      <c r="E440" s="114">
        <f t="shared" si="44"/>
        <v>0</v>
      </c>
      <c r="F440" s="113"/>
      <c r="G440" s="113">
        <v>377</v>
      </c>
      <c r="H440" s="114">
        <f t="shared" si="45"/>
        <v>0</v>
      </c>
      <c r="I440" s="114">
        <f t="shared" si="46"/>
        <v>0</v>
      </c>
      <c r="J440" s="114">
        <f t="shared" si="47"/>
        <v>0</v>
      </c>
      <c r="K440" s="114">
        <f t="shared" si="48"/>
        <v>0</v>
      </c>
      <c r="L440" s="113"/>
    </row>
    <row r="441" spans="1:12">
      <c r="A441" s="113">
        <v>378</v>
      </c>
      <c r="B441" s="114">
        <f t="shared" si="41"/>
        <v>0</v>
      </c>
      <c r="C441" s="114">
        <f t="shared" si="42"/>
        <v>0</v>
      </c>
      <c r="D441" s="114">
        <f t="shared" si="43"/>
        <v>0</v>
      </c>
      <c r="E441" s="114">
        <f t="shared" si="44"/>
        <v>0</v>
      </c>
      <c r="F441" s="113"/>
      <c r="G441" s="113">
        <v>378</v>
      </c>
      <c r="H441" s="114">
        <f t="shared" si="45"/>
        <v>0</v>
      </c>
      <c r="I441" s="114">
        <f t="shared" si="46"/>
        <v>0</v>
      </c>
      <c r="J441" s="114">
        <f t="shared" si="47"/>
        <v>0</v>
      </c>
      <c r="K441" s="114">
        <f t="shared" si="48"/>
        <v>0</v>
      </c>
      <c r="L441" s="113"/>
    </row>
    <row r="442" spans="1:12">
      <c r="A442" s="113">
        <v>379</v>
      </c>
      <c r="B442" s="114">
        <f t="shared" si="41"/>
        <v>0</v>
      </c>
      <c r="C442" s="114">
        <f t="shared" si="42"/>
        <v>0</v>
      </c>
      <c r="D442" s="114">
        <f t="shared" si="43"/>
        <v>0</v>
      </c>
      <c r="E442" s="114">
        <f t="shared" si="44"/>
        <v>0</v>
      </c>
      <c r="F442" s="113"/>
      <c r="G442" s="113">
        <v>379</v>
      </c>
      <c r="H442" s="114">
        <f t="shared" si="45"/>
        <v>0</v>
      </c>
      <c r="I442" s="114">
        <f t="shared" si="46"/>
        <v>0</v>
      </c>
      <c r="J442" s="114">
        <f t="shared" si="47"/>
        <v>0</v>
      </c>
      <c r="K442" s="114">
        <f t="shared" si="48"/>
        <v>0</v>
      </c>
      <c r="L442" s="113"/>
    </row>
    <row r="443" spans="1:12">
      <c r="A443" s="113">
        <v>380</v>
      </c>
      <c r="B443" s="114">
        <f t="shared" si="41"/>
        <v>0</v>
      </c>
      <c r="C443" s="114">
        <f t="shared" si="42"/>
        <v>0</v>
      </c>
      <c r="D443" s="114">
        <f t="shared" si="43"/>
        <v>0</v>
      </c>
      <c r="E443" s="114">
        <f t="shared" si="44"/>
        <v>0</v>
      </c>
      <c r="F443" s="113"/>
      <c r="G443" s="113">
        <v>380</v>
      </c>
      <c r="H443" s="114">
        <f t="shared" si="45"/>
        <v>0</v>
      </c>
      <c r="I443" s="114">
        <f t="shared" si="46"/>
        <v>0</v>
      </c>
      <c r="J443" s="114">
        <f t="shared" si="47"/>
        <v>0</v>
      </c>
      <c r="K443" s="114">
        <f t="shared" si="48"/>
        <v>0</v>
      </c>
      <c r="L443" s="113"/>
    </row>
    <row r="444" spans="1:12">
      <c r="A444" s="113">
        <v>381</v>
      </c>
      <c r="B444" s="114">
        <f t="shared" si="41"/>
        <v>0</v>
      </c>
      <c r="C444" s="114">
        <f t="shared" si="42"/>
        <v>0</v>
      </c>
      <c r="D444" s="114">
        <f t="shared" si="43"/>
        <v>0</v>
      </c>
      <c r="E444" s="114">
        <f t="shared" si="44"/>
        <v>0</v>
      </c>
      <c r="F444" s="113"/>
      <c r="G444" s="113">
        <v>381</v>
      </c>
      <c r="H444" s="114">
        <f t="shared" si="45"/>
        <v>0</v>
      </c>
      <c r="I444" s="114">
        <f t="shared" si="46"/>
        <v>0</v>
      </c>
      <c r="J444" s="114">
        <f t="shared" si="47"/>
        <v>0</v>
      </c>
      <c r="K444" s="114">
        <f t="shared" si="48"/>
        <v>0</v>
      </c>
      <c r="L444" s="113"/>
    </row>
    <row r="445" spans="1:12">
      <c r="A445" s="113">
        <v>382</v>
      </c>
      <c r="B445" s="114">
        <f t="shared" si="41"/>
        <v>0</v>
      </c>
      <c r="C445" s="114">
        <f t="shared" si="42"/>
        <v>0</v>
      </c>
      <c r="D445" s="114">
        <f t="shared" si="43"/>
        <v>0</v>
      </c>
      <c r="E445" s="114">
        <f t="shared" si="44"/>
        <v>0</v>
      </c>
      <c r="F445" s="113"/>
      <c r="G445" s="113">
        <v>382</v>
      </c>
      <c r="H445" s="114">
        <f t="shared" si="45"/>
        <v>0</v>
      </c>
      <c r="I445" s="114">
        <f t="shared" si="46"/>
        <v>0</v>
      </c>
      <c r="J445" s="114">
        <f t="shared" si="47"/>
        <v>0</v>
      </c>
      <c r="K445" s="114">
        <f t="shared" si="48"/>
        <v>0</v>
      </c>
      <c r="L445" s="113"/>
    </row>
    <row r="446" spans="1:12">
      <c r="A446" s="113">
        <v>383</v>
      </c>
      <c r="B446" s="114">
        <f t="shared" si="41"/>
        <v>0</v>
      </c>
      <c r="C446" s="114">
        <f t="shared" si="42"/>
        <v>0</v>
      </c>
      <c r="D446" s="114">
        <f t="shared" si="43"/>
        <v>0</v>
      </c>
      <c r="E446" s="114">
        <f t="shared" si="44"/>
        <v>0</v>
      </c>
      <c r="F446" s="113"/>
      <c r="G446" s="113">
        <v>383</v>
      </c>
      <c r="H446" s="114">
        <f t="shared" si="45"/>
        <v>0</v>
      </c>
      <c r="I446" s="114">
        <f t="shared" si="46"/>
        <v>0</v>
      </c>
      <c r="J446" s="114">
        <f t="shared" si="47"/>
        <v>0</v>
      </c>
      <c r="K446" s="114">
        <f t="shared" si="48"/>
        <v>0</v>
      </c>
      <c r="L446" s="113"/>
    </row>
    <row r="447" spans="1:12">
      <c r="A447" s="113">
        <v>384</v>
      </c>
      <c r="B447" s="114">
        <f t="shared" si="41"/>
        <v>0</v>
      </c>
      <c r="C447" s="114">
        <f t="shared" si="42"/>
        <v>0</v>
      </c>
      <c r="D447" s="114">
        <f t="shared" si="43"/>
        <v>0</v>
      </c>
      <c r="E447" s="114">
        <f t="shared" si="44"/>
        <v>0</v>
      </c>
      <c r="F447" s="113">
        <v>32</v>
      </c>
      <c r="G447" s="113">
        <v>384</v>
      </c>
      <c r="H447" s="114">
        <f t="shared" si="45"/>
        <v>0</v>
      </c>
      <c r="I447" s="114">
        <f t="shared" si="46"/>
        <v>0</v>
      </c>
      <c r="J447" s="114">
        <f t="shared" si="47"/>
        <v>0</v>
      </c>
      <c r="K447" s="114">
        <f t="shared" si="48"/>
        <v>0</v>
      </c>
      <c r="L447" s="113">
        <v>32</v>
      </c>
    </row>
    <row r="448" spans="1:12">
      <c r="A448" s="113">
        <v>385</v>
      </c>
      <c r="B448" s="114">
        <f t="shared" ref="B448:B511" si="49">IF(A448&gt;12*$C$9,0,IF($C$5&gt;1500000,$D$12,$C$12))</f>
        <v>0</v>
      </c>
      <c r="C448" s="114">
        <f t="shared" ref="C448:C511" si="50">IF(A448&gt;12*$C$9,0,E447*$C$7/12)</f>
        <v>0</v>
      </c>
      <c r="D448" s="114">
        <f t="shared" ref="D448:D511" si="51">IF(A448&gt;12*$C$9,0,B448-C448)</f>
        <v>0</v>
      </c>
      <c r="E448" s="114">
        <f t="shared" ref="E448:E511" si="52">IF(A448&gt;12*$C$9,0,E447-D448)</f>
        <v>0</v>
      </c>
      <c r="F448" s="113"/>
      <c r="G448" s="113">
        <v>385</v>
      </c>
      <c r="H448" s="114">
        <f t="shared" ref="H448:H511" si="53">IF(G448&gt;12*$C$9,0,IF($C$5&gt;1500000,$E$12,0))</f>
        <v>0</v>
      </c>
      <c r="I448" s="114">
        <f t="shared" ref="I448:I511" si="54">IF(G448&gt;12*$C$9,0,K447*$C$7/12)</f>
        <v>0</v>
      </c>
      <c r="J448" s="114">
        <f t="shared" ref="J448:J511" si="55">IF(G448&gt;12*$C$9,0,H448-I448)</f>
        <v>0</v>
      </c>
      <c r="K448" s="114">
        <f t="shared" ref="K448:K511" si="56">IF(G448&gt;12*$C$9,0,K447-J448)</f>
        <v>0</v>
      </c>
      <c r="L448" s="113"/>
    </row>
    <row r="449" spans="1:12">
      <c r="A449" s="113">
        <v>386</v>
      </c>
      <c r="B449" s="114">
        <f t="shared" si="49"/>
        <v>0</v>
      </c>
      <c r="C449" s="114">
        <f t="shared" si="50"/>
        <v>0</v>
      </c>
      <c r="D449" s="114">
        <f t="shared" si="51"/>
        <v>0</v>
      </c>
      <c r="E449" s="114">
        <f t="shared" si="52"/>
        <v>0</v>
      </c>
      <c r="F449" s="113"/>
      <c r="G449" s="113">
        <v>386</v>
      </c>
      <c r="H449" s="114">
        <f t="shared" si="53"/>
        <v>0</v>
      </c>
      <c r="I449" s="114">
        <f t="shared" si="54"/>
        <v>0</v>
      </c>
      <c r="J449" s="114">
        <f t="shared" si="55"/>
        <v>0</v>
      </c>
      <c r="K449" s="114">
        <f t="shared" si="56"/>
        <v>0</v>
      </c>
      <c r="L449" s="113"/>
    </row>
    <row r="450" spans="1:12">
      <c r="A450" s="113">
        <v>387</v>
      </c>
      <c r="B450" s="114">
        <f t="shared" si="49"/>
        <v>0</v>
      </c>
      <c r="C450" s="114">
        <f t="shared" si="50"/>
        <v>0</v>
      </c>
      <c r="D450" s="114">
        <f t="shared" si="51"/>
        <v>0</v>
      </c>
      <c r="E450" s="114">
        <f t="shared" si="52"/>
        <v>0</v>
      </c>
      <c r="F450" s="113"/>
      <c r="G450" s="113">
        <v>387</v>
      </c>
      <c r="H450" s="114">
        <f t="shared" si="53"/>
        <v>0</v>
      </c>
      <c r="I450" s="114">
        <f t="shared" si="54"/>
        <v>0</v>
      </c>
      <c r="J450" s="114">
        <f t="shared" si="55"/>
        <v>0</v>
      </c>
      <c r="K450" s="114">
        <f t="shared" si="56"/>
        <v>0</v>
      </c>
      <c r="L450" s="113"/>
    </row>
    <row r="451" spans="1:12">
      <c r="A451" s="113">
        <v>388</v>
      </c>
      <c r="B451" s="114">
        <f t="shared" si="49"/>
        <v>0</v>
      </c>
      <c r="C451" s="114">
        <f t="shared" si="50"/>
        <v>0</v>
      </c>
      <c r="D451" s="114">
        <f t="shared" si="51"/>
        <v>0</v>
      </c>
      <c r="E451" s="114">
        <f t="shared" si="52"/>
        <v>0</v>
      </c>
      <c r="F451" s="113"/>
      <c r="G451" s="113">
        <v>388</v>
      </c>
      <c r="H451" s="114">
        <f t="shared" si="53"/>
        <v>0</v>
      </c>
      <c r="I451" s="114">
        <f t="shared" si="54"/>
        <v>0</v>
      </c>
      <c r="J451" s="114">
        <f t="shared" si="55"/>
        <v>0</v>
      </c>
      <c r="K451" s="114">
        <f t="shared" si="56"/>
        <v>0</v>
      </c>
      <c r="L451" s="113"/>
    </row>
    <row r="452" spans="1:12">
      <c r="A452" s="113">
        <v>389</v>
      </c>
      <c r="B452" s="114">
        <f t="shared" si="49"/>
        <v>0</v>
      </c>
      <c r="C452" s="114">
        <f t="shared" si="50"/>
        <v>0</v>
      </c>
      <c r="D452" s="114">
        <f t="shared" si="51"/>
        <v>0</v>
      </c>
      <c r="E452" s="114">
        <f t="shared" si="52"/>
        <v>0</v>
      </c>
      <c r="F452" s="113"/>
      <c r="G452" s="113">
        <v>389</v>
      </c>
      <c r="H452" s="114">
        <f t="shared" si="53"/>
        <v>0</v>
      </c>
      <c r="I452" s="114">
        <f t="shared" si="54"/>
        <v>0</v>
      </c>
      <c r="J452" s="114">
        <f t="shared" si="55"/>
        <v>0</v>
      </c>
      <c r="K452" s="114">
        <f t="shared" si="56"/>
        <v>0</v>
      </c>
      <c r="L452" s="113"/>
    </row>
    <row r="453" spans="1:12">
      <c r="A453" s="113">
        <v>390</v>
      </c>
      <c r="B453" s="114">
        <f t="shared" si="49"/>
        <v>0</v>
      </c>
      <c r="C453" s="114">
        <f t="shared" si="50"/>
        <v>0</v>
      </c>
      <c r="D453" s="114">
        <f t="shared" si="51"/>
        <v>0</v>
      </c>
      <c r="E453" s="114">
        <f t="shared" si="52"/>
        <v>0</v>
      </c>
      <c r="F453" s="113"/>
      <c r="G453" s="113">
        <v>390</v>
      </c>
      <c r="H453" s="114">
        <f t="shared" si="53"/>
        <v>0</v>
      </c>
      <c r="I453" s="114">
        <f t="shared" si="54"/>
        <v>0</v>
      </c>
      <c r="J453" s="114">
        <f t="shared" si="55"/>
        <v>0</v>
      </c>
      <c r="K453" s="114">
        <f t="shared" si="56"/>
        <v>0</v>
      </c>
      <c r="L453" s="113"/>
    </row>
    <row r="454" spans="1:12">
      <c r="A454" s="113">
        <v>391</v>
      </c>
      <c r="B454" s="114">
        <f t="shared" si="49"/>
        <v>0</v>
      </c>
      <c r="C454" s="114">
        <f t="shared" si="50"/>
        <v>0</v>
      </c>
      <c r="D454" s="114">
        <f t="shared" si="51"/>
        <v>0</v>
      </c>
      <c r="E454" s="114">
        <f t="shared" si="52"/>
        <v>0</v>
      </c>
      <c r="F454" s="113"/>
      <c r="G454" s="113">
        <v>391</v>
      </c>
      <c r="H454" s="114">
        <f t="shared" si="53"/>
        <v>0</v>
      </c>
      <c r="I454" s="114">
        <f t="shared" si="54"/>
        <v>0</v>
      </c>
      <c r="J454" s="114">
        <f t="shared" si="55"/>
        <v>0</v>
      </c>
      <c r="K454" s="114">
        <f t="shared" si="56"/>
        <v>0</v>
      </c>
      <c r="L454" s="113"/>
    </row>
    <row r="455" spans="1:12">
      <c r="A455" s="113">
        <v>392</v>
      </c>
      <c r="B455" s="114">
        <f t="shared" si="49"/>
        <v>0</v>
      </c>
      <c r="C455" s="114">
        <f t="shared" si="50"/>
        <v>0</v>
      </c>
      <c r="D455" s="114">
        <f t="shared" si="51"/>
        <v>0</v>
      </c>
      <c r="E455" s="114">
        <f t="shared" si="52"/>
        <v>0</v>
      </c>
      <c r="F455" s="113"/>
      <c r="G455" s="113">
        <v>392</v>
      </c>
      <c r="H455" s="114">
        <f t="shared" si="53"/>
        <v>0</v>
      </c>
      <c r="I455" s="114">
        <f t="shared" si="54"/>
        <v>0</v>
      </c>
      <c r="J455" s="114">
        <f t="shared" si="55"/>
        <v>0</v>
      </c>
      <c r="K455" s="114">
        <f t="shared" si="56"/>
        <v>0</v>
      </c>
      <c r="L455" s="113"/>
    </row>
    <row r="456" spans="1:12">
      <c r="A456" s="113">
        <v>393</v>
      </c>
      <c r="B456" s="114">
        <f t="shared" si="49"/>
        <v>0</v>
      </c>
      <c r="C456" s="114">
        <f t="shared" si="50"/>
        <v>0</v>
      </c>
      <c r="D456" s="114">
        <f t="shared" si="51"/>
        <v>0</v>
      </c>
      <c r="E456" s="114">
        <f t="shared" si="52"/>
        <v>0</v>
      </c>
      <c r="F456" s="113"/>
      <c r="G456" s="113">
        <v>393</v>
      </c>
      <c r="H456" s="114">
        <f t="shared" si="53"/>
        <v>0</v>
      </c>
      <c r="I456" s="114">
        <f t="shared" si="54"/>
        <v>0</v>
      </c>
      <c r="J456" s="114">
        <f t="shared" si="55"/>
        <v>0</v>
      </c>
      <c r="K456" s="114">
        <f t="shared" si="56"/>
        <v>0</v>
      </c>
      <c r="L456" s="113"/>
    </row>
    <row r="457" spans="1:12">
      <c r="A457" s="113">
        <v>394</v>
      </c>
      <c r="B457" s="114">
        <f t="shared" si="49"/>
        <v>0</v>
      </c>
      <c r="C457" s="114">
        <f t="shared" si="50"/>
        <v>0</v>
      </c>
      <c r="D457" s="114">
        <f t="shared" si="51"/>
        <v>0</v>
      </c>
      <c r="E457" s="114">
        <f t="shared" si="52"/>
        <v>0</v>
      </c>
      <c r="F457" s="113"/>
      <c r="G457" s="113">
        <v>394</v>
      </c>
      <c r="H457" s="114">
        <f t="shared" si="53"/>
        <v>0</v>
      </c>
      <c r="I457" s="114">
        <f t="shared" si="54"/>
        <v>0</v>
      </c>
      <c r="J457" s="114">
        <f t="shared" si="55"/>
        <v>0</v>
      </c>
      <c r="K457" s="114">
        <f t="shared" si="56"/>
        <v>0</v>
      </c>
      <c r="L457" s="113"/>
    </row>
    <row r="458" spans="1:12">
      <c r="A458" s="113">
        <v>395</v>
      </c>
      <c r="B458" s="114">
        <f t="shared" si="49"/>
        <v>0</v>
      </c>
      <c r="C458" s="114">
        <f t="shared" si="50"/>
        <v>0</v>
      </c>
      <c r="D458" s="114">
        <f t="shared" si="51"/>
        <v>0</v>
      </c>
      <c r="E458" s="114">
        <f t="shared" si="52"/>
        <v>0</v>
      </c>
      <c r="F458" s="113"/>
      <c r="G458" s="113">
        <v>395</v>
      </c>
      <c r="H458" s="114">
        <f t="shared" si="53"/>
        <v>0</v>
      </c>
      <c r="I458" s="114">
        <f t="shared" si="54"/>
        <v>0</v>
      </c>
      <c r="J458" s="114">
        <f t="shared" si="55"/>
        <v>0</v>
      </c>
      <c r="K458" s="114">
        <f t="shared" si="56"/>
        <v>0</v>
      </c>
      <c r="L458" s="113"/>
    </row>
    <row r="459" spans="1:12">
      <c r="A459" s="113">
        <v>396</v>
      </c>
      <c r="B459" s="114">
        <f t="shared" si="49"/>
        <v>0</v>
      </c>
      <c r="C459" s="114">
        <f t="shared" si="50"/>
        <v>0</v>
      </c>
      <c r="D459" s="114">
        <f t="shared" si="51"/>
        <v>0</v>
      </c>
      <c r="E459" s="114">
        <f t="shared" si="52"/>
        <v>0</v>
      </c>
      <c r="F459" s="113">
        <v>33</v>
      </c>
      <c r="G459" s="113">
        <v>396</v>
      </c>
      <c r="H459" s="114">
        <f t="shared" si="53"/>
        <v>0</v>
      </c>
      <c r="I459" s="114">
        <f t="shared" si="54"/>
        <v>0</v>
      </c>
      <c r="J459" s="114">
        <f t="shared" si="55"/>
        <v>0</v>
      </c>
      <c r="K459" s="114">
        <f t="shared" si="56"/>
        <v>0</v>
      </c>
      <c r="L459" s="113">
        <v>33</v>
      </c>
    </row>
    <row r="460" spans="1:12">
      <c r="A460" s="113">
        <v>397</v>
      </c>
      <c r="B460" s="114">
        <f t="shared" si="49"/>
        <v>0</v>
      </c>
      <c r="C460" s="114">
        <f t="shared" si="50"/>
        <v>0</v>
      </c>
      <c r="D460" s="114">
        <f t="shared" si="51"/>
        <v>0</v>
      </c>
      <c r="E460" s="114">
        <f t="shared" si="52"/>
        <v>0</v>
      </c>
      <c r="F460" s="113"/>
      <c r="G460" s="113">
        <v>397</v>
      </c>
      <c r="H460" s="114">
        <f t="shared" si="53"/>
        <v>0</v>
      </c>
      <c r="I460" s="114">
        <f t="shared" si="54"/>
        <v>0</v>
      </c>
      <c r="J460" s="114">
        <f t="shared" si="55"/>
        <v>0</v>
      </c>
      <c r="K460" s="114">
        <f t="shared" si="56"/>
        <v>0</v>
      </c>
      <c r="L460" s="113"/>
    </row>
    <row r="461" spans="1:12">
      <c r="A461" s="113">
        <v>398</v>
      </c>
      <c r="B461" s="114">
        <f t="shared" si="49"/>
        <v>0</v>
      </c>
      <c r="C461" s="114">
        <f t="shared" si="50"/>
        <v>0</v>
      </c>
      <c r="D461" s="114">
        <f t="shared" si="51"/>
        <v>0</v>
      </c>
      <c r="E461" s="114">
        <f t="shared" si="52"/>
        <v>0</v>
      </c>
      <c r="F461" s="113"/>
      <c r="G461" s="113">
        <v>398</v>
      </c>
      <c r="H461" s="114">
        <f t="shared" si="53"/>
        <v>0</v>
      </c>
      <c r="I461" s="114">
        <f t="shared" si="54"/>
        <v>0</v>
      </c>
      <c r="J461" s="114">
        <f t="shared" si="55"/>
        <v>0</v>
      </c>
      <c r="K461" s="114">
        <f t="shared" si="56"/>
        <v>0</v>
      </c>
      <c r="L461" s="113"/>
    </row>
    <row r="462" spans="1:12">
      <c r="A462" s="113">
        <v>399</v>
      </c>
      <c r="B462" s="114">
        <f t="shared" si="49"/>
        <v>0</v>
      </c>
      <c r="C462" s="114">
        <f t="shared" si="50"/>
        <v>0</v>
      </c>
      <c r="D462" s="114">
        <f t="shared" si="51"/>
        <v>0</v>
      </c>
      <c r="E462" s="114">
        <f t="shared" si="52"/>
        <v>0</v>
      </c>
      <c r="F462" s="113"/>
      <c r="G462" s="113">
        <v>399</v>
      </c>
      <c r="H462" s="114">
        <f t="shared" si="53"/>
        <v>0</v>
      </c>
      <c r="I462" s="114">
        <f t="shared" si="54"/>
        <v>0</v>
      </c>
      <c r="J462" s="114">
        <f t="shared" si="55"/>
        <v>0</v>
      </c>
      <c r="K462" s="114">
        <f t="shared" si="56"/>
        <v>0</v>
      </c>
      <c r="L462" s="113"/>
    </row>
    <row r="463" spans="1:12">
      <c r="A463" s="113">
        <v>400</v>
      </c>
      <c r="B463" s="114">
        <f t="shared" si="49"/>
        <v>0</v>
      </c>
      <c r="C463" s="114">
        <f t="shared" si="50"/>
        <v>0</v>
      </c>
      <c r="D463" s="114">
        <f t="shared" si="51"/>
        <v>0</v>
      </c>
      <c r="E463" s="114">
        <f t="shared" si="52"/>
        <v>0</v>
      </c>
      <c r="F463" s="113"/>
      <c r="G463" s="113">
        <v>400</v>
      </c>
      <c r="H463" s="114">
        <f t="shared" si="53"/>
        <v>0</v>
      </c>
      <c r="I463" s="114">
        <f t="shared" si="54"/>
        <v>0</v>
      </c>
      <c r="J463" s="114">
        <f t="shared" si="55"/>
        <v>0</v>
      </c>
      <c r="K463" s="114">
        <f t="shared" si="56"/>
        <v>0</v>
      </c>
      <c r="L463" s="113"/>
    </row>
    <row r="464" spans="1:12">
      <c r="A464" s="113">
        <v>401</v>
      </c>
      <c r="B464" s="114">
        <f t="shared" si="49"/>
        <v>0</v>
      </c>
      <c r="C464" s="114">
        <f t="shared" si="50"/>
        <v>0</v>
      </c>
      <c r="D464" s="114">
        <f t="shared" si="51"/>
        <v>0</v>
      </c>
      <c r="E464" s="114">
        <f t="shared" si="52"/>
        <v>0</v>
      </c>
      <c r="F464" s="113"/>
      <c r="G464" s="113">
        <v>401</v>
      </c>
      <c r="H464" s="114">
        <f t="shared" si="53"/>
        <v>0</v>
      </c>
      <c r="I464" s="114">
        <f t="shared" si="54"/>
        <v>0</v>
      </c>
      <c r="J464" s="114">
        <f t="shared" si="55"/>
        <v>0</v>
      </c>
      <c r="K464" s="114">
        <f t="shared" si="56"/>
        <v>0</v>
      </c>
      <c r="L464" s="113"/>
    </row>
    <row r="465" spans="1:12">
      <c r="A465" s="113">
        <v>402</v>
      </c>
      <c r="B465" s="114">
        <f t="shared" si="49"/>
        <v>0</v>
      </c>
      <c r="C465" s="114">
        <f t="shared" si="50"/>
        <v>0</v>
      </c>
      <c r="D465" s="114">
        <f t="shared" si="51"/>
        <v>0</v>
      </c>
      <c r="E465" s="114">
        <f t="shared" si="52"/>
        <v>0</v>
      </c>
      <c r="F465" s="113"/>
      <c r="G465" s="113">
        <v>402</v>
      </c>
      <c r="H465" s="114">
        <f t="shared" si="53"/>
        <v>0</v>
      </c>
      <c r="I465" s="114">
        <f t="shared" si="54"/>
        <v>0</v>
      </c>
      <c r="J465" s="114">
        <f t="shared" si="55"/>
        <v>0</v>
      </c>
      <c r="K465" s="114">
        <f t="shared" si="56"/>
        <v>0</v>
      </c>
      <c r="L465" s="113"/>
    </row>
    <row r="466" spans="1:12">
      <c r="A466" s="113">
        <v>403</v>
      </c>
      <c r="B466" s="114">
        <f t="shared" si="49"/>
        <v>0</v>
      </c>
      <c r="C466" s="114">
        <f t="shared" si="50"/>
        <v>0</v>
      </c>
      <c r="D466" s="114">
        <f t="shared" si="51"/>
        <v>0</v>
      </c>
      <c r="E466" s="114">
        <f t="shared" si="52"/>
        <v>0</v>
      </c>
      <c r="F466" s="113"/>
      <c r="G466" s="113">
        <v>403</v>
      </c>
      <c r="H466" s="114">
        <f t="shared" si="53"/>
        <v>0</v>
      </c>
      <c r="I466" s="114">
        <f t="shared" si="54"/>
        <v>0</v>
      </c>
      <c r="J466" s="114">
        <f t="shared" si="55"/>
        <v>0</v>
      </c>
      <c r="K466" s="114">
        <f t="shared" si="56"/>
        <v>0</v>
      </c>
      <c r="L466" s="113"/>
    </row>
    <row r="467" spans="1:12">
      <c r="A467" s="113">
        <v>404</v>
      </c>
      <c r="B467" s="114">
        <f t="shared" si="49"/>
        <v>0</v>
      </c>
      <c r="C467" s="114">
        <f t="shared" si="50"/>
        <v>0</v>
      </c>
      <c r="D467" s="114">
        <f t="shared" si="51"/>
        <v>0</v>
      </c>
      <c r="E467" s="114">
        <f t="shared" si="52"/>
        <v>0</v>
      </c>
      <c r="F467" s="113"/>
      <c r="G467" s="113">
        <v>404</v>
      </c>
      <c r="H467" s="114">
        <f t="shared" si="53"/>
        <v>0</v>
      </c>
      <c r="I467" s="114">
        <f t="shared" si="54"/>
        <v>0</v>
      </c>
      <c r="J467" s="114">
        <f t="shared" si="55"/>
        <v>0</v>
      </c>
      <c r="K467" s="114">
        <f t="shared" si="56"/>
        <v>0</v>
      </c>
      <c r="L467" s="113"/>
    </row>
    <row r="468" spans="1:12">
      <c r="A468" s="113">
        <v>405</v>
      </c>
      <c r="B468" s="114">
        <f t="shared" si="49"/>
        <v>0</v>
      </c>
      <c r="C468" s="114">
        <f t="shared" si="50"/>
        <v>0</v>
      </c>
      <c r="D468" s="114">
        <f t="shared" si="51"/>
        <v>0</v>
      </c>
      <c r="E468" s="114">
        <f t="shared" si="52"/>
        <v>0</v>
      </c>
      <c r="F468" s="113"/>
      <c r="G468" s="113">
        <v>405</v>
      </c>
      <c r="H468" s="114">
        <f t="shared" si="53"/>
        <v>0</v>
      </c>
      <c r="I468" s="114">
        <f t="shared" si="54"/>
        <v>0</v>
      </c>
      <c r="J468" s="114">
        <f t="shared" si="55"/>
        <v>0</v>
      </c>
      <c r="K468" s="114">
        <f t="shared" si="56"/>
        <v>0</v>
      </c>
      <c r="L468" s="113"/>
    </row>
    <row r="469" spans="1:12">
      <c r="A469" s="113">
        <v>406</v>
      </c>
      <c r="B469" s="114">
        <f t="shared" si="49"/>
        <v>0</v>
      </c>
      <c r="C469" s="114">
        <f t="shared" si="50"/>
        <v>0</v>
      </c>
      <c r="D469" s="114">
        <f t="shared" si="51"/>
        <v>0</v>
      </c>
      <c r="E469" s="114">
        <f t="shared" si="52"/>
        <v>0</v>
      </c>
      <c r="F469" s="113"/>
      <c r="G469" s="113">
        <v>406</v>
      </c>
      <c r="H469" s="114">
        <f t="shared" si="53"/>
        <v>0</v>
      </c>
      <c r="I469" s="114">
        <f t="shared" si="54"/>
        <v>0</v>
      </c>
      <c r="J469" s="114">
        <f t="shared" si="55"/>
        <v>0</v>
      </c>
      <c r="K469" s="114">
        <f t="shared" si="56"/>
        <v>0</v>
      </c>
      <c r="L469" s="113"/>
    </row>
    <row r="470" spans="1:12">
      <c r="A470" s="113">
        <v>407</v>
      </c>
      <c r="B470" s="114">
        <f t="shared" si="49"/>
        <v>0</v>
      </c>
      <c r="C470" s="114">
        <f t="shared" si="50"/>
        <v>0</v>
      </c>
      <c r="D470" s="114">
        <f t="shared" si="51"/>
        <v>0</v>
      </c>
      <c r="E470" s="114">
        <f t="shared" si="52"/>
        <v>0</v>
      </c>
      <c r="F470" s="113"/>
      <c r="G470" s="113">
        <v>407</v>
      </c>
      <c r="H470" s="114">
        <f t="shared" si="53"/>
        <v>0</v>
      </c>
      <c r="I470" s="114">
        <f t="shared" si="54"/>
        <v>0</v>
      </c>
      <c r="J470" s="114">
        <f t="shared" si="55"/>
        <v>0</v>
      </c>
      <c r="K470" s="114">
        <f t="shared" si="56"/>
        <v>0</v>
      </c>
      <c r="L470" s="113"/>
    </row>
    <row r="471" spans="1:12">
      <c r="A471" s="113">
        <v>408</v>
      </c>
      <c r="B471" s="114">
        <f t="shared" si="49"/>
        <v>0</v>
      </c>
      <c r="C471" s="114">
        <f t="shared" si="50"/>
        <v>0</v>
      </c>
      <c r="D471" s="114">
        <f t="shared" si="51"/>
        <v>0</v>
      </c>
      <c r="E471" s="114">
        <f t="shared" si="52"/>
        <v>0</v>
      </c>
      <c r="F471" s="113">
        <v>34</v>
      </c>
      <c r="G471" s="113">
        <v>408</v>
      </c>
      <c r="H471" s="114">
        <f t="shared" si="53"/>
        <v>0</v>
      </c>
      <c r="I471" s="114">
        <f t="shared" si="54"/>
        <v>0</v>
      </c>
      <c r="J471" s="114">
        <f t="shared" si="55"/>
        <v>0</v>
      </c>
      <c r="K471" s="114">
        <f t="shared" si="56"/>
        <v>0</v>
      </c>
      <c r="L471" s="113">
        <v>34</v>
      </c>
    </row>
    <row r="472" spans="1:12">
      <c r="A472" s="113">
        <v>409</v>
      </c>
      <c r="B472" s="114">
        <f t="shared" si="49"/>
        <v>0</v>
      </c>
      <c r="C472" s="114">
        <f t="shared" si="50"/>
        <v>0</v>
      </c>
      <c r="D472" s="114">
        <f t="shared" si="51"/>
        <v>0</v>
      </c>
      <c r="E472" s="114">
        <f t="shared" si="52"/>
        <v>0</v>
      </c>
      <c r="F472" s="113"/>
      <c r="G472" s="113">
        <v>409</v>
      </c>
      <c r="H472" s="114">
        <f t="shared" si="53"/>
        <v>0</v>
      </c>
      <c r="I472" s="114">
        <f t="shared" si="54"/>
        <v>0</v>
      </c>
      <c r="J472" s="114">
        <f t="shared" si="55"/>
        <v>0</v>
      </c>
      <c r="K472" s="114">
        <f t="shared" si="56"/>
        <v>0</v>
      </c>
      <c r="L472" s="113"/>
    </row>
    <row r="473" spans="1:12">
      <c r="A473" s="113">
        <v>410</v>
      </c>
      <c r="B473" s="114">
        <f t="shared" si="49"/>
        <v>0</v>
      </c>
      <c r="C473" s="114">
        <f t="shared" si="50"/>
        <v>0</v>
      </c>
      <c r="D473" s="114">
        <f t="shared" si="51"/>
        <v>0</v>
      </c>
      <c r="E473" s="114">
        <f t="shared" si="52"/>
        <v>0</v>
      </c>
      <c r="F473" s="113"/>
      <c r="G473" s="113">
        <v>410</v>
      </c>
      <c r="H473" s="114">
        <f t="shared" si="53"/>
        <v>0</v>
      </c>
      <c r="I473" s="114">
        <f t="shared" si="54"/>
        <v>0</v>
      </c>
      <c r="J473" s="114">
        <f t="shared" si="55"/>
        <v>0</v>
      </c>
      <c r="K473" s="114">
        <f t="shared" si="56"/>
        <v>0</v>
      </c>
      <c r="L473" s="113"/>
    </row>
    <row r="474" spans="1:12">
      <c r="A474" s="113">
        <v>411</v>
      </c>
      <c r="B474" s="114">
        <f t="shared" si="49"/>
        <v>0</v>
      </c>
      <c r="C474" s="114">
        <f t="shared" si="50"/>
        <v>0</v>
      </c>
      <c r="D474" s="114">
        <f t="shared" si="51"/>
        <v>0</v>
      </c>
      <c r="E474" s="114">
        <f t="shared" si="52"/>
        <v>0</v>
      </c>
      <c r="F474" s="113"/>
      <c r="G474" s="113">
        <v>411</v>
      </c>
      <c r="H474" s="114">
        <f t="shared" si="53"/>
        <v>0</v>
      </c>
      <c r="I474" s="114">
        <f t="shared" si="54"/>
        <v>0</v>
      </c>
      <c r="J474" s="114">
        <f t="shared" si="55"/>
        <v>0</v>
      </c>
      <c r="K474" s="114">
        <f t="shared" si="56"/>
        <v>0</v>
      </c>
      <c r="L474" s="113"/>
    </row>
    <row r="475" spans="1:12">
      <c r="A475" s="113">
        <v>412</v>
      </c>
      <c r="B475" s="114">
        <f t="shared" si="49"/>
        <v>0</v>
      </c>
      <c r="C475" s="114">
        <f t="shared" si="50"/>
        <v>0</v>
      </c>
      <c r="D475" s="114">
        <f t="shared" si="51"/>
        <v>0</v>
      </c>
      <c r="E475" s="114">
        <f t="shared" si="52"/>
        <v>0</v>
      </c>
      <c r="F475" s="113"/>
      <c r="G475" s="113">
        <v>412</v>
      </c>
      <c r="H475" s="114">
        <f t="shared" si="53"/>
        <v>0</v>
      </c>
      <c r="I475" s="114">
        <f t="shared" si="54"/>
        <v>0</v>
      </c>
      <c r="J475" s="114">
        <f t="shared" si="55"/>
        <v>0</v>
      </c>
      <c r="K475" s="114">
        <f t="shared" si="56"/>
        <v>0</v>
      </c>
      <c r="L475" s="113"/>
    </row>
    <row r="476" spans="1:12">
      <c r="A476" s="113">
        <v>413</v>
      </c>
      <c r="B476" s="114">
        <f t="shared" si="49"/>
        <v>0</v>
      </c>
      <c r="C476" s="114">
        <f t="shared" si="50"/>
        <v>0</v>
      </c>
      <c r="D476" s="114">
        <f t="shared" si="51"/>
        <v>0</v>
      </c>
      <c r="E476" s="114">
        <f t="shared" si="52"/>
        <v>0</v>
      </c>
      <c r="F476" s="113"/>
      <c r="G476" s="113">
        <v>413</v>
      </c>
      <c r="H476" s="114">
        <f t="shared" si="53"/>
        <v>0</v>
      </c>
      <c r="I476" s="114">
        <f t="shared" si="54"/>
        <v>0</v>
      </c>
      <c r="J476" s="114">
        <f t="shared" si="55"/>
        <v>0</v>
      </c>
      <c r="K476" s="114">
        <f t="shared" si="56"/>
        <v>0</v>
      </c>
      <c r="L476" s="113"/>
    </row>
    <row r="477" spans="1:12">
      <c r="A477" s="113">
        <v>414</v>
      </c>
      <c r="B477" s="114">
        <f t="shared" si="49"/>
        <v>0</v>
      </c>
      <c r="C477" s="114">
        <f t="shared" si="50"/>
        <v>0</v>
      </c>
      <c r="D477" s="114">
        <f t="shared" si="51"/>
        <v>0</v>
      </c>
      <c r="E477" s="114">
        <f t="shared" si="52"/>
        <v>0</v>
      </c>
      <c r="F477" s="113"/>
      <c r="G477" s="113">
        <v>414</v>
      </c>
      <c r="H477" s="114">
        <f t="shared" si="53"/>
        <v>0</v>
      </c>
      <c r="I477" s="114">
        <f t="shared" si="54"/>
        <v>0</v>
      </c>
      <c r="J477" s="114">
        <f t="shared" si="55"/>
        <v>0</v>
      </c>
      <c r="K477" s="114">
        <f t="shared" si="56"/>
        <v>0</v>
      </c>
      <c r="L477" s="113"/>
    </row>
    <row r="478" spans="1:12">
      <c r="A478" s="113">
        <v>415</v>
      </c>
      <c r="B478" s="114">
        <f t="shared" si="49"/>
        <v>0</v>
      </c>
      <c r="C478" s="114">
        <f t="shared" si="50"/>
        <v>0</v>
      </c>
      <c r="D478" s="114">
        <f t="shared" si="51"/>
        <v>0</v>
      </c>
      <c r="E478" s="114">
        <f t="shared" si="52"/>
        <v>0</v>
      </c>
      <c r="F478" s="113"/>
      <c r="G478" s="113">
        <v>415</v>
      </c>
      <c r="H478" s="114">
        <f t="shared" si="53"/>
        <v>0</v>
      </c>
      <c r="I478" s="114">
        <f t="shared" si="54"/>
        <v>0</v>
      </c>
      <c r="J478" s="114">
        <f t="shared" si="55"/>
        <v>0</v>
      </c>
      <c r="K478" s="114">
        <f t="shared" si="56"/>
        <v>0</v>
      </c>
      <c r="L478" s="113"/>
    </row>
    <row r="479" spans="1:12">
      <c r="A479" s="113">
        <v>416</v>
      </c>
      <c r="B479" s="114">
        <f t="shared" si="49"/>
        <v>0</v>
      </c>
      <c r="C479" s="114">
        <f t="shared" si="50"/>
        <v>0</v>
      </c>
      <c r="D479" s="114">
        <f t="shared" si="51"/>
        <v>0</v>
      </c>
      <c r="E479" s="114">
        <f t="shared" si="52"/>
        <v>0</v>
      </c>
      <c r="F479" s="113"/>
      <c r="G479" s="113">
        <v>416</v>
      </c>
      <c r="H479" s="114">
        <f t="shared" si="53"/>
        <v>0</v>
      </c>
      <c r="I479" s="114">
        <f t="shared" si="54"/>
        <v>0</v>
      </c>
      <c r="J479" s="114">
        <f t="shared" si="55"/>
        <v>0</v>
      </c>
      <c r="K479" s="114">
        <f t="shared" si="56"/>
        <v>0</v>
      </c>
      <c r="L479" s="113"/>
    </row>
    <row r="480" spans="1:12">
      <c r="A480" s="113">
        <v>417</v>
      </c>
      <c r="B480" s="114">
        <f t="shared" si="49"/>
        <v>0</v>
      </c>
      <c r="C480" s="114">
        <f t="shared" si="50"/>
        <v>0</v>
      </c>
      <c r="D480" s="114">
        <f t="shared" si="51"/>
        <v>0</v>
      </c>
      <c r="E480" s="114">
        <f t="shared" si="52"/>
        <v>0</v>
      </c>
      <c r="F480" s="113"/>
      <c r="G480" s="113">
        <v>417</v>
      </c>
      <c r="H480" s="114">
        <f t="shared" si="53"/>
        <v>0</v>
      </c>
      <c r="I480" s="114">
        <f t="shared" si="54"/>
        <v>0</v>
      </c>
      <c r="J480" s="114">
        <f t="shared" si="55"/>
        <v>0</v>
      </c>
      <c r="K480" s="114">
        <f t="shared" si="56"/>
        <v>0</v>
      </c>
      <c r="L480" s="113"/>
    </row>
    <row r="481" spans="1:12">
      <c r="A481" s="113">
        <v>418</v>
      </c>
      <c r="B481" s="114">
        <f t="shared" si="49"/>
        <v>0</v>
      </c>
      <c r="C481" s="114">
        <f t="shared" si="50"/>
        <v>0</v>
      </c>
      <c r="D481" s="114">
        <f t="shared" si="51"/>
        <v>0</v>
      </c>
      <c r="E481" s="114">
        <f t="shared" si="52"/>
        <v>0</v>
      </c>
      <c r="F481" s="113"/>
      <c r="G481" s="113">
        <v>418</v>
      </c>
      <c r="H481" s="114">
        <f t="shared" si="53"/>
        <v>0</v>
      </c>
      <c r="I481" s="114">
        <f t="shared" si="54"/>
        <v>0</v>
      </c>
      <c r="J481" s="114">
        <f t="shared" si="55"/>
        <v>0</v>
      </c>
      <c r="K481" s="114">
        <f t="shared" si="56"/>
        <v>0</v>
      </c>
      <c r="L481" s="113"/>
    </row>
    <row r="482" spans="1:12">
      <c r="A482" s="113">
        <v>419</v>
      </c>
      <c r="B482" s="114">
        <f t="shared" si="49"/>
        <v>0</v>
      </c>
      <c r="C482" s="114">
        <f t="shared" si="50"/>
        <v>0</v>
      </c>
      <c r="D482" s="114">
        <f t="shared" si="51"/>
        <v>0</v>
      </c>
      <c r="E482" s="114">
        <f t="shared" si="52"/>
        <v>0</v>
      </c>
      <c r="F482" s="113"/>
      <c r="G482" s="113">
        <v>419</v>
      </c>
      <c r="H482" s="114">
        <f t="shared" si="53"/>
        <v>0</v>
      </c>
      <c r="I482" s="114">
        <f t="shared" si="54"/>
        <v>0</v>
      </c>
      <c r="J482" s="114">
        <f t="shared" si="55"/>
        <v>0</v>
      </c>
      <c r="K482" s="114">
        <f t="shared" si="56"/>
        <v>0</v>
      </c>
      <c r="L482" s="113"/>
    </row>
    <row r="483" spans="1:12">
      <c r="A483" s="113">
        <v>420</v>
      </c>
      <c r="B483" s="114">
        <f t="shared" si="49"/>
        <v>0</v>
      </c>
      <c r="C483" s="114">
        <f t="shared" si="50"/>
        <v>0</v>
      </c>
      <c r="D483" s="114">
        <f t="shared" si="51"/>
        <v>0</v>
      </c>
      <c r="E483" s="114">
        <f t="shared" si="52"/>
        <v>0</v>
      </c>
      <c r="F483" s="113">
        <v>35</v>
      </c>
      <c r="G483" s="113">
        <v>420</v>
      </c>
      <c r="H483" s="114">
        <f t="shared" si="53"/>
        <v>0</v>
      </c>
      <c r="I483" s="114">
        <f t="shared" si="54"/>
        <v>0</v>
      </c>
      <c r="J483" s="114">
        <f t="shared" si="55"/>
        <v>0</v>
      </c>
      <c r="K483" s="114">
        <f t="shared" si="56"/>
        <v>0</v>
      </c>
      <c r="L483" s="113">
        <v>35</v>
      </c>
    </row>
    <row r="484" spans="1:12">
      <c r="A484" s="113">
        <v>421</v>
      </c>
      <c r="B484" s="114">
        <f t="shared" si="49"/>
        <v>0</v>
      </c>
      <c r="C484" s="114">
        <f t="shared" si="50"/>
        <v>0</v>
      </c>
      <c r="D484" s="114">
        <f t="shared" si="51"/>
        <v>0</v>
      </c>
      <c r="E484" s="114">
        <f t="shared" si="52"/>
        <v>0</v>
      </c>
      <c r="F484" s="113"/>
      <c r="G484" s="113">
        <v>421</v>
      </c>
      <c r="H484" s="114">
        <f t="shared" si="53"/>
        <v>0</v>
      </c>
      <c r="I484" s="114">
        <f t="shared" si="54"/>
        <v>0</v>
      </c>
      <c r="J484" s="114">
        <f t="shared" si="55"/>
        <v>0</v>
      </c>
      <c r="K484" s="114">
        <f t="shared" si="56"/>
        <v>0</v>
      </c>
      <c r="L484" s="113"/>
    </row>
    <row r="485" spans="1:12">
      <c r="A485" s="113">
        <v>422</v>
      </c>
      <c r="B485" s="114">
        <f t="shared" si="49"/>
        <v>0</v>
      </c>
      <c r="C485" s="114">
        <f t="shared" si="50"/>
        <v>0</v>
      </c>
      <c r="D485" s="114">
        <f t="shared" si="51"/>
        <v>0</v>
      </c>
      <c r="E485" s="114">
        <f t="shared" si="52"/>
        <v>0</v>
      </c>
      <c r="F485" s="113"/>
      <c r="G485" s="113">
        <v>422</v>
      </c>
      <c r="H485" s="114">
        <f t="shared" si="53"/>
        <v>0</v>
      </c>
      <c r="I485" s="114">
        <f t="shared" si="54"/>
        <v>0</v>
      </c>
      <c r="J485" s="114">
        <f t="shared" si="55"/>
        <v>0</v>
      </c>
      <c r="K485" s="114">
        <f t="shared" si="56"/>
        <v>0</v>
      </c>
      <c r="L485" s="113"/>
    </row>
    <row r="486" spans="1:12">
      <c r="A486" s="113">
        <v>423</v>
      </c>
      <c r="B486" s="114">
        <f t="shared" si="49"/>
        <v>0</v>
      </c>
      <c r="C486" s="114">
        <f t="shared" si="50"/>
        <v>0</v>
      </c>
      <c r="D486" s="114">
        <f t="shared" si="51"/>
        <v>0</v>
      </c>
      <c r="E486" s="114">
        <f t="shared" si="52"/>
        <v>0</v>
      </c>
      <c r="F486" s="113"/>
      <c r="G486" s="113">
        <v>423</v>
      </c>
      <c r="H486" s="114">
        <f t="shared" si="53"/>
        <v>0</v>
      </c>
      <c r="I486" s="114">
        <f t="shared" si="54"/>
        <v>0</v>
      </c>
      <c r="J486" s="114">
        <f t="shared" si="55"/>
        <v>0</v>
      </c>
      <c r="K486" s="114">
        <f t="shared" si="56"/>
        <v>0</v>
      </c>
      <c r="L486" s="113"/>
    </row>
    <row r="487" spans="1:12">
      <c r="A487" s="113">
        <v>424</v>
      </c>
      <c r="B487" s="114">
        <f t="shared" si="49"/>
        <v>0</v>
      </c>
      <c r="C487" s="114">
        <f t="shared" si="50"/>
        <v>0</v>
      </c>
      <c r="D487" s="114">
        <f t="shared" si="51"/>
        <v>0</v>
      </c>
      <c r="E487" s="114">
        <f t="shared" si="52"/>
        <v>0</v>
      </c>
      <c r="F487" s="113"/>
      <c r="G487" s="113">
        <v>424</v>
      </c>
      <c r="H487" s="114">
        <f t="shared" si="53"/>
        <v>0</v>
      </c>
      <c r="I487" s="114">
        <f t="shared" si="54"/>
        <v>0</v>
      </c>
      <c r="J487" s="114">
        <f t="shared" si="55"/>
        <v>0</v>
      </c>
      <c r="K487" s="114">
        <f t="shared" si="56"/>
        <v>0</v>
      </c>
      <c r="L487" s="113"/>
    </row>
    <row r="488" spans="1:12">
      <c r="A488" s="113">
        <v>425</v>
      </c>
      <c r="B488" s="114">
        <f t="shared" si="49"/>
        <v>0</v>
      </c>
      <c r="C488" s="114">
        <f t="shared" si="50"/>
        <v>0</v>
      </c>
      <c r="D488" s="114">
        <f t="shared" si="51"/>
        <v>0</v>
      </c>
      <c r="E488" s="114">
        <f t="shared" si="52"/>
        <v>0</v>
      </c>
      <c r="F488" s="113"/>
      <c r="G488" s="113">
        <v>425</v>
      </c>
      <c r="H488" s="114">
        <f t="shared" si="53"/>
        <v>0</v>
      </c>
      <c r="I488" s="114">
        <f t="shared" si="54"/>
        <v>0</v>
      </c>
      <c r="J488" s="114">
        <f t="shared" si="55"/>
        <v>0</v>
      </c>
      <c r="K488" s="114">
        <f t="shared" si="56"/>
        <v>0</v>
      </c>
      <c r="L488" s="113"/>
    </row>
    <row r="489" spans="1:12">
      <c r="A489" s="113">
        <v>426</v>
      </c>
      <c r="B489" s="114">
        <f t="shared" si="49"/>
        <v>0</v>
      </c>
      <c r="C489" s="114">
        <f t="shared" si="50"/>
        <v>0</v>
      </c>
      <c r="D489" s="114">
        <f t="shared" si="51"/>
        <v>0</v>
      </c>
      <c r="E489" s="114">
        <f t="shared" si="52"/>
        <v>0</v>
      </c>
      <c r="F489" s="113"/>
      <c r="G489" s="113">
        <v>426</v>
      </c>
      <c r="H489" s="114">
        <f t="shared" si="53"/>
        <v>0</v>
      </c>
      <c r="I489" s="114">
        <f t="shared" si="54"/>
        <v>0</v>
      </c>
      <c r="J489" s="114">
        <f t="shared" si="55"/>
        <v>0</v>
      </c>
      <c r="K489" s="114">
        <f t="shared" si="56"/>
        <v>0</v>
      </c>
      <c r="L489" s="113"/>
    </row>
    <row r="490" spans="1:12">
      <c r="A490" s="113">
        <v>427</v>
      </c>
      <c r="B490" s="114">
        <f t="shared" si="49"/>
        <v>0</v>
      </c>
      <c r="C490" s="114">
        <f t="shared" si="50"/>
        <v>0</v>
      </c>
      <c r="D490" s="114">
        <f t="shared" si="51"/>
        <v>0</v>
      </c>
      <c r="E490" s="114">
        <f t="shared" si="52"/>
        <v>0</v>
      </c>
      <c r="F490" s="113"/>
      <c r="G490" s="113">
        <v>427</v>
      </c>
      <c r="H490" s="114">
        <f t="shared" si="53"/>
        <v>0</v>
      </c>
      <c r="I490" s="114">
        <f t="shared" si="54"/>
        <v>0</v>
      </c>
      <c r="J490" s="114">
        <f t="shared" si="55"/>
        <v>0</v>
      </c>
      <c r="K490" s="114">
        <f t="shared" si="56"/>
        <v>0</v>
      </c>
      <c r="L490" s="113"/>
    </row>
    <row r="491" spans="1:12">
      <c r="A491" s="113">
        <v>428</v>
      </c>
      <c r="B491" s="114">
        <f t="shared" si="49"/>
        <v>0</v>
      </c>
      <c r="C491" s="114">
        <f t="shared" si="50"/>
        <v>0</v>
      </c>
      <c r="D491" s="114">
        <f t="shared" si="51"/>
        <v>0</v>
      </c>
      <c r="E491" s="114">
        <f t="shared" si="52"/>
        <v>0</v>
      </c>
      <c r="F491" s="113"/>
      <c r="G491" s="113">
        <v>428</v>
      </c>
      <c r="H491" s="114">
        <f t="shared" si="53"/>
        <v>0</v>
      </c>
      <c r="I491" s="114">
        <f t="shared" si="54"/>
        <v>0</v>
      </c>
      <c r="J491" s="114">
        <f t="shared" si="55"/>
        <v>0</v>
      </c>
      <c r="K491" s="114">
        <f t="shared" si="56"/>
        <v>0</v>
      </c>
      <c r="L491" s="113"/>
    </row>
    <row r="492" spans="1:12">
      <c r="A492" s="113">
        <v>429</v>
      </c>
      <c r="B492" s="114">
        <f t="shared" si="49"/>
        <v>0</v>
      </c>
      <c r="C492" s="114">
        <f t="shared" si="50"/>
        <v>0</v>
      </c>
      <c r="D492" s="114">
        <f t="shared" si="51"/>
        <v>0</v>
      </c>
      <c r="E492" s="114">
        <f t="shared" si="52"/>
        <v>0</v>
      </c>
      <c r="F492" s="113"/>
      <c r="G492" s="113">
        <v>429</v>
      </c>
      <c r="H492" s="114">
        <f t="shared" si="53"/>
        <v>0</v>
      </c>
      <c r="I492" s="114">
        <f t="shared" si="54"/>
        <v>0</v>
      </c>
      <c r="J492" s="114">
        <f t="shared" si="55"/>
        <v>0</v>
      </c>
      <c r="K492" s="114">
        <f t="shared" si="56"/>
        <v>0</v>
      </c>
      <c r="L492" s="113"/>
    </row>
    <row r="493" spans="1:12">
      <c r="A493" s="113">
        <v>430</v>
      </c>
      <c r="B493" s="114">
        <f t="shared" si="49"/>
        <v>0</v>
      </c>
      <c r="C493" s="114">
        <f t="shared" si="50"/>
        <v>0</v>
      </c>
      <c r="D493" s="114">
        <f t="shared" si="51"/>
        <v>0</v>
      </c>
      <c r="E493" s="114">
        <f t="shared" si="52"/>
        <v>0</v>
      </c>
      <c r="F493" s="113"/>
      <c r="G493" s="113">
        <v>430</v>
      </c>
      <c r="H493" s="114">
        <f t="shared" si="53"/>
        <v>0</v>
      </c>
      <c r="I493" s="114">
        <f t="shared" si="54"/>
        <v>0</v>
      </c>
      <c r="J493" s="114">
        <f t="shared" si="55"/>
        <v>0</v>
      </c>
      <c r="K493" s="114">
        <f t="shared" si="56"/>
        <v>0</v>
      </c>
      <c r="L493" s="113"/>
    </row>
    <row r="494" spans="1:12">
      <c r="A494" s="113">
        <v>431</v>
      </c>
      <c r="B494" s="114">
        <f t="shared" si="49"/>
        <v>0</v>
      </c>
      <c r="C494" s="114">
        <f t="shared" si="50"/>
        <v>0</v>
      </c>
      <c r="D494" s="114">
        <f t="shared" si="51"/>
        <v>0</v>
      </c>
      <c r="E494" s="114">
        <f t="shared" si="52"/>
        <v>0</v>
      </c>
      <c r="F494" s="113"/>
      <c r="G494" s="113">
        <v>431</v>
      </c>
      <c r="H494" s="114">
        <f t="shared" si="53"/>
        <v>0</v>
      </c>
      <c r="I494" s="114">
        <f t="shared" si="54"/>
        <v>0</v>
      </c>
      <c r="J494" s="114">
        <f t="shared" si="55"/>
        <v>0</v>
      </c>
      <c r="K494" s="114">
        <f t="shared" si="56"/>
        <v>0</v>
      </c>
      <c r="L494" s="113"/>
    </row>
    <row r="495" spans="1:12">
      <c r="A495" s="113">
        <v>432</v>
      </c>
      <c r="B495" s="114">
        <f t="shared" si="49"/>
        <v>0</v>
      </c>
      <c r="C495" s="114">
        <f t="shared" si="50"/>
        <v>0</v>
      </c>
      <c r="D495" s="114">
        <f t="shared" si="51"/>
        <v>0</v>
      </c>
      <c r="E495" s="114">
        <f t="shared" si="52"/>
        <v>0</v>
      </c>
      <c r="F495" s="113">
        <v>36</v>
      </c>
      <c r="G495" s="113">
        <v>432</v>
      </c>
      <c r="H495" s="114">
        <f t="shared" si="53"/>
        <v>0</v>
      </c>
      <c r="I495" s="114">
        <f t="shared" si="54"/>
        <v>0</v>
      </c>
      <c r="J495" s="114">
        <f t="shared" si="55"/>
        <v>0</v>
      </c>
      <c r="K495" s="114">
        <f t="shared" si="56"/>
        <v>0</v>
      </c>
      <c r="L495" s="113">
        <v>36</v>
      </c>
    </row>
    <row r="496" spans="1:12">
      <c r="A496" s="113">
        <v>433</v>
      </c>
      <c r="B496" s="114">
        <f t="shared" si="49"/>
        <v>0</v>
      </c>
      <c r="C496" s="114">
        <f t="shared" si="50"/>
        <v>0</v>
      </c>
      <c r="D496" s="114">
        <f t="shared" si="51"/>
        <v>0</v>
      </c>
      <c r="E496" s="114">
        <f t="shared" si="52"/>
        <v>0</v>
      </c>
      <c r="F496" s="113"/>
      <c r="G496" s="113">
        <v>433</v>
      </c>
      <c r="H496" s="114">
        <f t="shared" si="53"/>
        <v>0</v>
      </c>
      <c r="I496" s="114">
        <f t="shared" si="54"/>
        <v>0</v>
      </c>
      <c r="J496" s="114">
        <f t="shared" si="55"/>
        <v>0</v>
      </c>
      <c r="K496" s="114">
        <f t="shared" si="56"/>
        <v>0</v>
      </c>
      <c r="L496" s="113"/>
    </row>
    <row r="497" spans="1:12">
      <c r="A497" s="113">
        <v>434</v>
      </c>
      <c r="B497" s="114">
        <f t="shared" si="49"/>
        <v>0</v>
      </c>
      <c r="C497" s="114">
        <f t="shared" si="50"/>
        <v>0</v>
      </c>
      <c r="D497" s="114">
        <f t="shared" si="51"/>
        <v>0</v>
      </c>
      <c r="E497" s="114">
        <f t="shared" si="52"/>
        <v>0</v>
      </c>
      <c r="F497" s="113"/>
      <c r="G497" s="113">
        <v>434</v>
      </c>
      <c r="H497" s="114">
        <f t="shared" si="53"/>
        <v>0</v>
      </c>
      <c r="I497" s="114">
        <f t="shared" si="54"/>
        <v>0</v>
      </c>
      <c r="J497" s="114">
        <f t="shared" si="55"/>
        <v>0</v>
      </c>
      <c r="K497" s="114">
        <f t="shared" si="56"/>
        <v>0</v>
      </c>
      <c r="L497" s="113"/>
    </row>
    <row r="498" spans="1:12">
      <c r="A498" s="113">
        <v>435</v>
      </c>
      <c r="B498" s="114">
        <f t="shared" si="49"/>
        <v>0</v>
      </c>
      <c r="C498" s="114">
        <f t="shared" si="50"/>
        <v>0</v>
      </c>
      <c r="D498" s="114">
        <f t="shared" si="51"/>
        <v>0</v>
      </c>
      <c r="E498" s="114">
        <f t="shared" si="52"/>
        <v>0</v>
      </c>
      <c r="F498" s="113"/>
      <c r="G498" s="113">
        <v>435</v>
      </c>
      <c r="H498" s="114">
        <f t="shared" si="53"/>
        <v>0</v>
      </c>
      <c r="I498" s="114">
        <f t="shared" si="54"/>
        <v>0</v>
      </c>
      <c r="J498" s="114">
        <f t="shared" si="55"/>
        <v>0</v>
      </c>
      <c r="K498" s="114">
        <f t="shared" si="56"/>
        <v>0</v>
      </c>
      <c r="L498" s="113"/>
    </row>
    <row r="499" spans="1:12">
      <c r="A499" s="113">
        <v>436</v>
      </c>
      <c r="B499" s="114">
        <f t="shared" si="49"/>
        <v>0</v>
      </c>
      <c r="C499" s="114">
        <f t="shared" si="50"/>
        <v>0</v>
      </c>
      <c r="D499" s="114">
        <f t="shared" si="51"/>
        <v>0</v>
      </c>
      <c r="E499" s="114">
        <f t="shared" si="52"/>
        <v>0</v>
      </c>
      <c r="F499" s="113"/>
      <c r="G499" s="113">
        <v>436</v>
      </c>
      <c r="H499" s="114">
        <f t="shared" si="53"/>
        <v>0</v>
      </c>
      <c r="I499" s="114">
        <f t="shared" si="54"/>
        <v>0</v>
      </c>
      <c r="J499" s="114">
        <f t="shared" si="55"/>
        <v>0</v>
      </c>
      <c r="K499" s="114">
        <f t="shared" si="56"/>
        <v>0</v>
      </c>
      <c r="L499" s="113"/>
    </row>
    <row r="500" spans="1:12">
      <c r="A500" s="113">
        <v>437</v>
      </c>
      <c r="B500" s="114">
        <f t="shared" si="49"/>
        <v>0</v>
      </c>
      <c r="C500" s="114">
        <f t="shared" si="50"/>
        <v>0</v>
      </c>
      <c r="D500" s="114">
        <f t="shared" si="51"/>
        <v>0</v>
      </c>
      <c r="E500" s="114">
        <f t="shared" si="52"/>
        <v>0</v>
      </c>
      <c r="F500" s="113"/>
      <c r="G500" s="113">
        <v>437</v>
      </c>
      <c r="H500" s="114">
        <f t="shared" si="53"/>
        <v>0</v>
      </c>
      <c r="I500" s="114">
        <f t="shared" si="54"/>
        <v>0</v>
      </c>
      <c r="J500" s="114">
        <f t="shared" si="55"/>
        <v>0</v>
      </c>
      <c r="K500" s="114">
        <f t="shared" si="56"/>
        <v>0</v>
      </c>
      <c r="L500" s="113"/>
    </row>
    <row r="501" spans="1:12">
      <c r="A501" s="113">
        <v>438</v>
      </c>
      <c r="B501" s="114">
        <f t="shared" si="49"/>
        <v>0</v>
      </c>
      <c r="C501" s="114">
        <f t="shared" si="50"/>
        <v>0</v>
      </c>
      <c r="D501" s="114">
        <f t="shared" si="51"/>
        <v>0</v>
      </c>
      <c r="E501" s="114">
        <f t="shared" si="52"/>
        <v>0</v>
      </c>
      <c r="F501" s="113"/>
      <c r="G501" s="113">
        <v>438</v>
      </c>
      <c r="H501" s="114">
        <f t="shared" si="53"/>
        <v>0</v>
      </c>
      <c r="I501" s="114">
        <f t="shared" si="54"/>
        <v>0</v>
      </c>
      <c r="J501" s="114">
        <f t="shared" si="55"/>
        <v>0</v>
      </c>
      <c r="K501" s="114">
        <f t="shared" si="56"/>
        <v>0</v>
      </c>
      <c r="L501" s="113"/>
    </row>
    <row r="502" spans="1:12">
      <c r="A502" s="113">
        <v>439</v>
      </c>
      <c r="B502" s="114">
        <f t="shared" si="49"/>
        <v>0</v>
      </c>
      <c r="C502" s="114">
        <f t="shared" si="50"/>
        <v>0</v>
      </c>
      <c r="D502" s="114">
        <f t="shared" si="51"/>
        <v>0</v>
      </c>
      <c r="E502" s="114">
        <f t="shared" si="52"/>
        <v>0</v>
      </c>
      <c r="F502" s="113"/>
      <c r="G502" s="113">
        <v>439</v>
      </c>
      <c r="H502" s="114">
        <f t="shared" si="53"/>
        <v>0</v>
      </c>
      <c r="I502" s="114">
        <f t="shared" si="54"/>
        <v>0</v>
      </c>
      <c r="J502" s="114">
        <f t="shared" si="55"/>
        <v>0</v>
      </c>
      <c r="K502" s="114">
        <f t="shared" si="56"/>
        <v>0</v>
      </c>
      <c r="L502" s="113"/>
    </row>
    <row r="503" spans="1:12">
      <c r="A503" s="113">
        <v>440</v>
      </c>
      <c r="B503" s="114">
        <f t="shared" si="49"/>
        <v>0</v>
      </c>
      <c r="C503" s="114">
        <f t="shared" si="50"/>
        <v>0</v>
      </c>
      <c r="D503" s="114">
        <f t="shared" si="51"/>
        <v>0</v>
      </c>
      <c r="E503" s="114">
        <f t="shared" si="52"/>
        <v>0</v>
      </c>
      <c r="F503" s="113"/>
      <c r="G503" s="113">
        <v>440</v>
      </c>
      <c r="H503" s="114">
        <f t="shared" si="53"/>
        <v>0</v>
      </c>
      <c r="I503" s="114">
        <f t="shared" si="54"/>
        <v>0</v>
      </c>
      <c r="J503" s="114">
        <f t="shared" si="55"/>
        <v>0</v>
      </c>
      <c r="K503" s="114">
        <f t="shared" si="56"/>
        <v>0</v>
      </c>
      <c r="L503" s="113"/>
    </row>
    <row r="504" spans="1:12">
      <c r="A504" s="113">
        <v>441</v>
      </c>
      <c r="B504" s="114">
        <f t="shared" si="49"/>
        <v>0</v>
      </c>
      <c r="C504" s="114">
        <f t="shared" si="50"/>
        <v>0</v>
      </c>
      <c r="D504" s="114">
        <f t="shared" si="51"/>
        <v>0</v>
      </c>
      <c r="E504" s="114">
        <f t="shared" si="52"/>
        <v>0</v>
      </c>
      <c r="F504" s="113"/>
      <c r="G504" s="113">
        <v>441</v>
      </c>
      <c r="H504" s="114">
        <f t="shared" si="53"/>
        <v>0</v>
      </c>
      <c r="I504" s="114">
        <f t="shared" si="54"/>
        <v>0</v>
      </c>
      <c r="J504" s="114">
        <f t="shared" si="55"/>
        <v>0</v>
      </c>
      <c r="K504" s="114">
        <f t="shared" si="56"/>
        <v>0</v>
      </c>
      <c r="L504" s="113"/>
    </row>
    <row r="505" spans="1:12">
      <c r="A505" s="113">
        <v>442</v>
      </c>
      <c r="B505" s="114">
        <f t="shared" si="49"/>
        <v>0</v>
      </c>
      <c r="C505" s="114">
        <f t="shared" si="50"/>
        <v>0</v>
      </c>
      <c r="D505" s="114">
        <f t="shared" si="51"/>
        <v>0</v>
      </c>
      <c r="E505" s="114">
        <f t="shared" si="52"/>
        <v>0</v>
      </c>
      <c r="F505" s="113"/>
      <c r="G505" s="113">
        <v>442</v>
      </c>
      <c r="H505" s="114">
        <f t="shared" si="53"/>
        <v>0</v>
      </c>
      <c r="I505" s="114">
        <f t="shared" si="54"/>
        <v>0</v>
      </c>
      <c r="J505" s="114">
        <f t="shared" si="55"/>
        <v>0</v>
      </c>
      <c r="K505" s="114">
        <f t="shared" si="56"/>
        <v>0</v>
      </c>
      <c r="L505" s="113"/>
    </row>
    <row r="506" spans="1:12">
      <c r="A506" s="113">
        <v>443</v>
      </c>
      <c r="B506" s="114">
        <f t="shared" si="49"/>
        <v>0</v>
      </c>
      <c r="C506" s="114">
        <f t="shared" si="50"/>
        <v>0</v>
      </c>
      <c r="D506" s="114">
        <f t="shared" si="51"/>
        <v>0</v>
      </c>
      <c r="E506" s="114">
        <f t="shared" si="52"/>
        <v>0</v>
      </c>
      <c r="F506" s="113"/>
      <c r="G506" s="113">
        <v>443</v>
      </c>
      <c r="H506" s="114">
        <f t="shared" si="53"/>
        <v>0</v>
      </c>
      <c r="I506" s="114">
        <f t="shared" si="54"/>
        <v>0</v>
      </c>
      <c r="J506" s="114">
        <f t="shared" si="55"/>
        <v>0</v>
      </c>
      <c r="K506" s="114">
        <f t="shared" si="56"/>
        <v>0</v>
      </c>
      <c r="L506" s="113"/>
    </row>
    <row r="507" spans="1:12">
      <c r="A507" s="113">
        <v>444</v>
      </c>
      <c r="B507" s="114">
        <f t="shared" si="49"/>
        <v>0</v>
      </c>
      <c r="C507" s="114">
        <f t="shared" si="50"/>
        <v>0</v>
      </c>
      <c r="D507" s="114">
        <f t="shared" si="51"/>
        <v>0</v>
      </c>
      <c r="E507" s="114">
        <f t="shared" si="52"/>
        <v>0</v>
      </c>
      <c r="F507" s="113">
        <v>37</v>
      </c>
      <c r="G507" s="113">
        <v>444</v>
      </c>
      <c r="H507" s="114">
        <f t="shared" si="53"/>
        <v>0</v>
      </c>
      <c r="I507" s="114">
        <f t="shared" si="54"/>
        <v>0</v>
      </c>
      <c r="J507" s="114">
        <f t="shared" si="55"/>
        <v>0</v>
      </c>
      <c r="K507" s="114">
        <f t="shared" si="56"/>
        <v>0</v>
      </c>
      <c r="L507" s="113">
        <v>37</v>
      </c>
    </row>
    <row r="508" spans="1:12">
      <c r="A508" s="113">
        <v>445</v>
      </c>
      <c r="B508" s="114">
        <f t="shared" si="49"/>
        <v>0</v>
      </c>
      <c r="C508" s="114">
        <f t="shared" si="50"/>
        <v>0</v>
      </c>
      <c r="D508" s="114">
        <f t="shared" si="51"/>
        <v>0</v>
      </c>
      <c r="E508" s="114">
        <f t="shared" si="52"/>
        <v>0</v>
      </c>
      <c r="F508" s="113"/>
      <c r="G508" s="113">
        <v>445</v>
      </c>
      <c r="H508" s="114">
        <f t="shared" si="53"/>
        <v>0</v>
      </c>
      <c r="I508" s="114">
        <f t="shared" si="54"/>
        <v>0</v>
      </c>
      <c r="J508" s="114">
        <f t="shared" si="55"/>
        <v>0</v>
      </c>
      <c r="K508" s="114">
        <f t="shared" si="56"/>
        <v>0</v>
      </c>
      <c r="L508" s="113"/>
    </row>
    <row r="509" spans="1:12">
      <c r="A509" s="113">
        <v>446</v>
      </c>
      <c r="B509" s="114">
        <f t="shared" si="49"/>
        <v>0</v>
      </c>
      <c r="C509" s="114">
        <f t="shared" si="50"/>
        <v>0</v>
      </c>
      <c r="D509" s="114">
        <f t="shared" si="51"/>
        <v>0</v>
      </c>
      <c r="E509" s="114">
        <f t="shared" si="52"/>
        <v>0</v>
      </c>
      <c r="F509" s="113"/>
      <c r="G509" s="113">
        <v>446</v>
      </c>
      <c r="H509" s="114">
        <f t="shared" si="53"/>
        <v>0</v>
      </c>
      <c r="I509" s="114">
        <f t="shared" si="54"/>
        <v>0</v>
      </c>
      <c r="J509" s="114">
        <f t="shared" si="55"/>
        <v>0</v>
      </c>
      <c r="K509" s="114">
        <f t="shared" si="56"/>
        <v>0</v>
      </c>
      <c r="L509" s="113"/>
    </row>
    <row r="510" spans="1:12">
      <c r="A510" s="113">
        <v>447</v>
      </c>
      <c r="B510" s="114">
        <f t="shared" si="49"/>
        <v>0</v>
      </c>
      <c r="C510" s="114">
        <f t="shared" si="50"/>
        <v>0</v>
      </c>
      <c r="D510" s="114">
        <f t="shared" si="51"/>
        <v>0</v>
      </c>
      <c r="E510" s="114">
        <f t="shared" si="52"/>
        <v>0</v>
      </c>
      <c r="F510" s="113"/>
      <c r="G510" s="113">
        <v>447</v>
      </c>
      <c r="H510" s="114">
        <f t="shared" si="53"/>
        <v>0</v>
      </c>
      <c r="I510" s="114">
        <f t="shared" si="54"/>
        <v>0</v>
      </c>
      <c r="J510" s="114">
        <f t="shared" si="55"/>
        <v>0</v>
      </c>
      <c r="K510" s="114">
        <f t="shared" si="56"/>
        <v>0</v>
      </c>
      <c r="L510" s="113"/>
    </row>
    <row r="511" spans="1:12">
      <c r="A511" s="113">
        <v>448</v>
      </c>
      <c r="B511" s="114">
        <f t="shared" si="49"/>
        <v>0</v>
      </c>
      <c r="C511" s="114">
        <f t="shared" si="50"/>
        <v>0</v>
      </c>
      <c r="D511" s="114">
        <f t="shared" si="51"/>
        <v>0</v>
      </c>
      <c r="E511" s="114">
        <f t="shared" si="52"/>
        <v>0</v>
      </c>
      <c r="F511" s="113"/>
      <c r="G511" s="113">
        <v>448</v>
      </c>
      <c r="H511" s="114">
        <f t="shared" si="53"/>
        <v>0</v>
      </c>
      <c r="I511" s="114">
        <f t="shared" si="54"/>
        <v>0</v>
      </c>
      <c r="J511" s="114">
        <f t="shared" si="55"/>
        <v>0</v>
      </c>
      <c r="K511" s="114">
        <f t="shared" si="56"/>
        <v>0</v>
      </c>
      <c r="L511" s="113"/>
    </row>
    <row r="512" spans="1:12">
      <c r="A512" s="113">
        <v>449</v>
      </c>
      <c r="B512" s="114">
        <f t="shared" ref="B512:B543" si="57">IF(A512&gt;12*$C$9,0,IF($C$5&gt;1500000,$D$12,$C$12))</f>
        <v>0</v>
      </c>
      <c r="C512" s="114">
        <f t="shared" ref="C512:C543" si="58">IF(A512&gt;12*$C$9,0,E511*$C$7/12)</f>
        <v>0</v>
      </c>
      <c r="D512" s="114">
        <f t="shared" ref="D512:D543" si="59">IF(A512&gt;12*$C$9,0,B512-C512)</f>
        <v>0</v>
      </c>
      <c r="E512" s="114">
        <f t="shared" ref="E512:E543" si="60">IF(A512&gt;12*$C$9,0,E511-D512)</f>
        <v>0</v>
      </c>
      <c r="F512" s="113"/>
      <c r="G512" s="113">
        <v>449</v>
      </c>
      <c r="H512" s="114">
        <f t="shared" ref="H512:H543" si="61">IF(G512&gt;12*$C$9,0,IF($C$5&gt;1500000,$E$12,0))</f>
        <v>0</v>
      </c>
      <c r="I512" s="114">
        <f t="shared" ref="I512:I543" si="62">IF(G512&gt;12*$C$9,0,K511*$C$7/12)</f>
        <v>0</v>
      </c>
      <c r="J512" s="114">
        <f t="shared" ref="J512:J543" si="63">IF(G512&gt;12*$C$9,0,H512-I512)</f>
        <v>0</v>
      </c>
      <c r="K512" s="114">
        <f t="shared" ref="K512:K543" si="64">IF(G512&gt;12*$C$9,0,K511-J512)</f>
        <v>0</v>
      </c>
      <c r="L512" s="113"/>
    </row>
    <row r="513" spans="1:12">
      <c r="A513" s="113">
        <v>450</v>
      </c>
      <c r="B513" s="114">
        <f t="shared" si="57"/>
        <v>0</v>
      </c>
      <c r="C513" s="114">
        <f t="shared" si="58"/>
        <v>0</v>
      </c>
      <c r="D513" s="114">
        <f t="shared" si="59"/>
        <v>0</v>
      </c>
      <c r="E513" s="114">
        <f t="shared" si="60"/>
        <v>0</v>
      </c>
      <c r="F513" s="113"/>
      <c r="G513" s="113">
        <v>450</v>
      </c>
      <c r="H513" s="114">
        <f t="shared" si="61"/>
        <v>0</v>
      </c>
      <c r="I513" s="114">
        <f t="shared" si="62"/>
        <v>0</v>
      </c>
      <c r="J513" s="114">
        <f t="shared" si="63"/>
        <v>0</v>
      </c>
      <c r="K513" s="114">
        <f t="shared" si="64"/>
        <v>0</v>
      </c>
      <c r="L513" s="113"/>
    </row>
    <row r="514" spans="1:12">
      <c r="A514" s="113">
        <v>451</v>
      </c>
      <c r="B514" s="114">
        <f t="shared" si="57"/>
        <v>0</v>
      </c>
      <c r="C514" s="114">
        <f t="shared" si="58"/>
        <v>0</v>
      </c>
      <c r="D514" s="114">
        <f t="shared" si="59"/>
        <v>0</v>
      </c>
      <c r="E514" s="114">
        <f t="shared" si="60"/>
        <v>0</v>
      </c>
      <c r="F514" s="113"/>
      <c r="G514" s="113">
        <v>451</v>
      </c>
      <c r="H514" s="114">
        <f t="shared" si="61"/>
        <v>0</v>
      </c>
      <c r="I514" s="114">
        <f t="shared" si="62"/>
        <v>0</v>
      </c>
      <c r="J514" s="114">
        <f t="shared" si="63"/>
        <v>0</v>
      </c>
      <c r="K514" s="114">
        <f t="shared" si="64"/>
        <v>0</v>
      </c>
      <c r="L514" s="113"/>
    </row>
    <row r="515" spans="1:12">
      <c r="A515" s="113">
        <v>452</v>
      </c>
      <c r="B515" s="114">
        <f t="shared" si="57"/>
        <v>0</v>
      </c>
      <c r="C515" s="114">
        <f t="shared" si="58"/>
        <v>0</v>
      </c>
      <c r="D515" s="114">
        <f t="shared" si="59"/>
        <v>0</v>
      </c>
      <c r="E515" s="114">
        <f t="shared" si="60"/>
        <v>0</v>
      </c>
      <c r="F515" s="113"/>
      <c r="G515" s="113">
        <v>452</v>
      </c>
      <c r="H515" s="114">
        <f t="shared" si="61"/>
        <v>0</v>
      </c>
      <c r="I515" s="114">
        <f t="shared" si="62"/>
        <v>0</v>
      </c>
      <c r="J515" s="114">
        <f t="shared" si="63"/>
        <v>0</v>
      </c>
      <c r="K515" s="114">
        <f t="shared" si="64"/>
        <v>0</v>
      </c>
      <c r="L515" s="113"/>
    </row>
    <row r="516" spans="1:12">
      <c r="A516" s="113">
        <v>453</v>
      </c>
      <c r="B516" s="114">
        <f t="shared" si="57"/>
        <v>0</v>
      </c>
      <c r="C516" s="114">
        <f t="shared" si="58"/>
        <v>0</v>
      </c>
      <c r="D516" s="114">
        <f t="shared" si="59"/>
        <v>0</v>
      </c>
      <c r="E516" s="114">
        <f t="shared" si="60"/>
        <v>0</v>
      </c>
      <c r="F516" s="113"/>
      <c r="G516" s="113">
        <v>453</v>
      </c>
      <c r="H516" s="114">
        <f t="shared" si="61"/>
        <v>0</v>
      </c>
      <c r="I516" s="114">
        <f t="shared" si="62"/>
        <v>0</v>
      </c>
      <c r="J516" s="114">
        <f t="shared" si="63"/>
        <v>0</v>
      </c>
      <c r="K516" s="114">
        <f t="shared" si="64"/>
        <v>0</v>
      </c>
      <c r="L516" s="113"/>
    </row>
    <row r="517" spans="1:12">
      <c r="A517" s="113">
        <v>454</v>
      </c>
      <c r="B517" s="114">
        <f t="shared" si="57"/>
        <v>0</v>
      </c>
      <c r="C517" s="114">
        <f t="shared" si="58"/>
        <v>0</v>
      </c>
      <c r="D517" s="114">
        <f t="shared" si="59"/>
        <v>0</v>
      </c>
      <c r="E517" s="114">
        <f t="shared" si="60"/>
        <v>0</v>
      </c>
      <c r="F517" s="113"/>
      <c r="G517" s="113">
        <v>454</v>
      </c>
      <c r="H517" s="114">
        <f t="shared" si="61"/>
        <v>0</v>
      </c>
      <c r="I517" s="114">
        <f t="shared" si="62"/>
        <v>0</v>
      </c>
      <c r="J517" s="114">
        <f t="shared" si="63"/>
        <v>0</v>
      </c>
      <c r="K517" s="114">
        <f t="shared" si="64"/>
        <v>0</v>
      </c>
      <c r="L517" s="113"/>
    </row>
    <row r="518" spans="1:12">
      <c r="A518" s="113">
        <v>455</v>
      </c>
      <c r="B518" s="114">
        <f t="shared" si="57"/>
        <v>0</v>
      </c>
      <c r="C518" s="114">
        <f t="shared" si="58"/>
        <v>0</v>
      </c>
      <c r="D518" s="114">
        <f t="shared" si="59"/>
        <v>0</v>
      </c>
      <c r="E518" s="114">
        <f t="shared" si="60"/>
        <v>0</v>
      </c>
      <c r="F518" s="113"/>
      <c r="G518" s="113">
        <v>455</v>
      </c>
      <c r="H518" s="114">
        <f t="shared" si="61"/>
        <v>0</v>
      </c>
      <c r="I518" s="114">
        <f t="shared" si="62"/>
        <v>0</v>
      </c>
      <c r="J518" s="114">
        <f t="shared" si="63"/>
        <v>0</v>
      </c>
      <c r="K518" s="114">
        <f t="shared" si="64"/>
        <v>0</v>
      </c>
      <c r="L518" s="113"/>
    </row>
    <row r="519" spans="1:12">
      <c r="A519" s="113">
        <v>456</v>
      </c>
      <c r="B519" s="114">
        <f t="shared" si="57"/>
        <v>0</v>
      </c>
      <c r="C519" s="114">
        <f t="shared" si="58"/>
        <v>0</v>
      </c>
      <c r="D519" s="114">
        <f t="shared" si="59"/>
        <v>0</v>
      </c>
      <c r="E519" s="114">
        <f t="shared" si="60"/>
        <v>0</v>
      </c>
      <c r="F519" s="113">
        <v>38</v>
      </c>
      <c r="G519" s="113">
        <v>456</v>
      </c>
      <c r="H519" s="114">
        <f t="shared" si="61"/>
        <v>0</v>
      </c>
      <c r="I519" s="114">
        <f t="shared" si="62"/>
        <v>0</v>
      </c>
      <c r="J519" s="114">
        <f t="shared" si="63"/>
        <v>0</v>
      </c>
      <c r="K519" s="114">
        <f t="shared" si="64"/>
        <v>0</v>
      </c>
      <c r="L519" s="113">
        <v>38</v>
      </c>
    </row>
    <row r="520" spans="1:12">
      <c r="A520" s="113">
        <v>457</v>
      </c>
      <c r="B520" s="114">
        <f t="shared" si="57"/>
        <v>0</v>
      </c>
      <c r="C520" s="114">
        <f t="shared" si="58"/>
        <v>0</v>
      </c>
      <c r="D520" s="114">
        <f t="shared" si="59"/>
        <v>0</v>
      </c>
      <c r="E520" s="114">
        <f t="shared" si="60"/>
        <v>0</v>
      </c>
      <c r="F520" s="113"/>
      <c r="G520" s="113">
        <v>457</v>
      </c>
      <c r="H520" s="114">
        <f t="shared" si="61"/>
        <v>0</v>
      </c>
      <c r="I520" s="114">
        <f t="shared" si="62"/>
        <v>0</v>
      </c>
      <c r="J520" s="114">
        <f t="shared" si="63"/>
        <v>0</v>
      </c>
      <c r="K520" s="114">
        <f t="shared" si="64"/>
        <v>0</v>
      </c>
      <c r="L520" s="113"/>
    </row>
    <row r="521" spans="1:12">
      <c r="A521" s="113">
        <v>458</v>
      </c>
      <c r="B521" s="114">
        <f t="shared" si="57"/>
        <v>0</v>
      </c>
      <c r="C521" s="114">
        <f t="shared" si="58"/>
        <v>0</v>
      </c>
      <c r="D521" s="114">
        <f t="shared" si="59"/>
        <v>0</v>
      </c>
      <c r="E521" s="114">
        <f t="shared" si="60"/>
        <v>0</v>
      </c>
      <c r="F521" s="113"/>
      <c r="G521" s="113">
        <v>458</v>
      </c>
      <c r="H521" s="114">
        <f t="shared" si="61"/>
        <v>0</v>
      </c>
      <c r="I521" s="114">
        <f t="shared" si="62"/>
        <v>0</v>
      </c>
      <c r="J521" s="114">
        <f t="shared" si="63"/>
        <v>0</v>
      </c>
      <c r="K521" s="114">
        <f t="shared" si="64"/>
        <v>0</v>
      </c>
      <c r="L521" s="113"/>
    </row>
    <row r="522" spans="1:12">
      <c r="A522" s="113">
        <v>459</v>
      </c>
      <c r="B522" s="114">
        <f t="shared" si="57"/>
        <v>0</v>
      </c>
      <c r="C522" s="114">
        <f t="shared" si="58"/>
        <v>0</v>
      </c>
      <c r="D522" s="114">
        <f t="shared" si="59"/>
        <v>0</v>
      </c>
      <c r="E522" s="114">
        <f t="shared" si="60"/>
        <v>0</v>
      </c>
      <c r="F522" s="113"/>
      <c r="G522" s="113">
        <v>459</v>
      </c>
      <c r="H522" s="114">
        <f t="shared" si="61"/>
        <v>0</v>
      </c>
      <c r="I522" s="114">
        <f t="shared" si="62"/>
        <v>0</v>
      </c>
      <c r="J522" s="114">
        <f t="shared" si="63"/>
        <v>0</v>
      </c>
      <c r="K522" s="114">
        <f t="shared" si="64"/>
        <v>0</v>
      </c>
      <c r="L522" s="113"/>
    </row>
    <row r="523" spans="1:12">
      <c r="A523" s="113">
        <v>460</v>
      </c>
      <c r="B523" s="114">
        <f t="shared" si="57"/>
        <v>0</v>
      </c>
      <c r="C523" s="114">
        <f t="shared" si="58"/>
        <v>0</v>
      </c>
      <c r="D523" s="114">
        <f t="shared" si="59"/>
        <v>0</v>
      </c>
      <c r="E523" s="114">
        <f t="shared" si="60"/>
        <v>0</v>
      </c>
      <c r="F523" s="113"/>
      <c r="G523" s="113">
        <v>460</v>
      </c>
      <c r="H523" s="114">
        <f t="shared" si="61"/>
        <v>0</v>
      </c>
      <c r="I523" s="114">
        <f t="shared" si="62"/>
        <v>0</v>
      </c>
      <c r="J523" s="114">
        <f t="shared" si="63"/>
        <v>0</v>
      </c>
      <c r="K523" s="114">
        <f t="shared" si="64"/>
        <v>0</v>
      </c>
      <c r="L523" s="113"/>
    </row>
    <row r="524" spans="1:12">
      <c r="A524" s="113">
        <v>461</v>
      </c>
      <c r="B524" s="114">
        <f t="shared" si="57"/>
        <v>0</v>
      </c>
      <c r="C524" s="114">
        <f t="shared" si="58"/>
        <v>0</v>
      </c>
      <c r="D524" s="114">
        <f t="shared" si="59"/>
        <v>0</v>
      </c>
      <c r="E524" s="114">
        <f t="shared" si="60"/>
        <v>0</v>
      </c>
      <c r="F524" s="113"/>
      <c r="G524" s="113">
        <v>461</v>
      </c>
      <c r="H524" s="114">
        <f t="shared" si="61"/>
        <v>0</v>
      </c>
      <c r="I524" s="114">
        <f t="shared" si="62"/>
        <v>0</v>
      </c>
      <c r="J524" s="114">
        <f t="shared" si="63"/>
        <v>0</v>
      </c>
      <c r="K524" s="114">
        <f t="shared" si="64"/>
        <v>0</v>
      </c>
      <c r="L524" s="113"/>
    </row>
    <row r="525" spans="1:12">
      <c r="A525" s="113">
        <v>462</v>
      </c>
      <c r="B525" s="114">
        <f t="shared" si="57"/>
        <v>0</v>
      </c>
      <c r="C525" s="114">
        <f t="shared" si="58"/>
        <v>0</v>
      </c>
      <c r="D525" s="114">
        <f t="shared" si="59"/>
        <v>0</v>
      </c>
      <c r="E525" s="114">
        <f t="shared" si="60"/>
        <v>0</v>
      </c>
      <c r="F525" s="113"/>
      <c r="G525" s="113">
        <v>462</v>
      </c>
      <c r="H525" s="114">
        <f t="shared" si="61"/>
        <v>0</v>
      </c>
      <c r="I525" s="114">
        <f t="shared" si="62"/>
        <v>0</v>
      </c>
      <c r="J525" s="114">
        <f t="shared" si="63"/>
        <v>0</v>
      </c>
      <c r="K525" s="114">
        <f t="shared" si="64"/>
        <v>0</v>
      </c>
      <c r="L525" s="113"/>
    </row>
    <row r="526" spans="1:12">
      <c r="A526" s="113">
        <v>463</v>
      </c>
      <c r="B526" s="114">
        <f t="shared" si="57"/>
        <v>0</v>
      </c>
      <c r="C526" s="114">
        <f t="shared" si="58"/>
        <v>0</v>
      </c>
      <c r="D526" s="114">
        <f t="shared" si="59"/>
        <v>0</v>
      </c>
      <c r="E526" s="114">
        <f t="shared" si="60"/>
        <v>0</v>
      </c>
      <c r="F526" s="113"/>
      <c r="G526" s="113">
        <v>463</v>
      </c>
      <c r="H526" s="114">
        <f t="shared" si="61"/>
        <v>0</v>
      </c>
      <c r="I526" s="114">
        <f t="shared" si="62"/>
        <v>0</v>
      </c>
      <c r="J526" s="114">
        <f t="shared" si="63"/>
        <v>0</v>
      </c>
      <c r="K526" s="114">
        <f t="shared" si="64"/>
        <v>0</v>
      </c>
      <c r="L526" s="113"/>
    </row>
    <row r="527" spans="1:12">
      <c r="A527" s="113">
        <v>464</v>
      </c>
      <c r="B527" s="114">
        <f t="shared" si="57"/>
        <v>0</v>
      </c>
      <c r="C527" s="114">
        <f t="shared" si="58"/>
        <v>0</v>
      </c>
      <c r="D527" s="114">
        <f t="shared" si="59"/>
        <v>0</v>
      </c>
      <c r="E527" s="114">
        <f t="shared" si="60"/>
        <v>0</v>
      </c>
      <c r="F527" s="113"/>
      <c r="G527" s="113">
        <v>464</v>
      </c>
      <c r="H527" s="114">
        <f t="shared" si="61"/>
        <v>0</v>
      </c>
      <c r="I527" s="114">
        <f t="shared" si="62"/>
        <v>0</v>
      </c>
      <c r="J527" s="114">
        <f t="shared" si="63"/>
        <v>0</v>
      </c>
      <c r="K527" s="114">
        <f t="shared" si="64"/>
        <v>0</v>
      </c>
      <c r="L527" s="113"/>
    </row>
    <row r="528" spans="1:12">
      <c r="A528" s="113">
        <v>465</v>
      </c>
      <c r="B528" s="114">
        <f t="shared" si="57"/>
        <v>0</v>
      </c>
      <c r="C528" s="114">
        <f t="shared" si="58"/>
        <v>0</v>
      </c>
      <c r="D528" s="114">
        <f t="shared" si="59"/>
        <v>0</v>
      </c>
      <c r="E528" s="114">
        <f t="shared" si="60"/>
        <v>0</v>
      </c>
      <c r="F528" s="113"/>
      <c r="G528" s="113">
        <v>465</v>
      </c>
      <c r="H528" s="114">
        <f t="shared" si="61"/>
        <v>0</v>
      </c>
      <c r="I528" s="114">
        <f t="shared" si="62"/>
        <v>0</v>
      </c>
      <c r="J528" s="114">
        <f t="shared" si="63"/>
        <v>0</v>
      </c>
      <c r="K528" s="114">
        <f t="shared" si="64"/>
        <v>0</v>
      </c>
      <c r="L528" s="113"/>
    </row>
    <row r="529" spans="1:12">
      <c r="A529" s="113">
        <v>466</v>
      </c>
      <c r="B529" s="114">
        <f t="shared" si="57"/>
        <v>0</v>
      </c>
      <c r="C529" s="114">
        <f t="shared" si="58"/>
        <v>0</v>
      </c>
      <c r="D529" s="114">
        <f t="shared" si="59"/>
        <v>0</v>
      </c>
      <c r="E529" s="114">
        <f t="shared" si="60"/>
        <v>0</v>
      </c>
      <c r="F529" s="113"/>
      <c r="G529" s="113">
        <v>466</v>
      </c>
      <c r="H529" s="114">
        <f t="shared" si="61"/>
        <v>0</v>
      </c>
      <c r="I529" s="114">
        <f t="shared" si="62"/>
        <v>0</v>
      </c>
      <c r="J529" s="114">
        <f t="shared" si="63"/>
        <v>0</v>
      </c>
      <c r="K529" s="114">
        <f t="shared" si="64"/>
        <v>0</v>
      </c>
      <c r="L529" s="113"/>
    </row>
    <row r="530" spans="1:12">
      <c r="A530" s="113">
        <v>467</v>
      </c>
      <c r="B530" s="114">
        <f t="shared" si="57"/>
        <v>0</v>
      </c>
      <c r="C530" s="114">
        <f t="shared" si="58"/>
        <v>0</v>
      </c>
      <c r="D530" s="114">
        <f t="shared" si="59"/>
        <v>0</v>
      </c>
      <c r="E530" s="114">
        <f t="shared" si="60"/>
        <v>0</v>
      </c>
      <c r="F530" s="113"/>
      <c r="G530" s="113">
        <v>467</v>
      </c>
      <c r="H530" s="114">
        <f t="shared" si="61"/>
        <v>0</v>
      </c>
      <c r="I530" s="114">
        <f t="shared" si="62"/>
        <v>0</v>
      </c>
      <c r="J530" s="114">
        <f t="shared" si="63"/>
        <v>0</v>
      </c>
      <c r="K530" s="114">
        <f t="shared" si="64"/>
        <v>0</v>
      </c>
      <c r="L530" s="113"/>
    </row>
    <row r="531" spans="1:12">
      <c r="A531" s="113">
        <v>468</v>
      </c>
      <c r="B531" s="114">
        <f t="shared" si="57"/>
        <v>0</v>
      </c>
      <c r="C531" s="114">
        <f t="shared" si="58"/>
        <v>0</v>
      </c>
      <c r="D531" s="114">
        <f t="shared" si="59"/>
        <v>0</v>
      </c>
      <c r="E531" s="114">
        <f t="shared" si="60"/>
        <v>0</v>
      </c>
      <c r="F531" s="113">
        <v>39</v>
      </c>
      <c r="G531" s="113">
        <v>468</v>
      </c>
      <c r="H531" s="114">
        <f t="shared" si="61"/>
        <v>0</v>
      </c>
      <c r="I531" s="114">
        <f t="shared" si="62"/>
        <v>0</v>
      </c>
      <c r="J531" s="114">
        <f t="shared" si="63"/>
        <v>0</v>
      </c>
      <c r="K531" s="114">
        <f t="shared" si="64"/>
        <v>0</v>
      </c>
      <c r="L531" s="113">
        <v>39</v>
      </c>
    </row>
    <row r="532" spans="1:12">
      <c r="A532" s="113">
        <v>469</v>
      </c>
      <c r="B532" s="114">
        <f t="shared" si="57"/>
        <v>0</v>
      </c>
      <c r="C532" s="114">
        <f t="shared" si="58"/>
        <v>0</v>
      </c>
      <c r="D532" s="114">
        <f t="shared" si="59"/>
        <v>0</v>
      </c>
      <c r="E532" s="114">
        <f t="shared" si="60"/>
        <v>0</v>
      </c>
      <c r="F532" s="113"/>
      <c r="G532" s="113">
        <v>469</v>
      </c>
      <c r="H532" s="114">
        <f t="shared" si="61"/>
        <v>0</v>
      </c>
      <c r="I532" s="114">
        <f t="shared" si="62"/>
        <v>0</v>
      </c>
      <c r="J532" s="114">
        <f t="shared" si="63"/>
        <v>0</v>
      </c>
      <c r="K532" s="114">
        <f t="shared" si="64"/>
        <v>0</v>
      </c>
      <c r="L532" s="113"/>
    </row>
    <row r="533" spans="1:12">
      <c r="A533" s="113">
        <v>470</v>
      </c>
      <c r="B533" s="114">
        <f t="shared" si="57"/>
        <v>0</v>
      </c>
      <c r="C533" s="114">
        <f t="shared" si="58"/>
        <v>0</v>
      </c>
      <c r="D533" s="114">
        <f t="shared" si="59"/>
        <v>0</v>
      </c>
      <c r="E533" s="114">
        <f t="shared" si="60"/>
        <v>0</v>
      </c>
      <c r="F533" s="113"/>
      <c r="G533" s="113">
        <v>470</v>
      </c>
      <c r="H533" s="114">
        <f t="shared" si="61"/>
        <v>0</v>
      </c>
      <c r="I533" s="114">
        <f t="shared" si="62"/>
        <v>0</v>
      </c>
      <c r="J533" s="114">
        <f t="shared" si="63"/>
        <v>0</v>
      </c>
      <c r="K533" s="114">
        <f t="shared" si="64"/>
        <v>0</v>
      </c>
      <c r="L533" s="113"/>
    </row>
    <row r="534" spans="1:12">
      <c r="A534" s="113">
        <v>471</v>
      </c>
      <c r="B534" s="114">
        <f t="shared" si="57"/>
        <v>0</v>
      </c>
      <c r="C534" s="114">
        <f t="shared" si="58"/>
        <v>0</v>
      </c>
      <c r="D534" s="114">
        <f t="shared" si="59"/>
        <v>0</v>
      </c>
      <c r="E534" s="114">
        <f t="shared" si="60"/>
        <v>0</v>
      </c>
      <c r="F534" s="113"/>
      <c r="G534" s="113">
        <v>471</v>
      </c>
      <c r="H534" s="114">
        <f t="shared" si="61"/>
        <v>0</v>
      </c>
      <c r="I534" s="114">
        <f t="shared" si="62"/>
        <v>0</v>
      </c>
      <c r="J534" s="114">
        <f t="shared" si="63"/>
        <v>0</v>
      </c>
      <c r="K534" s="114">
        <f t="shared" si="64"/>
        <v>0</v>
      </c>
      <c r="L534" s="113"/>
    </row>
    <row r="535" spans="1:12">
      <c r="A535" s="113">
        <v>472</v>
      </c>
      <c r="B535" s="114">
        <f t="shared" si="57"/>
        <v>0</v>
      </c>
      <c r="C535" s="114">
        <f t="shared" si="58"/>
        <v>0</v>
      </c>
      <c r="D535" s="114">
        <f t="shared" si="59"/>
        <v>0</v>
      </c>
      <c r="E535" s="114">
        <f t="shared" si="60"/>
        <v>0</v>
      </c>
      <c r="F535" s="113"/>
      <c r="G535" s="113">
        <v>472</v>
      </c>
      <c r="H535" s="114">
        <f t="shared" si="61"/>
        <v>0</v>
      </c>
      <c r="I535" s="114">
        <f t="shared" si="62"/>
        <v>0</v>
      </c>
      <c r="J535" s="114">
        <f t="shared" si="63"/>
        <v>0</v>
      </c>
      <c r="K535" s="114">
        <f t="shared" si="64"/>
        <v>0</v>
      </c>
      <c r="L535" s="113"/>
    </row>
    <row r="536" spans="1:12">
      <c r="A536" s="113">
        <v>473</v>
      </c>
      <c r="B536" s="114">
        <f t="shared" si="57"/>
        <v>0</v>
      </c>
      <c r="C536" s="114">
        <f t="shared" si="58"/>
        <v>0</v>
      </c>
      <c r="D536" s="114">
        <f t="shared" si="59"/>
        <v>0</v>
      </c>
      <c r="E536" s="114">
        <f t="shared" si="60"/>
        <v>0</v>
      </c>
      <c r="F536" s="113"/>
      <c r="G536" s="113">
        <v>473</v>
      </c>
      <c r="H536" s="114">
        <f t="shared" si="61"/>
        <v>0</v>
      </c>
      <c r="I536" s="114">
        <f t="shared" si="62"/>
        <v>0</v>
      </c>
      <c r="J536" s="114">
        <f t="shared" si="63"/>
        <v>0</v>
      </c>
      <c r="K536" s="114">
        <f t="shared" si="64"/>
        <v>0</v>
      </c>
      <c r="L536" s="113"/>
    </row>
    <row r="537" spans="1:12">
      <c r="A537" s="113">
        <v>474</v>
      </c>
      <c r="B537" s="114">
        <f t="shared" si="57"/>
        <v>0</v>
      </c>
      <c r="C537" s="114">
        <f t="shared" si="58"/>
        <v>0</v>
      </c>
      <c r="D537" s="114">
        <f t="shared" si="59"/>
        <v>0</v>
      </c>
      <c r="E537" s="114">
        <f t="shared" si="60"/>
        <v>0</v>
      </c>
      <c r="F537" s="113"/>
      <c r="G537" s="113">
        <v>474</v>
      </c>
      <c r="H537" s="114">
        <f t="shared" si="61"/>
        <v>0</v>
      </c>
      <c r="I537" s="114">
        <f t="shared" si="62"/>
        <v>0</v>
      </c>
      <c r="J537" s="114">
        <f t="shared" si="63"/>
        <v>0</v>
      </c>
      <c r="K537" s="114">
        <f t="shared" si="64"/>
        <v>0</v>
      </c>
      <c r="L537" s="113"/>
    </row>
    <row r="538" spans="1:12">
      <c r="A538" s="113">
        <v>475</v>
      </c>
      <c r="B538" s="114">
        <f t="shared" si="57"/>
        <v>0</v>
      </c>
      <c r="C538" s="114">
        <f t="shared" si="58"/>
        <v>0</v>
      </c>
      <c r="D538" s="114">
        <f t="shared" si="59"/>
        <v>0</v>
      </c>
      <c r="E538" s="114">
        <f t="shared" si="60"/>
        <v>0</v>
      </c>
      <c r="F538" s="113"/>
      <c r="G538" s="113">
        <v>475</v>
      </c>
      <c r="H538" s="114">
        <f t="shared" si="61"/>
        <v>0</v>
      </c>
      <c r="I538" s="114">
        <f t="shared" si="62"/>
        <v>0</v>
      </c>
      <c r="J538" s="114">
        <f t="shared" si="63"/>
        <v>0</v>
      </c>
      <c r="K538" s="114">
        <f t="shared" si="64"/>
        <v>0</v>
      </c>
      <c r="L538" s="113"/>
    </row>
    <row r="539" spans="1:12">
      <c r="A539" s="113">
        <v>476</v>
      </c>
      <c r="B539" s="114">
        <f t="shared" si="57"/>
        <v>0</v>
      </c>
      <c r="C539" s="114">
        <f t="shared" si="58"/>
        <v>0</v>
      </c>
      <c r="D539" s="114">
        <f t="shared" si="59"/>
        <v>0</v>
      </c>
      <c r="E539" s="114">
        <f t="shared" si="60"/>
        <v>0</v>
      </c>
      <c r="F539" s="113"/>
      <c r="G539" s="113">
        <v>476</v>
      </c>
      <c r="H539" s="114">
        <f t="shared" si="61"/>
        <v>0</v>
      </c>
      <c r="I539" s="114">
        <f t="shared" si="62"/>
        <v>0</v>
      </c>
      <c r="J539" s="114">
        <f t="shared" si="63"/>
        <v>0</v>
      </c>
      <c r="K539" s="114">
        <f t="shared" si="64"/>
        <v>0</v>
      </c>
      <c r="L539" s="113"/>
    </row>
    <row r="540" spans="1:12">
      <c r="A540" s="113">
        <v>477</v>
      </c>
      <c r="B540" s="114">
        <f t="shared" si="57"/>
        <v>0</v>
      </c>
      <c r="C540" s="114">
        <f t="shared" si="58"/>
        <v>0</v>
      </c>
      <c r="D540" s="114">
        <f t="shared" si="59"/>
        <v>0</v>
      </c>
      <c r="E540" s="114">
        <f t="shared" si="60"/>
        <v>0</v>
      </c>
      <c r="F540" s="113"/>
      <c r="G540" s="113">
        <v>477</v>
      </c>
      <c r="H540" s="114">
        <f t="shared" si="61"/>
        <v>0</v>
      </c>
      <c r="I540" s="114">
        <f t="shared" si="62"/>
        <v>0</v>
      </c>
      <c r="J540" s="114">
        <f t="shared" si="63"/>
        <v>0</v>
      </c>
      <c r="K540" s="114">
        <f t="shared" si="64"/>
        <v>0</v>
      </c>
      <c r="L540" s="113"/>
    </row>
    <row r="541" spans="1:12">
      <c r="A541" s="113">
        <v>478</v>
      </c>
      <c r="B541" s="114">
        <f t="shared" si="57"/>
        <v>0</v>
      </c>
      <c r="C541" s="114">
        <f t="shared" si="58"/>
        <v>0</v>
      </c>
      <c r="D541" s="114">
        <f t="shared" si="59"/>
        <v>0</v>
      </c>
      <c r="E541" s="114">
        <f t="shared" si="60"/>
        <v>0</v>
      </c>
      <c r="F541" s="113"/>
      <c r="G541" s="113">
        <v>478</v>
      </c>
      <c r="H541" s="114">
        <f t="shared" si="61"/>
        <v>0</v>
      </c>
      <c r="I541" s="114">
        <f t="shared" si="62"/>
        <v>0</v>
      </c>
      <c r="J541" s="114">
        <f t="shared" si="63"/>
        <v>0</v>
      </c>
      <c r="K541" s="114">
        <f t="shared" si="64"/>
        <v>0</v>
      </c>
      <c r="L541" s="113"/>
    </row>
    <row r="542" spans="1:12">
      <c r="A542" s="113">
        <v>479</v>
      </c>
      <c r="B542" s="114">
        <f t="shared" si="57"/>
        <v>0</v>
      </c>
      <c r="C542" s="114">
        <f t="shared" si="58"/>
        <v>0</v>
      </c>
      <c r="D542" s="114">
        <f t="shared" si="59"/>
        <v>0</v>
      </c>
      <c r="E542" s="114">
        <f t="shared" si="60"/>
        <v>0</v>
      </c>
      <c r="F542" s="113"/>
      <c r="G542" s="113">
        <v>479</v>
      </c>
      <c r="H542" s="114">
        <f t="shared" si="61"/>
        <v>0</v>
      </c>
      <c r="I542" s="114">
        <f t="shared" si="62"/>
        <v>0</v>
      </c>
      <c r="J542" s="114">
        <f t="shared" si="63"/>
        <v>0</v>
      </c>
      <c r="K542" s="114">
        <f t="shared" si="64"/>
        <v>0</v>
      </c>
      <c r="L542" s="113"/>
    </row>
    <row r="543" spans="1:12">
      <c r="A543" s="113">
        <v>480</v>
      </c>
      <c r="B543" s="114">
        <f t="shared" si="57"/>
        <v>0</v>
      </c>
      <c r="C543" s="114">
        <f t="shared" si="58"/>
        <v>0</v>
      </c>
      <c r="D543" s="114">
        <f t="shared" si="59"/>
        <v>0</v>
      </c>
      <c r="E543" s="114">
        <f t="shared" si="60"/>
        <v>0</v>
      </c>
      <c r="F543" s="113">
        <v>40</v>
      </c>
      <c r="G543" s="113">
        <v>480</v>
      </c>
      <c r="H543" s="114">
        <f t="shared" si="61"/>
        <v>0</v>
      </c>
      <c r="I543" s="114">
        <f t="shared" si="62"/>
        <v>0</v>
      </c>
      <c r="J543" s="114">
        <f t="shared" si="63"/>
        <v>0</v>
      </c>
      <c r="K543" s="114">
        <f t="shared" si="64"/>
        <v>0</v>
      </c>
      <c r="L543" s="113">
        <v>40</v>
      </c>
    </row>
  </sheetData>
  <sheetProtection password="D64E" sheet="1" objects="1" scenarios="1"/>
  <mergeCells count="48">
    <mergeCell ref="A1:F1"/>
    <mergeCell ref="D50:E50"/>
    <mergeCell ref="D51:E51"/>
    <mergeCell ref="D46:E46"/>
    <mergeCell ref="D47:E47"/>
    <mergeCell ref="D44:E44"/>
    <mergeCell ref="D45:E45"/>
    <mergeCell ref="D38:E38"/>
    <mergeCell ref="D39:E39"/>
    <mergeCell ref="D40:E40"/>
    <mergeCell ref="D16:E16"/>
    <mergeCell ref="D42:E42"/>
    <mergeCell ref="D43:E43"/>
    <mergeCell ref="D41:E41"/>
    <mergeCell ref="D37:E37"/>
    <mergeCell ref="D23:E23"/>
    <mergeCell ref="D25:E25"/>
    <mergeCell ref="D26:E26"/>
    <mergeCell ref="D27:E27"/>
    <mergeCell ref="D32:E32"/>
    <mergeCell ref="D33:E33"/>
    <mergeCell ref="D34:E34"/>
    <mergeCell ref="D35:E35"/>
    <mergeCell ref="D36:E36"/>
    <mergeCell ref="G58:L58"/>
    <mergeCell ref="D56:E56"/>
    <mergeCell ref="D52:E52"/>
    <mergeCell ref="D53:E53"/>
    <mergeCell ref="D54:E54"/>
    <mergeCell ref="D55:E55"/>
    <mergeCell ref="D48:E48"/>
    <mergeCell ref="D49:E49"/>
    <mergeCell ref="G59:L59"/>
    <mergeCell ref="A3:F3"/>
    <mergeCell ref="A14:F14"/>
    <mergeCell ref="A58:F58"/>
    <mergeCell ref="D20:E20"/>
    <mergeCell ref="D21:E21"/>
    <mergeCell ref="D28:E28"/>
    <mergeCell ref="D29:E29"/>
    <mergeCell ref="A59:F59"/>
    <mergeCell ref="D30:E30"/>
    <mergeCell ref="D31:E31"/>
    <mergeCell ref="D17:E17"/>
    <mergeCell ref="D18:E18"/>
    <mergeCell ref="D19:E19"/>
    <mergeCell ref="D22:E22"/>
    <mergeCell ref="D24:E24"/>
  </mergeCells>
  <phoneticPr fontId="8" type="noConversion"/>
  <printOptions horizontalCentered="1"/>
  <pageMargins left="0.75" right="0.75" top="0.9" bottom="0.65" header="0.5" footer="0.25"/>
  <pageSetup fitToHeight="0" orientation="portrait" r:id="rId1"/>
  <headerFooter alignWithMargins="0">
    <oddHeader>&amp;C&amp;11 2011 Office of Affordable Housing Funding Application&amp;10
&amp;"Arial,Bold"&amp;11USDA 538 Guaranteed Loan Calculations</oddHeader>
    <oddFooter>&amp;L&amp;8Georgia Department of Community Affairs&amp;C&amp;8&amp;A&amp;R&amp;8&amp;P of &amp;N</oddFooter>
  </headerFooter>
  <rowBreaks count="10" manualBreakCount="10">
    <brk id="57" max="16383" man="1"/>
    <brk id="111" max="16383" man="1"/>
    <brk id="159" max="16383" man="1"/>
    <brk id="207" max="16383" man="1"/>
    <brk id="255" max="16383" man="1"/>
    <brk id="303" max="16383" man="1"/>
    <brk id="351" max="16383" man="1"/>
    <brk id="399" max="16383" man="1"/>
    <brk id="447" max="16383" man="1"/>
    <brk id="4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535"/>
  <sheetViews>
    <sheetView showGridLines="0" workbookViewId="0">
      <selection activeCell="J42" sqref="J42"/>
    </sheetView>
  </sheetViews>
  <sheetFormatPr defaultColWidth="8.77734375" defaultRowHeight="13.2"/>
  <cols>
    <col min="1" max="1" width="7.21875" customWidth="1"/>
    <col min="2" max="6" width="16.77734375" customWidth="1"/>
    <col min="7" max="7" width="11.5546875" customWidth="1"/>
    <col min="8" max="8" width="2.21875" style="34" customWidth="1"/>
    <col min="9" max="9" width="10.44140625" bestFit="1" customWidth="1"/>
    <col min="10" max="10" width="12.21875" customWidth="1"/>
    <col min="11" max="11" width="10.77734375" customWidth="1"/>
  </cols>
  <sheetData>
    <row r="1" spans="1:17" s="4" customFormat="1" ht="16.350000000000001" customHeight="1">
      <c r="A1" s="3484" t="e">
        <f>CONCATENATE("PART III C  - HUD INSURED LOAN","  -  ",#REF!," ",#REF!,", ",#REF!,", ",#REF!," County")</f>
        <v>#REF!</v>
      </c>
      <c r="B1" s="3485"/>
      <c r="C1" s="3485"/>
      <c r="D1" s="3485"/>
      <c r="E1" s="3485"/>
      <c r="F1" s="3486"/>
      <c r="G1" s="91"/>
      <c r="H1" s="91"/>
      <c r="I1" s="91"/>
      <c r="J1" s="91"/>
      <c r="K1" s="91"/>
      <c r="L1" s="91"/>
      <c r="M1" s="91"/>
      <c r="N1" s="91"/>
      <c r="O1" s="91"/>
      <c r="P1" s="91"/>
      <c r="Q1" s="91"/>
    </row>
    <row r="2" spans="1:17">
      <c r="A2" s="6"/>
    </row>
    <row r="3" spans="1:17" ht="15.6" customHeight="1">
      <c r="A3" s="3477" t="s">
        <v>466</v>
      </c>
      <c r="B3" s="3477"/>
      <c r="C3" s="3477"/>
      <c r="D3" s="3477"/>
      <c r="E3" s="3477"/>
      <c r="F3" s="3477"/>
      <c r="G3" s="121"/>
      <c r="H3" s="121"/>
    </row>
    <row r="4" spans="1:17">
      <c r="A4" s="6"/>
    </row>
    <row r="5" spans="1:17" ht="13.35" customHeight="1">
      <c r="A5" t="s">
        <v>467</v>
      </c>
      <c r="D5" s="2672"/>
      <c r="E5" s="3488" t="s">
        <v>491</v>
      </c>
      <c r="F5" s="3489"/>
      <c r="G5" s="83"/>
    </row>
    <row r="6" spans="1:17">
      <c r="E6" s="3489"/>
      <c r="F6" s="3489"/>
      <c r="G6" s="83"/>
    </row>
    <row r="7" spans="1:17">
      <c r="A7" t="s">
        <v>468</v>
      </c>
      <c r="C7" t="s">
        <v>492</v>
      </c>
      <c r="D7" s="2673"/>
      <c r="E7" s="3489"/>
      <c r="F7" s="3489"/>
      <c r="G7" s="83"/>
    </row>
    <row r="8" spans="1:17">
      <c r="C8" t="s">
        <v>493</v>
      </c>
      <c r="D8" s="2673"/>
      <c r="E8" s="3489"/>
      <c r="F8" s="3489"/>
      <c r="G8" s="83"/>
    </row>
    <row r="9" spans="1:17">
      <c r="C9" t="s">
        <v>494</v>
      </c>
      <c r="D9" s="2673"/>
      <c r="E9" s="3489"/>
      <c r="F9" s="3489"/>
      <c r="G9" s="83"/>
    </row>
    <row r="10" spans="1:17">
      <c r="C10" t="s">
        <v>471</v>
      </c>
      <c r="D10" s="122">
        <f>D7+D8+D9</f>
        <v>0</v>
      </c>
      <c r="E10" s="3489"/>
      <c r="F10" s="3489"/>
      <c r="G10" s="83"/>
    </row>
    <row r="11" spans="1:17">
      <c r="F11" s="83"/>
      <c r="G11" s="83"/>
    </row>
    <row r="12" spans="1:17">
      <c r="A12" t="s">
        <v>495</v>
      </c>
      <c r="D12" s="2674"/>
      <c r="E12" t="s">
        <v>496</v>
      </c>
      <c r="F12" s="83"/>
      <c r="G12" s="83"/>
    </row>
    <row r="13" spans="1:17">
      <c r="D13" s="107"/>
      <c r="F13" s="83"/>
      <c r="G13" s="83"/>
    </row>
    <row r="14" spans="1:17">
      <c r="A14" t="s">
        <v>497</v>
      </c>
      <c r="D14" s="2675"/>
      <c r="E14" t="s">
        <v>498</v>
      </c>
      <c r="F14" s="123"/>
    </row>
    <row r="15" spans="1:17">
      <c r="D15" s="117"/>
      <c r="F15" s="123"/>
    </row>
    <row r="16" spans="1:17">
      <c r="A16" t="s">
        <v>499</v>
      </c>
      <c r="D16" s="2675"/>
      <c r="E16" t="s">
        <v>498</v>
      </c>
      <c r="F16" s="123"/>
    </row>
    <row r="17" spans="1:10">
      <c r="D17" s="107"/>
      <c r="F17" s="123"/>
    </row>
    <row r="18" spans="1:10">
      <c r="A18" t="s">
        <v>500</v>
      </c>
      <c r="D18" s="107" t="e">
        <f>PMT(D10/12,D16*12,-D5,0,0)*12</f>
        <v>#NUM!</v>
      </c>
      <c r="E18" t="s">
        <v>501</v>
      </c>
      <c r="F18" s="123"/>
    </row>
    <row r="19" spans="1:10">
      <c r="D19" s="107"/>
      <c r="F19" s="123"/>
    </row>
    <row r="20" spans="1:10">
      <c r="A20" t="s">
        <v>502</v>
      </c>
      <c r="D20" s="107" t="e">
        <f>D18/12</f>
        <v>#NUM!</v>
      </c>
      <c r="E20" t="s">
        <v>501</v>
      </c>
      <c r="F20" s="123"/>
    </row>
    <row r="24" spans="1:10" ht="18" customHeight="1">
      <c r="A24" s="3478" t="s">
        <v>503</v>
      </c>
      <c r="B24" s="3478"/>
      <c r="C24" s="3478"/>
      <c r="D24" s="3478"/>
      <c r="E24" s="3478"/>
      <c r="F24" s="3478"/>
      <c r="J24" s="2335"/>
    </row>
    <row r="25" spans="1:10">
      <c r="C25" s="107"/>
      <c r="J25" s="2335"/>
    </row>
    <row r="26" spans="1:10">
      <c r="A26" s="49"/>
      <c r="B26" s="34"/>
      <c r="C26" s="3490" t="s">
        <v>483</v>
      </c>
      <c r="D26" s="120"/>
      <c r="E26" s="34"/>
      <c r="F26" s="3490" t="s">
        <v>483</v>
      </c>
      <c r="J26" s="2335"/>
    </row>
    <row r="27" spans="1:10">
      <c r="A27" s="124" t="s">
        <v>480</v>
      </c>
      <c r="B27" s="9" t="s">
        <v>504</v>
      </c>
      <c r="C27" s="3491"/>
      <c r="D27" s="125" t="s">
        <v>480</v>
      </c>
      <c r="E27" s="9" t="s">
        <v>504</v>
      </c>
      <c r="F27" s="3491"/>
      <c r="J27" s="2335"/>
    </row>
    <row r="28" spans="1:10">
      <c r="A28" s="2607">
        <v>1</v>
      </c>
      <c r="B28" s="2336">
        <f>IF(A28&gt;D14,0,E55*$D$12)</f>
        <v>0</v>
      </c>
      <c r="C28" s="2336">
        <f>IF(A28&gt;$D$14,0,$D$18+B28)</f>
        <v>0</v>
      </c>
      <c r="D28" s="2337">
        <v>21</v>
      </c>
      <c r="E28" s="2336">
        <f>IF(D28&gt;$D$14,0,E295*$D$12)</f>
        <v>0</v>
      </c>
      <c r="F28" s="2336">
        <f>IF(D28&gt;$D$14,0,$D$18+E28)</f>
        <v>0</v>
      </c>
      <c r="J28" s="2335"/>
    </row>
    <row r="29" spans="1:10">
      <c r="A29" s="2607">
        <v>2</v>
      </c>
      <c r="B29" s="2336">
        <f>IF(A29&gt;D14,0,E67*$D$12)</f>
        <v>0</v>
      </c>
      <c r="C29" s="2336">
        <f t="shared" ref="C29:C47" si="0">IF(A29&gt;$D$14,0,$D$18+B29)</f>
        <v>0</v>
      </c>
      <c r="D29" s="2337">
        <v>22</v>
      </c>
      <c r="E29" s="2336">
        <f>IF(D29&gt;$D$14,0,E307*$D$12)</f>
        <v>0</v>
      </c>
      <c r="F29" s="2336">
        <f t="shared" ref="F29:F47" si="1">IF(D29&gt;$D$14,0,$D$18+E29)</f>
        <v>0</v>
      </c>
      <c r="J29" s="2335"/>
    </row>
    <row r="30" spans="1:10">
      <c r="A30" s="2607">
        <v>3</v>
      </c>
      <c r="B30" s="2336">
        <f>IF(A30&gt;D14,0,E79*$D$12)</f>
        <v>0</v>
      </c>
      <c r="C30" s="2336">
        <f t="shared" si="0"/>
        <v>0</v>
      </c>
      <c r="D30" s="2337">
        <v>23</v>
      </c>
      <c r="E30" s="2336">
        <f>IF(D30&gt;$D$14,0,E319*$D$12)</f>
        <v>0</v>
      </c>
      <c r="F30" s="2336">
        <f t="shared" si="1"/>
        <v>0</v>
      </c>
      <c r="J30" s="2335"/>
    </row>
    <row r="31" spans="1:10">
      <c r="A31" s="2607">
        <v>4</v>
      </c>
      <c r="B31" s="2336">
        <f>IF(A31&gt;D14,0,E91*$D$12)</f>
        <v>0</v>
      </c>
      <c r="C31" s="2336">
        <f t="shared" si="0"/>
        <v>0</v>
      </c>
      <c r="D31" s="2337">
        <v>24</v>
      </c>
      <c r="E31" s="2336">
        <f>IF(D31&gt;$D$14,0,E331*$D$12)</f>
        <v>0</v>
      </c>
      <c r="F31" s="2336">
        <f t="shared" si="1"/>
        <v>0</v>
      </c>
      <c r="J31" s="2335"/>
    </row>
    <row r="32" spans="1:10">
      <c r="A32" s="2607">
        <v>5</v>
      </c>
      <c r="B32" s="2336">
        <f>IF(A32&gt;D14,0,E103*$D$12)</f>
        <v>0</v>
      </c>
      <c r="C32" s="2338">
        <f t="shared" si="0"/>
        <v>0</v>
      </c>
      <c r="D32" s="2337">
        <v>25</v>
      </c>
      <c r="E32" s="2336">
        <f>IF(D32&gt;$D$14,0,E343*$D$12)</f>
        <v>0</v>
      </c>
      <c r="F32" s="2338">
        <f t="shared" si="1"/>
        <v>0</v>
      </c>
      <c r="J32" s="2335"/>
    </row>
    <row r="33" spans="1:10">
      <c r="A33" s="2339">
        <v>6</v>
      </c>
      <c r="B33" s="2340">
        <f>IF(A33&gt;D14,0,E115*$D$12)</f>
        <v>0</v>
      </c>
      <c r="C33" s="2336">
        <f t="shared" si="0"/>
        <v>0</v>
      </c>
      <c r="D33" s="2341">
        <v>26</v>
      </c>
      <c r="E33" s="2340">
        <f>IF(D33&gt;$D$14,0,E355*$D$12)</f>
        <v>0</v>
      </c>
      <c r="F33" s="2336">
        <f t="shared" si="1"/>
        <v>0</v>
      </c>
      <c r="J33" s="2335"/>
    </row>
    <row r="34" spans="1:10">
      <c r="A34" s="2607">
        <v>7</v>
      </c>
      <c r="B34" s="2336">
        <f>IF(A34&gt;D14,0,E127*$D$12)</f>
        <v>0</v>
      </c>
      <c r="C34" s="2336">
        <f t="shared" si="0"/>
        <v>0</v>
      </c>
      <c r="D34" s="2337">
        <v>27</v>
      </c>
      <c r="E34" s="2336">
        <f>IF(D34&gt;$D$14,0,E367*$D$12)</f>
        <v>0</v>
      </c>
      <c r="F34" s="2336">
        <f t="shared" si="1"/>
        <v>0</v>
      </c>
      <c r="J34" s="2335"/>
    </row>
    <row r="35" spans="1:10">
      <c r="A35" s="2607">
        <v>8</v>
      </c>
      <c r="B35" s="2336">
        <f>IF(A35&gt;D14,0,E139*$D$12)</f>
        <v>0</v>
      </c>
      <c r="C35" s="2336">
        <f t="shared" si="0"/>
        <v>0</v>
      </c>
      <c r="D35" s="2337">
        <v>28</v>
      </c>
      <c r="E35" s="2336">
        <f>IF(D35&gt;$D$14,0,E379*$D$12)</f>
        <v>0</v>
      </c>
      <c r="F35" s="2336">
        <f t="shared" si="1"/>
        <v>0</v>
      </c>
      <c r="J35" s="2335"/>
    </row>
    <row r="36" spans="1:10">
      <c r="A36" s="2607">
        <v>9</v>
      </c>
      <c r="B36" s="2336">
        <f>IF(A36&gt;D14,0,E151*$D$12)</f>
        <v>0</v>
      </c>
      <c r="C36" s="2336">
        <f t="shared" si="0"/>
        <v>0</v>
      </c>
      <c r="D36" s="2337">
        <v>29</v>
      </c>
      <c r="E36" s="2336">
        <f>IF(D36&gt;$D$14,0,E391*$D$12)</f>
        <v>0</v>
      </c>
      <c r="F36" s="2336">
        <f t="shared" si="1"/>
        <v>0</v>
      </c>
      <c r="J36" s="2335"/>
    </row>
    <row r="37" spans="1:10">
      <c r="A37" s="2342">
        <v>10</v>
      </c>
      <c r="B37" s="2338">
        <f>IF(A37&gt;D14,0,E163*$D$12)</f>
        <v>0</v>
      </c>
      <c r="C37" s="2338">
        <f t="shared" si="0"/>
        <v>0</v>
      </c>
      <c r="D37" s="2343">
        <v>30</v>
      </c>
      <c r="E37" s="2338">
        <f>IF(D37&gt;$D$14,0,E403*$D$12)</f>
        <v>0</v>
      </c>
      <c r="F37" s="2338">
        <f t="shared" si="1"/>
        <v>0</v>
      </c>
      <c r="J37" s="2335"/>
    </row>
    <row r="38" spans="1:10">
      <c r="A38" s="2607">
        <v>11</v>
      </c>
      <c r="B38" s="2336">
        <f>IF(A38&gt;D14,0,E175*$D$12)</f>
        <v>0</v>
      </c>
      <c r="C38" s="2336">
        <f t="shared" si="0"/>
        <v>0</v>
      </c>
      <c r="D38" s="2337">
        <v>31</v>
      </c>
      <c r="E38" s="2336">
        <f>IF(D38&gt;$D$14,0,E415*$D$12)</f>
        <v>0</v>
      </c>
      <c r="F38" s="2336">
        <f t="shared" si="1"/>
        <v>0</v>
      </c>
      <c r="J38" s="2335"/>
    </row>
    <row r="39" spans="1:10">
      <c r="A39" s="2607">
        <v>12</v>
      </c>
      <c r="B39" s="2336">
        <f>IF(A39&gt;D14,0,E187*$D$12)</f>
        <v>0</v>
      </c>
      <c r="C39" s="2336">
        <f t="shared" si="0"/>
        <v>0</v>
      </c>
      <c r="D39" s="2337">
        <v>32</v>
      </c>
      <c r="E39" s="2336">
        <f>IF(D39&gt;$D$14,0,E427*$D$12)</f>
        <v>0</v>
      </c>
      <c r="F39" s="2336">
        <f t="shared" si="1"/>
        <v>0</v>
      </c>
      <c r="J39" s="2335"/>
    </row>
    <row r="40" spans="1:10">
      <c r="A40" s="2607">
        <v>13</v>
      </c>
      <c r="B40" s="2336">
        <f>IF(A40&gt;D14,0,E199*$D$12)</f>
        <v>0</v>
      </c>
      <c r="C40" s="2336">
        <f t="shared" si="0"/>
        <v>0</v>
      </c>
      <c r="D40" s="2337">
        <v>33</v>
      </c>
      <c r="E40" s="2336">
        <f>IF(D40&gt;$D$14,0,E439*$D$12)</f>
        <v>0</v>
      </c>
      <c r="F40" s="2336">
        <f t="shared" si="1"/>
        <v>0</v>
      </c>
      <c r="J40" s="2335"/>
    </row>
    <row r="41" spans="1:10">
      <c r="A41" s="2607">
        <v>14</v>
      </c>
      <c r="B41" s="2336">
        <f>IF(A41&gt;D14,0,E211*$D$12)</f>
        <v>0</v>
      </c>
      <c r="C41" s="2336">
        <f t="shared" si="0"/>
        <v>0</v>
      </c>
      <c r="D41" s="2337">
        <v>34</v>
      </c>
      <c r="E41" s="2336">
        <f>IF(D41&gt;$D$14,0,E451*$D$12)</f>
        <v>0</v>
      </c>
      <c r="F41" s="2336">
        <f t="shared" si="1"/>
        <v>0</v>
      </c>
      <c r="J41" s="2335"/>
    </row>
    <row r="42" spans="1:10">
      <c r="A42" s="2607">
        <v>15</v>
      </c>
      <c r="B42" s="2336">
        <f>IF(A42&gt;D14,0,E223*$D$12)</f>
        <v>0</v>
      </c>
      <c r="C42" s="2338">
        <f t="shared" si="0"/>
        <v>0</v>
      </c>
      <c r="D42" s="2337">
        <v>35</v>
      </c>
      <c r="E42" s="2336">
        <f>IF(D42&gt;$D$14,0,E463*$D$12)</f>
        <v>0</v>
      </c>
      <c r="F42" s="2338">
        <f t="shared" si="1"/>
        <v>0</v>
      </c>
      <c r="J42" s="2335"/>
    </row>
    <row r="43" spans="1:10">
      <c r="A43" s="2339">
        <v>16</v>
      </c>
      <c r="B43" s="2340">
        <f>IF(A43&gt;D14,0,E235*$D$12)</f>
        <v>0</v>
      </c>
      <c r="C43" s="2336">
        <f t="shared" si="0"/>
        <v>0</v>
      </c>
      <c r="D43" s="2341">
        <v>36</v>
      </c>
      <c r="E43" s="2340">
        <f>IF(D43&gt;$D$14,0,E475*$D$12)</f>
        <v>0</v>
      </c>
      <c r="F43" s="2336">
        <f t="shared" si="1"/>
        <v>0</v>
      </c>
      <c r="J43" s="2335"/>
    </row>
    <row r="44" spans="1:10">
      <c r="A44" s="2607">
        <v>17</v>
      </c>
      <c r="B44" s="2336">
        <f>IF(A44&gt;D14,0,E247*$D$12)</f>
        <v>0</v>
      </c>
      <c r="C44" s="2336">
        <f t="shared" si="0"/>
        <v>0</v>
      </c>
      <c r="D44" s="2337">
        <v>37</v>
      </c>
      <c r="E44" s="2336">
        <f>IF(D44&gt;$D$14,0,E487*$D$12)</f>
        <v>0</v>
      </c>
      <c r="F44" s="2336">
        <f t="shared" si="1"/>
        <v>0</v>
      </c>
      <c r="J44" s="2335"/>
    </row>
    <row r="45" spans="1:10">
      <c r="A45" s="2607">
        <v>18</v>
      </c>
      <c r="B45" s="2336">
        <f>IF(A45&gt;D14,0,E259*$D$12)</f>
        <v>0</v>
      </c>
      <c r="C45" s="2336">
        <f t="shared" si="0"/>
        <v>0</v>
      </c>
      <c r="D45" s="2337">
        <v>38</v>
      </c>
      <c r="E45" s="2336">
        <f>IF(D45&gt;$D$14,0,E499*$D$12)</f>
        <v>0</v>
      </c>
      <c r="F45" s="2336">
        <f t="shared" si="1"/>
        <v>0</v>
      </c>
      <c r="J45" s="2335"/>
    </row>
    <row r="46" spans="1:10">
      <c r="A46" s="2607">
        <v>19</v>
      </c>
      <c r="B46" s="2336">
        <f>IF(A46&gt;D14,0,E271*$D$12)</f>
        <v>0</v>
      </c>
      <c r="C46" s="2336">
        <f t="shared" si="0"/>
        <v>0</v>
      </c>
      <c r="D46" s="2337">
        <v>39</v>
      </c>
      <c r="E46" s="2336">
        <f>IF(D46&gt;$D$14,0,E511*$D$12)</f>
        <v>0</v>
      </c>
      <c r="F46" s="2336">
        <f t="shared" si="1"/>
        <v>0</v>
      </c>
      <c r="J46" s="2335"/>
    </row>
    <row r="47" spans="1:10">
      <c r="A47" s="2342">
        <v>20</v>
      </c>
      <c r="B47" s="2338">
        <f>IF(A47&gt;D14,0,E283*$D$12)</f>
        <v>0</v>
      </c>
      <c r="C47" s="2338">
        <f t="shared" si="0"/>
        <v>0</v>
      </c>
      <c r="D47" s="2343">
        <v>40</v>
      </c>
      <c r="E47" s="2338">
        <f>IF(D47&gt;$D$14,0,E523*$D$12)</f>
        <v>0</v>
      </c>
      <c r="F47" s="2338">
        <f t="shared" si="1"/>
        <v>0</v>
      </c>
      <c r="J47" s="2335"/>
    </row>
    <row r="48" spans="1:10">
      <c r="C48" s="107"/>
      <c r="J48" s="2335"/>
    </row>
    <row r="49" spans="1:10">
      <c r="C49" s="107"/>
      <c r="J49" s="2335"/>
    </row>
    <row r="50" spans="1:10" ht="14.1" customHeight="1">
      <c r="A50" s="3479" t="e">
        <f>CONCATENATE(#REF!," ",#REF!,", ",#REF!,", ",#REF!," County")</f>
        <v>#REF!</v>
      </c>
      <c r="B50" s="3479"/>
      <c r="C50" s="3479"/>
      <c r="D50" s="3479"/>
      <c r="E50" s="3479"/>
      <c r="F50" s="3479"/>
      <c r="G50" s="48"/>
      <c r="H50" s="48"/>
    </row>
    <row r="51" spans="1:10" ht="13.8">
      <c r="A51" s="3477" t="s">
        <v>484</v>
      </c>
      <c r="B51" s="3477"/>
      <c r="C51" s="3477"/>
      <c r="D51" s="3477"/>
      <c r="E51" s="3477"/>
      <c r="F51" s="3477"/>
      <c r="G51" s="121"/>
      <c r="H51" s="121"/>
      <c r="I51" s="121"/>
      <c r="J51" s="121"/>
    </row>
    <row r="52" spans="1:10" ht="5.7" customHeight="1">
      <c r="C52" s="107"/>
      <c r="D52" s="107"/>
    </row>
    <row r="53" spans="1:10">
      <c r="A53" s="109" t="s">
        <v>485</v>
      </c>
      <c r="B53" s="109" t="s">
        <v>486</v>
      </c>
      <c r="C53" s="109" t="s">
        <v>487</v>
      </c>
      <c r="D53" s="109" t="s">
        <v>488</v>
      </c>
      <c r="E53" s="109" t="s">
        <v>489</v>
      </c>
      <c r="F53" s="119" t="s">
        <v>480</v>
      </c>
      <c r="G53" s="109"/>
      <c r="H53" s="109"/>
      <c r="I53" s="109"/>
    </row>
    <row r="54" spans="1:10" ht="3.6" customHeight="1">
      <c r="F54" s="34"/>
    </row>
    <row r="55" spans="1:10">
      <c r="A55" t="s">
        <v>490</v>
      </c>
      <c r="E55" s="107">
        <f>D5</f>
        <v>0</v>
      </c>
      <c r="F55" s="34"/>
    </row>
    <row r="56" spans="1:10">
      <c r="A56" s="126">
        <v>1</v>
      </c>
      <c r="B56" s="114">
        <f t="shared" ref="B56:B119" si="2">IF(A56&gt;12*$D$14,0,$D$20)</f>
        <v>0</v>
      </c>
      <c r="C56" s="114">
        <f t="shared" ref="C56:C119" si="3">IF(A56&gt;12*$D$14,0,E55*$D$10/12)</f>
        <v>0</v>
      </c>
      <c r="D56" s="114">
        <f t="shared" ref="D56:D119" si="4">IF(A56&gt;12*$D$14,0,B56-C56)</f>
        <v>0</v>
      </c>
      <c r="E56" s="114">
        <f t="shared" ref="E56:E119" si="5">IF(A56&gt;12*$D$14,0,E55-D56)</f>
        <v>0</v>
      </c>
      <c r="F56" s="113"/>
      <c r="G56" s="107"/>
      <c r="H56" s="117"/>
    </row>
    <row r="57" spans="1:10">
      <c r="A57" s="126">
        <v>2</v>
      </c>
      <c r="B57" s="114">
        <f t="shared" si="2"/>
        <v>0</v>
      </c>
      <c r="C57" s="114">
        <f t="shared" si="3"/>
        <v>0</v>
      </c>
      <c r="D57" s="114">
        <f t="shared" si="4"/>
        <v>0</v>
      </c>
      <c r="E57" s="114">
        <f t="shared" si="5"/>
        <v>0</v>
      </c>
      <c r="F57" s="113"/>
      <c r="G57" s="107"/>
      <c r="H57" s="117"/>
    </row>
    <row r="58" spans="1:10">
      <c r="A58" s="126">
        <v>3</v>
      </c>
      <c r="B58" s="114">
        <f t="shared" si="2"/>
        <v>0</v>
      </c>
      <c r="C58" s="114">
        <f t="shared" si="3"/>
        <v>0</v>
      </c>
      <c r="D58" s="114">
        <f t="shared" si="4"/>
        <v>0</v>
      </c>
      <c r="E58" s="114">
        <f t="shared" si="5"/>
        <v>0</v>
      </c>
      <c r="F58" s="113"/>
      <c r="G58" s="107"/>
      <c r="H58" s="117"/>
    </row>
    <row r="59" spans="1:10">
      <c r="A59" s="126">
        <v>4</v>
      </c>
      <c r="B59" s="114">
        <f t="shared" si="2"/>
        <v>0</v>
      </c>
      <c r="C59" s="114">
        <f t="shared" si="3"/>
        <v>0</v>
      </c>
      <c r="D59" s="114">
        <f t="shared" si="4"/>
        <v>0</v>
      </c>
      <c r="E59" s="114">
        <f t="shared" si="5"/>
        <v>0</v>
      </c>
      <c r="F59" s="113"/>
      <c r="G59" s="107"/>
      <c r="H59" s="117"/>
    </row>
    <row r="60" spans="1:10">
      <c r="A60" s="126">
        <v>5</v>
      </c>
      <c r="B60" s="114">
        <f t="shared" si="2"/>
        <v>0</v>
      </c>
      <c r="C60" s="114">
        <f t="shared" si="3"/>
        <v>0</v>
      </c>
      <c r="D60" s="114">
        <f t="shared" si="4"/>
        <v>0</v>
      </c>
      <c r="E60" s="114">
        <f t="shared" si="5"/>
        <v>0</v>
      </c>
      <c r="F60" s="113"/>
      <c r="G60" s="107"/>
      <c r="H60" s="117"/>
    </row>
    <row r="61" spans="1:10">
      <c r="A61" s="126">
        <v>6</v>
      </c>
      <c r="B61" s="114">
        <f t="shared" si="2"/>
        <v>0</v>
      </c>
      <c r="C61" s="114">
        <f t="shared" si="3"/>
        <v>0</v>
      </c>
      <c r="D61" s="114">
        <f t="shared" si="4"/>
        <v>0</v>
      </c>
      <c r="E61" s="114">
        <f t="shared" si="5"/>
        <v>0</v>
      </c>
      <c r="F61" s="113"/>
      <c r="G61" s="107"/>
      <c r="H61" s="117"/>
    </row>
    <row r="62" spans="1:10">
      <c r="A62" s="126">
        <v>7</v>
      </c>
      <c r="B62" s="114">
        <f t="shared" si="2"/>
        <v>0</v>
      </c>
      <c r="C62" s="114">
        <f t="shared" si="3"/>
        <v>0</v>
      </c>
      <c r="D62" s="114">
        <f t="shared" si="4"/>
        <v>0</v>
      </c>
      <c r="E62" s="114">
        <f t="shared" si="5"/>
        <v>0</v>
      </c>
      <c r="F62" s="113"/>
      <c r="G62" s="107"/>
      <c r="H62" s="117"/>
    </row>
    <row r="63" spans="1:10">
      <c r="A63" s="126">
        <v>8</v>
      </c>
      <c r="B63" s="114">
        <f t="shared" si="2"/>
        <v>0</v>
      </c>
      <c r="C63" s="114">
        <f t="shared" si="3"/>
        <v>0</v>
      </c>
      <c r="D63" s="114">
        <f t="shared" si="4"/>
        <v>0</v>
      </c>
      <c r="E63" s="114">
        <f t="shared" si="5"/>
        <v>0</v>
      </c>
      <c r="F63" s="113"/>
      <c r="G63" s="107"/>
      <c r="H63" s="117"/>
    </row>
    <row r="64" spans="1:10">
      <c r="A64" s="126">
        <v>9</v>
      </c>
      <c r="B64" s="114">
        <f t="shared" si="2"/>
        <v>0</v>
      </c>
      <c r="C64" s="114">
        <f t="shared" si="3"/>
        <v>0</v>
      </c>
      <c r="D64" s="114">
        <f t="shared" si="4"/>
        <v>0</v>
      </c>
      <c r="E64" s="114">
        <f t="shared" si="5"/>
        <v>0</v>
      </c>
      <c r="F64" s="113"/>
      <c r="G64" s="107"/>
      <c r="H64" s="117"/>
    </row>
    <row r="65" spans="1:9">
      <c r="A65" s="126">
        <v>10</v>
      </c>
      <c r="B65" s="114">
        <f t="shared" si="2"/>
        <v>0</v>
      </c>
      <c r="C65" s="114">
        <f t="shared" si="3"/>
        <v>0</v>
      </c>
      <c r="D65" s="114">
        <f t="shared" si="4"/>
        <v>0</v>
      </c>
      <c r="E65" s="114">
        <f t="shared" si="5"/>
        <v>0</v>
      </c>
      <c r="F65" s="113"/>
    </row>
    <row r="66" spans="1:9">
      <c r="A66" s="126">
        <v>11</v>
      </c>
      <c r="B66" s="114">
        <f t="shared" si="2"/>
        <v>0</v>
      </c>
      <c r="C66" s="114">
        <f t="shared" si="3"/>
        <v>0</v>
      </c>
      <c r="D66" s="114">
        <f t="shared" si="4"/>
        <v>0</v>
      </c>
      <c r="E66" s="114">
        <f t="shared" si="5"/>
        <v>0</v>
      </c>
      <c r="F66" s="113"/>
    </row>
    <row r="67" spans="1:9">
      <c r="A67" s="126">
        <v>12</v>
      </c>
      <c r="B67" s="114">
        <f t="shared" si="2"/>
        <v>0</v>
      </c>
      <c r="C67" s="114">
        <f t="shared" si="3"/>
        <v>0</v>
      </c>
      <c r="D67" s="114">
        <f t="shared" si="4"/>
        <v>0</v>
      </c>
      <c r="E67" s="114">
        <f t="shared" si="5"/>
        <v>0</v>
      </c>
      <c r="F67" s="113">
        <v>1</v>
      </c>
      <c r="G67" s="107"/>
      <c r="H67" s="117"/>
      <c r="I67" s="107"/>
    </row>
    <row r="68" spans="1:9">
      <c r="A68" s="126">
        <v>13</v>
      </c>
      <c r="B68" s="114">
        <f t="shared" si="2"/>
        <v>0</v>
      </c>
      <c r="C68" s="114">
        <f t="shared" si="3"/>
        <v>0</v>
      </c>
      <c r="D68" s="114">
        <f t="shared" si="4"/>
        <v>0</v>
      </c>
      <c r="E68" s="114">
        <f t="shared" si="5"/>
        <v>0</v>
      </c>
      <c r="F68" s="113"/>
      <c r="I68" s="107"/>
    </row>
    <row r="69" spans="1:9">
      <c r="A69" s="126">
        <v>14</v>
      </c>
      <c r="B69" s="114">
        <f t="shared" si="2"/>
        <v>0</v>
      </c>
      <c r="C69" s="114">
        <f t="shared" si="3"/>
        <v>0</v>
      </c>
      <c r="D69" s="114">
        <f t="shared" si="4"/>
        <v>0</v>
      </c>
      <c r="E69" s="114">
        <f t="shared" si="5"/>
        <v>0</v>
      </c>
      <c r="F69" s="113"/>
    </row>
    <row r="70" spans="1:9">
      <c r="A70" s="126">
        <v>15</v>
      </c>
      <c r="B70" s="114">
        <f t="shared" si="2"/>
        <v>0</v>
      </c>
      <c r="C70" s="114">
        <f t="shared" si="3"/>
        <v>0</v>
      </c>
      <c r="D70" s="114">
        <f t="shared" si="4"/>
        <v>0</v>
      </c>
      <c r="E70" s="114">
        <f t="shared" si="5"/>
        <v>0</v>
      </c>
      <c r="F70" s="113"/>
    </row>
    <row r="71" spans="1:9">
      <c r="A71" s="126">
        <v>16</v>
      </c>
      <c r="B71" s="114">
        <f t="shared" si="2"/>
        <v>0</v>
      </c>
      <c r="C71" s="114">
        <f t="shared" si="3"/>
        <v>0</v>
      </c>
      <c r="D71" s="114">
        <f t="shared" si="4"/>
        <v>0</v>
      </c>
      <c r="E71" s="114">
        <f t="shared" si="5"/>
        <v>0</v>
      </c>
      <c r="F71" s="113"/>
    </row>
    <row r="72" spans="1:9">
      <c r="A72" s="126">
        <v>17</v>
      </c>
      <c r="B72" s="114">
        <f t="shared" si="2"/>
        <v>0</v>
      </c>
      <c r="C72" s="114">
        <f t="shared" si="3"/>
        <v>0</v>
      </c>
      <c r="D72" s="114">
        <f t="shared" si="4"/>
        <v>0</v>
      </c>
      <c r="E72" s="114">
        <f t="shared" si="5"/>
        <v>0</v>
      </c>
      <c r="F72" s="113"/>
    </row>
    <row r="73" spans="1:9">
      <c r="A73" s="126">
        <v>18</v>
      </c>
      <c r="B73" s="114">
        <f t="shared" si="2"/>
        <v>0</v>
      </c>
      <c r="C73" s="114">
        <f t="shared" si="3"/>
        <v>0</v>
      </c>
      <c r="D73" s="114">
        <f t="shared" si="4"/>
        <v>0</v>
      </c>
      <c r="E73" s="114">
        <f t="shared" si="5"/>
        <v>0</v>
      </c>
      <c r="F73" s="113"/>
      <c r="G73" s="107"/>
      <c r="H73" s="117"/>
    </row>
    <row r="74" spans="1:9">
      <c r="A74" s="126">
        <v>19</v>
      </c>
      <c r="B74" s="114">
        <f t="shared" si="2"/>
        <v>0</v>
      </c>
      <c r="C74" s="114">
        <f t="shared" si="3"/>
        <v>0</v>
      </c>
      <c r="D74" s="114">
        <f t="shared" si="4"/>
        <v>0</v>
      </c>
      <c r="E74" s="114">
        <f t="shared" si="5"/>
        <v>0</v>
      </c>
      <c r="F74" s="113"/>
      <c r="G74" s="107"/>
      <c r="H74" s="117"/>
    </row>
    <row r="75" spans="1:9">
      <c r="A75" s="126">
        <v>20</v>
      </c>
      <c r="B75" s="114">
        <f t="shared" si="2"/>
        <v>0</v>
      </c>
      <c r="C75" s="114">
        <f t="shared" si="3"/>
        <v>0</v>
      </c>
      <c r="D75" s="114">
        <f t="shared" si="4"/>
        <v>0</v>
      </c>
      <c r="E75" s="114">
        <f t="shared" si="5"/>
        <v>0</v>
      </c>
      <c r="F75" s="113"/>
      <c r="G75" s="107"/>
      <c r="H75" s="117"/>
    </row>
    <row r="76" spans="1:9">
      <c r="A76" s="126">
        <v>21</v>
      </c>
      <c r="B76" s="114">
        <f t="shared" si="2"/>
        <v>0</v>
      </c>
      <c r="C76" s="114">
        <f t="shared" si="3"/>
        <v>0</v>
      </c>
      <c r="D76" s="114">
        <f t="shared" si="4"/>
        <v>0</v>
      </c>
      <c r="E76" s="114">
        <f t="shared" si="5"/>
        <v>0</v>
      </c>
      <c r="F76" s="113"/>
      <c r="G76" s="107"/>
      <c r="H76" s="117"/>
    </row>
    <row r="77" spans="1:9">
      <c r="A77" s="126">
        <v>22</v>
      </c>
      <c r="B77" s="114">
        <f t="shared" si="2"/>
        <v>0</v>
      </c>
      <c r="C77" s="114">
        <f t="shared" si="3"/>
        <v>0</v>
      </c>
      <c r="D77" s="114">
        <f t="shared" si="4"/>
        <v>0</v>
      </c>
      <c r="E77" s="114">
        <f t="shared" si="5"/>
        <v>0</v>
      </c>
      <c r="F77" s="113"/>
    </row>
    <row r="78" spans="1:9">
      <c r="A78" s="126">
        <v>23</v>
      </c>
      <c r="B78" s="114">
        <f t="shared" si="2"/>
        <v>0</v>
      </c>
      <c r="C78" s="114">
        <f t="shared" si="3"/>
        <v>0</v>
      </c>
      <c r="D78" s="114">
        <f t="shared" si="4"/>
        <v>0</v>
      </c>
      <c r="E78" s="114">
        <f t="shared" si="5"/>
        <v>0</v>
      </c>
      <c r="F78" s="113"/>
    </row>
    <row r="79" spans="1:9">
      <c r="A79" s="126">
        <v>24</v>
      </c>
      <c r="B79" s="114">
        <f t="shared" si="2"/>
        <v>0</v>
      </c>
      <c r="C79" s="114">
        <f t="shared" si="3"/>
        <v>0</v>
      </c>
      <c r="D79" s="114">
        <f t="shared" si="4"/>
        <v>0</v>
      </c>
      <c r="E79" s="114">
        <f t="shared" si="5"/>
        <v>0</v>
      </c>
      <c r="F79" s="113">
        <v>2</v>
      </c>
      <c r="G79" s="107"/>
      <c r="H79" s="117"/>
      <c r="I79" s="107"/>
    </row>
    <row r="80" spans="1:9">
      <c r="A80" s="126">
        <v>25</v>
      </c>
      <c r="B80" s="114">
        <f t="shared" si="2"/>
        <v>0</v>
      </c>
      <c r="C80" s="114">
        <f t="shared" si="3"/>
        <v>0</v>
      </c>
      <c r="D80" s="114">
        <f t="shared" si="4"/>
        <v>0</v>
      </c>
      <c r="E80" s="114">
        <f t="shared" si="5"/>
        <v>0</v>
      </c>
      <c r="F80" s="113"/>
      <c r="I80" s="107"/>
    </row>
    <row r="81" spans="1:9">
      <c r="A81" s="126">
        <v>26</v>
      </c>
      <c r="B81" s="114">
        <f t="shared" si="2"/>
        <v>0</v>
      </c>
      <c r="C81" s="114">
        <f t="shared" si="3"/>
        <v>0</v>
      </c>
      <c r="D81" s="114">
        <f t="shared" si="4"/>
        <v>0</v>
      </c>
      <c r="E81" s="114">
        <f t="shared" si="5"/>
        <v>0</v>
      </c>
      <c r="F81" s="113"/>
    </row>
    <row r="82" spans="1:9">
      <c r="A82" s="126">
        <v>27</v>
      </c>
      <c r="B82" s="114">
        <f t="shared" si="2"/>
        <v>0</v>
      </c>
      <c r="C82" s="114">
        <f t="shared" si="3"/>
        <v>0</v>
      </c>
      <c r="D82" s="114">
        <f t="shared" si="4"/>
        <v>0</v>
      </c>
      <c r="E82" s="114">
        <f t="shared" si="5"/>
        <v>0</v>
      </c>
      <c r="F82" s="113"/>
    </row>
    <row r="83" spans="1:9">
      <c r="A83" s="126">
        <v>28</v>
      </c>
      <c r="B83" s="114">
        <f t="shared" si="2"/>
        <v>0</v>
      </c>
      <c r="C83" s="114">
        <f t="shared" si="3"/>
        <v>0</v>
      </c>
      <c r="D83" s="114">
        <f t="shared" si="4"/>
        <v>0</v>
      </c>
      <c r="E83" s="114">
        <f t="shared" si="5"/>
        <v>0</v>
      </c>
      <c r="F83" s="113"/>
    </row>
    <row r="84" spans="1:9">
      <c r="A84" s="126">
        <v>29</v>
      </c>
      <c r="B84" s="114">
        <f t="shared" si="2"/>
        <v>0</v>
      </c>
      <c r="C84" s="114">
        <f t="shared" si="3"/>
        <v>0</v>
      </c>
      <c r="D84" s="114">
        <f t="shared" si="4"/>
        <v>0</v>
      </c>
      <c r="E84" s="114">
        <f t="shared" si="5"/>
        <v>0</v>
      </c>
      <c r="F84" s="113"/>
    </row>
    <row r="85" spans="1:9">
      <c r="A85" s="126">
        <v>30</v>
      </c>
      <c r="B85" s="114">
        <f t="shared" si="2"/>
        <v>0</v>
      </c>
      <c r="C85" s="114">
        <f t="shared" si="3"/>
        <v>0</v>
      </c>
      <c r="D85" s="114">
        <f t="shared" si="4"/>
        <v>0</v>
      </c>
      <c r="E85" s="114">
        <f t="shared" si="5"/>
        <v>0</v>
      </c>
      <c r="F85" s="113"/>
      <c r="G85" s="107"/>
      <c r="H85" s="117"/>
    </row>
    <row r="86" spans="1:9">
      <c r="A86" s="126">
        <v>31</v>
      </c>
      <c r="B86" s="114">
        <f t="shared" si="2"/>
        <v>0</v>
      </c>
      <c r="C86" s="114">
        <f t="shared" si="3"/>
        <v>0</v>
      </c>
      <c r="D86" s="114">
        <f t="shared" si="4"/>
        <v>0</v>
      </c>
      <c r="E86" s="114">
        <f t="shared" si="5"/>
        <v>0</v>
      </c>
      <c r="F86" s="113"/>
    </row>
    <row r="87" spans="1:9">
      <c r="A87" s="126">
        <v>32</v>
      </c>
      <c r="B87" s="114">
        <f t="shared" si="2"/>
        <v>0</v>
      </c>
      <c r="C87" s="114">
        <f t="shared" si="3"/>
        <v>0</v>
      </c>
      <c r="D87" s="114">
        <f t="shared" si="4"/>
        <v>0</v>
      </c>
      <c r="E87" s="114">
        <f t="shared" si="5"/>
        <v>0</v>
      </c>
      <c r="F87" s="113"/>
    </row>
    <row r="88" spans="1:9">
      <c r="A88" s="126">
        <v>33</v>
      </c>
      <c r="B88" s="114">
        <f t="shared" si="2"/>
        <v>0</v>
      </c>
      <c r="C88" s="114">
        <f t="shared" si="3"/>
        <v>0</v>
      </c>
      <c r="D88" s="114">
        <f t="shared" si="4"/>
        <v>0</v>
      </c>
      <c r="E88" s="114">
        <f t="shared" si="5"/>
        <v>0</v>
      </c>
      <c r="F88" s="113"/>
    </row>
    <row r="89" spans="1:9">
      <c r="A89" s="126">
        <v>34</v>
      </c>
      <c r="B89" s="114">
        <f t="shared" si="2"/>
        <v>0</v>
      </c>
      <c r="C89" s="114">
        <f t="shared" si="3"/>
        <v>0</v>
      </c>
      <c r="D89" s="114">
        <f t="shared" si="4"/>
        <v>0</v>
      </c>
      <c r="E89" s="114">
        <f t="shared" si="5"/>
        <v>0</v>
      </c>
      <c r="F89" s="113"/>
    </row>
    <row r="90" spans="1:9">
      <c r="A90" s="126">
        <v>35</v>
      </c>
      <c r="B90" s="114">
        <f t="shared" si="2"/>
        <v>0</v>
      </c>
      <c r="C90" s="114">
        <f t="shared" si="3"/>
        <v>0</v>
      </c>
      <c r="D90" s="114">
        <f t="shared" si="4"/>
        <v>0</v>
      </c>
      <c r="E90" s="114">
        <f t="shared" si="5"/>
        <v>0</v>
      </c>
      <c r="F90" s="113"/>
    </row>
    <row r="91" spans="1:9">
      <c r="A91" s="126">
        <v>36</v>
      </c>
      <c r="B91" s="114">
        <f t="shared" si="2"/>
        <v>0</v>
      </c>
      <c r="C91" s="114">
        <f t="shared" si="3"/>
        <v>0</v>
      </c>
      <c r="D91" s="114">
        <f t="shared" si="4"/>
        <v>0</v>
      </c>
      <c r="E91" s="114">
        <f t="shared" si="5"/>
        <v>0</v>
      </c>
      <c r="F91" s="113">
        <v>3</v>
      </c>
      <c r="G91" s="107"/>
      <c r="H91" s="117"/>
      <c r="I91" s="107"/>
    </row>
    <row r="92" spans="1:9">
      <c r="A92" s="126">
        <v>37</v>
      </c>
      <c r="B92" s="114">
        <f t="shared" si="2"/>
        <v>0</v>
      </c>
      <c r="C92" s="114">
        <f t="shared" si="3"/>
        <v>0</v>
      </c>
      <c r="D92" s="114">
        <f t="shared" si="4"/>
        <v>0</v>
      </c>
      <c r="E92" s="114">
        <f t="shared" si="5"/>
        <v>0</v>
      </c>
      <c r="F92" s="113"/>
      <c r="I92" s="107"/>
    </row>
    <row r="93" spans="1:9">
      <c r="A93" s="126">
        <v>38</v>
      </c>
      <c r="B93" s="114">
        <f t="shared" si="2"/>
        <v>0</v>
      </c>
      <c r="C93" s="114">
        <f t="shared" si="3"/>
        <v>0</v>
      </c>
      <c r="D93" s="114">
        <f t="shared" si="4"/>
        <v>0</v>
      </c>
      <c r="E93" s="114">
        <f t="shared" si="5"/>
        <v>0</v>
      </c>
      <c r="F93" s="113"/>
    </row>
    <row r="94" spans="1:9">
      <c r="A94" s="126">
        <v>39</v>
      </c>
      <c r="B94" s="114">
        <f t="shared" si="2"/>
        <v>0</v>
      </c>
      <c r="C94" s="114">
        <f t="shared" si="3"/>
        <v>0</v>
      </c>
      <c r="D94" s="114">
        <f t="shared" si="4"/>
        <v>0</v>
      </c>
      <c r="E94" s="114">
        <f t="shared" si="5"/>
        <v>0</v>
      </c>
      <c r="F94" s="113"/>
    </row>
    <row r="95" spans="1:9">
      <c r="A95" s="126">
        <v>40</v>
      </c>
      <c r="B95" s="114">
        <f t="shared" si="2"/>
        <v>0</v>
      </c>
      <c r="C95" s="114">
        <f t="shared" si="3"/>
        <v>0</v>
      </c>
      <c r="D95" s="114">
        <f t="shared" si="4"/>
        <v>0</v>
      </c>
      <c r="E95" s="114">
        <f t="shared" si="5"/>
        <v>0</v>
      </c>
      <c r="F95" s="113"/>
    </row>
    <row r="96" spans="1:9">
      <c r="A96" s="126">
        <v>41</v>
      </c>
      <c r="B96" s="114">
        <f t="shared" si="2"/>
        <v>0</v>
      </c>
      <c r="C96" s="114">
        <f t="shared" si="3"/>
        <v>0</v>
      </c>
      <c r="D96" s="114">
        <f t="shared" si="4"/>
        <v>0</v>
      </c>
      <c r="E96" s="114">
        <f t="shared" si="5"/>
        <v>0</v>
      </c>
      <c r="F96" s="113"/>
    </row>
    <row r="97" spans="1:9">
      <c r="A97" s="126">
        <v>42</v>
      </c>
      <c r="B97" s="114">
        <f t="shared" si="2"/>
        <v>0</v>
      </c>
      <c r="C97" s="114">
        <f t="shared" si="3"/>
        <v>0</v>
      </c>
      <c r="D97" s="114">
        <f t="shared" si="4"/>
        <v>0</v>
      </c>
      <c r="E97" s="114">
        <f t="shared" si="5"/>
        <v>0</v>
      </c>
      <c r="F97" s="113"/>
      <c r="G97" s="107"/>
      <c r="H97" s="117"/>
    </row>
    <row r="98" spans="1:9">
      <c r="A98" s="126">
        <v>43</v>
      </c>
      <c r="B98" s="114">
        <f t="shared" si="2"/>
        <v>0</v>
      </c>
      <c r="C98" s="114">
        <f t="shared" si="3"/>
        <v>0</v>
      </c>
      <c r="D98" s="114">
        <f t="shared" si="4"/>
        <v>0</v>
      </c>
      <c r="E98" s="114">
        <f t="shared" si="5"/>
        <v>0</v>
      </c>
      <c r="F98" s="113"/>
    </row>
    <row r="99" spans="1:9">
      <c r="A99" s="126">
        <v>44</v>
      </c>
      <c r="B99" s="114">
        <f t="shared" si="2"/>
        <v>0</v>
      </c>
      <c r="C99" s="114">
        <f t="shared" si="3"/>
        <v>0</v>
      </c>
      <c r="D99" s="114">
        <f t="shared" si="4"/>
        <v>0</v>
      </c>
      <c r="E99" s="114">
        <f t="shared" si="5"/>
        <v>0</v>
      </c>
      <c r="F99" s="113"/>
    </row>
    <row r="100" spans="1:9">
      <c r="A100" s="126">
        <v>45</v>
      </c>
      <c r="B100" s="114">
        <f t="shared" si="2"/>
        <v>0</v>
      </c>
      <c r="C100" s="114">
        <f t="shared" si="3"/>
        <v>0</v>
      </c>
      <c r="D100" s="114">
        <f t="shared" si="4"/>
        <v>0</v>
      </c>
      <c r="E100" s="114">
        <f t="shared" si="5"/>
        <v>0</v>
      </c>
      <c r="F100" s="113"/>
    </row>
    <row r="101" spans="1:9">
      <c r="A101" s="126">
        <v>46</v>
      </c>
      <c r="B101" s="114">
        <f t="shared" si="2"/>
        <v>0</v>
      </c>
      <c r="C101" s="114">
        <f t="shared" si="3"/>
        <v>0</v>
      </c>
      <c r="D101" s="114">
        <f t="shared" si="4"/>
        <v>0</v>
      </c>
      <c r="E101" s="114">
        <f t="shared" si="5"/>
        <v>0</v>
      </c>
      <c r="F101" s="113"/>
    </row>
    <row r="102" spans="1:9">
      <c r="A102" s="126">
        <v>47</v>
      </c>
      <c r="B102" s="114">
        <f t="shared" si="2"/>
        <v>0</v>
      </c>
      <c r="C102" s="114">
        <f t="shared" si="3"/>
        <v>0</v>
      </c>
      <c r="D102" s="114">
        <f t="shared" si="4"/>
        <v>0</v>
      </c>
      <c r="E102" s="114">
        <f t="shared" si="5"/>
        <v>0</v>
      </c>
      <c r="F102" s="113"/>
    </row>
    <row r="103" spans="1:9">
      <c r="A103" s="126">
        <v>48</v>
      </c>
      <c r="B103" s="114">
        <f t="shared" si="2"/>
        <v>0</v>
      </c>
      <c r="C103" s="114">
        <f t="shared" si="3"/>
        <v>0</v>
      </c>
      <c r="D103" s="114">
        <f t="shared" si="4"/>
        <v>0</v>
      </c>
      <c r="E103" s="114">
        <f t="shared" si="5"/>
        <v>0</v>
      </c>
      <c r="F103" s="113">
        <v>4</v>
      </c>
      <c r="G103" s="107"/>
      <c r="H103" s="117"/>
      <c r="I103" s="107"/>
    </row>
    <row r="104" spans="1:9">
      <c r="A104" s="126">
        <v>49</v>
      </c>
      <c r="B104" s="114">
        <f t="shared" si="2"/>
        <v>0</v>
      </c>
      <c r="C104" s="114">
        <f t="shared" si="3"/>
        <v>0</v>
      </c>
      <c r="D104" s="114">
        <f t="shared" si="4"/>
        <v>0</v>
      </c>
      <c r="E104" s="114">
        <f t="shared" si="5"/>
        <v>0</v>
      </c>
      <c r="F104" s="113"/>
      <c r="I104" s="107"/>
    </row>
    <row r="105" spans="1:9">
      <c r="A105" s="126">
        <v>50</v>
      </c>
      <c r="B105" s="114">
        <f t="shared" si="2"/>
        <v>0</v>
      </c>
      <c r="C105" s="114">
        <f t="shared" si="3"/>
        <v>0</v>
      </c>
      <c r="D105" s="114">
        <f t="shared" si="4"/>
        <v>0</v>
      </c>
      <c r="E105" s="114">
        <f t="shared" si="5"/>
        <v>0</v>
      </c>
      <c r="F105" s="113"/>
    </row>
    <row r="106" spans="1:9">
      <c r="A106" s="126">
        <v>51</v>
      </c>
      <c r="B106" s="114">
        <f t="shared" si="2"/>
        <v>0</v>
      </c>
      <c r="C106" s="114">
        <f t="shared" si="3"/>
        <v>0</v>
      </c>
      <c r="D106" s="114">
        <f t="shared" si="4"/>
        <v>0</v>
      </c>
      <c r="E106" s="114">
        <f t="shared" si="5"/>
        <v>0</v>
      </c>
      <c r="F106" s="113"/>
    </row>
    <row r="107" spans="1:9">
      <c r="A107" s="126">
        <v>52</v>
      </c>
      <c r="B107" s="114">
        <f t="shared" si="2"/>
        <v>0</v>
      </c>
      <c r="C107" s="114">
        <f t="shared" si="3"/>
        <v>0</v>
      </c>
      <c r="D107" s="114">
        <f t="shared" si="4"/>
        <v>0</v>
      </c>
      <c r="E107" s="114">
        <f t="shared" si="5"/>
        <v>0</v>
      </c>
      <c r="F107" s="113"/>
    </row>
    <row r="108" spans="1:9">
      <c r="A108" s="126">
        <v>53</v>
      </c>
      <c r="B108" s="114">
        <f t="shared" si="2"/>
        <v>0</v>
      </c>
      <c r="C108" s="114">
        <f t="shared" si="3"/>
        <v>0</v>
      </c>
      <c r="D108" s="114">
        <f t="shared" si="4"/>
        <v>0</v>
      </c>
      <c r="E108" s="114">
        <f t="shared" si="5"/>
        <v>0</v>
      </c>
      <c r="F108" s="113"/>
    </row>
    <row r="109" spans="1:9">
      <c r="A109" s="126">
        <v>54</v>
      </c>
      <c r="B109" s="114">
        <f t="shared" si="2"/>
        <v>0</v>
      </c>
      <c r="C109" s="114">
        <f t="shared" si="3"/>
        <v>0</v>
      </c>
      <c r="D109" s="114">
        <f t="shared" si="4"/>
        <v>0</v>
      </c>
      <c r="E109" s="114">
        <f t="shared" si="5"/>
        <v>0</v>
      </c>
      <c r="F109" s="113"/>
      <c r="G109" s="107"/>
      <c r="H109" s="117"/>
    </row>
    <row r="110" spans="1:9">
      <c r="A110" s="126">
        <v>55</v>
      </c>
      <c r="B110" s="114">
        <f t="shared" si="2"/>
        <v>0</v>
      </c>
      <c r="C110" s="114">
        <f t="shared" si="3"/>
        <v>0</v>
      </c>
      <c r="D110" s="114">
        <f t="shared" si="4"/>
        <v>0</v>
      </c>
      <c r="E110" s="114">
        <f t="shared" si="5"/>
        <v>0</v>
      </c>
      <c r="F110" s="113"/>
    </row>
    <row r="111" spans="1:9">
      <c r="A111" s="126">
        <v>56</v>
      </c>
      <c r="B111" s="114">
        <f t="shared" si="2"/>
        <v>0</v>
      </c>
      <c r="C111" s="114">
        <f t="shared" si="3"/>
        <v>0</v>
      </c>
      <c r="D111" s="114">
        <f t="shared" si="4"/>
        <v>0</v>
      </c>
      <c r="E111" s="114">
        <f t="shared" si="5"/>
        <v>0</v>
      </c>
      <c r="F111" s="113"/>
    </row>
    <row r="112" spans="1:9">
      <c r="A112" s="126">
        <v>57</v>
      </c>
      <c r="B112" s="114">
        <f t="shared" si="2"/>
        <v>0</v>
      </c>
      <c r="C112" s="114">
        <f t="shared" si="3"/>
        <v>0</v>
      </c>
      <c r="D112" s="114">
        <f t="shared" si="4"/>
        <v>0</v>
      </c>
      <c r="E112" s="114">
        <f t="shared" si="5"/>
        <v>0</v>
      </c>
      <c r="F112" s="113"/>
    </row>
    <row r="113" spans="1:9">
      <c r="A113" s="126">
        <v>58</v>
      </c>
      <c r="B113" s="114">
        <f t="shared" si="2"/>
        <v>0</v>
      </c>
      <c r="C113" s="114">
        <f t="shared" si="3"/>
        <v>0</v>
      </c>
      <c r="D113" s="114">
        <f t="shared" si="4"/>
        <v>0</v>
      </c>
      <c r="E113" s="114">
        <f t="shared" si="5"/>
        <v>0</v>
      </c>
      <c r="F113" s="113"/>
    </row>
    <row r="114" spans="1:9">
      <c r="A114" s="126">
        <v>59</v>
      </c>
      <c r="B114" s="114">
        <f t="shared" si="2"/>
        <v>0</v>
      </c>
      <c r="C114" s="114">
        <f t="shared" si="3"/>
        <v>0</v>
      </c>
      <c r="D114" s="114">
        <f t="shared" si="4"/>
        <v>0</v>
      </c>
      <c r="E114" s="114">
        <f t="shared" si="5"/>
        <v>0</v>
      </c>
      <c r="F114" s="113"/>
    </row>
    <row r="115" spans="1:9">
      <c r="A115" s="126">
        <v>60</v>
      </c>
      <c r="B115" s="114">
        <f t="shared" si="2"/>
        <v>0</v>
      </c>
      <c r="C115" s="114">
        <f t="shared" si="3"/>
        <v>0</v>
      </c>
      <c r="D115" s="114">
        <f t="shared" si="4"/>
        <v>0</v>
      </c>
      <c r="E115" s="114">
        <f t="shared" si="5"/>
        <v>0</v>
      </c>
      <c r="F115" s="113"/>
      <c r="G115" s="107"/>
      <c r="H115" s="117"/>
      <c r="I115" s="107"/>
    </row>
    <row r="116" spans="1:9">
      <c r="A116" s="126">
        <v>61</v>
      </c>
      <c r="B116" s="114">
        <f t="shared" si="2"/>
        <v>0</v>
      </c>
      <c r="C116" s="114">
        <f t="shared" si="3"/>
        <v>0</v>
      </c>
      <c r="D116" s="114">
        <f t="shared" si="4"/>
        <v>0</v>
      </c>
      <c r="E116" s="114">
        <f t="shared" si="5"/>
        <v>0</v>
      </c>
      <c r="F116" s="113"/>
      <c r="I116" s="107"/>
    </row>
    <row r="117" spans="1:9">
      <c r="A117" s="126">
        <v>62</v>
      </c>
      <c r="B117" s="114">
        <f t="shared" si="2"/>
        <v>0</v>
      </c>
      <c r="C117" s="114">
        <f t="shared" si="3"/>
        <v>0</v>
      </c>
      <c r="D117" s="114">
        <f t="shared" si="4"/>
        <v>0</v>
      </c>
      <c r="E117" s="114">
        <f t="shared" si="5"/>
        <v>0</v>
      </c>
      <c r="F117" s="113">
        <v>5</v>
      </c>
    </row>
    <row r="118" spans="1:9">
      <c r="A118" s="126">
        <v>63</v>
      </c>
      <c r="B118" s="114">
        <f t="shared" si="2"/>
        <v>0</v>
      </c>
      <c r="C118" s="114">
        <f t="shared" si="3"/>
        <v>0</v>
      </c>
      <c r="D118" s="114">
        <f t="shared" si="4"/>
        <v>0</v>
      </c>
      <c r="E118" s="114">
        <f t="shared" si="5"/>
        <v>0</v>
      </c>
      <c r="F118" s="113"/>
    </row>
    <row r="119" spans="1:9">
      <c r="A119" s="126">
        <v>64</v>
      </c>
      <c r="B119" s="114">
        <f t="shared" si="2"/>
        <v>0</v>
      </c>
      <c r="C119" s="114">
        <f t="shared" si="3"/>
        <v>0</v>
      </c>
      <c r="D119" s="114">
        <f t="shared" si="4"/>
        <v>0</v>
      </c>
      <c r="E119" s="114">
        <f t="shared" si="5"/>
        <v>0</v>
      </c>
      <c r="F119" s="113"/>
    </row>
    <row r="120" spans="1:9">
      <c r="A120" s="126">
        <v>65</v>
      </c>
      <c r="B120" s="114">
        <f t="shared" ref="B120:B183" si="6">IF(A120&gt;12*$D$14,0,$D$20)</f>
        <v>0</v>
      </c>
      <c r="C120" s="114">
        <f t="shared" ref="C120:C183" si="7">IF(A120&gt;12*$D$14,0,E119*$D$10/12)</f>
        <v>0</v>
      </c>
      <c r="D120" s="114">
        <f t="shared" ref="D120:D183" si="8">IF(A120&gt;12*$D$14,0,B120-C120)</f>
        <v>0</v>
      </c>
      <c r="E120" s="114">
        <f t="shared" ref="E120:E183" si="9">IF(A120&gt;12*$D$14,0,E119-D120)</f>
        <v>0</v>
      </c>
      <c r="F120" s="113"/>
    </row>
    <row r="121" spans="1:9">
      <c r="A121" s="126">
        <v>66</v>
      </c>
      <c r="B121" s="114">
        <f t="shared" si="6"/>
        <v>0</v>
      </c>
      <c r="C121" s="114">
        <f t="shared" si="7"/>
        <v>0</v>
      </c>
      <c r="D121" s="114">
        <f t="shared" si="8"/>
        <v>0</v>
      </c>
      <c r="E121" s="114">
        <f t="shared" si="9"/>
        <v>0</v>
      </c>
      <c r="F121" s="113"/>
      <c r="G121" s="107"/>
      <c r="H121" s="117"/>
    </row>
    <row r="122" spans="1:9">
      <c r="A122" s="126">
        <v>67</v>
      </c>
      <c r="B122" s="114">
        <f t="shared" si="6"/>
        <v>0</v>
      </c>
      <c r="C122" s="114">
        <f t="shared" si="7"/>
        <v>0</v>
      </c>
      <c r="D122" s="114">
        <f t="shared" si="8"/>
        <v>0</v>
      </c>
      <c r="E122" s="114">
        <f t="shared" si="9"/>
        <v>0</v>
      </c>
      <c r="F122" s="113"/>
    </row>
    <row r="123" spans="1:9">
      <c r="A123" s="126">
        <v>68</v>
      </c>
      <c r="B123" s="114">
        <f t="shared" si="6"/>
        <v>0</v>
      </c>
      <c r="C123" s="114">
        <f t="shared" si="7"/>
        <v>0</v>
      </c>
      <c r="D123" s="114">
        <f t="shared" si="8"/>
        <v>0</v>
      </c>
      <c r="E123" s="114">
        <f t="shared" si="9"/>
        <v>0</v>
      </c>
      <c r="F123" s="113"/>
    </row>
    <row r="124" spans="1:9">
      <c r="A124" s="126">
        <v>69</v>
      </c>
      <c r="B124" s="114">
        <f t="shared" si="6"/>
        <v>0</v>
      </c>
      <c r="C124" s="114">
        <f t="shared" si="7"/>
        <v>0</v>
      </c>
      <c r="D124" s="114">
        <f t="shared" si="8"/>
        <v>0</v>
      </c>
      <c r="E124" s="114">
        <f t="shared" si="9"/>
        <v>0</v>
      </c>
      <c r="F124" s="113"/>
    </row>
    <row r="125" spans="1:9">
      <c r="A125" s="126">
        <v>70</v>
      </c>
      <c r="B125" s="114">
        <f t="shared" si="6"/>
        <v>0</v>
      </c>
      <c r="C125" s="114">
        <f t="shared" si="7"/>
        <v>0</v>
      </c>
      <c r="D125" s="114">
        <f t="shared" si="8"/>
        <v>0</v>
      </c>
      <c r="E125" s="114">
        <f t="shared" si="9"/>
        <v>0</v>
      </c>
      <c r="F125" s="113"/>
    </row>
    <row r="126" spans="1:9">
      <c r="A126" s="126">
        <v>71</v>
      </c>
      <c r="B126" s="114">
        <f t="shared" si="6"/>
        <v>0</v>
      </c>
      <c r="C126" s="114">
        <f t="shared" si="7"/>
        <v>0</v>
      </c>
      <c r="D126" s="114">
        <f t="shared" si="8"/>
        <v>0</v>
      </c>
      <c r="E126" s="114">
        <f t="shared" si="9"/>
        <v>0</v>
      </c>
      <c r="F126" s="113"/>
    </row>
    <row r="127" spans="1:9">
      <c r="A127" s="126">
        <v>72</v>
      </c>
      <c r="B127" s="114">
        <f t="shared" si="6"/>
        <v>0</v>
      </c>
      <c r="C127" s="114">
        <f t="shared" si="7"/>
        <v>0</v>
      </c>
      <c r="D127" s="114">
        <f t="shared" si="8"/>
        <v>0</v>
      </c>
      <c r="E127" s="114">
        <f t="shared" si="9"/>
        <v>0</v>
      </c>
      <c r="F127" s="113"/>
      <c r="G127" s="107"/>
      <c r="H127" s="117"/>
      <c r="I127" s="107"/>
    </row>
    <row r="128" spans="1:9">
      <c r="A128" s="126">
        <v>73</v>
      </c>
      <c r="B128" s="114">
        <f t="shared" si="6"/>
        <v>0</v>
      </c>
      <c r="C128" s="114">
        <f t="shared" si="7"/>
        <v>0</v>
      </c>
      <c r="D128" s="114">
        <f t="shared" si="8"/>
        <v>0</v>
      </c>
      <c r="E128" s="114">
        <f t="shared" si="9"/>
        <v>0</v>
      </c>
      <c r="F128" s="113"/>
      <c r="I128" s="107"/>
    </row>
    <row r="129" spans="1:9">
      <c r="A129" s="126">
        <v>74</v>
      </c>
      <c r="B129" s="114">
        <f t="shared" si="6"/>
        <v>0</v>
      </c>
      <c r="C129" s="114">
        <f t="shared" si="7"/>
        <v>0</v>
      </c>
      <c r="D129" s="114">
        <f t="shared" si="8"/>
        <v>0</v>
      </c>
      <c r="E129" s="114">
        <f t="shared" si="9"/>
        <v>0</v>
      </c>
      <c r="F129" s="113">
        <v>6</v>
      </c>
    </row>
    <row r="130" spans="1:9">
      <c r="A130" s="126">
        <v>75</v>
      </c>
      <c r="B130" s="114">
        <f t="shared" si="6"/>
        <v>0</v>
      </c>
      <c r="C130" s="114">
        <f t="shared" si="7"/>
        <v>0</v>
      </c>
      <c r="D130" s="114">
        <f t="shared" si="8"/>
        <v>0</v>
      </c>
      <c r="E130" s="114">
        <f t="shared" si="9"/>
        <v>0</v>
      </c>
      <c r="F130" s="113"/>
    </row>
    <row r="131" spans="1:9">
      <c r="A131" s="126">
        <v>76</v>
      </c>
      <c r="B131" s="114">
        <f t="shared" si="6"/>
        <v>0</v>
      </c>
      <c r="C131" s="114">
        <f t="shared" si="7"/>
        <v>0</v>
      </c>
      <c r="D131" s="114">
        <f t="shared" si="8"/>
        <v>0</v>
      </c>
      <c r="E131" s="114">
        <f t="shared" si="9"/>
        <v>0</v>
      </c>
      <c r="F131" s="113"/>
    </row>
    <row r="132" spans="1:9">
      <c r="A132" s="126">
        <v>77</v>
      </c>
      <c r="B132" s="114">
        <f t="shared" si="6"/>
        <v>0</v>
      </c>
      <c r="C132" s="114">
        <f t="shared" si="7"/>
        <v>0</v>
      </c>
      <c r="D132" s="114">
        <f t="shared" si="8"/>
        <v>0</v>
      </c>
      <c r="E132" s="114">
        <f t="shared" si="9"/>
        <v>0</v>
      </c>
      <c r="F132" s="113"/>
    </row>
    <row r="133" spans="1:9">
      <c r="A133" s="126">
        <v>78</v>
      </c>
      <c r="B133" s="114">
        <f t="shared" si="6"/>
        <v>0</v>
      </c>
      <c r="C133" s="114">
        <f t="shared" si="7"/>
        <v>0</v>
      </c>
      <c r="D133" s="114">
        <f t="shared" si="8"/>
        <v>0</v>
      </c>
      <c r="E133" s="114">
        <f t="shared" si="9"/>
        <v>0</v>
      </c>
      <c r="F133" s="113"/>
      <c r="G133" s="107"/>
      <c r="H133" s="117"/>
    </row>
    <row r="134" spans="1:9">
      <c r="A134" s="126">
        <v>79</v>
      </c>
      <c r="B134" s="114">
        <f t="shared" si="6"/>
        <v>0</v>
      </c>
      <c r="C134" s="114">
        <f t="shared" si="7"/>
        <v>0</v>
      </c>
      <c r="D134" s="114">
        <f t="shared" si="8"/>
        <v>0</v>
      </c>
      <c r="E134" s="114">
        <f t="shared" si="9"/>
        <v>0</v>
      </c>
      <c r="F134" s="113"/>
    </row>
    <row r="135" spans="1:9">
      <c r="A135" s="126">
        <v>80</v>
      </c>
      <c r="B135" s="114">
        <f t="shared" si="6"/>
        <v>0</v>
      </c>
      <c r="C135" s="114">
        <f t="shared" si="7"/>
        <v>0</v>
      </c>
      <c r="D135" s="114">
        <f t="shared" si="8"/>
        <v>0</v>
      </c>
      <c r="E135" s="114">
        <f t="shared" si="9"/>
        <v>0</v>
      </c>
      <c r="F135" s="113"/>
    </row>
    <row r="136" spans="1:9">
      <c r="A136" s="126">
        <v>81</v>
      </c>
      <c r="B136" s="114">
        <f t="shared" si="6"/>
        <v>0</v>
      </c>
      <c r="C136" s="114">
        <f t="shared" si="7"/>
        <v>0</v>
      </c>
      <c r="D136" s="114">
        <f t="shared" si="8"/>
        <v>0</v>
      </c>
      <c r="E136" s="114">
        <f t="shared" si="9"/>
        <v>0</v>
      </c>
      <c r="F136" s="113"/>
    </row>
    <row r="137" spans="1:9">
      <c r="A137" s="126">
        <v>82</v>
      </c>
      <c r="B137" s="114">
        <f t="shared" si="6"/>
        <v>0</v>
      </c>
      <c r="C137" s="114">
        <f t="shared" si="7"/>
        <v>0</v>
      </c>
      <c r="D137" s="114">
        <f t="shared" si="8"/>
        <v>0</v>
      </c>
      <c r="E137" s="114">
        <f t="shared" si="9"/>
        <v>0</v>
      </c>
      <c r="F137" s="113"/>
    </row>
    <row r="138" spans="1:9">
      <c r="A138" s="126">
        <v>83</v>
      </c>
      <c r="B138" s="114">
        <f t="shared" si="6"/>
        <v>0</v>
      </c>
      <c r="C138" s="114">
        <f t="shared" si="7"/>
        <v>0</v>
      </c>
      <c r="D138" s="114">
        <f t="shared" si="8"/>
        <v>0</v>
      </c>
      <c r="E138" s="114">
        <f t="shared" si="9"/>
        <v>0</v>
      </c>
      <c r="F138" s="113"/>
    </row>
    <row r="139" spans="1:9">
      <c r="A139" s="126">
        <v>84</v>
      </c>
      <c r="B139" s="114">
        <f t="shared" si="6"/>
        <v>0</v>
      </c>
      <c r="C139" s="114">
        <f t="shared" si="7"/>
        <v>0</v>
      </c>
      <c r="D139" s="114">
        <f t="shared" si="8"/>
        <v>0</v>
      </c>
      <c r="E139" s="114">
        <f t="shared" si="9"/>
        <v>0</v>
      </c>
      <c r="F139" s="113">
        <v>7</v>
      </c>
      <c r="G139" s="107"/>
      <c r="H139" s="117"/>
      <c r="I139" s="107"/>
    </row>
    <row r="140" spans="1:9">
      <c r="A140" s="126">
        <v>85</v>
      </c>
      <c r="B140" s="114">
        <f t="shared" si="6"/>
        <v>0</v>
      </c>
      <c r="C140" s="114">
        <f t="shared" si="7"/>
        <v>0</v>
      </c>
      <c r="D140" s="114">
        <f t="shared" si="8"/>
        <v>0</v>
      </c>
      <c r="E140" s="114">
        <f t="shared" si="9"/>
        <v>0</v>
      </c>
      <c r="F140" s="113"/>
      <c r="I140" s="107"/>
    </row>
    <row r="141" spans="1:9">
      <c r="A141" s="126">
        <v>86</v>
      </c>
      <c r="B141" s="114">
        <f t="shared" si="6"/>
        <v>0</v>
      </c>
      <c r="C141" s="114">
        <f t="shared" si="7"/>
        <v>0</v>
      </c>
      <c r="D141" s="114">
        <f t="shared" si="8"/>
        <v>0</v>
      </c>
      <c r="E141" s="114">
        <f t="shared" si="9"/>
        <v>0</v>
      </c>
      <c r="F141" s="113"/>
    </row>
    <row r="142" spans="1:9">
      <c r="A142" s="126">
        <v>87</v>
      </c>
      <c r="B142" s="114">
        <f t="shared" si="6"/>
        <v>0</v>
      </c>
      <c r="C142" s="114">
        <f t="shared" si="7"/>
        <v>0</v>
      </c>
      <c r="D142" s="114">
        <f t="shared" si="8"/>
        <v>0</v>
      </c>
      <c r="E142" s="114">
        <f t="shared" si="9"/>
        <v>0</v>
      </c>
      <c r="F142" s="113"/>
    </row>
    <row r="143" spans="1:9">
      <c r="A143" s="126">
        <v>88</v>
      </c>
      <c r="B143" s="114">
        <f t="shared" si="6"/>
        <v>0</v>
      </c>
      <c r="C143" s="114">
        <f t="shared" si="7"/>
        <v>0</v>
      </c>
      <c r="D143" s="114">
        <f t="shared" si="8"/>
        <v>0</v>
      </c>
      <c r="E143" s="114">
        <f t="shared" si="9"/>
        <v>0</v>
      </c>
      <c r="F143" s="113"/>
    </row>
    <row r="144" spans="1:9">
      <c r="A144" s="126">
        <v>89</v>
      </c>
      <c r="B144" s="114">
        <f t="shared" si="6"/>
        <v>0</v>
      </c>
      <c r="C144" s="114">
        <f t="shared" si="7"/>
        <v>0</v>
      </c>
      <c r="D144" s="114">
        <f t="shared" si="8"/>
        <v>0</v>
      </c>
      <c r="E144" s="114">
        <f t="shared" si="9"/>
        <v>0</v>
      </c>
      <c r="F144" s="113"/>
    </row>
    <row r="145" spans="1:9">
      <c r="A145" s="126">
        <v>90</v>
      </c>
      <c r="B145" s="114">
        <f t="shared" si="6"/>
        <v>0</v>
      </c>
      <c r="C145" s="114">
        <f t="shared" si="7"/>
        <v>0</v>
      </c>
      <c r="D145" s="114">
        <f t="shared" si="8"/>
        <v>0</v>
      </c>
      <c r="E145" s="114">
        <f t="shared" si="9"/>
        <v>0</v>
      </c>
      <c r="F145" s="113"/>
      <c r="G145" s="107"/>
      <c r="H145" s="117"/>
    </row>
    <row r="146" spans="1:9">
      <c r="A146" s="126">
        <v>91</v>
      </c>
      <c r="B146" s="114">
        <f t="shared" si="6"/>
        <v>0</v>
      </c>
      <c r="C146" s="114">
        <f t="shared" si="7"/>
        <v>0</v>
      </c>
      <c r="D146" s="114">
        <f t="shared" si="8"/>
        <v>0</v>
      </c>
      <c r="E146" s="114">
        <f t="shared" si="9"/>
        <v>0</v>
      </c>
      <c r="F146" s="113"/>
    </row>
    <row r="147" spans="1:9">
      <c r="A147" s="126">
        <v>92</v>
      </c>
      <c r="B147" s="114">
        <f t="shared" si="6"/>
        <v>0</v>
      </c>
      <c r="C147" s="114">
        <f t="shared" si="7"/>
        <v>0</v>
      </c>
      <c r="D147" s="114">
        <f t="shared" si="8"/>
        <v>0</v>
      </c>
      <c r="E147" s="114">
        <f t="shared" si="9"/>
        <v>0</v>
      </c>
      <c r="F147" s="113"/>
    </row>
    <row r="148" spans="1:9">
      <c r="A148" s="126">
        <v>93</v>
      </c>
      <c r="B148" s="114">
        <f t="shared" si="6"/>
        <v>0</v>
      </c>
      <c r="C148" s="114">
        <f t="shared" si="7"/>
        <v>0</v>
      </c>
      <c r="D148" s="114">
        <f t="shared" si="8"/>
        <v>0</v>
      </c>
      <c r="E148" s="114">
        <f t="shared" si="9"/>
        <v>0</v>
      </c>
      <c r="F148" s="113"/>
    </row>
    <row r="149" spans="1:9">
      <c r="A149" s="126">
        <v>94</v>
      </c>
      <c r="B149" s="114">
        <f t="shared" si="6"/>
        <v>0</v>
      </c>
      <c r="C149" s="114">
        <f t="shared" si="7"/>
        <v>0</v>
      </c>
      <c r="D149" s="114">
        <f t="shared" si="8"/>
        <v>0</v>
      </c>
      <c r="E149" s="114">
        <f t="shared" si="9"/>
        <v>0</v>
      </c>
      <c r="F149" s="113"/>
    </row>
    <row r="150" spans="1:9">
      <c r="A150" s="126">
        <v>95</v>
      </c>
      <c r="B150" s="114">
        <f t="shared" si="6"/>
        <v>0</v>
      </c>
      <c r="C150" s="114">
        <f t="shared" si="7"/>
        <v>0</v>
      </c>
      <c r="D150" s="114">
        <f t="shared" si="8"/>
        <v>0</v>
      </c>
      <c r="E150" s="114">
        <f t="shared" si="9"/>
        <v>0</v>
      </c>
      <c r="F150" s="113"/>
    </row>
    <row r="151" spans="1:9">
      <c r="A151" s="126">
        <v>96</v>
      </c>
      <c r="B151" s="114">
        <f t="shared" si="6"/>
        <v>0</v>
      </c>
      <c r="C151" s="114">
        <f t="shared" si="7"/>
        <v>0</v>
      </c>
      <c r="D151" s="114">
        <f t="shared" si="8"/>
        <v>0</v>
      </c>
      <c r="E151" s="114">
        <f t="shared" si="9"/>
        <v>0</v>
      </c>
      <c r="F151" s="113">
        <v>8</v>
      </c>
      <c r="G151" s="107"/>
      <c r="H151" s="117"/>
      <c r="I151" s="107"/>
    </row>
    <row r="152" spans="1:9">
      <c r="A152" s="126">
        <v>97</v>
      </c>
      <c r="B152" s="114">
        <f t="shared" si="6"/>
        <v>0</v>
      </c>
      <c r="C152" s="114">
        <f t="shared" si="7"/>
        <v>0</v>
      </c>
      <c r="D152" s="114">
        <f t="shared" si="8"/>
        <v>0</v>
      </c>
      <c r="E152" s="114">
        <f t="shared" si="9"/>
        <v>0</v>
      </c>
      <c r="F152" s="113"/>
      <c r="I152" s="107"/>
    </row>
    <row r="153" spans="1:9">
      <c r="A153" s="126">
        <v>98</v>
      </c>
      <c r="B153" s="114">
        <f t="shared" si="6"/>
        <v>0</v>
      </c>
      <c r="C153" s="114">
        <f t="shared" si="7"/>
        <v>0</v>
      </c>
      <c r="D153" s="114">
        <f t="shared" si="8"/>
        <v>0</v>
      </c>
      <c r="E153" s="114">
        <f t="shared" si="9"/>
        <v>0</v>
      </c>
      <c r="F153" s="113"/>
    </row>
    <row r="154" spans="1:9">
      <c r="A154" s="126">
        <v>99</v>
      </c>
      <c r="B154" s="114">
        <f t="shared" si="6"/>
        <v>0</v>
      </c>
      <c r="C154" s="114">
        <f t="shared" si="7"/>
        <v>0</v>
      </c>
      <c r="D154" s="114">
        <f t="shared" si="8"/>
        <v>0</v>
      </c>
      <c r="E154" s="114">
        <f t="shared" si="9"/>
        <v>0</v>
      </c>
      <c r="F154" s="113"/>
    </row>
    <row r="155" spans="1:9">
      <c r="A155" s="126">
        <v>100</v>
      </c>
      <c r="B155" s="114">
        <f t="shared" si="6"/>
        <v>0</v>
      </c>
      <c r="C155" s="114">
        <f t="shared" si="7"/>
        <v>0</v>
      </c>
      <c r="D155" s="114">
        <f t="shared" si="8"/>
        <v>0</v>
      </c>
      <c r="E155" s="114">
        <f t="shared" si="9"/>
        <v>0</v>
      </c>
      <c r="F155" s="113"/>
    </row>
    <row r="156" spans="1:9">
      <c r="A156" s="126">
        <v>101</v>
      </c>
      <c r="B156" s="114">
        <f t="shared" si="6"/>
        <v>0</v>
      </c>
      <c r="C156" s="114">
        <f t="shared" si="7"/>
        <v>0</v>
      </c>
      <c r="D156" s="114">
        <f t="shared" si="8"/>
        <v>0</v>
      </c>
      <c r="E156" s="114">
        <f t="shared" si="9"/>
        <v>0</v>
      </c>
      <c r="F156" s="113"/>
    </row>
    <row r="157" spans="1:9">
      <c r="A157" s="126">
        <v>102</v>
      </c>
      <c r="B157" s="114">
        <f t="shared" si="6"/>
        <v>0</v>
      </c>
      <c r="C157" s="114">
        <f t="shared" si="7"/>
        <v>0</v>
      </c>
      <c r="D157" s="114">
        <f t="shared" si="8"/>
        <v>0</v>
      </c>
      <c r="E157" s="114">
        <f t="shared" si="9"/>
        <v>0</v>
      </c>
      <c r="F157" s="113"/>
      <c r="G157" s="107"/>
      <c r="H157" s="117"/>
    </row>
    <row r="158" spans="1:9">
      <c r="A158" s="126">
        <v>103</v>
      </c>
      <c r="B158" s="114">
        <f t="shared" si="6"/>
        <v>0</v>
      </c>
      <c r="C158" s="114">
        <f t="shared" si="7"/>
        <v>0</v>
      </c>
      <c r="D158" s="114">
        <f t="shared" si="8"/>
        <v>0</v>
      </c>
      <c r="E158" s="114">
        <f t="shared" si="9"/>
        <v>0</v>
      </c>
      <c r="F158" s="113"/>
    </row>
    <row r="159" spans="1:9">
      <c r="A159" s="126">
        <v>104</v>
      </c>
      <c r="B159" s="114">
        <f t="shared" si="6"/>
        <v>0</v>
      </c>
      <c r="C159" s="114">
        <f t="shared" si="7"/>
        <v>0</v>
      </c>
      <c r="D159" s="114">
        <f t="shared" si="8"/>
        <v>0</v>
      </c>
      <c r="E159" s="114">
        <f t="shared" si="9"/>
        <v>0</v>
      </c>
      <c r="F159" s="113"/>
    </row>
    <row r="160" spans="1:9">
      <c r="A160" s="126">
        <v>105</v>
      </c>
      <c r="B160" s="114">
        <f t="shared" si="6"/>
        <v>0</v>
      </c>
      <c r="C160" s="114">
        <f t="shared" si="7"/>
        <v>0</v>
      </c>
      <c r="D160" s="114">
        <f t="shared" si="8"/>
        <v>0</v>
      </c>
      <c r="E160" s="114">
        <f t="shared" si="9"/>
        <v>0</v>
      </c>
      <c r="F160" s="113"/>
    </row>
    <row r="161" spans="1:9">
      <c r="A161" s="126">
        <v>106</v>
      </c>
      <c r="B161" s="114">
        <f t="shared" si="6"/>
        <v>0</v>
      </c>
      <c r="C161" s="114">
        <f t="shared" si="7"/>
        <v>0</v>
      </c>
      <c r="D161" s="114">
        <f t="shared" si="8"/>
        <v>0</v>
      </c>
      <c r="E161" s="114">
        <f t="shared" si="9"/>
        <v>0</v>
      </c>
      <c r="F161" s="113"/>
    </row>
    <row r="162" spans="1:9">
      <c r="A162" s="126">
        <v>107</v>
      </c>
      <c r="B162" s="114">
        <f t="shared" si="6"/>
        <v>0</v>
      </c>
      <c r="C162" s="114">
        <f t="shared" si="7"/>
        <v>0</v>
      </c>
      <c r="D162" s="114">
        <f t="shared" si="8"/>
        <v>0</v>
      </c>
      <c r="E162" s="114">
        <f t="shared" si="9"/>
        <v>0</v>
      </c>
      <c r="F162" s="113"/>
    </row>
    <row r="163" spans="1:9">
      <c r="A163" s="126">
        <v>108</v>
      </c>
      <c r="B163" s="114">
        <f t="shared" si="6"/>
        <v>0</v>
      </c>
      <c r="C163" s="114">
        <f t="shared" si="7"/>
        <v>0</v>
      </c>
      <c r="D163" s="114">
        <f t="shared" si="8"/>
        <v>0</v>
      </c>
      <c r="E163" s="114">
        <f t="shared" si="9"/>
        <v>0</v>
      </c>
      <c r="F163" s="113">
        <v>9</v>
      </c>
      <c r="G163" s="107"/>
      <c r="H163" s="117"/>
      <c r="I163" s="107"/>
    </row>
    <row r="164" spans="1:9">
      <c r="A164" s="126">
        <v>109</v>
      </c>
      <c r="B164" s="114">
        <f t="shared" si="6"/>
        <v>0</v>
      </c>
      <c r="C164" s="114">
        <f t="shared" si="7"/>
        <v>0</v>
      </c>
      <c r="D164" s="114">
        <f t="shared" si="8"/>
        <v>0</v>
      </c>
      <c r="E164" s="114">
        <f t="shared" si="9"/>
        <v>0</v>
      </c>
      <c r="F164" s="113"/>
      <c r="I164" s="107"/>
    </row>
    <row r="165" spans="1:9">
      <c r="A165" s="126">
        <v>110</v>
      </c>
      <c r="B165" s="114">
        <f t="shared" si="6"/>
        <v>0</v>
      </c>
      <c r="C165" s="114">
        <f t="shared" si="7"/>
        <v>0</v>
      </c>
      <c r="D165" s="114">
        <f t="shared" si="8"/>
        <v>0</v>
      </c>
      <c r="E165" s="114">
        <f t="shared" si="9"/>
        <v>0</v>
      </c>
      <c r="F165" s="113"/>
    </row>
    <row r="166" spans="1:9">
      <c r="A166" s="126">
        <v>111</v>
      </c>
      <c r="B166" s="114">
        <f t="shared" si="6"/>
        <v>0</v>
      </c>
      <c r="C166" s="114">
        <f t="shared" si="7"/>
        <v>0</v>
      </c>
      <c r="D166" s="114">
        <f t="shared" si="8"/>
        <v>0</v>
      </c>
      <c r="E166" s="114">
        <f t="shared" si="9"/>
        <v>0</v>
      </c>
      <c r="F166" s="113"/>
    </row>
    <row r="167" spans="1:9">
      <c r="A167" s="126">
        <v>112</v>
      </c>
      <c r="B167" s="114">
        <f t="shared" si="6"/>
        <v>0</v>
      </c>
      <c r="C167" s="114">
        <f t="shared" si="7"/>
        <v>0</v>
      </c>
      <c r="D167" s="114">
        <f t="shared" si="8"/>
        <v>0</v>
      </c>
      <c r="E167" s="114">
        <f t="shared" si="9"/>
        <v>0</v>
      </c>
      <c r="F167" s="113"/>
    </row>
    <row r="168" spans="1:9">
      <c r="A168" s="126">
        <v>113</v>
      </c>
      <c r="B168" s="114">
        <f t="shared" si="6"/>
        <v>0</v>
      </c>
      <c r="C168" s="114">
        <f t="shared" si="7"/>
        <v>0</v>
      </c>
      <c r="D168" s="114">
        <f t="shared" si="8"/>
        <v>0</v>
      </c>
      <c r="E168" s="114">
        <f t="shared" si="9"/>
        <v>0</v>
      </c>
      <c r="F168" s="113"/>
    </row>
    <row r="169" spans="1:9">
      <c r="A169" s="126">
        <v>114</v>
      </c>
      <c r="B169" s="114">
        <f t="shared" si="6"/>
        <v>0</v>
      </c>
      <c r="C169" s="114">
        <f t="shared" si="7"/>
        <v>0</v>
      </c>
      <c r="D169" s="114">
        <f t="shared" si="8"/>
        <v>0</v>
      </c>
      <c r="E169" s="114">
        <f t="shared" si="9"/>
        <v>0</v>
      </c>
      <c r="F169" s="113"/>
      <c r="G169" s="107"/>
      <c r="H169" s="117"/>
    </row>
    <row r="170" spans="1:9">
      <c r="A170" s="126">
        <v>115</v>
      </c>
      <c r="B170" s="114">
        <f t="shared" si="6"/>
        <v>0</v>
      </c>
      <c r="C170" s="114">
        <f t="shared" si="7"/>
        <v>0</v>
      </c>
      <c r="D170" s="114">
        <f t="shared" si="8"/>
        <v>0</v>
      </c>
      <c r="E170" s="114">
        <f t="shared" si="9"/>
        <v>0</v>
      </c>
      <c r="F170" s="113"/>
    </row>
    <row r="171" spans="1:9">
      <c r="A171" s="126">
        <v>116</v>
      </c>
      <c r="B171" s="114">
        <f t="shared" si="6"/>
        <v>0</v>
      </c>
      <c r="C171" s="114">
        <f t="shared" si="7"/>
        <v>0</v>
      </c>
      <c r="D171" s="114">
        <f t="shared" si="8"/>
        <v>0</v>
      </c>
      <c r="E171" s="114">
        <f t="shared" si="9"/>
        <v>0</v>
      </c>
      <c r="F171" s="113"/>
    </row>
    <row r="172" spans="1:9">
      <c r="A172" s="126">
        <v>117</v>
      </c>
      <c r="B172" s="114">
        <f t="shared" si="6"/>
        <v>0</v>
      </c>
      <c r="C172" s="114">
        <f t="shared" si="7"/>
        <v>0</v>
      </c>
      <c r="D172" s="114">
        <f t="shared" si="8"/>
        <v>0</v>
      </c>
      <c r="E172" s="114">
        <f t="shared" si="9"/>
        <v>0</v>
      </c>
      <c r="F172" s="113"/>
    </row>
    <row r="173" spans="1:9">
      <c r="A173" s="126">
        <v>118</v>
      </c>
      <c r="B173" s="114">
        <f t="shared" si="6"/>
        <v>0</v>
      </c>
      <c r="C173" s="114">
        <f t="shared" si="7"/>
        <v>0</v>
      </c>
      <c r="D173" s="114">
        <f t="shared" si="8"/>
        <v>0</v>
      </c>
      <c r="E173" s="114">
        <f t="shared" si="9"/>
        <v>0</v>
      </c>
      <c r="F173" s="113"/>
    </row>
    <row r="174" spans="1:9">
      <c r="A174" s="126">
        <v>119</v>
      </c>
      <c r="B174" s="114">
        <f t="shared" si="6"/>
        <v>0</v>
      </c>
      <c r="C174" s="114">
        <f t="shared" si="7"/>
        <v>0</v>
      </c>
      <c r="D174" s="114">
        <f t="shared" si="8"/>
        <v>0</v>
      </c>
      <c r="E174" s="114">
        <f t="shared" si="9"/>
        <v>0</v>
      </c>
      <c r="F174" s="113"/>
    </row>
    <row r="175" spans="1:9">
      <c r="A175" s="126">
        <v>120</v>
      </c>
      <c r="B175" s="114">
        <f t="shared" si="6"/>
        <v>0</v>
      </c>
      <c r="C175" s="114">
        <f t="shared" si="7"/>
        <v>0</v>
      </c>
      <c r="D175" s="114">
        <f t="shared" si="8"/>
        <v>0</v>
      </c>
      <c r="E175" s="114">
        <f t="shared" si="9"/>
        <v>0</v>
      </c>
      <c r="F175" s="113">
        <v>10</v>
      </c>
      <c r="G175" s="107"/>
      <c r="H175" s="117"/>
      <c r="I175" s="107"/>
    </row>
    <row r="176" spans="1:9">
      <c r="A176" s="126">
        <v>121</v>
      </c>
      <c r="B176" s="114">
        <f t="shared" si="6"/>
        <v>0</v>
      </c>
      <c r="C176" s="114">
        <f t="shared" si="7"/>
        <v>0</v>
      </c>
      <c r="D176" s="114">
        <f t="shared" si="8"/>
        <v>0</v>
      </c>
      <c r="E176" s="114">
        <f t="shared" si="9"/>
        <v>0</v>
      </c>
      <c r="F176" s="113"/>
      <c r="I176" s="107"/>
    </row>
    <row r="177" spans="1:9">
      <c r="A177" s="126">
        <v>122</v>
      </c>
      <c r="B177" s="114">
        <f t="shared" si="6"/>
        <v>0</v>
      </c>
      <c r="C177" s="114">
        <f t="shared" si="7"/>
        <v>0</v>
      </c>
      <c r="D177" s="114">
        <f t="shared" si="8"/>
        <v>0</v>
      </c>
      <c r="E177" s="114">
        <f t="shared" si="9"/>
        <v>0</v>
      </c>
      <c r="F177" s="113"/>
    </row>
    <row r="178" spans="1:9">
      <c r="A178" s="126">
        <v>123</v>
      </c>
      <c r="B178" s="114">
        <f t="shared" si="6"/>
        <v>0</v>
      </c>
      <c r="C178" s="114">
        <f t="shared" si="7"/>
        <v>0</v>
      </c>
      <c r="D178" s="114">
        <f t="shared" si="8"/>
        <v>0</v>
      </c>
      <c r="E178" s="114">
        <f t="shared" si="9"/>
        <v>0</v>
      </c>
      <c r="F178" s="113"/>
    </row>
    <row r="179" spans="1:9">
      <c r="A179" s="126">
        <v>124</v>
      </c>
      <c r="B179" s="114">
        <f t="shared" si="6"/>
        <v>0</v>
      </c>
      <c r="C179" s="114">
        <f t="shared" si="7"/>
        <v>0</v>
      </c>
      <c r="D179" s="114">
        <f t="shared" si="8"/>
        <v>0</v>
      </c>
      <c r="E179" s="114">
        <f t="shared" si="9"/>
        <v>0</v>
      </c>
      <c r="F179" s="113"/>
    </row>
    <row r="180" spans="1:9">
      <c r="A180" s="126">
        <v>125</v>
      </c>
      <c r="B180" s="114">
        <f t="shared" si="6"/>
        <v>0</v>
      </c>
      <c r="C180" s="114">
        <f t="shared" si="7"/>
        <v>0</v>
      </c>
      <c r="D180" s="114">
        <f t="shared" si="8"/>
        <v>0</v>
      </c>
      <c r="E180" s="114">
        <f t="shared" si="9"/>
        <v>0</v>
      </c>
      <c r="F180" s="113"/>
    </row>
    <row r="181" spans="1:9">
      <c r="A181" s="126">
        <v>126</v>
      </c>
      <c r="B181" s="114">
        <f t="shared" si="6"/>
        <v>0</v>
      </c>
      <c r="C181" s="114">
        <f t="shared" si="7"/>
        <v>0</v>
      </c>
      <c r="D181" s="114">
        <f t="shared" si="8"/>
        <v>0</v>
      </c>
      <c r="E181" s="114">
        <f t="shared" si="9"/>
        <v>0</v>
      </c>
      <c r="F181" s="113"/>
      <c r="G181" s="107"/>
      <c r="H181" s="117"/>
    </row>
    <row r="182" spans="1:9">
      <c r="A182" s="126">
        <v>127</v>
      </c>
      <c r="B182" s="114">
        <f t="shared" si="6"/>
        <v>0</v>
      </c>
      <c r="C182" s="114">
        <f t="shared" si="7"/>
        <v>0</v>
      </c>
      <c r="D182" s="114">
        <f t="shared" si="8"/>
        <v>0</v>
      </c>
      <c r="E182" s="114">
        <f t="shared" si="9"/>
        <v>0</v>
      </c>
      <c r="F182" s="113"/>
    </row>
    <row r="183" spans="1:9">
      <c r="A183" s="126">
        <v>128</v>
      </c>
      <c r="B183" s="114">
        <f t="shared" si="6"/>
        <v>0</v>
      </c>
      <c r="C183" s="114">
        <f t="shared" si="7"/>
        <v>0</v>
      </c>
      <c r="D183" s="114">
        <f t="shared" si="8"/>
        <v>0</v>
      </c>
      <c r="E183" s="114">
        <f t="shared" si="9"/>
        <v>0</v>
      </c>
      <c r="F183" s="113"/>
    </row>
    <row r="184" spans="1:9">
      <c r="A184" s="126">
        <v>129</v>
      </c>
      <c r="B184" s="114">
        <f t="shared" ref="B184:B247" si="10">IF(A184&gt;12*$D$14,0,$D$20)</f>
        <v>0</v>
      </c>
      <c r="C184" s="114">
        <f t="shared" ref="C184:C247" si="11">IF(A184&gt;12*$D$14,0,E183*$D$10/12)</f>
        <v>0</v>
      </c>
      <c r="D184" s="114">
        <f t="shared" ref="D184:D247" si="12">IF(A184&gt;12*$D$14,0,B184-C184)</f>
        <v>0</v>
      </c>
      <c r="E184" s="114">
        <f t="shared" ref="E184:E247" si="13">IF(A184&gt;12*$D$14,0,E183-D184)</f>
        <v>0</v>
      </c>
      <c r="F184" s="113"/>
    </row>
    <row r="185" spans="1:9">
      <c r="A185" s="126">
        <v>130</v>
      </c>
      <c r="B185" s="114">
        <f t="shared" si="10"/>
        <v>0</v>
      </c>
      <c r="C185" s="114">
        <f t="shared" si="11"/>
        <v>0</v>
      </c>
      <c r="D185" s="114">
        <f t="shared" si="12"/>
        <v>0</v>
      </c>
      <c r="E185" s="114">
        <f t="shared" si="13"/>
        <v>0</v>
      </c>
      <c r="F185" s="113"/>
    </row>
    <row r="186" spans="1:9">
      <c r="A186" s="126">
        <v>131</v>
      </c>
      <c r="B186" s="114">
        <f t="shared" si="10"/>
        <v>0</v>
      </c>
      <c r="C186" s="114">
        <f t="shared" si="11"/>
        <v>0</v>
      </c>
      <c r="D186" s="114">
        <f t="shared" si="12"/>
        <v>0</v>
      </c>
      <c r="E186" s="114">
        <f t="shared" si="13"/>
        <v>0</v>
      </c>
      <c r="F186" s="113"/>
    </row>
    <row r="187" spans="1:9">
      <c r="A187" s="126">
        <v>132</v>
      </c>
      <c r="B187" s="114">
        <f t="shared" si="10"/>
        <v>0</v>
      </c>
      <c r="C187" s="114">
        <f t="shared" si="11"/>
        <v>0</v>
      </c>
      <c r="D187" s="114">
        <f t="shared" si="12"/>
        <v>0</v>
      </c>
      <c r="E187" s="114">
        <f t="shared" si="13"/>
        <v>0</v>
      </c>
      <c r="F187" s="113">
        <v>11</v>
      </c>
      <c r="G187" s="107"/>
      <c r="H187" s="117"/>
      <c r="I187" s="107"/>
    </row>
    <row r="188" spans="1:9">
      <c r="A188" s="126">
        <v>133</v>
      </c>
      <c r="B188" s="114">
        <f t="shared" si="10"/>
        <v>0</v>
      </c>
      <c r="C188" s="114">
        <f t="shared" si="11"/>
        <v>0</v>
      </c>
      <c r="D188" s="114">
        <f t="shared" si="12"/>
        <v>0</v>
      </c>
      <c r="E188" s="114">
        <f t="shared" si="13"/>
        <v>0</v>
      </c>
      <c r="F188" s="113"/>
      <c r="I188" s="107"/>
    </row>
    <row r="189" spans="1:9">
      <c r="A189" s="126">
        <v>134</v>
      </c>
      <c r="B189" s="114">
        <f t="shared" si="10"/>
        <v>0</v>
      </c>
      <c r="C189" s="114">
        <f t="shared" si="11"/>
        <v>0</v>
      </c>
      <c r="D189" s="114">
        <f t="shared" si="12"/>
        <v>0</v>
      </c>
      <c r="E189" s="114">
        <f t="shared" si="13"/>
        <v>0</v>
      </c>
      <c r="F189" s="113"/>
    </row>
    <row r="190" spans="1:9">
      <c r="A190" s="126">
        <v>135</v>
      </c>
      <c r="B190" s="114">
        <f t="shared" si="10"/>
        <v>0</v>
      </c>
      <c r="C190" s="114">
        <f t="shared" si="11"/>
        <v>0</v>
      </c>
      <c r="D190" s="114">
        <f t="shared" si="12"/>
        <v>0</v>
      </c>
      <c r="E190" s="114">
        <f t="shared" si="13"/>
        <v>0</v>
      </c>
      <c r="F190" s="113"/>
    </row>
    <row r="191" spans="1:9">
      <c r="A191" s="126">
        <v>136</v>
      </c>
      <c r="B191" s="114">
        <f t="shared" si="10"/>
        <v>0</v>
      </c>
      <c r="C191" s="114">
        <f t="shared" si="11"/>
        <v>0</v>
      </c>
      <c r="D191" s="114">
        <f t="shared" si="12"/>
        <v>0</v>
      </c>
      <c r="E191" s="114">
        <f t="shared" si="13"/>
        <v>0</v>
      </c>
      <c r="F191" s="113"/>
    </row>
    <row r="192" spans="1:9">
      <c r="A192" s="126">
        <v>137</v>
      </c>
      <c r="B192" s="114">
        <f t="shared" si="10"/>
        <v>0</v>
      </c>
      <c r="C192" s="114">
        <f t="shared" si="11"/>
        <v>0</v>
      </c>
      <c r="D192" s="114">
        <f t="shared" si="12"/>
        <v>0</v>
      </c>
      <c r="E192" s="114">
        <f t="shared" si="13"/>
        <v>0</v>
      </c>
      <c r="F192" s="113"/>
    </row>
    <row r="193" spans="1:9">
      <c r="A193" s="126">
        <v>138</v>
      </c>
      <c r="B193" s="114">
        <f t="shared" si="10"/>
        <v>0</v>
      </c>
      <c r="C193" s="114">
        <f t="shared" si="11"/>
        <v>0</v>
      </c>
      <c r="D193" s="114">
        <f t="shared" si="12"/>
        <v>0</v>
      </c>
      <c r="E193" s="114">
        <f t="shared" si="13"/>
        <v>0</v>
      </c>
      <c r="F193" s="113"/>
      <c r="G193" s="107"/>
      <c r="H193" s="117"/>
    </row>
    <row r="194" spans="1:9">
      <c r="A194" s="126">
        <v>139</v>
      </c>
      <c r="B194" s="114">
        <f t="shared" si="10"/>
        <v>0</v>
      </c>
      <c r="C194" s="114">
        <f t="shared" si="11"/>
        <v>0</v>
      </c>
      <c r="D194" s="114">
        <f t="shared" si="12"/>
        <v>0</v>
      </c>
      <c r="E194" s="114">
        <f t="shared" si="13"/>
        <v>0</v>
      </c>
      <c r="F194" s="113"/>
    </row>
    <row r="195" spans="1:9">
      <c r="A195" s="126">
        <v>140</v>
      </c>
      <c r="B195" s="114">
        <f t="shared" si="10"/>
        <v>0</v>
      </c>
      <c r="C195" s="114">
        <f t="shared" si="11"/>
        <v>0</v>
      </c>
      <c r="D195" s="114">
        <f t="shared" si="12"/>
        <v>0</v>
      </c>
      <c r="E195" s="114">
        <f t="shared" si="13"/>
        <v>0</v>
      </c>
      <c r="F195" s="113"/>
    </row>
    <row r="196" spans="1:9">
      <c r="A196" s="126">
        <v>141</v>
      </c>
      <c r="B196" s="114">
        <f t="shared" si="10"/>
        <v>0</v>
      </c>
      <c r="C196" s="114">
        <f t="shared" si="11"/>
        <v>0</v>
      </c>
      <c r="D196" s="114">
        <f t="shared" si="12"/>
        <v>0</v>
      </c>
      <c r="E196" s="114">
        <f t="shared" si="13"/>
        <v>0</v>
      </c>
      <c r="F196" s="113"/>
    </row>
    <row r="197" spans="1:9">
      <c r="A197" s="126">
        <v>142</v>
      </c>
      <c r="B197" s="114">
        <f t="shared" si="10"/>
        <v>0</v>
      </c>
      <c r="C197" s="114">
        <f t="shared" si="11"/>
        <v>0</v>
      </c>
      <c r="D197" s="114">
        <f t="shared" si="12"/>
        <v>0</v>
      </c>
      <c r="E197" s="114">
        <f t="shared" si="13"/>
        <v>0</v>
      </c>
      <c r="F197" s="113"/>
    </row>
    <row r="198" spans="1:9">
      <c r="A198" s="126">
        <v>143</v>
      </c>
      <c r="B198" s="114">
        <f t="shared" si="10"/>
        <v>0</v>
      </c>
      <c r="C198" s="114">
        <f t="shared" si="11"/>
        <v>0</v>
      </c>
      <c r="D198" s="114">
        <f t="shared" si="12"/>
        <v>0</v>
      </c>
      <c r="E198" s="114">
        <f t="shared" si="13"/>
        <v>0</v>
      </c>
      <c r="F198" s="113"/>
    </row>
    <row r="199" spans="1:9">
      <c r="A199" s="126">
        <v>144</v>
      </c>
      <c r="B199" s="114">
        <f t="shared" si="10"/>
        <v>0</v>
      </c>
      <c r="C199" s="114">
        <f t="shared" si="11"/>
        <v>0</v>
      </c>
      <c r="D199" s="114">
        <f t="shared" si="12"/>
        <v>0</v>
      </c>
      <c r="E199" s="114">
        <f t="shared" si="13"/>
        <v>0</v>
      </c>
      <c r="F199" s="113">
        <v>12</v>
      </c>
      <c r="G199" s="107"/>
      <c r="H199" s="117"/>
      <c r="I199" s="107"/>
    </row>
    <row r="200" spans="1:9">
      <c r="A200" s="126">
        <v>145</v>
      </c>
      <c r="B200" s="114">
        <f t="shared" si="10"/>
        <v>0</v>
      </c>
      <c r="C200" s="114">
        <f t="shared" si="11"/>
        <v>0</v>
      </c>
      <c r="D200" s="114">
        <f t="shared" si="12"/>
        <v>0</v>
      </c>
      <c r="E200" s="114">
        <f t="shared" si="13"/>
        <v>0</v>
      </c>
      <c r="F200" s="113"/>
      <c r="I200" s="107"/>
    </row>
    <row r="201" spans="1:9">
      <c r="A201" s="126">
        <v>146</v>
      </c>
      <c r="B201" s="114">
        <f t="shared" si="10"/>
        <v>0</v>
      </c>
      <c r="C201" s="114">
        <f t="shared" si="11"/>
        <v>0</v>
      </c>
      <c r="D201" s="114">
        <f t="shared" si="12"/>
        <v>0</v>
      </c>
      <c r="E201" s="114">
        <f t="shared" si="13"/>
        <v>0</v>
      </c>
      <c r="F201" s="113"/>
    </row>
    <row r="202" spans="1:9">
      <c r="A202" s="126">
        <v>147</v>
      </c>
      <c r="B202" s="114">
        <f t="shared" si="10"/>
        <v>0</v>
      </c>
      <c r="C202" s="114">
        <f t="shared" si="11"/>
        <v>0</v>
      </c>
      <c r="D202" s="114">
        <f t="shared" si="12"/>
        <v>0</v>
      </c>
      <c r="E202" s="114">
        <f t="shared" si="13"/>
        <v>0</v>
      </c>
      <c r="F202" s="113"/>
    </row>
    <row r="203" spans="1:9">
      <c r="A203" s="126">
        <v>148</v>
      </c>
      <c r="B203" s="114">
        <f t="shared" si="10"/>
        <v>0</v>
      </c>
      <c r="C203" s="114">
        <f t="shared" si="11"/>
        <v>0</v>
      </c>
      <c r="D203" s="114">
        <f t="shared" si="12"/>
        <v>0</v>
      </c>
      <c r="E203" s="114">
        <f t="shared" si="13"/>
        <v>0</v>
      </c>
      <c r="F203" s="113"/>
    </row>
    <row r="204" spans="1:9">
      <c r="A204" s="126">
        <v>149</v>
      </c>
      <c r="B204" s="114">
        <f t="shared" si="10"/>
        <v>0</v>
      </c>
      <c r="C204" s="114">
        <f t="shared" si="11"/>
        <v>0</v>
      </c>
      <c r="D204" s="114">
        <f t="shared" si="12"/>
        <v>0</v>
      </c>
      <c r="E204" s="114">
        <f t="shared" si="13"/>
        <v>0</v>
      </c>
      <c r="F204" s="113"/>
    </row>
    <row r="205" spans="1:9">
      <c r="A205" s="126">
        <v>150</v>
      </c>
      <c r="B205" s="114">
        <f t="shared" si="10"/>
        <v>0</v>
      </c>
      <c r="C205" s="114">
        <f t="shared" si="11"/>
        <v>0</v>
      </c>
      <c r="D205" s="114">
        <f t="shared" si="12"/>
        <v>0</v>
      </c>
      <c r="E205" s="114">
        <f t="shared" si="13"/>
        <v>0</v>
      </c>
      <c r="F205" s="113"/>
      <c r="G205" s="107"/>
      <c r="H205" s="117"/>
    </row>
    <row r="206" spans="1:9">
      <c r="A206" s="126">
        <v>151</v>
      </c>
      <c r="B206" s="114">
        <f t="shared" si="10"/>
        <v>0</v>
      </c>
      <c r="C206" s="114">
        <f t="shared" si="11"/>
        <v>0</v>
      </c>
      <c r="D206" s="114">
        <f t="shared" si="12"/>
        <v>0</v>
      </c>
      <c r="E206" s="114">
        <f t="shared" si="13"/>
        <v>0</v>
      </c>
      <c r="F206" s="113"/>
    </row>
    <row r="207" spans="1:9">
      <c r="A207" s="126">
        <v>152</v>
      </c>
      <c r="B207" s="114">
        <f t="shared" si="10"/>
        <v>0</v>
      </c>
      <c r="C207" s="114">
        <f t="shared" si="11"/>
        <v>0</v>
      </c>
      <c r="D207" s="114">
        <f t="shared" si="12"/>
        <v>0</v>
      </c>
      <c r="E207" s="114">
        <f t="shared" si="13"/>
        <v>0</v>
      </c>
      <c r="F207" s="113"/>
    </row>
    <row r="208" spans="1:9">
      <c r="A208" s="126">
        <v>153</v>
      </c>
      <c r="B208" s="114">
        <f t="shared" si="10"/>
        <v>0</v>
      </c>
      <c r="C208" s="114">
        <f t="shared" si="11"/>
        <v>0</v>
      </c>
      <c r="D208" s="114">
        <f t="shared" si="12"/>
        <v>0</v>
      </c>
      <c r="E208" s="114">
        <f t="shared" si="13"/>
        <v>0</v>
      </c>
      <c r="F208" s="113"/>
    </row>
    <row r="209" spans="1:9">
      <c r="A209" s="126">
        <v>154</v>
      </c>
      <c r="B209" s="114">
        <f t="shared" si="10"/>
        <v>0</v>
      </c>
      <c r="C209" s="114">
        <f t="shared" si="11"/>
        <v>0</v>
      </c>
      <c r="D209" s="114">
        <f t="shared" si="12"/>
        <v>0</v>
      </c>
      <c r="E209" s="114">
        <f t="shared" si="13"/>
        <v>0</v>
      </c>
      <c r="F209" s="113"/>
    </row>
    <row r="210" spans="1:9">
      <c r="A210" s="126">
        <v>155</v>
      </c>
      <c r="B210" s="114">
        <f t="shared" si="10"/>
        <v>0</v>
      </c>
      <c r="C210" s="114">
        <f t="shared" si="11"/>
        <v>0</v>
      </c>
      <c r="D210" s="114">
        <f t="shared" si="12"/>
        <v>0</v>
      </c>
      <c r="E210" s="114">
        <f t="shared" si="13"/>
        <v>0</v>
      </c>
      <c r="F210" s="113"/>
    </row>
    <row r="211" spans="1:9">
      <c r="A211" s="126">
        <v>156</v>
      </c>
      <c r="B211" s="114">
        <f t="shared" si="10"/>
        <v>0</v>
      </c>
      <c r="C211" s="114">
        <f t="shared" si="11"/>
        <v>0</v>
      </c>
      <c r="D211" s="114">
        <f t="shared" si="12"/>
        <v>0</v>
      </c>
      <c r="E211" s="114">
        <f t="shared" si="13"/>
        <v>0</v>
      </c>
      <c r="F211" s="113">
        <v>13</v>
      </c>
      <c r="G211" s="107"/>
      <c r="H211" s="117"/>
      <c r="I211" s="107"/>
    </row>
    <row r="212" spans="1:9">
      <c r="A212" s="126">
        <v>157</v>
      </c>
      <c r="B212" s="114">
        <f t="shared" si="10"/>
        <v>0</v>
      </c>
      <c r="C212" s="114">
        <f t="shared" si="11"/>
        <v>0</v>
      </c>
      <c r="D212" s="114">
        <f t="shared" si="12"/>
        <v>0</v>
      </c>
      <c r="E212" s="114">
        <f t="shared" si="13"/>
        <v>0</v>
      </c>
      <c r="F212" s="113"/>
      <c r="I212" s="107"/>
    </row>
    <row r="213" spans="1:9">
      <c r="A213" s="126">
        <v>158</v>
      </c>
      <c r="B213" s="114">
        <f t="shared" si="10"/>
        <v>0</v>
      </c>
      <c r="C213" s="114">
        <f t="shared" si="11"/>
        <v>0</v>
      </c>
      <c r="D213" s="114">
        <f t="shared" si="12"/>
        <v>0</v>
      </c>
      <c r="E213" s="114">
        <f t="shared" si="13"/>
        <v>0</v>
      </c>
      <c r="F213" s="113"/>
    </row>
    <row r="214" spans="1:9">
      <c r="A214" s="126">
        <v>159</v>
      </c>
      <c r="B214" s="114">
        <f t="shared" si="10"/>
        <v>0</v>
      </c>
      <c r="C214" s="114">
        <f t="shared" si="11"/>
        <v>0</v>
      </c>
      <c r="D214" s="114">
        <f t="shared" si="12"/>
        <v>0</v>
      </c>
      <c r="E214" s="114">
        <f t="shared" si="13"/>
        <v>0</v>
      </c>
      <c r="F214" s="113"/>
    </row>
    <row r="215" spans="1:9">
      <c r="A215" s="126">
        <v>160</v>
      </c>
      <c r="B215" s="114">
        <f t="shared" si="10"/>
        <v>0</v>
      </c>
      <c r="C215" s="114">
        <f t="shared" si="11"/>
        <v>0</v>
      </c>
      <c r="D215" s="114">
        <f t="shared" si="12"/>
        <v>0</v>
      </c>
      <c r="E215" s="114">
        <f t="shared" si="13"/>
        <v>0</v>
      </c>
      <c r="F215" s="113"/>
    </row>
    <row r="216" spans="1:9">
      <c r="A216" s="126">
        <v>161</v>
      </c>
      <c r="B216" s="114">
        <f t="shared" si="10"/>
        <v>0</v>
      </c>
      <c r="C216" s="114">
        <f t="shared" si="11"/>
        <v>0</v>
      </c>
      <c r="D216" s="114">
        <f t="shared" si="12"/>
        <v>0</v>
      </c>
      <c r="E216" s="114">
        <f t="shared" si="13"/>
        <v>0</v>
      </c>
      <c r="F216" s="113"/>
    </row>
    <row r="217" spans="1:9">
      <c r="A217" s="126">
        <v>162</v>
      </c>
      <c r="B217" s="114">
        <f t="shared" si="10"/>
        <v>0</v>
      </c>
      <c r="C217" s="114">
        <f t="shared" si="11"/>
        <v>0</v>
      </c>
      <c r="D217" s="114">
        <f t="shared" si="12"/>
        <v>0</v>
      </c>
      <c r="E217" s="114">
        <f t="shared" si="13"/>
        <v>0</v>
      </c>
      <c r="F217" s="113"/>
      <c r="G217" s="107"/>
      <c r="H217" s="117"/>
    </row>
    <row r="218" spans="1:9">
      <c r="A218" s="126">
        <v>163</v>
      </c>
      <c r="B218" s="114">
        <f t="shared" si="10"/>
        <v>0</v>
      </c>
      <c r="C218" s="114">
        <f t="shared" si="11"/>
        <v>0</v>
      </c>
      <c r="D218" s="114">
        <f t="shared" si="12"/>
        <v>0</v>
      </c>
      <c r="E218" s="114">
        <f t="shared" si="13"/>
        <v>0</v>
      </c>
      <c r="F218" s="113"/>
    </row>
    <row r="219" spans="1:9">
      <c r="A219" s="126">
        <v>164</v>
      </c>
      <c r="B219" s="114">
        <f t="shared" si="10"/>
        <v>0</v>
      </c>
      <c r="C219" s="114">
        <f t="shared" si="11"/>
        <v>0</v>
      </c>
      <c r="D219" s="114">
        <f t="shared" si="12"/>
        <v>0</v>
      </c>
      <c r="E219" s="114">
        <f t="shared" si="13"/>
        <v>0</v>
      </c>
      <c r="F219" s="113"/>
    </row>
    <row r="220" spans="1:9">
      <c r="A220" s="126">
        <v>165</v>
      </c>
      <c r="B220" s="114">
        <f t="shared" si="10"/>
        <v>0</v>
      </c>
      <c r="C220" s="114">
        <f t="shared" si="11"/>
        <v>0</v>
      </c>
      <c r="D220" s="114">
        <f t="shared" si="12"/>
        <v>0</v>
      </c>
      <c r="E220" s="114">
        <f t="shared" si="13"/>
        <v>0</v>
      </c>
      <c r="F220" s="113"/>
    </row>
    <row r="221" spans="1:9">
      <c r="A221" s="126">
        <v>166</v>
      </c>
      <c r="B221" s="114">
        <f t="shared" si="10"/>
        <v>0</v>
      </c>
      <c r="C221" s="114">
        <f t="shared" si="11"/>
        <v>0</v>
      </c>
      <c r="D221" s="114">
        <f t="shared" si="12"/>
        <v>0</v>
      </c>
      <c r="E221" s="114">
        <f t="shared" si="13"/>
        <v>0</v>
      </c>
      <c r="F221" s="113"/>
    </row>
    <row r="222" spans="1:9">
      <c r="A222" s="126">
        <v>167</v>
      </c>
      <c r="B222" s="114">
        <f t="shared" si="10"/>
        <v>0</v>
      </c>
      <c r="C222" s="114">
        <f t="shared" si="11"/>
        <v>0</v>
      </c>
      <c r="D222" s="114">
        <f t="shared" si="12"/>
        <v>0</v>
      </c>
      <c r="E222" s="114">
        <f t="shared" si="13"/>
        <v>0</v>
      </c>
      <c r="F222" s="113"/>
    </row>
    <row r="223" spans="1:9">
      <c r="A223" s="126">
        <v>168</v>
      </c>
      <c r="B223" s="114">
        <f t="shared" si="10"/>
        <v>0</v>
      </c>
      <c r="C223" s="114">
        <f t="shared" si="11"/>
        <v>0</v>
      </c>
      <c r="D223" s="114">
        <f t="shared" si="12"/>
        <v>0</v>
      </c>
      <c r="E223" s="114">
        <f t="shared" si="13"/>
        <v>0</v>
      </c>
      <c r="F223" s="113">
        <v>14</v>
      </c>
      <c r="G223" s="107"/>
      <c r="H223" s="117"/>
      <c r="I223" s="107"/>
    </row>
    <row r="224" spans="1:9">
      <c r="A224" s="126">
        <v>169</v>
      </c>
      <c r="B224" s="114">
        <f t="shared" si="10"/>
        <v>0</v>
      </c>
      <c r="C224" s="114">
        <f t="shared" si="11"/>
        <v>0</v>
      </c>
      <c r="D224" s="114">
        <f t="shared" si="12"/>
        <v>0</v>
      </c>
      <c r="E224" s="114">
        <f t="shared" si="13"/>
        <v>0</v>
      </c>
      <c r="F224" s="113"/>
      <c r="I224" s="107"/>
    </row>
    <row r="225" spans="1:9">
      <c r="A225" s="126">
        <v>170</v>
      </c>
      <c r="B225" s="114">
        <f t="shared" si="10"/>
        <v>0</v>
      </c>
      <c r="C225" s="114">
        <f t="shared" si="11"/>
        <v>0</v>
      </c>
      <c r="D225" s="114">
        <f t="shared" si="12"/>
        <v>0</v>
      </c>
      <c r="E225" s="114">
        <f t="shared" si="13"/>
        <v>0</v>
      </c>
      <c r="F225" s="113"/>
    </row>
    <row r="226" spans="1:9">
      <c r="A226" s="126">
        <v>171</v>
      </c>
      <c r="B226" s="114">
        <f t="shared" si="10"/>
        <v>0</v>
      </c>
      <c r="C226" s="114">
        <f t="shared" si="11"/>
        <v>0</v>
      </c>
      <c r="D226" s="114">
        <f t="shared" si="12"/>
        <v>0</v>
      </c>
      <c r="E226" s="114">
        <f t="shared" si="13"/>
        <v>0</v>
      </c>
      <c r="F226" s="113"/>
    </row>
    <row r="227" spans="1:9">
      <c r="A227" s="126">
        <v>172</v>
      </c>
      <c r="B227" s="114">
        <f t="shared" si="10"/>
        <v>0</v>
      </c>
      <c r="C227" s="114">
        <f t="shared" si="11"/>
        <v>0</v>
      </c>
      <c r="D227" s="114">
        <f t="shared" si="12"/>
        <v>0</v>
      </c>
      <c r="E227" s="114">
        <f t="shared" si="13"/>
        <v>0</v>
      </c>
      <c r="F227" s="113"/>
    </row>
    <row r="228" spans="1:9">
      <c r="A228" s="126">
        <v>173</v>
      </c>
      <c r="B228" s="114">
        <f t="shared" si="10"/>
        <v>0</v>
      </c>
      <c r="C228" s="114">
        <f t="shared" si="11"/>
        <v>0</v>
      </c>
      <c r="D228" s="114">
        <f t="shared" si="12"/>
        <v>0</v>
      </c>
      <c r="E228" s="114">
        <f t="shared" si="13"/>
        <v>0</v>
      </c>
      <c r="F228" s="113"/>
    </row>
    <row r="229" spans="1:9">
      <c r="A229" s="126">
        <v>174</v>
      </c>
      <c r="B229" s="114">
        <f t="shared" si="10"/>
        <v>0</v>
      </c>
      <c r="C229" s="114">
        <f t="shared" si="11"/>
        <v>0</v>
      </c>
      <c r="D229" s="114">
        <f t="shared" si="12"/>
        <v>0</v>
      </c>
      <c r="E229" s="114">
        <f t="shared" si="13"/>
        <v>0</v>
      </c>
      <c r="F229" s="113"/>
      <c r="G229" s="107"/>
      <c r="H229" s="117"/>
    </row>
    <row r="230" spans="1:9">
      <c r="A230" s="126">
        <v>175</v>
      </c>
      <c r="B230" s="114">
        <f t="shared" si="10"/>
        <v>0</v>
      </c>
      <c r="C230" s="114">
        <f t="shared" si="11"/>
        <v>0</v>
      </c>
      <c r="D230" s="114">
        <f t="shared" si="12"/>
        <v>0</v>
      </c>
      <c r="E230" s="114">
        <f t="shared" si="13"/>
        <v>0</v>
      </c>
      <c r="F230" s="113"/>
    </row>
    <row r="231" spans="1:9">
      <c r="A231" s="126">
        <v>176</v>
      </c>
      <c r="B231" s="114">
        <f t="shared" si="10"/>
        <v>0</v>
      </c>
      <c r="C231" s="114">
        <f t="shared" si="11"/>
        <v>0</v>
      </c>
      <c r="D231" s="114">
        <f t="shared" si="12"/>
        <v>0</v>
      </c>
      <c r="E231" s="114">
        <f t="shared" si="13"/>
        <v>0</v>
      </c>
      <c r="F231" s="113"/>
    </row>
    <row r="232" spans="1:9">
      <c r="A232" s="126">
        <v>177</v>
      </c>
      <c r="B232" s="114">
        <f t="shared" si="10"/>
        <v>0</v>
      </c>
      <c r="C232" s="114">
        <f t="shared" si="11"/>
        <v>0</v>
      </c>
      <c r="D232" s="114">
        <f t="shared" si="12"/>
        <v>0</v>
      </c>
      <c r="E232" s="114">
        <f t="shared" si="13"/>
        <v>0</v>
      </c>
      <c r="F232" s="113"/>
    </row>
    <row r="233" spans="1:9">
      <c r="A233" s="126">
        <v>178</v>
      </c>
      <c r="B233" s="114">
        <f t="shared" si="10"/>
        <v>0</v>
      </c>
      <c r="C233" s="114">
        <f t="shared" si="11"/>
        <v>0</v>
      </c>
      <c r="D233" s="114">
        <f t="shared" si="12"/>
        <v>0</v>
      </c>
      <c r="E233" s="114">
        <f t="shared" si="13"/>
        <v>0</v>
      </c>
      <c r="F233" s="113"/>
    </row>
    <row r="234" spans="1:9">
      <c r="A234" s="126">
        <v>179</v>
      </c>
      <c r="B234" s="114">
        <f t="shared" si="10"/>
        <v>0</v>
      </c>
      <c r="C234" s="114">
        <f t="shared" si="11"/>
        <v>0</v>
      </c>
      <c r="D234" s="114">
        <f t="shared" si="12"/>
        <v>0</v>
      </c>
      <c r="E234" s="114">
        <f t="shared" si="13"/>
        <v>0</v>
      </c>
      <c r="F234" s="113"/>
    </row>
    <row r="235" spans="1:9">
      <c r="A235" s="126">
        <v>180</v>
      </c>
      <c r="B235" s="114">
        <f t="shared" si="10"/>
        <v>0</v>
      </c>
      <c r="C235" s="114">
        <f t="shared" si="11"/>
        <v>0</v>
      </c>
      <c r="D235" s="114">
        <f t="shared" si="12"/>
        <v>0</v>
      </c>
      <c r="E235" s="114">
        <f t="shared" si="13"/>
        <v>0</v>
      </c>
      <c r="F235" s="113">
        <v>15</v>
      </c>
      <c r="G235" s="107"/>
      <c r="H235" s="117"/>
      <c r="I235" s="107"/>
    </row>
    <row r="236" spans="1:9">
      <c r="A236" s="126">
        <v>181</v>
      </c>
      <c r="B236" s="114">
        <f t="shared" si="10"/>
        <v>0</v>
      </c>
      <c r="C236" s="114">
        <f t="shared" si="11"/>
        <v>0</v>
      </c>
      <c r="D236" s="114">
        <f t="shared" si="12"/>
        <v>0</v>
      </c>
      <c r="E236" s="114">
        <f t="shared" si="13"/>
        <v>0</v>
      </c>
      <c r="F236" s="113"/>
      <c r="I236" s="107"/>
    </row>
    <row r="237" spans="1:9">
      <c r="A237" s="126">
        <v>182</v>
      </c>
      <c r="B237" s="114">
        <f t="shared" si="10"/>
        <v>0</v>
      </c>
      <c r="C237" s="114">
        <f t="shared" si="11"/>
        <v>0</v>
      </c>
      <c r="D237" s="114">
        <f t="shared" si="12"/>
        <v>0</v>
      </c>
      <c r="E237" s="114">
        <f t="shared" si="13"/>
        <v>0</v>
      </c>
      <c r="F237" s="113"/>
    </row>
    <row r="238" spans="1:9">
      <c r="A238" s="126">
        <v>183</v>
      </c>
      <c r="B238" s="114">
        <f t="shared" si="10"/>
        <v>0</v>
      </c>
      <c r="C238" s="114">
        <f t="shared" si="11"/>
        <v>0</v>
      </c>
      <c r="D238" s="114">
        <f t="shared" si="12"/>
        <v>0</v>
      </c>
      <c r="E238" s="114">
        <f t="shared" si="13"/>
        <v>0</v>
      </c>
      <c r="F238" s="113"/>
    </row>
    <row r="239" spans="1:9">
      <c r="A239" s="126">
        <v>184</v>
      </c>
      <c r="B239" s="114">
        <f t="shared" si="10"/>
        <v>0</v>
      </c>
      <c r="C239" s="114">
        <f t="shared" si="11"/>
        <v>0</v>
      </c>
      <c r="D239" s="114">
        <f t="shared" si="12"/>
        <v>0</v>
      </c>
      <c r="E239" s="114">
        <f t="shared" si="13"/>
        <v>0</v>
      </c>
      <c r="F239" s="113"/>
    </row>
    <row r="240" spans="1:9">
      <c r="A240" s="126">
        <v>185</v>
      </c>
      <c r="B240" s="114">
        <f t="shared" si="10"/>
        <v>0</v>
      </c>
      <c r="C240" s="114">
        <f t="shared" si="11"/>
        <v>0</v>
      </c>
      <c r="D240" s="114">
        <f t="shared" si="12"/>
        <v>0</v>
      </c>
      <c r="E240" s="114">
        <f t="shared" si="13"/>
        <v>0</v>
      </c>
      <c r="F240" s="113"/>
    </row>
    <row r="241" spans="1:9">
      <c r="A241" s="126">
        <v>186</v>
      </c>
      <c r="B241" s="114">
        <f t="shared" si="10"/>
        <v>0</v>
      </c>
      <c r="C241" s="114">
        <f t="shared" si="11"/>
        <v>0</v>
      </c>
      <c r="D241" s="114">
        <f t="shared" si="12"/>
        <v>0</v>
      </c>
      <c r="E241" s="114">
        <f t="shared" si="13"/>
        <v>0</v>
      </c>
      <c r="F241" s="113"/>
      <c r="G241" s="107"/>
      <c r="H241" s="117"/>
    </row>
    <row r="242" spans="1:9">
      <c r="A242" s="126">
        <v>187</v>
      </c>
      <c r="B242" s="114">
        <f t="shared" si="10"/>
        <v>0</v>
      </c>
      <c r="C242" s="114">
        <f t="shared" si="11"/>
        <v>0</v>
      </c>
      <c r="D242" s="114">
        <f t="shared" si="12"/>
        <v>0</v>
      </c>
      <c r="E242" s="114">
        <f t="shared" si="13"/>
        <v>0</v>
      </c>
      <c r="F242" s="113"/>
    </row>
    <row r="243" spans="1:9">
      <c r="A243" s="126">
        <v>188</v>
      </c>
      <c r="B243" s="114">
        <f t="shared" si="10"/>
        <v>0</v>
      </c>
      <c r="C243" s="114">
        <f t="shared" si="11"/>
        <v>0</v>
      </c>
      <c r="D243" s="114">
        <f t="shared" si="12"/>
        <v>0</v>
      </c>
      <c r="E243" s="114">
        <f t="shared" si="13"/>
        <v>0</v>
      </c>
      <c r="F243" s="113"/>
    </row>
    <row r="244" spans="1:9">
      <c r="A244" s="126">
        <v>189</v>
      </c>
      <c r="B244" s="114">
        <f t="shared" si="10"/>
        <v>0</v>
      </c>
      <c r="C244" s="114">
        <f t="shared" si="11"/>
        <v>0</v>
      </c>
      <c r="D244" s="114">
        <f t="shared" si="12"/>
        <v>0</v>
      </c>
      <c r="E244" s="114">
        <f t="shared" si="13"/>
        <v>0</v>
      </c>
      <c r="F244" s="113"/>
    </row>
    <row r="245" spans="1:9">
      <c r="A245" s="126">
        <v>190</v>
      </c>
      <c r="B245" s="114">
        <f t="shared" si="10"/>
        <v>0</v>
      </c>
      <c r="C245" s="114">
        <f t="shared" si="11"/>
        <v>0</v>
      </c>
      <c r="D245" s="114">
        <f t="shared" si="12"/>
        <v>0</v>
      </c>
      <c r="E245" s="114">
        <f t="shared" si="13"/>
        <v>0</v>
      </c>
      <c r="F245" s="113"/>
    </row>
    <row r="246" spans="1:9">
      <c r="A246" s="126">
        <v>191</v>
      </c>
      <c r="B246" s="114">
        <f t="shared" si="10"/>
        <v>0</v>
      </c>
      <c r="C246" s="114">
        <f t="shared" si="11"/>
        <v>0</v>
      </c>
      <c r="D246" s="114">
        <f t="shared" si="12"/>
        <v>0</v>
      </c>
      <c r="E246" s="114">
        <f t="shared" si="13"/>
        <v>0</v>
      </c>
      <c r="F246" s="113"/>
    </row>
    <row r="247" spans="1:9">
      <c r="A247" s="126">
        <v>192</v>
      </c>
      <c r="B247" s="114">
        <f t="shared" si="10"/>
        <v>0</v>
      </c>
      <c r="C247" s="114">
        <f t="shared" si="11"/>
        <v>0</v>
      </c>
      <c r="D247" s="114">
        <f t="shared" si="12"/>
        <v>0</v>
      </c>
      <c r="E247" s="114">
        <f t="shared" si="13"/>
        <v>0</v>
      </c>
      <c r="F247" s="113">
        <v>16</v>
      </c>
      <c r="G247" s="107"/>
      <c r="H247" s="117"/>
      <c r="I247" s="107"/>
    </row>
    <row r="248" spans="1:9">
      <c r="A248" s="126">
        <v>193</v>
      </c>
      <c r="B248" s="114">
        <f t="shared" ref="B248:B311" si="14">IF(A248&gt;12*$D$14,0,$D$20)</f>
        <v>0</v>
      </c>
      <c r="C248" s="114">
        <f t="shared" ref="C248:C311" si="15">IF(A248&gt;12*$D$14,0,E247*$D$10/12)</f>
        <v>0</v>
      </c>
      <c r="D248" s="114">
        <f t="shared" ref="D248:D311" si="16">IF(A248&gt;12*$D$14,0,B248-C248)</f>
        <v>0</v>
      </c>
      <c r="E248" s="114">
        <f t="shared" ref="E248:E311" si="17">IF(A248&gt;12*$D$14,0,E247-D248)</f>
        <v>0</v>
      </c>
      <c r="F248" s="113"/>
      <c r="I248" s="107"/>
    </row>
    <row r="249" spans="1:9">
      <c r="A249" s="126">
        <v>194</v>
      </c>
      <c r="B249" s="114">
        <f t="shared" si="14"/>
        <v>0</v>
      </c>
      <c r="C249" s="114">
        <f t="shared" si="15"/>
        <v>0</v>
      </c>
      <c r="D249" s="114">
        <f t="shared" si="16"/>
        <v>0</v>
      </c>
      <c r="E249" s="114">
        <f t="shared" si="17"/>
        <v>0</v>
      </c>
      <c r="F249" s="113"/>
    </row>
    <row r="250" spans="1:9">
      <c r="A250" s="126">
        <v>195</v>
      </c>
      <c r="B250" s="114">
        <f t="shared" si="14"/>
        <v>0</v>
      </c>
      <c r="C250" s="114">
        <f t="shared" si="15"/>
        <v>0</v>
      </c>
      <c r="D250" s="114">
        <f t="shared" si="16"/>
        <v>0</v>
      </c>
      <c r="E250" s="114">
        <f t="shared" si="17"/>
        <v>0</v>
      </c>
      <c r="F250" s="113"/>
    </row>
    <row r="251" spans="1:9">
      <c r="A251" s="126">
        <v>196</v>
      </c>
      <c r="B251" s="114">
        <f t="shared" si="14"/>
        <v>0</v>
      </c>
      <c r="C251" s="114">
        <f t="shared" si="15"/>
        <v>0</v>
      </c>
      <c r="D251" s="114">
        <f t="shared" si="16"/>
        <v>0</v>
      </c>
      <c r="E251" s="114">
        <f t="shared" si="17"/>
        <v>0</v>
      </c>
      <c r="F251" s="113"/>
    </row>
    <row r="252" spans="1:9">
      <c r="A252" s="126">
        <v>197</v>
      </c>
      <c r="B252" s="114">
        <f t="shared" si="14"/>
        <v>0</v>
      </c>
      <c r="C252" s="114">
        <f t="shared" si="15"/>
        <v>0</v>
      </c>
      <c r="D252" s="114">
        <f t="shared" si="16"/>
        <v>0</v>
      </c>
      <c r="E252" s="114">
        <f t="shared" si="17"/>
        <v>0</v>
      </c>
      <c r="F252" s="113"/>
    </row>
    <row r="253" spans="1:9">
      <c r="A253" s="126">
        <v>198</v>
      </c>
      <c r="B253" s="114">
        <f t="shared" si="14"/>
        <v>0</v>
      </c>
      <c r="C253" s="114">
        <f t="shared" si="15"/>
        <v>0</v>
      </c>
      <c r="D253" s="114">
        <f t="shared" si="16"/>
        <v>0</v>
      </c>
      <c r="E253" s="114">
        <f t="shared" si="17"/>
        <v>0</v>
      </c>
      <c r="F253" s="113"/>
      <c r="G253" s="107"/>
      <c r="H253" s="117"/>
    </row>
    <row r="254" spans="1:9">
      <c r="A254" s="126">
        <v>199</v>
      </c>
      <c r="B254" s="114">
        <f t="shared" si="14"/>
        <v>0</v>
      </c>
      <c r="C254" s="114">
        <f t="shared" si="15"/>
        <v>0</v>
      </c>
      <c r="D254" s="114">
        <f t="shared" si="16"/>
        <v>0</v>
      </c>
      <c r="E254" s="114">
        <f t="shared" si="17"/>
        <v>0</v>
      </c>
      <c r="F254" s="113"/>
    </row>
    <row r="255" spans="1:9">
      <c r="A255" s="126">
        <v>200</v>
      </c>
      <c r="B255" s="114">
        <f t="shared" si="14"/>
        <v>0</v>
      </c>
      <c r="C255" s="114">
        <f t="shared" si="15"/>
        <v>0</v>
      </c>
      <c r="D255" s="114">
        <f t="shared" si="16"/>
        <v>0</v>
      </c>
      <c r="E255" s="114">
        <f t="shared" si="17"/>
        <v>0</v>
      </c>
      <c r="F255" s="113"/>
    </row>
    <row r="256" spans="1:9">
      <c r="A256" s="126">
        <v>201</v>
      </c>
      <c r="B256" s="114">
        <f t="shared" si="14"/>
        <v>0</v>
      </c>
      <c r="C256" s="114">
        <f t="shared" si="15"/>
        <v>0</v>
      </c>
      <c r="D256" s="114">
        <f t="shared" si="16"/>
        <v>0</v>
      </c>
      <c r="E256" s="114">
        <f t="shared" si="17"/>
        <v>0</v>
      </c>
      <c r="F256" s="113"/>
    </row>
    <row r="257" spans="1:9">
      <c r="A257" s="126">
        <v>202</v>
      </c>
      <c r="B257" s="114">
        <f t="shared" si="14"/>
        <v>0</v>
      </c>
      <c r="C257" s="114">
        <f t="shared" si="15"/>
        <v>0</v>
      </c>
      <c r="D257" s="114">
        <f t="shared" si="16"/>
        <v>0</v>
      </c>
      <c r="E257" s="114">
        <f t="shared" si="17"/>
        <v>0</v>
      </c>
      <c r="F257" s="113"/>
    </row>
    <row r="258" spans="1:9">
      <c r="A258" s="126">
        <v>203</v>
      </c>
      <c r="B258" s="114">
        <f t="shared" si="14"/>
        <v>0</v>
      </c>
      <c r="C258" s="114">
        <f t="shared" si="15"/>
        <v>0</v>
      </c>
      <c r="D258" s="114">
        <f t="shared" si="16"/>
        <v>0</v>
      </c>
      <c r="E258" s="114">
        <f t="shared" si="17"/>
        <v>0</v>
      </c>
      <c r="F258" s="113"/>
    </row>
    <row r="259" spans="1:9">
      <c r="A259" s="126">
        <v>204</v>
      </c>
      <c r="B259" s="114">
        <f t="shared" si="14"/>
        <v>0</v>
      </c>
      <c r="C259" s="114">
        <f t="shared" si="15"/>
        <v>0</v>
      </c>
      <c r="D259" s="114">
        <f t="shared" si="16"/>
        <v>0</v>
      </c>
      <c r="E259" s="114">
        <f t="shared" si="17"/>
        <v>0</v>
      </c>
      <c r="F259" s="113">
        <v>17</v>
      </c>
      <c r="G259" s="107"/>
      <c r="H259" s="117"/>
      <c r="I259" s="107"/>
    </row>
    <row r="260" spans="1:9">
      <c r="A260" s="126">
        <v>205</v>
      </c>
      <c r="B260" s="114">
        <f t="shared" si="14"/>
        <v>0</v>
      </c>
      <c r="C260" s="114">
        <f t="shared" si="15"/>
        <v>0</v>
      </c>
      <c r="D260" s="114">
        <f t="shared" si="16"/>
        <v>0</v>
      </c>
      <c r="E260" s="114">
        <f t="shared" si="17"/>
        <v>0</v>
      </c>
      <c r="F260" s="113"/>
      <c r="I260" s="107"/>
    </row>
    <row r="261" spans="1:9">
      <c r="A261" s="126">
        <v>206</v>
      </c>
      <c r="B261" s="114">
        <f t="shared" si="14"/>
        <v>0</v>
      </c>
      <c r="C261" s="114">
        <f t="shared" si="15"/>
        <v>0</v>
      </c>
      <c r="D261" s="114">
        <f t="shared" si="16"/>
        <v>0</v>
      </c>
      <c r="E261" s="114">
        <f t="shared" si="17"/>
        <v>0</v>
      </c>
      <c r="F261" s="113"/>
    </row>
    <row r="262" spans="1:9">
      <c r="A262" s="126">
        <v>207</v>
      </c>
      <c r="B262" s="114">
        <f t="shared" si="14"/>
        <v>0</v>
      </c>
      <c r="C262" s="114">
        <f t="shared" si="15"/>
        <v>0</v>
      </c>
      <c r="D262" s="114">
        <f t="shared" si="16"/>
        <v>0</v>
      </c>
      <c r="E262" s="114">
        <f t="shared" si="17"/>
        <v>0</v>
      </c>
      <c r="F262" s="113"/>
    </row>
    <row r="263" spans="1:9">
      <c r="A263" s="126">
        <v>208</v>
      </c>
      <c r="B263" s="114">
        <f t="shared" si="14"/>
        <v>0</v>
      </c>
      <c r="C263" s="114">
        <f t="shared" si="15"/>
        <v>0</v>
      </c>
      <c r="D263" s="114">
        <f t="shared" si="16"/>
        <v>0</v>
      </c>
      <c r="E263" s="114">
        <f t="shared" si="17"/>
        <v>0</v>
      </c>
      <c r="F263" s="113"/>
    </row>
    <row r="264" spans="1:9">
      <c r="A264" s="126">
        <v>209</v>
      </c>
      <c r="B264" s="114">
        <f t="shared" si="14"/>
        <v>0</v>
      </c>
      <c r="C264" s="114">
        <f t="shared" si="15"/>
        <v>0</v>
      </c>
      <c r="D264" s="114">
        <f t="shared" si="16"/>
        <v>0</v>
      </c>
      <c r="E264" s="114">
        <f t="shared" si="17"/>
        <v>0</v>
      </c>
      <c r="F264" s="113"/>
    </row>
    <row r="265" spans="1:9">
      <c r="A265" s="126">
        <v>210</v>
      </c>
      <c r="B265" s="114">
        <f t="shared" si="14"/>
        <v>0</v>
      </c>
      <c r="C265" s="114">
        <f t="shared" si="15"/>
        <v>0</v>
      </c>
      <c r="D265" s="114">
        <f t="shared" si="16"/>
        <v>0</v>
      </c>
      <c r="E265" s="114">
        <f t="shared" si="17"/>
        <v>0</v>
      </c>
      <c r="F265" s="113"/>
      <c r="G265" s="107"/>
      <c r="H265" s="117"/>
    </row>
    <row r="266" spans="1:9">
      <c r="A266" s="126">
        <v>211</v>
      </c>
      <c r="B266" s="114">
        <f t="shared" si="14"/>
        <v>0</v>
      </c>
      <c r="C266" s="114">
        <f t="shared" si="15"/>
        <v>0</v>
      </c>
      <c r="D266" s="114">
        <f t="shared" si="16"/>
        <v>0</v>
      </c>
      <c r="E266" s="114">
        <f t="shared" si="17"/>
        <v>0</v>
      </c>
      <c r="F266" s="113"/>
    </row>
    <row r="267" spans="1:9">
      <c r="A267" s="126">
        <v>212</v>
      </c>
      <c r="B267" s="114">
        <f t="shared" si="14"/>
        <v>0</v>
      </c>
      <c r="C267" s="114">
        <f t="shared" si="15"/>
        <v>0</v>
      </c>
      <c r="D267" s="114">
        <f t="shared" si="16"/>
        <v>0</v>
      </c>
      <c r="E267" s="114">
        <f t="shared" si="17"/>
        <v>0</v>
      </c>
      <c r="F267" s="113"/>
    </row>
    <row r="268" spans="1:9">
      <c r="A268" s="126">
        <v>213</v>
      </c>
      <c r="B268" s="114">
        <f t="shared" si="14"/>
        <v>0</v>
      </c>
      <c r="C268" s="114">
        <f t="shared" si="15"/>
        <v>0</v>
      </c>
      <c r="D268" s="114">
        <f t="shared" si="16"/>
        <v>0</v>
      </c>
      <c r="E268" s="114">
        <f t="shared" si="17"/>
        <v>0</v>
      </c>
      <c r="F268" s="113"/>
    </row>
    <row r="269" spans="1:9">
      <c r="A269" s="126">
        <v>214</v>
      </c>
      <c r="B269" s="114">
        <f t="shared" si="14"/>
        <v>0</v>
      </c>
      <c r="C269" s="114">
        <f t="shared" si="15"/>
        <v>0</v>
      </c>
      <c r="D269" s="114">
        <f t="shared" si="16"/>
        <v>0</v>
      </c>
      <c r="E269" s="114">
        <f t="shared" si="17"/>
        <v>0</v>
      </c>
      <c r="F269" s="113"/>
    </row>
    <row r="270" spans="1:9">
      <c r="A270" s="126">
        <v>215</v>
      </c>
      <c r="B270" s="114">
        <f t="shared" si="14"/>
        <v>0</v>
      </c>
      <c r="C270" s="114">
        <f t="shared" si="15"/>
        <v>0</v>
      </c>
      <c r="D270" s="114">
        <f t="shared" si="16"/>
        <v>0</v>
      </c>
      <c r="E270" s="114">
        <f t="shared" si="17"/>
        <v>0</v>
      </c>
      <c r="F270" s="113"/>
    </row>
    <row r="271" spans="1:9">
      <c r="A271" s="126">
        <v>216</v>
      </c>
      <c r="B271" s="114">
        <f t="shared" si="14"/>
        <v>0</v>
      </c>
      <c r="C271" s="114">
        <f t="shared" si="15"/>
        <v>0</v>
      </c>
      <c r="D271" s="114">
        <f t="shared" si="16"/>
        <v>0</v>
      </c>
      <c r="E271" s="114">
        <f t="shared" si="17"/>
        <v>0</v>
      </c>
      <c r="F271" s="113">
        <v>18</v>
      </c>
      <c r="G271" s="107"/>
      <c r="H271" s="117"/>
      <c r="I271" s="107"/>
    </row>
    <row r="272" spans="1:9">
      <c r="A272" s="126">
        <v>217</v>
      </c>
      <c r="B272" s="114">
        <f t="shared" si="14"/>
        <v>0</v>
      </c>
      <c r="C272" s="114">
        <f t="shared" si="15"/>
        <v>0</v>
      </c>
      <c r="D272" s="114">
        <f t="shared" si="16"/>
        <v>0</v>
      </c>
      <c r="E272" s="114">
        <f t="shared" si="17"/>
        <v>0</v>
      </c>
      <c r="F272" s="113"/>
      <c r="I272" s="107"/>
    </row>
    <row r="273" spans="1:9">
      <c r="A273" s="126">
        <v>218</v>
      </c>
      <c r="B273" s="114">
        <f t="shared" si="14"/>
        <v>0</v>
      </c>
      <c r="C273" s="114">
        <f t="shared" si="15"/>
        <v>0</v>
      </c>
      <c r="D273" s="114">
        <f t="shared" si="16"/>
        <v>0</v>
      </c>
      <c r="E273" s="114">
        <f t="shared" si="17"/>
        <v>0</v>
      </c>
      <c r="F273" s="113"/>
    </row>
    <row r="274" spans="1:9">
      <c r="A274" s="126">
        <v>219</v>
      </c>
      <c r="B274" s="114">
        <f t="shared" si="14"/>
        <v>0</v>
      </c>
      <c r="C274" s="114">
        <f t="shared" si="15"/>
        <v>0</v>
      </c>
      <c r="D274" s="114">
        <f t="shared" si="16"/>
        <v>0</v>
      </c>
      <c r="E274" s="114">
        <f t="shared" si="17"/>
        <v>0</v>
      </c>
      <c r="F274" s="113"/>
    </row>
    <row r="275" spans="1:9">
      <c r="A275" s="126">
        <v>220</v>
      </c>
      <c r="B275" s="114">
        <f t="shared" si="14"/>
        <v>0</v>
      </c>
      <c r="C275" s="114">
        <f t="shared" si="15"/>
        <v>0</v>
      </c>
      <c r="D275" s="114">
        <f t="shared" si="16"/>
        <v>0</v>
      </c>
      <c r="E275" s="114">
        <f t="shared" si="17"/>
        <v>0</v>
      </c>
      <c r="F275" s="113"/>
    </row>
    <row r="276" spans="1:9">
      <c r="A276" s="126">
        <v>221</v>
      </c>
      <c r="B276" s="114">
        <f t="shared" si="14"/>
        <v>0</v>
      </c>
      <c r="C276" s="114">
        <f t="shared" si="15"/>
        <v>0</v>
      </c>
      <c r="D276" s="114">
        <f t="shared" si="16"/>
        <v>0</v>
      </c>
      <c r="E276" s="114">
        <f t="shared" si="17"/>
        <v>0</v>
      </c>
      <c r="F276" s="113"/>
    </row>
    <row r="277" spans="1:9">
      <c r="A277" s="126">
        <v>222</v>
      </c>
      <c r="B277" s="114">
        <f t="shared" si="14"/>
        <v>0</v>
      </c>
      <c r="C277" s="114">
        <f t="shared" si="15"/>
        <v>0</v>
      </c>
      <c r="D277" s="114">
        <f t="shared" si="16"/>
        <v>0</v>
      </c>
      <c r="E277" s="114">
        <f t="shared" si="17"/>
        <v>0</v>
      </c>
      <c r="F277" s="113"/>
      <c r="G277" s="107"/>
      <c r="H277" s="117"/>
    </row>
    <row r="278" spans="1:9">
      <c r="A278" s="126">
        <v>223</v>
      </c>
      <c r="B278" s="114">
        <f t="shared" si="14"/>
        <v>0</v>
      </c>
      <c r="C278" s="114">
        <f t="shared" si="15"/>
        <v>0</v>
      </c>
      <c r="D278" s="114">
        <f t="shared" si="16"/>
        <v>0</v>
      </c>
      <c r="E278" s="114">
        <f t="shared" si="17"/>
        <v>0</v>
      </c>
      <c r="F278" s="113"/>
    </row>
    <row r="279" spans="1:9">
      <c r="A279" s="126">
        <v>224</v>
      </c>
      <c r="B279" s="114">
        <f t="shared" si="14"/>
        <v>0</v>
      </c>
      <c r="C279" s="114">
        <f t="shared" si="15"/>
        <v>0</v>
      </c>
      <c r="D279" s="114">
        <f t="shared" si="16"/>
        <v>0</v>
      </c>
      <c r="E279" s="114">
        <f t="shared" si="17"/>
        <v>0</v>
      </c>
      <c r="F279" s="113"/>
    </row>
    <row r="280" spans="1:9">
      <c r="A280" s="126">
        <v>225</v>
      </c>
      <c r="B280" s="114">
        <f t="shared" si="14"/>
        <v>0</v>
      </c>
      <c r="C280" s="114">
        <f t="shared" si="15"/>
        <v>0</v>
      </c>
      <c r="D280" s="114">
        <f t="shared" si="16"/>
        <v>0</v>
      </c>
      <c r="E280" s="114">
        <f t="shared" si="17"/>
        <v>0</v>
      </c>
      <c r="F280" s="113"/>
    </row>
    <row r="281" spans="1:9">
      <c r="A281" s="126">
        <v>226</v>
      </c>
      <c r="B281" s="114">
        <f t="shared" si="14"/>
        <v>0</v>
      </c>
      <c r="C281" s="114">
        <f t="shared" si="15"/>
        <v>0</v>
      </c>
      <c r="D281" s="114">
        <f t="shared" si="16"/>
        <v>0</v>
      </c>
      <c r="E281" s="114">
        <f t="shared" si="17"/>
        <v>0</v>
      </c>
      <c r="F281" s="113"/>
    </row>
    <row r="282" spans="1:9">
      <c r="A282" s="126">
        <v>227</v>
      </c>
      <c r="B282" s="114">
        <f t="shared" si="14"/>
        <v>0</v>
      </c>
      <c r="C282" s="114">
        <f t="shared" si="15"/>
        <v>0</v>
      </c>
      <c r="D282" s="114">
        <f t="shared" si="16"/>
        <v>0</v>
      </c>
      <c r="E282" s="114">
        <f t="shared" si="17"/>
        <v>0</v>
      </c>
      <c r="F282" s="113"/>
    </row>
    <row r="283" spans="1:9">
      <c r="A283" s="126">
        <v>228</v>
      </c>
      <c r="B283" s="114">
        <f t="shared" si="14"/>
        <v>0</v>
      </c>
      <c r="C283" s="114">
        <f t="shared" si="15"/>
        <v>0</v>
      </c>
      <c r="D283" s="114">
        <f t="shared" si="16"/>
        <v>0</v>
      </c>
      <c r="E283" s="114">
        <f t="shared" si="17"/>
        <v>0</v>
      </c>
      <c r="F283" s="113">
        <v>19</v>
      </c>
      <c r="G283" s="107"/>
      <c r="H283" s="117"/>
      <c r="I283" s="107"/>
    </row>
    <row r="284" spans="1:9">
      <c r="A284" s="126">
        <v>229</v>
      </c>
      <c r="B284" s="114">
        <f t="shared" si="14"/>
        <v>0</v>
      </c>
      <c r="C284" s="114">
        <f t="shared" si="15"/>
        <v>0</v>
      </c>
      <c r="D284" s="114">
        <f t="shared" si="16"/>
        <v>0</v>
      </c>
      <c r="E284" s="114">
        <f t="shared" si="17"/>
        <v>0</v>
      </c>
      <c r="F284" s="113"/>
      <c r="I284" s="107"/>
    </row>
    <row r="285" spans="1:9">
      <c r="A285" s="126">
        <v>230</v>
      </c>
      <c r="B285" s="114">
        <f t="shared" si="14"/>
        <v>0</v>
      </c>
      <c r="C285" s="114">
        <f t="shared" si="15"/>
        <v>0</v>
      </c>
      <c r="D285" s="114">
        <f t="shared" si="16"/>
        <v>0</v>
      </c>
      <c r="E285" s="114">
        <f t="shared" si="17"/>
        <v>0</v>
      </c>
      <c r="F285" s="113"/>
    </row>
    <row r="286" spans="1:9">
      <c r="A286" s="126">
        <v>231</v>
      </c>
      <c r="B286" s="114">
        <f t="shared" si="14"/>
        <v>0</v>
      </c>
      <c r="C286" s="114">
        <f t="shared" si="15"/>
        <v>0</v>
      </c>
      <c r="D286" s="114">
        <f t="shared" si="16"/>
        <v>0</v>
      </c>
      <c r="E286" s="114">
        <f t="shared" si="17"/>
        <v>0</v>
      </c>
      <c r="F286" s="113"/>
    </row>
    <row r="287" spans="1:9">
      <c r="A287" s="126">
        <v>232</v>
      </c>
      <c r="B287" s="114">
        <f t="shared" si="14"/>
        <v>0</v>
      </c>
      <c r="C287" s="114">
        <f t="shared" si="15"/>
        <v>0</v>
      </c>
      <c r="D287" s="114">
        <f t="shared" si="16"/>
        <v>0</v>
      </c>
      <c r="E287" s="114">
        <f t="shared" si="17"/>
        <v>0</v>
      </c>
      <c r="F287" s="113"/>
    </row>
    <row r="288" spans="1:9">
      <c r="A288" s="126">
        <v>233</v>
      </c>
      <c r="B288" s="114">
        <f t="shared" si="14"/>
        <v>0</v>
      </c>
      <c r="C288" s="114">
        <f t="shared" si="15"/>
        <v>0</v>
      </c>
      <c r="D288" s="114">
        <f t="shared" si="16"/>
        <v>0</v>
      </c>
      <c r="E288" s="114">
        <f t="shared" si="17"/>
        <v>0</v>
      </c>
      <c r="F288" s="113"/>
    </row>
    <row r="289" spans="1:9">
      <c r="A289" s="126">
        <v>234</v>
      </c>
      <c r="B289" s="114">
        <f t="shared" si="14"/>
        <v>0</v>
      </c>
      <c r="C289" s="114">
        <f t="shared" si="15"/>
        <v>0</v>
      </c>
      <c r="D289" s="114">
        <f t="shared" si="16"/>
        <v>0</v>
      </c>
      <c r="E289" s="114">
        <f t="shared" si="17"/>
        <v>0</v>
      </c>
      <c r="F289" s="113"/>
      <c r="G289" s="107"/>
      <c r="H289" s="117"/>
    </row>
    <row r="290" spans="1:9">
      <c r="A290" s="126">
        <v>235</v>
      </c>
      <c r="B290" s="114">
        <f t="shared" si="14"/>
        <v>0</v>
      </c>
      <c r="C290" s="114">
        <f t="shared" si="15"/>
        <v>0</v>
      </c>
      <c r="D290" s="114">
        <f t="shared" si="16"/>
        <v>0</v>
      </c>
      <c r="E290" s="114">
        <f t="shared" si="17"/>
        <v>0</v>
      </c>
      <c r="F290" s="113"/>
    </row>
    <row r="291" spans="1:9">
      <c r="A291" s="126">
        <v>236</v>
      </c>
      <c r="B291" s="114">
        <f t="shared" si="14"/>
        <v>0</v>
      </c>
      <c r="C291" s="114">
        <f t="shared" si="15"/>
        <v>0</v>
      </c>
      <c r="D291" s="114">
        <f t="shared" si="16"/>
        <v>0</v>
      </c>
      <c r="E291" s="114">
        <f t="shared" si="17"/>
        <v>0</v>
      </c>
      <c r="F291" s="113"/>
    </row>
    <row r="292" spans="1:9">
      <c r="A292" s="126">
        <v>237</v>
      </c>
      <c r="B292" s="114">
        <f t="shared" si="14"/>
        <v>0</v>
      </c>
      <c r="C292" s="114">
        <f t="shared" si="15"/>
        <v>0</v>
      </c>
      <c r="D292" s="114">
        <f t="shared" si="16"/>
        <v>0</v>
      </c>
      <c r="E292" s="114">
        <f t="shared" si="17"/>
        <v>0</v>
      </c>
      <c r="F292" s="113"/>
    </row>
    <row r="293" spans="1:9">
      <c r="A293" s="126">
        <v>238</v>
      </c>
      <c r="B293" s="114">
        <f t="shared" si="14"/>
        <v>0</v>
      </c>
      <c r="C293" s="114">
        <f t="shared" si="15"/>
        <v>0</v>
      </c>
      <c r="D293" s="114">
        <f t="shared" si="16"/>
        <v>0</v>
      </c>
      <c r="E293" s="114">
        <f t="shared" si="17"/>
        <v>0</v>
      </c>
      <c r="F293" s="113"/>
    </row>
    <row r="294" spans="1:9">
      <c r="A294" s="126">
        <v>239</v>
      </c>
      <c r="B294" s="114">
        <f t="shared" si="14"/>
        <v>0</v>
      </c>
      <c r="C294" s="114">
        <f t="shared" si="15"/>
        <v>0</v>
      </c>
      <c r="D294" s="114">
        <f t="shared" si="16"/>
        <v>0</v>
      </c>
      <c r="E294" s="114">
        <f t="shared" si="17"/>
        <v>0</v>
      </c>
      <c r="F294" s="113"/>
    </row>
    <row r="295" spans="1:9">
      <c r="A295" s="126">
        <v>240</v>
      </c>
      <c r="B295" s="114">
        <f t="shared" si="14"/>
        <v>0</v>
      </c>
      <c r="C295" s="114">
        <f t="shared" si="15"/>
        <v>0</v>
      </c>
      <c r="D295" s="114">
        <f t="shared" si="16"/>
        <v>0</v>
      </c>
      <c r="E295" s="114">
        <f t="shared" si="17"/>
        <v>0</v>
      </c>
      <c r="F295" s="113">
        <v>20</v>
      </c>
      <c r="G295" s="107"/>
      <c r="H295" s="117"/>
      <c r="I295" s="107"/>
    </row>
    <row r="296" spans="1:9">
      <c r="A296" s="126">
        <v>241</v>
      </c>
      <c r="B296" s="114">
        <f t="shared" si="14"/>
        <v>0</v>
      </c>
      <c r="C296" s="114">
        <f t="shared" si="15"/>
        <v>0</v>
      </c>
      <c r="D296" s="114">
        <f t="shared" si="16"/>
        <v>0</v>
      </c>
      <c r="E296" s="114">
        <f t="shared" si="17"/>
        <v>0</v>
      </c>
      <c r="F296" s="113"/>
      <c r="I296" s="107"/>
    </row>
    <row r="297" spans="1:9">
      <c r="A297" s="126">
        <v>242</v>
      </c>
      <c r="B297" s="114">
        <f t="shared" si="14"/>
        <v>0</v>
      </c>
      <c r="C297" s="114">
        <f t="shared" si="15"/>
        <v>0</v>
      </c>
      <c r="D297" s="114">
        <f t="shared" si="16"/>
        <v>0</v>
      </c>
      <c r="E297" s="114">
        <f t="shared" si="17"/>
        <v>0</v>
      </c>
      <c r="F297" s="113"/>
    </row>
    <row r="298" spans="1:9">
      <c r="A298" s="126">
        <v>243</v>
      </c>
      <c r="B298" s="114">
        <f t="shared" si="14"/>
        <v>0</v>
      </c>
      <c r="C298" s="114">
        <f t="shared" si="15"/>
        <v>0</v>
      </c>
      <c r="D298" s="114">
        <f t="shared" si="16"/>
        <v>0</v>
      </c>
      <c r="E298" s="114">
        <f t="shared" si="17"/>
        <v>0</v>
      </c>
      <c r="F298" s="113"/>
    </row>
    <row r="299" spans="1:9">
      <c r="A299" s="126">
        <v>244</v>
      </c>
      <c r="B299" s="114">
        <f t="shared" si="14"/>
        <v>0</v>
      </c>
      <c r="C299" s="114">
        <f t="shared" si="15"/>
        <v>0</v>
      </c>
      <c r="D299" s="114">
        <f t="shared" si="16"/>
        <v>0</v>
      </c>
      <c r="E299" s="114">
        <f t="shared" si="17"/>
        <v>0</v>
      </c>
      <c r="F299" s="113"/>
    </row>
    <row r="300" spans="1:9">
      <c r="A300" s="126">
        <v>245</v>
      </c>
      <c r="B300" s="114">
        <f t="shared" si="14"/>
        <v>0</v>
      </c>
      <c r="C300" s="114">
        <f t="shared" si="15"/>
        <v>0</v>
      </c>
      <c r="D300" s="114">
        <f t="shared" si="16"/>
        <v>0</v>
      </c>
      <c r="E300" s="114">
        <f t="shared" si="17"/>
        <v>0</v>
      </c>
      <c r="F300" s="113"/>
    </row>
    <row r="301" spans="1:9">
      <c r="A301" s="126">
        <v>246</v>
      </c>
      <c r="B301" s="114">
        <f t="shared" si="14"/>
        <v>0</v>
      </c>
      <c r="C301" s="114">
        <f t="shared" si="15"/>
        <v>0</v>
      </c>
      <c r="D301" s="114">
        <f t="shared" si="16"/>
        <v>0</v>
      </c>
      <c r="E301" s="114">
        <f t="shared" si="17"/>
        <v>0</v>
      </c>
      <c r="F301" s="113"/>
      <c r="G301" s="107"/>
      <c r="H301" s="117"/>
    </row>
    <row r="302" spans="1:9">
      <c r="A302" s="126">
        <v>247</v>
      </c>
      <c r="B302" s="114">
        <f t="shared" si="14"/>
        <v>0</v>
      </c>
      <c r="C302" s="114">
        <f t="shared" si="15"/>
        <v>0</v>
      </c>
      <c r="D302" s="114">
        <f t="shared" si="16"/>
        <v>0</v>
      </c>
      <c r="E302" s="114">
        <f t="shared" si="17"/>
        <v>0</v>
      </c>
      <c r="F302" s="113"/>
    </row>
    <row r="303" spans="1:9">
      <c r="A303" s="126">
        <v>248</v>
      </c>
      <c r="B303" s="114">
        <f t="shared" si="14"/>
        <v>0</v>
      </c>
      <c r="C303" s="114">
        <f t="shared" si="15"/>
        <v>0</v>
      </c>
      <c r="D303" s="114">
        <f t="shared" si="16"/>
        <v>0</v>
      </c>
      <c r="E303" s="114">
        <f t="shared" si="17"/>
        <v>0</v>
      </c>
      <c r="F303" s="113"/>
    </row>
    <row r="304" spans="1:9">
      <c r="A304" s="126">
        <v>249</v>
      </c>
      <c r="B304" s="114">
        <f t="shared" si="14"/>
        <v>0</v>
      </c>
      <c r="C304" s="114">
        <f t="shared" si="15"/>
        <v>0</v>
      </c>
      <c r="D304" s="114">
        <f t="shared" si="16"/>
        <v>0</v>
      </c>
      <c r="E304" s="114">
        <f t="shared" si="17"/>
        <v>0</v>
      </c>
      <c r="F304" s="113"/>
    </row>
    <row r="305" spans="1:9">
      <c r="A305" s="126">
        <v>250</v>
      </c>
      <c r="B305" s="114">
        <f t="shared" si="14"/>
        <v>0</v>
      </c>
      <c r="C305" s="114">
        <f t="shared" si="15"/>
        <v>0</v>
      </c>
      <c r="D305" s="114">
        <f t="shared" si="16"/>
        <v>0</v>
      </c>
      <c r="E305" s="114">
        <f t="shared" si="17"/>
        <v>0</v>
      </c>
      <c r="F305" s="113"/>
    </row>
    <row r="306" spans="1:9">
      <c r="A306" s="126">
        <v>251</v>
      </c>
      <c r="B306" s="114">
        <f t="shared" si="14"/>
        <v>0</v>
      </c>
      <c r="C306" s="114">
        <f t="shared" si="15"/>
        <v>0</v>
      </c>
      <c r="D306" s="114">
        <f t="shared" si="16"/>
        <v>0</v>
      </c>
      <c r="E306" s="114">
        <f t="shared" si="17"/>
        <v>0</v>
      </c>
      <c r="F306" s="113"/>
    </row>
    <row r="307" spans="1:9">
      <c r="A307" s="126">
        <v>252</v>
      </c>
      <c r="B307" s="114">
        <f t="shared" si="14"/>
        <v>0</v>
      </c>
      <c r="C307" s="114">
        <f t="shared" si="15"/>
        <v>0</v>
      </c>
      <c r="D307" s="114">
        <f t="shared" si="16"/>
        <v>0</v>
      </c>
      <c r="E307" s="114">
        <f t="shared" si="17"/>
        <v>0</v>
      </c>
      <c r="F307" s="113">
        <v>21</v>
      </c>
      <c r="G307" s="107"/>
      <c r="H307" s="117"/>
      <c r="I307" s="107"/>
    </row>
    <row r="308" spans="1:9">
      <c r="A308" s="126">
        <v>253</v>
      </c>
      <c r="B308" s="114">
        <f t="shared" si="14"/>
        <v>0</v>
      </c>
      <c r="C308" s="114">
        <f t="shared" si="15"/>
        <v>0</v>
      </c>
      <c r="D308" s="114">
        <f t="shared" si="16"/>
        <v>0</v>
      </c>
      <c r="E308" s="114">
        <f t="shared" si="17"/>
        <v>0</v>
      </c>
      <c r="F308" s="113"/>
      <c r="I308" s="107"/>
    </row>
    <row r="309" spans="1:9">
      <c r="A309" s="126">
        <v>254</v>
      </c>
      <c r="B309" s="114">
        <f t="shared" si="14"/>
        <v>0</v>
      </c>
      <c r="C309" s="114">
        <f t="shared" si="15"/>
        <v>0</v>
      </c>
      <c r="D309" s="114">
        <f t="shared" si="16"/>
        <v>0</v>
      </c>
      <c r="E309" s="114">
        <f t="shared" si="17"/>
        <v>0</v>
      </c>
      <c r="F309" s="113"/>
    </row>
    <row r="310" spans="1:9">
      <c r="A310" s="126">
        <v>255</v>
      </c>
      <c r="B310" s="114">
        <f t="shared" si="14"/>
        <v>0</v>
      </c>
      <c r="C310" s="114">
        <f t="shared" si="15"/>
        <v>0</v>
      </c>
      <c r="D310" s="114">
        <f t="shared" si="16"/>
        <v>0</v>
      </c>
      <c r="E310" s="114">
        <f t="shared" si="17"/>
        <v>0</v>
      </c>
      <c r="F310" s="113"/>
    </row>
    <row r="311" spans="1:9">
      <c r="A311" s="126">
        <v>256</v>
      </c>
      <c r="B311" s="114">
        <f t="shared" si="14"/>
        <v>0</v>
      </c>
      <c r="C311" s="114">
        <f t="shared" si="15"/>
        <v>0</v>
      </c>
      <c r="D311" s="114">
        <f t="shared" si="16"/>
        <v>0</v>
      </c>
      <c r="E311" s="114">
        <f t="shared" si="17"/>
        <v>0</v>
      </c>
      <c r="F311" s="113"/>
    </row>
    <row r="312" spans="1:9">
      <c r="A312" s="126">
        <v>257</v>
      </c>
      <c r="B312" s="114">
        <f t="shared" ref="B312:B375" si="18">IF(A312&gt;12*$D$14,0,$D$20)</f>
        <v>0</v>
      </c>
      <c r="C312" s="114">
        <f t="shared" ref="C312:C375" si="19">IF(A312&gt;12*$D$14,0,E311*$D$10/12)</f>
        <v>0</v>
      </c>
      <c r="D312" s="114">
        <f t="shared" ref="D312:D375" si="20">IF(A312&gt;12*$D$14,0,B312-C312)</f>
        <v>0</v>
      </c>
      <c r="E312" s="114">
        <f t="shared" ref="E312:E375" si="21">IF(A312&gt;12*$D$14,0,E311-D312)</f>
        <v>0</v>
      </c>
      <c r="F312" s="113"/>
    </row>
    <row r="313" spans="1:9">
      <c r="A313" s="126">
        <v>258</v>
      </c>
      <c r="B313" s="114">
        <f t="shared" si="18"/>
        <v>0</v>
      </c>
      <c r="C313" s="114">
        <f t="shared" si="19"/>
        <v>0</v>
      </c>
      <c r="D313" s="114">
        <f t="shared" si="20"/>
        <v>0</v>
      </c>
      <c r="E313" s="114">
        <f t="shared" si="21"/>
        <v>0</v>
      </c>
      <c r="F313" s="113"/>
      <c r="G313" s="107"/>
      <c r="H313" s="117"/>
    </row>
    <row r="314" spans="1:9">
      <c r="A314" s="126">
        <v>259</v>
      </c>
      <c r="B314" s="114">
        <f t="shared" si="18"/>
        <v>0</v>
      </c>
      <c r="C314" s="114">
        <f t="shared" si="19"/>
        <v>0</v>
      </c>
      <c r="D314" s="114">
        <f t="shared" si="20"/>
        <v>0</v>
      </c>
      <c r="E314" s="114">
        <f t="shared" si="21"/>
        <v>0</v>
      </c>
      <c r="F314" s="113"/>
    </row>
    <row r="315" spans="1:9">
      <c r="A315" s="126">
        <v>260</v>
      </c>
      <c r="B315" s="114">
        <f t="shared" si="18"/>
        <v>0</v>
      </c>
      <c r="C315" s="114">
        <f t="shared" si="19"/>
        <v>0</v>
      </c>
      <c r="D315" s="114">
        <f t="shared" si="20"/>
        <v>0</v>
      </c>
      <c r="E315" s="114">
        <f t="shared" si="21"/>
        <v>0</v>
      </c>
      <c r="F315" s="113"/>
    </row>
    <row r="316" spans="1:9">
      <c r="A316" s="126">
        <v>261</v>
      </c>
      <c r="B316" s="114">
        <f t="shared" si="18"/>
        <v>0</v>
      </c>
      <c r="C316" s="114">
        <f t="shared" si="19"/>
        <v>0</v>
      </c>
      <c r="D316" s="114">
        <f t="shared" si="20"/>
        <v>0</v>
      </c>
      <c r="E316" s="114">
        <f t="shared" si="21"/>
        <v>0</v>
      </c>
      <c r="F316" s="113"/>
    </row>
    <row r="317" spans="1:9">
      <c r="A317" s="126">
        <v>262</v>
      </c>
      <c r="B317" s="114">
        <f t="shared" si="18"/>
        <v>0</v>
      </c>
      <c r="C317" s="114">
        <f t="shared" si="19"/>
        <v>0</v>
      </c>
      <c r="D317" s="114">
        <f t="shared" si="20"/>
        <v>0</v>
      </c>
      <c r="E317" s="114">
        <f t="shared" si="21"/>
        <v>0</v>
      </c>
      <c r="F317" s="113"/>
    </row>
    <row r="318" spans="1:9">
      <c r="A318" s="126">
        <v>263</v>
      </c>
      <c r="B318" s="114">
        <f t="shared" si="18"/>
        <v>0</v>
      </c>
      <c r="C318" s="114">
        <f t="shared" si="19"/>
        <v>0</v>
      </c>
      <c r="D318" s="114">
        <f t="shared" si="20"/>
        <v>0</v>
      </c>
      <c r="E318" s="114">
        <f t="shared" si="21"/>
        <v>0</v>
      </c>
      <c r="F318" s="113"/>
    </row>
    <row r="319" spans="1:9">
      <c r="A319" s="126">
        <v>264</v>
      </c>
      <c r="B319" s="114">
        <f t="shared" si="18"/>
        <v>0</v>
      </c>
      <c r="C319" s="114">
        <f t="shared" si="19"/>
        <v>0</v>
      </c>
      <c r="D319" s="114">
        <f t="shared" si="20"/>
        <v>0</v>
      </c>
      <c r="E319" s="114">
        <f t="shared" si="21"/>
        <v>0</v>
      </c>
      <c r="F319" s="113">
        <v>22</v>
      </c>
      <c r="G319" s="107"/>
      <c r="H319" s="117"/>
      <c r="I319" s="107"/>
    </row>
    <row r="320" spans="1:9">
      <c r="A320" s="126">
        <v>265</v>
      </c>
      <c r="B320" s="114">
        <f t="shared" si="18"/>
        <v>0</v>
      </c>
      <c r="C320" s="114">
        <f t="shared" si="19"/>
        <v>0</v>
      </c>
      <c r="D320" s="114">
        <f t="shared" si="20"/>
        <v>0</v>
      </c>
      <c r="E320" s="114">
        <f t="shared" si="21"/>
        <v>0</v>
      </c>
      <c r="F320" s="113"/>
      <c r="I320" s="107"/>
    </row>
    <row r="321" spans="1:9">
      <c r="A321" s="126">
        <v>266</v>
      </c>
      <c r="B321" s="114">
        <f t="shared" si="18"/>
        <v>0</v>
      </c>
      <c r="C321" s="114">
        <f t="shared" si="19"/>
        <v>0</v>
      </c>
      <c r="D321" s="114">
        <f t="shared" si="20"/>
        <v>0</v>
      </c>
      <c r="E321" s="114">
        <f t="shared" si="21"/>
        <v>0</v>
      </c>
      <c r="F321" s="113"/>
    </row>
    <row r="322" spans="1:9">
      <c r="A322" s="126">
        <v>267</v>
      </c>
      <c r="B322" s="114">
        <f t="shared" si="18"/>
        <v>0</v>
      </c>
      <c r="C322" s="114">
        <f t="shared" si="19"/>
        <v>0</v>
      </c>
      <c r="D322" s="114">
        <f t="shared" si="20"/>
        <v>0</v>
      </c>
      <c r="E322" s="114">
        <f t="shared" si="21"/>
        <v>0</v>
      </c>
      <c r="F322" s="113"/>
    </row>
    <row r="323" spans="1:9">
      <c r="A323" s="126">
        <v>268</v>
      </c>
      <c r="B323" s="114">
        <f t="shared" si="18"/>
        <v>0</v>
      </c>
      <c r="C323" s="114">
        <f t="shared" si="19"/>
        <v>0</v>
      </c>
      <c r="D323" s="114">
        <f t="shared" si="20"/>
        <v>0</v>
      </c>
      <c r="E323" s="114">
        <f t="shared" si="21"/>
        <v>0</v>
      </c>
      <c r="F323" s="113"/>
    </row>
    <row r="324" spans="1:9">
      <c r="A324" s="126">
        <v>269</v>
      </c>
      <c r="B324" s="114">
        <f t="shared" si="18"/>
        <v>0</v>
      </c>
      <c r="C324" s="114">
        <f t="shared" si="19"/>
        <v>0</v>
      </c>
      <c r="D324" s="114">
        <f t="shared" si="20"/>
        <v>0</v>
      </c>
      <c r="E324" s="114">
        <f t="shared" si="21"/>
        <v>0</v>
      </c>
      <c r="F324" s="113"/>
    </row>
    <row r="325" spans="1:9">
      <c r="A325" s="126">
        <v>270</v>
      </c>
      <c r="B325" s="114">
        <f t="shared" si="18"/>
        <v>0</v>
      </c>
      <c r="C325" s="114">
        <f t="shared" si="19"/>
        <v>0</v>
      </c>
      <c r="D325" s="114">
        <f t="shared" si="20"/>
        <v>0</v>
      </c>
      <c r="E325" s="114">
        <f t="shared" si="21"/>
        <v>0</v>
      </c>
      <c r="F325" s="113"/>
      <c r="G325" s="107"/>
      <c r="H325" s="117"/>
    </row>
    <row r="326" spans="1:9">
      <c r="A326" s="126">
        <v>271</v>
      </c>
      <c r="B326" s="114">
        <f t="shared" si="18"/>
        <v>0</v>
      </c>
      <c r="C326" s="114">
        <f t="shared" si="19"/>
        <v>0</v>
      </c>
      <c r="D326" s="114">
        <f t="shared" si="20"/>
        <v>0</v>
      </c>
      <c r="E326" s="114">
        <f t="shared" si="21"/>
        <v>0</v>
      </c>
      <c r="F326" s="113"/>
    </row>
    <row r="327" spans="1:9">
      <c r="A327" s="126">
        <v>272</v>
      </c>
      <c r="B327" s="114">
        <f t="shared" si="18"/>
        <v>0</v>
      </c>
      <c r="C327" s="114">
        <f t="shared" si="19"/>
        <v>0</v>
      </c>
      <c r="D327" s="114">
        <f t="shared" si="20"/>
        <v>0</v>
      </c>
      <c r="E327" s="114">
        <f t="shared" si="21"/>
        <v>0</v>
      </c>
      <c r="F327" s="113"/>
    </row>
    <row r="328" spans="1:9">
      <c r="A328" s="126">
        <v>273</v>
      </c>
      <c r="B328" s="114">
        <f t="shared" si="18"/>
        <v>0</v>
      </c>
      <c r="C328" s="114">
        <f t="shared" si="19"/>
        <v>0</v>
      </c>
      <c r="D328" s="114">
        <f t="shared" si="20"/>
        <v>0</v>
      </c>
      <c r="E328" s="114">
        <f t="shared" si="21"/>
        <v>0</v>
      </c>
      <c r="F328" s="113"/>
    </row>
    <row r="329" spans="1:9">
      <c r="A329" s="126">
        <v>274</v>
      </c>
      <c r="B329" s="114">
        <f t="shared" si="18"/>
        <v>0</v>
      </c>
      <c r="C329" s="114">
        <f t="shared" si="19"/>
        <v>0</v>
      </c>
      <c r="D329" s="114">
        <f t="shared" si="20"/>
        <v>0</v>
      </c>
      <c r="E329" s="114">
        <f t="shared" si="21"/>
        <v>0</v>
      </c>
      <c r="F329" s="113"/>
    </row>
    <row r="330" spans="1:9">
      <c r="A330" s="126">
        <v>275</v>
      </c>
      <c r="B330" s="114">
        <f t="shared" si="18"/>
        <v>0</v>
      </c>
      <c r="C330" s="114">
        <f t="shared" si="19"/>
        <v>0</v>
      </c>
      <c r="D330" s="114">
        <f t="shared" si="20"/>
        <v>0</v>
      </c>
      <c r="E330" s="114">
        <f t="shared" si="21"/>
        <v>0</v>
      </c>
      <c r="F330" s="113"/>
    </row>
    <row r="331" spans="1:9">
      <c r="A331" s="126">
        <v>276</v>
      </c>
      <c r="B331" s="114">
        <f t="shared" si="18"/>
        <v>0</v>
      </c>
      <c r="C331" s="114">
        <f t="shared" si="19"/>
        <v>0</v>
      </c>
      <c r="D331" s="114">
        <f t="shared" si="20"/>
        <v>0</v>
      </c>
      <c r="E331" s="114">
        <f t="shared" si="21"/>
        <v>0</v>
      </c>
      <c r="F331" s="113">
        <v>23</v>
      </c>
      <c r="G331" s="107"/>
      <c r="H331" s="117"/>
      <c r="I331" s="107"/>
    </row>
    <row r="332" spans="1:9">
      <c r="A332" s="126">
        <v>277</v>
      </c>
      <c r="B332" s="114">
        <f t="shared" si="18"/>
        <v>0</v>
      </c>
      <c r="C332" s="114">
        <f t="shared" si="19"/>
        <v>0</v>
      </c>
      <c r="D332" s="114">
        <f t="shared" si="20"/>
        <v>0</v>
      </c>
      <c r="E332" s="114">
        <f t="shared" si="21"/>
        <v>0</v>
      </c>
      <c r="F332" s="113"/>
      <c r="I332" s="107"/>
    </row>
    <row r="333" spans="1:9">
      <c r="A333" s="126">
        <v>278</v>
      </c>
      <c r="B333" s="114">
        <f t="shared" si="18"/>
        <v>0</v>
      </c>
      <c r="C333" s="114">
        <f t="shared" si="19"/>
        <v>0</v>
      </c>
      <c r="D333" s="114">
        <f t="shared" si="20"/>
        <v>0</v>
      </c>
      <c r="E333" s="114">
        <f t="shared" si="21"/>
        <v>0</v>
      </c>
      <c r="F333" s="113"/>
    </row>
    <row r="334" spans="1:9">
      <c r="A334" s="126">
        <v>279</v>
      </c>
      <c r="B334" s="114">
        <f t="shared" si="18"/>
        <v>0</v>
      </c>
      <c r="C334" s="114">
        <f t="shared" si="19"/>
        <v>0</v>
      </c>
      <c r="D334" s="114">
        <f t="shared" si="20"/>
        <v>0</v>
      </c>
      <c r="E334" s="114">
        <f t="shared" si="21"/>
        <v>0</v>
      </c>
      <c r="F334" s="113"/>
    </row>
    <row r="335" spans="1:9">
      <c r="A335" s="126">
        <v>280</v>
      </c>
      <c r="B335" s="114">
        <f t="shared" si="18"/>
        <v>0</v>
      </c>
      <c r="C335" s="114">
        <f t="shared" si="19"/>
        <v>0</v>
      </c>
      <c r="D335" s="114">
        <f t="shared" si="20"/>
        <v>0</v>
      </c>
      <c r="E335" s="114">
        <f t="shared" si="21"/>
        <v>0</v>
      </c>
      <c r="F335" s="113"/>
    </row>
    <row r="336" spans="1:9">
      <c r="A336" s="126">
        <v>281</v>
      </c>
      <c r="B336" s="114">
        <f t="shared" si="18"/>
        <v>0</v>
      </c>
      <c r="C336" s="114">
        <f t="shared" si="19"/>
        <v>0</v>
      </c>
      <c r="D336" s="114">
        <f t="shared" si="20"/>
        <v>0</v>
      </c>
      <c r="E336" s="114">
        <f t="shared" si="21"/>
        <v>0</v>
      </c>
      <c r="F336" s="113"/>
    </row>
    <row r="337" spans="1:9">
      <c r="A337" s="126">
        <v>282</v>
      </c>
      <c r="B337" s="114">
        <f t="shared" si="18"/>
        <v>0</v>
      </c>
      <c r="C337" s="114">
        <f t="shared" si="19"/>
        <v>0</v>
      </c>
      <c r="D337" s="114">
        <f t="shared" si="20"/>
        <v>0</v>
      </c>
      <c r="E337" s="114">
        <f t="shared" si="21"/>
        <v>0</v>
      </c>
      <c r="F337" s="113"/>
      <c r="G337" s="107"/>
      <c r="H337" s="117"/>
    </row>
    <row r="338" spans="1:9">
      <c r="A338" s="126">
        <v>283</v>
      </c>
      <c r="B338" s="114">
        <f t="shared" si="18"/>
        <v>0</v>
      </c>
      <c r="C338" s="114">
        <f t="shared" si="19"/>
        <v>0</v>
      </c>
      <c r="D338" s="114">
        <f t="shared" si="20"/>
        <v>0</v>
      </c>
      <c r="E338" s="114">
        <f t="shared" si="21"/>
        <v>0</v>
      </c>
      <c r="F338" s="113"/>
    </row>
    <row r="339" spans="1:9">
      <c r="A339" s="126">
        <v>284</v>
      </c>
      <c r="B339" s="114">
        <f t="shared" si="18"/>
        <v>0</v>
      </c>
      <c r="C339" s="114">
        <f t="shared" si="19"/>
        <v>0</v>
      </c>
      <c r="D339" s="114">
        <f t="shared" si="20"/>
        <v>0</v>
      </c>
      <c r="E339" s="114">
        <f t="shared" si="21"/>
        <v>0</v>
      </c>
      <c r="F339" s="113"/>
    </row>
    <row r="340" spans="1:9">
      <c r="A340" s="126">
        <v>285</v>
      </c>
      <c r="B340" s="114">
        <f t="shared" si="18"/>
        <v>0</v>
      </c>
      <c r="C340" s="114">
        <f t="shared" si="19"/>
        <v>0</v>
      </c>
      <c r="D340" s="114">
        <f t="shared" si="20"/>
        <v>0</v>
      </c>
      <c r="E340" s="114">
        <f t="shared" si="21"/>
        <v>0</v>
      </c>
      <c r="F340" s="113"/>
    </row>
    <row r="341" spans="1:9">
      <c r="A341" s="126">
        <v>286</v>
      </c>
      <c r="B341" s="114">
        <f t="shared" si="18"/>
        <v>0</v>
      </c>
      <c r="C341" s="114">
        <f t="shared" si="19"/>
        <v>0</v>
      </c>
      <c r="D341" s="114">
        <f t="shared" si="20"/>
        <v>0</v>
      </c>
      <c r="E341" s="114">
        <f t="shared" si="21"/>
        <v>0</v>
      </c>
      <c r="F341" s="113"/>
    </row>
    <row r="342" spans="1:9">
      <c r="A342" s="126">
        <v>287</v>
      </c>
      <c r="B342" s="114">
        <f t="shared" si="18"/>
        <v>0</v>
      </c>
      <c r="C342" s="114">
        <f t="shared" si="19"/>
        <v>0</v>
      </c>
      <c r="D342" s="114">
        <f t="shared" si="20"/>
        <v>0</v>
      </c>
      <c r="E342" s="114">
        <f t="shared" si="21"/>
        <v>0</v>
      </c>
      <c r="F342" s="113"/>
    </row>
    <row r="343" spans="1:9">
      <c r="A343" s="126">
        <v>288</v>
      </c>
      <c r="B343" s="114">
        <f t="shared" si="18"/>
        <v>0</v>
      </c>
      <c r="C343" s="114">
        <f t="shared" si="19"/>
        <v>0</v>
      </c>
      <c r="D343" s="114">
        <f t="shared" si="20"/>
        <v>0</v>
      </c>
      <c r="E343" s="114">
        <f t="shared" si="21"/>
        <v>0</v>
      </c>
      <c r="F343" s="113">
        <v>24</v>
      </c>
      <c r="G343" s="107"/>
      <c r="H343" s="117"/>
      <c r="I343" s="107"/>
    </row>
    <row r="344" spans="1:9">
      <c r="A344" s="126">
        <v>289</v>
      </c>
      <c r="B344" s="114">
        <f t="shared" si="18"/>
        <v>0</v>
      </c>
      <c r="C344" s="114">
        <f t="shared" si="19"/>
        <v>0</v>
      </c>
      <c r="D344" s="114">
        <f t="shared" si="20"/>
        <v>0</v>
      </c>
      <c r="E344" s="114">
        <f t="shared" si="21"/>
        <v>0</v>
      </c>
      <c r="F344" s="113"/>
      <c r="I344" s="107"/>
    </row>
    <row r="345" spans="1:9">
      <c r="A345" s="126">
        <v>290</v>
      </c>
      <c r="B345" s="114">
        <f t="shared" si="18"/>
        <v>0</v>
      </c>
      <c r="C345" s="114">
        <f t="shared" si="19"/>
        <v>0</v>
      </c>
      <c r="D345" s="114">
        <f t="shared" si="20"/>
        <v>0</v>
      </c>
      <c r="E345" s="114">
        <f t="shared" si="21"/>
        <v>0</v>
      </c>
      <c r="F345" s="113"/>
    </row>
    <row r="346" spans="1:9">
      <c r="A346" s="126">
        <v>291</v>
      </c>
      <c r="B346" s="114">
        <f t="shared" si="18"/>
        <v>0</v>
      </c>
      <c r="C346" s="114">
        <f t="shared" si="19"/>
        <v>0</v>
      </c>
      <c r="D346" s="114">
        <f t="shared" si="20"/>
        <v>0</v>
      </c>
      <c r="E346" s="114">
        <f t="shared" si="21"/>
        <v>0</v>
      </c>
      <c r="F346" s="113"/>
    </row>
    <row r="347" spans="1:9">
      <c r="A347" s="126">
        <v>292</v>
      </c>
      <c r="B347" s="114">
        <f t="shared" si="18"/>
        <v>0</v>
      </c>
      <c r="C347" s="114">
        <f t="shared" si="19"/>
        <v>0</v>
      </c>
      <c r="D347" s="114">
        <f t="shared" si="20"/>
        <v>0</v>
      </c>
      <c r="E347" s="114">
        <f t="shared" si="21"/>
        <v>0</v>
      </c>
      <c r="F347" s="113"/>
    </row>
    <row r="348" spans="1:9">
      <c r="A348" s="126">
        <v>293</v>
      </c>
      <c r="B348" s="114">
        <f t="shared" si="18"/>
        <v>0</v>
      </c>
      <c r="C348" s="114">
        <f t="shared" si="19"/>
        <v>0</v>
      </c>
      <c r="D348" s="114">
        <f t="shared" si="20"/>
        <v>0</v>
      </c>
      <c r="E348" s="114">
        <f t="shared" si="21"/>
        <v>0</v>
      </c>
      <c r="F348" s="113"/>
    </row>
    <row r="349" spans="1:9">
      <c r="A349" s="126">
        <v>294</v>
      </c>
      <c r="B349" s="114">
        <f t="shared" si="18"/>
        <v>0</v>
      </c>
      <c r="C349" s="114">
        <f t="shared" si="19"/>
        <v>0</v>
      </c>
      <c r="D349" s="114">
        <f t="shared" si="20"/>
        <v>0</v>
      </c>
      <c r="E349" s="114">
        <f t="shared" si="21"/>
        <v>0</v>
      </c>
      <c r="F349" s="113"/>
      <c r="G349" s="107"/>
      <c r="H349" s="117"/>
    </row>
    <row r="350" spans="1:9">
      <c r="A350" s="126">
        <v>295</v>
      </c>
      <c r="B350" s="114">
        <f t="shared" si="18"/>
        <v>0</v>
      </c>
      <c r="C350" s="114">
        <f t="shared" si="19"/>
        <v>0</v>
      </c>
      <c r="D350" s="114">
        <f t="shared" si="20"/>
        <v>0</v>
      </c>
      <c r="E350" s="114">
        <f t="shared" si="21"/>
        <v>0</v>
      </c>
      <c r="F350" s="113"/>
    </row>
    <row r="351" spans="1:9">
      <c r="A351" s="126">
        <v>296</v>
      </c>
      <c r="B351" s="114">
        <f t="shared" si="18"/>
        <v>0</v>
      </c>
      <c r="C351" s="114">
        <f t="shared" si="19"/>
        <v>0</v>
      </c>
      <c r="D351" s="114">
        <f t="shared" si="20"/>
        <v>0</v>
      </c>
      <c r="E351" s="114">
        <f t="shared" si="21"/>
        <v>0</v>
      </c>
      <c r="F351" s="113"/>
    </row>
    <row r="352" spans="1:9">
      <c r="A352" s="126">
        <v>297</v>
      </c>
      <c r="B352" s="114">
        <f t="shared" si="18"/>
        <v>0</v>
      </c>
      <c r="C352" s="114">
        <f t="shared" si="19"/>
        <v>0</v>
      </c>
      <c r="D352" s="114">
        <f t="shared" si="20"/>
        <v>0</v>
      </c>
      <c r="E352" s="114">
        <f t="shared" si="21"/>
        <v>0</v>
      </c>
      <c r="F352" s="113"/>
    </row>
    <row r="353" spans="1:9">
      <c r="A353" s="126">
        <v>298</v>
      </c>
      <c r="B353" s="114">
        <f t="shared" si="18"/>
        <v>0</v>
      </c>
      <c r="C353" s="114">
        <f t="shared" si="19"/>
        <v>0</v>
      </c>
      <c r="D353" s="114">
        <f t="shared" si="20"/>
        <v>0</v>
      </c>
      <c r="E353" s="114">
        <f t="shared" si="21"/>
        <v>0</v>
      </c>
      <c r="F353" s="113"/>
    </row>
    <row r="354" spans="1:9">
      <c r="A354" s="126">
        <v>299</v>
      </c>
      <c r="B354" s="114">
        <f t="shared" si="18"/>
        <v>0</v>
      </c>
      <c r="C354" s="114">
        <f t="shared" si="19"/>
        <v>0</v>
      </c>
      <c r="D354" s="114">
        <f t="shared" si="20"/>
        <v>0</v>
      </c>
      <c r="E354" s="114">
        <f t="shared" si="21"/>
        <v>0</v>
      </c>
      <c r="F354" s="113"/>
    </row>
    <row r="355" spans="1:9">
      <c r="A355" s="126">
        <v>300</v>
      </c>
      <c r="B355" s="114">
        <f t="shared" si="18"/>
        <v>0</v>
      </c>
      <c r="C355" s="114">
        <f t="shared" si="19"/>
        <v>0</v>
      </c>
      <c r="D355" s="114">
        <f t="shared" si="20"/>
        <v>0</v>
      </c>
      <c r="E355" s="114">
        <f t="shared" si="21"/>
        <v>0</v>
      </c>
      <c r="F355" s="113">
        <v>25</v>
      </c>
      <c r="G355" s="107"/>
      <c r="H355" s="117"/>
      <c r="I355" s="107"/>
    </row>
    <row r="356" spans="1:9">
      <c r="A356" s="126">
        <v>301</v>
      </c>
      <c r="B356" s="114">
        <f t="shared" si="18"/>
        <v>0</v>
      </c>
      <c r="C356" s="114">
        <f t="shared" si="19"/>
        <v>0</v>
      </c>
      <c r="D356" s="114">
        <f t="shared" si="20"/>
        <v>0</v>
      </c>
      <c r="E356" s="114">
        <f t="shared" si="21"/>
        <v>0</v>
      </c>
      <c r="F356" s="113"/>
      <c r="I356" s="107"/>
    </row>
    <row r="357" spans="1:9">
      <c r="A357" s="126">
        <v>302</v>
      </c>
      <c r="B357" s="114">
        <f t="shared" si="18"/>
        <v>0</v>
      </c>
      <c r="C357" s="114">
        <f t="shared" si="19"/>
        <v>0</v>
      </c>
      <c r="D357" s="114">
        <f t="shared" si="20"/>
        <v>0</v>
      </c>
      <c r="E357" s="114">
        <f t="shared" si="21"/>
        <v>0</v>
      </c>
      <c r="F357" s="113"/>
    </row>
    <row r="358" spans="1:9">
      <c r="A358" s="126">
        <v>303</v>
      </c>
      <c r="B358" s="114">
        <f t="shared" si="18"/>
        <v>0</v>
      </c>
      <c r="C358" s="114">
        <f t="shared" si="19"/>
        <v>0</v>
      </c>
      <c r="D358" s="114">
        <f t="shared" si="20"/>
        <v>0</v>
      </c>
      <c r="E358" s="114">
        <f t="shared" si="21"/>
        <v>0</v>
      </c>
      <c r="F358" s="113"/>
    </row>
    <row r="359" spans="1:9">
      <c r="A359" s="126">
        <v>304</v>
      </c>
      <c r="B359" s="114">
        <f t="shared" si="18"/>
        <v>0</v>
      </c>
      <c r="C359" s="114">
        <f t="shared" si="19"/>
        <v>0</v>
      </c>
      <c r="D359" s="114">
        <f t="shared" si="20"/>
        <v>0</v>
      </c>
      <c r="E359" s="114">
        <f t="shared" si="21"/>
        <v>0</v>
      </c>
      <c r="F359" s="113"/>
    </row>
    <row r="360" spans="1:9">
      <c r="A360" s="126">
        <v>305</v>
      </c>
      <c r="B360" s="114">
        <f t="shared" si="18"/>
        <v>0</v>
      </c>
      <c r="C360" s="114">
        <f t="shared" si="19"/>
        <v>0</v>
      </c>
      <c r="D360" s="114">
        <f t="shared" si="20"/>
        <v>0</v>
      </c>
      <c r="E360" s="114">
        <f t="shared" si="21"/>
        <v>0</v>
      </c>
      <c r="F360" s="113"/>
    </row>
    <row r="361" spans="1:9">
      <c r="A361" s="126">
        <v>306</v>
      </c>
      <c r="B361" s="114">
        <f t="shared" si="18"/>
        <v>0</v>
      </c>
      <c r="C361" s="114">
        <f t="shared" si="19"/>
        <v>0</v>
      </c>
      <c r="D361" s="114">
        <f t="shared" si="20"/>
        <v>0</v>
      </c>
      <c r="E361" s="114">
        <f t="shared" si="21"/>
        <v>0</v>
      </c>
      <c r="F361" s="113"/>
      <c r="G361" s="107"/>
      <c r="H361" s="117"/>
    </row>
    <row r="362" spans="1:9">
      <c r="A362" s="126">
        <v>307</v>
      </c>
      <c r="B362" s="114">
        <f t="shared" si="18"/>
        <v>0</v>
      </c>
      <c r="C362" s="114">
        <f t="shared" si="19"/>
        <v>0</v>
      </c>
      <c r="D362" s="114">
        <f t="shared" si="20"/>
        <v>0</v>
      </c>
      <c r="E362" s="114">
        <f t="shared" si="21"/>
        <v>0</v>
      </c>
      <c r="F362" s="113"/>
    </row>
    <row r="363" spans="1:9">
      <c r="A363" s="126">
        <v>308</v>
      </c>
      <c r="B363" s="114">
        <f t="shared" si="18"/>
        <v>0</v>
      </c>
      <c r="C363" s="114">
        <f t="shared" si="19"/>
        <v>0</v>
      </c>
      <c r="D363" s="114">
        <f t="shared" si="20"/>
        <v>0</v>
      </c>
      <c r="E363" s="114">
        <f t="shared" si="21"/>
        <v>0</v>
      </c>
      <c r="F363" s="113"/>
    </row>
    <row r="364" spans="1:9">
      <c r="A364" s="126">
        <v>309</v>
      </c>
      <c r="B364" s="114">
        <f t="shared" si="18"/>
        <v>0</v>
      </c>
      <c r="C364" s="114">
        <f t="shared" si="19"/>
        <v>0</v>
      </c>
      <c r="D364" s="114">
        <f t="shared" si="20"/>
        <v>0</v>
      </c>
      <c r="E364" s="114">
        <f t="shared" si="21"/>
        <v>0</v>
      </c>
      <c r="F364" s="113"/>
    </row>
    <row r="365" spans="1:9">
      <c r="A365" s="126">
        <v>310</v>
      </c>
      <c r="B365" s="114">
        <f t="shared" si="18"/>
        <v>0</v>
      </c>
      <c r="C365" s="114">
        <f t="shared" si="19"/>
        <v>0</v>
      </c>
      <c r="D365" s="114">
        <f t="shared" si="20"/>
        <v>0</v>
      </c>
      <c r="E365" s="114">
        <f t="shared" si="21"/>
        <v>0</v>
      </c>
      <c r="F365" s="113"/>
    </row>
    <row r="366" spans="1:9">
      <c r="A366" s="126">
        <v>311</v>
      </c>
      <c r="B366" s="114">
        <f t="shared" si="18"/>
        <v>0</v>
      </c>
      <c r="C366" s="114">
        <f t="shared" si="19"/>
        <v>0</v>
      </c>
      <c r="D366" s="114">
        <f t="shared" si="20"/>
        <v>0</v>
      </c>
      <c r="E366" s="114">
        <f t="shared" si="21"/>
        <v>0</v>
      </c>
      <c r="F366" s="113"/>
    </row>
    <row r="367" spans="1:9">
      <c r="A367" s="126">
        <v>312</v>
      </c>
      <c r="B367" s="114">
        <f t="shared" si="18"/>
        <v>0</v>
      </c>
      <c r="C367" s="114">
        <f t="shared" si="19"/>
        <v>0</v>
      </c>
      <c r="D367" s="114">
        <f t="shared" si="20"/>
        <v>0</v>
      </c>
      <c r="E367" s="114">
        <f t="shared" si="21"/>
        <v>0</v>
      </c>
      <c r="F367" s="113">
        <v>26</v>
      </c>
      <c r="G367" s="107"/>
      <c r="H367" s="117"/>
      <c r="I367" s="107"/>
    </row>
    <row r="368" spans="1:9">
      <c r="A368" s="126">
        <v>313</v>
      </c>
      <c r="B368" s="114">
        <f t="shared" si="18"/>
        <v>0</v>
      </c>
      <c r="C368" s="114">
        <f t="shared" si="19"/>
        <v>0</v>
      </c>
      <c r="D368" s="114">
        <f t="shared" si="20"/>
        <v>0</v>
      </c>
      <c r="E368" s="114">
        <f t="shared" si="21"/>
        <v>0</v>
      </c>
      <c r="F368" s="113"/>
      <c r="I368" s="107"/>
    </row>
    <row r="369" spans="1:9">
      <c r="A369" s="126">
        <v>314</v>
      </c>
      <c r="B369" s="114">
        <f t="shared" si="18"/>
        <v>0</v>
      </c>
      <c r="C369" s="114">
        <f t="shared" si="19"/>
        <v>0</v>
      </c>
      <c r="D369" s="114">
        <f t="shared" si="20"/>
        <v>0</v>
      </c>
      <c r="E369" s="114">
        <f t="shared" si="21"/>
        <v>0</v>
      </c>
      <c r="F369" s="113"/>
    </row>
    <row r="370" spans="1:9">
      <c r="A370" s="126">
        <v>315</v>
      </c>
      <c r="B370" s="114">
        <f t="shared" si="18"/>
        <v>0</v>
      </c>
      <c r="C370" s="114">
        <f t="shared" si="19"/>
        <v>0</v>
      </c>
      <c r="D370" s="114">
        <f t="shared" si="20"/>
        <v>0</v>
      </c>
      <c r="E370" s="114">
        <f t="shared" si="21"/>
        <v>0</v>
      </c>
      <c r="F370" s="113"/>
    </row>
    <row r="371" spans="1:9">
      <c r="A371" s="126">
        <v>316</v>
      </c>
      <c r="B371" s="114">
        <f t="shared" si="18"/>
        <v>0</v>
      </c>
      <c r="C371" s="114">
        <f t="shared" si="19"/>
        <v>0</v>
      </c>
      <c r="D371" s="114">
        <f t="shared" si="20"/>
        <v>0</v>
      </c>
      <c r="E371" s="114">
        <f t="shared" si="21"/>
        <v>0</v>
      </c>
      <c r="F371" s="113"/>
    </row>
    <row r="372" spans="1:9">
      <c r="A372" s="126">
        <v>317</v>
      </c>
      <c r="B372" s="114">
        <f t="shared" si="18"/>
        <v>0</v>
      </c>
      <c r="C372" s="114">
        <f t="shared" si="19"/>
        <v>0</v>
      </c>
      <c r="D372" s="114">
        <f t="shared" si="20"/>
        <v>0</v>
      </c>
      <c r="E372" s="114">
        <f t="shared" si="21"/>
        <v>0</v>
      </c>
      <c r="F372" s="113"/>
    </row>
    <row r="373" spans="1:9">
      <c r="A373" s="126">
        <v>318</v>
      </c>
      <c r="B373" s="114">
        <f t="shared" si="18"/>
        <v>0</v>
      </c>
      <c r="C373" s="114">
        <f t="shared" si="19"/>
        <v>0</v>
      </c>
      <c r="D373" s="114">
        <f t="shared" si="20"/>
        <v>0</v>
      </c>
      <c r="E373" s="114">
        <f t="shared" si="21"/>
        <v>0</v>
      </c>
      <c r="F373" s="113"/>
      <c r="G373" s="107"/>
      <c r="H373" s="117"/>
    </row>
    <row r="374" spans="1:9">
      <c r="A374" s="126">
        <v>319</v>
      </c>
      <c r="B374" s="114">
        <f t="shared" si="18"/>
        <v>0</v>
      </c>
      <c r="C374" s="114">
        <f t="shared" si="19"/>
        <v>0</v>
      </c>
      <c r="D374" s="114">
        <f t="shared" si="20"/>
        <v>0</v>
      </c>
      <c r="E374" s="114">
        <f t="shared" si="21"/>
        <v>0</v>
      </c>
      <c r="F374" s="113"/>
    </row>
    <row r="375" spans="1:9">
      <c r="A375" s="126">
        <v>320</v>
      </c>
      <c r="B375" s="114">
        <f t="shared" si="18"/>
        <v>0</v>
      </c>
      <c r="C375" s="114">
        <f t="shared" si="19"/>
        <v>0</v>
      </c>
      <c r="D375" s="114">
        <f t="shared" si="20"/>
        <v>0</v>
      </c>
      <c r="E375" s="114">
        <f t="shared" si="21"/>
        <v>0</v>
      </c>
      <c r="F375" s="113"/>
    </row>
    <row r="376" spans="1:9">
      <c r="A376" s="126">
        <v>321</v>
      </c>
      <c r="B376" s="114">
        <f t="shared" ref="B376:B439" si="22">IF(A376&gt;12*$D$14,0,$D$20)</f>
        <v>0</v>
      </c>
      <c r="C376" s="114">
        <f t="shared" ref="C376:C439" si="23">IF(A376&gt;12*$D$14,0,E375*$D$10/12)</f>
        <v>0</v>
      </c>
      <c r="D376" s="114">
        <f t="shared" ref="D376:D439" si="24">IF(A376&gt;12*$D$14,0,B376-C376)</f>
        <v>0</v>
      </c>
      <c r="E376" s="114">
        <f t="shared" ref="E376:E439" si="25">IF(A376&gt;12*$D$14,0,E375-D376)</f>
        <v>0</v>
      </c>
      <c r="F376" s="113"/>
    </row>
    <row r="377" spans="1:9">
      <c r="A377" s="126">
        <v>322</v>
      </c>
      <c r="B377" s="114">
        <f t="shared" si="22"/>
        <v>0</v>
      </c>
      <c r="C377" s="114">
        <f t="shared" si="23"/>
        <v>0</v>
      </c>
      <c r="D377" s="114">
        <f t="shared" si="24"/>
        <v>0</v>
      </c>
      <c r="E377" s="114">
        <f t="shared" si="25"/>
        <v>0</v>
      </c>
      <c r="F377" s="113"/>
    </row>
    <row r="378" spans="1:9">
      <c r="A378" s="126">
        <v>323</v>
      </c>
      <c r="B378" s="114">
        <f t="shared" si="22"/>
        <v>0</v>
      </c>
      <c r="C378" s="114">
        <f t="shared" si="23"/>
        <v>0</v>
      </c>
      <c r="D378" s="114">
        <f t="shared" si="24"/>
        <v>0</v>
      </c>
      <c r="E378" s="114">
        <f t="shared" si="25"/>
        <v>0</v>
      </c>
      <c r="F378" s="113"/>
    </row>
    <row r="379" spans="1:9">
      <c r="A379" s="126">
        <v>324</v>
      </c>
      <c r="B379" s="114">
        <f t="shared" si="22"/>
        <v>0</v>
      </c>
      <c r="C379" s="114">
        <f t="shared" si="23"/>
        <v>0</v>
      </c>
      <c r="D379" s="114">
        <f t="shared" si="24"/>
        <v>0</v>
      </c>
      <c r="E379" s="114">
        <f t="shared" si="25"/>
        <v>0</v>
      </c>
      <c r="F379" s="113">
        <v>27</v>
      </c>
      <c r="G379" s="107"/>
      <c r="H379" s="117"/>
      <c r="I379" s="107"/>
    </row>
    <row r="380" spans="1:9">
      <c r="A380" s="126">
        <v>325</v>
      </c>
      <c r="B380" s="114">
        <f t="shared" si="22"/>
        <v>0</v>
      </c>
      <c r="C380" s="114">
        <f t="shared" si="23"/>
        <v>0</v>
      </c>
      <c r="D380" s="114">
        <f t="shared" si="24"/>
        <v>0</v>
      </c>
      <c r="E380" s="114">
        <f t="shared" si="25"/>
        <v>0</v>
      </c>
      <c r="F380" s="113"/>
      <c r="I380" s="107"/>
    </row>
    <row r="381" spans="1:9">
      <c r="A381" s="126">
        <v>326</v>
      </c>
      <c r="B381" s="114">
        <f t="shared" si="22"/>
        <v>0</v>
      </c>
      <c r="C381" s="114">
        <f t="shared" si="23"/>
        <v>0</v>
      </c>
      <c r="D381" s="114">
        <f t="shared" si="24"/>
        <v>0</v>
      </c>
      <c r="E381" s="114">
        <f t="shared" si="25"/>
        <v>0</v>
      </c>
      <c r="F381" s="113"/>
    </row>
    <row r="382" spans="1:9">
      <c r="A382" s="126">
        <v>327</v>
      </c>
      <c r="B382" s="114">
        <f t="shared" si="22"/>
        <v>0</v>
      </c>
      <c r="C382" s="114">
        <f t="shared" si="23"/>
        <v>0</v>
      </c>
      <c r="D382" s="114">
        <f t="shared" si="24"/>
        <v>0</v>
      </c>
      <c r="E382" s="114">
        <f t="shared" si="25"/>
        <v>0</v>
      </c>
      <c r="F382" s="113"/>
    </row>
    <row r="383" spans="1:9">
      <c r="A383" s="126">
        <v>328</v>
      </c>
      <c r="B383" s="114">
        <f t="shared" si="22"/>
        <v>0</v>
      </c>
      <c r="C383" s="114">
        <f t="shared" si="23"/>
        <v>0</v>
      </c>
      <c r="D383" s="114">
        <f t="shared" si="24"/>
        <v>0</v>
      </c>
      <c r="E383" s="114">
        <f t="shared" si="25"/>
        <v>0</v>
      </c>
      <c r="F383" s="113"/>
    </row>
    <row r="384" spans="1:9">
      <c r="A384" s="126">
        <v>329</v>
      </c>
      <c r="B384" s="114">
        <f t="shared" si="22"/>
        <v>0</v>
      </c>
      <c r="C384" s="114">
        <f t="shared" si="23"/>
        <v>0</v>
      </c>
      <c r="D384" s="114">
        <f t="shared" si="24"/>
        <v>0</v>
      </c>
      <c r="E384" s="114">
        <f t="shared" si="25"/>
        <v>0</v>
      </c>
      <c r="F384" s="113"/>
    </row>
    <row r="385" spans="1:9">
      <c r="A385" s="126">
        <v>330</v>
      </c>
      <c r="B385" s="114">
        <f t="shared" si="22"/>
        <v>0</v>
      </c>
      <c r="C385" s="114">
        <f t="shared" si="23"/>
        <v>0</v>
      </c>
      <c r="D385" s="114">
        <f t="shared" si="24"/>
        <v>0</v>
      </c>
      <c r="E385" s="114">
        <f t="shared" si="25"/>
        <v>0</v>
      </c>
      <c r="F385" s="113"/>
      <c r="G385" s="107"/>
      <c r="H385" s="117"/>
    </row>
    <row r="386" spans="1:9">
      <c r="A386" s="126">
        <v>331</v>
      </c>
      <c r="B386" s="114">
        <f t="shared" si="22"/>
        <v>0</v>
      </c>
      <c r="C386" s="114">
        <f t="shared" si="23"/>
        <v>0</v>
      </c>
      <c r="D386" s="114">
        <f t="shared" si="24"/>
        <v>0</v>
      </c>
      <c r="E386" s="114">
        <f t="shared" si="25"/>
        <v>0</v>
      </c>
      <c r="F386" s="113"/>
    </row>
    <row r="387" spans="1:9">
      <c r="A387" s="126">
        <v>332</v>
      </c>
      <c r="B387" s="114">
        <f t="shared" si="22"/>
        <v>0</v>
      </c>
      <c r="C387" s="114">
        <f t="shared" si="23"/>
        <v>0</v>
      </c>
      <c r="D387" s="114">
        <f t="shared" si="24"/>
        <v>0</v>
      </c>
      <c r="E387" s="114">
        <f t="shared" si="25"/>
        <v>0</v>
      </c>
      <c r="F387" s="113"/>
    </row>
    <row r="388" spans="1:9">
      <c r="A388" s="126">
        <v>333</v>
      </c>
      <c r="B388" s="114">
        <f t="shared" si="22"/>
        <v>0</v>
      </c>
      <c r="C388" s="114">
        <f t="shared" si="23"/>
        <v>0</v>
      </c>
      <c r="D388" s="114">
        <f t="shared" si="24"/>
        <v>0</v>
      </c>
      <c r="E388" s="114">
        <f t="shared" si="25"/>
        <v>0</v>
      </c>
      <c r="F388" s="113"/>
    </row>
    <row r="389" spans="1:9">
      <c r="A389" s="126">
        <v>334</v>
      </c>
      <c r="B389" s="114">
        <f t="shared" si="22"/>
        <v>0</v>
      </c>
      <c r="C389" s="114">
        <f t="shared" si="23"/>
        <v>0</v>
      </c>
      <c r="D389" s="114">
        <f t="shared" si="24"/>
        <v>0</v>
      </c>
      <c r="E389" s="114">
        <f t="shared" si="25"/>
        <v>0</v>
      </c>
      <c r="F389" s="113"/>
    </row>
    <row r="390" spans="1:9">
      <c r="A390" s="126">
        <v>335</v>
      </c>
      <c r="B390" s="114">
        <f t="shared" si="22"/>
        <v>0</v>
      </c>
      <c r="C390" s="114">
        <f t="shared" si="23"/>
        <v>0</v>
      </c>
      <c r="D390" s="114">
        <f t="shared" si="24"/>
        <v>0</v>
      </c>
      <c r="E390" s="114">
        <f t="shared" si="25"/>
        <v>0</v>
      </c>
      <c r="F390" s="113"/>
    </row>
    <row r="391" spans="1:9">
      <c r="A391" s="126">
        <v>336</v>
      </c>
      <c r="B391" s="114">
        <f t="shared" si="22"/>
        <v>0</v>
      </c>
      <c r="C391" s="114">
        <f t="shared" si="23"/>
        <v>0</v>
      </c>
      <c r="D391" s="114">
        <f t="shared" si="24"/>
        <v>0</v>
      </c>
      <c r="E391" s="114">
        <f t="shared" si="25"/>
        <v>0</v>
      </c>
      <c r="F391" s="113">
        <v>28</v>
      </c>
      <c r="G391" s="107"/>
      <c r="H391" s="117"/>
      <c r="I391" s="107"/>
    </row>
    <row r="392" spans="1:9">
      <c r="A392" s="126">
        <v>337</v>
      </c>
      <c r="B392" s="114">
        <f t="shared" si="22"/>
        <v>0</v>
      </c>
      <c r="C392" s="114">
        <f t="shared" si="23"/>
        <v>0</v>
      </c>
      <c r="D392" s="114">
        <f t="shared" si="24"/>
        <v>0</v>
      </c>
      <c r="E392" s="114">
        <f t="shared" si="25"/>
        <v>0</v>
      </c>
      <c r="F392" s="113"/>
      <c r="I392" s="107"/>
    </row>
    <row r="393" spans="1:9">
      <c r="A393" s="126">
        <v>338</v>
      </c>
      <c r="B393" s="114">
        <f t="shared" si="22"/>
        <v>0</v>
      </c>
      <c r="C393" s="114">
        <f t="shared" si="23"/>
        <v>0</v>
      </c>
      <c r="D393" s="114">
        <f t="shared" si="24"/>
        <v>0</v>
      </c>
      <c r="E393" s="114">
        <f t="shared" si="25"/>
        <v>0</v>
      </c>
      <c r="F393" s="113"/>
    </row>
    <row r="394" spans="1:9">
      <c r="A394" s="126">
        <v>339</v>
      </c>
      <c r="B394" s="114">
        <f t="shared" si="22"/>
        <v>0</v>
      </c>
      <c r="C394" s="114">
        <f t="shared" si="23"/>
        <v>0</v>
      </c>
      <c r="D394" s="114">
        <f t="shared" si="24"/>
        <v>0</v>
      </c>
      <c r="E394" s="114">
        <f t="shared" si="25"/>
        <v>0</v>
      </c>
      <c r="F394" s="113"/>
    </row>
    <row r="395" spans="1:9">
      <c r="A395" s="126">
        <v>340</v>
      </c>
      <c r="B395" s="114">
        <f t="shared" si="22"/>
        <v>0</v>
      </c>
      <c r="C395" s="114">
        <f t="shared" si="23"/>
        <v>0</v>
      </c>
      <c r="D395" s="114">
        <f t="shared" si="24"/>
        <v>0</v>
      </c>
      <c r="E395" s="114">
        <f t="shared" si="25"/>
        <v>0</v>
      </c>
      <c r="F395" s="113"/>
    </row>
    <row r="396" spans="1:9">
      <c r="A396" s="126">
        <v>341</v>
      </c>
      <c r="B396" s="114">
        <f t="shared" si="22"/>
        <v>0</v>
      </c>
      <c r="C396" s="114">
        <f t="shared" si="23"/>
        <v>0</v>
      </c>
      <c r="D396" s="114">
        <f t="shared" si="24"/>
        <v>0</v>
      </c>
      <c r="E396" s="114">
        <f t="shared" si="25"/>
        <v>0</v>
      </c>
      <c r="F396" s="113"/>
    </row>
    <row r="397" spans="1:9">
      <c r="A397" s="126">
        <v>342</v>
      </c>
      <c r="B397" s="114">
        <f t="shared" si="22"/>
        <v>0</v>
      </c>
      <c r="C397" s="114">
        <f t="shared" si="23"/>
        <v>0</v>
      </c>
      <c r="D397" s="114">
        <f t="shared" si="24"/>
        <v>0</v>
      </c>
      <c r="E397" s="114">
        <f t="shared" si="25"/>
        <v>0</v>
      </c>
      <c r="F397" s="113"/>
      <c r="G397" s="107"/>
      <c r="H397" s="117"/>
    </row>
    <row r="398" spans="1:9">
      <c r="A398" s="126">
        <v>343</v>
      </c>
      <c r="B398" s="114">
        <f t="shared" si="22"/>
        <v>0</v>
      </c>
      <c r="C398" s="114">
        <f t="shared" si="23"/>
        <v>0</v>
      </c>
      <c r="D398" s="114">
        <f t="shared" si="24"/>
        <v>0</v>
      </c>
      <c r="E398" s="114">
        <f t="shared" si="25"/>
        <v>0</v>
      </c>
      <c r="F398" s="113"/>
    </row>
    <row r="399" spans="1:9">
      <c r="A399" s="126">
        <v>344</v>
      </c>
      <c r="B399" s="114">
        <f t="shared" si="22"/>
        <v>0</v>
      </c>
      <c r="C399" s="114">
        <f t="shared" si="23"/>
        <v>0</v>
      </c>
      <c r="D399" s="114">
        <f t="shared" si="24"/>
        <v>0</v>
      </c>
      <c r="E399" s="114">
        <f t="shared" si="25"/>
        <v>0</v>
      </c>
      <c r="F399" s="113"/>
    </row>
    <row r="400" spans="1:9">
      <c r="A400" s="126">
        <v>345</v>
      </c>
      <c r="B400" s="114">
        <f t="shared" si="22"/>
        <v>0</v>
      </c>
      <c r="C400" s="114">
        <f t="shared" si="23"/>
        <v>0</v>
      </c>
      <c r="D400" s="114">
        <f t="shared" si="24"/>
        <v>0</v>
      </c>
      <c r="E400" s="114">
        <f t="shared" si="25"/>
        <v>0</v>
      </c>
      <c r="F400" s="113"/>
    </row>
    <row r="401" spans="1:9">
      <c r="A401" s="126">
        <v>346</v>
      </c>
      <c r="B401" s="114">
        <f t="shared" si="22"/>
        <v>0</v>
      </c>
      <c r="C401" s="114">
        <f t="shared" si="23"/>
        <v>0</v>
      </c>
      <c r="D401" s="114">
        <f t="shared" si="24"/>
        <v>0</v>
      </c>
      <c r="E401" s="114">
        <f t="shared" si="25"/>
        <v>0</v>
      </c>
      <c r="F401" s="113"/>
    </row>
    <row r="402" spans="1:9">
      <c r="A402" s="126">
        <v>347</v>
      </c>
      <c r="B402" s="114">
        <f t="shared" si="22"/>
        <v>0</v>
      </c>
      <c r="C402" s="114">
        <f t="shared" si="23"/>
        <v>0</v>
      </c>
      <c r="D402" s="114">
        <f t="shared" si="24"/>
        <v>0</v>
      </c>
      <c r="E402" s="114">
        <f t="shared" si="25"/>
        <v>0</v>
      </c>
      <c r="F402" s="113"/>
    </row>
    <row r="403" spans="1:9">
      <c r="A403" s="126">
        <v>348</v>
      </c>
      <c r="B403" s="114">
        <f t="shared" si="22"/>
        <v>0</v>
      </c>
      <c r="C403" s="114">
        <f t="shared" si="23"/>
        <v>0</v>
      </c>
      <c r="D403" s="114">
        <f t="shared" si="24"/>
        <v>0</v>
      </c>
      <c r="E403" s="114">
        <f t="shared" si="25"/>
        <v>0</v>
      </c>
      <c r="F403" s="113">
        <v>29</v>
      </c>
      <c r="G403" s="107"/>
      <c r="H403" s="117"/>
      <c r="I403" s="107"/>
    </row>
    <row r="404" spans="1:9">
      <c r="A404" s="126">
        <v>349</v>
      </c>
      <c r="B404" s="114">
        <f t="shared" si="22"/>
        <v>0</v>
      </c>
      <c r="C404" s="114">
        <f t="shared" si="23"/>
        <v>0</v>
      </c>
      <c r="D404" s="114">
        <f t="shared" si="24"/>
        <v>0</v>
      </c>
      <c r="E404" s="114">
        <f t="shared" si="25"/>
        <v>0</v>
      </c>
      <c r="F404" s="113"/>
      <c r="I404" s="107"/>
    </row>
    <row r="405" spans="1:9">
      <c r="A405" s="126">
        <v>350</v>
      </c>
      <c r="B405" s="114">
        <f t="shared" si="22"/>
        <v>0</v>
      </c>
      <c r="C405" s="114">
        <f t="shared" si="23"/>
        <v>0</v>
      </c>
      <c r="D405" s="114">
        <f t="shared" si="24"/>
        <v>0</v>
      </c>
      <c r="E405" s="114">
        <f t="shared" si="25"/>
        <v>0</v>
      </c>
      <c r="F405" s="113"/>
    </row>
    <row r="406" spans="1:9">
      <c r="A406" s="126">
        <v>351</v>
      </c>
      <c r="B406" s="114">
        <f t="shared" si="22"/>
        <v>0</v>
      </c>
      <c r="C406" s="114">
        <f t="shared" si="23"/>
        <v>0</v>
      </c>
      <c r="D406" s="114">
        <f t="shared" si="24"/>
        <v>0</v>
      </c>
      <c r="E406" s="114">
        <f t="shared" si="25"/>
        <v>0</v>
      </c>
      <c r="F406" s="113"/>
    </row>
    <row r="407" spans="1:9">
      <c r="A407" s="126">
        <v>352</v>
      </c>
      <c r="B407" s="114">
        <f t="shared" si="22"/>
        <v>0</v>
      </c>
      <c r="C407" s="114">
        <f t="shared" si="23"/>
        <v>0</v>
      </c>
      <c r="D407" s="114">
        <f t="shared" si="24"/>
        <v>0</v>
      </c>
      <c r="E407" s="114">
        <f t="shared" si="25"/>
        <v>0</v>
      </c>
      <c r="F407" s="113"/>
    </row>
    <row r="408" spans="1:9">
      <c r="A408" s="126">
        <v>353</v>
      </c>
      <c r="B408" s="114">
        <f t="shared" si="22"/>
        <v>0</v>
      </c>
      <c r="C408" s="114">
        <f t="shared" si="23"/>
        <v>0</v>
      </c>
      <c r="D408" s="114">
        <f t="shared" si="24"/>
        <v>0</v>
      </c>
      <c r="E408" s="114">
        <f t="shared" si="25"/>
        <v>0</v>
      </c>
      <c r="F408" s="113"/>
    </row>
    <row r="409" spans="1:9">
      <c r="A409" s="126">
        <v>354</v>
      </c>
      <c r="B409" s="114">
        <f t="shared" si="22"/>
        <v>0</v>
      </c>
      <c r="C409" s="114">
        <f t="shared" si="23"/>
        <v>0</v>
      </c>
      <c r="D409" s="114">
        <f t="shared" si="24"/>
        <v>0</v>
      </c>
      <c r="E409" s="114">
        <f t="shared" si="25"/>
        <v>0</v>
      </c>
      <c r="F409" s="113"/>
      <c r="G409" s="107"/>
      <c r="H409" s="117"/>
    </row>
    <row r="410" spans="1:9">
      <c r="A410" s="126">
        <v>355</v>
      </c>
      <c r="B410" s="114">
        <f t="shared" si="22"/>
        <v>0</v>
      </c>
      <c r="C410" s="114">
        <f t="shared" si="23"/>
        <v>0</v>
      </c>
      <c r="D410" s="114">
        <f t="shared" si="24"/>
        <v>0</v>
      </c>
      <c r="E410" s="114">
        <f t="shared" si="25"/>
        <v>0</v>
      </c>
      <c r="F410" s="113"/>
    </row>
    <row r="411" spans="1:9">
      <c r="A411" s="126">
        <v>356</v>
      </c>
      <c r="B411" s="114">
        <f t="shared" si="22"/>
        <v>0</v>
      </c>
      <c r="C411" s="114">
        <f t="shared" si="23"/>
        <v>0</v>
      </c>
      <c r="D411" s="114">
        <f t="shared" si="24"/>
        <v>0</v>
      </c>
      <c r="E411" s="114">
        <f t="shared" si="25"/>
        <v>0</v>
      </c>
      <c r="F411" s="113"/>
    </row>
    <row r="412" spans="1:9">
      <c r="A412" s="126">
        <v>357</v>
      </c>
      <c r="B412" s="114">
        <f t="shared" si="22"/>
        <v>0</v>
      </c>
      <c r="C412" s="114">
        <f t="shared" si="23"/>
        <v>0</v>
      </c>
      <c r="D412" s="114">
        <f t="shared" si="24"/>
        <v>0</v>
      </c>
      <c r="E412" s="114">
        <f t="shared" si="25"/>
        <v>0</v>
      </c>
      <c r="F412" s="113"/>
    </row>
    <row r="413" spans="1:9">
      <c r="A413" s="126">
        <v>358</v>
      </c>
      <c r="B413" s="114">
        <f t="shared" si="22"/>
        <v>0</v>
      </c>
      <c r="C413" s="114">
        <f t="shared" si="23"/>
        <v>0</v>
      </c>
      <c r="D413" s="114">
        <f t="shared" si="24"/>
        <v>0</v>
      </c>
      <c r="E413" s="114">
        <f t="shared" si="25"/>
        <v>0</v>
      </c>
      <c r="F413" s="113"/>
    </row>
    <row r="414" spans="1:9">
      <c r="A414" s="126">
        <v>359</v>
      </c>
      <c r="B414" s="114">
        <f t="shared" si="22"/>
        <v>0</v>
      </c>
      <c r="C414" s="114">
        <f t="shared" si="23"/>
        <v>0</v>
      </c>
      <c r="D414" s="114">
        <f t="shared" si="24"/>
        <v>0</v>
      </c>
      <c r="E414" s="114">
        <f t="shared" si="25"/>
        <v>0</v>
      </c>
      <c r="F414" s="113"/>
    </row>
    <row r="415" spans="1:9">
      <c r="A415" s="126">
        <v>360</v>
      </c>
      <c r="B415" s="114">
        <f t="shared" si="22"/>
        <v>0</v>
      </c>
      <c r="C415" s="114">
        <f t="shared" si="23"/>
        <v>0</v>
      </c>
      <c r="D415" s="114">
        <f t="shared" si="24"/>
        <v>0</v>
      </c>
      <c r="E415" s="114">
        <f t="shared" si="25"/>
        <v>0</v>
      </c>
      <c r="F415" s="113">
        <v>30</v>
      </c>
      <c r="G415" s="107"/>
      <c r="H415" s="117"/>
      <c r="I415" s="107"/>
    </row>
    <row r="416" spans="1:9">
      <c r="A416" s="126">
        <v>361</v>
      </c>
      <c r="B416" s="114">
        <f t="shared" si="22"/>
        <v>0</v>
      </c>
      <c r="C416" s="114">
        <f t="shared" si="23"/>
        <v>0</v>
      </c>
      <c r="D416" s="114">
        <f t="shared" si="24"/>
        <v>0</v>
      </c>
      <c r="E416" s="114">
        <f t="shared" si="25"/>
        <v>0</v>
      </c>
      <c r="F416" s="113"/>
      <c r="I416" s="107"/>
    </row>
    <row r="417" spans="1:9">
      <c r="A417" s="126">
        <v>362</v>
      </c>
      <c r="B417" s="114">
        <f t="shared" si="22"/>
        <v>0</v>
      </c>
      <c r="C417" s="114">
        <f t="shared" si="23"/>
        <v>0</v>
      </c>
      <c r="D417" s="114">
        <f t="shared" si="24"/>
        <v>0</v>
      </c>
      <c r="E417" s="114">
        <f t="shared" si="25"/>
        <v>0</v>
      </c>
      <c r="F417" s="113"/>
    </row>
    <row r="418" spans="1:9">
      <c r="A418" s="126">
        <v>363</v>
      </c>
      <c r="B418" s="114">
        <f t="shared" si="22"/>
        <v>0</v>
      </c>
      <c r="C418" s="114">
        <f t="shared" si="23"/>
        <v>0</v>
      </c>
      <c r="D418" s="114">
        <f t="shared" si="24"/>
        <v>0</v>
      </c>
      <c r="E418" s="114">
        <f t="shared" si="25"/>
        <v>0</v>
      </c>
      <c r="F418" s="113"/>
    </row>
    <row r="419" spans="1:9">
      <c r="A419" s="126">
        <v>364</v>
      </c>
      <c r="B419" s="114">
        <f t="shared" si="22"/>
        <v>0</v>
      </c>
      <c r="C419" s="114">
        <f t="shared" si="23"/>
        <v>0</v>
      </c>
      <c r="D419" s="114">
        <f t="shared" si="24"/>
        <v>0</v>
      </c>
      <c r="E419" s="114">
        <f t="shared" si="25"/>
        <v>0</v>
      </c>
      <c r="F419" s="113"/>
    </row>
    <row r="420" spans="1:9">
      <c r="A420" s="126">
        <v>365</v>
      </c>
      <c r="B420" s="114">
        <f t="shared" si="22"/>
        <v>0</v>
      </c>
      <c r="C420" s="114">
        <f t="shared" si="23"/>
        <v>0</v>
      </c>
      <c r="D420" s="114">
        <f t="shared" si="24"/>
        <v>0</v>
      </c>
      <c r="E420" s="114">
        <f t="shared" si="25"/>
        <v>0</v>
      </c>
      <c r="F420" s="113"/>
    </row>
    <row r="421" spans="1:9">
      <c r="A421" s="126">
        <v>366</v>
      </c>
      <c r="B421" s="114">
        <f t="shared" si="22"/>
        <v>0</v>
      </c>
      <c r="C421" s="114">
        <f t="shared" si="23"/>
        <v>0</v>
      </c>
      <c r="D421" s="114">
        <f t="shared" si="24"/>
        <v>0</v>
      </c>
      <c r="E421" s="114">
        <f t="shared" si="25"/>
        <v>0</v>
      </c>
      <c r="F421" s="113"/>
      <c r="G421" s="107"/>
      <c r="H421" s="117"/>
    </row>
    <row r="422" spans="1:9">
      <c r="A422" s="126">
        <v>367</v>
      </c>
      <c r="B422" s="114">
        <f t="shared" si="22"/>
        <v>0</v>
      </c>
      <c r="C422" s="114">
        <f t="shared" si="23"/>
        <v>0</v>
      </c>
      <c r="D422" s="114">
        <f t="shared" si="24"/>
        <v>0</v>
      </c>
      <c r="E422" s="114">
        <f t="shared" si="25"/>
        <v>0</v>
      </c>
      <c r="F422" s="113"/>
    </row>
    <row r="423" spans="1:9">
      <c r="A423" s="126">
        <v>368</v>
      </c>
      <c r="B423" s="114">
        <f t="shared" si="22"/>
        <v>0</v>
      </c>
      <c r="C423" s="114">
        <f t="shared" si="23"/>
        <v>0</v>
      </c>
      <c r="D423" s="114">
        <f t="shared" si="24"/>
        <v>0</v>
      </c>
      <c r="E423" s="114">
        <f t="shared" si="25"/>
        <v>0</v>
      </c>
      <c r="F423" s="113"/>
    </row>
    <row r="424" spans="1:9">
      <c r="A424" s="126">
        <v>369</v>
      </c>
      <c r="B424" s="114">
        <f t="shared" si="22"/>
        <v>0</v>
      </c>
      <c r="C424" s="114">
        <f t="shared" si="23"/>
        <v>0</v>
      </c>
      <c r="D424" s="114">
        <f t="shared" si="24"/>
        <v>0</v>
      </c>
      <c r="E424" s="114">
        <f t="shared" si="25"/>
        <v>0</v>
      </c>
      <c r="F424" s="113"/>
    </row>
    <row r="425" spans="1:9">
      <c r="A425" s="126">
        <v>370</v>
      </c>
      <c r="B425" s="114">
        <f t="shared" si="22"/>
        <v>0</v>
      </c>
      <c r="C425" s="114">
        <f t="shared" si="23"/>
        <v>0</v>
      </c>
      <c r="D425" s="114">
        <f t="shared" si="24"/>
        <v>0</v>
      </c>
      <c r="E425" s="114">
        <f t="shared" si="25"/>
        <v>0</v>
      </c>
      <c r="F425" s="113"/>
    </row>
    <row r="426" spans="1:9">
      <c r="A426" s="126">
        <v>371</v>
      </c>
      <c r="B426" s="114">
        <f t="shared" si="22"/>
        <v>0</v>
      </c>
      <c r="C426" s="114">
        <f t="shared" si="23"/>
        <v>0</v>
      </c>
      <c r="D426" s="114">
        <f t="shared" si="24"/>
        <v>0</v>
      </c>
      <c r="E426" s="114">
        <f t="shared" si="25"/>
        <v>0</v>
      </c>
      <c r="F426" s="113"/>
    </row>
    <row r="427" spans="1:9">
      <c r="A427" s="126">
        <v>372</v>
      </c>
      <c r="B427" s="114">
        <f t="shared" si="22"/>
        <v>0</v>
      </c>
      <c r="C427" s="114">
        <f t="shared" si="23"/>
        <v>0</v>
      </c>
      <c r="D427" s="114">
        <f t="shared" si="24"/>
        <v>0</v>
      </c>
      <c r="E427" s="114">
        <f t="shared" si="25"/>
        <v>0</v>
      </c>
      <c r="F427" s="113">
        <v>31</v>
      </c>
      <c r="G427" s="107"/>
      <c r="H427" s="117"/>
      <c r="I427" s="107"/>
    </row>
    <row r="428" spans="1:9">
      <c r="A428" s="126">
        <v>373</v>
      </c>
      <c r="B428" s="114">
        <f t="shared" si="22"/>
        <v>0</v>
      </c>
      <c r="C428" s="114">
        <f t="shared" si="23"/>
        <v>0</v>
      </c>
      <c r="D428" s="114">
        <f t="shared" si="24"/>
        <v>0</v>
      </c>
      <c r="E428" s="114">
        <f t="shared" si="25"/>
        <v>0</v>
      </c>
      <c r="F428" s="113"/>
      <c r="I428" s="107"/>
    </row>
    <row r="429" spans="1:9">
      <c r="A429" s="126">
        <v>374</v>
      </c>
      <c r="B429" s="114">
        <f t="shared" si="22"/>
        <v>0</v>
      </c>
      <c r="C429" s="114">
        <f t="shared" si="23"/>
        <v>0</v>
      </c>
      <c r="D429" s="114">
        <f t="shared" si="24"/>
        <v>0</v>
      </c>
      <c r="E429" s="114">
        <f t="shared" si="25"/>
        <v>0</v>
      </c>
      <c r="F429" s="113"/>
    </row>
    <row r="430" spans="1:9">
      <c r="A430" s="126">
        <v>375</v>
      </c>
      <c r="B430" s="114">
        <f t="shared" si="22"/>
        <v>0</v>
      </c>
      <c r="C430" s="114">
        <f t="shared" si="23"/>
        <v>0</v>
      </c>
      <c r="D430" s="114">
        <f t="shared" si="24"/>
        <v>0</v>
      </c>
      <c r="E430" s="114">
        <f t="shared" si="25"/>
        <v>0</v>
      </c>
      <c r="F430" s="113"/>
    </row>
    <row r="431" spans="1:9">
      <c r="A431" s="126">
        <v>376</v>
      </c>
      <c r="B431" s="114">
        <f t="shared" si="22"/>
        <v>0</v>
      </c>
      <c r="C431" s="114">
        <f t="shared" si="23"/>
        <v>0</v>
      </c>
      <c r="D431" s="114">
        <f t="shared" si="24"/>
        <v>0</v>
      </c>
      <c r="E431" s="114">
        <f t="shared" si="25"/>
        <v>0</v>
      </c>
      <c r="F431" s="113"/>
    </row>
    <row r="432" spans="1:9">
      <c r="A432" s="126">
        <v>377</v>
      </c>
      <c r="B432" s="114">
        <f t="shared" si="22"/>
        <v>0</v>
      </c>
      <c r="C432" s="114">
        <f t="shared" si="23"/>
        <v>0</v>
      </c>
      <c r="D432" s="114">
        <f t="shared" si="24"/>
        <v>0</v>
      </c>
      <c r="E432" s="114">
        <f t="shared" si="25"/>
        <v>0</v>
      </c>
      <c r="F432" s="113"/>
    </row>
    <row r="433" spans="1:9">
      <c r="A433" s="126">
        <v>378</v>
      </c>
      <c r="B433" s="114">
        <f t="shared" si="22"/>
        <v>0</v>
      </c>
      <c r="C433" s="114">
        <f t="shared" si="23"/>
        <v>0</v>
      </c>
      <c r="D433" s="114">
        <f t="shared" si="24"/>
        <v>0</v>
      </c>
      <c r="E433" s="114">
        <f t="shared" si="25"/>
        <v>0</v>
      </c>
      <c r="F433" s="113"/>
      <c r="G433" s="107"/>
      <c r="H433" s="117"/>
    </row>
    <row r="434" spans="1:9">
      <c r="A434" s="126">
        <v>379</v>
      </c>
      <c r="B434" s="114">
        <f t="shared" si="22"/>
        <v>0</v>
      </c>
      <c r="C434" s="114">
        <f t="shared" si="23"/>
        <v>0</v>
      </c>
      <c r="D434" s="114">
        <f t="shared" si="24"/>
        <v>0</v>
      </c>
      <c r="E434" s="114">
        <f t="shared" si="25"/>
        <v>0</v>
      </c>
      <c r="F434" s="113"/>
    </row>
    <row r="435" spans="1:9">
      <c r="A435" s="126">
        <v>380</v>
      </c>
      <c r="B435" s="114">
        <f t="shared" si="22"/>
        <v>0</v>
      </c>
      <c r="C435" s="114">
        <f t="shared" si="23"/>
        <v>0</v>
      </c>
      <c r="D435" s="114">
        <f t="shared" si="24"/>
        <v>0</v>
      </c>
      <c r="E435" s="114">
        <f t="shared" si="25"/>
        <v>0</v>
      </c>
      <c r="F435" s="113"/>
    </row>
    <row r="436" spans="1:9">
      <c r="A436" s="126">
        <v>381</v>
      </c>
      <c r="B436" s="114">
        <f t="shared" si="22"/>
        <v>0</v>
      </c>
      <c r="C436" s="114">
        <f t="shared" si="23"/>
        <v>0</v>
      </c>
      <c r="D436" s="114">
        <f t="shared" si="24"/>
        <v>0</v>
      </c>
      <c r="E436" s="114">
        <f t="shared" si="25"/>
        <v>0</v>
      </c>
      <c r="F436" s="113"/>
    </row>
    <row r="437" spans="1:9">
      <c r="A437" s="126">
        <v>382</v>
      </c>
      <c r="B437" s="114">
        <f t="shared" si="22"/>
        <v>0</v>
      </c>
      <c r="C437" s="114">
        <f t="shared" si="23"/>
        <v>0</v>
      </c>
      <c r="D437" s="114">
        <f t="shared" si="24"/>
        <v>0</v>
      </c>
      <c r="E437" s="114">
        <f t="shared" si="25"/>
        <v>0</v>
      </c>
      <c r="F437" s="113"/>
    </row>
    <row r="438" spans="1:9">
      <c r="A438" s="126">
        <v>383</v>
      </c>
      <c r="B438" s="114">
        <f t="shared" si="22"/>
        <v>0</v>
      </c>
      <c r="C438" s="114">
        <f t="shared" si="23"/>
        <v>0</v>
      </c>
      <c r="D438" s="114">
        <f t="shared" si="24"/>
        <v>0</v>
      </c>
      <c r="E438" s="114">
        <f t="shared" si="25"/>
        <v>0</v>
      </c>
      <c r="F438" s="113"/>
    </row>
    <row r="439" spans="1:9">
      <c r="A439" s="126">
        <v>384</v>
      </c>
      <c r="B439" s="114">
        <f t="shared" si="22"/>
        <v>0</v>
      </c>
      <c r="C439" s="114">
        <f t="shared" si="23"/>
        <v>0</v>
      </c>
      <c r="D439" s="114">
        <f t="shared" si="24"/>
        <v>0</v>
      </c>
      <c r="E439" s="114">
        <f t="shared" si="25"/>
        <v>0</v>
      </c>
      <c r="F439" s="113">
        <v>32</v>
      </c>
      <c r="G439" s="107"/>
      <c r="H439" s="117"/>
      <c r="I439" s="107"/>
    </row>
    <row r="440" spans="1:9">
      <c r="A440" s="126">
        <v>385</v>
      </c>
      <c r="B440" s="114">
        <f t="shared" ref="B440:B503" si="26">IF(A440&gt;12*$D$14,0,$D$20)</f>
        <v>0</v>
      </c>
      <c r="C440" s="114">
        <f t="shared" ref="C440:C503" si="27">IF(A440&gt;12*$D$14,0,E439*$D$10/12)</f>
        <v>0</v>
      </c>
      <c r="D440" s="114">
        <f t="shared" ref="D440:D503" si="28">IF(A440&gt;12*$D$14,0,B440-C440)</f>
        <v>0</v>
      </c>
      <c r="E440" s="114">
        <f t="shared" ref="E440:E503" si="29">IF(A440&gt;12*$D$14,0,E439-D440)</f>
        <v>0</v>
      </c>
      <c r="F440" s="113"/>
      <c r="I440" s="107"/>
    </row>
    <row r="441" spans="1:9">
      <c r="A441" s="126">
        <v>386</v>
      </c>
      <c r="B441" s="114">
        <f t="shared" si="26"/>
        <v>0</v>
      </c>
      <c r="C441" s="114">
        <f t="shared" si="27"/>
        <v>0</v>
      </c>
      <c r="D441" s="114">
        <f t="shared" si="28"/>
        <v>0</v>
      </c>
      <c r="E441" s="114">
        <f t="shared" si="29"/>
        <v>0</v>
      </c>
      <c r="F441" s="113"/>
    </row>
    <row r="442" spans="1:9">
      <c r="A442" s="126">
        <v>387</v>
      </c>
      <c r="B442" s="114">
        <f t="shared" si="26"/>
        <v>0</v>
      </c>
      <c r="C442" s="114">
        <f t="shared" si="27"/>
        <v>0</v>
      </c>
      <c r="D442" s="114">
        <f t="shared" si="28"/>
        <v>0</v>
      </c>
      <c r="E442" s="114">
        <f t="shared" si="29"/>
        <v>0</v>
      </c>
      <c r="F442" s="113"/>
    </row>
    <row r="443" spans="1:9">
      <c r="A443" s="126">
        <v>388</v>
      </c>
      <c r="B443" s="114">
        <f t="shared" si="26"/>
        <v>0</v>
      </c>
      <c r="C443" s="114">
        <f t="shared" si="27"/>
        <v>0</v>
      </c>
      <c r="D443" s="114">
        <f t="shared" si="28"/>
        <v>0</v>
      </c>
      <c r="E443" s="114">
        <f t="shared" si="29"/>
        <v>0</v>
      </c>
      <c r="F443" s="113"/>
    </row>
    <row r="444" spans="1:9">
      <c r="A444" s="126">
        <v>389</v>
      </c>
      <c r="B444" s="114">
        <f t="shared" si="26"/>
        <v>0</v>
      </c>
      <c r="C444" s="114">
        <f t="shared" si="27"/>
        <v>0</v>
      </c>
      <c r="D444" s="114">
        <f t="shared" si="28"/>
        <v>0</v>
      </c>
      <c r="E444" s="114">
        <f t="shared" si="29"/>
        <v>0</v>
      </c>
      <c r="F444" s="113"/>
    </row>
    <row r="445" spans="1:9">
      <c r="A445" s="126">
        <v>390</v>
      </c>
      <c r="B445" s="114">
        <f t="shared" si="26"/>
        <v>0</v>
      </c>
      <c r="C445" s="114">
        <f t="shared" si="27"/>
        <v>0</v>
      </c>
      <c r="D445" s="114">
        <f t="shared" si="28"/>
        <v>0</v>
      </c>
      <c r="E445" s="114">
        <f t="shared" si="29"/>
        <v>0</v>
      </c>
      <c r="F445" s="113"/>
      <c r="G445" s="107"/>
      <c r="H445" s="117"/>
    </row>
    <row r="446" spans="1:9">
      <c r="A446" s="126">
        <v>391</v>
      </c>
      <c r="B446" s="114">
        <f t="shared" si="26"/>
        <v>0</v>
      </c>
      <c r="C446" s="114">
        <f t="shared" si="27"/>
        <v>0</v>
      </c>
      <c r="D446" s="114">
        <f t="shared" si="28"/>
        <v>0</v>
      </c>
      <c r="E446" s="114">
        <f t="shared" si="29"/>
        <v>0</v>
      </c>
      <c r="F446" s="113"/>
    </row>
    <row r="447" spans="1:9">
      <c r="A447" s="126">
        <v>392</v>
      </c>
      <c r="B447" s="114">
        <f t="shared" si="26"/>
        <v>0</v>
      </c>
      <c r="C447" s="114">
        <f t="shared" si="27"/>
        <v>0</v>
      </c>
      <c r="D447" s="114">
        <f t="shared" si="28"/>
        <v>0</v>
      </c>
      <c r="E447" s="114">
        <f t="shared" si="29"/>
        <v>0</v>
      </c>
      <c r="F447" s="113"/>
    </row>
    <row r="448" spans="1:9">
      <c r="A448" s="126">
        <v>393</v>
      </c>
      <c r="B448" s="114">
        <f t="shared" si="26"/>
        <v>0</v>
      </c>
      <c r="C448" s="114">
        <f t="shared" si="27"/>
        <v>0</v>
      </c>
      <c r="D448" s="114">
        <f t="shared" si="28"/>
        <v>0</v>
      </c>
      <c r="E448" s="114">
        <f t="shared" si="29"/>
        <v>0</v>
      </c>
      <c r="F448" s="113"/>
    </row>
    <row r="449" spans="1:9">
      <c r="A449" s="126">
        <v>394</v>
      </c>
      <c r="B449" s="114">
        <f t="shared" si="26"/>
        <v>0</v>
      </c>
      <c r="C449" s="114">
        <f t="shared" si="27"/>
        <v>0</v>
      </c>
      <c r="D449" s="114">
        <f t="shared" si="28"/>
        <v>0</v>
      </c>
      <c r="E449" s="114">
        <f t="shared" si="29"/>
        <v>0</v>
      </c>
      <c r="F449" s="113"/>
    </row>
    <row r="450" spans="1:9">
      <c r="A450" s="126">
        <v>395</v>
      </c>
      <c r="B450" s="114">
        <f t="shared" si="26"/>
        <v>0</v>
      </c>
      <c r="C450" s="114">
        <f t="shared" si="27"/>
        <v>0</v>
      </c>
      <c r="D450" s="114">
        <f t="shared" si="28"/>
        <v>0</v>
      </c>
      <c r="E450" s="114">
        <f t="shared" si="29"/>
        <v>0</v>
      </c>
      <c r="F450" s="113"/>
    </row>
    <row r="451" spans="1:9">
      <c r="A451" s="126">
        <v>396</v>
      </c>
      <c r="B451" s="114">
        <f t="shared" si="26"/>
        <v>0</v>
      </c>
      <c r="C451" s="114">
        <f t="shared" si="27"/>
        <v>0</v>
      </c>
      <c r="D451" s="114">
        <f t="shared" si="28"/>
        <v>0</v>
      </c>
      <c r="E451" s="114">
        <f t="shared" si="29"/>
        <v>0</v>
      </c>
      <c r="F451" s="113">
        <v>33</v>
      </c>
      <c r="G451" s="107"/>
      <c r="H451" s="117"/>
      <c r="I451" s="107"/>
    </row>
    <row r="452" spans="1:9">
      <c r="A452" s="126">
        <v>397</v>
      </c>
      <c r="B452" s="114">
        <f t="shared" si="26"/>
        <v>0</v>
      </c>
      <c r="C452" s="114">
        <f t="shared" si="27"/>
        <v>0</v>
      </c>
      <c r="D452" s="114">
        <f t="shared" si="28"/>
        <v>0</v>
      </c>
      <c r="E452" s="114">
        <f t="shared" si="29"/>
        <v>0</v>
      </c>
      <c r="F452" s="113"/>
      <c r="I452" s="107"/>
    </row>
    <row r="453" spans="1:9">
      <c r="A453" s="126">
        <v>398</v>
      </c>
      <c r="B453" s="114">
        <f t="shared" si="26"/>
        <v>0</v>
      </c>
      <c r="C453" s="114">
        <f t="shared" si="27"/>
        <v>0</v>
      </c>
      <c r="D453" s="114">
        <f t="shared" si="28"/>
        <v>0</v>
      </c>
      <c r="E453" s="114">
        <f t="shared" si="29"/>
        <v>0</v>
      </c>
      <c r="F453" s="113"/>
    </row>
    <row r="454" spans="1:9">
      <c r="A454" s="126">
        <v>399</v>
      </c>
      <c r="B454" s="114">
        <f t="shared" si="26"/>
        <v>0</v>
      </c>
      <c r="C454" s="114">
        <f t="shared" si="27"/>
        <v>0</v>
      </c>
      <c r="D454" s="114">
        <f t="shared" si="28"/>
        <v>0</v>
      </c>
      <c r="E454" s="114">
        <f t="shared" si="29"/>
        <v>0</v>
      </c>
      <c r="F454" s="113"/>
    </row>
    <row r="455" spans="1:9">
      <c r="A455" s="126">
        <v>400</v>
      </c>
      <c r="B455" s="114">
        <f t="shared" si="26"/>
        <v>0</v>
      </c>
      <c r="C455" s="114">
        <f t="shared" si="27"/>
        <v>0</v>
      </c>
      <c r="D455" s="114">
        <f t="shared" si="28"/>
        <v>0</v>
      </c>
      <c r="E455" s="114">
        <f t="shared" si="29"/>
        <v>0</v>
      </c>
      <c r="F455" s="113"/>
    </row>
    <row r="456" spans="1:9">
      <c r="A456" s="126">
        <v>401</v>
      </c>
      <c r="B456" s="114">
        <f t="shared" si="26"/>
        <v>0</v>
      </c>
      <c r="C456" s="114">
        <f t="shared" si="27"/>
        <v>0</v>
      </c>
      <c r="D456" s="114">
        <f t="shared" si="28"/>
        <v>0</v>
      </c>
      <c r="E456" s="114">
        <f t="shared" si="29"/>
        <v>0</v>
      </c>
      <c r="F456" s="113"/>
    </row>
    <row r="457" spans="1:9">
      <c r="A457" s="126">
        <v>402</v>
      </c>
      <c r="B457" s="114">
        <f t="shared" si="26"/>
        <v>0</v>
      </c>
      <c r="C457" s="114">
        <f t="shared" si="27"/>
        <v>0</v>
      </c>
      <c r="D457" s="114">
        <f t="shared" si="28"/>
        <v>0</v>
      </c>
      <c r="E457" s="114">
        <f t="shared" si="29"/>
        <v>0</v>
      </c>
      <c r="F457" s="113"/>
      <c r="G457" s="107"/>
      <c r="H457" s="117"/>
    </row>
    <row r="458" spans="1:9">
      <c r="A458" s="126">
        <v>403</v>
      </c>
      <c r="B458" s="114">
        <f t="shared" si="26"/>
        <v>0</v>
      </c>
      <c r="C458" s="114">
        <f t="shared" si="27"/>
        <v>0</v>
      </c>
      <c r="D458" s="114">
        <f t="shared" si="28"/>
        <v>0</v>
      </c>
      <c r="E458" s="114">
        <f t="shared" si="29"/>
        <v>0</v>
      </c>
      <c r="F458" s="113"/>
    </row>
    <row r="459" spans="1:9">
      <c r="A459" s="126">
        <v>404</v>
      </c>
      <c r="B459" s="114">
        <f t="shared" si="26"/>
        <v>0</v>
      </c>
      <c r="C459" s="114">
        <f t="shared" si="27"/>
        <v>0</v>
      </c>
      <c r="D459" s="114">
        <f t="shared" si="28"/>
        <v>0</v>
      </c>
      <c r="E459" s="114">
        <f t="shared" si="29"/>
        <v>0</v>
      </c>
      <c r="F459" s="113"/>
    </row>
    <row r="460" spans="1:9">
      <c r="A460" s="126">
        <v>405</v>
      </c>
      <c r="B460" s="114">
        <f t="shared" si="26"/>
        <v>0</v>
      </c>
      <c r="C460" s="114">
        <f t="shared" si="27"/>
        <v>0</v>
      </c>
      <c r="D460" s="114">
        <f t="shared" si="28"/>
        <v>0</v>
      </c>
      <c r="E460" s="114">
        <f t="shared" si="29"/>
        <v>0</v>
      </c>
      <c r="F460" s="113"/>
    </row>
    <row r="461" spans="1:9">
      <c r="A461" s="126">
        <v>406</v>
      </c>
      <c r="B461" s="114">
        <f t="shared" si="26"/>
        <v>0</v>
      </c>
      <c r="C461" s="114">
        <f t="shared" si="27"/>
        <v>0</v>
      </c>
      <c r="D461" s="114">
        <f t="shared" si="28"/>
        <v>0</v>
      </c>
      <c r="E461" s="114">
        <f t="shared" si="29"/>
        <v>0</v>
      </c>
      <c r="F461" s="113"/>
    </row>
    <row r="462" spans="1:9">
      <c r="A462" s="126">
        <v>407</v>
      </c>
      <c r="B462" s="114">
        <f t="shared" si="26"/>
        <v>0</v>
      </c>
      <c r="C462" s="114">
        <f t="shared" si="27"/>
        <v>0</v>
      </c>
      <c r="D462" s="114">
        <f t="shared" si="28"/>
        <v>0</v>
      </c>
      <c r="E462" s="114">
        <f t="shared" si="29"/>
        <v>0</v>
      </c>
      <c r="F462" s="113"/>
    </row>
    <row r="463" spans="1:9">
      <c r="A463" s="126">
        <v>408</v>
      </c>
      <c r="B463" s="114">
        <f t="shared" si="26"/>
        <v>0</v>
      </c>
      <c r="C463" s="114">
        <f t="shared" si="27"/>
        <v>0</v>
      </c>
      <c r="D463" s="114">
        <f t="shared" si="28"/>
        <v>0</v>
      </c>
      <c r="E463" s="114">
        <f t="shared" si="29"/>
        <v>0</v>
      </c>
      <c r="F463" s="113">
        <v>34</v>
      </c>
      <c r="G463" s="107"/>
      <c r="H463" s="117"/>
      <c r="I463" s="107"/>
    </row>
    <row r="464" spans="1:9">
      <c r="A464" s="126">
        <v>409</v>
      </c>
      <c r="B464" s="114">
        <f t="shared" si="26"/>
        <v>0</v>
      </c>
      <c r="C464" s="114">
        <f t="shared" si="27"/>
        <v>0</v>
      </c>
      <c r="D464" s="114">
        <f t="shared" si="28"/>
        <v>0</v>
      </c>
      <c r="E464" s="114">
        <f t="shared" si="29"/>
        <v>0</v>
      </c>
      <c r="F464" s="113"/>
      <c r="I464" s="107"/>
    </row>
    <row r="465" spans="1:9">
      <c r="A465" s="126">
        <v>410</v>
      </c>
      <c r="B465" s="114">
        <f t="shared" si="26"/>
        <v>0</v>
      </c>
      <c r="C465" s="114">
        <f t="shared" si="27"/>
        <v>0</v>
      </c>
      <c r="D465" s="114">
        <f t="shared" si="28"/>
        <v>0</v>
      </c>
      <c r="E465" s="114">
        <f t="shared" si="29"/>
        <v>0</v>
      </c>
      <c r="F465" s="113"/>
    </row>
    <row r="466" spans="1:9">
      <c r="A466" s="126">
        <v>411</v>
      </c>
      <c r="B466" s="114">
        <f t="shared" si="26"/>
        <v>0</v>
      </c>
      <c r="C466" s="114">
        <f t="shared" si="27"/>
        <v>0</v>
      </c>
      <c r="D466" s="114">
        <f t="shared" si="28"/>
        <v>0</v>
      </c>
      <c r="E466" s="114">
        <f t="shared" si="29"/>
        <v>0</v>
      </c>
      <c r="F466" s="113"/>
    </row>
    <row r="467" spans="1:9">
      <c r="A467" s="126">
        <v>412</v>
      </c>
      <c r="B467" s="114">
        <f t="shared" si="26"/>
        <v>0</v>
      </c>
      <c r="C467" s="114">
        <f t="shared" si="27"/>
        <v>0</v>
      </c>
      <c r="D467" s="114">
        <f t="shared" si="28"/>
        <v>0</v>
      </c>
      <c r="E467" s="114">
        <f t="shared" si="29"/>
        <v>0</v>
      </c>
      <c r="F467" s="113"/>
    </row>
    <row r="468" spans="1:9">
      <c r="A468" s="126">
        <v>413</v>
      </c>
      <c r="B468" s="114">
        <f t="shared" si="26"/>
        <v>0</v>
      </c>
      <c r="C468" s="114">
        <f t="shared" si="27"/>
        <v>0</v>
      </c>
      <c r="D468" s="114">
        <f t="shared" si="28"/>
        <v>0</v>
      </c>
      <c r="E468" s="114">
        <f t="shared" si="29"/>
        <v>0</v>
      </c>
      <c r="F468" s="113"/>
    </row>
    <row r="469" spans="1:9">
      <c r="A469" s="126">
        <v>414</v>
      </c>
      <c r="B469" s="114">
        <f t="shared" si="26"/>
        <v>0</v>
      </c>
      <c r="C469" s="114">
        <f t="shared" si="27"/>
        <v>0</v>
      </c>
      <c r="D469" s="114">
        <f t="shared" si="28"/>
        <v>0</v>
      </c>
      <c r="E469" s="114">
        <f t="shared" si="29"/>
        <v>0</v>
      </c>
      <c r="F469" s="113"/>
      <c r="G469" s="107"/>
      <c r="H469" s="117"/>
    </row>
    <row r="470" spans="1:9">
      <c r="A470" s="126">
        <v>415</v>
      </c>
      <c r="B470" s="114">
        <f t="shared" si="26"/>
        <v>0</v>
      </c>
      <c r="C470" s="114">
        <f t="shared" si="27"/>
        <v>0</v>
      </c>
      <c r="D470" s="114">
        <f t="shared" si="28"/>
        <v>0</v>
      </c>
      <c r="E470" s="114">
        <f t="shared" si="29"/>
        <v>0</v>
      </c>
      <c r="F470" s="113"/>
    </row>
    <row r="471" spans="1:9">
      <c r="A471" s="126">
        <v>416</v>
      </c>
      <c r="B471" s="114">
        <f t="shared" si="26"/>
        <v>0</v>
      </c>
      <c r="C471" s="114">
        <f t="shared" si="27"/>
        <v>0</v>
      </c>
      <c r="D471" s="114">
        <f t="shared" si="28"/>
        <v>0</v>
      </c>
      <c r="E471" s="114">
        <f t="shared" si="29"/>
        <v>0</v>
      </c>
      <c r="F471" s="113"/>
    </row>
    <row r="472" spans="1:9">
      <c r="A472" s="126">
        <v>417</v>
      </c>
      <c r="B472" s="114">
        <f t="shared" si="26"/>
        <v>0</v>
      </c>
      <c r="C472" s="114">
        <f t="shared" si="27"/>
        <v>0</v>
      </c>
      <c r="D472" s="114">
        <f t="shared" si="28"/>
        <v>0</v>
      </c>
      <c r="E472" s="114">
        <f t="shared" si="29"/>
        <v>0</v>
      </c>
      <c r="F472" s="113"/>
    </row>
    <row r="473" spans="1:9">
      <c r="A473" s="126">
        <v>418</v>
      </c>
      <c r="B473" s="114">
        <f t="shared" si="26"/>
        <v>0</v>
      </c>
      <c r="C473" s="114">
        <f t="shared" si="27"/>
        <v>0</v>
      </c>
      <c r="D473" s="114">
        <f t="shared" si="28"/>
        <v>0</v>
      </c>
      <c r="E473" s="114">
        <f t="shared" si="29"/>
        <v>0</v>
      </c>
      <c r="F473" s="113"/>
    </row>
    <row r="474" spans="1:9">
      <c r="A474" s="126">
        <v>419</v>
      </c>
      <c r="B474" s="114">
        <f t="shared" si="26"/>
        <v>0</v>
      </c>
      <c r="C474" s="114">
        <f t="shared" si="27"/>
        <v>0</v>
      </c>
      <c r="D474" s="114">
        <f t="shared" si="28"/>
        <v>0</v>
      </c>
      <c r="E474" s="114">
        <f t="shared" si="29"/>
        <v>0</v>
      </c>
      <c r="F474" s="113"/>
    </row>
    <row r="475" spans="1:9">
      <c r="A475" s="126">
        <v>420</v>
      </c>
      <c r="B475" s="114">
        <f t="shared" si="26"/>
        <v>0</v>
      </c>
      <c r="C475" s="114">
        <f t="shared" si="27"/>
        <v>0</v>
      </c>
      <c r="D475" s="114">
        <f t="shared" si="28"/>
        <v>0</v>
      </c>
      <c r="E475" s="114">
        <f t="shared" si="29"/>
        <v>0</v>
      </c>
      <c r="F475" s="113">
        <v>35</v>
      </c>
      <c r="G475" s="107"/>
      <c r="H475" s="117"/>
      <c r="I475" s="107"/>
    </row>
    <row r="476" spans="1:9">
      <c r="A476" s="126">
        <v>421</v>
      </c>
      <c r="B476" s="114">
        <f t="shared" si="26"/>
        <v>0</v>
      </c>
      <c r="C476" s="114">
        <f t="shared" si="27"/>
        <v>0</v>
      </c>
      <c r="D476" s="114">
        <f t="shared" si="28"/>
        <v>0</v>
      </c>
      <c r="E476" s="114">
        <f t="shared" si="29"/>
        <v>0</v>
      </c>
      <c r="F476" s="113"/>
      <c r="I476" s="107"/>
    </row>
    <row r="477" spans="1:9">
      <c r="A477" s="126">
        <v>422</v>
      </c>
      <c r="B477" s="114">
        <f t="shared" si="26"/>
        <v>0</v>
      </c>
      <c r="C477" s="114">
        <f t="shared" si="27"/>
        <v>0</v>
      </c>
      <c r="D477" s="114">
        <f t="shared" si="28"/>
        <v>0</v>
      </c>
      <c r="E477" s="114">
        <f t="shared" si="29"/>
        <v>0</v>
      </c>
      <c r="F477" s="113"/>
    </row>
    <row r="478" spans="1:9">
      <c r="A478" s="126">
        <v>423</v>
      </c>
      <c r="B478" s="114">
        <f t="shared" si="26"/>
        <v>0</v>
      </c>
      <c r="C478" s="114">
        <f t="shared" si="27"/>
        <v>0</v>
      </c>
      <c r="D478" s="114">
        <f t="shared" si="28"/>
        <v>0</v>
      </c>
      <c r="E478" s="114">
        <f t="shared" si="29"/>
        <v>0</v>
      </c>
      <c r="F478" s="113"/>
    </row>
    <row r="479" spans="1:9">
      <c r="A479" s="126">
        <v>424</v>
      </c>
      <c r="B479" s="114">
        <f t="shared" si="26"/>
        <v>0</v>
      </c>
      <c r="C479" s="114">
        <f t="shared" si="27"/>
        <v>0</v>
      </c>
      <c r="D479" s="114">
        <f t="shared" si="28"/>
        <v>0</v>
      </c>
      <c r="E479" s="114">
        <f t="shared" si="29"/>
        <v>0</v>
      </c>
      <c r="F479" s="113"/>
    </row>
    <row r="480" spans="1:9">
      <c r="A480" s="126">
        <v>425</v>
      </c>
      <c r="B480" s="114">
        <f t="shared" si="26"/>
        <v>0</v>
      </c>
      <c r="C480" s="114">
        <f t="shared" si="27"/>
        <v>0</v>
      </c>
      <c r="D480" s="114">
        <f t="shared" si="28"/>
        <v>0</v>
      </c>
      <c r="E480" s="114">
        <f t="shared" si="29"/>
        <v>0</v>
      </c>
      <c r="F480" s="113"/>
    </row>
    <row r="481" spans="1:9">
      <c r="A481" s="126">
        <v>426</v>
      </c>
      <c r="B481" s="114">
        <f t="shared" si="26"/>
        <v>0</v>
      </c>
      <c r="C481" s="114">
        <f t="shared" si="27"/>
        <v>0</v>
      </c>
      <c r="D481" s="114">
        <f t="shared" si="28"/>
        <v>0</v>
      </c>
      <c r="E481" s="114">
        <f t="shared" si="29"/>
        <v>0</v>
      </c>
      <c r="F481" s="113"/>
      <c r="G481" s="107"/>
      <c r="H481" s="117"/>
    </row>
    <row r="482" spans="1:9">
      <c r="A482" s="126">
        <v>427</v>
      </c>
      <c r="B482" s="114">
        <f t="shared" si="26"/>
        <v>0</v>
      </c>
      <c r="C482" s="114">
        <f t="shared" si="27"/>
        <v>0</v>
      </c>
      <c r="D482" s="114">
        <f t="shared" si="28"/>
        <v>0</v>
      </c>
      <c r="E482" s="114">
        <f t="shared" si="29"/>
        <v>0</v>
      </c>
      <c r="F482" s="113"/>
    </row>
    <row r="483" spans="1:9">
      <c r="A483" s="126">
        <v>428</v>
      </c>
      <c r="B483" s="114">
        <f t="shared" si="26"/>
        <v>0</v>
      </c>
      <c r="C483" s="114">
        <f t="shared" si="27"/>
        <v>0</v>
      </c>
      <c r="D483" s="114">
        <f t="shared" si="28"/>
        <v>0</v>
      </c>
      <c r="E483" s="114">
        <f t="shared" si="29"/>
        <v>0</v>
      </c>
      <c r="F483" s="113"/>
    </row>
    <row r="484" spans="1:9">
      <c r="A484" s="126">
        <v>429</v>
      </c>
      <c r="B484" s="114">
        <f t="shared" si="26"/>
        <v>0</v>
      </c>
      <c r="C484" s="114">
        <f t="shared" si="27"/>
        <v>0</v>
      </c>
      <c r="D484" s="114">
        <f t="shared" si="28"/>
        <v>0</v>
      </c>
      <c r="E484" s="114">
        <f t="shared" si="29"/>
        <v>0</v>
      </c>
      <c r="F484" s="113"/>
    </row>
    <row r="485" spans="1:9">
      <c r="A485" s="126">
        <v>430</v>
      </c>
      <c r="B485" s="114">
        <f t="shared" si="26"/>
        <v>0</v>
      </c>
      <c r="C485" s="114">
        <f t="shared" si="27"/>
        <v>0</v>
      </c>
      <c r="D485" s="114">
        <f t="shared" si="28"/>
        <v>0</v>
      </c>
      <c r="E485" s="114">
        <f t="shared" si="29"/>
        <v>0</v>
      </c>
      <c r="F485" s="113"/>
    </row>
    <row r="486" spans="1:9">
      <c r="A486" s="126">
        <v>431</v>
      </c>
      <c r="B486" s="114">
        <f t="shared" si="26"/>
        <v>0</v>
      </c>
      <c r="C486" s="114">
        <f t="shared" si="27"/>
        <v>0</v>
      </c>
      <c r="D486" s="114">
        <f t="shared" si="28"/>
        <v>0</v>
      </c>
      <c r="E486" s="114">
        <f t="shared" si="29"/>
        <v>0</v>
      </c>
      <c r="F486" s="113"/>
    </row>
    <row r="487" spans="1:9">
      <c r="A487" s="126">
        <v>432</v>
      </c>
      <c r="B487" s="114">
        <f t="shared" si="26"/>
        <v>0</v>
      </c>
      <c r="C487" s="114">
        <f t="shared" si="27"/>
        <v>0</v>
      </c>
      <c r="D487" s="114">
        <f t="shared" si="28"/>
        <v>0</v>
      </c>
      <c r="E487" s="114">
        <f t="shared" si="29"/>
        <v>0</v>
      </c>
      <c r="F487" s="113">
        <v>36</v>
      </c>
      <c r="G487" s="107"/>
      <c r="H487" s="117"/>
      <c r="I487" s="107"/>
    </row>
    <row r="488" spans="1:9">
      <c r="A488" s="126">
        <v>433</v>
      </c>
      <c r="B488" s="114">
        <f t="shared" si="26"/>
        <v>0</v>
      </c>
      <c r="C488" s="114">
        <f t="shared" si="27"/>
        <v>0</v>
      </c>
      <c r="D488" s="114">
        <f t="shared" si="28"/>
        <v>0</v>
      </c>
      <c r="E488" s="114">
        <f t="shared" si="29"/>
        <v>0</v>
      </c>
      <c r="F488" s="113"/>
      <c r="I488" s="107"/>
    </row>
    <row r="489" spans="1:9">
      <c r="A489" s="126">
        <v>434</v>
      </c>
      <c r="B489" s="114">
        <f t="shared" si="26"/>
        <v>0</v>
      </c>
      <c r="C489" s="114">
        <f t="shared" si="27"/>
        <v>0</v>
      </c>
      <c r="D489" s="114">
        <f t="shared" si="28"/>
        <v>0</v>
      </c>
      <c r="E489" s="114">
        <f t="shared" si="29"/>
        <v>0</v>
      </c>
      <c r="F489" s="113"/>
    </row>
    <row r="490" spans="1:9">
      <c r="A490" s="126">
        <v>435</v>
      </c>
      <c r="B490" s="114">
        <f t="shared" si="26"/>
        <v>0</v>
      </c>
      <c r="C490" s="114">
        <f t="shared" si="27"/>
        <v>0</v>
      </c>
      <c r="D490" s="114">
        <f t="shared" si="28"/>
        <v>0</v>
      </c>
      <c r="E490" s="114">
        <f t="shared" si="29"/>
        <v>0</v>
      </c>
      <c r="F490" s="113"/>
    </row>
    <row r="491" spans="1:9">
      <c r="A491" s="126">
        <v>436</v>
      </c>
      <c r="B491" s="114">
        <f t="shared" si="26"/>
        <v>0</v>
      </c>
      <c r="C491" s="114">
        <f t="shared" si="27"/>
        <v>0</v>
      </c>
      <c r="D491" s="114">
        <f t="shared" si="28"/>
        <v>0</v>
      </c>
      <c r="E491" s="114">
        <f t="shared" si="29"/>
        <v>0</v>
      </c>
      <c r="F491" s="113"/>
    </row>
    <row r="492" spans="1:9">
      <c r="A492" s="126">
        <v>437</v>
      </c>
      <c r="B492" s="114">
        <f t="shared" si="26"/>
        <v>0</v>
      </c>
      <c r="C492" s="114">
        <f t="shared" si="27"/>
        <v>0</v>
      </c>
      <c r="D492" s="114">
        <f t="shared" si="28"/>
        <v>0</v>
      </c>
      <c r="E492" s="114">
        <f t="shared" si="29"/>
        <v>0</v>
      </c>
      <c r="F492" s="113"/>
    </row>
    <row r="493" spans="1:9">
      <c r="A493" s="126">
        <v>438</v>
      </c>
      <c r="B493" s="114">
        <f t="shared" si="26"/>
        <v>0</v>
      </c>
      <c r="C493" s="114">
        <f t="shared" si="27"/>
        <v>0</v>
      </c>
      <c r="D493" s="114">
        <f t="shared" si="28"/>
        <v>0</v>
      </c>
      <c r="E493" s="114">
        <f t="shared" si="29"/>
        <v>0</v>
      </c>
      <c r="F493" s="113"/>
      <c r="G493" s="107"/>
      <c r="H493" s="117"/>
    </row>
    <row r="494" spans="1:9">
      <c r="A494" s="126">
        <v>439</v>
      </c>
      <c r="B494" s="114">
        <f t="shared" si="26"/>
        <v>0</v>
      </c>
      <c r="C494" s="114">
        <f t="shared" si="27"/>
        <v>0</v>
      </c>
      <c r="D494" s="114">
        <f t="shared" si="28"/>
        <v>0</v>
      </c>
      <c r="E494" s="114">
        <f t="shared" si="29"/>
        <v>0</v>
      </c>
      <c r="F494" s="113"/>
    </row>
    <row r="495" spans="1:9">
      <c r="A495" s="126">
        <v>440</v>
      </c>
      <c r="B495" s="114">
        <f t="shared" si="26"/>
        <v>0</v>
      </c>
      <c r="C495" s="114">
        <f t="shared" si="27"/>
        <v>0</v>
      </c>
      <c r="D495" s="114">
        <f t="shared" si="28"/>
        <v>0</v>
      </c>
      <c r="E495" s="114">
        <f t="shared" si="29"/>
        <v>0</v>
      </c>
      <c r="F495" s="113"/>
    </row>
    <row r="496" spans="1:9">
      <c r="A496" s="126">
        <v>441</v>
      </c>
      <c r="B496" s="114">
        <f t="shared" si="26"/>
        <v>0</v>
      </c>
      <c r="C496" s="114">
        <f t="shared" si="27"/>
        <v>0</v>
      </c>
      <c r="D496" s="114">
        <f t="shared" si="28"/>
        <v>0</v>
      </c>
      <c r="E496" s="114">
        <f t="shared" si="29"/>
        <v>0</v>
      </c>
      <c r="F496" s="113"/>
    </row>
    <row r="497" spans="1:9">
      <c r="A497" s="126">
        <v>442</v>
      </c>
      <c r="B497" s="114">
        <f t="shared" si="26"/>
        <v>0</v>
      </c>
      <c r="C497" s="114">
        <f t="shared" si="27"/>
        <v>0</v>
      </c>
      <c r="D497" s="114">
        <f t="shared" si="28"/>
        <v>0</v>
      </c>
      <c r="E497" s="114">
        <f t="shared" si="29"/>
        <v>0</v>
      </c>
      <c r="F497" s="113"/>
    </row>
    <row r="498" spans="1:9">
      <c r="A498" s="126">
        <v>443</v>
      </c>
      <c r="B498" s="114">
        <f t="shared" si="26"/>
        <v>0</v>
      </c>
      <c r="C498" s="114">
        <f t="shared" si="27"/>
        <v>0</v>
      </c>
      <c r="D498" s="114">
        <f t="shared" si="28"/>
        <v>0</v>
      </c>
      <c r="E498" s="114">
        <f t="shared" si="29"/>
        <v>0</v>
      </c>
      <c r="F498" s="113"/>
    </row>
    <row r="499" spans="1:9">
      <c r="A499" s="126">
        <v>444</v>
      </c>
      <c r="B499" s="114">
        <f t="shared" si="26"/>
        <v>0</v>
      </c>
      <c r="C499" s="114">
        <f t="shared" si="27"/>
        <v>0</v>
      </c>
      <c r="D499" s="114">
        <f t="shared" si="28"/>
        <v>0</v>
      </c>
      <c r="E499" s="114">
        <f t="shared" si="29"/>
        <v>0</v>
      </c>
      <c r="F499" s="113">
        <v>37</v>
      </c>
      <c r="G499" s="107"/>
      <c r="H499" s="117"/>
      <c r="I499" s="107"/>
    </row>
    <row r="500" spans="1:9">
      <c r="A500" s="126">
        <v>445</v>
      </c>
      <c r="B500" s="114">
        <f t="shared" si="26"/>
        <v>0</v>
      </c>
      <c r="C500" s="114">
        <f t="shared" si="27"/>
        <v>0</v>
      </c>
      <c r="D500" s="114">
        <f t="shared" si="28"/>
        <v>0</v>
      </c>
      <c r="E500" s="114">
        <f t="shared" si="29"/>
        <v>0</v>
      </c>
      <c r="F500" s="113"/>
      <c r="I500" s="107"/>
    </row>
    <row r="501" spans="1:9">
      <c r="A501" s="126">
        <v>446</v>
      </c>
      <c r="B501" s="114">
        <f t="shared" si="26"/>
        <v>0</v>
      </c>
      <c r="C501" s="114">
        <f t="shared" si="27"/>
        <v>0</v>
      </c>
      <c r="D501" s="114">
        <f t="shared" si="28"/>
        <v>0</v>
      </c>
      <c r="E501" s="114">
        <f t="shared" si="29"/>
        <v>0</v>
      </c>
      <c r="F501" s="113"/>
    </row>
    <row r="502" spans="1:9">
      <c r="A502" s="126">
        <v>447</v>
      </c>
      <c r="B502" s="114">
        <f t="shared" si="26"/>
        <v>0</v>
      </c>
      <c r="C502" s="114">
        <f t="shared" si="27"/>
        <v>0</v>
      </c>
      <c r="D502" s="114">
        <f t="shared" si="28"/>
        <v>0</v>
      </c>
      <c r="E502" s="114">
        <f t="shared" si="29"/>
        <v>0</v>
      </c>
      <c r="F502" s="113"/>
    </row>
    <row r="503" spans="1:9">
      <c r="A503" s="126">
        <v>448</v>
      </c>
      <c r="B503" s="114">
        <f t="shared" si="26"/>
        <v>0</v>
      </c>
      <c r="C503" s="114">
        <f t="shared" si="27"/>
        <v>0</v>
      </c>
      <c r="D503" s="114">
        <f t="shared" si="28"/>
        <v>0</v>
      </c>
      <c r="E503" s="114">
        <f t="shared" si="29"/>
        <v>0</v>
      </c>
      <c r="F503" s="113"/>
    </row>
    <row r="504" spans="1:9">
      <c r="A504" s="126">
        <v>449</v>
      </c>
      <c r="B504" s="114">
        <f t="shared" ref="B504:B535" si="30">IF(A504&gt;12*$D$14,0,$D$20)</f>
        <v>0</v>
      </c>
      <c r="C504" s="114">
        <f t="shared" ref="C504:C535" si="31">IF(A504&gt;12*$D$14,0,E503*$D$10/12)</f>
        <v>0</v>
      </c>
      <c r="D504" s="114">
        <f t="shared" ref="D504:D535" si="32">IF(A504&gt;12*$D$14,0,B504-C504)</f>
        <v>0</v>
      </c>
      <c r="E504" s="114">
        <f t="shared" ref="E504:E535" si="33">IF(A504&gt;12*$D$14,0,E503-D504)</f>
        <v>0</v>
      </c>
      <c r="F504" s="113"/>
    </row>
    <row r="505" spans="1:9">
      <c r="A505" s="126">
        <v>450</v>
      </c>
      <c r="B505" s="114">
        <f t="shared" si="30"/>
        <v>0</v>
      </c>
      <c r="C505" s="114">
        <f t="shared" si="31"/>
        <v>0</v>
      </c>
      <c r="D505" s="114">
        <f t="shared" si="32"/>
        <v>0</v>
      </c>
      <c r="E505" s="114">
        <f t="shared" si="33"/>
        <v>0</v>
      </c>
      <c r="F505" s="113"/>
      <c r="G505" s="107"/>
      <c r="H505" s="117"/>
    </row>
    <row r="506" spans="1:9">
      <c r="A506" s="126">
        <v>451</v>
      </c>
      <c r="B506" s="114">
        <f t="shared" si="30"/>
        <v>0</v>
      </c>
      <c r="C506" s="114">
        <f t="shared" si="31"/>
        <v>0</v>
      </c>
      <c r="D506" s="114">
        <f t="shared" si="32"/>
        <v>0</v>
      </c>
      <c r="E506" s="114">
        <f t="shared" si="33"/>
        <v>0</v>
      </c>
      <c r="F506" s="113"/>
    </row>
    <row r="507" spans="1:9">
      <c r="A507" s="126">
        <v>452</v>
      </c>
      <c r="B507" s="114">
        <f t="shared" si="30"/>
        <v>0</v>
      </c>
      <c r="C507" s="114">
        <f t="shared" si="31"/>
        <v>0</v>
      </c>
      <c r="D507" s="114">
        <f t="shared" si="32"/>
        <v>0</v>
      </c>
      <c r="E507" s="114">
        <f t="shared" si="33"/>
        <v>0</v>
      </c>
      <c r="F507" s="113"/>
    </row>
    <row r="508" spans="1:9">
      <c r="A508" s="126">
        <v>453</v>
      </c>
      <c r="B508" s="114">
        <f t="shared" si="30"/>
        <v>0</v>
      </c>
      <c r="C508" s="114">
        <f t="shared" si="31"/>
        <v>0</v>
      </c>
      <c r="D508" s="114">
        <f t="shared" si="32"/>
        <v>0</v>
      </c>
      <c r="E508" s="114">
        <f t="shared" si="33"/>
        <v>0</v>
      </c>
      <c r="F508" s="113"/>
    </row>
    <row r="509" spans="1:9">
      <c r="A509" s="126">
        <v>454</v>
      </c>
      <c r="B509" s="114">
        <f t="shared" si="30"/>
        <v>0</v>
      </c>
      <c r="C509" s="114">
        <f t="shared" si="31"/>
        <v>0</v>
      </c>
      <c r="D509" s="114">
        <f t="shared" si="32"/>
        <v>0</v>
      </c>
      <c r="E509" s="114">
        <f t="shared" si="33"/>
        <v>0</v>
      </c>
      <c r="F509" s="113"/>
    </row>
    <row r="510" spans="1:9">
      <c r="A510" s="126">
        <v>455</v>
      </c>
      <c r="B510" s="114">
        <f t="shared" si="30"/>
        <v>0</v>
      </c>
      <c r="C510" s="114">
        <f t="shared" si="31"/>
        <v>0</v>
      </c>
      <c r="D510" s="114">
        <f t="shared" si="32"/>
        <v>0</v>
      </c>
      <c r="E510" s="114">
        <f t="shared" si="33"/>
        <v>0</v>
      </c>
      <c r="F510" s="113"/>
    </row>
    <row r="511" spans="1:9">
      <c r="A511" s="126">
        <v>456</v>
      </c>
      <c r="B511" s="114">
        <f t="shared" si="30"/>
        <v>0</v>
      </c>
      <c r="C511" s="114">
        <f t="shared" si="31"/>
        <v>0</v>
      </c>
      <c r="D511" s="114">
        <f t="shared" si="32"/>
        <v>0</v>
      </c>
      <c r="E511" s="114">
        <f t="shared" si="33"/>
        <v>0</v>
      </c>
      <c r="F511" s="113">
        <v>38</v>
      </c>
    </row>
    <row r="512" spans="1:9">
      <c r="A512" s="126">
        <v>457</v>
      </c>
      <c r="B512" s="114">
        <f t="shared" si="30"/>
        <v>0</v>
      </c>
      <c r="C512" s="114">
        <f t="shared" si="31"/>
        <v>0</v>
      </c>
      <c r="D512" s="114">
        <f t="shared" si="32"/>
        <v>0</v>
      </c>
      <c r="E512" s="114">
        <f t="shared" si="33"/>
        <v>0</v>
      </c>
      <c r="F512" s="113"/>
    </row>
    <row r="513" spans="1:6">
      <c r="A513" s="126">
        <v>458</v>
      </c>
      <c r="B513" s="114">
        <f t="shared" si="30"/>
        <v>0</v>
      </c>
      <c r="C513" s="114">
        <f t="shared" si="31"/>
        <v>0</v>
      </c>
      <c r="D513" s="114">
        <f t="shared" si="32"/>
        <v>0</v>
      </c>
      <c r="E513" s="114">
        <f t="shared" si="33"/>
        <v>0</v>
      </c>
      <c r="F513" s="113"/>
    </row>
    <row r="514" spans="1:6">
      <c r="A514" s="126">
        <v>459</v>
      </c>
      <c r="B514" s="114">
        <f t="shared" si="30"/>
        <v>0</v>
      </c>
      <c r="C514" s="114">
        <f t="shared" si="31"/>
        <v>0</v>
      </c>
      <c r="D514" s="114">
        <f t="shared" si="32"/>
        <v>0</v>
      </c>
      <c r="E514" s="114">
        <f t="shared" si="33"/>
        <v>0</v>
      </c>
      <c r="F514" s="113"/>
    </row>
    <row r="515" spans="1:6">
      <c r="A515" s="126">
        <v>460</v>
      </c>
      <c r="B515" s="114">
        <f t="shared" si="30"/>
        <v>0</v>
      </c>
      <c r="C515" s="114">
        <f t="shared" si="31"/>
        <v>0</v>
      </c>
      <c r="D515" s="114">
        <f t="shared" si="32"/>
        <v>0</v>
      </c>
      <c r="E515" s="114">
        <f t="shared" si="33"/>
        <v>0</v>
      </c>
      <c r="F515" s="113"/>
    </row>
    <row r="516" spans="1:6">
      <c r="A516" s="126">
        <v>461</v>
      </c>
      <c r="B516" s="114">
        <f t="shared" si="30"/>
        <v>0</v>
      </c>
      <c r="C516" s="114">
        <f t="shared" si="31"/>
        <v>0</v>
      </c>
      <c r="D516" s="114">
        <f t="shared" si="32"/>
        <v>0</v>
      </c>
      <c r="E516" s="114">
        <f t="shared" si="33"/>
        <v>0</v>
      </c>
      <c r="F516" s="113"/>
    </row>
    <row r="517" spans="1:6">
      <c r="A517" s="126">
        <v>462</v>
      </c>
      <c r="B517" s="114">
        <f t="shared" si="30"/>
        <v>0</v>
      </c>
      <c r="C517" s="114">
        <f t="shared" si="31"/>
        <v>0</v>
      </c>
      <c r="D517" s="114">
        <f t="shared" si="32"/>
        <v>0</v>
      </c>
      <c r="E517" s="114">
        <f t="shared" si="33"/>
        <v>0</v>
      </c>
      <c r="F517" s="113"/>
    </row>
    <row r="518" spans="1:6">
      <c r="A518" s="126">
        <v>463</v>
      </c>
      <c r="B518" s="114">
        <f t="shared" si="30"/>
        <v>0</v>
      </c>
      <c r="C518" s="114">
        <f t="shared" si="31"/>
        <v>0</v>
      </c>
      <c r="D518" s="114">
        <f t="shared" si="32"/>
        <v>0</v>
      </c>
      <c r="E518" s="114">
        <f t="shared" si="33"/>
        <v>0</v>
      </c>
      <c r="F518" s="113"/>
    </row>
    <row r="519" spans="1:6">
      <c r="A519" s="126">
        <v>464</v>
      </c>
      <c r="B519" s="114">
        <f t="shared" si="30"/>
        <v>0</v>
      </c>
      <c r="C519" s="114">
        <f t="shared" si="31"/>
        <v>0</v>
      </c>
      <c r="D519" s="114">
        <f t="shared" si="32"/>
        <v>0</v>
      </c>
      <c r="E519" s="114">
        <f t="shared" si="33"/>
        <v>0</v>
      </c>
      <c r="F519" s="113"/>
    </row>
    <row r="520" spans="1:6">
      <c r="A520" s="126">
        <v>465</v>
      </c>
      <c r="B520" s="114">
        <f t="shared" si="30"/>
        <v>0</v>
      </c>
      <c r="C520" s="114">
        <f t="shared" si="31"/>
        <v>0</v>
      </c>
      <c r="D520" s="114">
        <f t="shared" si="32"/>
        <v>0</v>
      </c>
      <c r="E520" s="114">
        <f t="shared" si="33"/>
        <v>0</v>
      </c>
      <c r="F520" s="113"/>
    </row>
    <row r="521" spans="1:6">
      <c r="A521" s="126">
        <v>466</v>
      </c>
      <c r="B521" s="114">
        <f t="shared" si="30"/>
        <v>0</v>
      </c>
      <c r="C521" s="114">
        <f t="shared" si="31"/>
        <v>0</v>
      </c>
      <c r="D521" s="114">
        <f t="shared" si="32"/>
        <v>0</v>
      </c>
      <c r="E521" s="114">
        <f t="shared" si="33"/>
        <v>0</v>
      </c>
      <c r="F521" s="113"/>
    </row>
    <row r="522" spans="1:6">
      <c r="A522" s="126">
        <v>467</v>
      </c>
      <c r="B522" s="114">
        <f t="shared" si="30"/>
        <v>0</v>
      </c>
      <c r="C522" s="114">
        <f t="shared" si="31"/>
        <v>0</v>
      </c>
      <c r="D522" s="114">
        <f t="shared" si="32"/>
        <v>0</v>
      </c>
      <c r="E522" s="114">
        <f t="shared" si="33"/>
        <v>0</v>
      </c>
      <c r="F522" s="113"/>
    </row>
    <row r="523" spans="1:6">
      <c r="A523" s="126">
        <v>468</v>
      </c>
      <c r="B523" s="114">
        <f t="shared" si="30"/>
        <v>0</v>
      </c>
      <c r="C523" s="114">
        <f t="shared" si="31"/>
        <v>0</v>
      </c>
      <c r="D523" s="114">
        <f t="shared" si="32"/>
        <v>0</v>
      </c>
      <c r="E523" s="114">
        <f t="shared" si="33"/>
        <v>0</v>
      </c>
      <c r="F523" s="113">
        <v>39</v>
      </c>
    </row>
    <row r="524" spans="1:6">
      <c r="A524" s="126">
        <v>469</v>
      </c>
      <c r="B524" s="114">
        <f t="shared" si="30"/>
        <v>0</v>
      </c>
      <c r="C524" s="114">
        <f t="shared" si="31"/>
        <v>0</v>
      </c>
      <c r="D524" s="114">
        <f t="shared" si="32"/>
        <v>0</v>
      </c>
      <c r="E524" s="114">
        <f t="shared" si="33"/>
        <v>0</v>
      </c>
      <c r="F524" s="113"/>
    </row>
    <row r="525" spans="1:6">
      <c r="A525" s="126">
        <v>470</v>
      </c>
      <c r="B525" s="114">
        <f t="shared" si="30"/>
        <v>0</v>
      </c>
      <c r="C525" s="114">
        <f t="shared" si="31"/>
        <v>0</v>
      </c>
      <c r="D525" s="114">
        <f t="shared" si="32"/>
        <v>0</v>
      </c>
      <c r="E525" s="114">
        <f t="shared" si="33"/>
        <v>0</v>
      </c>
      <c r="F525" s="113"/>
    </row>
    <row r="526" spans="1:6">
      <c r="A526" s="126">
        <v>471</v>
      </c>
      <c r="B526" s="114">
        <f t="shared" si="30"/>
        <v>0</v>
      </c>
      <c r="C526" s="114">
        <f t="shared" si="31"/>
        <v>0</v>
      </c>
      <c r="D526" s="114">
        <f t="shared" si="32"/>
        <v>0</v>
      </c>
      <c r="E526" s="114">
        <f t="shared" si="33"/>
        <v>0</v>
      </c>
      <c r="F526" s="113"/>
    </row>
    <row r="527" spans="1:6">
      <c r="A527" s="126">
        <v>472</v>
      </c>
      <c r="B527" s="114">
        <f t="shared" si="30"/>
        <v>0</v>
      </c>
      <c r="C527" s="114">
        <f t="shared" si="31"/>
        <v>0</v>
      </c>
      <c r="D527" s="114">
        <f t="shared" si="32"/>
        <v>0</v>
      </c>
      <c r="E527" s="114">
        <f t="shared" si="33"/>
        <v>0</v>
      </c>
      <c r="F527" s="113"/>
    </row>
    <row r="528" spans="1:6">
      <c r="A528" s="126">
        <v>473</v>
      </c>
      <c r="B528" s="114">
        <f t="shared" si="30"/>
        <v>0</v>
      </c>
      <c r="C528" s="114">
        <f t="shared" si="31"/>
        <v>0</v>
      </c>
      <c r="D528" s="114">
        <f t="shared" si="32"/>
        <v>0</v>
      </c>
      <c r="E528" s="114">
        <f t="shared" si="33"/>
        <v>0</v>
      </c>
      <c r="F528" s="113"/>
    </row>
    <row r="529" spans="1:6">
      <c r="A529" s="126">
        <v>474</v>
      </c>
      <c r="B529" s="114">
        <f t="shared" si="30"/>
        <v>0</v>
      </c>
      <c r="C529" s="114">
        <f t="shared" si="31"/>
        <v>0</v>
      </c>
      <c r="D529" s="114">
        <f t="shared" si="32"/>
        <v>0</v>
      </c>
      <c r="E529" s="114">
        <f t="shared" si="33"/>
        <v>0</v>
      </c>
      <c r="F529" s="113"/>
    </row>
    <row r="530" spans="1:6">
      <c r="A530" s="126">
        <v>475</v>
      </c>
      <c r="B530" s="114">
        <f t="shared" si="30"/>
        <v>0</v>
      </c>
      <c r="C530" s="114">
        <f t="shared" si="31"/>
        <v>0</v>
      </c>
      <c r="D530" s="114">
        <f t="shared" si="32"/>
        <v>0</v>
      </c>
      <c r="E530" s="114">
        <f t="shared" si="33"/>
        <v>0</v>
      </c>
      <c r="F530" s="113"/>
    </row>
    <row r="531" spans="1:6">
      <c r="A531" s="126">
        <v>476</v>
      </c>
      <c r="B531" s="114">
        <f t="shared" si="30"/>
        <v>0</v>
      </c>
      <c r="C531" s="114">
        <f t="shared" si="31"/>
        <v>0</v>
      </c>
      <c r="D531" s="114">
        <f t="shared" si="32"/>
        <v>0</v>
      </c>
      <c r="E531" s="114">
        <f t="shared" si="33"/>
        <v>0</v>
      </c>
      <c r="F531" s="113"/>
    </row>
    <row r="532" spans="1:6">
      <c r="A532" s="126">
        <v>477</v>
      </c>
      <c r="B532" s="114">
        <f t="shared" si="30"/>
        <v>0</v>
      </c>
      <c r="C532" s="114">
        <f t="shared" si="31"/>
        <v>0</v>
      </c>
      <c r="D532" s="114">
        <f t="shared" si="32"/>
        <v>0</v>
      </c>
      <c r="E532" s="114">
        <f t="shared" si="33"/>
        <v>0</v>
      </c>
      <c r="F532" s="113"/>
    </row>
    <row r="533" spans="1:6">
      <c r="A533" s="126">
        <v>478</v>
      </c>
      <c r="B533" s="114">
        <f t="shared" si="30"/>
        <v>0</v>
      </c>
      <c r="C533" s="114">
        <f t="shared" si="31"/>
        <v>0</v>
      </c>
      <c r="D533" s="114">
        <f t="shared" si="32"/>
        <v>0</v>
      </c>
      <c r="E533" s="114">
        <f t="shared" si="33"/>
        <v>0</v>
      </c>
      <c r="F533" s="113"/>
    </row>
    <row r="534" spans="1:6">
      <c r="A534" s="126">
        <v>479</v>
      </c>
      <c r="B534" s="114">
        <f t="shared" si="30"/>
        <v>0</v>
      </c>
      <c r="C534" s="114">
        <f t="shared" si="31"/>
        <v>0</v>
      </c>
      <c r="D534" s="114">
        <f t="shared" si="32"/>
        <v>0</v>
      </c>
      <c r="E534" s="114">
        <f t="shared" si="33"/>
        <v>0</v>
      </c>
      <c r="F534" s="113"/>
    </row>
    <row r="535" spans="1:6">
      <c r="A535" s="126">
        <v>480</v>
      </c>
      <c r="B535" s="114">
        <f t="shared" si="30"/>
        <v>0</v>
      </c>
      <c r="C535" s="114">
        <f t="shared" si="31"/>
        <v>0</v>
      </c>
      <c r="D535" s="114">
        <f t="shared" si="32"/>
        <v>0</v>
      </c>
      <c r="E535" s="114">
        <f t="shared" si="33"/>
        <v>0</v>
      </c>
      <c r="F535" s="113">
        <v>40</v>
      </c>
    </row>
  </sheetData>
  <sheetProtection password="D64E" sheet="1" objects="1" scenarios="1"/>
  <mergeCells count="8">
    <mergeCell ref="A1:F1"/>
    <mergeCell ref="E5:F10"/>
    <mergeCell ref="A3:F3"/>
    <mergeCell ref="A51:F51"/>
    <mergeCell ref="C26:C27"/>
    <mergeCell ref="F26:F27"/>
    <mergeCell ref="A24:F24"/>
    <mergeCell ref="A50:F50"/>
  </mergeCells>
  <phoneticPr fontId="8" type="noConversion"/>
  <printOptions horizontalCentered="1"/>
  <pageMargins left="0.5" right="0.5" top="0.9" bottom="0.65" header="0.5" footer="0.25"/>
  <pageSetup orientation="portrait" r:id="rId1"/>
  <headerFooter alignWithMargins="0">
    <oddHeader>&amp;C2011 Office of Affordable Housing Funding Application
&amp;"Arial,Bold"HUD Insured Mortgage Loan Calculations</oddHeader>
    <oddFooter>&amp;L&amp;8Georgia Department of Community Affairs&amp;C&amp;8&amp;A&amp;R&amp;8page &amp;P of &amp;N</oddFooter>
  </headerFooter>
  <rowBreaks count="10" manualBreakCount="10">
    <brk id="49" max="16383" man="1"/>
    <brk id="103" max="16383" man="1"/>
    <brk id="151" max="16383" man="1"/>
    <brk id="199" max="16383" man="1"/>
    <brk id="247" max="16383" man="1"/>
    <brk id="295" max="16383" man="1"/>
    <brk id="343" max="16383" man="1"/>
    <brk id="391" max="16383" man="1"/>
    <brk id="439" max="16383" man="1"/>
    <brk id="48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C9F3-B2D1-47F0-85C8-19055665E3B0}">
  <sheetPr codeName="Sheet17">
    <pageSetUpPr fitToPage="1"/>
  </sheetPr>
  <dimension ref="A1:BA247"/>
  <sheetViews>
    <sheetView showGridLines="0" topLeftCell="A150" zoomScale="79" zoomScaleNormal="90" workbookViewId="0">
      <selection activeCell="S132" sqref="S132:T132"/>
    </sheetView>
  </sheetViews>
  <sheetFormatPr defaultColWidth="9.21875" defaultRowHeight="13.8"/>
  <cols>
    <col min="1" max="1" width="2.44140625" style="96" customWidth="1"/>
    <col min="2" max="2" width="5.44140625" style="96" customWidth="1"/>
    <col min="3" max="3" width="18.21875" style="96" customWidth="1"/>
    <col min="4" max="4" width="7.21875" style="96" customWidth="1"/>
    <col min="5" max="5" width="12.5546875" style="96" customWidth="1"/>
    <col min="6" max="6" width="10.44140625" style="96" customWidth="1"/>
    <col min="7" max="8" width="6.44140625" style="96" customWidth="1"/>
    <col min="9" max="9" width="1.77734375" style="96" customWidth="1"/>
    <col min="10" max="11" width="6.44140625" style="96" customWidth="1"/>
    <col min="12" max="12" width="1.77734375" style="96" customWidth="1"/>
    <col min="13" max="14" width="6.44140625" style="96" customWidth="1"/>
    <col min="15" max="15" width="1.77734375" style="96" customWidth="1"/>
    <col min="16" max="17" width="6.44140625" style="96" customWidth="1"/>
    <col min="18" max="18" width="1.77734375" style="96" customWidth="1"/>
    <col min="19" max="20" width="7" style="96" customWidth="1"/>
    <col min="21" max="21" width="5.77734375" style="96" customWidth="1"/>
    <col min="22" max="22" width="13.21875" style="96" customWidth="1"/>
    <col min="23" max="23" width="24.77734375" style="96" customWidth="1"/>
    <col min="24" max="24" width="73.44140625" style="96" customWidth="1"/>
    <col min="25" max="25" width="9.21875" style="96"/>
    <col min="26" max="26" width="8" style="96" customWidth="1"/>
    <col min="27" max="28" width="9" style="96" customWidth="1"/>
    <col min="29" max="29" width="8" style="96" customWidth="1"/>
    <col min="30" max="31" width="9.21875" style="96" bestFit="1"/>
    <col min="32" max="32" width="10.44140625" style="96" customWidth="1"/>
    <col min="33" max="33" width="8.5546875" style="96" customWidth="1"/>
    <col min="34" max="34" width="8.77734375" style="96" customWidth="1"/>
    <col min="35" max="35" width="9.5546875" style="96" customWidth="1"/>
    <col min="36" max="51" width="8" style="96" customWidth="1"/>
    <col min="52" max="53" width="9.21875" style="1808"/>
    <col min="54" max="16384" width="9.21875" style="96"/>
  </cols>
  <sheetData>
    <row r="1" spans="1:53" s="545" customFormat="1" hidden="1">
      <c r="G1" s="545" t="s">
        <v>505</v>
      </c>
      <c r="J1" s="545" t="s">
        <v>506</v>
      </c>
      <c r="M1" s="545" t="s">
        <v>507</v>
      </c>
      <c r="N1" s="545" t="s">
        <v>508</v>
      </c>
      <c r="P1" s="545" t="s">
        <v>509</v>
      </c>
      <c r="Q1" s="545" t="s">
        <v>510</v>
      </c>
      <c r="S1" s="545" t="s">
        <v>511</v>
      </c>
      <c r="AZ1" s="1808"/>
      <c r="BA1" s="1809">
        <v>1</v>
      </c>
    </row>
    <row r="2" spans="1:53" s="95" customFormat="1" ht="13.5" customHeight="1">
      <c r="A2" s="3660" t="str">
        <f>CONCATENATE("PART THREE (A):  USES OF FUNDS","  -  ",'Part I-Project Identification'!$O$7," ",'Part I-Project Identification'!$F$27,", ",'Part I-Project Identification'!F28,", ",'Part I-Project Identification'!J28," County")</f>
        <v>PART THREE (A):  USES OF FUNDS  -  2026-0xx The Groves, Tifton, Tift County</v>
      </c>
      <c r="B2" s="3661"/>
      <c r="C2" s="3661"/>
      <c r="D2" s="3661"/>
      <c r="E2" s="3661"/>
      <c r="F2" s="3661"/>
      <c r="G2" s="3661"/>
      <c r="H2" s="3661"/>
      <c r="I2" s="3661"/>
      <c r="J2" s="3661"/>
      <c r="K2" s="3661"/>
      <c r="L2" s="3661"/>
      <c r="M2" s="3661"/>
      <c r="N2" s="3661"/>
      <c r="O2" s="3661"/>
      <c r="P2" s="3661"/>
      <c r="Q2" s="3661"/>
      <c r="R2" s="3661"/>
      <c r="S2" s="3661"/>
      <c r="T2" s="3661"/>
      <c r="W2" s="3662" t="str">
        <f>A2</f>
        <v>PART THREE (A):  USES OF FUNDS  -  2026-0xx The Groves, Tifton, Tift County</v>
      </c>
      <c r="X2" s="3662"/>
      <c r="AZ2" s="1810"/>
      <c r="BA2" s="1809">
        <v>2</v>
      </c>
    </row>
    <row r="3" spans="1:53" ht="2.25" customHeight="1">
      <c r="BA3" s="1809">
        <v>3</v>
      </c>
    </row>
    <row r="4" spans="1:53" s="95" customFormat="1" ht="4.5" customHeight="1">
      <c r="A4" s="151"/>
      <c r="B4" s="151"/>
      <c r="C4" s="151"/>
      <c r="D4" s="151"/>
      <c r="E4" s="151"/>
      <c r="F4" s="151"/>
      <c r="G4" s="151"/>
      <c r="H4" s="151"/>
      <c r="I4" s="151"/>
      <c r="J4" s="151"/>
      <c r="K4" s="151"/>
      <c r="L4" s="151"/>
      <c r="M4" s="151"/>
      <c r="N4" s="151"/>
      <c r="O4" s="151"/>
      <c r="P4" s="151"/>
      <c r="Q4" s="151"/>
      <c r="R4" s="151"/>
      <c r="S4" s="151"/>
      <c r="T4" s="151"/>
      <c r="AZ4" s="1810"/>
      <c r="BA4" s="1809">
        <v>4</v>
      </c>
    </row>
    <row r="5" spans="1:53" s="95" customFormat="1" ht="2.1" customHeight="1" thickBot="1">
      <c r="A5" s="267"/>
      <c r="B5" s="267"/>
      <c r="C5" s="267"/>
      <c r="D5" s="268"/>
      <c r="E5" s="268"/>
      <c r="F5" s="268"/>
      <c r="G5" s="268"/>
      <c r="H5" s="268"/>
      <c r="I5" s="151"/>
      <c r="J5" s="267"/>
      <c r="K5" s="267"/>
      <c r="L5" s="267"/>
      <c r="M5" s="267"/>
      <c r="N5" s="267"/>
      <c r="O5" s="267"/>
      <c r="P5" s="267"/>
      <c r="Q5" s="267"/>
      <c r="R5" s="267"/>
      <c r="S5" s="267"/>
      <c r="T5" s="267"/>
      <c r="AZ5" s="1810"/>
      <c r="BA5" s="1809">
        <v>5</v>
      </c>
    </row>
    <row r="6" spans="1:53" s="95" customFormat="1" ht="19.5" customHeight="1">
      <c r="A6" s="237" t="s">
        <v>21</v>
      </c>
      <c r="B6" s="237" t="s">
        <v>512</v>
      </c>
      <c r="D6" s="3663" t="str">
        <f>'Part I-Project Identification'!A6</f>
        <v>May XX, 2026</v>
      </c>
      <c r="E6" s="3664"/>
      <c r="F6" s="3664"/>
      <c r="G6" s="3664"/>
      <c r="H6" s="3664"/>
      <c r="I6" s="268"/>
      <c r="J6" s="3591" t="s">
        <v>513</v>
      </c>
      <c r="K6" s="3592"/>
      <c r="L6" s="183"/>
      <c r="M6" s="3602" t="s">
        <v>514</v>
      </c>
      <c r="N6" s="3603"/>
      <c r="P6" s="3591" t="s">
        <v>515</v>
      </c>
      <c r="Q6" s="3592"/>
      <c r="S6" s="3591" t="s">
        <v>516</v>
      </c>
      <c r="T6" s="3592"/>
      <c r="V6" s="238" t="str">
        <f>B6</f>
        <v>DEVELOPMENT BUDGET</v>
      </c>
      <c r="AZ6" s="1810"/>
      <c r="BA6" s="1809">
        <v>6</v>
      </c>
    </row>
    <row r="7" spans="1:53" s="95" customFormat="1" ht="19.5" customHeight="1" thickBot="1">
      <c r="D7" s="850"/>
      <c r="E7" s="850"/>
      <c r="F7" s="850"/>
      <c r="G7" s="3606" t="s">
        <v>517</v>
      </c>
      <c r="H7" s="3607"/>
      <c r="J7" s="3593"/>
      <c r="K7" s="3594"/>
      <c r="L7" s="183"/>
      <c r="M7" s="3604"/>
      <c r="N7" s="3605"/>
      <c r="P7" s="3593"/>
      <c r="Q7" s="3594"/>
      <c r="S7" s="3593"/>
      <c r="T7" s="3594"/>
      <c r="V7" s="159" t="s">
        <v>350</v>
      </c>
      <c r="X7" s="159"/>
      <c r="AZ7" s="1810"/>
      <c r="BA7" s="1809">
        <v>7</v>
      </c>
    </row>
    <row r="8" spans="1:53" s="95" customFormat="1" ht="12" customHeight="1">
      <c r="B8" s="151" t="s">
        <v>518</v>
      </c>
      <c r="O8" s="267" t="str">
        <f>B8</f>
        <v>PRE-DEVELOPMENT COSTS</v>
      </c>
      <c r="W8" s="95" t="str">
        <f>B8</f>
        <v>PRE-DEVELOPMENT COSTS</v>
      </c>
      <c r="AZ8" s="1810"/>
      <c r="BA8" s="1809">
        <v>8</v>
      </c>
    </row>
    <row r="9" spans="1:53" s="95" customFormat="1" ht="11.25" customHeight="1">
      <c r="B9" s="95" t="s">
        <v>519</v>
      </c>
      <c r="G9" s="3431">
        <f>SUM(J9:T9)</f>
        <v>10000</v>
      </c>
      <c r="H9" s="3432"/>
      <c r="J9" s="3431"/>
      <c r="K9" s="3432"/>
      <c r="L9" s="2532"/>
      <c r="M9" s="3431"/>
      <c r="N9" s="3432"/>
      <c r="P9" s="3431">
        <v>10000</v>
      </c>
      <c r="Q9" s="3432"/>
      <c r="S9" s="3431"/>
      <c r="T9" s="3432"/>
      <c r="V9" s="614"/>
      <c r="W9" s="3500"/>
      <c r="X9" s="3501"/>
      <c r="AZ9" s="1810"/>
      <c r="BA9" s="1809">
        <v>9</v>
      </c>
    </row>
    <row r="10" spans="1:53" s="95" customFormat="1" ht="11.25" customHeight="1">
      <c r="B10" s="95" t="s">
        <v>520</v>
      </c>
      <c r="G10" s="3429">
        <f t="shared" ref="G10:G17" si="0">SUM(J10:T10)</f>
        <v>10000</v>
      </c>
      <c r="H10" s="3430"/>
      <c r="J10" s="3429"/>
      <c r="K10" s="3430"/>
      <c r="L10" s="2532"/>
      <c r="M10" s="3429"/>
      <c r="N10" s="3430"/>
      <c r="P10" s="3429">
        <v>10000</v>
      </c>
      <c r="Q10" s="3430"/>
      <c r="S10" s="3429"/>
      <c r="T10" s="3430"/>
      <c r="V10" s="614"/>
      <c r="W10" s="3500"/>
      <c r="X10" s="3501"/>
      <c r="AZ10" s="1810"/>
      <c r="BA10" s="1809">
        <v>10</v>
      </c>
    </row>
    <row r="11" spans="1:53" s="95" customFormat="1" ht="11.25" customHeight="1">
      <c r="B11" s="95" t="s">
        <v>521</v>
      </c>
      <c r="G11" s="3429">
        <f t="shared" si="0"/>
        <v>35000</v>
      </c>
      <c r="H11" s="3430"/>
      <c r="J11" s="3429"/>
      <c r="K11" s="3430"/>
      <c r="L11" s="2532"/>
      <c r="M11" s="3429"/>
      <c r="N11" s="3430"/>
      <c r="P11" s="3429">
        <v>35000</v>
      </c>
      <c r="Q11" s="3430"/>
      <c r="S11" s="3429"/>
      <c r="T11" s="3430"/>
      <c r="V11" s="614"/>
      <c r="W11" s="3500"/>
      <c r="X11" s="3501"/>
      <c r="AZ11" s="1810"/>
      <c r="BA11" s="1809">
        <v>11</v>
      </c>
    </row>
    <row r="12" spans="1:53" s="95" customFormat="1" ht="11.25" customHeight="1">
      <c r="B12" s="95" t="s">
        <v>522</v>
      </c>
      <c r="G12" s="3429">
        <f t="shared" si="0"/>
        <v>0</v>
      </c>
      <c r="H12" s="3430"/>
      <c r="J12" s="3429"/>
      <c r="K12" s="3430"/>
      <c r="L12" s="2532"/>
      <c r="M12" s="3429"/>
      <c r="N12" s="3430"/>
      <c r="P12" s="3429"/>
      <c r="Q12" s="3430"/>
      <c r="S12" s="3429"/>
      <c r="T12" s="3430"/>
      <c r="V12" s="614"/>
      <c r="W12" s="3500"/>
      <c r="X12" s="3501"/>
      <c r="AZ12" s="1810"/>
      <c r="BA12" s="1809">
        <v>12</v>
      </c>
    </row>
    <row r="13" spans="1:53" s="95" customFormat="1" ht="11.25" customHeight="1">
      <c r="B13" s="95" t="s">
        <v>523</v>
      </c>
      <c r="G13" s="3429">
        <f t="shared" si="0"/>
        <v>15000</v>
      </c>
      <c r="H13" s="3430"/>
      <c r="J13" s="3429"/>
      <c r="K13" s="3430"/>
      <c r="L13" s="2532"/>
      <c r="M13" s="3429"/>
      <c r="N13" s="3430"/>
      <c r="P13" s="3429">
        <v>15000</v>
      </c>
      <c r="Q13" s="3430"/>
      <c r="S13" s="3429"/>
      <c r="T13" s="3430"/>
      <c r="V13" s="614"/>
      <c r="W13" s="3500"/>
      <c r="X13" s="3501"/>
      <c r="AZ13" s="1810"/>
      <c r="BA13" s="1809">
        <v>13</v>
      </c>
    </row>
    <row r="14" spans="1:53" s="95" customFormat="1" ht="11.25" customHeight="1">
      <c r="B14" s="95" t="s">
        <v>524</v>
      </c>
      <c r="G14" s="3429">
        <f t="shared" si="0"/>
        <v>5000</v>
      </c>
      <c r="H14" s="3430"/>
      <c r="J14" s="3429"/>
      <c r="K14" s="3430"/>
      <c r="L14" s="2532"/>
      <c r="M14" s="3429"/>
      <c r="N14" s="3430"/>
      <c r="P14" s="3429">
        <v>5000</v>
      </c>
      <c r="Q14" s="3430"/>
      <c r="S14" s="3429"/>
      <c r="T14" s="3430"/>
      <c r="V14" s="614"/>
      <c r="W14" s="3500"/>
      <c r="X14" s="3501"/>
      <c r="AZ14" s="1810"/>
      <c r="BA14" s="1809">
        <v>14</v>
      </c>
    </row>
    <row r="15" spans="1:53" s="95" customFormat="1" ht="11.25" customHeight="1">
      <c r="A15" s="205" t="str">
        <f>IF(AND(G15&gt;0,OR(C15="",C15="&lt;Enter detailed description here; use Comments section if needed&gt;")),"X","")</f>
        <v/>
      </c>
      <c r="B15" s="98" t="s">
        <v>525</v>
      </c>
      <c r="C15" s="3600" t="s">
        <v>7670</v>
      </c>
      <c r="D15" s="3600"/>
      <c r="E15" s="3600"/>
      <c r="F15" s="3601"/>
      <c r="G15" s="3429">
        <f t="shared" si="0"/>
        <v>10000</v>
      </c>
      <c r="H15" s="3430"/>
      <c r="J15" s="3429"/>
      <c r="K15" s="3430"/>
      <c r="L15" s="2532"/>
      <c r="M15" s="3429"/>
      <c r="N15" s="3430"/>
      <c r="P15" s="3429">
        <v>10000</v>
      </c>
      <c r="Q15" s="3430"/>
      <c r="S15" s="3429"/>
      <c r="T15" s="3430"/>
      <c r="U15" s="204" t="str">
        <f>IF(AND(G15&gt;0,OR(C15="",C15="&lt;Enter detailed description here; use Comments section if needed&gt;")),"NO DESCRIPTION PROVIDED - please enter detailed description in Other box at left; use Comments section below if needed.","")</f>
        <v/>
      </c>
      <c r="V15" s="615"/>
      <c r="W15" s="3500"/>
      <c r="X15" s="3501"/>
      <c r="AZ15" s="1810" t="s">
        <v>527</v>
      </c>
      <c r="BA15" s="1809">
        <v>15</v>
      </c>
    </row>
    <row r="16" spans="1:53" s="95" customFormat="1" ht="11.25" customHeight="1">
      <c r="A16" s="205" t="str">
        <f>IF(AND(G16&gt;0,OR(C16="",C16="&lt;Enter detailed description here; use Comments section if needed&gt;")),"X","")</f>
        <v/>
      </c>
      <c r="B16" s="98" t="s">
        <v>528</v>
      </c>
      <c r="C16" s="3600" t="s">
        <v>7671</v>
      </c>
      <c r="D16" s="3600"/>
      <c r="E16" s="3600"/>
      <c r="F16" s="3601"/>
      <c r="G16" s="3429">
        <f t="shared" si="0"/>
        <v>15000</v>
      </c>
      <c r="H16" s="3430"/>
      <c r="J16" s="3429"/>
      <c r="K16" s="3430"/>
      <c r="L16" s="2532"/>
      <c r="M16" s="3429"/>
      <c r="N16" s="3430"/>
      <c r="P16" s="3429">
        <v>15000</v>
      </c>
      <c r="Q16" s="3430"/>
      <c r="S16" s="3429"/>
      <c r="T16" s="3430"/>
      <c r="U16" s="204" t="str">
        <f>IF(AND(G16&gt;0,OR(C16="",C16="&lt;Enter detailed description here; use Comments section if needed&gt;")),"NO DESCRIPTION PROVIDED - please enter detailed description in Other box at left; use Comments section below if needed.","")</f>
        <v/>
      </c>
      <c r="V16" s="615"/>
      <c r="W16" s="3500"/>
      <c r="X16" s="3501"/>
      <c r="AZ16" s="1810" t="s">
        <v>529</v>
      </c>
      <c r="BA16" s="1809">
        <v>16</v>
      </c>
    </row>
    <row r="17" spans="1:53" s="95" customFormat="1" ht="11.25" customHeight="1" thickBot="1">
      <c r="A17" s="205" t="str">
        <f>IF(AND(G17&gt;0,OR(C17="",C17="&lt;Enter detailed description here; use Comments section if needed&gt;")),"X","")</f>
        <v/>
      </c>
      <c r="B17" s="98" t="s">
        <v>530</v>
      </c>
      <c r="C17" s="3600" t="s">
        <v>7672</v>
      </c>
      <c r="D17" s="3600"/>
      <c r="E17" s="3600"/>
      <c r="F17" s="3601"/>
      <c r="G17" s="3608">
        <f t="shared" si="0"/>
        <v>10000</v>
      </c>
      <c r="H17" s="3609"/>
      <c r="J17" s="3608"/>
      <c r="K17" s="3609"/>
      <c r="L17" s="2532"/>
      <c r="M17" s="3608"/>
      <c r="N17" s="3609"/>
      <c r="P17" s="3608">
        <v>10000</v>
      </c>
      <c r="Q17" s="3609"/>
      <c r="S17" s="3608"/>
      <c r="T17" s="3609"/>
      <c r="U17" s="204" t="str">
        <f>IF(AND(G17&gt;0,OR(C17="",C17="&lt;Enter detailed description here; use Comments section if needed&gt;")),"NO DESCRIPTION PROVIDED - please enter detailed description in Other box at left; use Comments section below if needed.","")</f>
        <v/>
      </c>
      <c r="V17" s="615"/>
      <c r="W17" s="3492"/>
      <c r="X17" s="3493"/>
      <c r="AZ17" s="1810" t="s">
        <v>531</v>
      </c>
      <c r="BA17" s="1809">
        <v>17</v>
      </c>
    </row>
    <row r="18" spans="1:53" s="95" customFormat="1" ht="12.6" customHeight="1" thickTop="1">
      <c r="F18" s="184" t="s">
        <v>532</v>
      </c>
      <c r="G18" s="3494">
        <f>SUM(G9:G17)</f>
        <v>110000</v>
      </c>
      <c r="H18" s="3495"/>
      <c r="J18" s="3494">
        <f>SUM(J9:J17)</f>
        <v>0</v>
      </c>
      <c r="K18" s="3495"/>
      <c r="L18" s="2532"/>
      <c r="M18" s="3494">
        <f>SUM(M9:M17)</f>
        <v>0</v>
      </c>
      <c r="N18" s="3495"/>
      <c r="P18" s="3494">
        <f>SUM(P9:P17)</f>
        <v>110000</v>
      </c>
      <c r="Q18" s="3495"/>
      <c r="S18" s="3494">
        <f>SUM(S9:S17)</f>
        <v>0</v>
      </c>
      <c r="T18" s="3495"/>
      <c r="V18" s="616">
        <f>SUM(V9:V17)</f>
        <v>0</v>
      </c>
      <c r="W18" s="3511"/>
      <c r="X18" s="3512"/>
      <c r="AZ18" s="1810" t="s">
        <v>533</v>
      </c>
      <c r="BA18" s="1809">
        <v>18</v>
      </c>
    </row>
    <row r="19" spans="1:53" s="95" customFormat="1" ht="12" customHeight="1">
      <c r="B19" s="151" t="s">
        <v>534</v>
      </c>
      <c r="J19" s="183"/>
      <c r="K19" s="183"/>
      <c r="M19" s="183"/>
      <c r="N19" s="183"/>
      <c r="O19" s="185" t="str">
        <f>B19</f>
        <v>ACQUISITION</v>
      </c>
      <c r="P19" s="183"/>
      <c r="Q19" s="183"/>
      <c r="S19" s="183"/>
      <c r="T19" s="183"/>
      <c r="V19" s="617"/>
      <c r="W19" s="95" t="str">
        <f>B19</f>
        <v>ACQUISITION</v>
      </c>
      <c r="AZ19" s="1810"/>
      <c r="BA19" s="1809">
        <v>19</v>
      </c>
    </row>
    <row r="20" spans="1:53" s="95" customFormat="1" ht="11.25" customHeight="1">
      <c r="B20" s="95" t="s">
        <v>535</v>
      </c>
      <c r="E20" s="482" t="s">
        <v>536</v>
      </c>
      <c r="F20" s="1300">
        <f>IF('Part I-Project Identification'!$O$29="","",G20/'Part I-Project Identification'!$O$29)</f>
        <v>43706.293706293705</v>
      </c>
      <c r="G20" s="3431">
        <f>S20</f>
        <v>500000</v>
      </c>
      <c r="H20" s="3432"/>
      <c r="J20" s="186"/>
      <c r="K20" s="183"/>
      <c r="L20" s="186"/>
      <c r="M20" s="186"/>
      <c r="N20" s="183"/>
      <c r="P20" s="186"/>
      <c r="Q20" s="183"/>
      <c r="S20" s="3431">
        <v>500000</v>
      </c>
      <c r="T20" s="3432"/>
      <c r="V20" s="614"/>
      <c r="W20" s="3500"/>
      <c r="X20" s="3501"/>
      <c r="AZ20" s="1810"/>
      <c r="BA20" s="1809">
        <v>20</v>
      </c>
    </row>
    <row r="21" spans="1:53" s="95" customFormat="1" ht="11.25" customHeight="1">
      <c r="B21" s="95" t="s">
        <v>537</v>
      </c>
      <c r="G21" s="3429">
        <f>S21</f>
        <v>0</v>
      </c>
      <c r="H21" s="3430"/>
      <c r="J21" s="186"/>
      <c r="K21" s="183"/>
      <c r="L21" s="186"/>
      <c r="M21" s="186"/>
      <c r="N21" s="183"/>
      <c r="P21" s="186"/>
      <c r="Q21" s="183"/>
      <c r="S21" s="3429"/>
      <c r="T21" s="3430"/>
      <c r="V21" s="614"/>
      <c r="W21" s="3500"/>
      <c r="X21" s="3501"/>
      <c r="AZ21" s="1810"/>
      <c r="BA21" s="1809">
        <v>21</v>
      </c>
    </row>
    <row r="22" spans="1:53" s="95" customFormat="1" ht="11.25" customHeight="1">
      <c r="B22" s="95" t="s">
        <v>538</v>
      </c>
      <c r="G22" s="3429">
        <f>SUM(M22:T22)</f>
        <v>0</v>
      </c>
      <c r="H22" s="3430"/>
      <c r="J22" s="186"/>
      <c r="K22" s="183"/>
      <c r="L22" s="186"/>
      <c r="M22" s="3431"/>
      <c r="N22" s="3432"/>
      <c r="P22" s="186"/>
      <c r="Q22" s="183"/>
      <c r="S22" s="3429"/>
      <c r="T22" s="3430"/>
      <c r="V22" s="614"/>
      <c r="W22" s="3500"/>
      <c r="X22" s="3501"/>
      <c r="AZ22" s="1810"/>
      <c r="BA22" s="1809">
        <v>22</v>
      </c>
    </row>
    <row r="23" spans="1:53" s="95" customFormat="1" ht="11.25" customHeight="1" thickBot="1">
      <c r="B23" s="95" t="s">
        <v>539</v>
      </c>
      <c r="G23" s="3608">
        <f>SUM(M23:T23)</f>
        <v>4000000</v>
      </c>
      <c r="H23" s="3609"/>
      <c r="J23" s="186"/>
      <c r="K23" s="183"/>
      <c r="L23" s="186"/>
      <c r="M23" s="3608">
        <v>4000000</v>
      </c>
      <c r="N23" s="3609"/>
      <c r="P23" s="186"/>
      <c r="Q23" s="183"/>
      <c r="S23" s="3608"/>
      <c r="T23" s="3609"/>
      <c r="V23" s="614"/>
      <c r="W23" s="3492"/>
      <c r="X23" s="3493"/>
      <c r="AZ23" s="1810"/>
      <c r="BA23" s="1809">
        <v>23</v>
      </c>
    </row>
    <row r="24" spans="1:53" s="95" customFormat="1" ht="12.6" customHeight="1" thickTop="1">
      <c r="F24" s="184" t="s">
        <v>532</v>
      </c>
      <c r="G24" s="3494">
        <f>SUM(G20:G23)</f>
        <v>4500000</v>
      </c>
      <c r="H24" s="3495"/>
      <c r="J24" s="186"/>
      <c r="K24" s="183"/>
      <c r="L24" s="186"/>
      <c r="M24" s="3494">
        <f>SUM(M22:M23)</f>
        <v>4000000</v>
      </c>
      <c r="N24" s="3495"/>
      <c r="P24" s="186"/>
      <c r="Q24" s="183"/>
      <c r="S24" s="3494">
        <f>SUM(S20:S23)</f>
        <v>500000</v>
      </c>
      <c r="T24" s="3495"/>
      <c r="V24" s="616">
        <f>SUM(V20:V23)</f>
        <v>0</v>
      </c>
      <c r="W24" s="3511"/>
      <c r="X24" s="3512"/>
      <c r="AZ24" s="1810" t="s">
        <v>540</v>
      </c>
      <c r="BA24" s="1809">
        <v>24</v>
      </c>
    </row>
    <row r="25" spans="1:53" s="95" customFormat="1" ht="12" customHeight="1">
      <c r="B25" s="151" t="s">
        <v>541</v>
      </c>
      <c r="J25" s="186"/>
      <c r="K25" s="183"/>
      <c r="M25" s="186"/>
      <c r="N25" s="183"/>
      <c r="O25" s="185" t="str">
        <f>B25</f>
        <v>LAND IMPROVEMENTS</v>
      </c>
      <c r="P25" s="186"/>
      <c r="Q25" s="183"/>
      <c r="S25" s="186"/>
      <c r="T25" s="183"/>
      <c r="V25" s="617"/>
      <c r="W25" s="95" t="str">
        <f>B25</f>
        <v>LAND IMPROVEMENTS</v>
      </c>
      <c r="AZ25" s="1810"/>
      <c r="BA25" s="1809">
        <v>25</v>
      </c>
    </row>
    <row r="26" spans="1:53" s="95" customFormat="1" ht="11.25" customHeight="1">
      <c r="B26" s="95" t="s">
        <v>542</v>
      </c>
      <c r="E26" s="482" t="s">
        <v>536</v>
      </c>
      <c r="F26" s="1300">
        <f>IF('Part I-Project Identification'!$O$29="","",G26/'Part I-Project Identification'!$O$29)</f>
        <v>46567.832167832166</v>
      </c>
      <c r="G26" s="3431">
        <f>SUM(J26:T26)</f>
        <v>532736</v>
      </c>
      <c r="H26" s="3432"/>
      <c r="J26" s="3431"/>
      <c r="K26" s="3432"/>
      <c r="L26" s="2532"/>
      <c r="M26" s="3658"/>
      <c r="N26" s="3659"/>
      <c r="P26" s="3658">
        <v>532736</v>
      </c>
      <c r="Q26" s="3659"/>
      <c r="S26" s="3431"/>
      <c r="T26" s="3432"/>
      <c r="V26" s="614"/>
      <c r="W26" s="3500"/>
      <c r="X26" s="3501"/>
      <c r="AZ26" s="1810"/>
      <c r="BA26" s="1809">
        <v>26</v>
      </c>
    </row>
    <row r="27" spans="1:53" s="95" customFormat="1" ht="11.25" customHeight="1" thickBot="1">
      <c r="B27" s="95" t="s">
        <v>543</v>
      </c>
      <c r="G27" s="3608">
        <f>SUM(J27:T27)</f>
        <v>0</v>
      </c>
      <c r="H27" s="3609"/>
      <c r="J27" s="3608"/>
      <c r="K27" s="3609"/>
      <c r="L27" s="187"/>
      <c r="M27" s="3657"/>
      <c r="N27" s="3657"/>
      <c r="P27" s="3657"/>
      <c r="Q27" s="3657"/>
      <c r="S27" s="3608"/>
      <c r="T27" s="3609"/>
      <c r="V27" s="614"/>
      <c r="W27" s="3492"/>
      <c r="X27" s="3493"/>
      <c r="AZ27" s="1810"/>
      <c r="BA27" s="1809">
        <v>27</v>
      </c>
    </row>
    <row r="28" spans="1:53" s="95" customFormat="1" ht="12.6" customHeight="1" thickTop="1">
      <c r="F28" s="184" t="s">
        <v>532</v>
      </c>
      <c r="G28" s="3494">
        <f>SUM(G26:G27)</f>
        <v>532736</v>
      </c>
      <c r="H28" s="3495"/>
      <c r="J28" s="3494">
        <f>SUM(J26:J27)</f>
        <v>0</v>
      </c>
      <c r="K28" s="3495"/>
      <c r="L28" s="186"/>
      <c r="M28" s="3494">
        <f>M26</f>
        <v>0</v>
      </c>
      <c r="N28" s="3495"/>
      <c r="P28" s="3494">
        <f>P26</f>
        <v>532736</v>
      </c>
      <c r="Q28" s="3495"/>
      <c r="S28" s="3494">
        <f>SUM(S26:S27)</f>
        <v>0</v>
      </c>
      <c r="T28" s="3495"/>
      <c r="V28" s="616">
        <f>SUM(V26:V27)</f>
        <v>0</v>
      </c>
      <c r="W28" s="3511"/>
      <c r="X28" s="3512"/>
      <c r="AZ28" s="1810" t="s">
        <v>544</v>
      </c>
      <c r="BA28" s="1809">
        <v>28</v>
      </c>
    </row>
    <row r="29" spans="1:53" s="95" customFormat="1" ht="12" customHeight="1">
      <c r="B29" s="151" t="s">
        <v>545</v>
      </c>
      <c r="J29" s="186"/>
      <c r="K29" s="183"/>
      <c r="M29" s="186"/>
      <c r="N29" s="183"/>
      <c r="O29" s="185" t="str">
        <f>B29</f>
        <v>STRUCTURES</v>
      </c>
      <c r="P29" s="186"/>
      <c r="Q29" s="183"/>
      <c r="S29" s="186"/>
      <c r="T29" s="183"/>
      <c r="V29" s="617"/>
      <c r="W29" s="95" t="str">
        <f>B29</f>
        <v>STRUCTURES</v>
      </c>
      <c r="AZ29" s="1810"/>
      <c r="BA29" s="1809">
        <v>29</v>
      </c>
    </row>
    <row r="30" spans="1:53" s="95" customFormat="1" ht="11.25" customHeight="1">
      <c r="B30" s="95" t="s">
        <v>546</v>
      </c>
      <c r="G30" s="3431">
        <f>SUM(J30:T30)</f>
        <v>0</v>
      </c>
      <c r="H30" s="3432"/>
      <c r="J30" s="3431"/>
      <c r="K30" s="3432"/>
      <c r="L30" s="2532"/>
      <c r="M30" s="3431"/>
      <c r="N30" s="3432"/>
      <c r="P30" s="3431"/>
      <c r="Q30" s="3432"/>
      <c r="S30" s="3431"/>
      <c r="T30" s="3432"/>
      <c r="V30" s="614"/>
      <c r="W30" s="3500"/>
      <c r="X30" s="3501"/>
      <c r="AZ30" s="1810"/>
      <c r="BA30" s="1809">
        <v>30</v>
      </c>
    </row>
    <row r="31" spans="1:53" s="95" customFormat="1" ht="11.25" customHeight="1">
      <c r="B31" s="95" t="s">
        <v>547</v>
      </c>
      <c r="G31" s="3429">
        <f t="shared" ref="G31:G35" si="1">SUM(J31:T31)</f>
        <v>5500000</v>
      </c>
      <c r="H31" s="3430"/>
      <c r="J31" s="3429"/>
      <c r="K31" s="3430"/>
      <c r="L31" s="2532"/>
      <c r="M31" s="3429"/>
      <c r="N31" s="3430"/>
      <c r="P31" s="3429">
        <v>5500000</v>
      </c>
      <c r="Q31" s="3430"/>
      <c r="S31" s="3429"/>
      <c r="T31" s="3430"/>
      <c r="V31" s="614"/>
      <c r="W31" s="3500"/>
      <c r="X31" s="3501"/>
      <c r="AZ31" s="1810"/>
      <c r="BA31" s="1809">
        <v>31</v>
      </c>
    </row>
    <row r="32" spans="1:53" s="95" customFormat="1" ht="11.25" customHeight="1">
      <c r="B32" s="95" t="s">
        <v>548</v>
      </c>
      <c r="G32" s="3429">
        <f t="shared" si="1"/>
        <v>0</v>
      </c>
      <c r="H32" s="3430"/>
      <c r="J32" s="3429"/>
      <c r="K32" s="3430"/>
      <c r="L32" s="2532"/>
      <c r="M32" s="3429"/>
      <c r="N32" s="3430"/>
      <c r="P32" s="3429"/>
      <c r="Q32" s="3430"/>
      <c r="S32" s="3429"/>
      <c r="T32" s="3430"/>
      <c r="V32" s="614"/>
      <c r="W32" s="3500"/>
      <c r="X32" s="3501"/>
      <c r="AZ32" s="1810"/>
      <c r="BA32" s="1809">
        <v>32</v>
      </c>
    </row>
    <row r="33" spans="1:53" s="95" customFormat="1" ht="11.25" customHeight="1">
      <c r="B33" s="95" t="s">
        <v>549</v>
      </c>
      <c r="G33" s="3429">
        <f t="shared" si="1"/>
        <v>0</v>
      </c>
      <c r="H33" s="3430"/>
      <c r="J33" s="3429"/>
      <c r="K33" s="3430"/>
      <c r="L33" s="2532"/>
      <c r="M33" s="3429"/>
      <c r="N33" s="3430"/>
      <c r="P33" s="3429"/>
      <c r="Q33" s="3430"/>
      <c r="S33" s="3429"/>
      <c r="T33" s="3430"/>
      <c r="V33" s="614"/>
      <c r="W33" s="3500"/>
      <c r="X33" s="3501"/>
      <c r="AZ33" s="1810"/>
      <c r="BA33" s="1809">
        <v>33</v>
      </c>
    </row>
    <row r="34" spans="1:53" ht="11.25" customHeight="1">
      <c r="B34" s="95" t="s">
        <v>550</v>
      </c>
      <c r="G34" s="3429">
        <f t="shared" si="1"/>
        <v>200000</v>
      </c>
      <c r="H34" s="3430"/>
      <c r="I34" s="95"/>
      <c r="J34" s="3429"/>
      <c r="K34" s="3430"/>
      <c r="L34" s="2532"/>
      <c r="M34" s="3429"/>
      <c r="N34" s="3430"/>
      <c r="O34" s="95"/>
      <c r="P34" s="3429">
        <v>200000</v>
      </c>
      <c r="Q34" s="3430"/>
      <c r="R34" s="95"/>
      <c r="S34" s="3429"/>
      <c r="T34" s="3430"/>
      <c r="V34" s="614"/>
      <c r="W34" s="3492"/>
      <c r="X34" s="3493"/>
      <c r="BA34" s="1809">
        <v>34</v>
      </c>
    </row>
    <row r="35" spans="1:53" ht="11.25" customHeight="1" thickBot="1">
      <c r="B35" s="95" t="s">
        <v>551</v>
      </c>
      <c r="G35" s="3655">
        <f t="shared" si="1"/>
        <v>0</v>
      </c>
      <c r="H35" s="3656"/>
      <c r="I35" s="95"/>
      <c r="J35" s="3655"/>
      <c r="K35" s="3656"/>
      <c r="L35" s="2532"/>
      <c r="M35" s="3655"/>
      <c r="N35" s="3656"/>
      <c r="O35" s="95"/>
      <c r="P35" s="3655"/>
      <c r="Q35" s="3656"/>
      <c r="R35" s="95"/>
      <c r="S35" s="3655"/>
      <c r="T35" s="3656"/>
      <c r="V35" s="614"/>
      <c r="W35" s="3492"/>
      <c r="X35" s="3493"/>
      <c r="BA35" s="1809">
        <v>35</v>
      </c>
    </row>
    <row r="36" spans="1:53" s="95" customFormat="1" ht="12.6" customHeight="1" thickTop="1">
      <c r="C36" s="3654"/>
      <c r="D36" s="3654"/>
      <c r="E36" s="2537"/>
      <c r="F36" s="184" t="s">
        <v>532</v>
      </c>
      <c r="G36" s="3494">
        <f>SUM(G30:G35)</f>
        <v>5700000</v>
      </c>
      <c r="H36" s="3495"/>
      <c r="J36" s="3494">
        <f>SUM(J30:J35)</f>
        <v>0</v>
      </c>
      <c r="K36" s="3495"/>
      <c r="L36" s="2532"/>
      <c r="M36" s="3494">
        <f>SUM(M30:M35)</f>
        <v>0</v>
      </c>
      <c r="N36" s="3495"/>
      <c r="P36" s="3494">
        <f>SUM(P30:P35)</f>
        <v>5700000</v>
      </c>
      <c r="Q36" s="3495"/>
      <c r="S36" s="3494">
        <f>SUM(S30:S35)</f>
        <v>0</v>
      </c>
      <c r="T36" s="3495"/>
      <c r="V36" s="616">
        <f>SUM(V30:V35)</f>
        <v>0</v>
      </c>
      <c r="W36" s="3511"/>
      <c r="X36" s="3512"/>
      <c r="AZ36" s="1810" t="s">
        <v>552</v>
      </c>
      <c r="BA36" s="1809">
        <v>36</v>
      </c>
    </row>
    <row r="37" spans="1:53" s="95" customFormat="1" ht="12" customHeight="1">
      <c r="B37" s="151" t="s">
        <v>553</v>
      </c>
      <c r="D37" s="3653" t="s">
        <v>554</v>
      </c>
      <c r="E37" s="3653"/>
      <c r="F37" s="553">
        <f>SUM(F38:F40)</f>
        <v>0.13999983313909012</v>
      </c>
      <c r="G37" s="305" t="str">
        <f>IF(G38&gt;E38,"Proposed Builder Profit exceeds DCA Maximum!!!",IF(G39&gt;E39,"Proposed Builder Overhead exceeds DCA Maximum!!!",IF(G40&gt;E40,"Proposed General Requirements exceeds DCA Maximum!!!",IF(G41&gt;E41,"Proposed Contractor Services amount exceeds DCA Maximum!!!",""))))</f>
        <v/>
      </c>
      <c r="H37" s="96"/>
      <c r="I37" s="96"/>
      <c r="J37" s="186"/>
      <c r="K37" s="183"/>
      <c r="M37" s="186"/>
      <c r="N37" s="183"/>
      <c r="O37" s="185" t="str">
        <f>B37</f>
        <v>CONTRACTOR SERVICES</v>
      </c>
      <c r="P37" s="186"/>
      <c r="Q37" s="183"/>
      <c r="S37" s="186"/>
      <c r="T37" s="183"/>
      <c r="V37" s="617"/>
      <c r="W37" s="95" t="str">
        <f>B37</f>
        <v>CONTRACTOR SERVICES</v>
      </c>
      <c r="AZ37" s="1810"/>
      <c r="BA37" s="1809">
        <v>37</v>
      </c>
    </row>
    <row r="38" spans="1:53" s="95" customFormat="1" ht="11.25" customHeight="1">
      <c r="B38" s="95" t="s">
        <v>555</v>
      </c>
      <c r="D38" s="1335">
        <f>'DCA Underwriting Assumptions'!$R$52</f>
        <v>0.06</v>
      </c>
      <c r="E38" s="1336">
        <f>ROUNDDOWN(D38*(G28+G36),0)</f>
        <v>373964</v>
      </c>
      <c r="F38" s="1337">
        <f>IF(($G$28+$G$36)=0,0,G38/($G$28+$G$36))</f>
        <v>5.9999974329090787E-2</v>
      </c>
      <c r="G38" s="3431">
        <f>SUM(J38:T38)</f>
        <v>373964</v>
      </c>
      <c r="H38" s="3432"/>
      <c r="I38" s="96"/>
      <c r="J38" s="3431"/>
      <c r="K38" s="3432"/>
      <c r="L38" s="2532"/>
      <c r="M38" s="3431"/>
      <c r="N38" s="3432"/>
      <c r="P38" s="3431">
        <f>E38</f>
        <v>373964</v>
      </c>
      <c r="Q38" s="3432"/>
      <c r="S38" s="3431"/>
      <c r="T38" s="3432"/>
      <c r="V38" s="614"/>
      <c r="W38" s="3500"/>
      <c r="X38" s="3501"/>
      <c r="AZ38" s="1810"/>
      <c r="BA38" s="1809">
        <v>38</v>
      </c>
    </row>
    <row r="39" spans="1:53" s="95" customFormat="1" ht="11.25" customHeight="1">
      <c r="B39" s="95" t="s">
        <v>556</v>
      </c>
      <c r="D39" s="1335">
        <f>'DCA Underwriting Assumptions'!$R$53</f>
        <v>0.02</v>
      </c>
      <c r="E39" s="1336">
        <f>ROUNDDOWN(D39*(G28+G36),0)</f>
        <v>124654</v>
      </c>
      <c r="F39" s="1337">
        <f>IF(($G$28+$G$36)=0,0,G39/($G$28+$G$36))</f>
        <v>1.9999884480908545E-2</v>
      </c>
      <c r="G39" s="3429">
        <f t="shared" ref="G39:G40" si="2">SUM(J39:T39)</f>
        <v>124654</v>
      </c>
      <c r="H39" s="3430"/>
      <c r="I39" s="96"/>
      <c r="J39" s="3429"/>
      <c r="K39" s="3430"/>
      <c r="L39" s="2532"/>
      <c r="M39" s="3429"/>
      <c r="N39" s="3430"/>
      <c r="P39" s="3429">
        <f t="shared" ref="P39:P40" si="3">E39</f>
        <v>124654</v>
      </c>
      <c r="Q39" s="3430"/>
      <c r="S39" s="3429"/>
      <c r="T39" s="3430"/>
      <c r="V39" s="614"/>
      <c r="W39" s="3500"/>
      <c r="X39" s="3501"/>
      <c r="AZ39" s="1810"/>
      <c r="BA39" s="1809">
        <v>39</v>
      </c>
    </row>
    <row r="40" spans="1:53" s="95" customFormat="1" ht="11.25" customHeight="1" thickBot="1">
      <c r="B40" s="95" t="s">
        <v>557</v>
      </c>
      <c r="D40" s="1338">
        <f>'DCA Underwriting Assumptions'!$R$54</f>
        <v>0.06</v>
      </c>
      <c r="E40" s="1339">
        <f>ROUNDDOWN(D40*(G28+G36),0)</f>
        <v>373964</v>
      </c>
      <c r="F40" s="1340">
        <f>IF(($G$28+$G$36)=0,0,G40/($G$28+$G$36))</f>
        <v>5.9999974329090787E-2</v>
      </c>
      <c r="G40" s="3608">
        <f t="shared" si="2"/>
        <v>373964</v>
      </c>
      <c r="H40" s="3609"/>
      <c r="I40" s="96"/>
      <c r="J40" s="3608"/>
      <c r="K40" s="3609"/>
      <c r="L40" s="2532"/>
      <c r="M40" s="3608"/>
      <c r="N40" s="3609"/>
      <c r="P40" s="3608">
        <f t="shared" si="3"/>
        <v>373964</v>
      </c>
      <c r="Q40" s="3609"/>
      <c r="S40" s="3608"/>
      <c r="T40" s="3609"/>
      <c r="V40" s="614"/>
      <c r="W40" s="3492"/>
      <c r="X40" s="3493"/>
      <c r="AZ40" s="1810"/>
      <c r="BA40" s="1809">
        <v>40</v>
      </c>
    </row>
    <row r="41" spans="1:53" s="95" customFormat="1" ht="12.6" customHeight="1" thickTop="1">
      <c r="B41" s="98" t="s">
        <v>558</v>
      </c>
      <c r="D41" s="554">
        <f>SUM(D38:D40)</f>
        <v>0.14000000000000001</v>
      </c>
      <c r="E41" s="555">
        <f>SUM(E38:E40)</f>
        <v>872582</v>
      </c>
      <c r="F41" s="1334" t="s">
        <v>532</v>
      </c>
      <c r="G41" s="3494">
        <f>SUM(G38:G40)</f>
        <v>872582</v>
      </c>
      <c r="H41" s="3495"/>
      <c r="J41" s="3494">
        <f>SUM(J38:J40)</f>
        <v>0</v>
      </c>
      <c r="K41" s="3495"/>
      <c r="L41" s="186"/>
      <c r="M41" s="3494">
        <f>SUM(M38:M40)</f>
        <v>0</v>
      </c>
      <c r="N41" s="3495"/>
      <c r="P41" s="3494">
        <f>SUM(P38:P40)</f>
        <v>872582</v>
      </c>
      <c r="Q41" s="3495"/>
      <c r="S41" s="3494">
        <f>SUM(S38:S40)</f>
        <v>0</v>
      </c>
      <c r="T41" s="3495"/>
      <c r="V41" s="616">
        <f>SUM(V38:V40)</f>
        <v>0</v>
      </c>
      <c r="W41" s="3511"/>
      <c r="X41" s="3512"/>
      <c r="AZ41" s="1810" t="s">
        <v>559</v>
      </c>
      <c r="BA41" s="1809">
        <v>41</v>
      </c>
    </row>
    <row r="42" spans="1:53" s="95" customFormat="1" ht="3" customHeight="1">
      <c r="A42" s="267"/>
      <c r="B42" s="267"/>
      <c r="C42" s="267"/>
      <c r="D42" s="267"/>
      <c r="E42" s="267"/>
      <c r="F42" s="267"/>
      <c r="G42" s="267"/>
      <c r="H42" s="267"/>
      <c r="I42" s="267"/>
      <c r="J42" s="267"/>
      <c r="K42" s="267"/>
      <c r="L42" s="267"/>
      <c r="M42" s="267"/>
      <c r="N42" s="267"/>
      <c r="O42" s="267"/>
      <c r="P42" s="267"/>
      <c r="Q42" s="267"/>
      <c r="R42" s="267"/>
      <c r="S42" s="267"/>
      <c r="T42" s="267"/>
      <c r="V42" s="617"/>
      <c r="AZ42" s="1810"/>
      <c r="BA42" s="1809">
        <v>42</v>
      </c>
    </row>
    <row r="43" spans="1:53" s="95" customFormat="1">
      <c r="A43" s="267"/>
      <c r="C43" s="2676" t="s">
        <v>560</v>
      </c>
      <c r="D43" s="2677"/>
      <c r="E43" s="2678"/>
      <c r="F43" s="2678"/>
      <c r="G43" s="3649">
        <f>G28+G36+G41</f>
        <v>7105318</v>
      </c>
      <c r="H43" s="3650"/>
      <c r="I43" s="267"/>
      <c r="J43" s="267"/>
      <c r="K43" s="267"/>
      <c r="L43" s="267"/>
      <c r="M43" s="267"/>
      <c r="N43" s="267"/>
      <c r="O43" s="267"/>
      <c r="P43" s="267"/>
      <c r="Q43" s="267"/>
      <c r="R43" s="267"/>
      <c r="S43" s="267"/>
      <c r="T43" s="267"/>
      <c r="V43" s="617"/>
      <c r="AZ43" s="1810"/>
      <c r="BA43" s="1809">
        <v>43</v>
      </c>
    </row>
    <row r="44" spans="1:53" s="95" customFormat="1" ht="3" customHeight="1">
      <c r="A44" s="151"/>
      <c r="B44" s="151"/>
      <c r="C44" s="151"/>
      <c r="D44" s="151"/>
      <c r="E44" s="151"/>
      <c r="F44" s="151"/>
      <c r="G44" s="151"/>
      <c r="H44" s="151"/>
      <c r="I44" s="151"/>
      <c r="J44" s="151"/>
      <c r="K44" s="151"/>
      <c r="L44" s="151"/>
      <c r="M44" s="151"/>
      <c r="N44" s="151"/>
      <c r="O44" s="151"/>
      <c r="P44" s="151"/>
      <c r="Q44" s="151"/>
      <c r="R44" s="151"/>
      <c r="S44" s="151"/>
      <c r="T44" s="151"/>
      <c r="AZ44" s="1808" t="s">
        <v>561</v>
      </c>
      <c r="BA44" s="1809">
        <v>44</v>
      </c>
    </row>
    <row r="45" spans="1:53" s="95" customFormat="1" ht="12" customHeight="1">
      <c r="B45" s="151" t="s">
        <v>562</v>
      </c>
      <c r="J45" s="186"/>
      <c r="K45" s="183"/>
      <c r="M45" s="186"/>
      <c r="N45" s="183"/>
      <c r="O45" s="185" t="str">
        <f>B45</f>
        <v>OTHER CONSTRUCTION HARD COSTS (Non-GC work scope items done by Owner)</v>
      </c>
      <c r="P45" s="186"/>
      <c r="Q45" s="183"/>
      <c r="S45" s="186"/>
      <c r="T45" s="183"/>
      <c r="V45" s="617"/>
      <c r="W45" s="95" t="str">
        <f>B45</f>
        <v>OTHER CONSTRUCTION HARD COSTS (Non-GC work scope items done by Owner)</v>
      </c>
      <c r="AZ45" s="1810"/>
      <c r="BA45" s="1809">
        <v>45</v>
      </c>
    </row>
    <row r="46" spans="1:53" ht="11.25" customHeight="1">
      <c r="B46" s="98" t="s">
        <v>563</v>
      </c>
      <c r="C46" s="3600" t="s">
        <v>526</v>
      </c>
      <c r="D46" s="3651"/>
      <c r="E46" s="3651"/>
      <c r="F46" s="3652"/>
      <c r="G46" s="3615"/>
      <c r="H46" s="3616"/>
      <c r="I46" s="95"/>
      <c r="J46" s="3615"/>
      <c r="K46" s="3616"/>
      <c r="L46" s="2532"/>
      <c r="M46" s="3615"/>
      <c r="N46" s="3616"/>
      <c r="O46" s="95"/>
      <c r="P46" s="3615"/>
      <c r="Q46" s="3616"/>
      <c r="R46" s="95"/>
      <c r="S46" s="3615"/>
      <c r="T46" s="3616"/>
      <c r="V46" s="614"/>
      <c r="W46" s="3634"/>
      <c r="X46" s="3635"/>
      <c r="AZ46" s="1810"/>
      <c r="BA46" s="1809">
        <v>46</v>
      </c>
    </row>
    <row r="47" spans="1:53" s="95" customFormat="1" ht="6" customHeight="1">
      <c r="A47" s="267"/>
      <c r="B47" s="267"/>
      <c r="C47" s="267"/>
      <c r="D47" s="267"/>
      <c r="E47" s="267"/>
      <c r="F47" s="267"/>
      <c r="G47" s="267"/>
      <c r="H47" s="267"/>
      <c r="I47" s="267"/>
      <c r="J47" s="267"/>
      <c r="K47" s="267"/>
      <c r="L47" s="267"/>
      <c r="M47" s="267"/>
      <c r="N47" s="267"/>
      <c r="O47" s="267"/>
      <c r="P47" s="267"/>
      <c r="Q47" s="267"/>
      <c r="R47" s="267"/>
      <c r="S47" s="267"/>
      <c r="T47" s="267"/>
      <c r="V47" s="617"/>
      <c r="W47" s="3636"/>
      <c r="X47" s="3637"/>
      <c r="AZ47" s="1810" t="s">
        <v>564</v>
      </c>
      <c r="BA47" s="1809">
        <v>47</v>
      </c>
    </row>
    <row r="48" spans="1:53" s="95" customFormat="1" ht="12.6" customHeight="1">
      <c r="B48" s="1120" t="s">
        <v>565</v>
      </c>
      <c r="C48" s="1121"/>
      <c r="E48" s="3647" t="s">
        <v>566</v>
      </c>
      <c r="F48" s="2534">
        <f>C49/'Part V-Revenues &amp; Expenses'!$P$74</f>
        <v>74013.729166666672</v>
      </c>
      <c r="G48" s="2535" t="s">
        <v>567</v>
      </c>
      <c r="H48" s="1122"/>
      <c r="I48" s="1122"/>
      <c r="J48" s="3642">
        <f>C49/'Part V-Revenues &amp; Expenses'!$P$76</f>
        <v>74013.729166666672</v>
      </c>
      <c r="K48" s="3642"/>
      <c r="L48" s="1122"/>
      <c r="M48" s="3643" t="s">
        <v>568</v>
      </c>
      <c r="N48" s="3643"/>
      <c r="O48" s="1122"/>
      <c r="P48" s="3642">
        <f>C49/'Part V-Revenues &amp; Expenses'!$K$197</f>
        <v>71.407360508120277</v>
      </c>
      <c r="Q48" s="3642"/>
      <c r="R48" s="1122"/>
      <c r="S48" s="3644" t="s">
        <v>569</v>
      </c>
      <c r="T48" s="3645"/>
      <c r="V48" s="617"/>
      <c r="W48" s="3636"/>
      <c r="X48" s="3637"/>
      <c r="AZ48" s="1810"/>
      <c r="BA48" s="1809">
        <v>48</v>
      </c>
    </row>
    <row r="49" spans="1:53" s="95" customFormat="1" ht="12.6" customHeight="1">
      <c r="B49" s="1161" t="s">
        <v>570</v>
      </c>
      <c r="C49" s="1160">
        <f>G28+G36+G41+G46</f>
        <v>7105318</v>
      </c>
      <c r="E49" s="3648"/>
      <c r="F49" s="2533">
        <f>C49/'Part V-Revenues &amp; Expenses'!$P$188</f>
        <v>73.627186437867863</v>
      </c>
      <c r="G49" s="1123" t="s">
        <v>571</v>
      </c>
      <c r="H49" s="1124"/>
      <c r="I49" s="1124"/>
      <c r="J49" s="3632">
        <f>C49/'Part V-Revenues &amp; Expenses'!$P$190</f>
        <v>73.627186437867863</v>
      </c>
      <c r="K49" s="3632"/>
      <c r="L49" s="1124"/>
      <c r="M49" s="3633" t="s">
        <v>572</v>
      </c>
      <c r="N49" s="3633"/>
      <c r="O49" s="1124"/>
      <c r="P49" s="1124"/>
      <c r="Q49" s="1124"/>
      <c r="R49" s="1124"/>
      <c r="S49" s="1124"/>
      <c r="T49" s="1125"/>
      <c r="V49" s="617"/>
      <c r="W49" s="3638"/>
      <c r="X49" s="3639"/>
      <c r="AZ49" s="1810"/>
      <c r="BA49" s="1809">
        <v>49</v>
      </c>
    </row>
    <row r="50" spans="1:53" s="95" customFormat="1" ht="3" customHeight="1" thickBot="1">
      <c r="A50" s="267"/>
      <c r="B50" s="267"/>
      <c r="C50" s="267"/>
      <c r="D50" s="267"/>
      <c r="E50" s="267"/>
      <c r="F50" s="267"/>
      <c r="G50" s="267"/>
      <c r="H50" s="267"/>
      <c r="I50" s="267"/>
      <c r="J50" s="267"/>
      <c r="K50" s="267"/>
      <c r="L50" s="267"/>
      <c r="M50" s="267"/>
      <c r="N50" s="267"/>
      <c r="O50" s="267"/>
      <c r="P50" s="267"/>
      <c r="Q50" s="267"/>
      <c r="R50" s="267"/>
      <c r="S50" s="267"/>
      <c r="T50" s="267"/>
      <c r="V50" s="617"/>
      <c r="AZ50" s="1810"/>
      <c r="BA50" s="1809">
        <v>50</v>
      </c>
    </row>
    <row r="51" spans="1:53" s="95" customFormat="1" ht="18.75" customHeight="1" thickBot="1">
      <c r="A51" s="237" t="s">
        <v>21</v>
      </c>
      <c r="B51" s="237" t="s">
        <v>573</v>
      </c>
      <c r="J51" s="3591" t="s">
        <v>513</v>
      </c>
      <c r="K51" s="3592"/>
      <c r="L51" s="183"/>
      <c r="M51" s="3602" t="s">
        <v>514</v>
      </c>
      <c r="N51" s="3603"/>
      <c r="P51" s="3591" t="s">
        <v>515</v>
      </c>
      <c r="Q51" s="3592"/>
      <c r="S51" s="3591" t="s">
        <v>516</v>
      </c>
      <c r="T51" s="3592"/>
      <c r="V51" s="617"/>
      <c r="W51" s="238" t="str">
        <f>B51</f>
        <v>DEVELOPMENT BUDGET (cont'd)</v>
      </c>
      <c r="AZ51" s="1810"/>
      <c r="BA51" s="1809">
        <v>51</v>
      </c>
    </row>
    <row r="52" spans="1:53" s="95" customFormat="1" ht="18.75" customHeight="1" thickBot="1">
      <c r="G52" s="3606" t="s">
        <v>517</v>
      </c>
      <c r="H52" s="3607"/>
      <c r="J52" s="3593"/>
      <c r="K52" s="3594"/>
      <c r="L52" s="183"/>
      <c r="M52" s="3604"/>
      <c r="N52" s="3605"/>
      <c r="P52" s="3593"/>
      <c r="Q52" s="3594"/>
      <c r="S52" s="3593"/>
      <c r="T52" s="3594"/>
      <c r="V52" s="617"/>
      <c r="W52" s="3646" t="s">
        <v>350</v>
      </c>
      <c r="X52" s="3646"/>
      <c r="AZ52" s="1810"/>
      <c r="BA52" s="1809">
        <v>52</v>
      </c>
    </row>
    <row r="53" spans="1:53" s="95" customFormat="1" ht="9" customHeight="1">
      <c r="A53" s="267"/>
      <c r="B53" s="267"/>
      <c r="C53" s="267"/>
      <c r="D53" s="267"/>
      <c r="E53" s="267"/>
      <c r="F53" s="267"/>
      <c r="G53" s="267"/>
      <c r="H53" s="267"/>
      <c r="I53" s="267"/>
      <c r="J53" s="267"/>
      <c r="K53" s="267"/>
      <c r="L53" s="267"/>
      <c r="M53" s="267"/>
      <c r="N53" s="267"/>
      <c r="O53" s="267"/>
      <c r="P53" s="267"/>
      <c r="Q53" s="267"/>
      <c r="R53" s="267"/>
      <c r="S53" s="267"/>
      <c r="T53" s="267"/>
      <c r="V53" s="617"/>
      <c r="AZ53" s="1808"/>
      <c r="BA53" s="1809">
        <v>53</v>
      </c>
    </row>
    <row r="54" spans="1:53" s="95" customFormat="1" ht="12" customHeight="1">
      <c r="B54" s="151" t="s">
        <v>574</v>
      </c>
      <c r="F54" s="143" t="s">
        <v>575</v>
      </c>
      <c r="G54" s="280" t="str">
        <f>IF(G55&gt;E55,"Check Contingency Amount!!!!","")</f>
        <v/>
      </c>
      <c r="J54" s="186"/>
      <c r="K54" s="183"/>
      <c r="M54" s="186"/>
      <c r="N54" s="183"/>
      <c r="O54" s="185" t="str">
        <f>B54</f>
        <v>CONSTRUCTION CONTINGENCY (CC)</v>
      </c>
      <c r="P54" s="186"/>
      <c r="Q54" s="183"/>
      <c r="S54" s="186"/>
      <c r="T54" s="183"/>
      <c r="V54" s="617"/>
      <c r="W54" s="95" t="str">
        <f>B54</f>
        <v>CONSTRUCTION CONTINGENCY (CC)</v>
      </c>
      <c r="AZ54" s="1810"/>
      <c r="BA54" s="1809">
        <v>54</v>
      </c>
    </row>
    <row r="55" spans="1:53" ht="11.25" customHeight="1">
      <c r="B55" s="95" t="s">
        <v>576</v>
      </c>
      <c r="D55" s="482" t="s">
        <v>577</v>
      </c>
      <c r="E55" s="1191">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710531.8</v>
      </c>
      <c r="F55" s="1192">
        <f>G55/C49</f>
        <v>0.1</v>
      </c>
      <c r="G55" s="3615">
        <f>SUM(J55:T55)</f>
        <v>710531.8</v>
      </c>
      <c r="H55" s="3616"/>
      <c r="I55" s="95"/>
      <c r="J55" s="3615"/>
      <c r="K55" s="3616"/>
      <c r="L55" s="2532"/>
      <c r="M55" s="3615"/>
      <c r="N55" s="3616"/>
      <c r="O55" s="95"/>
      <c r="P55" s="3615">
        <f>10%*C49*80%</f>
        <v>568425.44000000006</v>
      </c>
      <c r="Q55" s="3616"/>
      <c r="R55" s="95"/>
      <c r="S55" s="3615">
        <f>10%*C49*20%</f>
        <v>142106.36000000002</v>
      </c>
      <c r="T55" s="3616"/>
      <c r="V55" s="614"/>
      <c r="W55" s="3500"/>
      <c r="X55" s="3501"/>
      <c r="AZ55" s="1810"/>
      <c r="BA55" s="1809">
        <v>55</v>
      </c>
    </row>
    <row r="56" spans="1:53" s="95" customFormat="1" ht="6" customHeight="1">
      <c r="A56" s="267"/>
      <c r="B56" s="267"/>
      <c r="C56" s="267"/>
      <c r="D56" s="267"/>
      <c r="E56" s="267"/>
      <c r="F56" s="267"/>
      <c r="G56" s="267"/>
      <c r="H56" s="267"/>
      <c r="I56" s="267"/>
      <c r="J56" s="267"/>
      <c r="K56" s="267"/>
      <c r="L56" s="267"/>
      <c r="M56" s="267"/>
      <c r="N56" s="267"/>
      <c r="O56" s="267"/>
      <c r="P56" s="267"/>
      <c r="Q56" s="267"/>
      <c r="R56" s="267"/>
      <c r="S56" s="267"/>
      <c r="T56" s="267"/>
      <c r="V56" s="617"/>
      <c r="W56" s="3634"/>
      <c r="X56" s="3635"/>
      <c r="AZ56" s="1810"/>
      <c r="BA56" s="1809">
        <v>56</v>
      </c>
    </row>
    <row r="57" spans="1:53" s="95" customFormat="1" ht="12.6" customHeight="1">
      <c r="B57" s="1126" t="s">
        <v>578</v>
      </c>
      <c r="C57" s="1121"/>
      <c r="E57" s="3640" t="s">
        <v>579</v>
      </c>
      <c r="F57" s="2534">
        <f>B58/'Part V-Revenues &amp; Expenses'!$P$74</f>
        <v>81415.102083333331</v>
      </c>
      <c r="G57" s="2535" t="s">
        <v>567</v>
      </c>
      <c r="H57" s="1122"/>
      <c r="I57" s="1122"/>
      <c r="J57" s="3642">
        <f>B58/'Part V-Revenues &amp; Expenses'!$P$76</f>
        <v>81415.102083333331</v>
      </c>
      <c r="K57" s="3642"/>
      <c r="L57" s="1122"/>
      <c r="M57" s="3643" t="s">
        <v>568</v>
      </c>
      <c r="N57" s="3643"/>
      <c r="O57" s="1122"/>
      <c r="P57" s="3642">
        <f>B58/'Part V-Revenues &amp; Expenses'!$K$197</f>
        <v>78.548096558932301</v>
      </c>
      <c r="Q57" s="3642"/>
      <c r="R57" s="1122"/>
      <c r="S57" s="3644" t="s">
        <v>569</v>
      </c>
      <c r="T57" s="3645"/>
      <c r="V57" s="617"/>
      <c r="W57" s="3636"/>
      <c r="X57" s="3637"/>
      <c r="AZ57" s="1810"/>
      <c r="BA57" s="1809">
        <v>57</v>
      </c>
    </row>
    <row r="58" spans="1:53" s="95" customFormat="1" ht="12.6" customHeight="1">
      <c r="B58" s="3630">
        <f>C49+G55</f>
        <v>7815849.7999999998</v>
      </c>
      <c r="C58" s="3631"/>
      <c r="E58" s="3641"/>
      <c r="F58" s="2533">
        <f>B58/'Part V-Revenues &amp; Expenses'!$P$188</f>
        <v>80.989905081654641</v>
      </c>
      <c r="G58" s="1123" t="s">
        <v>571</v>
      </c>
      <c r="H58" s="1124"/>
      <c r="I58" s="1124"/>
      <c r="J58" s="3632">
        <f>B58/'Part V-Revenues &amp; Expenses'!$P$190</f>
        <v>80.989905081654641</v>
      </c>
      <c r="K58" s="3632"/>
      <c r="L58" s="1124"/>
      <c r="M58" s="3633" t="s">
        <v>572</v>
      </c>
      <c r="N58" s="3633"/>
      <c r="O58" s="1124"/>
      <c r="P58" s="1124"/>
      <c r="Q58" s="1124"/>
      <c r="R58" s="1124"/>
      <c r="S58" s="1124"/>
      <c r="T58" s="1125"/>
      <c r="V58" s="617"/>
      <c r="W58" s="3636"/>
      <c r="X58" s="3637"/>
      <c r="AZ58" s="1810"/>
      <c r="BA58" s="1809">
        <v>58</v>
      </c>
    </row>
    <row r="59" spans="1:53" s="95" customFormat="1" ht="6" customHeight="1">
      <c r="A59" s="267"/>
      <c r="B59" s="267"/>
      <c r="C59" s="267"/>
      <c r="D59" s="267"/>
      <c r="E59" s="267"/>
      <c r="F59" s="267"/>
      <c r="G59" s="267"/>
      <c r="H59" s="267"/>
      <c r="I59" s="267"/>
      <c r="J59" s="267"/>
      <c r="K59" s="267"/>
      <c r="L59" s="267"/>
      <c r="M59" s="267"/>
      <c r="N59" s="267"/>
      <c r="O59" s="267"/>
      <c r="P59" s="267"/>
      <c r="Q59" s="267"/>
      <c r="R59" s="267"/>
      <c r="S59" s="267"/>
      <c r="T59" s="267"/>
      <c r="V59" s="617"/>
      <c r="W59" s="3638"/>
      <c r="X59" s="3639"/>
      <c r="AZ59" s="1810"/>
      <c r="BA59" s="1809">
        <v>59</v>
      </c>
    </row>
    <row r="60" spans="1:53" s="95" customFormat="1" ht="12" customHeight="1">
      <c r="B60" s="151" t="s">
        <v>580</v>
      </c>
      <c r="J60" s="186"/>
      <c r="K60" s="183"/>
      <c r="M60" s="186"/>
      <c r="N60" s="183"/>
      <c r="O60" s="185" t="str">
        <f>B60</f>
        <v>CONSTRUCTION PERIOD FINANCING</v>
      </c>
      <c r="P60" s="186"/>
      <c r="Q60" s="183"/>
      <c r="S60" s="186"/>
      <c r="T60" s="183"/>
      <c r="V60" s="617"/>
      <c r="W60" s="95" t="str">
        <f>B60</f>
        <v>CONSTRUCTION PERIOD FINANCING</v>
      </c>
      <c r="AZ60" s="1810"/>
      <c r="BA60" s="1809">
        <v>60</v>
      </c>
    </row>
    <row r="61" spans="1:53" s="95" customFormat="1" ht="12" customHeight="1">
      <c r="B61" s="95" t="s">
        <v>581</v>
      </c>
      <c r="G61" s="3431">
        <f>SUM(J61:T61)</f>
        <v>0</v>
      </c>
      <c r="H61" s="3432"/>
      <c r="J61" s="3431"/>
      <c r="K61" s="3432"/>
      <c r="L61" s="2532"/>
      <c r="M61" s="3431"/>
      <c r="N61" s="3432"/>
      <c r="P61" s="3431"/>
      <c r="Q61" s="3432"/>
      <c r="S61" s="3431"/>
      <c r="T61" s="3432"/>
      <c r="V61" s="618"/>
      <c r="W61" s="3500"/>
      <c r="X61" s="3501"/>
      <c r="AZ61" s="1810"/>
      <c r="BA61" s="1809">
        <v>61</v>
      </c>
    </row>
    <row r="62" spans="1:53" s="95" customFormat="1" ht="12" customHeight="1">
      <c r="B62" s="95" t="s">
        <v>582</v>
      </c>
      <c r="G62" s="3429">
        <f t="shared" ref="G62:G72" si="4">SUM(J62:T62)</f>
        <v>0</v>
      </c>
      <c r="H62" s="3430"/>
      <c r="J62" s="3429"/>
      <c r="K62" s="3430"/>
      <c r="L62" s="2532"/>
      <c r="M62" s="3429"/>
      <c r="N62" s="3430"/>
      <c r="P62" s="3429"/>
      <c r="Q62" s="3430"/>
      <c r="S62" s="3429"/>
      <c r="T62" s="3430"/>
      <c r="V62" s="618"/>
      <c r="W62" s="3500"/>
      <c r="X62" s="3501"/>
      <c r="AZ62" s="1810"/>
      <c r="BA62" s="1809">
        <v>62</v>
      </c>
    </row>
    <row r="63" spans="1:53" s="95" customFormat="1" ht="12" customHeight="1">
      <c r="B63" s="95" t="s">
        <v>583</v>
      </c>
      <c r="G63" s="3429">
        <f t="shared" si="4"/>
        <v>127161.45200000002</v>
      </c>
      <c r="H63" s="3430"/>
      <c r="J63" s="3429"/>
      <c r="K63" s="3430"/>
      <c r="L63" s="2532"/>
      <c r="M63" s="3429"/>
      <c r="N63" s="3430"/>
      <c r="P63" s="3429">
        <f>1.1%*('Part II-Sources of Funds'!L24+'Part II-Sources of Funds'!L25)*70%</f>
        <v>89013.016400000008</v>
      </c>
      <c r="Q63" s="3430"/>
      <c r="S63" s="3429">
        <f>1.1%*('Part II-Sources of Funds'!L24+'Part II-Sources of Funds'!L25)*30%</f>
        <v>38148.435600000004</v>
      </c>
      <c r="T63" s="3430"/>
      <c r="V63" s="618"/>
      <c r="W63" s="3500"/>
      <c r="X63" s="3501"/>
      <c r="AZ63" s="1810"/>
      <c r="BA63" s="1809">
        <v>63</v>
      </c>
    </row>
    <row r="64" spans="1:53" s="95" customFormat="1" ht="12" customHeight="1">
      <c r="B64" s="95" t="s">
        <v>584</v>
      </c>
      <c r="G64" s="3429">
        <f t="shared" si="4"/>
        <v>676777.5</v>
      </c>
      <c r="H64" s="3430"/>
      <c r="J64" s="3429"/>
      <c r="K64" s="3430"/>
      <c r="L64" s="2532"/>
      <c r="M64" s="3429"/>
      <c r="N64" s="3430"/>
      <c r="P64" s="3429">
        <f>'Part II-Sources of Funds'!L24*'Part II-Sources of Funds'!N24/12*'Part II-Sources of Funds'!P24*70%*70%+'Part II-Sources of Funds'!L25*'Part II-Sources of Funds'!N25/12*'Part II-Sources of Funds'!P25*70%*70%</f>
        <v>465806.24999999994</v>
      </c>
      <c r="Q64" s="3430"/>
      <c r="S64" s="3429">
        <f>'Part II-Sources of Funds'!L24*'Part II-Sources of Funds'!N24/12*'Part II-Sources of Funds'!P24*70%*30%+'Part II-Sources of Funds'!L25*'Part II-Sources of Funds'!N25/12*'Part II-Sources of Funds'!P25*70%*30%+11340</f>
        <v>210971.25</v>
      </c>
      <c r="T64" s="3430"/>
      <c r="V64" s="618"/>
      <c r="W64" s="3500"/>
      <c r="X64" s="3501"/>
      <c r="AZ64" s="1810"/>
      <c r="BA64" s="1809">
        <v>64</v>
      </c>
    </row>
    <row r="65" spans="1:53" s="95" customFormat="1" ht="12" customHeight="1">
      <c r="B65" s="95" t="s">
        <v>585</v>
      </c>
      <c r="G65" s="3429">
        <f t="shared" si="4"/>
        <v>100000</v>
      </c>
      <c r="H65" s="3430"/>
      <c r="J65" s="3429"/>
      <c r="K65" s="3430"/>
      <c r="L65" s="2532"/>
      <c r="M65" s="3429"/>
      <c r="N65" s="3430"/>
      <c r="P65" s="3429">
        <v>100000</v>
      </c>
      <c r="Q65" s="3430"/>
      <c r="S65" s="3429"/>
      <c r="T65" s="3430"/>
      <c r="V65" s="618"/>
      <c r="W65" s="3500"/>
      <c r="X65" s="3501"/>
      <c r="AZ65" s="1810" t="s">
        <v>586</v>
      </c>
      <c r="BA65" s="1809">
        <v>65</v>
      </c>
    </row>
    <row r="66" spans="1:53" s="95" customFormat="1" ht="12" customHeight="1">
      <c r="B66" s="95" t="s">
        <v>587</v>
      </c>
      <c r="G66" s="3429">
        <f t="shared" si="4"/>
        <v>27000</v>
      </c>
      <c r="H66" s="3430"/>
      <c r="J66" s="3429"/>
      <c r="K66" s="3430"/>
      <c r="L66" s="2532"/>
      <c r="M66" s="3429"/>
      <c r="N66" s="3430"/>
      <c r="P66" s="3429">
        <f>1500*'[1]Part II-Sources of Funds'!P24</f>
        <v>27000</v>
      </c>
      <c r="Q66" s="3430"/>
      <c r="S66" s="3429"/>
      <c r="T66" s="3430"/>
      <c r="V66" s="618"/>
      <c r="W66" s="3500"/>
      <c r="X66" s="3501"/>
      <c r="AZ66" s="1810" t="s">
        <v>588</v>
      </c>
      <c r="BA66" s="1809">
        <v>66</v>
      </c>
    </row>
    <row r="67" spans="1:53" s="95" customFormat="1" ht="12" customHeight="1">
      <c r="B67" s="95" t="s">
        <v>589</v>
      </c>
      <c r="G67" s="3429">
        <f t="shared" si="4"/>
        <v>36450</v>
      </c>
      <c r="H67" s="3430"/>
      <c r="J67" s="3429"/>
      <c r="K67" s="3430"/>
      <c r="L67" s="2532"/>
      <c r="M67" s="3429"/>
      <c r="N67" s="3430"/>
      <c r="P67" s="3429"/>
      <c r="Q67" s="3430"/>
      <c r="S67" s="3429">
        <f>24300*1.5</f>
        <v>36450</v>
      </c>
      <c r="T67" s="3430"/>
      <c r="V67" s="618"/>
      <c r="W67" s="3500"/>
      <c r="X67" s="3501"/>
      <c r="AZ67" s="1810" t="s">
        <v>590</v>
      </c>
      <c r="BA67" s="1809">
        <v>67</v>
      </c>
    </row>
    <row r="68" spans="1:53" s="95" customFormat="1" ht="12" customHeight="1">
      <c r="B68" s="95" t="s">
        <v>591</v>
      </c>
      <c r="G68" s="3429">
        <f t="shared" si="4"/>
        <v>150000</v>
      </c>
      <c r="H68" s="3430"/>
      <c r="J68" s="3429"/>
      <c r="K68" s="3430"/>
      <c r="L68" s="2532"/>
      <c r="M68" s="3429"/>
      <c r="N68" s="3430"/>
      <c r="P68" s="3429">
        <v>150000</v>
      </c>
      <c r="Q68" s="3430"/>
      <c r="S68" s="3429"/>
      <c r="T68" s="3430"/>
      <c r="V68" s="618"/>
      <c r="W68" s="3500"/>
      <c r="X68" s="3501"/>
      <c r="AZ68" s="1810"/>
      <c r="BA68" s="1809">
        <v>68</v>
      </c>
    </row>
    <row r="69" spans="1:53" s="95" customFormat="1" ht="12" customHeight="1">
      <c r="B69" s="95" t="s">
        <v>592</v>
      </c>
      <c r="G69" s="3429">
        <f t="shared" si="4"/>
        <v>100000</v>
      </c>
      <c r="H69" s="3430"/>
      <c r="J69" s="3429"/>
      <c r="K69" s="3430"/>
      <c r="L69" s="2532"/>
      <c r="M69" s="3429"/>
      <c r="N69" s="3430"/>
      <c r="P69" s="3429">
        <v>100000</v>
      </c>
      <c r="Q69" s="3430"/>
      <c r="S69" s="3429"/>
      <c r="T69" s="3430"/>
      <c r="V69" s="618"/>
      <c r="W69" s="3500"/>
      <c r="X69" s="3501"/>
      <c r="AZ69" s="1810"/>
      <c r="BA69" s="1809">
        <v>69</v>
      </c>
    </row>
    <row r="70" spans="1:53" s="95" customFormat="1" ht="12" customHeight="1">
      <c r="B70" s="190" t="s">
        <v>593</v>
      </c>
      <c r="D70" s="188"/>
      <c r="E70" s="188"/>
      <c r="F70" s="189"/>
      <c r="G70" s="3429">
        <f t="shared" si="4"/>
        <v>142106.36000000002</v>
      </c>
      <c r="H70" s="3430"/>
      <c r="I70" s="96"/>
      <c r="J70" s="3429"/>
      <c r="K70" s="3430"/>
      <c r="L70" s="2532"/>
      <c r="M70" s="3429"/>
      <c r="N70" s="3430"/>
      <c r="P70" s="3429">
        <f>C49*2%</f>
        <v>142106.36000000002</v>
      </c>
      <c r="Q70" s="3430"/>
      <c r="S70" s="3429"/>
      <c r="T70" s="3430"/>
      <c r="V70" s="618"/>
      <c r="W70" s="3500"/>
      <c r="X70" s="3501"/>
      <c r="AZ70" s="1810"/>
      <c r="BA70" s="1809">
        <v>70</v>
      </c>
    </row>
    <row r="71" spans="1:53" s="95" customFormat="1" ht="12" customHeight="1">
      <c r="A71" s="205" t="str">
        <f>IF(AND(G71&gt;0,OR(C71="",C71="&lt;Enter detailed description here; use Comments section if needed&gt;")),"X","")</f>
        <v/>
      </c>
      <c r="B71" s="98" t="s">
        <v>594</v>
      </c>
      <c r="C71" s="3620" t="s">
        <v>526</v>
      </c>
      <c r="D71" s="3620"/>
      <c r="E71" s="3620"/>
      <c r="F71" s="3621"/>
      <c r="G71" s="3429">
        <f t="shared" si="4"/>
        <v>0</v>
      </c>
      <c r="H71" s="3430"/>
      <c r="J71" s="3429"/>
      <c r="K71" s="3430"/>
      <c r="L71" s="2532"/>
      <c r="M71" s="3429"/>
      <c r="N71" s="3430"/>
      <c r="P71" s="3429"/>
      <c r="Q71" s="3430"/>
      <c r="S71" s="3429"/>
      <c r="T71" s="3430"/>
      <c r="U71" s="204" t="str">
        <f>IF(AND(G71&gt;0,OR(C71="",C71="&lt;Enter detailed description here; use Comments section if needed&gt;")),"NO DESCRIPTION PROVIDED - please enter detailed description in Other box at left; use Comments section below if needed.","")</f>
        <v/>
      </c>
      <c r="V71" s="618"/>
      <c r="W71" s="3500"/>
      <c r="X71" s="3501"/>
      <c r="AZ71" s="1810"/>
      <c r="BA71" s="1809">
        <v>71</v>
      </c>
    </row>
    <row r="72" spans="1:53" s="95" customFormat="1" ht="12" customHeight="1" thickBot="1">
      <c r="A72" s="205" t="str">
        <f>IF(AND(G72&gt;0,OR(C72="",C72="&lt;Enter detailed description here; use Comments section if needed&gt;")),"X","")</f>
        <v/>
      </c>
      <c r="B72" s="98" t="s">
        <v>595</v>
      </c>
      <c r="C72" s="3622" t="s">
        <v>526</v>
      </c>
      <c r="D72" s="3622"/>
      <c r="E72" s="3622"/>
      <c r="F72" s="3623"/>
      <c r="G72" s="3421">
        <f t="shared" si="4"/>
        <v>0</v>
      </c>
      <c r="H72" s="3422"/>
      <c r="J72" s="3421"/>
      <c r="K72" s="3422"/>
      <c r="L72" s="2532"/>
      <c r="M72" s="3421"/>
      <c r="N72" s="3422"/>
      <c r="P72" s="3421"/>
      <c r="Q72" s="3422"/>
      <c r="S72" s="3421"/>
      <c r="T72" s="3422"/>
      <c r="U72" s="204" t="str">
        <f>IF(AND(G72&gt;0,OR(C72="",C72="&lt;Enter detailed description here; use Comments section if needed&gt;")),"NO DESCRIPTION PROVIDED - please enter detailed description in Other box at left; use Comments section below if needed.","")</f>
        <v/>
      </c>
      <c r="V72" s="618"/>
      <c r="W72" s="3492"/>
      <c r="X72" s="3493"/>
      <c r="AZ72" s="1810"/>
      <c r="BA72" s="1809">
        <v>72</v>
      </c>
    </row>
    <row r="73" spans="1:53" s="95" customFormat="1" ht="12" customHeight="1" thickTop="1">
      <c r="F73" s="184" t="s">
        <v>532</v>
      </c>
      <c r="G73" s="3494">
        <f>SUM(G61:G72)</f>
        <v>1359495.3120000002</v>
      </c>
      <c r="H73" s="3495"/>
      <c r="J73" s="3494">
        <f>SUM(J61:J72)</f>
        <v>0</v>
      </c>
      <c r="K73" s="3495"/>
      <c r="L73" s="186"/>
      <c r="M73" s="3494">
        <f>SUM(M61:M72)</f>
        <v>0</v>
      </c>
      <c r="N73" s="3495"/>
      <c r="P73" s="3494">
        <f>SUM(P61:P72)</f>
        <v>1073925.6264</v>
      </c>
      <c r="Q73" s="3495"/>
      <c r="S73" s="3494">
        <f>SUM(S61:S72)</f>
        <v>285569.68559999997</v>
      </c>
      <c r="T73" s="3495"/>
      <c r="V73" s="2679">
        <f>SUM(V61:V72)</f>
        <v>0</v>
      </c>
      <c r="W73" s="3511"/>
      <c r="X73" s="3512"/>
      <c r="AZ73" s="1810"/>
      <c r="BA73" s="1809">
        <v>73</v>
      </c>
    </row>
    <row r="74" spans="1:53" s="95" customFormat="1" ht="12" customHeight="1">
      <c r="B74" s="151" t="s">
        <v>596</v>
      </c>
      <c r="G74" s="183"/>
      <c r="H74" s="183"/>
      <c r="J74" s="183"/>
      <c r="K74" s="183"/>
      <c r="M74" s="183"/>
      <c r="N74" s="183"/>
      <c r="O74" s="185" t="str">
        <f>B74</f>
        <v>PROFESSIONAL SERVICES</v>
      </c>
      <c r="P74" s="183"/>
      <c r="Q74" s="183"/>
      <c r="S74" s="183"/>
      <c r="T74" s="183"/>
      <c r="V74" s="617"/>
      <c r="W74" s="95" t="str">
        <f>B74</f>
        <v>PROFESSIONAL SERVICES</v>
      </c>
      <c r="AZ74" s="1810"/>
      <c r="BA74" s="1809">
        <v>74</v>
      </c>
    </row>
    <row r="75" spans="1:53" s="95" customFormat="1" ht="12" customHeight="1">
      <c r="B75" s="95" t="s">
        <v>597</v>
      </c>
      <c r="G75" s="3431">
        <f>SUM(J75:T75)</f>
        <v>284212.72000000003</v>
      </c>
      <c r="H75" s="3432"/>
      <c r="J75" s="3431"/>
      <c r="K75" s="3432"/>
      <c r="L75" s="2532"/>
      <c r="M75" s="3431"/>
      <c r="N75" s="3432"/>
      <c r="P75" s="3431">
        <f>5%*C49*80%</f>
        <v>284212.72000000003</v>
      </c>
      <c r="Q75" s="3432"/>
      <c r="S75" s="3431"/>
      <c r="T75" s="3432"/>
      <c r="V75" s="614"/>
      <c r="W75" s="3500"/>
      <c r="X75" s="3501"/>
      <c r="AZ75" s="1810"/>
      <c r="BA75" s="1809">
        <v>75</v>
      </c>
    </row>
    <row r="76" spans="1:53" s="95" customFormat="1" ht="12" customHeight="1">
      <c r="B76" s="95" t="s">
        <v>598</v>
      </c>
      <c r="G76" s="3429">
        <f t="shared" ref="G76:G85" si="5">SUM(J76:T76)</f>
        <v>71053.180000000008</v>
      </c>
      <c r="H76" s="3430"/>
      <c r="J76" s="3429"/>
      <c r="K76" s="3430"/>
      <c r="L76" s="2532"/>
      <c r="M76" s="3429"/>
      <c r="N76" s="3430"/>
      <c r="P76" s="3429">
        <f>5%*C49*20%</f>
        <v>71053.180000000008</v>
      </c>
      <c r="Q76" s="3430"/>
      <c r="S76" s="3429"/>
      <c r="T76" s="3430"/>
      <c r="V76" s="614"/>
      <c r="W76" s="3500"/>
      <c r="X76" s="3501"/>
      <c r="AZ76" s="1810"/>
      <c r="BA76" s="1809">
        <v>76</v>
      </c>
    </row>
    <row r="77" spans="1:53" s="95" customFormat="1" ht="12" customHeight="1">
      <c r="B77" s="95" t="s">
        <v>599</v>
      </c>
      <c r="D77" s="154"/>
      <c r="E77" s="609"/>
      <c r="F77" s="280"/>
      <c r="G77" s="3429">
        <f t="shared" si="5"/>
        <v>20000</v>
      </c>
      <c r="H77" s="3430"/>
      <c r="J77" s="3429"/>
      <c r="K77" s="3430"/>
      <c r="L77" s="2532"/>
      <c r="M77" s="3429"/>
      <c r="N77" s="3430"/>
      <c r="P77" s="3429">
        <v>20000</v>
      </c>
      <c r="Q77" s="3430"/>
      <c r="S77" s="3429"/>
      <c r="T77" s="3430"/>
      <c r="V77" s="614"/>
      <c r="W77" s="3500"/>
      <c r="X77" s="3501"/>
      <c r="AZ77" s="1810"/>
      <c r="BA77" s="1809">
        <v>77</v>
      </c>
    </row>
    <row r="78" spans="1:53" s="95" customFormat="1" ht="12" customHeight="1">
      <c r="B78" s="95" t="s">
        <v>600</v>
      </c>
      <c r="G78" s="3429">
        <f t="shared" si="5"/>
        <v>25000</v>
      </c>
      <c r="H78" s="3430"/>
      <c r="J78" s="3429"/>
      <c r="K78" s="3430"/>
      <c r="L78" s="2532"/>
      <c r="M78" s="3429"/>
      <c r="N78" s="3430"/>
      <c r="P78" s="3429">
        <v>25000</v>
      </c>
      <c r="Q78" s="3430"/>
      <c r="S78" s="3429"/>
      <c r="T78" s="3430"/>
      <c r="V78" s="614"/>
      <c r="W78" s="3500"/>
      <c r="X78" s="3501"/>
      <c r="AZ78" s="1810"/>
      <c r="BA78" s="1809">
        <v>78</v>
      </c>
    </row>
    <row r="79" spans="1:53" s="95" customFormat="1" ht="12" customHeight="1">
      <c r="B79" s="95" t="s">
        <v>601</v>
      </c>
      <c r="G79" s="3429">
        <f t="shared" si="5"/>
        <v>20000</v>
      </c>
      <c r="H79" s="3430"/>
      <c r="J79" s="3429"/>
      <c r="K79" s="3430"/>
      <c r="L79" s="2532"/>
      <c r="M79" s="3429"/>
      <c r="N79" s="3430"/>
      <c r="P79" s="3429">
        <v>20000</v>
      </c>
      <c r="Q79" s="3430"/>
      <c r="S79" s="3429"/>
      <c r="T79" s="3430"/>
      <c r="V79" s="614"/>
      <c r="W79" s="3500"/>
      <c r="X79" s="3501"/>
      <c r="AZ79" s="1810" t="s">
        <v>602</v>
      </c>
      <c r="BA79" s="1809">
        <v>79</v>
      </c>
    </row>
    <row r="80" spans="1:53" s="95" customFormat="1" ht="12" customHeight="1">
      <c r="B80" s="95" t="s">
        <v>603</v>
      </c>
      <c r="G80" s="3429">
        <f t="shared" si="5"/>
        <v>20000</v>
      </c>
      <c r="H80" s="3430"/>
      <c r="J80" s="3429"/>
      <c r="K80" s="3430"/>
      <c r="L80" s="2532"/>
      <c r="M80" s="3429"/>
      <c r="N80" s="3430"/>
      <c r="P80" s="3429">
        <v>20000</v>
      </c>
      <c r="Q80" s="3430"/>
      <c r="S80" s="3429"/>
      <c r="T80" s="3430"/>
      <c r="V80" s="614"/>
      <c r="W80" s="3500"/>
      <c r="X80" s="3501"/>
      <c r="AZ80" s="1810" t="s">
        <v>604</v>
      </c>
      <c r="BA80" s="1809">
        <v>80</v>
      </c>
    </row>
    <row r="81" spans="1:53" s="95" customFormat="1" ht="12" customHeight="1">
      <c r="B81" s="95" t="s">
        <v>605</v>
      </c>
      <c r="G81" s="3429">
        <f t="shared" si="5"/>
        <v>35000</v>
      </c>
      <c r="H81" s="3430"/>
      <c r="J81" s="3429"/>
      <c r="K81" s="3430"/>
      <c r="L81" s="2532"/>
      <c r="M81" s="3429"/>
      <c r="N81" s="3430"/>
      <c r="P81" s="3429">
        <v>35000</v>
      </c>
      <c r="Q81" s="3430"/>
      <c r="S81" s="3429"/>
      <c r="T81" s="3430"/>
      <c r="V81" s="614"/>
      <c r="W81" s="3500"/>
      <c r="X81" s="3501"/>
      <c r="AZ81" s="1808"/>
      <c r="BA81" s="1809">
        <v>81</v>
      </c>
    </row>
    <row r="82" spans="1:53" s="95" customFormat="1" ht="12" customHeight="1">
      <c r="B82" s="95" t="s">
        <v>606</v>
      </c>
      <c r="G82" s="3429">
        <f t="shared" si="5"/>
        <v>175000</v>
      </c>
      <c r="H82" s="3430"/>
      <c r="J82" s="3429"/>
      <c r="K82" s="3430"/>
      <c r="L82" s="2532"/>
      <c r="M82" s="3429"/>
      <c r="N82" s="3430"/>
      <c r="P82" s="3429">
        <v>175000</v>
      </c>
      <c r="Q82" s="3430"/>
      <c r="S82" s="3429"/>
      <c r="T82" s="3430"/>
      <c r="V82" s="614"/>
      <c r="W82" s="3500"/>
      <c r="X82" s="3501"/>
      <c r="AZ82" s="1810"/>
      <c r="BA82" s="1809">
        <v>82</v>
      </c>
    </row>
    <row r="83" spans="1:53" s="95" customFormat="1" ht="12" customHeight="1">
      <c r="B83" s="95" t="s">
        <v>607</v>
      </c>
      <c r="G83" s="3429">
        <f t="shared" si="5"/>
        <v>27500</v>
      </c>
      <c r="H83" s="3430"/>
      <c r="J83" s="3429"/>
      <c r="K83" s="3430"/>
      <c r="L83" s="2532"/>
      <c r="M83" s="3429"/>
      <c r="N83" s="3430"/>
      <c r="P83" s="3429">
        <v>27500</v>
      </c>
      <c r="Q83" s="3430"/>
      <c r="S83" s="3429"/>
      <c r="T83" s="3430"/>
      <c r="V83" s="614"/>
      <c r="W83" s="3500"/>
      <c r="X83" s="3501"/>
      <c r="AZ83" s="1810"/>
      <c r="BA83" s="1809">
        <v>83</v>
      </c>
    </row>
    <row r="84" spans="1:53" s="95" customFormat="1" ht="12" customHeight="1">
      <c r="B84" s="95" t="s">
        <v>608</v>
      </c>
      <c r="G84" s="3429">
        <f t="shared" si="5"/>
        <v>15000</v>
      </c>
      <c r="H84" s="3430"/>
      <c r="J84" s="3429"/>
      <c r="K84" s="3430"/>
      <c r="L84" s="2532"/>
      <c r="M84" s="3429"/>
      <c r="N84" s="3430"/>
      <c r="P84" s="3429">
        <v>15000</v>
      </c>
      <c r="Q84" s="3430"/>
      <c r="S84" s="3429"/>
      <c r="T84" s="3430"/>
      <c r="V84" s="614"/>
      <c r="W84" s="3500"/>
      <c r="X84" s="3501"/>
      <c r="AZ84" s="1810"/>
      <c r="BA84" s="1809">
        <v>84</v>
      </c>
    </row>
    <row r="85" spans="1:53" s="95" customFormat="1" ht="12" customHeight="1" thickBot="1">
      <c r="A85" s="205" t="str">
        <f>IF(AND(G85&gt;0,OR(C85="",C85="&lt;Enter detailed description here; use Comments section if needed&gt;")),"X","")</f>
        <v/>
      </c>
      <c r="B85" s="98" t="s">
        <v>609</v>
      </c>
      <c r="C85" s="3600" t="s">
        <v>526</v>
      </c>
      <c r="D85" s="3600"/>
      <c r="E85" s="3600"/>
      <c r="F85" s="3601"/>
      <c r="G85" s="3421">
        <f t="shared" si="5"/>
        <v>0</v>
      </c>
      <c r="H85" s="3422"/>
      <c r="J85" s="3421"/>
      <c r="K85" s="3422"/>
      <c r="L85" s="2532"/>
      <c r="M85" s="3421"/>
      <c r="N85" s="3422"/>
      <c r="P85" s="3421"/>
      <c r="Q85" s="3422"/>
      <c r="S85" s="3421"/>
      <c r="T85" s="3422"/>
      <c r="U85" s="204" t="str">
        <f>IF(AND(G85&gt;0,OR(C85="",C85="&lt;Enter detailed description here; use Comments section if needed&gt;")),"NO DESCRIPTION PROVIDED - please enter detailed description in Other box at left; use Comments section below if needed.","")</f>
        <v/>
      </c>
      <c r="V85" s="614"/>
      <c r="W85" s="3492"/>
      <c r="X85" s="3493"/>
      <c r="AZ85" s="1810"/>
      <c r="BA85" s="1809">
        <v>85</v>
      </c>
    </row>
    <row r="86" spans="1:53" s="95" customFormat="1" ht="12" customHeight="1" thickTop="1">
      <c r="F86" s="184" t="s">
        <v>532</v>
      </c>
      <c r="G86" s="3494">
        <f>SUM(G75:G85)</f>
        <v>692765.9</v>
      </c>
      <c r="H86" s="3495"/>
      <c r="J86" s="3494">
        <f>SUM(J75:J85)</f>
        <v>0</v>
      </c>
      <c r="K86" s="3495"/>
      <c r="L86" s="186"/>
      <c r="M86" s="3494">
        <f>SUM(M75:M85)</f>
        <v>0</v>
      </c>
      <c r="N86" s="3495"/>
      <c r="P86" s="3494">
        <f>SUM(P75:P85)</f>
        <v>692765.9</v>
      </c>
      <c r="Q86" s="3495"/>
      <c r="S86" s="3494">
        <f>SUM(S75:S85)</f>
        <v>0</v>
      </c>
      <c r="T86" s="3495"/>
      <c r="V86" s="616">
        <f>SUM(V75:V85)</f>
        <v>0</v>
      </c>
      <c r="W86" s="3511"/>
      <c r="X86" s="3512"/>
      <c r="AZ86" s="1810" t="s">
        <v>610</v>
      </c>
      <c r="BA86" s="1809">
        <v>86</v>
      </c>
    </row>
    <row r="87" spans="1:53" ht="12" customHeight="1">
      <c r="A87" s="95"/>
      <c r="B87" s="151" t="s">
        <v>611</v>
      </c>
      <c r="C87" s="95"/>
      <c r="D87" s="503" t="s">
        <v>612</v>
      </c>
      <c r="E87" s="556">
        <f>G92/'Part V-Revenues &amp; Expenses'!$P$76</f>
        <v>229.63493750000001</v>
      </c>
      <c r="F87" s="95"/>
      <c r="G87" s="95"/>
      <c r="H87" s="95"/>
      <c r="I87" s="95"/>
      <c r="J87" s="186"/>
      <c r="K87" s="186"/>
      <c r="M87" s="186"/>
      <c r="N87" s="186"/>
      <c r="O87" s="185" t="str">
        <f>B87</f>
        <v>LOCAL GOVERNMENT FEES</v>
      </c>
      <c r="P87" s="186"/>
      <c r="Q87" s="186"/>
      <c r="S87" s="186"/>
      <c r="T87" s="186"/>
      <c r="V87" s="617"/>
      <c r="W87" s="95" t="str">
        <f>B87</f>
        <v>LOCAL GOVERNMENT FEES</v>
      </c>
      <c r="AZ87" s="1810"/>
      <c r="BA87" s="1809">
        <v>87</v>
      </c>
    </row>
    <row r="88" spans="1:53" s="95" customFormat="1" ht="12" customHeight="1">
      <c r="B88" s="95" t="s">
        <v>613</v>
      </c>
      <c r="G88" s="3431">
        <f>SUM(J88:T88)</f>
        <v>22044.954000000002</v>
      </c>
      <c r="H88" s="3432"/>
      <c r="J88" s="3431"/>
      <c r="K88" s="3432"/>
      <c r="L88" s="2532"/>
      <c r="M88" s="3431"/>
      <c r="N88" s="3432"/>
      <c r="P88" s="3431">
        <f>SUM(C49-500000)/1000*3+2229</f>
        <v>22044.954000000002</v>
      </c>
      <c r="Q88" s="3432"/>
      <c r="S88" s="3431"/>
      <c r="T88" s="3432"/>
      <c r="V88" s="614"/>
      <c r="W88" s="3500"/>
      <c r="X88" s="3501"/>
      <c r="AZ88" s="1810"/>
      <c r="BA88" s="1809">
        <v>88</v>
      </c>
    </row>
    <row r="89" spans="1:53" s="95" customFormat="1" ht="12" customHeight="1">
      <c r="B89" s="95" t="s">
        <v>614</v>
      </c>
      <c r="G89" s="3429">
        <f t="shared" ref="G89:G91" si="6">SUM(J89:T89)</f>
        <v>0</v>
      </c>
      <c r="H89" s="3430"/>
      <c r="J89" s="3429"/>
      <c r="K89" s="3430"/>
      <c r="L89" s="2532"/>
      <c r="M89" s="3429"/>
      <c r="N89" s="3430"/>
      <c r="P89" s="3429"/>
      <c r="Q89" s="3430"/>
      <c r="S89" s="3429"/>
      <c r="T89" s="3430"/>
      <c r="V89" s="614"/>
      <c r="W89" s="3500"/>
      <c r="X89" s="3501"/>
      <c r="AZ89" s="1810"/>
      <c r="BA89" s="1809">
        <v>89</v>
      </c>
    </row>
    <row r="90" spans="1:53" s="95" customFormat="1" ht="12" customHeight="1">
      <c r="B90" s="95" t="s">
        <v>615</v>
      </c>
      <c r="D90" s="192" t="s">
        <v>616</v>
      </c>
      <c r="E90" s="2680"/>
      <c r="G90" s="3429">
        <f t="shared" si="6"/>
        <v>0</v>
      </c>
      <c r="H90" s="3430"/>
      <c r="I90" s="96"/>
      <c r="J90" s="3429"/>
      <c r="K90" s="3430"/>
      <c r="L90" s="2532"/>
      <c r="M90" s="3429"/>
      <c r="N90" s="3430"/>
      <c r="P90" s="3429"/>
      <c r="Q90" s="3430"/>
      <c r="S90" s="3429"/>
      <c r="T90" s="3430"/>
      <c r="V90" s="614"/>
      <c r="W90" s="3500"/>
      <c r="X90" s="3501"/>
      <c r="AZ90" s="1810"/>
      <c r="BA90" s="1809">
        <v>90</v>
      </c>
    </row>
    <row r="91" spans="1:53" s="95" customFormat="1" ht="12" customHeight="1" thickBot="1">
      <c r="B91" s="95" t="s">
        <v>617</v>
      </c>
      <c r="D91" s="192" t="s">
        <v>616</v>
      </c>
      <c r="E91" s="626"/>
      <c r="G91" s="3421">
        <f t="shared" si="6"/>
        <v>0</v>
      </c>
      <c r="H91" s="3422"/>
      <c r="I91" s="96"/>
      <c r="J91" s="3421"/>
      <c r="K91" s="3422"/>
      <c r="L91" s="2532"/>
      <c r="M91" s="3421"/>
      <c r="N91" s="3422"/>
      <c r="P91" s="3421"/>
      <c r="Q91" s="3422"/>
      <c r="S91" s="3421"/>
      <c r="T91" s="3422"/>
      <c r="V91" s="614"/>
      <c r="W91" s="3492"/>
      <c r="X91" s="3493"/>
      <c r="AZ91" s="1810"/>
      <c r="BA91" s="1809">
        <v>91</v>
      </c>
    </row>
    <row r="92" spans="1:53" s="95" customFormat="1" ht="12" customHeight="1" thickTop="1">
      <c r="F92" s="184" t="s">
        <v>532</v>
      </c>
      <c r="G92" s="3494">
        <f>SUM(G88:G91)</f>
        <v>22044.954000000002</v>
      </c>
      <c r="H92" s="3495"/>
      <c r="J92" s="3494">
        <f>SUM(J88:J91)</f>
        <v>0</v>
      </c>
      <c r="K92" s="3495"/>
      <c r="L92" s="186"/>
      <c r="M92" s="3494">
        <f>SUM(M88:M91)</f>
        <v>0</v>
      </c>
      <c r="N92" s="3495"/>
      <c r="P92" s="3494">
        <f>SUM(P88:P91)</f>
        <v>22044.954000000002</v>
      </c>
      <c r="Q92" s="3495"/>
      <c r="S92" s="3494">
        <f>SUM(S88:S91)</f>
        <v>0</v>
      </c>
      <c r="T92" s="3495"/>
      <c r="V92" s="616">
        <f>SUM(V88:V91)</f>
        <v>0</v>
      </c>
      <c r="W92" s="3511"/>
      <c r="X92" s="3512"/>
      <c r="AZ92" s="1810"/>
      <c r="BA92" s="1809">
        <v>92</v>
      </c>
    </row>
    <row r="93" spans="1:53" s="95" customFormat="1" ht="3" customHeight="1" thickBot="1">
      <c r="A93" s="267"/>
      <c r="B93" s="267"/>
      <c r="C93" s="267"/>
      <c r="D93" s="267"/>
      <c r="E93" s="267"/>
      <c r="F93" s="267"/>
      <c r="G93" s="267"/>
      <c r="H93" s="267"/>
      <c r="I93" s="267"/>
      <c r="J93" s="267"/>
      <c r="K93" s="267"/>
      <c r="L93" s="267"/>
      <c r="M93" s="267"/>
      <c r="N93" s="267"/>
      <c r="O93" s="267"/>
      <c r="P93" s="267"/>
      <c r="Q93" s="267"/>
      <c r="R93" s="267"/>
      <c r="S93" s="267"/>
      <c r="T93" s="267"/>
      <c r="V93" s="617"/>
      <c r="AZ93" s="1810"/>
      <c r="BA93" s="1809">
        <v>93</v>
      </c>
    </row>
    <row r="94" spans="1:53" s="95" customFormat="1" ht="18" customHeight="1" thickBot="1">
      <c r="A94" s="237" t="s">
        <v>21</v>
      </c>
      <c r="B94" s="237" t="s">
        <v>618</v>
      </c>
      <c r="J94" s="3591" t="s">
        <v>513</v>
      </c>
      <c r="K94" s="3592"/>
      <c r="L94" s="183"/>
      <c r="M94" s="3602" t="s">
        <v>514</v>
      </c>
      <c r="N94" s="3603"/>
      <c r="P94" s="3591" t="s">
        <v>515</v>
      </c>
      <c r="Q94" s="3592"/>
      <c r="S94" s="3591" t="s">
        <v>516</v>
      </c>
      <c r="T94" s="3592"/>
      <c r="V94" s="238" t="str">
        <f>B94</f>
        <v>DEVELOPMENT BUDGET  (cont'd)</v>
      </c>
      <c r="AZ94" s="1810"/>
      <c r="BA94" s="1809">
        <v>94</v>
      </c>
    </row>
    <row r="95" spans="1:53" s="95" customFormat="1" ht="18" customHeight="1" thickBot="1">
      <c r="G95" s="3606" t="s">
        <v>517</v>
      </c>
      <c r="H95" s="3607"/>
      <c r="J95" s="3593"/>
      <c r="K95" s="3594"/>
      <c r="L95" s="183"/>
      <c r="M95" s="3604"/>
      <c r="N95" s="3605"/>
      <c r="P95" s="3593"/>
      <c r="Q95" s="3594"/>
      <c r="S95" s="3593"/>
      <c r="T95" s="3594"/>
      <c r="V95" s="159" t="s">
        <v>350</v>
      </c>
      <c r="X95" s="159"/>
      <c r="AZ95" s="1810"/>
      <c r="BA95" s="1809">
        <v>95</v>
      </c>
    </row>
    <row r="96" spans="1:53" s="95" customFormat="1" ht="12" customHeight="1">
      <c r="B96" s="151" t="s">
        <v>619</v>
      </c>
      <c r="J96" s="186"/>
      <c r="K96" s="186"/>
      <c r="M96" s="186"/>
      <c r="N96" s="186"/>
      <c r="O96" s="185" t="str">
        <f>B96</f>
        <v>PERMANENT FINANCING FEES</v>
      </c>
      <c r="P96" s="186"/>
      <c r="Q96" s="186"/>
      <c r="S96" s="186"/>
      <c r="T96" s="186"/>
      <c r="V96" s="617"/>
      <c r="W96" s="95" t="str">
        <f>B96</f>
        <v>PERMANENT FINANCING FEES</v>
      </c>
      <c r="AZ96" s="1810" t="s">
        <v>620</v>
      </c>
      <c r="BA96" s="1809">
        <v>96</v>
      </c>
    </row>
    <row r="97" spans="1:53" s="95" customFormat="1" ht="12" customHeight="1">
      <c r="B97" s="95" t="s">
        <v>621</v>
      </c>
      <c r="G97" s="3431">
        <f>SUM(S97)</f>
        <v>0</v>
      </c>
      <c r="H97" s="3432"/>
      <c r="J97" s="3619"/>
      <c r="K97" s="3619"/>
      <c r="L97" s="2532"/>
      <c r="M97" s="3619"/>
      <c r="N97" s="3619"/>
      <c r="P97" s="3619"/>
      <c r="Q97" s="3619"/>
      <c r="S97" s="3431"/>
      <c r="T97" s="3432"/>
      <c r="V97" s="614"/>
      <c r="W97" s="3500"/>
      <c r="X97" s="3501"/>
      <c r="AZ97" s="1810" t="s">
        <v>622</v>
      </c>
      <c r="BA97" s="1809">
        <v>97</v>
      </c>
    </row>
    <row r="98" spans="1:53" s="95" customFormat="1" ht="12" customHeight="1">
      <c r="B98" s="95" t="s">
        <v>623</v>
      </c>
      <c r="G98" s="3429">
        <f t="shared" ref="G98:G102" si="7">SUM(S98)</f>
        <v>0</v>
      </c>
      <c r="H98" s="3430"/>
      <c r="J98" s="3619"/>
      <c r="K98" s="3619"/>
      <c r="L98" s="2532"/>
      <c r="M98" s="3619"/>
      <c r="N98" s="3619"/>
      <c r="P98" s="3619"/>
      <c r="Q98" s="3619"/>
      <c r="S98" s="3429"/>
      <c r="T98" s="3430"/>
      <c r="V98" s="614"/>
      <c r="W98" s="3500"/>
      <c r="X98" s="3501"/>
      <c r="AZ98" s="1810"/>
      <c r="BA98" s="1809">
        <v>98</v>
      </c>
    </row>
    <row r="99" spans="1:53" s="95" customFormat="1" ht="12" customHeight="1">
      <c r="B99" s="95" t="s">
        <v>592</v>
      </c>
      <c r="G99" s="3429">
        <f t="shared" si="7"/>
        <v>0</v>
      </c>
      <c r="H99" s="3430"/>
      <c r="J99" s="3619"/>
      <c r="K99" s="3619"/>
      <c r="L99" s="2532"/>
      <c r="M99" s="3619"/>
      <c r="N99" s="3619"/>
      <c r="P99" s="3619"/>
      <c r="Q99" s="3619"/>
      <c r="S99" s="3429"/>
      <c r="T99" s="3430"/>
      <c r="V99" s="614"/>
      <c r="W99" s="3500"/>
      <c r="X99" s="3501"/>
      <c r="AZ99" s="1810"/>
      <c r="BA99" s="1809">
        <v>99</v>
      </c>
    </row>
    <row r="100" spans="1:53" s="95" customFormat="1" ht="12" customHeight="1">
      <c r="B100" s="95" t="s">
        <v>624</v>
      </c>
      <c r="G100" s="3429">
        <f t="shared" si="7"/>
        <v>0</v>
      </c>
      <c r="H100" s="3430"/>
      <c r="J100" s="3619"/>
      <c r="K100" s="3619"/>
      <c r="L100" s="2532"/>
      <c r="M100" s="3619"/>
      <c r="N100" s="3619"/>
      <c r="P100" s="3619"/>
      <c r="Q100" s="3619"/>
      <c r="S100" s="3429"/>
      <c r="T100" s="3430"/>
      <c r="V100" s="614"/>
      <c r="W100" s="3500"/>
      <c r="X100" s="3501"/>
      <c r="AZ100" s="1810"/>
      <c r="BA100" s="1809">
        <v>100</v>
      </c>
    </row>
    <row r="101" spans="1:53" s="95" customFormat="1" ht="12" customHeight="1">
      <c r="B101" s="95" t="s">
        <v>625</v>
      </c>
      <c r="G101" s="3429">
        <f t="shared" si="7"/>
        <v>0</v>
      </c>
      <c r="H101" s="3430"/>
      <c r="J101" s="3619"/>
      <c r="K101" s="3619"/>
      <c r="L101" s="2532"/>
      <c r="M101" s="3619"/>
      <c r="N101" s="3619"/>
      <c r="P101" s="3619"/>
      <c r="Q101" s="3619"/>
      <c r="S101" s="3429"/>
      <c r="T101" s="3430"/>
      <c r="V101" s="614"/>
      <c r="W101" s="3500"/>
      <c r="X101" s="3501"/>
      <c r="AZ101" s="1810"/>
      <c r="BA101" s="1809">
        <v>101</v>
      </c>
    </row>
    <row r="102" spans="1:53" s="95" customFormat="1" ht="12" customHeight="1" thickBot="1">
      <c r="A102" s="205" t="str">
        <f>IF(AND(G102&gt;0,OR(C102="",C102="&lt;Enter detailed description here; use Comments section if needed&gt;")),"X","")</f>
        <v/>
      </c>
      <c r="B102" s="98" t="s">
        <v>626</v>
      </c>
      <c r="C102" s="3600" t="s">
        <v>526</v>
      </c>
      <c r="D102" s="3600"/>
      <c r="E102" s="3600"/>
      <c r="F102" s="3601"/>
      <c r="G102" s="3421">
        <f t="shared" si="7"/>
        <v>0</v>
      </c>
      <c r="H102" s="3422"/>
      <c r="J102" s="3619"/>
      <c r="K102" s="3619"/>
      <c r="L102" s="2532"/>
      <c r="M102" s="3619"/>
      <c r="N102" s="3619"/>
      <c r="P102" s="3619"/>
      <c r="Q102" s="3619"/>
      <c r="S102" s="3421"/>
      <c r="T102" s="3422"/>
      <c r="U102" s="204" t="str">
        <f>IF(AND(G102&gt;0,OR(C102="",C102="&lt;Enter detailed description here; use Comments section if needed&gt;")),"NO DESCRIPTION PROVIDED - please enter detailed description in Other box at left; use Comments section below if needed.","")</f>
        <v/>
      </c>
      <c r="V102" s="614"/>
      <c r="W102" s="3492"/>
      <c r="X102" s="3493"/>
      <c r="AZ102" s="1810"/>
      <c r="BA102" s="1809">
        <v>102</v>
      </c>
    </row>
    <row r="103" spans="1:53" s="95" customFormat="1" ht="12" customHeight="1" thickTop="1">
      <c r="F103" s="184" t="s">
        <v>532</v>
      </c>
      <c r="G103" s="3494">
        <f>SUM(G97:G102)</f>
        <v>0</v>
      </c>
      <c r="H103" s="3495"/>
      <c r="J103" s="3619"/>
      <c r="K103" s="3619"/>
      <c r="L103" s="186"/>
      <c r="M103" s="3619"/>
      <c r="N103" s="3619"/>
      <c r="P103" s="3619"/>
      <c r="Q103" s="3619"/>
      <c r="S103" s="3494">
        <f>SUM(S97:S102)</f>
        <v>0</v>
      </c>
      <c r="T103" s="3495"/>
      <c r="V103" s="616">
        <f>SUM(V97:V102)</f>
        <v>0</v>
      </c>
      <c r="W103" s="3511"/>
      <c r="X103" s="3512"/>
      <c r="AZ103" s="1810"/>
      <c r="BA103" s="1809">
        <v>103</v>
      </c>
    </row>
    <row r="104" spans="1:53" s="95" customFormat="1" ht="12" customHeight="1">
      <c r="B104" s="151" t="s">
        <v>627</v>
      </c>
      <c r="J104" s="186"/>
      <c r="K104" s="186"/>
      <c r="M104" s="186"/>
      <c r="N104" s="186"/>
      <c r="O104" s="185" t="str">
        <f>B104</f>
        <v>DCA-RELATED COSTS</v>
      </c>
      <c r="P104" s="186"/>
      <c r="Q104" s="186"/>
      <c r="S104" s="186"/>
      <c r="T104" s="186"/>
      <c r="V104" s="617"/>
      <c r="W104" s="95" t="str">
        <f>B104</f>
        <v>DCA-RELATED COSTS</v>
      </c>
      <c r="AA104" s="98" t="s">
        <v>628</v>
      </c>
      <c r="AB104" s="98"/>
      <c r="AC104" s="98"/>
      <c r="AD104" s="1324" t="str">
        <f>IF(OR($M$38="9% Credit Competitive Round only", $M$38="9% Credit &amp; HOME"),"9%",IF(OR($M$38="4% Credit/TE Bond", $M$38="4% Credit/TE Bond &amp; HOME", $M$38="4% Credit/TE Bond &amp; HOME NOFA", $M$38="4% Credit &amp; NHTF", $M$38="4% Credit &amp; NHTF &amp; HOME"),"4%",""))</f>
        <v/>
      </c>
      <c r="AZ104" s="1810"/>
      <c r="BA104" s="1809">
        <v>104</v>
      </c>
    </row>
    <row r="105" spans="1:53" s="95" customFormat="1" ht="12.6" customHeight="1">
      <c r="B105" s="95" t="s">
        <v>629</v>
      </c>
      <c r="G105" s="3431">
        <f>SUM(S105)</f>
        <v>0</v>
      </c>
      <c r="H105" s="3432"/>
      <c r="J105" s="186"/>
      <c r="K105" s="186"/>
      <c r="L105" s="2532"/>
      <c r="M105" s="186"/>
      <c r="N105" s="186"/>
      <c r="P105" s="186"/>
      <c r="Q105" s="186"/>
      <c r="S105" s="3431"/>
      <c r="T105" s="3432"/>
      <c r="V105" s="614"/>
      <c r="W105" s="3500"/>
      <c r="X105" s="3501"/>
      <c r="Y105" s="3629" t="s">
        <v>630</v>
      </c>
      <c r="AA105" s="146" t="s">
        <v>631</v>
      </c>
      <c r="AB105" s="98"/>
      <c r="AC105" s="98"/>
      <c r="AD105" s="1323" t="str">
        <f>'Part V-Revenues &amp; Expenses'!$O$62</f>
        <v>40% of Units at 60% of AMI</v>
      </c>
      <c r="AE105" s="1322"/>
      <c r="AF105" s="1322"/>
      <c r="AZ105" s="1810"/>
      <c r="BA105" s="1809">
        <v>105</v>
      </c>
    </row>
    <row r="106" spans="1:53" s="95" customFormat="1" ht="12.6" customHeight="1">
      <c r="B106" s="95" t="str">
        <f>CONCATENATE("Tax Credit Application Fee ($",'DCA Underwriting Assumptions'!$Q$58, " ForProf/JntVent, $",'DCA Underwriting Assumptions'!$Q$59, " NonProf)")</f>
        <v>Tax Credit Application Fee ($10000 ForProf/JntVent, $8000 NonProf)</v>
      </c>
      <c r="G106" s="3429">
        <f t="shared" ref="G106:G113" si="8">SUM(S106)</f>
        <v>10000</v>
      </c>
      <c r="H106" s="3430"/>
      <c r="J106" s="186"/>
      <c r="K106" s="186"/>
      <c r="L106" s="193"/>
      <c r="M106" s="186"/>
      <c r="N106" s="186"/>
      <c r="P106" s="186"/>
      <c r="Q106" s="186"/>
      <c r="S106" s="3429">
        <v>10000</v>
      </c>
      <c r="T106" s="3430"/>
      <c r="V106" s="614"/>
      <c r="W106" s="3500"/>
      <c r="X106" s="3501"/>
      <c r="Y106" s="3629"/>
      <c r="AA106" s="1325" t="s">
        <v>632</v>
      </c>
      <c r="AB106" s="1325"/>
      <c r="AC106" s="1325"/>
      <c r="AD106" s="1326">
        <f>'Part V-Revenues &amp; Expenses'!$P$76</f>
        <v>96</v>
      </c>
      <c r="AZ106" s="1810" t="s">
        <v>633</v>
      </c>
      <c r="BA106" s="1809">
        <v>106</v>
      </c>
    </row>
    <row r="107" spans="1:53" s="95" customFormat="1" ht="12.6" customHeight="1">
      <c r="B107" s="95" t="s">
        <v>634</v>
      </c>
      <c r="G107" s="3429">
        <f t="shared" si="8"/>
        <v>2000</v>
      </c>
      <c r="H107" s="3430"/>
      <c r="J107" s="186"/>
      <c r="K107" s="186"/>
      <c r="L107" s="193"/>
      <c r="M107" s="186"/>
      <c r="N107" s="186"/>
      <c r="P107" s="186"/>
      <c r="Q107" s="186"/>
      <c r="S107" s="3429">
        <v>2000</v>
      </c>
      <c r="T107" s="3430"/>
      <c r="V107" s="614"/>
      <c r="W107" s="3500"/>
      <c r="X107" s="3501"/>
      <c r="Y107" s="3629"/>
      <c r="Z107" s="203"/>
      <c r="AA107" s="137" t="s">
        <v>635</v>
      </c>
      <c r="AB107" s="98"/>
      <c r="AC107" s="98"/>
      <c r="AD107" s="98"/>
      <c r="AF107" s="1328" t="s">
        <v>636</v>
      </c>
      <c r="AZ107" s="1810" t="s">
        <v>637</v>
      </c>
      <c r="BA107" s="1809">
        <v>107</v>
      </c>
    </row>
    <row r="108" spans="1:53" s="95" customFormat="1" ht="12.6" customHeight="1">
      <c r="B108" s="95" t="s">
        <v>638</v>
      </c>
      <c r="E108" s="3624">
        <f>ROUNDUP('DCA Underwriting Assumptions'!$Q$70*J192,0)</f>
        <v>91600</v>
      </c>
      <c r="F108" s="3625"/>
      <c r="G108" s="3429">
        <f>SUM(S108)</f>
        <v>91600</v>
      </c>
      <c r="H108" s="3430"/>
      <c r="J108" s="557" t="str">
        <f>IF(E108&gt;G108,"WARNING!  LIHTC Allocation Fee proposed is below minimum required.","")</f>
        <v/>
      </c>
      <c r="K108" s="186"/>
      <c r="L108" s="2532"/>
      <c r="M108" s="186"/>
      <c r="N108" s="186"/>
      <c r="P108" s="186"/>
      <c r="Q108" s="186"/>
      <c r="S108" s="3429">
        <v>91600</v>
      </c>
      <c r="T108" s="3430"/>
      <c r="V108" s="614"/>
      <c r="W108" s="3500"/>
      <c r="X108" s="3501"/>
      <c r="Y108" s="3629"/>
      <c r="Z108" s="203"/>
      <c r="AA108" s="98" t="s">
        <v>639</v>
      </c>
      <c r="AB108" s="98"/>
      <c r="AC108" s="98"/>
      <c r="AD108" s="2611">
        <f>'Part V-Revenues &amp; Expenses'!P159+'Part V-Revenues &amp; Expenses'!P160</f>
        <v>0</v>
      </c>
      <c r="AF108" s="1327">
        <f>AD108*'DCA Underwriting Assumptions'!$Q$77</f>
        <v>0</v>
      </c>
      <c r="AZ108" s="1810" t="s">
        <v>640</v>
      </c>
      <c r="BA108" s="1809">
        <v>108</v>
      </c>
    </row>
    <row r="109" spans="1:53" s="95" customFormat="1" ht="12.6" customHeight="1">
      <c r="B109" s="95" t="s">
        <v>641</v>
      </c>
      <c r="E109" s="3624">
        <f>AF111+AF115</f>
        <v>76800</v>
      </c>
      <c r="F109" s="3625"/>
      <c r="G109" s="3429">
        <f t="shared" si="8"/>
        <v>76800</v>
      </c>
      <c r="H109" s="3430"/>
      <c r="I109" s="3626" t="str">
        <f>IF(E109&gt;G109,"WARNING!  LIHTC Compliance Fee proposed is below minimum required.","")</f>
        <v/>
      </c>
      <c r="J109" s="3627"/>
      <c r="K109" s="3627"/>
      <c r="L109" s="3627"/>
      <c r="M109" s="3627"/>
      <c r="N109" s="3627"/>
      <c r="O109" s="3627"/>
      <c r="P109" s="3627"/>
      <c r="Q109" s="3627"/>
      <c r="R109" s="3628"/>
      <c r="S109" s="3429">
        <f>E109</f>
        <v>76800</v>
      </c>
      <c r="T109" s="3430"/>
      <c r="V109" s="614"/>
      <c r="W109" s="3500"/>
      <c r="X109" s="3501"/>
      <c r="Y109" s="3629"/>
      <c r="Z109" s="203"/>
      <c r="AA109" s="98" t="s">
        <v>642</v>
      </c>
      <c r="AB109" s="98"/>
      <c r="AC109" s="98"/>
      <c r="AD109" s="2611">
        <f>'Part V-Revenues &amp; Expenses'!$P$163+'Part V-Revenues &amp; Expenses'!$P$164</f>
        <v>0</v>
      </c>
      <c r="AF109" s="1327">
        <f>AD109*'DCA Underwriting Assumptions'!$Q$77</f>
        <v>0</v>
      </c>
      <c r="AZ109" s="1810"/>
      <c r="BA109" s="1809">
        <v>109</v>
      </c>
    </row>
    <row r="110" spans="1:53" s="95" customFormat="1" ht="12.6" customHeight="1">
      <c r="B110" s="95" t="s">
        <v>643</v>
      </c>
      <c r="F110" s="699"/>
      <c r="G110" s="3429">
        <f t="shared" si="8"/>
        <v>3000</v>
      </c>
      <c r="H110" s="3430"/>
      <c r="I110" s="3626"/>
      <c r="J110" s="3627"/>
      <c r="K110" s="3627"/>
      <c r="L110" s="3627"/>
      <c r="M110" s="3627"/>
      <c r="N110" s="3627"/>
      <c r="O110" s="3627"/>
      <c r="P110" s="3627"/>
      <c r="Q110" s="3627"/>
      <c r="R110" s="3628"/>
      <c r="S110" s="3429">
        <v>3000</v>
      </c>
      <c r="T110" s="3430"/>
      <c r="V110" s="614"/>
      <c r="W110" s="3500"/>
      <c r="X110" s="3501"/>
      <c r="Y110" s="3629"/>
      <c r="AA110" s="98" t="s">
        <v>644</v>
      </c>
      <c r="AB110" s="98"/>
      <c r="AC110" s="98"/>
      <c r="AD110" s="2611">
        <f>'Part V-Revenues &amp; Expenses'!$P$165+'Part V-Revenues &amp; Expenses'!$P$166</f>
        <v>0</v>
      </c>
      <c r="AF110" s="1327">
        <f>AD110*'DCA Underwriting Assumptions'!$Q$77</f>
        <v>0</v>
      </c>
      <c r="AZ110" s="1810"/>
      <c r="BA110" s="1809">
        <v>110</v>
      </c>
    </row>
    <row r="111" spans="1:53" s="95" customFormat="1" ht="12.6" customHeight="1">
      <c r="B111" s="95" t="s">
        <v>645</v>
      </c>
      <c r="F111" s="699">
        <f>ROUNDUP('DCA Underwriting Assumptions'!$Q$73,0)</f>
        <v>8000</v>
      </c>
      <c r="G111" s="3429">
        <f t="shared" si="8"/>
        <v>8000</v>
      </c>
      <c r="H111" s="3430"/>
      <c r="J111" s="96"/>
      <c r="K111" s="96"/>
      <c r="L111" s="96"/>
      <c r="M111" s="96"/>
      <c r="N111" s="96"/>
      <c r="O111" s="96"/>
      <c r="P111" s="96"/>
      <c r="Q111" s="96"/>
      <c r="S111" s="3429">
        <v>8000</v>
      </c>
      <c r="T111" s="3430"/>
      <c r="V111" s="614"/>
      <c r="W111" s="3500"/>
      <c r="X111" s="3501"/>
      <c r="AA111" s="98"/>
      <c r="AB111" s="1033" t="s">
        <v>646</v>
      </c>
      <c r="AC111" s="98"/>
      <c r="AD111" s="2681">
        <f>SUM(AD108:AD110)</f>
        <v>0</v>
      </c>
      <c r="AF111" s="2682">
        <f>SUM(AF108:AF110)</f>
        <v>0</v>
      </c>
      <c r="AZ111" s="1810"/>
      <c r="BA111" s="1809">
        <v>111</v>
      </c>
    </row>
    <row r="112" spans="1:53" s="95" customFormat="1" ht="12.6" customHeight="1">
      <c r="A112" s="205" t="str">
        <f>IF(AND(G112&gt;0,OR(C112="",C112="&lt;Enter detailed description here; use Comments section if needed&gt;")),"X","")</f>
        <v/>
      </c>
      <c r="B112" s="98" t="s">
        <v>647</v>
      </c>
      <c r="C112" s="3620" t="s">
        <v>526</v>
      </c>
      <c r="D112" s="3620"/>
      <c r="E112" s="3620"/>
      <c r="F112" s="3621"/>
      <c r="G112" s="3429">
        <f t="shared" si="8"/>
        <v>0</v>
      </c>
      <c r="H112" s="3430"/>
      <c r="J112" s="96"/>
      <c r="K112" s="96"/>
      <c r="L112" s="96"/>
      <c r="M112" s="96"/>
      <c r="N112" s="96"/>
      <c r="O112" s="96"/>
      <c r="P112" s="96"/>
      <c r="Q112" s="96"/>
      <c r="S112" s="3429"/>
      <c r="T112" s="3430"/>
      <c r="U112" s="204" t="str">
        <f>IF(AND(G112&gt;0,OR(C112="",C112="&lt;Enter detailed description here; use Comments section if needed&gt;")),"NO DESCRIPTION PROVIDED - please enter detailed description in Other box at left; use Comments section below if needed.","")</f>
        <v/>
      </c>
      <c r="V112" s="614"/>
      <c r="W112" s="3500"/>
      <c r="X112" s="3501"/>
      <c r="AA112" s="137" t="s">
        <v>648</v>
      </c>
      <c r="AB112" s="98"/>
      <c r="AC112" s="143"/>
      <c r="AD112" s="98"/>
      <c r="AF112" s="1327"/>
      <c r="AZ112" s="1810"/>
      <c r="BA112" s="1809">
        <v>112</v>
      </c>
    </row>
    <row r="113" spans="1:53" s="95" customFormat="1" ht="12.6" customHeight="1" thickBot="1">
      <c r="A113" s="205" t="str">
        <f>IF(AND(G113&gt;0,OR(C113="",C113="&lt;Enter detailed description here; use Comments section if needed&gt;")),"X","")</f>
        <v/>
      </c>
      <c r="B113" s="98" t="s">
        <v>647</v>
      </c>
      <c r="C113" s="3622" t="s">
        <v>526</v>
      </c>
      <c r="D113" s="3622"/>
      <c r="E113" s="3622"/>
      <c r="F113" s="3623"/>
      <c r="G113" s="3421">
        <f t="shared" si="8"/>
        <v>0</v>
      </c>
      <c r="H113" s="3422"/>
      <c r="J113" s="96"/>
      <c r="K113" s="96"/>
      <c r="L113" s="96"/>
      <c r="M113" s="96"/>
      <c r="N113" s="96"/>
      <c r="O113" s="96"/>
      <c r="P113" s="96"/>
      <c r="Q113" s="96"/>
      <c r="S113" s="3421"/>
      <c r="T113" s="3422"/>
      <c r="U113" s="204" t="str">
        <f>IF(AND(G113&gt;0,OR(C113="",C113="&lt;Enter detailed description here; use Comments section if needed&gt;")),"NO DESCRIPTION PROVIDED - please enter detailed description in Other box at left; use Comments section below if needed.","")</f>
        <v/>
      </c>
      <c r="V113" s="614"/>
      <c r="W113" s="3492"/>
      <c r="X113" s="3493"/>
      <c r="AA113" s="98" t="s">
        <v>649</v>
      </c>
      <c r="AB113" s="98"/>
      <c r="AC113" s="143"/>
      <c r="AD113" s="2611">
        <f>'Part V-Revenues &amp; Expenses'!$P$150</f>
        <v>96</v>
      </c>
      <c r="AF113" s="1327">
        <f>IF($AD$105="Income Averaging",AD113*'DCA Underwriting Assumptions'!$Q$75,AD113*'DCA Underwriting Assumptions'!$Q$74)</f>
        <v>76800</v>
      </c>
      <c r="AZ113" s="1810" t="s">
        <v>650</v>
      </c>
      <c r="BA113" s="1809">
        <v>113</v>
      </c>
    </row>
    <row r="114" spans="1:53" s="95" customFormat="1" ht="12.6" customHeight="1" thickTop="1">
      <c r="F114" s="184" t="s">
        <v>532</v>
      </c>
      <c r="G114" s="3494">
        <f>SUM(G105:G113)</f>
        <v>191400</v>
      </c>
      <c r="H114" s="3495"/>
      <c r="J114" s="186"/>
      <c r="K114" s="186"/>
      <c r="L114" s="2532"/>
      <c r="M114" s="186"/>
      <c r="N114" s="186"/>
      <c r="P114" s="186"/>
      <c r="Q114" s="186"/>
      <c r="S114" s="3494">
        <f>SUM(S105:S113)</f>
        <v>191400</v>
      </c>
      <c r="T114" s="3495"/>
      <c r="V114" s="616">
        <f>SUM(V105:V113)</f>
        <v>0</v>
      </c>
      <c r="W114" s="3563"/>
      <c r="X114" s="3564"/>
      <c r="AA114" s="98" t="s">
        <v>651</v>
      </c>
      <c r="AB114" s="98"/>
      <c r="AC114" s="150"/>
      <c r="AD114" s="2611">
        <f>'Part V-Revenues &amp; Expenses'!$P$161+'Part V-Revenues &amp; Expenses'!$P$162</f>
        <v>0</v>
      </c>
      <c r="AF114" s="1327">
        <f>IF($AD$105="Income Averaging",AD114*'DCA Underwriting Assumptions'!$Q$75,AD114*'DCA Underwriting Assumptions'!$Q$74)</f>
        <v>0</v>
      </c>
      <c r="AZ114" s="1810" t="s">
        <v>652</v>
      </c>
      <c r="BA114" s="1809">
        <v>114</v>
      </c>
    </row>
    <row r="115" spans="1:53" s="95" customFormat="1" ht="12" customHeight="1">
      <c r="B115" s="151" t="s">
        <v>653</v>
      </c>
      <c r="J115" s="186"/>
      <c r="K115" s="186"/>
      <c r="M115" s="186"/>
      <c r="N115" s="186"/>
      <c r="O115" s="185" t="str">
        <f>B115</f>
        <v>EQUITY COSTS</v>
      </c>
      <c r="P115" s="186"/>
      <c r="Q115" s="186"/>
      <c r="S115" s="186"/>
      <c r="T115" s="186"/>
      <c r="V115" s="617"/>
      <c r="W115" s="95" t="str">
        <f>B115</f>
        <v>EQUITY COSTS</v>
      </c>
      <c r="AA115" s="98"/>
      <c r="AB115" s="1033" t="s">
        <v>646</v>
      </c>
      <c r="AC115" s="98"/>
      <c r="AD115" s="2681">
        <f>SUM(AD113:AD114)</f>
        <v>96</v>
      </c>
      <c r="AF115" s="2682">
        <f>SUM(AF113:AF114)</f>
        <v>76800</v>
      </c>
      <c r="AZ115" s="1794"/>
      <c r="BA115" s="1809">
        <v>115</v>
      </c>
    </row>
    <row r="116" spans="1:53" s="95" customFormat="1" ht="12.6" customHeight="1">
      <c r="B116" s="95" t="s">
        <v>654</v>
      </c>
      <c r="G116" s="3431">
        <f>SUM(S116)</f>
        <v>10000</v>
      </c>
      <c r="H116" s="3432"/>
      <c r="J116" s="3619"/>
      <c r="K116" s="3619"/>
      <c r="L116" s="2532"/>
      <c r="M116" s="3619"/>
      <c r="N116" s="3619"/>
      <c r="P116" s="3619"/>
      <c r="Q116" s="3619"/>
      <c r="S116" s="3431">
        <v>10000</v>
      </c>
      <c r="T116" s="3432"/>
      <c r="V116" s="614"/>
      <c r="W116" s="3500"/>
      <c r="X116" s="3501"/>
      <c r="AZ116" s="1794"/>
      <c r="BA116" s="1809">
        <v>116</v>
      </c>
    </row>
    <row r="117" spans="1:53" s="95" customFormat="1" ht="12.6" customHeight="1">
      <c r="B117" s="95" t="s">
        <v>655</v>
      </c>
      <c r="G117" s="3429">
        <f t="shared" ref="G117:G119" si="9">SUM(S117)</f>
        <v>10000</v>
      </c>
      <c r="H117" s="3430"/>
      <c r="J117" s="3619"/>
      <c r="K117" s="3619"/>
      <c r="L117" s="2532"/>
      <c r="M117" s="3619"/>
      <c r="N117" s="3619"/>
      <c r="P117" s="3619"/>
      <c r="Q117" s="3619"/>
      <c r="S117" s="3429">
        <v>10000</v>
      </c>
      <c r="T117" s="3430"/>
      <c r="V117" s="614"/>
      <c r="W117" s="3500"/>
      <c r="X117" s="3501"/>
      <c r="AZ117" s="1794"/>
      <c r="BA117" s="1809">
        <v>117</v>
      </c>
    </row>
    <row r="118" spans="1:53" s="95" customFormat="1" ht="12.6" customHeight="1">
      <c r="B118" s="95" t="s">
        <v>656</v>
      </c>
      <c r="G118" s="3429">
        <f t="shared" si="9"/>
        <v>75000</v>
      </c>
      <c r="H118" s="3430"/>
      <c r="J118" s="3619"/>
      <c r="K118" s="3619"/>
      <c r="L118" s="2532"/>
      <c r="M118" s="3619"/>
      <c r="N118" s="3619"/>
      <c r="P118" s="3619"/>
      <c r="Q118" s="3619"/>
      <c r="S118" s="3429">
        <v>75000</v>
      </c>
      <c r="T118" s="3430"/>
      <c r="V118" s="614"/>
      <c r="W118" s="3500"/>
      <c r="X118" s="3501"/>
      <c r="AZ118" s="1794"/>
      <c r="BA118" s="1809">
        <v>118</v>
      </c>
    </row>
    <row r="119" spans="1:53" s="95" customFormat="1" ht="12.6" customHeight="1">
      <c r="A119" s="205" t="str">
        <f>IF(AND(G119&gt;0,OR(C119="",C119="&lt;Enter detailed description here; use Comments section if needed&gt;")),"X","")</f>
        <v/>
      </c>
      <c r="B119" s="98" t="s">
        <v>647</v>
      </c>
      <c r="C119" s="3600" t="s">
        <v>526</v>
      </c>
      <c r="D119" s="3600"/>
      <c r="E119" s="3600"/>
      <c r="F119" s="3601"/>
      <c r="G119" s="3421">
        <f t="shared" si="9"/>
        <v>0</v>
      </c>
      <c r="H119" s="3422"/>
      <c r="J119" s="3619"/>
      <c r="K119" s="3619"/>
      <c r="L119" s="2532"/>
      <c r="M119" s="3619"/>
      <c r="N119" s="3619"/>
      <c r="P119" s="3619"/>
      <c r="Q119" s="3619"/>
      <c r="S119" s="3421"/>
      <c r="T119" s="3422"/>
      <c r="U119" s="204" t="str">
        <f>IF(AND(G119&gt;0,OR(C119="",C119="&lt;Enter detailed description here; use Comments section if needed&gt;")),"NO DESCRIPTION PROVIDED - please enter detailed description in Other box at left; use Comments section below if needed.","")</f>
        <v/>
      </c>
      <c r="V119" s="614"/>
      <c r="W119" s="3492"/>
      <c r="X119" s="3493"/>
      <c r="AH119" s="3502" t="s">
        <v>657</v>
      </c>
      <c r="AZ119" s="1794"/>
      <c r="BA119" s="1809">
        <v>119</v>
      </c>
    </row>
    <row r="120" spans="1:53" s="95" customFormat="1" ht="12.6" customHeight="1">
      <c r="F120" s="184" t="s">
        <v>532</v>
      </c>
      <c r="G120" s="3494">
        <f>SUM(G116:G119)</f>
        <v>95000</v>
      </c>
      <c r="H120" s="3495"/>
      <c r="J120" s="3619"/>
      <c r="K120" s="3619"/>
      <c r="L120" s="2532"/>
      <c r="M120" s="3619"/>
      <c r="N120" s="3619"/>
      <c r="P120" s="3619"/>
      <c r="Q120" s="3619"/>
      <c r="S120" s="3494">
        <f>SUM(S116:S119)</f>
        <v>95000</v>
      </c>
      <c r="T120" s="3495"/>
      <c r="V120" s="616">
        <f>SUM(V116:V119)</f>
        <v>0</v>
      </c>
      <c r="W120" s="3511"/>
      <c r="X120" s="3512"/>
      <c r="AC120" s="3498" t="s">
        <v>658</v>
      </c>
      <c r="AD120" s="3498" t="s">
        <v>659</v>
      </c>
      <c r="AF120" s="3498" t="s">
        <v>660</v>
      </c>
      <c r="AH120" s="3502"/>
      <c r="AI120" s="3502" t="s">
        <v>661</v>
      </c>
      <c r="AJ120" s="3504" t="s">
        <v>662</v>
      </c>
      <c r="AK120" s="3504"/>
      <c r="AZ120" s="1794"/>
      <c r="BA120" s="1809">
        <v>120</v>
      </c>
    </row>
    <row r="121" spans="1:53" s="95" customFormat="1" ht="12" customHeight="1">
      <c r="B121" s="151" t="s">
        <v>663</v>
      </c>
      <c r="E121" s="341" t="s">
        <v>628</v>
      </c>
      <c r="F121" s="676" t="str">
        <f>IF(OR('Part I-Project Identification'!F12="9% Credits",'Part I-Project Identification'!F12="9% Credit &amp; HOME",'Part I-Project Identification'!F12="9% Credit &amp; NHTF",'Part I-Project Identification'!F12="9% Credit &amp; NHTF &amp; HOME"),"9%",IF(OR('Part I-Project Identification'!F12="4% Credits/Bonds",'Part I-Project Identification'!F12="4% Credit/TE Bond &amp; HOME",'Part I-Project Identification'!F12="4% Credit/TE Bond &amp; HOME NOFA",'Part I-Project Identification'!F12="4% Credit &amp; NHTF &amp; HOME"),"4%",""))</f>
        <v>9%</v>
      </c>
      <c r="J121" s="186"/>
      <c r="K121" s="183"/>
      <c r="M121" s="186"/>
      <c r="N121" s="183"/>
      <c r="O121" s="185" t="str">
        <f>B121</f>
        <v>DEVELOPER'S FEE</v>
      </c>
      <c r="P121" s="186"/>
      <c r="Q121" s="183"/>
      <c r="S121" s="186"/>
      <c r="T121" s="183"/>
      <c r="V121" s="617"/>
      <c r="W121" s="95" t="str">
        <f>B121</f>
        <v>DEVELOPER'S FEE</v>
      </c>
      <c r="Y121" s="882" t="s">
        <v>664</v>
      </c>
      <c r="Z121" s="146"/>
      <c r="AA121" s="3510" t="s">
        <v>665</v>
      </c>
      <c r="AB121" s="3510"/>
      <c r="AC121" s="3498"/>
      <c r="AD121" s="3498"/>
      <c r="AE121" s="143" t="s">
        <v>666</v>
      </c>
      <c r="AF121" s="3498"/>
      <c r="AG121" s="143" t="s">
        <v>667</v>
      </c>
      <c r="AH121" s="3338"/>
      <c r="AI121" s="3338"/>
      <c r="AJ121" s="3505"/>
      <c r="AK121" s="3505"/>
      <c r="AZ121" s="1794" t="s">
        <v>668</v>
      </c>
      <c r="BA121" s="1809">
        <v>121</v>
      </c>
    </row>
    <row r="122" spans="1:53" s="95" customFormat="1" ht="12.6" customHeight="1">
      <c r="B122" s="95" t="s">
        <v>669</v>
      </c>
      <c r="F122" s="223">
        <f>IF($G$127=0,0,G122/$G$127)</f>
        <v>0</v>
      </c>
      <c r="G122" s="3614">
        <f>SUM(J122:T122)</f>
        <v>0</v>
      </c>
      <c r="H122" s="3614"/>
      <c r="J122" s="3615"/>
      <c r="K122" s="3616"/>
      <c r="L122" s="185"/>
      <c r="M122" s="3615"/>
      <c r="N122" s="3616"/>
      <c r="P122" s="3615"/>
      <c r="Q122" s="3616"/>
      <c r="S122" s="3615"/>
      <c r="T122" s="3616"/>
      <c r="V122" s="614"/>
      <c r="W122" s="3500"/>
      <c r="X122" s="3501"/>
      <c r="Y122" s="77"/>
      <c r="Z122" s="888">
        <v>0.09</v>
      </c>
      <c r="AA122" s="3617" t="s">
        <v>670</v>
      </c>
      <c r="AB122" s="3618"/>
      <c r="AC122" s="2683">
        <f>'Part V-Revenues &amp; Expenses'!E58</f>
        <v>96</v>
      </c>
      <c r="AD122" s="2684">
        <f>AC122 * AC129</f>
        <v>3648000</v>
      </c>
      <c r="AE122" s="2685" t="s">
        <v>671</v>
      </c>
      <c r="AF122" s="2686" t="s">
        <v>671</v>
      </c>
      <c r="AG122" s="2687">
        <f>G18+G24+G28+G36+G41+G46+G55+G73+G86+G92+G103+G114+G120+G145+G129+G134</f>
        <v>15301555.966000002</v>
      </c>
      <c r="AH122" s="2688">
        <f>AE129*AG122</f>
        <v>1989202.2755800004</v>
      </c>
      <c r="AI122" s="2689">
        <f>'DCA Underwriting Assumptions'!$Q$89</f>
        <v>2700000</v>
      </c>
      <c r="AJ122" s="3506">
        <f>MIN(AD122,AH122,AI122)</f>
        <v>1989202.2755800004</v>
      </c>
      <c r="AK122" s="3507"/>
      <c r="AZ122" s="1794"/>
      <c r="BA122" s="1809">
        <v>122</v>
      </c>
    </row>
    <row r="123" spans="1:53" s="95" customFormat="1" ht="12.6" customHeight="1">
      <c r="B123" s="95" t="s">
        <v>672</v>
      </c>
      <c r="F123" s="2690"/>
      <c r="G123" s="150" t="s">
        <v>673</v>
      </c>
      <c r="V123" s="614"/>
      <c r="W123" s="3500"/>
      <c r="X123" s="3501"/>
      <c r="Y123" s="77"/>
      <c r="Z123" s="58"/>
      <c r="AA123" s="3610" t="s">
        <v>674</v>
      </c>
      <c r="AB123" s="3611"/>
      <c r="AC123" s="2484" t="s">
        <v>671</v>
      </c>
      <c r="AD123" s="2486" t="s">
        <v>671</v>
      </c>
      <c r="AE123" s="2495">
        <f>C49</f>
        <v>7105318</v>
      </c>
      <c r="AF123" s="2491">
        <f>AD130*AE123</f>
        <v>2131595.4</v>
      </c>
      <c r="AG123" s="2493" t="s">
        <v>671</v>
      </c>
      <c r="AH123" s="2492" t="s">
        <v>671</v>
      </c>
      <c r="AI123" s="2585">
        <f>'DCA Underwriting Assumptions'!$Q$89</f>
        <v>2700000</v>
      </c>
      <c r="AJ123" s="3508">
        <f>MIN(AF123,AI123)</f>
        <v>2131595.4</v>
      </c>
      <c r="AK123" s="3509"/>
      <c r="AZ123" s="1794"/>
      <c r="BA123" s="1809">
        <v>123</v>
      </c>
    </row>
    <row r="124" spans="1:53" s="95" customFormat="1" ht="12.6" customHeight="1">
      <c r="B124" s="95" t="s">
        <v>675</v>
      </c>
      <c r="F124" s="223">
        <f>IF($G$127=0,0,G124/$G$127)</f>
        <v>0</v>
      </c>
      <c r="G124" s="3431">
        <f t="shared" ref="G124:G125" si="10">SUM(J124:T124)</f>
        <v>0</v>
      </c>
      <c r="H124" s="3432"/>
      <c r="J124" s="3431"/>
      <c r="K124" s="3432"/>
      <c r="L124" s="2532"/>
      <c r="M124" s="3431"/>
      <c r="N124" s="3432"/>
      <c r="P124" s="3431"/>
      <c r="Q124" s="3432"/>
      <c r="S124" s="3431"/>
      <c r="T124" s="3432"/>
      <c r="V124" s="614"/>
      <c r="W124" s="3500"/>
      <c r="X124" s="3501"/>
      <c r="Y124" s="77"/>
      <c r="Z124" s="889">
        <v>0.04</v>
      </c>
      <c r="AA124" s="3612" t="s">
        <v>670</v>
      </c>
      <c r="AB124" s="3613"/>
      <c r="AC124" s="2485">
        <f>'Part V-Revenues &amp; Expenses'!E58</f>
        <v>96</v>
      </c>
      <c r="AD124" s="2487">
        <f>AC124 * AC129</f>
        <v>3648000</v>
      </c>
      <c r="AE124" s="2685" t="s">
        <v>671</v>
      </c>
      <c r="AF124" s="2686" t="s">
        <v>671</v>
      </c>
      <c r="AG124" s="2687">
        <f>G18+G24+G28+G36+G41+G46+G55+G73+G86+G92+G103+G114+G120+G145+G129+G134</f>
        <v>15301555.966000002</v>
      </c>
      <c r="AH124" s="2688">
        <f>AG124 *AE129</f>
        <v>1989202.2755800004</v>
      </c>
      <c r="AI124" s="2488">
        <f>'DCA Underwriting Assumptions'!$Q$90</f>
        <v>4500000</v>
      </c>
      <c r="AJ124" s="3506">
        <f>MIN(AD124,AH124,AI124)</f>
        <v>1989202.2755800004</v>
      </c>
      <c r="AK124" s="3507"/>
      <c r="AZ124" s="1794"/>
      <c r="BA124" s="1809">
        <v>124</v>
      </c>
    </row>
    <row r="125" spans="1:53" s="95" customFormat="1" ht="12.6" customHeight="1">
      <c r="B125" s="95" t="s">
        <v>676</v>
      </c>
      <c r="F125" s="223">
        <f>IF($G$127=0,0,G125/$G$127)</f>
        <v>0</v>
      </c>
      <c r="G125" s="3429">
        <f t="shared" si="10"/>
        <v>0</v>
      </c>
      <c r="H125" s="3430"/>
      <c r="J125" s="3429"/>
      <c r="K125" s="3430"/>
      <c r="L125" s="2532"/>
      <c r="M125" s="3429"/>
      <c r="N125" s="3430"/>
      <c r="P125" s="3429"/>
      <c r="Q125" s="3430"/>
      <c r="S125" s="3429"/>
      <c r="T125" s="3430"/>
      <c r="V125" s="614"/>
      <c r="W125" s="3500"/>
      <c r="X125" s="3501"/>
      <c r="Y125"/>
      <c r="Z125" s="888"/>
      <c r="AA125" s="3610" t="s">
        <v>674</v>
      </c>
      <c r="AB125" s="3611"/>
      <c r="AC125" s="2484" t="s">
        <v>671</v>
      </c>
      <c r="AD125" s="2486" t="s">
        <v>671</v>
      </c>
      <c r="AE125" s="2496">
        <f>C49</f>
        <v>7105318</v>
      </c>
      <c r="AF125" s="2490">
        <f>AD130*AE125</f>
        <v>2131595.4</v>
      </c>
      <c r="AG125" s="2494" t="s">
        <v>671</v>
      </c>
      <c r="AH125" s="2489" t="s">
        <v>671</v>
      </c>
      <c r="AI125" s="2585">
        <f>'DCA Underwriting Assumptions'!$Q$90</f>
        <v>4500000</v>
      </c>
      <c r="AJ125" s="3508">
        <f>MIN(AF125,AI125)</f>
        <v>2131595.4</v>
      </c>
      <c r="AK125" s="3509"/>
      <c r="AZ125" s="1794"/>
      <c r="BA125" s="1809">
        <v>125</v>
      </c>
    </row>
    <row r="126" spans="1:53" s="95" customFormat="1" ht="12.6" customHeight="1">
      <c r="B126" s="95" t="s">
        <v>677</v>
      </c>
      <c r="F126" s="223">
        <f>IF($G$127=0,0,G126/$G$127)</f>
        <v>1</v>
      </c>
      <c r="G126" s="3421">
        <f>SUM(J126:T126)</f>
        <v>2131595.4</v>
      </c>
      <c r="H126" s="3422"/>
      <c r="J126" s="3421"/>
      <c r="K126" s="3422"/>
      <c r="L126" s="2532"/>
      <c r="M126" s="3421"/>
      <c r="N126" s="3422"/>
      <c r="P126" s="3421">
        <f>C49*30%</f>
        <v>2131595.4</v>
      </c>
      <c r="Q126" s="3422"/>
      <c r="S126" s="3421"/>
      <c r="T126" s="3422"/>
      <c r="V126" s="614"/>
      <c r="W126" s="3492"/>
      <c r="X126" s="3493"/>
      <c r="Y126"/>
      <c r="Z126" s="34"/>
      <c r="AA126" s="98" t="s">
        <v>678</v>
      </c>
      <c r="AB126" s="2479"/>
      <c r="AC126" s="2478"/>
      <c r="AD126" s="2478"/>
      <c r="AE126" s="2478"/>
      <c r="AF126" s="2478"/>
      <c r="AG126" s="2478"/>
      <c r="AH126" s="2478"/>
      <c r="AI126" s="2478"/>
      <c r="AJ126" s="2478"/>
      <c r="AZ126" s="1810"/>
      <c r="BA126" s="1809">
        <v>126</v>
      </c>
    </row>
    <row r="127" spans="1:53" s="95" customFormat="1" ht="12.6" customHeight="1">
      <c r="A127" s="890" t="str">
        <f>IF(G127&gt;E127,"DF over limit!  Round down/Enter nbr.","")</f>
        <v/>
      </c>
      <c r="B127" s="1341"/>
      <c r="D127" s="341" t="s">
        <v>679</v>
      </c>
      <c r="E127" s="3503">
        <f>IF(OR(AD122=0,AD124=0),"Fill in Rent Chart!", IF(OR(AF123=0, AF125=0, AH122= 0, AH124=0),"Fill in Development Costs!", IF(AND(F121="9%",'Part I-Project Identification'!P14 = "Yes"),AJ122, IF(AND(F121="4%",'Part I-Project Identification'!P14 = "Yes"),AJ124, IF(AND(F121="9%",'Part I-Project Identification'!P14 = "No"),AJ123,  IF(AND(F121="4%",'Part I-Project Identification'!P14 = "No"), AJ125, "Fill in Type of Application!"))))))</f>
        <v>2131595.4</v>
      </c>
      <c r="F127" s="184" t="s">
        <v>532</v>
      </c>
      <c r="G127" s="3494">
        <f>SUM(G122:G126)</f>
        <v>2131595.4</v>
      </c>
      <c r="H127" s="3495"/>
      <c r="J127" s="3494">
        <f>SUM(J122:J126)</f>
        <v>0</v>
      </c>
      <c r="K127" s="3495"/>
      <c r="L127" s="2532"/>
      <c r="M127" s="3494">
        <f>SUM(M122:M126)</f>
        <v>0</v>
      </c>
      <c r="N127" s="3495"/>
      <c r="P127" s="3494">
        <f>SUM(P122:P126)</f>
        <v>2131595.4</v>
      </c>
      <c r="Q127" s="3495"/>
      <c r="S127" s="3494">
        <f>SUM(S122:S126)</f>
        <v>0</v>
      </c>
      <c r="T127" s="3495"/>
      <c r="V127" s="616">
        <f>SUM(V122:V126)</f>
        <v>0</v>
      </c>
      <c r="W127" s="3511"/>
      <c r="X127" s="3512"/>
      <c r="Y127"/>
      <c r="Z127" s="34"/>
      <c r="AA127" s="2479"/>
      <c r="AB127" s="2480"/>
      <c r="AC127" s="3498" t="s">
        <v>680</v>
      </c>
      <c r="AD127" s="2481"/>
      <c r="AE127" s="2481"/>
      <c r="AF127" s="2482"/>
      <c r="AG127" s="2482"/>
      <c r="AH127" s="2483"/>
      <c r="AI127" s="2483"/>
      <c r="AJ127" s="2478"/>
      <c r="AZ127" s="1810"/>
      <c r="BA127" s="1809">
        <v>127</v>
      </c>
    </row>
    <row r="128" spans="1:53" s="95" customFormat="1" ht="12" customHeight="1">
      <c r="B128" s="151" t="s">
        <v>681</v>
      </c>
      <c r="E128" s="3503"/>
      <c r="J128" s="183"/>
      <c r="K128" s="183"/>
      <c r="M128" s="183"/>
      <c r="N128" s="183"/>
      <c r="O128" s="185" t="str">
        <f>B128</f>
        <v>START-UP AND RESERVES</v>
      </c>
      <c r="P128" s="183"/>
      <c r="Q128" s="183"/>
      <c r="S128" s="183"/>
      <c r="T128" s="183"/>
      <c r="V128" s="617"/>
      <c r="W128" s="95" t="str">
        <f>B128</f>
        <v>START-UP AND RESERVES</v>
      </c>
      <c r="Z128" s="2591"/>
      <c r="AA128" s="3499" t="s">
        <v>665</v>
      </c>
      <c r="AB128" s="3499"/>
      <c r="AC128" s="3498"/>
      <c r="AD128" s="143" t="s">
        <v>682</v>
      </c>
      <c r="AE128" s="143" t="s">
        <v>683</v>
      </c>
      <c r="AF128"/>
      <c r="AG128"/>
      <c r="AH128"/>
      <c r="AI128"/>
      <c r="AJ128"/>
      <c r="AK128"/>
      <c r="AZ128" s="1810" t="s">
        <v>684</v>
      </c>
      <c r="BA128" s="1809">
        <v>128</v>
      </c>
    </row>
    <row r="129" spans="1:53" s="95" customFormat="1" ht="12.6" customHeight="1">
      <c r="B129" s="95" t="s">
        <v>685</v>
      </c>
      <c r="E129" s="3503"/>
      <c r="G129" s="3431">
        <f>S129</f>
        <v>20000</v>
      </c>
      <c r="H129" s="3432"/>
      <c r="J129" s="194"/>
      <c r="K129" s="194"/>
      <c r="L129" s="194"/>
      <c r="M129" s="194"/>
      <c r="N129" s="194"/>
      <c r="P129" s="194"/>
      <c r="Q129" s="194"/>
      <c r="S129" s="3431">
        <v>20000</v>
      </c>
      <c r="T129" s="3432"/>
      <c r="V129" s="614"/>
      <c r="W129" s="3500"/>
      <c r="X129" s="3501"/>
      <c r="Y129" s="2501" t="s">
        <v>686</v>
      </c>
      <c r="Z129" s="2591"/>
      <c r="AA129" s="3496" t="s">
        <v>670</v>
      </c>
      <c r="AB129" s="3497"/>
      <c r="AC129" s="2504">
        <f>'DCA Underwriting Assumptions'!$Q$82</f>
        <v>38000</v>
      </c>
      <c r="AD129" s="2502" t="s">
        <v>671</v>
      </c>
      <c r="AE129" s="2505">
        <f>'DCA Underwriting Assumptions'!Q83</f>
        <v>0.13</v>
      </c>
      <c r="AF129"/>
      <c r="AG129"/>
      <c r="AH129"/>
      <c r="AI129"/>
      <c r="AJ129"/>
      <c r="AK129"/>
      <c r="AZ129" s="1810" t="s">
        <v>687</v>
      </c>
      <c r="BA129" s="1809">
        <v>129</v>
      </c>
    </row>
    <row r="130" spans="1:53" s="95" customFormat="1" ht="12.6" customHeight="1">
      <c r="B130" s="95" t="s">
        <v>688</v>
      </c>
      <c r="F130" s="258">
        <f>+'Part V-Revenues &amp; Expenses'!$Q$250*('DCA Underwriting Assumptions'!$Q$105/12)</f>
        <v>118321</v>
      </c>
      <c r="G130" s="3429">
        <f t="shared" ref="G130:G133" si="11">S130</f>
        <v>118321</v>
      </c>
      <c r="H130" s="3430"/>
      <c r="J130" s="558" t="str">
        <f>IF(E130&gt;G130,"WARNING! Rent-Up Reserves proposed is below minimum - add comment.","")</f>
        <v/>
      </c>
      <c r="K130" s="558"/>
      <c r="L130" s="2532"/>
      <c r="M130" s="547"/>
      <c r="N130" s="547"/>
      <c r="P130" s="547"/>
      <c r="Q130" s="547"/>
      <c r="S130" s="3429">
        <f>F130</f>
        <v>118321</v>
      </c>
      <c r="T130" s="3430"/>
      <c r="V130" s="614"/>
      <c r="W130" s="3500"/>
      <c r="X130" s="3501"/>
      <c r="Y130"/>
      <c r="Z130" s="889"/>
      <c r="AA130" s="3496" t="s">
        <v>674</v>
      </c>
      <c r="AB130" s="3497"/>
      <c r="AC130" s="2502" t="s">
        <v>671</v>
      </c>
      <c r="AD130" s="2506">
        <f>'DCA Underwriting Assumptions'!Q84</f>
        <v>0.3</v>
      </c>
      <c r="AE130" s="2503" t="s">
        <v>671</v>
      </c>
      <c r="AG130"/>
      <c r="AH130"/>
      <c r="AI130"/>
      <c r="AZ130" s="1810"/>
      <c r="BA130" s="1809">
        <v>130</v>
      </c>
    </row>
    <row r="131" spans="1:53" s="95" customFormat="1" ht="12.6" customHeight="1">
      <c r="B131" s="95" t="s">
        <v>689</v>
      </c>
      <c r="F131" s="258">
        <f>'Part V-Revenues &amp; Expenses'!$Q$250*('DCA Underwriting Assumptions'!$Q$103/12)+('Part VI-Pro Forma'!$B$26+'Part VI-Pro Forma'!$B$27+'Part VI-Pro Forma'!$B$28+'Part VI-Pro Forma'!$B$29)*'DCA Underwriting Assumptions'!$Q$102/(-12)</f>
        <v>347568.17929746775</v>
      </c>
      <c r="G131" s="3429">
        <f t="shared" si="11"/>
        <v>347568.17929746775</v>
      </c>
      <c r="H131" s="3430"/>
      <c r="J131" s="558" t="str">
        <f>IF(E131&gt;G131,"WARNING! ODR proposed is below minimum - add comment.","")</f>
        <v/>
      </c>
      <c r="K131" s="193"/>
      <c r="L131" s="193"/>
      <c r="M131" s="193"/>
      <c r="N131" s="193"/>
      <c r="P131" s="193"/>
      <c r="Q131" s="193"/>
      <c r="S131" s="3429">
        <f>F131</f>
        <v>347568.17929746775</v>
      </c>
      <c r="T131" s="3430"/>
      <c r="V131" s="614"/>
      <c r="W131" s="3500"/>
      <c r="X131" s="3501"/>
      <c r="Y131"/>
      <c r="Z131" s="889"/>
      <c r="AA131" s="98" t="s">
        <v>678</v>
      </c>
      <c r="AB131" s="146"/>
      <c r="AD131"/>
      <c r="AG131"/>
      <c r="AH131"/>
      <c r="AI131"/>
      <c r="AZ131" s="1810"/>
      <c r="BA131" s="1809">
        <v>131</v>
      </c>
    </row>
    <row r="132" spans="1:53" s="95" customFormat="1" ht="12.6" customHeight="1">
      <c r="B132" s="95" t="s">
        <v>690</v>
      </c>
      <c r="E132" s="482" t="s">
        <v>691</v>
      </c>
      <c r="F132" s="258">
        <f>'Part V-Revenues &amp; Expenses'!$L$266+'Part V-Revenues &amp; Expenses'!$L$267</f>
        <v>128820</v>
      </c>
      <c r="G132" s="3429">
        <f t="shared" si="11"/>
        <v>128820</v>
      </c>
      <c r="H132" s="3430"/>
      <c r="J132" s="558"/>
      <c r="K132" s="193"/>
      <c r="L132" s="193"/>
      <c r="M132" s="193"/>
      <c r="N132" s="193"/>
      <c r="P132" s="193"/>
      <c r="Q132" s="193"/>
      <c r="S132" s="3429">
        <f>F132</f>
        <v>128820</v>
      </c>
      <c r="T132" s="3430"/>
      <c r="V132" s="614"/>
      <c r="W132" s="3500"/>
      <c r="X132" s="3501"/>
      <c r="Y132"/>
      <c r="Z132" s="889"/>
      <c r="AB132" s="146"/>
      <c r="AD132"/>
      <c r="AG132"/>
      <c r="AH132"/>
      <c r="AI132"/>
      <c r="AZ132" s="1810"/>
      <c r="BA132" s="1809">
        <v>132</v>
      </c>
    </row>
    <row r="133" spans="1:53" s="95" customFormat="1" ht="12.6" customHeight="1">
      <c r="B133" s="95" t="s">
        <v>692</v>
      </c>
      <c r="G133" s="3429">
        <f t="shared" si="11"/>
        <v>0</v>
      </c>
      <c r="H133" s="3430"/>
      <c r="J133" s="194"/>
      <c r="K133" s="194"/>
      <c r="L133" s="194"/>
      <c r="M133" s="194"/>
      <c r="N133" s="194"/>
      <c r="P133" s="194"/>
      <c r="Q133" s="194"/>
      <c r="S133" s="3429"/>
      <c r="T133" s="3430"/>
      <c r="V133" s="614"/>
      <c r="W133" s="3500"/>
      <c r="X133" s="3501"/>
      <c r="AZ133" s="1810" t="s">
        <v>693</v>
      </c>
      <c r="BA133" s="1809">
        <v>133</v>
      </c>
    </row>
    <row r="134" spans="1:53" s="95" customFormat="1" ht="12.6" customHeight="1">
      <c r="B134" s="95" t="s">
        <v>694</v>
      </c>
      <c r="E134" s="482" t="s">
        <v>695</v>
      </c>
      <c r="F134" s="258">
        <f>IF('Part V-Revenues &amp; Expenses'!$P$76=0,0,G134/'Part V-Revenues &amp; Expenses'!$P$76)</f>
        <v>833.33333333333337</v>
      </c>
      <c r="G134" s="3429">
        <f>SUM(J134:T134)</f>
        <v>80000</v>
      </c>
      <c r="H134" s="3430"/>
      <c r="J134" s="3431"/>
      <c r="K134" s="3432"/>
      <c r="L134" s="2532"/>
      <c r="M134" s="3431"/>
      <c r="N134" s="3432"/>
      <c r="P134" s="3431">
        <v>80000</v>
      </c>
      <c r="Q134" s="3432"/>
      <c r="S134" s="3429"/>
      <c r="T134" s="3430"/>
      <c r="V134" s="614"/>
      <c r="W134" s="3500"/>
      <c r="X134" s="3501"/>
      <c r="AZ134" s="1810" t="s">
        <v>696</v>
      </c>
      <c r="BA134" s="1809">
        <v>134</v>
      </c>
    </row>
    <row r="135" spans="1:53" s="95" customFormat="1" ht="12.6" customHeight="1" thickBot="1">
      <c r="A135" s="205" t="str">
        <f>IF(AND(G135&gt;0,OR(C135="",C135="&lt;Enter detailed description here; use Comments section if needed&gt;")),"X","")</f>
        <v/>
      </c>
      <c r="B135" s="98" t="s">
        <v>647</v>
      </c>
      <c r="C135" s="3600" t="s">
        <v>526</v>
      </c>
      <c r="D135" s="3600"/>
      <c r="E135" s="3600"/>
      <c r="F135" s="3601"/>
      <c r="G135" s="3421">
        <f>SUM(J135:T135)</f>
        <v>0</v>
      </c>
      <c r="H135" s="3422"/>
      <c r="J135" s="3608"/>
      <c r="K135" s="3609"/>
      <c r="L135" s="2532"/>
      <c r="M135" s="3421"/>
      <c r="N135" s="3422"/>
      <c r="P135" s="3421"/>
      <c r="Q135" s="3422"/>
      <c r="S135" s="3421"/>
      <c r="T135" s="3422"/>
      <c r="U135" s="204" t="str">
        <f>IF(AND(G135&gt;0,OR(C135="",C135="&lt;Enter detailed description here; use Comments section if needed&gt;")),"NO DESCRIPTION PROVIDED - please enter detailed description in Other box at left; use Comments section below if needed.","")</f>
        <v/>
      </c>
      <c r="V135" s="614"/>
      <c r="W135" s="3492"/>
      <c r="X135" s="3493"/>
      <c r="AZ135" s="1810"/>
      <c r="BA135" s="1809">
        <v>135</v>
      </c>
    </row>
    <row r="136" spans="1:53" s="95" customFormat="1" ht="12.6" customHeight="1" thickTop="1">
      <c r="B136" s="195"/>
      <c r="F136" s="184" t="s">
        <v>532</v>
      </c>
      <c r="G136" s="3494">
        <f>SUM(G129:G135)</f>
        <v>694709.17929746769</v>
      </c>
      <c r="H136" s="3495"/>
      <c r="J136" s="3494">
        <f>SUM(J134:J135)</f>
        <v>0</v>
      </c>
      <c r="K136" s="3495"/>
      <c r="L136" s="2532"/>
      <c r="M136" s="3494">
        <f>SUM(M134:M135)</f>
        <v>0</v>
      </c>
      <c r="N136" s="3495"/>
      <c r="P136" s="3494">
        <f>SUM(P134:P135)</f>
        <v>80000</v>
      </c>
      <c r="Q136" s="3495"/>
      <c r="S136" s="3494">
        <f>SUM(S129:S135)</f>
        <v>614709.17929746769</v>
      </c>
      <c r="T136" s="3495"/>
      <c r="V136" s="616">
        <f>SUM(V129:V135)</f>
        <v>0</v>
      </c>
      <c r="W136" s="3511"/>
      <c r="X136" s="3512"/>
      <c r="AZ136" s="1810"/>
      <c r="BA136" s="1809">
        <v>136</v>
      </c>
    </row>
    <row r="137" spans="1:53" s="95" customFormat="1" ht="3" customHeight="1">
      <c r="I137" s="196"/>
      <c r="L137" s="196"/>
      <c r="V137" s="617"/>
      <c r="AZ137" s="1810"/>
      <c r="BA137" s="1809">
        <v>137</v>
      </c>
    </row>
    <row r="138" spans="1:53" s="95" customFormat="1" ht="3.6" customHeight="1">
      <c r="D138" s="153"/>
      <c r="E138" s="153"/>
      <c r="I138" s="191"/>
      <c r="J138" s="191"/>
      <c r="K138" s="197"/>
      <c r="L138" s="153"/>
      <c r="V138" s="617"/>
      <c r="AZ138" s="1810"/>
      <c r="BA138" s="1809">
        <v>138</v>
      </c>
    </row>
    <row r="139" spans="1:53" s="95" customFormat="1" ht="6" customHeight="1" thickBot="1">
      <c r="A139" s="267"/>
      <c r="B139" s="267"/>
      <c r="C139" s="267"/>
      <c r="D139" s="267"/>
      <c r="E139" s="267"/>
      <c r="F139" s="267"/>
      <c r="G139" s="267"/>
      <c r="H139" s="267"/>
      <c r="I139" s="267"/>
      <c r="J139" s="267"/>
      <c r="K139" s="267"/>
      <c r="L139" s="267"/>
      <c r="M139" s="267"/>
      <c r="N139" s="267"/>
      <c r="O139" s="267"/>
      <c r="P139" s="267"/>
      <c r="Q139" s="267"/>
      <c r="R139" s="267"/>
      <c r="S139" s="267"/>
      <c r="T139" s="267"/>
      <c r="V139" s="617"/>
      <c r="AZ139" s="1810"/>
      <c r="BA139" s="1809">
        <v>139</v>
      </c>
    </row>
    <row r="140" spans="1:53" s="95" customFormat="1" ht="18" customHeight="1" thickBot="1">
      <c r="A140" s="237" t="s">
        <v>21</v>
      </c>
      <c r="B140" s="237" t="s">
        <v>618</v>
      </c>
      <c r="J140" s="3591" t="s">
        <v>513</v>
      </c>
      <c r="K140" s="3592"/>
      <c r="L140" s="183"/>
      <c r="M140" s="3602" t="s">
        <v>514</v>
      </c>
      <c r="N140" s="3603"/>
      <c r="P140" s="3591" t="s">
        <v>515</v>
      </c>
      <c r="Q140" s="3592"/>
      <c r="S140" s="3591" t="s">
        <v>516</v>
      </c>
      <c r="T140" s="3592"/>
      <c r="V140" s="238" t="str">
        <f>B140</f>
        <v>DEVELOPMENT BUDGET  (cont'd)</v>
      </c>
      <c r="AZ140" s="1810"/>
      <c r="BA140" s="1809">
        <v>140</v>
      </c>
    </row>
    <row r="141" spans="1:53" s="95" customFormat="1" ht="18" customHeight="1" thickBot="1">
      <c r="G141" s="3606" t="s">
        <v>517</v>
      </c>
      <c r="H141" s="3607"/>
      <c r="J141" s="3593"/>
      <c r="K141" s="3594"/>
      <c r="L141" s="183"/>
      <c r="M141" s="3604"/>
      <c r="N141" s="3605"/>
      <c r="P141" s="3593"/>
      <c r="Q141" s="3594"/>
      <c r="S141" s="3593"/>
      <c r="T141" s="3594"/>
      <c r="V141" s="159" t="s">
        <v>350</v>
      </c>
      <c r="X141" s="159"/>
      <c r="AZ141" s="1810"/>
      <c r="BA141" s="1809">
        <v>141</v>
      </c>
    </row>
    <row r="142" spans="1:53" s="95" customFormat="1" ht="13.35" customHeight="1">
      <c r="B142" s="151" t="s">
        <v>697</v>
      </c>
      <c r="C142" s="153"/>
      <c r="H142" s="191"/>
      <c r="I142" s="191"/>
      <c r="J142" s="183"/>
      <c r="K142" s="183"/>
      <c r="M142" s="183"/>
      <c r="N142" s="183"/>
      <c r="O142" s="185" t="str">
        <f>B142</f>
        <v>OTHER COSTS</v>
      </c>
      <c r="P142" s="183"/>
      <c r="Q142" s="183"/>
      <c r="S142" s="183"/>
      <c r="T142" s="183"/>
      <c r="V142" s="617"/>
      <c r="W142" s="95" t="str">
        <f>B142</f>
        <v>OTHER COSTS</v>
      </c>
      <c r="AZ142" s="1810"/>
      <c r="BA142" s="1809">
        <v>142</v>
      </c>
    </row>
    <row r="143" spans="1:53" s="95" customFormat="1" ht="12.6" customHeight="1">
      <c r="B143" s="95" t="s">
        <v>698</v>
      </c>
      <c r="C143" s="153"/>
      <c r="G143" s="3431">
        <f>SUM(J143:T143)</f>
        <v>415000</v>
      </c>
      <c r="H143" s="3432"/>
      <c r="J143" s="3431"/>
      <c r="K143" s="3432"/>
      <c r="L143" s="185"/>
      <c r="M143" s="3431"/>
      <c r="N143" s="3432"/>
      <c r="P143" s="3431">
        <v>373500</v>
      </c>
      <c r="Q143" s="3432"/>
      <c r="S143" s="3431">
        <v>41500</v>
      </c>
      <c r="T143" s="3432"/>
      <c r="V143" s="614"/>
      <c r="W143" s="3500"/>
      <c r="X143" s="3501"/>
      <c r="AZ143" s="1810"/>
      <c r="BA143" s="1809">
        <v>143</v>
      </c>
    </row>
    <row r="144" spans="1:53" s="95" customFormat="1" ht="12.6" customHeight="1" thickBot="1">
      <c r="A144" s="205" t="str">
        <f>IF(AND(G144&gt;0,OR(C144="",C144="&lt;Enter detailed description here; use Comments section if needed&gt;")),"X","")</f>
        <v/>
      </c>
      <c r="B144" s="98" t="s">
        <v>647</v>
      </c>
      <c r="C144" s="3600" t="s">
        <v>526</v>
      </c>
      <c r="D144" s="3600"/>
      <c r="E144" s="3600"/>
      <c r="F144" s="3601"/>
      <c r="G144" s="3421">
        <f>SUM(J144:T144)</f>
        <v>0</v>
      </c>
      <c r="H144" s="3422"/>
      <c r="J144" s="3421"/>
      <c r="K144" s="3422"/>
      <c r="L144" s="2532"/>
      <c r="M144" s="3421"/>
      <c r="N144" s="3422"/>
      <c r="P144" s="3421"/>
      <c r="Q144" s="3422"/>
      <c r="S144" s="3421"/>
      <c r="T144" s="3422"/>
      <c r="U144" s="204" t="str">
        <f>IF(AND(G144&gt;0,OR(C144="",C144="&lt;Enter detailed description here; use Comments section if needed&gt;")),"NO DESCRIPTION PROVIDED - please enter detailed description in Other box at left; use Comments section below if needed.","")</f>
        <v/>
      </c>
      <c r="V144" s="614"/>
      <c r="W144" s="3492"/>
      <c r="X144" s="3493"/>
      <c r="AZ144" s="1810"/>
      <c r="BA144" s="1809">
        <v>144</v>
      </c>
    </row>
    <row r="145" spans="1:53" s="95" customFormat="1" ht="12.6" customHeight="1" thickTop="1">
      <c r="C145" s="153"/>
      <c r="F145" s="184" t="s">
        <v>532</v>
      </c>
      <c r="G145" s="3494">
        <f>SUM(G143:G144)</f>
        <v>415000</v>
      </c>
      <c r="H145" s="3495"/>
      <c r="J145" s="3494">
        <f>SUM(J143:J144)</f>
        <v>0</v>
      </c>
      <c r="K145" s="3495"/>
      <c r="L145" s="2532"/>
      <c r="M145" s="3494">
        <f>SUM(M143:M144)</f>
        <v>0</v>
      </c>
      <c r="N145" s="3495"/>
      <c r="P145" s="3494">
        <f>SUM(P143:P144)</f>
        <v>373500</v>
      </c>
      <c r="Q145" s="3495"/>
      <c r="S145" s="3494">
        <f>SUM(S143:S144)</f>
        <v>41500</v>
      </c>
      <c r="T145" s="3495"/>
      <c r="V145" s="616">
        <f>SUM(V143:V144)</f>
        <v>0</v>
      </c>
      <c r="W145" s="3511"/>
      <c r="X145" s="3512"/>
      <c r="AZ145" s="1810"/>
      <c r="BA145" s="1809">
        <v>145</v>
      </c>
    </row>
    <row r="146" spans="1:53" s="95" customFormat="1" ht="15" customHeight="1" thickBot="1">
      <c r="C146" s="153"/>
      <c r="H146" s="191"/>
      <c r="I146" s="191"/>
      <c r="V146" s="617"/>
      <c r="W146" s="612"/>
      <c r="X146" s="613"/>
      <c r="AZ146" s="1810"/>
      <c r="BA146" s="1809">
        <v>146</v>
      </c>
    </row>
    <row r="147" spans="1:53" s="95" customFormat="1" ht="18.75" customHeight="1" thickBot="1">
      <c r="B147" s="1162" t="s">
        <v>699</v>
      </c>
      <c r="E147" s="482"/>
      <c r="F147" s="891"/>
      <c r="G147" s="3597">
        <f>G18+G24+G28+G36+G41+G46+G55+G73+G86+G92+G103+G114+G120+G127+G136+G145</f>
        <v>18027860.545297466</v>
      </c>
      <c r="H147" s="3598"/>
      <c r="J147" s="3597">
        <f>J18+J24+J28+J36+J41+J46+J55+J73+J86+J92+J103+J114+J120+J127+J136+J145</f>
        <v>0</v>
      </c>
      <c r="K147" s="3598"/>
      <c r="M147" s="3597">
        <f>M18+M24+M28+M36+M41+M46+M55+M73+M86+M92+M103+M114+M120+M127+M136+M145</f>
        <v>4000000</v>
      </c>
      <c r="N147" s="3598"/>
      <c r="P147" s="3597">
        <f>P18+P24+P28+P36+P41+P46+P55+P73+P86+P92+P103+P114+P120+P127+P136+P145</f>
        <v>12157575.320400001</v>
      </c>
      <c r="Q147" s="3598"/>
      <c r="S147" s="3597">
        <f>S18+S24+S28+S36+S41+S46+S55+S73+S86+S92+S103+S114+S120+S127+S136+S145</f>
        <v>1870285.2248974675</v>
      </c>
      <c r="T147" s="3598"/>
      <c r="V147" s="2691">
        <f>V18+V24+V28+V36+V41+V46+V55+V73+V86+V92+V103+V114+V120+V127+V136+V145</f>
        <v>0</v>
      </c>
      <c r="W147" s="3599"/>
      <c r="X147" s="3512"/>
      <c r="AZ147" s="1810"/>
      <c r="BA147" s="1809">
        <v>147</v>
      </c>
    </row>
    <row r="148" spans="1:53" s="95" customFormat="1" ht="12" customHeight="1">
      <c r="C148" s="153"/>
      <c r="H148" s="191"/>
      <c r="I148" s="191"/>
      <c r="V148" s="617"/>
      <c r="AZ148" s="1810"/>
      <c r="BA148" s="1809">
        <v>148</v>
      </c>
    </row>
    <row r="149" spans="1:53" s="95" customFormat="1" ht="14.1" customHeight="1">
      <c r="B149" s="2692" t="s">
        <v>700</v>
      </c>
      <c r="C149" s="2693"/>
      <c r="D149" s="3588">
        <f>IF('Part V-Revenues &amp; Expenses'!$P$76=0,0,G147/'Part V-Revenues &amp; Expenses'!$P$76)</f>
        <v>187790.21401351527</v>
      </c>
      <c r="E149" s="3588"/>
      <c r="F149" s="2694" t="s">
        <v>701</v>
      </c>
      <c r="G149" s="3589">
        <f>IF('Part V-Revenues &amp; Expenses'!$K$197=0,0,G147/'Part V-Revenues &amp; Expenses'!$K$197)</f>
        <v>181.17724458612182</v>
      </c>
      <c r="H149" s="3590"/>
      <c r="I149" s="196"/>
      <c r="V149" s="617"/>
      <c r="AZ149" s="1810"/>
      <c r="BA149" s="1809">
        <v>149</v>
      </c>
    </row>
    <row r="150" spans="1:53" s="95" customFormat="1" ht="21" customHeight="1" thickBot="1">
      <c r="B150" s="1156"/>
      <c r="C150" s="1157"/>
      <c r="D150" s="1158"/>
      <c r="E150" s="1158"/>
      <c r="F150" s="1159"/>
      <c r="G150" s="1008"/>
      <c r="H150" s="1008"/>
      <c r="I150" s="196"/>
      <c r="V150" s="617"/>
      <c r="AZ150" s="1810"/>
      <c r="BA150" s="1809">
        <v>150</v>
      </c>
    </row>
    <row r="151" spans="1:53" s="95" customFormat="1" ht="26.1" customHeight="1">
      <c r="A151" s="237" t="s">
        <v>25</v>
      </c>
      <c r="B151" s="239" t="s">
        <v>702</v>
      </c>
      <c r="C151" s="267"/>
      <c r="D151" s="2532"/>
      <c r="E151" s="2532"/>
      <c r="F151" s="2532"/>
      <c r="I151" s="198"/>
      <c r="J151" s="3591" t="s">
        <v>513</v>
      </c>
      <c r="K151" s="3592"/>
      <c r="M151" s="3591" t="s">
        <v>703</v>
      </c>
      <c r="N151" s="3592"/>
      <c r="P151" s="3591" t="s">
        <v>515</v>
      </c>
      <c r="Q151" s="3592"/>
      <c r="V151" s="617"/>
      <c r="W151" s="238" t="str">
        <f>B151</f>
        <v>TAX CREDIT CALCULATION - BASIS METHOD</v>
      </c>
      <c r="AZ151" s="1810"/>
      <c r="BA151" s="1809">
        <v>151</v>
      </c>
    </row>
    <row r="152" spans="1:53" s="95" customFormat="1" ht="15" customHeight="1" thickBot="1">
      <c r="B152" s="134" t="s">
        <v>704</v>
      </c>
      <c r="D152" s="2532"/>
      <c r="E152" s="2532"/>
      <c r="I152" s="198"/>
      <c r="J152" s="3593"/>
      <c r="K152" s="3594"/>
      <c r="L152" s="267"/>
      <c r="M152" s="3593"/>
      <c r="N152" s="3594"/>
      <c r="P152" s="3593"/>
      <c r="Q152" s="3594"/>
      <c r="V152" s="617"/>
      <c r="W152" s="95" t="str">
        <f>B152</f>
        <v>Subtractions From Eligible Basis</v>
      </c>
      <c r="X152" s="159"/>
      <c r="AZ152" s="1810"/>
      <c r="BA152" s="1809">
        <v>152</v>
      </c>
    </row>
    <row r="153" spans="1:53" s="95" customFormat="1" ht="6" customHeight="1">
      <c r="D153" s="153"/>
      <c r="E153" s="153"/>
      <c r="I153" s="191"/>
      <c r="J153" s="191"/>
      <c r="K153" s="197"/>
      <c r="L153" s="153"/>
      <c r="V153" s="617"/>
      <c r="AZ153" s="1810"/>
      <c r="BA153" s="1809">
        <v>153</v>
      </c>
    </row>
    <row r="154" spans="1:53" s="95" customFormat="1" ht="14.1" customHeight="1">
      <c r="B154" s="153" t="s">
        <v>705</v>
      </c>
      <c r="I154" s="198"/>
      <c r="J154" s="3595"/>
      <c r="K154" s="3596"/>
      <c r="P154" s="3595"/>
      <c r="Q154" s="3596"/>
      <c r="V154" s="614"/>
      <c r="W154" s="3500"/>
      <c r="X154" s="3501"/>
      <c r="AZ154" s="1810"/>
      <c r="BA154" s="1809">
        <v>154</v>
      </c>
    </row>
    <row r="155" spans="1:53" s="95" customFormat="1" ht="14.1" customHeight="1">
      <c r="B155" s="95" t="s">
        <v>706</v>
      </c>
      <c r="I155" s="198"/>
      <c r="J155" s="3586"/>
      <c r="K155" s="3587"/>
      <c r="P155" s="3586"/>
      <c r="Q155" s="3587"/>
      <c r="V155" s="614"/>
      <c r="W155" s="3500"/>
      <c r="X155" s="3501"/>
      <c r="AZ155" s="1810"/>
      <c r="BA155" s="1809">
        <v>155</v>
      </c>
    </row>
    <row r="156" spans="1:53" s="95" customFormat="1" ht="14.1" customHeight="1">
      <c r="B156" s="95" t="s">
        <v>707</v>
      </c>
      <c r="I156" s="198"/>
      <c r="J156" s="3586"/>
      <c r="K156" s="3587"/>
      <c r="P156" s="3586"/>
      <c r="Q156" s="3587"/>
      <c r="V156" s="614"/>
      <c r="W156" s="3500"/>
      <c r="X156" s="3501"/>
      <c r="AZ156" s="1810"/>
      <c r="BA156" s="1809">
        <v>156</v>
      </c>
    </row>
    <row r="157" spans="1:53" s="95" customFormat="1" ht="14.1" customHeight="1">
      <c r="B157" s="95" t="s">
        <v>708</v>
      </c>
      <c r="I157" s="198"/>
      <c r="J157" s="3586"/>
      <c r="K157" s="3587"/>
      <c r="P157" s="3586"/>
      <c r="Q157" s="3587"/>
      <c r="V157" s="614"/>
      <c r="W157" s="3500"/>
      <c r="X157" s="3501"/>
      <c r="AZ157" s="1810"/>
      <c r="BA157" s="1809">
        <v>157</v>
      </c>
    </row>
    <row r="158" spans="1:53" s="95" customFormat="1" ht="14.1" customHeight="1">
      <c r="B158" s="95" t="s">
        <v>709</v>
      </c>
      <c r="I158" s="198"/>
      <c r="J158" s="3586"/>
      <c r="K158" s="3587"/>
      <c r="P158" s="3586"/>
      <c r="Q158" s="3587"/>
      <c r="V158" s="614"/>
      <c r="W158" s="3500"/>
      <c r="X158" s="3501"/>
      <c r="AZ158" s="1810"/>
      <c r="BA158" s="1809">
        <v>158</v>
      </c>
    </row>
    <row r="159" spans="1:53" s="95" customFormat="1" ht="14.1" customHeight="1" thickBot="1">
      <c r="B159" s="95" t="s">
        <v>710</v>
      </c>
      <c r="C159" s="3582" t="s">
        <v>711</v>
      </c>
      <c r="D159" s="3582"/>
      <c r="E159" s="3582"/>
      <c r="F159" s="3582"/>
      <c r="G159" s="3582"/>
      <c r="H159" s="3582"/>
      <c r="I159" s="3583"/>
      <c r="J159" s="3584"/>
      <c r="K159" s="3585"/>
      <c r="P159" s="3584"/>
      <c r="Q159" s="3585"/>
      <c r="V159" s="614"/>
      <c r="W159" s="3492"/>
      <c r="X159" s="3493"/>
      <c r="AZ159" s="1810"/>
      <c r="BA159" s="1809">
        <v>159</v>
      </c>
    </row>
    <row r="160" spans="1:53" s="95" customFormat="1" ht="14.1" customHeight="1" thickBot="1">
      <c r="B160" s="151" t="s">
        <v>712</v>
      </c>
      <c r="C160" s="156"/>
      <c r="J160" s="3364">
        <f>SUM(J154:K159)</f>
        <v>0</v>
      </c>
      <c r="K160" s="3365"/>
      <c r="P160" s="3364">
        <f>SUM(P154:Q159)</f>
        <v>0</v>
      </c>
      <c r="Q160" s="3365"/>
      <c r="V160" s="616">
        <f>SUM(V154:V159)</f>
        <v>0</v>
      </c>
      <c r="W160" s="3511"/>
      <c r="X160" s="3512"/>
      <c r="AZ160" s="1810"/>
      <c r="BA160" s="1809">
        <v>160</v>
      </c>
    </row>
    <row r="161" spans="1:53" s="95" customFormat="1" ht="3" customHeight="1">
      <c r="V161" s="617"/>
      <c r="AZ161" s="1810"/>
      <c r="BA161" s="1809">
        <v>161</v>
      </c>
    </row>
    <row r="162" spans="1:53" s="95" customFormat="1" ht="15" customHeight="1">
      <c r="B162" s="151" t="s">
        <v>713</v>
      </c>
      <c r="V162" s="617"/>
      <c r="W162" s="95" t="str">
        <f>B162</f>
        <v>Eligible Basis Calculation</v>
      </c>
      <c r="AZ162" s="1810"/>
      <c r="BA162" s="1809">
        <v>162</v>
      </c>
    </row>
    <row r="163" spans="1:53" s="95" customFormat="1" ht="14.1" customHeight="1">
      <c r="B163" s="95" t="s">
        <v>714</v>
      </c>
      <c r="J163" s="3513">
        <f>J147</f>
        <v>0</v>
      </c>
      <c r="K163" s="3515"/>
      <c r="M163" s="3579">
        <f>M147</f>
        <v>4000000</v>
      </c>
      <c r="N163" s="3580"/>
      <c r="P163" s="3513">
        <f>P147</f>
        <v>12157575.320400001</v>
      </c>
      <c r="Q163" s="3515"/>
      <c r="R163" s="3581" t="s">
        <v>715</v>
      </c>
      <c r="S163" s="3520"/>
      <c r="T163" s="3520"/>
      <c r="V163" s="614"/>
      <c r="W163" s="3500"/>
      <c r="X163" s="3501"/>
      <c r="AZ163" s="1810"/>
      <c r="BA163" s="1809">
        <v>163</v>
      </c>
    </row>
    <row r="164" spans="1:53" s="95" customFormat="1" ht="14.1" customHeight="1">
      <c r="B164" s="95" t="s">
        <v>716</v>
      </c>
      <c r="J164" s="3529">
        <f>J160</f>
        <v>0</v>
      </c>
      <c r="K164" s="3530"/>
      <c r="M164" s="3560"/>
      <c r="N164" s="3560"/>
      <c r="P164" s="3529">
        <f>P160</f>
        <v>0</v>
      </c>
      <c r="Q164" s="3530"/>
      <c r="R164" s="3581"/>
      <c r="S164" s="3520"/>
      <c r="T164" s="3520"/>
      <c r="U164" s="802"/>
      <c r="V164" s="614"/>
      <c r="W164" s="3500"/>
      <c r="X164" s="3501"/>
      <c r="AZ164" s="1810"/>
      <c r="BA164" s="1809">
        <v>164</v>
      </c>
    </row>
    <row r="165" spans="1:53" s="95" customFormat="1" ht="14.1" customHeight="1">
      <c r="B165" s="95" t="s">
        <v>717</v>
      </c>
      <c r="J165" s="3529">
        <f>J163-J164</f>
        <v>0</v>
      </c>
      <c r="K165" s="3530"/>
      <c r="M165" s="3533">
        <f>M163</f>
        <v>4000000</v>
      </c>
      <c r="N165" s="3534"/>
      <c r="P165" s="3529">
        <f>P163-P164</f>
        <v>12157575.320400001</v>
      </c>
      <c r="Q165" s="3530"/>
      <c r="R165" s="3535" t="s">
        <v>718</v>
      </c>
      <c r="S165" s="3536"/>
      <c r="T165" s="3537"/>
      <c r="U165" s="802"/>
      <c r="V165" s="614"/>
      <c r="W165" s="3500"/>
      <c r="X165" s="3501"/>
      <c r="AZ165" s="1810"/>
      <c r="BA165" s="1809">
        <v>165</v>
      </c>
    </row>
    <row r="166" spans="1:53" s="95" customFormat="1" ht="14.1" customHeight="1">
      <c r="B166" s="95" t="s">
        <v>719</v>
      </c>
      <c r="G166" s="2517" t="s">
        <v>720</v>
      </c>
      <c r="H166" s="3246" t="s">
        <v>721</v>
      </c>
      <c r="I166" s="3247"/>
      <c r="J166" s="3531">
        <v>1</v>
      </c>
      <c r="K166" s="3532"/>
      <c r="M166" s="3544"/>
      <c r="N166" s="3544"/>
      <c r="P166" s="3531">
        <v>1</v>
      </c>
      <c r="Q166" s="3532"/>
      <c r="R166" s="3538"/>
      <c r="S166" s="3539"/>
      <c r="T166" s="3540"/>
      <c r="U166" s="803"/>
      <c r="V166" s="614"/>
      <c r="W166" s="3500"/>
      <c r="X166" s="3501"/>
      <c r="AZ166" s="1810"/>
      <c r="BA166" s="1809">
        <v>166</v>
      </c>
    </row>
    <row r="167" spans="1:53" s="95" customFormat="1" ht="14.1" customHeight="1">
      <c r="B167" s="95" t="s">
        <v>722</v>
      </c>
      <c r="J167" s="3529">
        <f>J165*J166</f>
        <v>0</v>
      </c>
      <c r="K167" s="3530"/>
      <c r="M167" s="3513">
        <f>+M165</f>
        <v>4000000</v>
      </c>
      <c r="N167" s="3515"/>
      <c r="P167" s="3529">
        <f>P165*P166</f>
        <v>12157575.320400001</v>
      </c>
      <c r="Q167" s="3530"/>
      <c r="R167" s="3541"/>
      <c r="S167" s="3542"/>
      <c r="T167" s="3543"/>
      <c r="U167" s="803"/>
      <c r="V167" s="614"/>
      <c r="W167" s="3500"/>
      <c r="X167" s="3501"/>
      <c r="AZ167" s="1810"/>
      <c r="BA167" s="1809">
        <v>167</v>
      </c>
    </row>
    <row r="168" spans="1:53" s="95" customFormat="1" ht="14.1" customHeight="1">
      <c r="B168" s="95" t="s">
        <v>723</v>
      </c>
      <c r="J168" s="3574">
        <f>MIN('Part V-Revenues &amp; Expenses'!$P$72/'Part V-Revenues &amp; Expenses'!$P$74,'Part V-Revenues &amp; Expenses'!$P$186/'Part V-Revenues &amp; Expenses'!$P$188)</f>
        <v>1</v>
      </c>
      <c r="K168" s="3575"/>
      <c r="M168" s="3574">
        <f>MIN('Part V-Revenues &amp; Expenses'!$P$72/'Part V-Revenues &amp; Expenses'!$P$74,'Part V-Revenues &amp; Expenses'!$P$186/'Part V-Revenues &amp; Expenses'!$P$188)</f>
        <v>1</v>
      </c>
      <c r="N168" s="3575"/>
      <c r="P168" s="3574">
        <f>MIN('Part V-Revenues &amp; Expenses'!$P$72/'Part V-Revenues &amp; Expenses'!$P$74,'Part V-Revenues &amp; Expenses'!$P$186/'Part V-Revenues &amp; Expenses'!$P$188)</f>
        <v>1</v>
      </c>
      <c r="Q168" s="3575"/>
      <c r="R168" s="3576" t="s">
        <v>724</v>
      </c>
      <c r="S168" s="3577"/>
      <c r="T168" s="3578"/>
      <c r="V168" s="614"/>
      <c r="W168" s="3500"/>
      <c r="X168" s="3501"/>
      <c r="AZ168" s="1810"/>
      <c r="BA168" s="1809">
        <v>168</v>
      </c>
    </row>
    <row r="169" spans="1:53" s="95" customFormat="1" ht="14.1" customHeight="1">
      <c r="B169" s="95" t="s">
        <v>725</v>
      </c>
      <c r="J169" s="3529">
        <f>J167*J168</f>
        <v>0</v>
      </c>
      <c r="K169" s="3530"/>
      <c r="M169" s="3529">
        <f>M167*M168</f>
        <v>4000000</v>
      </c>
      <c r="N169" s="3530"/>
      <c r="P169" s="3529">
        <f>P167*P168</f>
        <v>12157575.320400001</v>
      </c>
      <c r="Q169" s="3530"/>
      <c r="V169" s="614"/>
      <c r="W169" s="3500"/>
      <c r="X169" s="3501"/>
      <c r="AZ169" s="1810"/>
      <c r="BA169" s="1809">
        <v>169</v>
      </c>
    </row>
    <row r="170" spans="1:53" s="95" customFormat="1" ht="14.1" customHeight="1">
      <c r="B170" s="95" t="s">
        <v>726</v>
      </c>
      <c r="J170" s="3531">
        <v>0.09</v>
      </c>
      <c r="K170" s="3532"/>
      <c r="M170" s="3531">
        <v>0.04</v>
      </c>
      <c r="N170" s="3532"/>
      <c r="P170" s="3531">
        <v>0.09</v>
      </c>
      <c r="Q170" s="3532"/>
      <c r="V170" s="614"/>
      <c r="W170" s="3500"/>
      <c r="X170" s="3501"/>
      <c r="AZ170" s="1810"/>
      <c r="BA170" s="1809">
        <v>170</v>
      </c>
    </row>
    <row r="171" spans="1:53" s="95" customFormat="1" ht="14.1" customHeight="1" thickBot="1">
      <c r="B171" s="95" t="s">
        <v>727</v>
      </c>
      <c r="J171" s="3561">
        <f>J169*J170</f>
        <v>0</v>
      </c>
      <c r="K171" s="3562"/>
      <c r="M171" s="3561">
        <f>M169*M170</f>
        <v>160000</v>
      </c>
      <c r="N171" s="3562"/>
      <c r="P171" s="3561">
        <f>P169*P170</f>
        <v>1094181.778836</v>
      </c>
      <c r="Q171" s="3562"/>
      <c r="V171" s="619"/>
      <c r="W171" s="3492"/>
      <c r="X171" s="3493"/>
      <c r="AZ171" s="1810"/>
      <c r="BA171" s="1809">
        <v>171</v>
      </c>
    </row>
    <row r="172" spans="1:53" s="95" customFormat="1" ht="14.1" customHeight="1" thickBot="1">
      <c r="B172" s="151" t="s">
        <v>728</v>
      </c>
      <c r="J172" s="3364">
        <f>ROUNDDOWN(J171+M171+P171,0)</f>
        <v>1254181</v>
      </c>
      <c r="K172" s="3556"/>
      <c r="L172" s="3556"/>
      <c r="M172" s="3556"/>
      <c r="N172" s="3556"/>
      <c r="O172" s="3556"/>
      <c r="P172" s="3556"/>
      <c r="Q172" s="3365"/>
      <c r="V172" s="616"/>
      <c r="W172" s="3563"/>
      <c r="X172" s="3564"/>
      <c r="AZ172" s="1810"/>
      <c r="BA172" s="1809">
        <v>172</v>
      </c>
    </row>
    <row r="173" spans="1:53" s="95" customFormat="1" ht="6" customHeight="1">
      <c r="B173" s="199"/>
      <c r="L173" s="200"/>
      <c r="M173" s="200"/>
      <c r="N173" s="200"/>
      <c r="O173" s="200"/>
      <c r="V173" s="617"/>
      <c r="AZ173" s="1810"/>
      <c r="BA173" s="1809">
        <v>173</v>
      </c>
    </row>
    <row r="174" spans="1:53" s="95" customFormat="1" ht="14.1" customHeight="1">
      <c r="A174" s="238" t="s">
        <v>32</v>
      </c>
      <c r="B174" s="238" t="s">
        <v>729</v>
      </c>
      <c r="H174" s="191"/>
      <c r="I174" s="191"/>
      <c r="M174" s="264"/>
      <c r="V174" s="617"/>
      <c r="AZ174" s="1810"/>
      <c r="BA174" s="1809">
        <v>174</v>
      </c>
    </row>
    <row r="175" spans="1:53" s="95" customFormat="1" ht="3" customHeight="1">
      <c r="H175" s="191"/>
      <c r="I175" s="191"/>
      <c r="M175" s="264"/>
      <c r="O175" s="840"/>
      <c r="P175" s="840"/>
      <c r="Q175" s="840"/>
      <c r="R175" s="840"/>
      <c r="S175" s="840"/>
      <c r="T175" s="840"/>
      <c r="U175" s="840"/>
      <c r="V175" s="840"/>
      <c r="AZ175" s="1810"/>
      <c r="BA175" s="1809">
        <v>175</v>
      </c>
    </row>
    <row r="176" spans="1:53" s="95" customFormat="1" ht="15" customHeight="1" thickBot="1">
      <c r="B176" s="151" t="s">
        <v>730</v>
      </c>
      <c r="V176" s="617"/>
      <c r="W176" s="238" t="str">
        <f>B174</f>
        <v>TAX CREDIT CALCULATION - GAP METHOD</v>
      </c>
      <c r="AZ176" s="1810"/>
      <c r="BA176" s="1809">
        <v>176</v>
      </c>
    </row>
    <row r="177" spans="1:53" s="95" customFormat="1" ht="15" customHeight="1">
      <c r="B177" s="95" t="s">
        <v>731</v>
      </c>
      <c r="J177" s="3513">
        <f>G147</f>
        <v>18027860.545297466</v>
      </c>
      <c r="K177" s="3514"/>
      <c r="L177" s="3515"/>
      <c r="N177" s="3516" t="s">
        <v>732</v>
      </c>
      <c r="O177" s="3517"/>
      <c r="P177" s="3517"/>
      <c r="Q177" s="3518"/>
      <c r="S177" s="3525" t="s">
        <v>733</v>
      </c>
      <c r="T177" s="3526"/>
      <c r="V177" s="614"/>
      <c r="W177" s="3500"/>
      <c r="X177" s="3501"/>
      <c r="AZ177" s="1810"/>
      <c r="BA177" s="1809">
        <v>177</v>
      </c>
    </row>
    <row r="178" spans="1:53" s="95" customFormat="1" ht="14.1" customHeight="1">
      <c r="B178" s="95" t="s">
        <v>734</v>
      </c>
      <c r="J178" s="3529">
        <f>'Part II-Sources of Funds'!$I$62-'Part II-Sources of Funds'!$I$46-'Part II-Sources of Funds'!$I$47-'Part II-Sources of Funds'!$I$53-'Part II-Sources of Funds'!$I$54</f>
        <v>3142860</v>
      </c>
      <c r="K178" s="3570"/>
      <c r="L178" s="3530"/>
      <c r="M178" s="1353"/>
      <c r="N178" s="3519"/>
      <c r="O178" s="3520"/>
      <c r="P178" s="3520"/>
      <c r="Q178" s="3521"/>
      <c r="S178" s="3527"/>
      <c r="T178" s="3528"/>
      <c r="V178" s="614"/>
      <c r="W178" s="3500"/>
      <c r="X178" s="3501"/>
      <c r="AZ178" s="1810"/>
      <c r="BA178" s="1809">
        <v>178</v>
      </c>
    </row>
    <row r="179" spans="1:53" s="95" customFormat="1" ht="14.1" customHeight="1">
      <c r="B179" s="95" t="s">
        <v>735</v>
      </c>
      <c r="J179" s="3571">
        <f>+J177-J178</f>
        <v>14885000.545297466</v>
      </c>
      <c r="K179" s="3572"/>
      <c r="L179" s="3573"/>
      <c r="M179" s="1353"/>
      <c r="N179" s="3522"/>
      <c r="O179" s="3523"/>
      <c r="P179" s="3523"/>
      <c r="Q179" s="3524"/>
      <c r="S179" s="3527"/>
      <c r="T179" s="3528"/>
      <c r="V179" s="614"/>
      <c r="W179" s="3500"/>
      <c r="X179" s="3501"/>
      <c r="AZ179" s="1810"/>
      <c r="BA179" s="1809">
        <v>179</v>
      </c>
    </row>
    <row r="180" spans="1:53" s="95" customFormat="1" ht="14.1" customHeight="1" thickBot="1">
      <c r="B180" s="95" t="s">
        <v>736</v>
      </c>
      <c r="J180" s="3407" t="str">
        <f>"/ 10"</f>
        <v>/ 10</v>
      </c>
      <c r="K180" s="3407"/>
      <c r="L180" s="3407"/>
      <c r="M180" s="135"/>
      <c r="N180" s="3557">
        <f>'Part II-Sources of Funds'!$I$46</f>
        <v>0</v>
      </c>
      <c r="O180" s="3558"/>
      <c r="P180" s="3558"/>
      <c r="Q180" s="3559"/>
      <c r="S180" s="226" t="s">
        <v>737</v>
      </c>
      <c r="T180" s="2695"/>
      <c r="V180" s="614"/>
      <c r="W180" s="3500"/>
      <c r="X180" s="3501"/>
      <c r="AZ180" s="1810"/>
      <c r="BA180" s="1809">
        <v>180</v>
      </c>
    </row>
    <row r="181" spans="1:53" s="95" customFormat="1" ht="14.1" customHeight="1">
      <c r="B181" s="95" t="s">
        <v>738</v>
      </c>
      <c r="J181" s="3533">
        <f>J179/10</f>
        <v>1488500.0545297465</v>
      </c>
      <c r="K181" s="3560"/>
      <c r="L181" s="3534"/>
      <c r="N181" s="262"/>
      <c r="O181" s="262"/>
      <c r="P181" s="262"/>
      <c r="Q181" s="262"/>
      <c r="R181" s="262"/>
      <c r="V181" s="614"/>
      <c r="W181" s="3500"/>
      <c r="X181" s="3501"/>
      <c r="AZ181" s="1810"/>
      <c r="BA181" s="1809">
        <v>181</v>
      </c>
    </row>
    <row r="182" spans="1:53" s="95" customFormat="1" ht="14.1" customHeight="1">
      <c r="M182" s="96"/>
      <c r="N182" s="3419" t="s">
        <v>739</v>
      </c>
      <c r="O182" s="3419"/>
      <c r="Q182" s="3419" t="s">
        <v>193</v>
      </c>
      <c r="R182" s="3419"/>
      <c r="V182" s="614"/>
      <c r="W182" s="3500"/>
      <c r="X182" s="3501"/>
      <c r="Z182" s="1235" t="s">
        <v>721</v>
      </c>
      <c r="AZ182" s="1810"/>
      <c r="BA182" s="1809">
        <v>182</v>
      </c>
    </row>
    <row r="183" spans="1:53" s="95" customFormat="1" ht="14.1" customHeight="1" thickBot="1">
      <c r="B183" s="95" t="s">
        <v>740</v>
      </c>
      <c r="J183" s="3565">
        <f>N183+Q183</f>
        <v>1.3</v>
      </c>
      <c r="K183" s="3566"/>
      <c r="L183" s="3567"/>
      <c r="M183" s="2517" t="s">
        <v>741</v>
      </c>
      <c r="N183" s="3568">
        <v>0.8</v>
      </c>
      <c r="O183" s="3569"/>
      <c r="P183" s="2517" t="s">
        <v>742</v>
      </c>
      <c r="Q183" s="3568">
        <v>0.5</v>
      </c>
      <c r="R183" s="3569"/>
      <c r="V183" s="614"/>
      <c r="W183" s="3500"/>
      <c r="X183" s="3501"/>
      <c r="Z183" s="1236">
        <f>'DCA Underwriting Assumptions'!Q135</f>
        <v>0</v>
      </c>
      <c r="AZ183" s="1810"/>
      <c r="BA183" s="1809">
        <v>183</v>
      </c>
    </row>
    <row r="184" spans="1:53" s="95" customFormat="1" ht="14.1" customHeight="1" thickBot="1">
      <c r="B184" s="151" t="s">
        <v>743</v>
      </c>
      <c r="J184" s="3364">
        <f>ROUNDDOWN(IF(J183=0,"",J181/J183),0)</f>
        <v>1145000</v>
      </c>
      <c r="K184" s="3556"/>
      <c r="L184" s="3365"/>
      <c r="M184" s="96"/>
      <c r="V184" s="614"/>
      <c r="W184" s="3500"/>
      <c r="X184" s="3501"/>
      <c r="Z184" s="1236">
        <f>'DCA Underwriting Assumptions'!Q136</f>
        <v>0</v>
      </c>
      <c r="AZ184" s="1810"/>
      <c r="BA184" s="1809">
        <v>184</v>
      </c>
    </row>
    <row r="185" spans="1:53" s="95" customFormat="1" ht="6" customHeight="1">
      <c r="J185" s="201"/>
      <c r="K185" s="201"/>
      <c r="L185" s="201"/>
      <c r="M185" s="96"/>
      <c r="N185" s="2517"/>
      <c r="O185" s="2517"/>
      <c r="V185" s="617"/>
      <c r="W185" s="1107"/>
      <c r="X185" s="1107"/>
      <c r="AZ185" s="1810"/>
      <c r="BA185" s="1809">
        <v>185</v>
      </c>
    </row>
    <row r="186" spans="1:53" s="95" customFormat="1" ht="14.1" customHeight="1">
      <c r="A186" s="238" t="s">
        <v>44</v>
      </c>
      <c r="B186" s="238" t="s">
        <v>744</v>
      </c>
      <c r="H186" s="191"/>
      <c r="I186" s="191"/>
      <c r="V186" s="617"/>
      <c r="AZ186" s="1810"/>
      <c r="BA186" s="1809">
        <v>186</v>
      </c>
    </row>
    <row r="187" spans="1:53" s="95" customFormat="1" ht="3" customHeight="1">
      <c r="H187" s="191"/>
      <c r="I187" s="191"/>
      <c r="Q187" s="305"/>
      <c r="R187" s="305"/>
      <c r="S187" s="629"/>
      <c r="T187" s="629"/>
      <c r="U187" s="280"/>
      <c r="V187" s="280"/>
      <c r="AZ187" s="1808"/>
      <c r="BA187" s="1809">
        <v>187</v>
      </c>
    </row>
    <row r="188" spans="1:53" s="95" customFormat="1" ht="16.350000000000001" customHeight="1">
      <c r="B188" s="151" t="s">
        <v>745</v>
      </c>
      <c r="J188" s="3547">
        <f>MIN(1145000,J172,J184)</f>
        <v>1145000</v>
      </c>
      <c r="K188" s="3548"/>
      <c r="L188" s="3549"/>
      <c r="Q188" s="98" t="s">
        <v>746</v>
      </c>
      <c r="R188" s="98"/>
      <c r="S188" s="3550" t="str">
        <f>'Part VIII Scoring Criteria'!$X$11</f>
        <v>Rural</v>
      </c>
      <c r="T188" s="3551"/>
      <c r="U188" s="1086" t="str">
        <f>IF(OR(S188="Atlanta Metro", "Other Metro"), "Metro", IF(S188="Rural","Rural",""))</f>
        <v>Rural</v>
      </c>
      <c r="V188" s="614"/>
      <c r="W188" s="3500"/>
      <c r="X188" s="3501"/>
      <c r="AZ188" s="1808"/>
      <c r="BA188" s="1809">
        <v>188</v>
      </c>
    </row>
    <row r="189" spans="1:53" s="95" customFormat="1" ht="3" customHeight="1">
      <c r="J189" s="201"/>
      <c r="K189" s="201"/>
      <c r="L189" s="201"/>
      <c r="M189" s="96"/>
      <c r="N189" s="2517"/>
      <c r="O189" s="2517"/>
      <c r="Q189" s="98"/>
      <c r="R189" s="98"/>
      <c r="S189" s="150"/>
      <c r="T189" s="150"/>
      <c r="V189" s="617"/>
      <c r="W189" s="612"/>
      <c r="X189" s="613"/>
      <c r="AZ189" s="1808"/>
      <c r="BA189" s="1809">
        <v>189</v>
      </c>
    </row>
    <row r="190" spans="1:53" s="95" customFormat="1" ht="16.350000000000001" customHeight="1">
      <c r="B190" s="151" t="s">
        <v>747</v>
      </c>
      <c r="J190" s="3547">
        <f>J188</f>
        <v>1145000</v>
      </c>
      <c r="K190" s="3548"/>
      <c r="L190" s="3549"/>
      <c r="M190" s="3552" t="str">
        <f>IF(J188=0,"",IF(J190&gt;J188,"Request can't exceed Maximum - REVISE (Try Round Down)!",""))</f>
        <v/>
      </c>
      <c r="N190" s="3552"/>
      <c r="O190" s="3552"/>
      <c r="P190" s="3552"/>
      <c r="Q190" s="150" t="s">
        <v>748</v>
      </c>
      <c r="R190" s="98"/>
      <c r="S190" s="3550" t="str">
        <f>'Part VIII Scoring Criteria'!$M$11</f>
        <v>Preservation</v>
      </c>
      <c r="T190" s="3551"/>
      <c r="V190" s="614"/>
      <c r="W190" s="3500"/>
      <c r="X190" s="3501"/>
      <c r="AZ190" s="1808"/>
      <c r="BA190" s="1809">
        <v>190</v>
      </c>
    </row>
    <row r="191" spans="1:53" s="95" customFormat="1" ht="3" customHeight="1">
      <c r="J191" s="201"/>
      <c r="K191" s="201"/>
      <c r="L191" s="201"/>
      <c r="M191" s="3552"/>
      <c r="N191" s="3552"/>
      <c r="O191" s="3552"/>
      <c r="P191" s="3552"/>
      <c r="Q191" s="98"/>
      <c r="R191" s="98"/>
      <c r="S191" s="150"/>
      <c r="T191" s="150"/>
      <c r="V191" s="617"/>
      <c r="W191" s="612"/>
      <c r="X191" s="613"/>
      <c r="AZ191" s="1808"/>
      <c r="BA191" s="1809">
        <v>191</v>
      </c>
    </row>
    <row r="192" spans="1:53" s="95" customFormat="1" ht="16.350000000000001" customHeight="1">
      <c r="A192" s="238"/>
      <c r="B192" s="238" t="s">
        <v>749</v>
      </c>
      <c r="D192" s="96"/>
      <c r="E192" s="96"/>
      <c r="F192" s="153"/>
      <c r="J192" s="3553">
        <f>IF(J190="",0,+MIN(J188,J190))</f>
        <v>1145000</v>
      </c>
      <c r="K192" s="3554"/>
      <c r="L192" s="3555"/>
      <c r="M192" s="3552"/>
      <c r="N192" s="3552"/>
      <c r="O192" s="3552"/>
      <c r="P192" s="3552"/>
      <c r="Q192" s="146" t="s">
        <v>628</v>
      </c>
      <c r="R192" s="146"/>
      <c r="S192" s="1106" t="str">
        <f>IF(OR('Part I-Project Identification'!$F$12="9% Credits", 'Part I-Project Identification'!$F$12="9% Credit &amp; HOME"),"9%",IF(OR('Part I-Project Identification'!$F$12="4% Credits/Bonds", 'Part I-Project Identification'!$F$12="4% Credit/TE Bond &amp; HOME", 'Part I-Project Identification'!$F$12="4% Credit/TE Bond &amp; HOME NOFA", 'Part I-Project Identification'!$F$12="4% Credit &amp; NHTF", 'Part I-Project Identification'!$F$12="4% Credit &amp; NHTF &amp; HOME"),"4%",""))</f>
        <v>9%</v>
      </c>
      <c r="T192" s="813"/>
      <c r="V192" s="614"/>
      <c r="W192" s="3500"/>
      <c r="X192" s="3501"/>
      <c r="AZ192" s="1808"/>
      <c r="BA192" s="1809">
        <v>192</v>
      </c>
    </row>
    <row r="193" spans="1:53" ht="3" customHeight="1">
      <c r="BA193" s="1809">
        <v>193</v>
      </c>
    </row>
    <row r="194" spans="1:53" ht="6" customHeight="1">
      <c r="BA194" s="1809">
        <v>194</v>
      </c>
    </row>
    <row r="195" spans="1:53" ht="12" customHeight="1">
      <c r="A195" s="151" t="s">
        <v>58</v>
      </c>
      <c r="B195" s="159" t="s">
        <v>68</v>
      </c>
      <c r="N195" s="151" t="s">
        <v>67</v>
      </c>
      <c r="O195" s="151" t="s">
        <v>70</v>
      </c>
      <c r="AZ195" s="1810"/>
      <c r="BA195" s="1809">
        <v>195</v>
      </c>
    </row>
    <row r="196" spans="1:53" ht="268.5" customHeight="1">
      <c r="A196" s="3545" t="s">
        <v>750</v>
      </c>
      <c r="B196" s="3545"/>
      <c r="C196" s="3545"/>
      <c r="D196" s="3545"/>
      <c r="E196" s="3545"/>
      <c r="F196" s="3545"/>
      <c r="G196" s="3545"/>
      <c r="H196" s="3545"/>
      <c r="I196" s="3545"/>
      <c r="J196" s="3545"/>
      <c r="K196" s="3545"/>
      <c r="L196" s="3545"/>
      <c r="M196" s="3545"/>
      <c r="N196" s="3546"/>
      <c r="O196" s="3546"/>
      <c r="P196" s="3546"/>
      <c r="Q196" s="3546"/>
      <c r="R196" s="3546"/>
      <c r="S196" s="3546"/>
      <c r="T196" s="3546"/>
      <c r="V196" s="549"/>
      <c r="W196" s="3354" t="s">
        <v>289</v>
      </c>
      <c r="X196" s="3354"/>
      <c r="AZ196" s="1810"/>
      <c r="BA196" s="1809">
        <v>196</v>
      </c>
    </row>
    <row r="197" spans="1:53" ht="11.25" customHeight="1">
      <c r="AZ197" s="1810"/>
      <c r="BA197" s="1809">
        <v>197</v>
      </c>
    </row>
    <row r="198" spans="1:53" ht="12" customHeight="1">
      <c r="BA198" s="1809">
        <v>198</v>
      </c>
    </row>
    <row r="199" spans="1:53" ht="12" customHeight="1">
      <c r="AZ199" s="1810"/>
      <c r="BA199" s="1809">
        <v>199</v>
      </c>
    </row>
    <row r="200" spans="1:53" ht="14.7" customHeight="1">
      <c r="BA200" s="1809">
        <v>200</v>
      </c>
    </row>
    <row r="201" spans="1:53" s="95" customFormat="1" ht="14.7" customHeight="1">
      <c r="AZ201" s="1810"/>
      <c r="BA201" s="1809">
        <v>201</v>
      </c>
    </row>
    <row r="202" spans="1:53" s="95" customFormat="1" ht="14.7" customHeight="1">
      <c r="AZ202" s="1810"/>
      <c r="BA202" s="1809">
        <v>202</v>
      </c>
    </row>
    <row r="203" spans="1:53" s="95" customFormat="1" ht="14.7" customHeight="1">
      <c r="AZ203" s="1810"/>
      <c r="BA203" s="1809">
        <v>203</v>
      </c>
    </row>
    <row r="204" spans="1:53" ht="14.7" customHeight="1">
      <c r="AZ204" s="1810"/>
      <c r="BA204" s="1809">
        <v>204</v>
      </c>
    </row>
    <row r="205" spans="1:53" s="95" customFormat="1" ht="14.7" customHeight="1">
      <c r="A205" s="134"/>
      <c r="AZ205" s="1810"/>
      <c r="BA205" s="1809">
        <v>205</v>
      </c>
    </row>
    <row r="206" spans="1:53" ht="14.7" customHeight="1">
      <c r="AZ206" s="1810"/>
      <c r="BA206" s="1809">
        <v>206</v>
      </c>
    </row>
    <row r="207" spans="1:53" s="95" customFormat="1" ht="14.7" customHeight="1">
      <c r="AZ207" s="1810"/>
      <c r="BA207" s="1809">
        <v>207</v>
      </c>
    </row>
    <row r="208" spans="1:53" s="95" customFormat="1" ht="14.7" customHeight="1">
      <c r="A208" s="134"/>
      <c r="AZ208" s="1810"/>
      <c r="BA208" s="1809">
        <v>208</v>
      </c>
    </row>
    <row r="209" spans="1:53" s="95" customFormat="1" ht="14.7" customHeight="1">
      <c r="A209" s="267"/>
      <c r="AZ209" s="1810"/>
      <c r="BA209" s="1809">
        <v>209</v>
      </c>
    </row>
    <row r="210" spans="1:53" s="95" customFormat="1" ht="14.7" customHeight="1">
      <c r="AZ210" s="1808"/>
      <c r="BA210" s="1809">
        <v>210</v>
      </c>
    </row>
    <row r="211" spans="1:53" s="95" customFormat="1" ht="14.7" customHeight="1">
      <c r="A211" s="165"/>
      <c r="AZ211" s="1808"/>
      <c r="BA211" s="1809">
        <v>211</v>
      </c>
    </row>
    <row r="212" spans="1:53" s="95" customFormat="1" ht="14.7" customHeight="1">
      <c r="A212" s="165"/>
      <c r="AZ212" s="1808"/>
      <c r="BA212" s="1809">
        <v>212</v>
      </c>
    </row>
    <row r="213" spans="1:53" s="95" customFormat="1" ht="14.7" customHeight="1">
      <c r="A213" s="165"/>
      <c r="AZ213" s="1808"/>
      <c r="BA213" s="1809">
        <v>213</v>
      </c>
    </row>
    <row r="214" spans="1:53" s="95" customFormat="1" ht="14.7" customHeight="1">
      <c r="AZ214" s="1808"/>
      <c r="BA214" s="1809">
        <v>214</v>
      </c>
    </row>
    <row r="215" spans="1:53" s="95" customFormat="1" ht="14.7" customHeight="1">
      <c r="AZ215" s="1808"/>
      <c r="BA215" s="1809">
        <v>215</v>
      </c>
    </row>
    <row r="216" spans="1:53" ht="14.7" customHeight="1">
      <c r="BA216" s="1809">
        <v>216</v>
      </c>
    </row>
    <row r="217" spans="1:53" ht="14.7" customHeight="1">
      <c r="BA217" s="1809">
        <v>217</v>
      </c>
    </row>
    <row r="218" spans="1:53" ht="14.7" customHeight="1">
      <c r="AZ218" s="1810"/>
      <c r="BA218" s="1809">
        <v>218</v>
      </c>
    </row>
    <row r="219" spans="1:53" ht="14.7" customHeight="1">
      <c r="BA219" s="1809">
        <v>219</v>
      </c>
    </row>
    <row r="220" spans="1:53" ht="14.7" customHeight="1">
      <c r="BA220" s="1809">
        <v>220</v>
      </c>
    </row>
    <row r="221" spans="1:53" ht="14.7" customHeight="1">
      <c r="BA221" s="1809">
        <v>221</v>
      </c>
    </row>
    <row r="222" spans="1:53" ht="14.7" customHeight="1">
      <c r="BA222" s="1809">
        <v>222</v>
      </c>
    </row>
    <row r="223" spans="1:53" ht="14.7" customHeight="1">
      <c r="BA223" s="1809">
        <v>223</v>
      </c>
    </row>
    <row r="224" spans="1:53" s="95" customFormat="1" ht="14.7" customHeight="1">
      <c r="AZ224" s="1808"/>
      <c r="BA224" s="1809">
        <v>224</v>
      </c>
    </row>
    <row r="225" spans="11:53" ht="14.7" customHeight="1">
      <c r="BA225" s="1809">
        <v>225</v>
      </c>
    </row>
    <row r="226" spans="11:53" ht="14.7" customHeight="1">
      <c r="BA226" s="1809">
        <v>226</v>
      </c>
    </row>
    <row r="227" spans="11:53" ht="14.7" customHeight="1">
      <c r="BA227" s="1809">
        <v>227</v>
      </c>
    </row>
    <row r="228" spans="11:53" ht="14.7" customHeight="1">
      <c r="BA228" s="1809">
        <v>228</v>
      </c>
    </row>
    <row r="229" spans="11:53" ht="14.7" customHeight="1">
      <c r="BA229" s="1809">
        <v>229</v>
      </c>
    </row>
    <row r="230" spans="11:53" ht="14.7" customHeight="1">
      <c r="BA230" s="1809">
        <v>230</v>
      </c>
    </row>
    <row r="231" spans="11:53" ht="14.7" customHeight="1">
      <c r="BA231" s="1809">
        <v>231</v>
      </c>
    </row>
    <row r="232" spans="11:53" ht="14.7" customHeight="1">
      <c r="BA232" s="1809">
        <v>232</v>
      </c>
    </row>
    <row r="233" spans="11:53" ht="14.7" customHeight="1">
      <c r="BA233" s="1809">
        <v>233</v>
      </c>
    </row>
    <row r="234" spans="11:53" ht="14.7" customHeight="1">
      <c r="BA234" s="1809">
        <v>234</v>
      </c>
    </row>
    <row r="235" spans="11:53" ht="14.7" customHeight="1">
      <c r="BA235" s="1809">
        <v>235</v>
      </c>
    </row>
    <row r="236" spans="11:53" ht="14.7" customHeight="1">
      <c r="BA236" s="1809">
        <v>236</v>
      </c>
    </row>
    <row r="237" spans="11:53" ht="14.7" customHeight="1">
      <c r="BA237" s="1809">
        <v>237</v>
      </c>
    </row>
    <row r="238" spans="11:53" ht="14.7" customHeight="1">
      <c r="K238" s="1132"/>
      <c r="L238" s="95"/>
      <c r="BA238" s="1809">
        <v>238</v>
      </c>
    </row>
    <row r="239" spans="11:53" ht="14.7" customHeight="1">
      <c r="K239" s="1132"/>
      <c r="L239" s="95"/>
      <c r="BA239" s="1809">
        <v>239</v>
      </c>
    </row>
    <row r="240" spans="11:53" ht="12.75" customHeight="1">
      <c r="K240" s="1132"/>
      <c r="L240" s="95"/>
      <c r="BA240" s="1809">
        <v>240</v>
      </c>
    </row>
    <row r="241" spans="11:53">
      <c r="K241" s="1132"/>
      <c r="L241" s="95"/>
      <c r="BA241" s="1809">
        <v>241</v>
      </c>
    </row>
    <row r="242" spans="11:53">
      <c r="K242" s="1132"/>
      <c r="L242" s="95"/>
      <c r="BA242" s="1809">
        <v>242</v>
      </c>
    </row>
    <row r="243" spans="11:53">
      <c r="K243" s="1132"/>
      <c r="L243" s="95"/>
      <c r="BA243" s="1809">
        <v>243</v>
      </c>
    </row>
    <row r="244" spans="11:53">
      <c r="K244" s="1132"/>
      <c r="L244" s="95"/>
    </row>
    <row r="245" spans="11:53">
      <c r="K245" s="1132"/>
      <c r="L245" s="95"/>
    </row>
    <row r="246" spans="11:53" ht="12.75" customHeight="1">
      <c r="K246" s="1132"/>
      <c r="L246" s="95"/>
    </row>
    <row r="247" spans="11:53">
      <c r="K247" s="1132"/>
      <c r="L247" s="95"/>
    </row>
  </sheetData>
  <sheetProtection algorithmName="SHA-512" hashValue="3n16IoD8MjP5Jgk+UScbDpfnBq4k9mjLNXKSxFHebsLedhBVntG0PDw2U2qKwBXJwZF3Hft+Y/IsYOoDkFZ1Lg==" saltValue="tS2eIvH6Wv9rYvvqNmXh4Q==" spinCount="100000" sheet="1" objects="1" scenarios="1"/>
  <mergeCells count="727">
    <mergeCell ref="A2:T2"/>
    <mergeCell ref="W2:X2"/>
    <mergeCell ref="D6:H6"/>
    <mergeCell ref="J6:K7"/>
    <mergeCell ref="M6:N7"/>
    <mergeCell ref="P6:Q7"/>
    <mergeCell ref="S6:T7"/>
    <mergeCell ref="G7:H7"/>
    <mergeCell ref="G10:H10"/>
    <mergeCell ref="J10:K10"/>
    <mergeCell ref="M10:N10"/>
    <mergeCell ref="P10:Q10"/>
    <mergeCell ref="S10:T10"/>
    <mergeCell ref="W10:X10"/>
    <mergeCell ref="G9:H9"/>
    <mergeCell ref="J9:K9"/>
    <mergeCell ref="M9:N9"/>
    <mergeCell ref="P9:Q9"/>
    <mergeCell ref="S9:T9"/>
    <mergeCell ref="W9:X9"/>
    <mergeCell ref="G12:H12"/>
    <mergeCell ref="J12:K12"/>
    <mergeCell ref="M12:N12"/>
    <mergeCell ref="P12:Q12"/>
    <mergeCell ref="S12:T12"/>
    <mergeCell ref="W12:X12"/>
    <mergeCell ref="G11:H11"/>
    <mergeCell ref="J11:K11"/>
    <mergeCell ref="M11:N11"/>
    <mergeCell ref="P11:Q11"/>
    <mergeCell ref="S11:T11"/>
    <mergeCell ref="W11:X11"/>
    <mergeCell ref="G14:H14"/>
    <mergeCell ref="J14:K14"/>
    <mergeCell ref="M14:N14"/>
    <mergeCell ref="P14:Q14"/>
    <mergeCell ref="S14:T14"/>
    <mergeCell ref="W14:X14"/>
    <mergeCell ref="G13:H13"/>
    <mergeCell ref="J13:K13"/>
    <mergeCell ref="M13:N13"/>
    <mergeCell ref="P13:Q13"/>
    <mergeCell ref="S13:T13"/>
    <mergeCell ref="W13:X13"/>
    <mergeCell ref="W15:X15"/>
    <mergeCell ref="C16:F16"/>
    <mergeCell ref="G16:H16"/>
    <mergeCell ref="J16:K16"/>
    <mergeCell ref="M16:N16"/>
    <mergeCell ref="P16:Q16"/>
    <mergeCell ref="S16:T16"/>
    <mergeCell ref="W16:X16"/>
    <mergeCell ref="C15:F15"/>
    <mergeCell ref="G15:H15"/>
    <mergeCell ref="J15:K15"/>
    <mergeCell ref="M15:N15"/>
    <mergeCell ref="P15:Q15"/>
    <mergeCell ref="S15:T15"/>
    <mergeCell ref="W17:X17"/>
    <mergeCell ref="G18:H18"/>
    <mergeCell ref="J18:K18"/>
    <mergeCell ref="M18:N18"/>
    <mergeCell ref="P18:Q18"/>
    <mergeCell ref="S18:T18"/>
    <mergeCell ref="W18:X18"/>
    <mergeCell ref="C17:F17"/>
    <mergeCell ref="G17:H17"/>
    <mergeCell ref="J17:K17"/>
    <mergeCell ref="M17:N17"/>
    <mergeCell ref="P17:Q17"/>
    <mergeCell ref="S17:T17"/>
    <mergeCell ref="G22:H22"/>
    <mergeCell ref="M22:N22"/>
    <mergeCell ref="S22:T22"/>
    <mergeCell ref="W22:X22"/>
    <mergeCell ref="G23:H23"/>
    <mergeCell ref="M23:N23"/>
    <mergeCell ref="S23:T23"/>
    <mergeCell ref="W23:X23"/>
    <mergeCell ref="G20:H20"/>
    <mergeCell ref="S20:T20"/>
    <mergeCell ref="W20:X20"/>
    <mergeCell ref="G21:H21"/>
    <mergeCell ref="S21:T21"/>
    <mergeCell ref="W21:X21"/>
    <mergeCell ref="G24:H24"/>
    <mergeCell ref="M24:N24"/>
    <mergeCell ref="S24:T24"/>
    <mergeCell ref="W24:X24"/>
    <mergeCell ref="G26:H26"/>
    <mergeCell ref="J26:K26"/>
    <mergeCell ref="M26:N26"/>
    <mergeCell ref="P26:Q26"/>
    <mergeCell ref="S26:T26"/>
    <mergeCell ref="W26:X26"/>
    <mergeCell ref="G28:H28"/>
    <mergeCell ref="J28:K28"/>
    <mergeCell ref="M28:N28"/>
    <mergeCell ref="P28:Q28"/>
    <mergeCell ref="S28:T28"/>
    <mergeCell ref="W28:X28"/>
    <mergeCell ref="G27:H27"/>
    <mergeCell ref="J27:K27"/>
    <mergeCell ref="M27:N27"/>
    <mergeCell ref="P27:Q27"/>
    <mergeCell ref="S27:T27"/>
    <mergeCell ref="W27:X27"/>
    <mergeCell ref="G31:H31"/>
    <mergeCell ref="J31:K31"/>
    <mergeCell ref="M31:N31"/>
    <mergeCell ref="P31:Q31"/>
    <mergeCell ref="S31:T31"/>
    <mergeCell ref="W31:X31"/>
    <mergeCell ref="G30:H30"/>
    <mergeCell ref="J30:K30"/>
    <mergeCell ref="M30:N30"/>
    <mergeCell ref="P30:Q30"/>
    <mergeCell ref="S30:T30"/>
    <mergeCell ref="W30:X30"/>
    <mergeCell ref="G33:H33"/>
    <mergeCell ref="J33:K33"/>
    <mergeCell ref="M33:N33"/>
    <mergeCell ref="P33:Q33"/>
    <mergeCell ref="S33:T33"/>
    <mergeCell ref="W33:X33"/>
    <mergeCell ref="G32:H32"/>
    <mergeCell ref="J32:K32"/>
    <mergeCell ref="M32:N32"/>
    <mergeCell ref="P32:Q32"/>
    <mergeCell ref="S32:T32"/>
    <mergeCell ref="W32:X32"/>
    <mergeCell ref="G35:H35"/>
    <mergeCell ref="J35:K35"/>
    <mergeCell ref="M35:N35"/>
    <mergeCell ref="P35:Q35"/>
    <mergeCell ref="S35:T35"/>
    <mergeCell ref="W35:X35"/>
    <mergeCell ref="G34:H34"/>
    <mergeCell ref="J34:K34"/>
    <mergeCell ref="M34:N34"/>
    <mergeCell ref="P34:Q34"/>
    <mergeCell ref="S34:T34"/>
    <mergeCell ref="W34:X34"/>
    <mergeCell ref="W36:X36"/>
    <mergeCell ref="D37:E37"/>
    <mergeCell ref="G38:H38"/>
    <mergeCell ref="J38:K38"/>
    <mergeCell ref="M38:N38"/>
    <mergeCell ref="P38:Q38"/>
    <mergeCell ref="S38:T38"/>
    <mergeCell ref="W38:X38"/>
    <mergeCell ref="C36:D36"/>
    <mergeCell ref="G36:H36"/>
    <mergeCell ref="J36:K36"/>
    <mergeCell ref="M36:N36"/>
    <mergeCell ref="P36:Q36"/>
    <mergeCell ref="S36:T36"/>
    <mergeCell ref="S41:T41"/>
    <mergeCell ref="W41:X41"/>
    <mergeCell ref="G40:H40"/>
    <mergeCell ref="J40:K40"/>
    <mergeCell ref="M40:N40"/>
    <mergeCell ref="P40:Q40"/>
    <mergeCell ref="S40:T40"/>
    <mergeCell ref="W40:X40"/>
    <mergeCell ref="G39:H39"/>
    <mergeCell ref="J39:K39"/>
    <mergeCell ref="M39:N39"/>
    <mergeCell ref="P39:Q39"/>
    <mergeCell ref="S39:T39"/>
    <mergeCell ref="W39:X39"/>
    <mergeCell ref="G43:H43"/>
    <mergeCell ref="C46:F46"/>
    <mergeCell ref="G46:H46"/>
    <mergeCell ref="J46:K46"/>
    <mergeCell ref="M46:N46"/>
    <mergeCell ref="P46:Q46"/>
    <mergeCell ref="G41:H41"/>
    <mergeCell ref="J41:K41"/>
    <mergeCell ref="M41:N41"/>
    <mergeCell ref="P41:Q41"/>
    <mergeCell ref="S46:T46"/>
    <mergeCell ref="W46:X49"/>
    <mergeCell ref="E48:E49"/>
    <mergeCell ref="J48:K48"/>
    <mergeCell ref="M48:N48"/>
    <mergeCell ref="P48:Q48"/>
    <mergeCell ref="S48:T48"/>
    <mergeCell ref="J49:K49"/>
    <mergeCell ref="M49:N49"/>
    <mergeCell ref="G55:H55"/>
    <mergeCell ref="J55:K55"/>
    <mergeCell ref="M55:N55"/>
    <mergeCell ref="P55:Q55"/>
    <mergeCell ref="S55:T55"/>
    <mergeCell ref="W55:X55"/>
    <mergeCell ref="J51:K52"/>
    <mergeCell ref="M51:N52"/>
    <mergeCell ref="P51:Q52"/>
    <mergeCell ref="S51:T52"/>
    <mergeCell ref="G52:H52"/>
    <mergeCell ref="W52:X52"/>
    <mergeCell ref="B58:C58"/>
    <mergeCell ref="J58:K58"/>
    <mergeCell ref="M58:N58"/>
    <mergeCell ref="G61:H61"/>
    <mergeCell ref="J61:K61"/>
    <mergeCell ref="M61:N61"/>
    <mergeCell ref="W56:X59"/>
    <mergeCell ref="E57:E58"/>
    <mergeCell ref="J57:K57"/>
    <mergeCell ref="M57:N57"/>
    <mergeCell ref="P57:Q57"/>
    <mergeCell ref="S57:T57"/>
    <mergeCell ref="P61:Q61"/>
    <mergeCell ref="S61:T61"/>
    <mergeCell ref="W61:X61"/>
    <mergeCell ref="G62:H62"/>
    <mergeCell ref="J62:K62"/>
    <mergeCell ref="M62:N62"/>
    <mergeCell ref="P62:Q62"/>
    <mergeCell ref="S62:T62"/>
    <mergeCell ref="W62:X62"/>
    <mergeCell ref="G64:H64"/>
    <mergeCell ref="J64:K64"/>
    <mergeCell ref="M64:N64"/>
    <mergeCell ref="P64:Q64"/>
    <mergeCell ref="S64:T64"/>
    <mergeCell ref="W64:X64"/>
    <mergeCell ref="G63:H63"/>
    <mergeCell ref="J63:K63"/>
    <mergeCell ref="M63:N63"/>
    <mergeCell ref="P63:Q63"/>
    <mergeCell ref="S63:T63"/>
    <mergeCell ref="W63:X63"/>
    <mergeCell ref="G66:H66"/>
    <mergeCell ref="J66:K66"/>
    <mergeCell ref="M66:N66"/>
    <mergeCell ref="P66:Q66"/>
    <mergeCell ref="S66:T66"/>
    <mergeCell ref="W66:X66"/>
    <mergeCell ref="G65:H65"/>
    <mergeCell ref="J65:K65"/>
    <mergeCell ref="M65:N65"/>
    <mergeCell ref="P65:Q65"/>
    <mergeCell ref="S65:T65"/>
    <mergeCell ref="W65:X65"/>
    <mergeCell ref="G68:H68"/>
    <mergeCell ref="J68:K68"/>
    <mergeCell ref="M68:N68"/>
    <mergeCell ref="P68:Q68"/>
    <mergeCell ref="S68:T68"/>
    <mergeCell ref="W68:X68"/>
    <mergeCell ref="G67:H67"/>
    <mergeCell ref="J67:K67"/>
    <mergeCell ref="M67:N67"/>
    <mergeCell ref="P67:Q67"/>
    <mergeCell ref="S67:T67"/>
    <mergeCell ref="W67:X67"/>
    <mergeCell ref="G70:H70"/>
    <mergeCell ref="J70:K70"/>
    <mergeCell ref="M70:N70"/>
    <mergeCell ref="P70:Q70"/>
    <mergeCell ref="S70:T70"/>
    <mergeCell ref="W70:X70"/>
    <mergeCell ref="G69:H69"/>
    <mergeCell ref="J69:K69"/>
    <mergeCell ref="M69:N69"/>
    <mergeCell ref="P69:Q69"/>
    <mergeCell ref="S69:T69"/>
    <mergeCell ref="W69:X69"/>
    <mergeCell ref="W71:X71"/>
    <mergeCell ref="C72:F72"/>
    <mergeCell ref="G72:H72"/>
    <mergeCell ref="J72:K72"/>
    <mergeCell ref="M72:N72"/>
    <mergeCell ref="P72:Q72"/>
    <mergeCell ref="S72:T72"/>
    <mergeCell ref="W72:X72"/>
    <mergeCell ref="C71:F71"/>
    <mergeCell ref="G71:H71"/>
    <mergeCell ref="J71:K71"/>
    <mergeCell ref="M71:N71"/>
    <mergeCell ref="P71:Q71"/>
    <mergeCell ref="S71:T71"/>
    <mergeCell ref="G75:H75"/>
    <mergeCell ref="J75:K75"/>
    <mergeCell ref="M75:N75"/>
    <mergeCell ref="P75:Q75"/>
    <mergeCell ref="S75:T75"/>
    <mergeCell ref="W75:X75"/>
    <mergeCell ref="G73:H73"/>
    <mergeCell ref="J73:K73"/>
    <mergeCell ref="M73:N73"/>
    <mergeCell ref="P73:Q73"/>
    <mergeCell ref="S73:T73"/>
    <mergeCell ref="W73:X73"/>
    <mergeCell ref="G77:H77"/>
    <mergeCell ref="J77:K77"/>
    <mergeCell ref="M77:N77"/>
    <mergeCell ref="P77:Q77"/>
    <mergeCell ref="S77:T77"/>
    <mergeCell ref="W77:X77"/>
    <mergeCell ref="G76:H76"/>
    <mergeCell ref="J76:K76"/>
    <mergeCell ref="M76:N76"/>
    <mergeCell ref="P76:Q76"/>
    <mergeCell ref="S76:T76"/>
    <mergeCell ref="W76:X76"/>
    <mergeCell ref="G79:H79"/>
    <mergeCell ref="J79:K79"/>
    <mergeCell ref="M79:N79"/>
    <mergeCell ref="P79:Q79"/>
    <mergeCell ref="S79:T79"/>
    <mergeCell ref="W79:X79"/>
    <mergeCell ref="G78:H78"/>
    <mergeCell ref="J78:K78"/>
    <mergeCell ref="M78:N78"/>
    <mergeCell ref="P78:Q78"/>
    <mergeCell ref="S78:T78"/>
    <mergeCell ref="W78:X78"/>
    <mergeCell ref="G81:H81"/>
    <mergeCell ref="J81:K81"/>
    <mergeCell ref="M81:N81"/>
    <mergeCell ref="P81:Q81"/>
    <mergeCell ref="S81:T81"/>
    <mergeCell ref="W81:X81"/>
    <mergeCell ref="G80:H80"/>
    <mergeCell ref="J80:K80"/>
    <mergeCell ref="M80:N80"/>
    <mergeCell ref="P80:Q80"/>
    <mergeCell ref="S80:T80"/>
    <mergeCell ref="W80:X80"/>
    <mergeCell ref="W84:X84"/>
    <mergeCell ref="G83:H83"/>
    <mergeCell ref="J83:K83"/>
    <mergeCell ref="M83:N83"/>
    <mergeCell ref="P83:Q83"/>
    <mergeCell ref="S83:T83"/>
    <mergeCell ref="W83:X83"/>
    <mergeCell ref="G82:H82"/>
    <mergeCell ref="J82:K82"/>
    <mergeCell ref="M82:N82"/>
    <mergeCell ref="P82:Q82"/>
    <mergeCell ref="S82:T82"/>
    <mergeCell ref="W82:X82"/>
    <mergeCell ref="C85:F85"/>
    <mergeCell ref="G85:H85"/>
    <mergeCell ref="J85:K85"/>
    <mergeCell ref="M85:N85"/>
    <mergeCell ref="P85:Q85"/>
    <mergeCell ref="S85:T85"/>
    <mergeCell ref="G84:H84"/>
    <mergeCell ref="J84:K84"/>
    <mergeCell ref="M84:N84"/>
    <mergeCell ref="P84:Q84"/>
    <mergeCell ref="S84:T84"/>
    <mergeCell ref="G88:H88"/>
    <mergeCell ref="J88:K88"/>
    <mergeCell ref="M88:N88"/>
    <mergeCell ref="P88:Q88"/>
    <mergeCell ref="S88:T88"/>
    <mergeCell ref="W88:X88"/>
    <mergeCell ref="W85:X85"/>
    <mergeCell ref="G86:H86"/>
    <mergeCell ref="J86:K86"/>
    <mergeCell ref="M86:N86"/>
    <mergeCell ref="P86:Q86"/>
    <mergeCell ref="S86:T86"/>
    <mergeCell ref="W86:X86"/>
    <mergeCell ref="G90:H90"/>
    <mergeCell ref="J90:K90"/>
    <mergeCell ref="M90:N90"/>
    <mergeCell ref="P90:Q90"/>
    <mergeCell ref="S90:T90"/>
    <mergeCell ref="W90:X90"/>
    <mergeCell ref="G89:H89"/>
    <mergeCell ref="J89:K89"/>
    <mergeCell ref="M89:N89"/>
    <mergeCell ref="P89:Q89"/>
    <mergeCell ref="S89:T89"/>
    <mergeCell ref="W89:X89"/>
    <mergeCell ref="G92:H92"/>
    <mergeCell ref="J92:K92"/>
    <mergeCell ref="M92:N92"/>
    <mergeCell ref="P92:Q92"/>
    <mergeCell ref="S92:T92"/>
    <mergeCell ref="W92:X92"/>
    <mergeCell ref="G91:H91"/>
    <mergeCell ref="J91:K91"/>
    <mergeCell ref="M91:N91"/>
    <mergeCell ref="P91:Q91"/>
    <mergeCell ref="S91:T91"/>
    <mergeCell ref="W91:X91"/>
    <mergeCell ref="J94:K95"/>
    <mergeCell ref="M94:N95"/>
    <mergeCell ref="P94:Q95"/>
    <mergeCell ref="S94:T95"/>
    <mergeCell ref="G95:H95"/>
    <mergeCell ref="G97:H97"/>
    <mergeCell ref="J97:K97"/>
    <mergeCell ref="M97:N97"/>
    <mergeCell ref="P97:Q97"/>
    <mergeCell ref="S97:T97"/>
    <mergeCell ref="G99:H99"/>
    <mergeCell ref="J99:K99"/>
    <mergeCell ref="M99:N99"/>
    <mergeCell ref="P99:Q99"/>
    <mergeCell ref="S99:T99"/>
    <mergeCell ref="W99:X99"/>
    <mergeCell ref="W97:X97"/>
    <mergeCell ref="G98:H98"/>
    <mergeCell ref="J98:K98"/>
    <mergeCell ref="M98:N98"/>
    <mergeCell ref="P98:Q98"/>
    <mergeCell ref="S98:T98"/>
    <mergeCell ref="W98:X98"/>
    <mergeCell ref="G101:H101"/>
    <mergeCell ref="J101:K101"/>
    <mergeCell ref="M101:N101"/>
    <mergeCell ref="P101:Q101"/>
    <mergeCell ref="S101:T101"/>
    <mergeCell ref="W101:X101"/>
    <mergeCell ref="G100:H100"/>
    <mergeCell ref="J100:K100"/>
    <mergeCell ref="M100:N100"/>
    <mergeCell ref="P100:Q100"/>
    <mergeCell ref="S100:T100"/>
    <mergeCell ref="W100:X100"/>
    <mergeCell ref="W102:X102"/>
    <mergeCell ref="G103:H103"/>
    <mergeCell ref="J103:K103"/>
    <mergeCell ref="M103:N103"/>
    <mergeCell ref="P103:Q103"/>
    <mergeCell ref="S103:T103"/>
    <mergeCell ref="W103:X103"/>
    <mergeCell ref="C102:F102"/>
    <mergeCell ref="G102:H102"/>
    <mergeCell ref="J102:K102"/>
    <mergeCell ref="M102:N102"/>
    <mergeCell ref="P102:Q102"/>
    <mergeCell ref="S102:T102"/>
    <mergeCell ref="G105:H105"/>
    <mergeCell ref="S105:T105"/>
    <mergeCell ref="W105:X105"/>
    <mergeCell ref="Y105:Y110"/>
    <mergeCell ref="G106:H106"/>
    <mergeCell ref="S106:T106"/>
    <mergeCell ref="W106:X106"/>
    <mergeCell ref="G107:H107"/>
    <mergeCell ref="S107:T107"/>
    <mergeCell ref="W107:X107"/>
    <mergeCell ref="E108:F108"/>
    <mergeCell ref="G108:H108"/>
    <mergeCell ref="S108:T108"/>
    <mergeCell ref="W108:X108"/>
    <mergeCell ref="E109:F109"/>
    <mergeCell ref="G109:H109"/>
    <mergeCell ref="I109:R110"/>
    <mergeCell ref="S109:T109"/>
    <mergeCell ref="W109:X109"/>
    <mergeCell ref="G110:H110"/>
    <mergeCell ref="S110:T110"/>
    <mergeCell ref="W110:X110"/>
    <mergeCell ref="G111:H111"/>
    <mergeCell ref="S111:T111"/>
    <mergeCell ref="W111:X111"/>
    <mergeCell ref="C112:F112"/>
    <mergeCell ref="G112:H112"/>
    <mergeCell ref="S112:T112"/>
    <mergeCell ref="W112:X112"/>
    <mergeCell ref="G116:H116"/>
    <mergeCell ref="J116:K116"/>
    <mergeCell ref="M116:N116"/>
    <mergeCell ref="P116:Q116"/>
    <mergeCell ref="S116:T116"/>
    <mergeCell ref="W116:X116"/>
    <mergeCell ref="C113:F113"/>
    <mergeCell ref="G113:H113"/>
    <mergeCell ref="S113:T113"/>
    <mergeCell ref="W113:X113"/>
    <mergeCell ref="G114:H114"/>
    <mergeCell ref="S114:T114"/>
    <mergeCell ref="W114:X114"/>
    <mergeCell ref="G118:H118"/>
    <mergeCell ref="J118:K118"/>
    <mergeCell ref="M118:N118"/>
    <mergeCell ref="P118:Q118"/>
    <mergeCell ref="S118:T118"/>
    <mergeCell ref="W118:X118"/>
    <mergeCell ref="G117:H117"/>
    <mergeCell ref="J117:K117"/>
    <mergeCell ref="M117:N117"/>
    <mergeCell ref="P117:Q117"/>
    <mergeCell ref="S117:T117"/>
    <mergeCell ref="W117:X117"/>
    <mergeCell ref="AF120:AF121"/>
    <mergeCell ref="W119:X119"/>
    <mergeCell ref="G120:H120"/>
    <mergeCell ref="J120:K120"/>
    <mergeCell ref="M120:N120"/>
    <mergeCell ref="P120:Q120"/>
    <mergeCell ref="S120:T120"/>
    <mergeCell ref="W120:X120"/>
    <mergeCell ref="C119:F119"/>
    <mergeCell ref="G119:H119"/>
    <mergeCell ref="J119:K119"/>
    <mergeCell ref="M119:N119"/>
    <mergeCell ref="P119:Q119"/>
    <mergeCell ref="S119:T119"/>
    <mergeCell ref="G122:H122"/>
    <mergeCell ref="J122:K122"/>
    <mergeCell ref="M122:N122"/>
    <mergeCell ref="P122:Q122"/>
    <mergeCell ref="S122:T122"/>
    <mergeCell ref="W122:X122"/>
    <mergeCell ref="AA122:AB122"/>
    <mergeCell ref="AA123:AB123"/>
    <mergeCell ref="AD120:AD121"/>
    <mergeCell ref="AC120:AC121"/>
    <mergeCell ref="P125:Q125"/>
    <mergeCell ref="S125:T125"/>
    <mergeCell ref="W125:X125"/>
    <mergeCell ref="AA125:AB125"/>
    <mergeCell ref="W123:X123"/>
    <mergeCell ref="G124:H124"/>
    <mergeCell ref="J124:K124"/>
    <mergeCell ref="M124:N124"/>
    <mergeCell ref="P124:Q124"/>
    <mergeCell ref="S124:T124"/>
    <mergeCell ref="W124:X124"/>
    <mergeCell ref="AA124:AB124"/>
    <mergeCell ref="G133:H133"/>
    <mergeCell ref="S133:T133"/>
    <mergeCell ref="W133:X133"/>
    <mergeCell ref="G134:H134"/>
    <mergeCell ref="J134:K134"/>
    <mergeCell ref="M134:N134"/>
    <mergeCell ref="P134:Q134"/>
    <mergeCell ref="S134:T134"/>
    <mergeCell ref="W134:X134"/>
    <mergeCell ref="W135:X135"/>
    <mergeCell ref="G136:H136"/>
    <mergeCell ref="J136:K136"/>
    <mergeCell ref="M136:N136"/>
    <mergeCell ref="P136:Q136"/>
    <mergeCell ref="S136:T136"/>
    <mergeCell ref="W136:X136"/>
    <mergeCell ref="C135:F135"/>
    <mergeCell ref="G135:H135"/>
    <mergeCell ref="J135:K135"/>
    <mergeCell ref="M135:N135"/>
    <mergeCell ref="P135:Q135"/>
    <mergeCell ref="S135:T135"/>
    <mergeCell ref="W143:X143"/>
    <mergeCell ref="C144:F144"/>
    <mergeCell ref="G144:H144"/>
    <mergeCell ref="J144:K144"/>
    <mergeCell ref="M144:N144"/>
    <mergeCell ref="P144:Q144"/>
    <mergeCell ref="S144:T144"/>
    <mergeCell ref="W144:X144"/>
    <mergeCell ref="J140:K141"/>
    <mergeCell ref="M140:N141"/>
    <mergeCell ref="P140:Q141"/>
    <mergeCell ref="S140:T141"/>
    <mergeCell ref="G141:H141"/>
    <mergeCell ref="G143:H143"/>
    <mergeCell ref="J143:K143"/>
    <mergeCell ref="M143:N143"/>
    <mergeCell ref="P143:Q143"/>
    <mergeCell ref="S143:T143"/>
    <mergeCell ref="G147:H147"/>
    <mergeCell ref="J147:K147"/>
    <mergeCell ref="M147:N147"/>
    <mergeCell ref="P147:Q147"/>
    <mergeCell ref="S147:T147"/>
    <mergeCell ref="W147:X147"/>
    <mergeCell ref="G145:H145"/>
    <mergeCell ref="J145:K145"/>
    <mergeCell ref="M145:N145"/>
    <mergeCell ref="P145:Q145"/>
    <mergeCell ref="S145:T145"/>
    <mergeCell ref="W145:X145"/>
    <mergeCell ref="W154:X154"/>
    <mergeCell ref="J155:K155"/>
    <mergeCell ref="P155:Q155"/>
    <mergeCell ref="W155:X155"/>
    <mergeCell ref="J156:K156"/>
    <mergeCell ref="P156:Q156"/>
    <mergeCell ref="W156:X156"/>
    <mergeCell ref="D149:E149"/>
    <mergeCell ref="G149:H149"/>
    <mergeCell ref="J151:K152"/>
    <mergeCell ref="M151:N152"/>
    <mergeCell ref="P151:Q152"/>
    <mergeCell ref="J154:K154"/>
    <mergeCell ref="P154:Q154"/>
    <mergeCell ref="C159:I159"/>
    <mergeCell ref="J159:K159"/>
    <mergeCell ref="P159:Q159"/>
    <mergeCell ref="W159:X159"/>
    <mergeCell ref="J160:K160"/>
    <mergeCell ref="P160:Q160"/>
    <mergeCell ref="W160:X160"/>
    <mergeCell ref="J157:K157"/>
    <mergeCell ref="P157:Q157"/>
    <mergeCell ref="W157:X157"/>
    <mergeCell ref="J158:K158"/>
    <mergeCell ref="P158:Q158"/>
    <mergeCell ref="W158:X158"/>
    <mergeCell ref="J163:K163"/>
    <mergeCell ref="M163:N163"/>
    <mergeCell ref="P163:Q163"/>
    <mergeCell ref="R163:T164"/>
    <mergeCell ref="W163:X163"/>
    <mergeCell ref="J164:K164"/>
    <mergeCell ref="M164:N164"/>
    <mergeCell ref="P164:Q164"/>
    <mergeCell ref="W164:X164"/>
    <mergeCell ref="W166:X166"/>
    <mergeCell ref="J167:K167"/>
    <mergeCell ref="M167:N167"/>
    <mergeCell ref="P167:Q167"/>
    <mergeCell ref="W167:X167"/>
    <mergeCell ref="W179:X179"/>
    <mergeCell ref="J168:K168"/>
    <mergeCell ref="M168:N168"/>
    <mergeCell ref="P168:Q168"/>
    <mergeCell ref="R168:T168"/>
    <mergeCell ref="W168:X168"/>
    <mergeCell ref="J171:K171"/>
    <mergeCell ref="J184:L184"/>
    <mergeCell ref="W184:X184"/>
    <mergeCell ref="J180:L180"/>
    <mergeCell ref="N180:Q180"/>
    <mergeCell ref="W180:X180"/>
    <mergeCell ref="J181:L181"/>
    <mergeCell ref="W181:X181"/>
    <mergeCell ref="N182:O182"/>
    <mergeCell ref="M171:N171"/>
    <mergeCell ref="P171:Q171"/>
    <mergeCell ref="W171:X171"/>
    <mergeCell ref="J172:Q172"/>
    <mergeCell ref="W172:X172"/>
    <mergeCell ref="Q182:R182"/>
    <mergeCell ref="J183:L183"/>
    <mergeCell ref="N183:O183"/>
    <mergeCell ref="Q183:R183"/>
    <mergeCell ref="W183:X183"/>
    <mergeCell ref="W182:X182"/>
    <mergeCell ref="J178:L178"/>
    <mergeCell ref="W178:X178"/>
    <mergeCell ref="J179:L179"/>
    <mergeCell ref="A196:M196"/>
    <mergeCell ref="N196:T196"/>
    <mergeCell ref="W196:X196"/>
    <mergeCell ref="J188:L188"/>
    <mergeCell ref="S188:T188"/>
    <mergeCell ref="W188:X188"/>
    <mergeCell ref="J190:L190"/>
    <mergeCell ref="M190:P192"/>
    <mergeCell ref="S190:T190"/>
    <mergeCell ref="W190:X190"/>
    <mergeCell ref="J192:L192"/>
    <mergeCell ref="W192:X192"/>
    <mergeCell ref="W132:X132"/>
    <mergeCell ref="G132:H132"/>
    <mergeCell ref="S132:T132"/>
    <mergeCell ref="J177:L177"/>
    <mergeCell ref="N177:Q179"/>
    <mergeCell ref="S177:T179"/>
    <mergeCell ref="W177:X177"/>
    <mergeCell ref="J169:K169"/>
    <mergeCell ref="M169:N169"/>
    <mergeCell ref="P169:Q169"/>
    <mergeCell ref="W169:X169"/>
    <mergeCell ref="J170:K170"/>
    <mergeCell ref="M170:N170"/>
    <mergeCell ref="P170:Q170"/>
    <mergeCell ref="W170:X170"/>
    <mergeCell ref="J165:K165"/>
    <mergeCell ref="M165:N165"/>
    <mergeCell ref="P165:Q165"/>
    <mergeCell ref="R165:T167"/>
    <mergeCell ref="W165:X165"/>
    <mergeCell ref="H166:I166"/>
    <mergeCell ref="J166:K166"/>
    <mergeCell ref="M166:N166"/>
    <mergeCell ref="P166:Q166"/>
    <mergeCell ref="G131:H131"/>
    <mergeCell ref="S131:T131"/>
    <mergeCell ref="W131:X131"/>
    <mergeCell ref="AH119:AH121"/>
    <mergeCell ref="E127:E129"/>
    <mergeCell ref="AJ120:AK121"/>
    <mergeCell ref="AI120:AI121"/>
    <mergeCell ref="AJ122:AK122"/>
    <mergeCell ref="AJ123:AK123"/>
    <mergeCell ref="AJ124:AK124"/>
    <mergeCell ref="AJ125:AK125"/>
    <mergeCell ref="AA121:AB121"/>
    <mergeCell ref="J127:K127"/>
    <mergeCell ref="M127:N127"/>
    <mergeCell ref="P127:Q127"/>
    <mergeCell ref="S127:T127"/>
    <mergeCell ref="W127:X127"/>
    <mergeCell ref="G129:H129"/>
    <mergeCell ref="S129:T129"/>
    <mergeCell ref="W129:X129"/>
    <mergeCell ref="G126:H126"/>
    <mergeCell ref="G125:H125"/>
    <mergeCell ref="J125:K125"/>
    <mergeCell ref="M125:N125"/>
    <mergeCell ref="J126:K126"/>
    <mergeCell ref="M126:N126"/>
    <mergeCell ref="P126:Q126"/>
    <mergeCell ref="S126:T126"/>
    <mergeCell ref="W126:X126"/>
    <mergeCell ref="G127:H127"/>
    <mergeCell ref="AA130:AB130"/>
    <mergeCell ref="AA129:AB129"/>
    <mergeCell ref="AC127:AC128"/>
    <mergeCell ref="AA128:AB128"/>
    <mergeCell ref="G130:H130"/>
    <mergeCell ref="S130:T130"/>
    <mergeCell ref="W130:X130"/>
  </mergeCells>
  <conditionalFormatting sqref="G37">
    <cfRule type="cellIs" priority="6" stopIfTrue="1" operator="equal">
      <formula>"""Exceeds the limit! Re-check amounts."""</formula>
    </cfRule>
  </conditionalFormatting>
  <conditionalFormatting sqref="G38">
    <cfRule type="cellIs" dxfId="119" priority="7" stopIfTrue="1" operator="greaterThan">
      <formula>$E38</formula>
    </cfRule>
  </conditionalFormatting>
  <conditionalFormatting sqref="G39">
    <cfRule type="cellIs" dxfId="118" priority="8" stopIfTrue="1" operator="greaterThan">
      <formula>$E$39</formula>
    </cfRule>
  </conditionalFormatting>
  <conditionalFormatting sqref="G40">
    <cfRule type="cellIs" dxfId="117" priority="9" stopIfTrue="1" operator="greaterThan">
      <formula>$E$40</formula>
    </cfRule>
  </conditionalFormatting>
  <conditionalFormatting sqref="G55:H55">
    <cfRule type="cellIs" dxfId="116" priority="1" operator="greaterThan">
      <formula>$E$55</formula>
    </cfRule>
  </conditionalFormatting>
  <conditionalFormatting sqref="J38:K38 M38:N38 P38:Q38">
    <cfRule type="cellIs" dxfId="115" priority="4" operator="greaterThan">
      <formula>$G$38</formula>
    </cfRule>
  </conditionalFormatting>
  <conditionalFormatting sqref="J39:K40 M39:N40 P39:Q40">
    <cfRule type="cellIs" dxfId="114" priority="3" operator="greaterThan">
      <formula>$G$40</formula>
    </cfRule>
  </conditionalFormatting>
  <conditionalFormatting sqref="J192:L192">
    <cfRule type="cellIs" dxfId="113" priority="5" stopIfTrue="1" operator="greaterThan">
      <formula>$J$188</formula>
    </cfRule>
  </conditionalFormatting>
  <conditionalFormatting sqref="O175:V175">
    <cfRule type="cellIs" dxfId="112" priority="2" operator="equal">
      <formula>"QAP Cost Limit TDC exceeds Project Cost Limit!"</formula>
    </cfRule>
  </conditionalFormatting>
  <dataValidations count="5">
    <dataValidation type="list" allowBlank="1" showInputMessage="1" showErrorMessage="1" sqref="R168:T168" xr:uid="{7E222143-56D3-42B6-9EF0-5CE4763949BA}">
      <formula1>"&lt;&lt;Select % of Eligible Basis&gt;&gt;,1.10,1.11,1.12,1.13,1.14,1.15,1.16,1.17,1.18,1.19,1.20,1.21,1.22,1.23,1.24,1.25,1.26,1.27,1.28,1.29,1.30"</formula1>
    </dataValidation>
    <dataValidation type="list" allowBlank="1" showInputMessage="1" showErrorMessage="1" sqref="R165:T167" xr:uid="{6EACE1B3-870B-4891-A06B-C3F317B56C96}">
      <formula1>"&lt;&lt; Select Category of Eligibility&gt;&gt;, Multifamily Rural projects w/out DCA HOME, Multifamily projects in areas qualifying for 2+ Stable Communities pts, Extraordinary circumstances furthering policies of this QAP "</formula1>
    </dataValidation>
    <dataValidation type="list" operator="greaterThanOrEqual" allowBlank="1" showInputMessage="1" showErrorMessage="1" sqref="T180" xr:uid="{B0A8E7CA-744D-449C-9C6B-73CA343B1649}">
      <formula1>"Yes, No"</formula1>
    </dataValidation>
    <dataValidation type="list" allowBlank="1" showInputMessage="1" showErrorMessage="1" sqref="H166" xr:uid="{503A4C4A-852C-48DC-8875-CCCED6CEB66D}">
      <formula1>"&lt;&lt;Select&gt;&gt;,DDA/QCT, State Boost"</formula1>
    </dataValidation>
    <dataValidation type="list" allowBlank="1" showInputMessage="1" showErrorMessage="1" sqref="E90:E91" xr:uid="{23B003FE-1919-4323-90D8-20D854EF4868}">
      <formula1>"Yes, No"</formula1>
    </dataValidation>
  </dataValidations>
  <printOptions horizontalCentered="1"/>
  <pageMargins left="0.3" right="0.3" top="0.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3" manualBreakCount="3">
    <brk id="49" max="16383" man="1"/>
    <brk id="92" max="16383" man="1"/>
    <brk id="172" max="16383" man="1"/>
  </rowBreaks>
  <ignoredErrors>
    <ignoredError sqref="AJ123"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8153-E427-43D4-8407-2C8A1055BBB4}">
  <sheetPr codeName="Sheet19">
    <pageSetUpPr fitToPage="1"/>
  </sheetPr>
  <dimension ref="A1:R92"/>
  <sheetViews>
    <sheetView showGridLines="0" zoomScale="67" workbookViewId="0">
      <selection activeCell="M32" sqref="M32"/>
    </sheetView>
  </sheetViews>
  <sheetFormatPr defaultColWidth="9.21875" defaultRowHeight="15"/>
  <cols>
    <col min="1" max="1" width="7.21875" style="306" customWidth="1"/>
    <col min="2" max="2" width="12.77734375" style="306" customWidth="1"/>
    <col min="3" max="3" width="7.77734375" style="306" customWidth="1"/>
    <col min="4" max="4" width="12.77734375" style="306" customWidth="1"/>
    <col min="5" max="5" width="0.77734375" style="306" customWidth="1"/>
    <col min="6" max="6" width="46.77734375" style="306" customWidth="1"/>
    <col min="7" max="7" width="0.77734375" style="306" customWidth="1"/>
    <col min="8" max="8" width="46.77734375" style="306" customWidth="1"/>
    <col min="9" max="17" width="9.21875" style="306"/>
    <col min="18" max="18" width="7" style="1807" customWidth="1"/>
    <col min="19" max="16384" width="9.21875" style="306"/>
  </cols>
  <sheetData>
    <row r="1" spans="1:18" ht="15.6">
      <c r="A1" s="3680" t="str">
        <f>CONCATENATE("PART THREE (B) -  OTHER COSTS","  -  ",'Part I-Project Identification'!$O$7," - ",'Part I-Project Identification'!$F$27,"  -  ",'Part I-Project Identification'!$F$28,"  -  ",'Part I-Project Identification'!$J$28,",  ","County")</f>
        <v>PART THREE (B) -  OTHER COSTS  -  2026-0xx - The Groves  -  Tifton  -  Tift,  County</v>
      </c>
      <c r="B1" s="3681"/>
      <c r="C1" s="3681"/>
      <c r="D1" s="3681"/>
      <c r="E1" s="3681"/>
      <c r="F1" s="3681"/>
      <c r="G1" s="3681"/>
      <c r="H1" s="3681"/>
      <c r="I1" s="525"/>
      <c r="J1" s="525"/>
      <c r="K1" s="525"/>
      <c r="L1" s="525"/>
      <c r="M1" s="525"/>
      <c r="N1" s="525"/>
      <c r="R1" s="1803">
        <v>1</v>
      </c>
    </row>
    <row r="2" spans="1:18" ht="9" customHeight="1">
      <c r="R2" s="1803">
        <v>2</v>
      </c>
    </row>
    <row r="3" spans="1:18" ht="57" customHeight="1">
      <c r="A3" s="3682" t="s">
        <v>751</v>
      </c>
      <c r="B3" s="3683"/>
      <c r="C3" s="3683"/>
      <c r="D3" s="3683"/>
      <c r="E3" s="3683"/>
      <c r="F3" s="3683"/>
      <c r="G3" s="3683"/>
      <c r="H3" s="3684"/>
      <c r="R3" s="1803">
        <v>3</v>
      </c>
    </row>
    <row r="4" spans="1:18" ht="6" customHeight="1">
      <c r="R4" s="1803">
        <v>4</v>
      </c>
    </row>
    <row r="5" spans="1:18" ht="38.25" customHeight="1">
      <c r="A5" s="3685" t="s">
        <v>752</v>
      </c>
      <c r="B5" s="3685"/>
      <c r="C5" s="3685"/>
      <c r="D5" s="3685"/>
      <c r="F5" s="2696" t="s">
        <v>753</v>
      </c>
      <c r="G5" s="313"/>
      <c r="H5" s="2696" t="s">
        <v>754</v>
      </c>
      <c r="R5" s="1803">
        <v>5</v>
      </c>
    </row>
    <row r="6" spans="1:18" ht="6.75" customHeight="1">
      <c r="A6" s="313"/>
      <c r="B6" s="313"/>
      <c r="C6" s="313"/>
      <c r="D6" s="313"/>
      <c r="R6" s="1803">
        <v>6</v>
      </c>
    </row>
    <row r="7" spans="1:18" s="527" customFormat="1" ht="4.5" customHeight="1">
      <c r="A7" s="526"/>
      <c r="B7" s="526"/>
      <c r="C7" s="526"/>
      <c r="D7" s="526"/>
      <c r="E7" s="526"/>
      <c r="F7" s="526"/>
      <c r="G7" s="526"/>
      <c r="R7" s="1804">
        <v>7</v>
      </c>
    </row>
    <row r="8" spans="1:18" s="527" customFormat="1" ht="15.6">
      <c r="A8" s="538" t="s">
        <v>518</v>
      </c>
      <c r="B8" s="528"/>
      <c r="C8" s="528"/>
      <c r="D8" s="528"/>
      <c r="E8" s="528"/>
      <c r="F8" s="528"/>
      <c r="G8" s="528"/>
      <c r="H8" s="528"/>
      <c r="R8" s="1804">
        <v>8</v>
      </c>
    </row>
    <row r="9" spans="1:18" s="527" customFormat="1" ht="41.25" customHeight="1">
      <c r="A9" s="3677" t="str">
        <f>'Part III-A-Uses of Funds'!$C$15</f>
        <v>PNA</v>
      </c>
      <c r="B9" s="3678"/>
      <c r="C9" s="3678"/>
      <c r="D9" s="3679"/>
      <c r="F9" s="3674" t="s">
        <v>7673</v>
      </c>
      <c r="G9" s="528"/>
      <c r="H9" s="3674" t="s">
        <v>7674</v>
      </c>
      <c r="R9" s="1804">
        <v>9</v>
      </c>
    </row>
    <row r="10" spans="1:18" s="527" customFormat="1" ht="41.25" customHeight="1">
      <c r="A10" s="3668"/>
      <c r="B10" s="3669"/>
      <c r="C10" s="3669"/>
      <c r="D10" s="3670"/>
      <c r="F10" s="3675"/>
      <c r="G10" s="528"/>
      <c r="H10" s="3675"/>
      <c r="R10" s="1803">
        <v>10</v>
      </c>
    </row>
    <row r="11" spans="1:18" s="527" customFormat="1" ht="4.5" customHeight="1">
      <c r="F11" s="3675"/>
      <c r="G11" s="528"/>
      <c r="H11" s="3675"/>
      <c r="R11" s="1803">
        <v>11</v>
      </c>
    </row>
    <row r="12" spans="1:18" s="527" customFormat="1" ht="15" customHeight="1">
      <c r="A12" s="537" t="s">
        <v>755</v>
      </c>
      <c r="B12" s="536">
        <f>'Part III-A-Uses of Funds'!$G$15</f>
        <v>10000</v>
      </c>
      <c r="C12" s="537" t="s">
        <v>714</v>
      </c>
      <c r="D12" s="536">
        <f>'Part III-A-Uses of Funds'!$J$15+'Part III-A-Uses of Funds'!$M$15+'Part III-A-Uses of Funds'!$P$15</f>
        <v>10000</v>
      </c>
      <c r="F12" s="3675"/>
      <c r="G12" s="528"/>
      <c r="H12" s="3675"/>
      <c r="R12" s="1803">
        <v>12</v>
      </c>
    </row>
    <row r="13" spans="1:18" s="527" customFormat="1" ht="6" customHeight="1">
      <c r="A13" s="528"/>
      <c r="B13" s="529"/>
      <c r="C13" s="528"/>
      <c r="D13" s="528"/>
      <c r="F13" s="3675"/>
      <c r="G13" s="530"/>
      <c r="H13" s="3675"/>
      <c r="R13" s="1803">
        <v>13</v>
      </c>
    </row>
    <row r="14" spans="1:18" s="527" customFormat="1" ht="41.25" customHeight="1">
      <c r="A14" s="3677" t="str">
        <f>'Part III-A-Uses of Funds'!$C$16</f>
        <v>Front-End Cost Review</v>
      </c>
      <c r="B14" s="3678"/>
      <c r="C14" s="3678"/>
      <c r="D14" s="3679"/>
      <c r="F14" s="3675" t="s">
        <v>7673</v>
      </c>
      <c r="G14" s="528"/>
      <c r="H14" s="3675" t="s">
        <v>7675</v>
      </c>
      <c r="R14" s="1803">
        <v>14</v>
      </c>
    </row>
    <row r="15" spans="1:18" s="527" customFormat="1" ht="41.25" customHeight="1">
      <c r="A15" s="3668"/>
      <c r="B15" s="3669"/>
      <c r="C15" s="3669"/>
      <c r="D15" s="3670"/>
      <c r="F15" s="3675"/>
      <c r="G15" s="528"/>
      <c r="H15" s="3675"/>
      <c r="R15" s="1803">
        <v>15</v>
      </c>
    </row>
    <row r="16" spans="1:18" s="527" customFormat="1" ht="4.5" customHeight="1">
      <c r="F16" s="3675"/>
      <c r="G16" s="528"/>
      <c r="H16" s="3675"/>
      <c r="R16" s="1804">
        <v>16</v>
      </c>
    </row>
    <row r="17" spans="1:18" s="527" customFormat="1" ht="15" customHeight="1">
      <c r="A17" s="537" t="s">
        <v>755</v>
      </c>
      <c r="B17" s="536">
        <f>'Part III-A-Uses of Funds'!$G$16</f>
        <v>15000</v>
      </c>
      <c r="C17" s="537" t="s">
        <v>714</v>
      </c>
      <c r="D17" s="536">
        <f>'Part III-A-Uses of Funds'!$J$16+'Part III-A-Uses of Funds'!$M$16+'Part III-A-Uses of Funds'!$P$16</f>
        <v>15000</v>
      </c>
      <c r="F17" s="3675"/>
      <c r="G17" s="528"/>
      <c r="H17" s="3675"/>
      <c r="R17" s="1804">
        <v>17</v>
      </c>
    </row>
    <row r="18" spans="1:18" s="527" customFormat="1" ht="6" customHeight="1">
      <c r="A18" s="528"/>
      <c r="B18" s="529"/>
      <c r="C18" s="528"/>
      <c r="D18" s="528"/>
      <c r="F18" s="3675"/>
      <c r="G18" s="530"/>
      <c r="H18" s="3675"/>
      <c r="R18" s="1804">
        <v>18</v>
      </c>
    </row>
    <row r="19" spans="1:18" s="527" customFormat="1" ht="41.25" customHeight="1">
      <c r="A19" s="3677" t="str">
        <f>'Part III-A-Uses of Funds'!$C$17</f>
        <v>Energy Audit</v>
      </c>
      <c r="B19" s="3678"/>
      <c r="C19" s="3678"/>
      <c r="D19" s="3679"/>
      <c r="F19" s="3675" t="s">
        <v>7673</v>
      </c>
      <c r="G19" s="528"/>
      <c r="H19" s="3675" t="s">
        <v>7676</v>
      </c>
      <c r="R19" s="1803">
        <v>19</v>
      </c>
    </row>
    <row r="20" spans="1:18" s="527" customFormat="1" ht="41.25" customHeight="1">
      <c r="A20" s="3668"/>
      <c r="B20" s="3669"/>
      <c r="C20" s="3669"/>
      <c r="D20" s="3670"/>
      <c r="F20" s="3675"/>
      <c r="G20" s="528"/>
      <c r="H20" s="3675"/>
      <c r="R20" s="1803">
        <v>20</v>
      </c>
    </row>
    <row r="21" spans="1:18" s="527" customFormat="1" ht="4.5" customHeight="1">
      <c r="F21" s="3675"/>
      <c r="G21" s="528"/>
      <c r="H21" s="3675"/>
      <c r="R21" s="1803">
        <v>21</v>
      </c>
    </row>
    <row r="22" spans="1:18" s="527" customFormat="1" ht="15" customHeight="1">
      <c r="A22" s="537" t="s">
        <v>755</v>
      </c>
      <c r="B22" s="536">
        <f>'Part III-A-Uses of Funds'!$G$17</f>
        <v>10000</v>
      </c>
      <c r="C22" s="537" t="s">
        <v>714</v>
      </c>
      <c r="D22" s="536">
        <f>'Part III-A-Uses of Funds'!$J$17+'Part III-A-Uses of Funds'!$M$17+'Part III-A-Uses of Funds'!$P$17</f>
        <v>10000</v>
      </c>
      <c r="F22" s="3675"/>
      <c r="G22" s="528"/>
      <c r="H22" s="3675"/>
      <c r="R22" s="1803">
        <v>22</v>
      </c>
    </row>
    <row r="23" spans="1:18" s="527" customFormat="1" ht="6" customHeight="1">
      <c r="A23" s="528"/>
      <c r="B23" s="529"/>
      <c r="C23" s="528"/>
      <c r="D23" s="528"/>
      <c r="F23" s="3676"/>
      <c r="G23" s="530"/>
      <c r="H23" s="3676"/>
      <c r="R23" s="1803">
        <v>23</v>
      </c>
    </row>
    <row r="24" spans="1:18" s="527" customFormat="1">
      <c r="A24" s="538" t="s">
        <v>756</v>
      </c>
      <c r="B24" s="528"/>
      <c r="C24" s="528"/>
      <c r="D24" s="528"/>
      <c r="E24" s="528"/>
      <c r="F24" s="528"/>
      <c r="G24" s="528"/>
      <c r="R24" s="1803">
        <v>24</v>
      </c>
    </row>
    <row r="25" spans="1:18" s="527" customFormat="1" ht="41.25" customHeight="1">
      <c r="A25" s="3677" t="str">
        <f>'Part III-A-Uses of Funds'!$C$46</f>
        <v>&lt;&lt; Enter description here; provide detail &amp; justification in tab Part III-b &gt;&gt;</v>
      </c>
      <c r="B25" s="3678"/>
      <c r="C25" s="3678"/>
      <c r="D25" s="3679"/>
      <c r="E25" s="528"/>
      <c r="F25" s="3671"/>
      <c r="G25" s="528"/>
      <c r="H25" s="3671"/>
      <c r="R25" s="1804">
        <v>25</v>
      </c>
    </row>
    <row r="26" spans="1:18" s="527" customFormat="1" ht="41.25" customHeight="1">
      <c r="A26" s="3668"/>
      <c r="B26" s="3669"/>
      <c r="C26" s="3669"/>
      <c r="D26" s="3670"/>
      <c r="E26" s="528"/>
      <c r="F26" s="3672"/>
      <c r="G26" s="528"/>
      <c r="H26" s="3672"/>
      <c r="R26" s="1804">
        <v>26</v>
      </c>
    </row>
    <row r="27" spans="1:18" s="527" customFormat="1" ht="4.5" customHeight="1">
      <c r="A27" s="528"/>
      <c r="B27" s="528"/>
      <c r="C27" s="528"/>
      <c r="D27" s="528"/>
      <c r="E27" s="528"/>
      <c r="F27" s="3672"/>
      <c r="G27" s="528"/>
      <c r="H27" s="3672"/>
      <c r="R27" s="1804">
        <v>27</v>
      </c>
    </row>
    <row r="28" spans="1:18" s="527" customFormat="1">
      <c r="A28" s="537" t="s">
        <v>755</v>
      </c>
      <c r="B28" s="536">
        <f>'Part III-A-Uses of Funds'!$G$46</f>
        <v>0</v>
      </c>
      <c r="C28" s="537" t="s">
        <v>714</v>
      </c>
      <c r="D28" s="536">
        <f>'Part III-A-Uses of Funds'!$J$46+'Part III-A-Uses of Funds'!$M$46+'Part III-A-Uses of Funds'!$P$46</f>
        <v>0</v>
      </c>
      <c r="E28" s="528"/>
      <c r="F28" s="3672"/>
      <c r="G28" s="528"/>
      <c r="H28" s="3672"/>
      <c r="R28" s="1803">
        <v>28</v>
      </c>
    </row>
    <row r="29" spans="1:18" s="527" customFormat="1" ht="6" customHeight="1">
      <c r="A29" s="528"/>
      <c r="B29" s="529"/>
      <c r="C29" s="528"/>
      <c r="D29" s="528"/>
      <c r="E29" s="528"/>
      <c r="F29" s="3673"/>
      <c r="G29" s="530"/>
      <c r="H29" s="3673"/>
      <c r="R29" s="1803">
        <v>29</v>
      </c>
    </row>
    <row r="30" spans="1:18" s="527" customFormat="1">
      <c r="A30" s="538" t="s">
        <v>580</v>
      </c>
      <c r="B30" s="528"/>
      <c r="C30" s="528"/>
      <c r="D30" s="528"/>
      <c r="E30" s="528"/>
      <c r="F30" s="528"/>
      <c r="G30" s="528"/>
      <c r="R30" s="1803">
        <v>30</v>
      </c>
    </row>
    <row r="31" spans="1:18" s="527" customFormat="1" ht="41.25" customHeight="1">
      <c r="A31" s="3665" t="str">
        <f>'Part III-A-Uses of Funds'!$C$71</f>
        <v>&lt;&lt; Enter description here; provide detail &amp; justification in tab Part III-b &gt;&gt;</v>
      </c>
      <c r="B31" s="3666"/>
      <c r="C31" s="3666"/>
      <c r="D31" s="3667"/>
      <c r="E31" s="528"/>
      <c r="F31" s="3674"/>
      <c r="G31" s="528"/>
      <c r="H31" s="3674"/>
      <c r="R31" s="1803">
        <v>31</v>
      </c>
    </row>
    <row r="32" spans="1:18" s="527" customFormat="1" ht="41.25" customHeight="1">
      <c r="A32" s="3668"/>
      <c r="B32" s="3669"/>
      <c r="C32" s="3669"/>
      <c r="D32" s="3670"/>
      <c r="E32" s="528"/>
      <c r="F32" s="3675"/>
      <c r="G32" s="528"/>
      <c r="H32" s="3675"/>
      <c r="R32" s="1803">
        <v>32</v>
      </c>
    </row>
    <row r="33" spans="1:18" s="527" customFormat="1" ht="4.5" customHeight="1">
      <c r="A33" s="528"/>
      <c r="B33" s="528"/>
      <c r="C33" s="528"/>
      <c r="D33" s="528"/>
      <c r="E33" s="528"/>
      <c r="F33" s="3675"/>
      <c r="G33" s="528"/>
      <c r="H33" s="3675"/>
      <c r="R33" s="1803">
        <v>33</v>
      </c>
    </row>
    <row r="34" spans="1:18" s="527" customFormat="1" ht="14.25" customHeight="1">
      <c r="A34" s="537" t="s">
        <v>755</v>
      </c>
      <c r="B34" s="536">
        <f>'Part III-A-Uses of Funds'!$G$71</f>
        <v>0</v>
      </c>
      <c r="C34" s="537" t="s">
        <v>714</v>
      </c>
      <c r="D34" s="536">
        <f>'Part III-A-Uses of Funds'!$J$71+'Part III-A-Uses of Funds'!$M$71+'Part III-A-Uses of Funds'!$P$71</f>
        <v>0</v>
      </c>
      <c r="E34" s="528"/>
      <c r="F34" s="3675"/>
      <c r="G34" s="528"/>
      <c r="H34" s="3675"/>
      <c r="R34" s="1804">
        <v>34</v>
      </c>
    </row>
    <row r="35" spans="1:18" s="527" customFormat="1" ht="6" customHeight="1">
      <c r="D35" s="528"/>
      <c r="E35" s="528"/>
      <c r="F35" s="3675"/>
      <c r="G35" s="530"/>
      <c r="H35" s="3675"/>
      <c r="R35" s="1804">
        <v>35</v>
      </c>
    </row>
    <row r="36" spans="1:18" s="527" customFormat="1" ht="41.25" customHeight="1">
      <c r="A36" s="3665" t="str">
        <f>'Part III-A-Uses of Funds'!$C$72</f>
        <v>&lt;&lt; Enter description here; provide detail &amp; justification in tab Part III-b &gt;&gt;</v>
      </c>
      <c r="B36" s="3666"/>
      <c r="C36" s="3666"/>
      <c r="D36" s="3667"/>
      <c r="E36" s="528"/>
      <c r="F36" s="3675"/>
      <c r="G36" s="528"/>
      <c r="H36" s="3675"/>
      <c r="R36" s="1804">
        <v>36</v>
      </c>
    </row>
    <row r="37" spans="1:18" s="527" customFormat="1" ht="41.25" customHeight="1">
      <c r="A37" s="3668"/>
      <c r="B37" s="3669"/>
      <c r="C37" s="3669"/>
      <c r="D37" s="3670"/>
      <c r="E37" s="528"/>
      <c r="F37" s="3675"/>
      <c r="G37" s="528"/>
      <c r="H37" s="3675"/>
      <c r="R37" s="1803">
        <v>37</v>
      </c>
    </row>
    <row r="38" spans="1:18" s="527" customFormat="1" ht="4.5" customHeight="1">
      <c r="A38" s="528"/>
      <c r="B38" s="528"/>
      <c r="C38" s="528"/>
      <c r="D38" s="528"/>
      <c r="E38" s="528"/>
      <c r="F38" s="3675"/>
      <c r="G38" s="528"/>
      <c r="H38" s="3675"/>
      <c r="R38" s="1803">
        <v>38</v>
      </c>
    </row>
    <row r="39" spans="1:18" s="527" customFormat="1" ht="14.25" customHeight="1">
      <c r="A39" s="537" t="s">
        <v>755</v>
      </c>
      <c r="B39" s="536">
        <f>'Part III-A-Uses of Funds'!$G$72</f>
        <v>0</v>
      </c>
      <c r="C39" s="537" t="s">
        <v>714</v>
      </c>
      <c r="D39" s="536">
        <f>'Part III-A-Uses of Funds'!$J$72+'Part III-A-Uses of Funds'!$M$72+'Part III-A-Uses of Funds'!$P$72</f>
        <v>0</v>
      </c>
      <c r="E39" s="528"/>
      <c r="F39" s="3675"/>
      <c r="G39" s="528"/>
      <c r="H39" s="3675"/>
      <c r="R39" s="1803">
        <v>39</v>
      </c>
    </row>
    <row r="40" spans="1:18" s="527" customFormat="1" ht="6" customHeight="1">
      <c r="D40" s="528"/>
      <c r="E40" s="528"/>
      <c r="F40" s="3676"/>
      <c r="G40" s="530"/>
      <c r="H40" s="3676"/>
      <c r="R40" s="1803">
        <v>40</v>
      </c>
    </row>
    <row r="41" spans="1:18" s="527" customFormat="1">
      <c r="A41" s="538" t="s">
        <v>596</v>
      </c>
      <c r="B41" s="528"/>
      <c r="C41" s="528"/>
      <c r="D41" s="528"/>
      <c r="E41" s="532"/>
      <c r="F41" s="532"/>
      <c r="G41" s="528"/>
      <c r="R41" s="1803">
        <v>41</v>
      </c>
    </row>
    <row r="42" spans="1:18" s="527" customFormat="1" ht="41.25" customHeight="1">
      <c r="A42" s="3665" t="str">
        <f>'Part III-A-Uses of Funds'!$C$85</f>
        <v>&lt;&lt; Enter description here; provide detail &amp; justification in tab Part III-b &gt;&gt;</v>
      </c>
      <c r="B42" s="3666"/>
      <c r="C42" s="3666"/>
      <c r="D42" s="3667"/>
      <c r="F42" s="3671"/>
      <c r="G42" s="528"/>
      <c r="H42" s="3671"/>
      <c r="R42" s="1803">
        <v>42</v>
      </c>
    </row>
    <row r="43" spans="1:18" s="527" customFormat="1" ht="41.25" customHeight="1">
      <c r="A43" s="3668"/>
      <c r="B43" s="3669"/>
      <c r="C43" s="3669"/>
      <c r="D43" s="3670"/>
      <c r="E43" s="528"/>
      <c r="F43" s="3672"/>
      <c r="G43" s="528"/>
      <c r="H43" s="3672"/>
      <c r="R43" s="1804">
        <v>43</v>
      </c>
    </row>
    <row r="44" spans="1:18" s="527" customFormat="1" ht="4.5" customHeight="1">
      <c r="A44" s="528"/>
      <c r="B44" s="528"/>
      <c r="C44" s="528"/>
      <c r="D44" s="528"/>
      <c r="E44" s="528"/>
      <c r="F44" s="3672"/>
      <c r="G44" s="528"/>
      <c r="H44" s="3672"/>
      <c r="R44" s="1804">
        <v>44</v>
      </c>
    </row>
    <row r="45" spans="1:18" s="527" customFormat="1" ht="13.5" customHeight="1">
      <c r="A45" s="537" t="s">
        <v>755</v>
      </c>
      <c r="B45" s="536">
        <f>'Part III-A-Uses of Funds'!$G$85</f>
        <v>0</v>
      </c>
      <c r="C45" s="537" t="s">
        <v>714</v>
      </c>
      <c r="D45" s="536">
        <f>'Part III-A-Uses of Funds'!$J$85+'Part III-A-Uses of Funds'!$M$85+'Part III-A-Uses of Funds'!$P$85</f>
        <v>0</v>
      </c>
      <c r="E45" s="528"/>
      <c r="F45" s="3672"/>
      <c r="G45" s="528"/>
      <c r="H45" s="3672"/>
      <c r="R45" s="1804">
        <v>45</v>
      </c>
    </row>
    <row r="46" spans="1:18" s="527" customFormat="1" ht="6" customHeight="1">
      <c r="A46" s="528"/>
      <c r="B46" s="529"/>
      <c r="C46" s="528"/>
      <c r="D46" s="528"/>
      <c r="E46" s="528"/>
      <c r="F46" s="3673"/>
      <c r="G46" s="530"/>
      <c r="H46" s="3673"/>
      <c r="R46" s="1803">
        <v>46</v>
      </c>
    </row>
    <row r="47" spans="1:18" s="527" customFormat="1">
      <c r="A47" s="538" t="s">
        <v>619</v>
      </c>
      <c r="B47" s="528"/>
      <c r="C47" s="528"/>
      <c r="D47" s="528"/>
      <c r="E47" s="528"/>
      <c r="F47" s="528"/>
      <c r="G47" s="528"/>
      <c r="R47" s="1803">
        <v>47</v>
      </c>
    </row>
    <row r="48" spans="1:18" s="527" customFormat="1" ht="41.25" customHeight="1">
      <c r="A48" s="3665" t="str">
        <f>'Part III-A-Uses of Funds'!$C$102</f>
        <v>&lt;&lt; Enter description here; provide detail &amp; justification in tab Part III-b &gt;&gt;</v>
      </c>
      <c r="B48" s="3666"/>
      <c r="C48" s="3666"/>
      <c r="D48" s="3667"/>
      <c r="F48" s="3671"/>
      <c r="G48" s="528"/>
      <c r="R48" s="1803">
        <v>48</v>
      </c>
    </row>
    <row r="49" spans="1:18" s="527" customFormat="1" ht="41.25" customHeight="1">
      <c r="A49" s="3668"/>
      <c r="B49" s="3669"/>
      <c r="C49" s="3669"/>
      <c r="D49" s="3670"/>
      <c r="E49" s="528"/>
      <c r="F49" s="3672"/>
      <c r="G49" s="528"/>
      <c r="R49" s="1803">
        <v>49</v>
      </c>
    </row>
    <row r="50" spans="1:18" s="527" customFormat="1" ht="3" customHeight="1">
      <c r="A50" s="528"/>
      <c r="B50" s="528"/>
      <c r="C50" s="528"/>
      <c r="D50" s="528"/>
      <c r="E50" s="528"/>
      <c r="F50" s="3672"/>
      <c r="G50" s="528"/>
      <c r="R50" s="1803">
        <v>50</v>
      </c>
    </row>
    <row r="51" spans="1:18" s="527" customFormat="1" ht="13.5" customHeight="1">
      <c r="A51" s="537" t="s">
        <v>755</v>
      </c>
      <c r="B51" s="536">
        <f>'Part III-A-Uses of Funds'!$G$102</f>
        <v>0</v>
      </c>
      <c r="C51" s="531"/>
      <c r="D51" s="531"/>
      <c r="E51" s="528"/>
      <c r="F51" s="3672"/>
      <c r="G51" s="528"/>
      <c r="R51" s="1803">
        <v>51</v>
      </c>
    </row>
    <row r="52" spans="1:18" s="527" customFormat="1" ht="3.75" customHeight="1">
      <c r="A52" s="528"/>
      <c r="B52" s="528"/>
      <c r="C52" s="528"/>
      <c r="D52" s="528"/>
      <c r="E52" s="528"/>
      <c r="F52" s="3673"/>
      <c r="G52" s="530"/>
      <c r="R52" s="1804">
        <v>52</v>
      </c>
    </row>
    <row r="53" spans="1:18" s="527" customFormat="1" ht="15.6">
      <c r="A53" s="538" t="s">
        <v>757</v>
      </c>
      <c r="B53" s="528"/>
      <c r="C53" s="528"/>
      <c r="D53" s="528"/>
      <c r="E53" s="528"/>
      <c r="F53" s="528"/>
      <c r="G53" s="528"/>
      <c r="R53" s="1804">
        <v>53</v>
      </c>
    </row>
    <row r="54" spans="1:18" s="527" customFormat="1" ht="41.25" customHeight="1">
      <c r="A54" s="3665" t="str">
        <f>'Part III-A-Uses of Funds'!$C$112</f>
        <v>&lt;&lt; Enter description here; provide detail &amp; justification in tab Part III-b &gt;&gt;</v>
      </c>
      <c r="B54" s="3666"/>
      <c r="C54" s="3666"/>
      <c r="D54" s="3667"/>
      <c r="F54" s="3674"/>
      <c r="G54" s="528"/>
      <c r="R54" s="1804">
        <v>54</v>
      </c>
    </row>
    <row r="55" spans="1:18" s="527" customFormat="1" ht="41.25" customHeight="1">
      <c r="A55" s="3668"/>
      <c r="B55" s="3669"/>
      <c r="C55" s="3669"/>
      <c r="D55" s="3670"/>
      <c r="E55" s="528"/>
      <c r="F55" s="3675"/>
      <c r="G55" s="528"/>
      <c r="R55" s="1803">
        <v>55</v>
      </c>
    </row>
    <row r="56" spans="1:18" s="527" customFormat="1" ht="3" customHeight="1">
      <c r="A56" s="528"/>
      <c r="B56" s="528"/>
      <c r="C56" s="528"/>
      <c r="D56" s="528"/>
      <c r="E56" s="528"/>
      <c r="F56" s="3675"/>
      <c r="G56" s="528"/>
      <c r="R56" s="1803">
        <v>56</v>
      </c>
    </row>
    <row r="57" spans="1:18" s="527" customFormat="1">
      <c r="A57" s="537" t="s">
        <v>755</v>
      </c>
      <c r="B57" s="536">
        <f>'Part III-A-Uses of Funds'!$G$112</f>
        <v>0</v>
      </c>
      <c r="C57" s="531"/>
      <c r="D57" s="531"/>
      <c r="E57" s="528"/>
      <c r="F57" s="3675"/>
      <c r="G57" s="528"/>
      <c r="R57" s="1803">
        <v>57</v>
      </c>
    </row>
    <row r="58" spans="1:18" s="527" customFormat="1" ht="3.75" customHeight="1">
      <c r="A58" s="526"/>
      <c r="B58" s="526"/>
      <c r="C58" s="526"/>
      <c r="D58" s="526"/>
      <c r="E58" s="526"/>
      <c r="F58" s="3675"/>
      <c r="G58" s="530"/>
      <c r="R58" s="1803">
        <v>58</v>
      </c>
    </row>
    <row r="59" spans="1:18" s="527" customFormat="1" ht="41.25" customHeight="1">
      <c r="A59" s="3665" t="str">
        <f>'Part III-A-Uses of Funds'!$C$113</f>
        <v>&lt;&lt; Enter description here; provide detail &amp; justification in tab Part III-b &gt;&gt;</v>
      </c>
      <c r="B59" s="3666"/>
      <c r="C59" s="3666"/>
      <c r="D59" s="3667"/>
      <c r="F59" s="3675"/>
      <c r="G59" s="528"/>
      <c r="R59" s="1803">
        <v>59</v>
      </c>
    </row>
    <row r="60" spans="1:18" s="527" customFormat="1" ht="41.25" customHeight="1">
      <c r="A60" s="3668"/>
      <c r="B60" s="3669"/>
      <c r="C60" s="3669"/>
      <c r="D60" s="3670"/>
      <c r="E60" s="528"/>
      <c r="F60" s="3675"/>
      <c r="G60" s="528"/>
      <c r="R60" s="1803">
        <v>60</v>
      </c>
    </row>
    <row r="61" spans="1:18" s="527" customFormat="1" ht="3" customHeight="1">
      <c r="A61" s="528"/>
      <c r="B61" s="528"/>
      <c r="C61" s="528"/>
      <c r="D61" s="528"/>
      <c r="E61" s="528"/>
      <c r="F61" s="3675"/>
      <c r="G61" s="528"/>
      <c r="R61" s="1804">
        <v>61</v>
      </c>
    </row>
    <row r="62" spans="1:18" s="527" customFormat="1" ht="15.6">
      <c r="A62" s="537" t="s">
        <v>755</v>
      </c>
      <c r="B62" s="536">
        <f>'Part III-A-Uses of Funds'!$G$113</f>
        <v>0</v>
      </c>
      <c r="C62" s="531"/>
      <c r="D62" s="531"/>
      <c r="E62" s="528"/>
      <c r="F62" s="3675"/>
      <c r="G62" s="528"/>
      <c r="R62" s="1804">
        <v>62</v>
      </c>
    </row>
    <row r="63" spans="1:18" s="527" customFormat="1" ht="3.75" customHeight="1">
      <c r="A63" s="526"/>
      <c r="B63" s="526"/>
      <c r="C63" s="526"/>
      <c r="D63" s="526"/>
      <c r="E63" s="526"/>
      <c r="F63" s="3676"/>
      <c r="G63" s="530"/>
      <c r="R63" s="1804">
        <v>63</v>
      </c>
    </row>
    <row r="64" spans="1:18" s="527" customFormat="1">
      <c r="A64" s="538" t="s">
        <v>758</v>
      </c>
      <c r="B64" s="528"/>
      <c r="C64" s="528"/>
      <c r="D64" s="528"/>
      <c r="E64" s="528"/>
      <c r="F64" s="528"/>
      <c r="G64" s="528"/>
      <c r="R64" s="1803">
        <v>64</v>
      </c>
    </row>
    <row r="65" spans="1:18" s="527" customFormat="1" ht="41.25" customHeight="1">
      <c r="A65" s="3665" t="str">
        <f>'Part III-A-Uses of Funds'!$C$119</f>
        <v>&lt;&lt; Enter description here; provide detail &amp; justification in tab Part III-b &gt;&gt;</v>
      </c>
      <c r="B65" s="3666"/>
      <c r="C65" s="3666"/>
      <c r="D65" s="3667"/>
      <c r="F65" s="3671"/>
      <c r="G65" s="528"/>
      <c r="R65" s="1803">
        <v>65</v>
      </c>
    </row>
    <row r="66" spans="1:18" s="527" customFormat="1" ht="41.25" customHeight="1">
      <c r="A66" s="3668"/>
      <c r="B66" s="3669"/>
      <c r="C66" s="3669"/>
      <c r="D66" s="3670"/>
      <c r="E66" s="528"/>
      <c r="F66" s="3672"/>
      <c r="G66" s="528"/>
      <c r="R66" s="1803">
        <v>66</v>
      </c>
    </row>
    <row r="67" spans="1:18" s="527" customFormat="1" ht="3" customHeight="1">
      <c r="A67" s="528"/>
      <c r="B67" s="528"/>
      <c r="C67" s="528"/>
      <c r="D67" s="528"/>
      <c r="E67" s="528"/>
      <c r="F67" s="3672"/>
      <c r="G67" s="528"/>
      <c r="R67" s="1803">
        <v>67</v>
      </c>
    </row>
    <row r="68" spans="1:18" s="527" customFormat="1">
      <c r="A68" s="537" t="s">
        <v>755</v>
      </c>
      <c r="B68" s="536">
        <f>'Part III-A-Uses of Funds'!$G$119</f>
        <v>0</v>
      </c>
      <c r="C68" s="531"/>
      <c r="D68" s="531"/>
      <c r="E68" s="528"/>
      <c r="F68" s="3672"/>
      <c r="G68" s="528"/>
      <c r="R68" s="1803">
        <v>68</v>
      </c>
    </row>
    <row r="69" spans="1:18" s="527" customFormat="1" ht="3.75" customHeight="1">
      <c r="A69" s="528"/>
      <c r="B69" s="529"/>
      <c r="C69" s="528"/>
      <c r="D69" s="528"/>
      <c r="E69" s="528"/>
      <c r="F69" s="3673"/>
      <c r="G69" s="530"/>
      <c r="R69" s="1803">
        <v>69</v>
      </c>
    </row>
    <row r="70" spans="1:18" s="527" customFormat="1" ht="15.6">
      <c r="A70" s="538" t="s">
        <v>681</v>
      </c>
      <c r="B70" s="528"/>
      <c r="C70" s="528"/>
      <c r="D70" s="528"/>
      <c r="E70" s="528"/>
      <c r="F70" s="528"/>
      <c r="G70" s="528"/>
      <c r="R70" s="1804">
        <v>70</v>
      </c>
    </row>
    <row r="71" spans="1:18" s="527" customFormat="1" ht="41.25" customHeight="1">
      <c r="A71" s="3665" t="str">
        <f>'Part III-A-Uses of Funds'!$C$135</f>
        <v>&lt;&lt; Enter description here; provide detail &amp; justification in tab Part III-b &gt;&gt;</v>
      </c>
      <c r="B71" s="3666"/>
      <c r="C71" s="3666"/>
      <c r="D71" s="3667"/>
      <c r="F71" s="3671"/>
      <c r="G71" s="528"/>
      <c r="H71" s="3671"/>
      <c r="R71" s="1804">
        <v>71</v>
      </c>
    </row>
    <row r="72" spans="1:18" s="527" customFormat="1" ht="41.25" customHeight="1">
      <c r="A72" s="3668"/>
      <c r="B72" s="3669"/>
      <c r="C72" s="3669"/>
      <c r="D72" s="3670"/>
      <c r="E72" s="528"/>
      <c r="F72" s="3672"/>
      <c r="G72" s="528"/>
      <c r="H72" s="3672"/>
      <c r="R72" s="1804">
        <v>72</v>
      </c>
    </row>
    <row r="73" spans="1:18" s="527" customFormat="1" ht="4.5" customHeight="1">
      <c r="A73" s="528"/>
      <c r="B73" s="528"/>
      <c r="C73" s="528"/>
      <c r="D73" s="528"/>
      <c r="E73" s="528"/>
      <c r="F73" s="3672"/>
      <c r="G73" s="528"/>
      <c r="H73" s="3672"/>
      <c r="R73" s="1803">
        <v>73</v>
      </c>
    </row>
    <row r="74" spans="1:18" s="527" customFormat="1" ht="12.75" customHeight="1">
      <c r="A74" s="537" t="s">
        <v>755</v>
      </c>
      <c r="B74" s="536">
        <f>'Part III-A-Uses of Funds'!$G$135</f>
        <v>0</v>
      </c>
      <c r="C74" s="537" t="s">
        <v>714</v>
      </c>
      <c r="D74" s="536">
        <f>'Part III-A-Uses of Funds'!$J$135+'Part III-A-Uses of Funds'!$M$135+'Part III-A-Uses of Funds'!$P$135</f>
        <v>0</v>
      </c>
      <c r="E74" s="528"/>
      <c r="F74" s="3672"/>
      <c r="G74" s="528"/>
      <c r="H74" s="3672"/>
      <c r="R74" s="1803">
        <v>74</v>
      </c>
    </row>
    <row r="75" spans="1:18" s="527" customFormat="1" ht="6" customHeight="1">
      <c r="A75" s="528"/>
      <c r="B75" s="529"/>
      <c r="C75" s="528"/>
      <c r="D75" s="528"/>
      <c r="E75" s="528"/>
      <c r="F75" s="3673"/>
      <c r="G75" s="530"/>
      <c r="H75" s="3673"/>
      <c r="R75" s="1803">
        <v>75</v>
      </c>
    </row>
    <row r="76" spans="1:18" s="527" customFormat="1">
      <c r="A76" s="538" t="s">
        <v>759</v>
      </c>
      <c r="B76" s="529"/>
      <c r="C76" s="528"/>
      <c r="D76" s="528"/>
      <c r="E76" s="528"/>
      <c r="F76" s="528"/>
      <c r="G76" s="530"/>
      <c r="R76" s="1803">
        <v>76</v>
      </c>
    </row>
    <row r="77" spans="1:18" s="527" customFormat="1" ht="41.25" customHeight="1">
      <c r="A77" s="3665" t="str">
        <f>'Part III-A-Uses of Funds'!$C$144</f>
        <v>&lt;&lt; Enter description here; provide detail &amp; justification in tab Part III-b &gt;&gt;</v>
      </c>
      <c r="B77" s="3666"/>
      <c r="C77" s="3666"/>
      <c r="D77" s="3667"/>
      <c r="F77" s="3671"/>
      <c r="G77" s="528"/>
      <c r="H77" s="3671"/>
      <c r="R77" s="1803">
        <v>77</v>
      </c>
    </row>
    <row r="78" spans="1:18" s="527" customFormat="1" ht="41.25" customHeight="1">
      <c r="A78" s="3668"/>
      <c r="B78" s="3669"/>
      <c r="C78" s="3669"/>
      <c r="D78" s="3670"/>
      <c r="E78" s="528"/>
      <c r="F78" s="3672"/>
      <c r="G78" s="528"/>
      <c r="H78" s="3672"/>
      <c r="R78" s="1803">
        <v>78</v>
      </c>
    </row>
    <row r="79" spans="1:18" s="527" customFormat="1" ht="4.5" customHeight="1">
      <c r="A79" s="528"/>
      <c r="B79" s="528"/>
      <c r="C79" s="528"/>
      <c r="D79" s="528"/>
      <c r="E79" s="528"/>
      <c r="F79" s="3672"/>
      <c r="G79" s="528"/>
      <c r="H79" s="3672"/>
      <c r="R79" s="1804">
        <v>79</v>
      </c>
    </row>
    <row r="80" spans="1:18" s="527" customFormat="1" ht="12.75" customHeight="1">
      <c r="A80" s="537" t="s">
        <v>755</v>
      </c>
      <c r="B80" s="536">
        <f>'Part III-A-Uses of Funds'!$G$144</f>
        <v>0</v>
      </c>
      <c r="C80" s="537" t="s">
        <v>714</v>
      </c>
      <c r="D80" s="536">
        <f>'Part III-A-Uses of Funds'!$J$144+'Part III-A-Uses of Funds'!$M$144+'Part III-A-Uses of Funds'!$P$144</f>
        <v>0</v>
      </c>
      <c r="E80" s="533"/>
      <c r="F80" s="3672"/>
      <c r="G80" s="528"/>
      <c r="H80" s="3672"/>
      <c r="R80" s="1804">
        <v>80</v>
      </c>
    </row>
    <row r="81" spans="4:18" s="527" customFormat="1" ht="6" customHeight="1">
      <c r="D81" s="534"/>
      <c r="E81" s="535"/>
      <c r="F81" s="3673"/>
      <c r="G81" s="530"/>
      <c r="H81" s="3673"/>
      <c r="R81" s="1804">
        <v>81</v>
      </c>
    </row>
    <row r="82" spans="4:18" s="527" customFormat="1">
      <c r="R82" s="1805"/>
    </row>
    <row r="83" spans="4:18" s="527" customFormat="1">
      <c r="R83" s="1805"/>
    </row>
    <row r="84" spans="4:18" s="527" customFormat="1" ht="15.6">
      <c r="R84" s="1806"/>
    </row>
    <row r="85" spans="4:18" s="527" customFormat="1" ht="15.6">
      <c r="R85" s="1806"/>
    </row>
    <row r="86" spans="4:18" s="527" customFormat="1" ht="15.6">
      <c r="R86" s="1806"/>
    </row>
    <row r="87" spans="4:18" s="527" customFormat="1" ht="15.6">
      <c r="R87" s="1806"/>
    </row>
    <row r="88" spans="4:18" s="527" customFormat="1" ht="15.6">
      <c r="R88" s="1806"/>
    </row>
    <row r="89" spans="4:18" s="527" customFormat="1" ht="15.6">
      <c r="R89" s="1806"/>
    </row>
    <row r="90" spans="4:18" s="527" customFormat="1" ht="15.6">
      <c r="R90" s="1806"/>
    </row>
    <row r="91" spans="4:18" s="527" customFormat="1" ht="15.6">
      <c r="R91" s="1806"/>
    </row>
    <row r="92" spans="4:18" s="527" customFormat="1" ht="15.6">
      <c r="R92" s="1806"/>
    </row>
  </sheetData>
  <sheetProtection algorithmName="SHA-512" hashValue="vnlPPL6yCOcdWvPxLkV2be5ln2tBFU1jKSLDNbebJFCfo2OAEku4GAR7XDEDZkeTnKyemt7ohvU5UZtAQHjh8g==" saltValue="arFCqI8kQTQZffQtX4gvNw==" spinCount="100000" sheet="1" objects="1" scenarios="1" formatRows="0"/>
  <mergeCells count="38">
    <mergeCell ref="A1:H1"/>
    <mergeCell ref="A3:H3"/>
    <mergeCell ref="A5:D5"/>
    <mergeCell ref="A9:D10"/>
    <mergeCell ref="F9:F13"/>
    <mergeCell ref="H9:H13"/>
    <mergeCell ref="A14:D15"/>
    <mergeCell ref="F14:F18"/>
    <mergeCell ref="H14:H18"/>
    <mergeCell ref="A19:D20"/>
    <mergeCell ref="F19:F23"/>
    <mergeCell ref="H19:H23"/>
    <mergeCell ref="A25:D26"/>
    <mergeCell ref="F25:F29"/>
    <mergeCell ref="H25:H29"/>
    <mergeCell ref="A31:D32"/>
    <mergeCell ref="F31:F35"/>
    <mergeCell ref="H31:H35"/>
    <mergeCell ref="A36:D37"/>
    <mergeCell ref="F36:F40"/>
    <mergeCell ref="H36:H40"/>
    <mergeCell ref="A42:D43"/>
    <mergeCell ref="F42:F46"/>
    <mergeCell ref="H42:H46"/>
    <mergeCell ref="A77:D78"/>
    <mergeCell ref="F77:F81"/>
    <mergeCell ref="H77:H81"/>
    <mergeCell ref="A48:D49"/>
    <mergeCell ref="F48:F52"/>
    <mergeCell ref="A54:D55"/>
    <mergeCell ref="F54:F58"/>
    <mergeCell ref="A59:D60"/>
    <mergeCell ref="F59:F63"/>
    <mergeCell ref="A65:D66"/>
    <mergeCell ref="F65:F69"/>
    <mergeCell ref="A71:D72"/>
    <mergeCell ref="F71:F75"/>
    <mergeCell ref="H71:H75"/>
  </mergeCells>
  <printOptions horizontalCentered="1"/>
  <pageMargins left="0.25" right="0.25" top="0.6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 &amp;P of &amp;N</oddFooter>
  </headerFooter>
  <rowBreaks count="3" manualBreakCount="3">
    <brk id="23" max="16383" man="1"/>
    <brk id="46" max="16383" man="1"/>
    <brk id="6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A50D-411E-4C44-A948-262DCBBB2A33}">
  <sheetPr codeName="Sheet20">
    <pageSetUpPr fitToPage="1"/>
  </sheetPr>
  <dimension ref="A1:AA56"/>
  <sheetViews>
    <sheetView showGridLines="0" zoomScale="71" workbookViewId="0">
      <selection activeCell="J15" sqref="J15"/>
    </sheetView>
  </sheetViews>
  <sheetFormatPr defaultColWidth="8.77734375" defaultRowHeight="13.2"/>
  <cols>
    <col min="1" max="1" width="2.21875" customWidth="1"/>
    <col min="3" max="3" width="12.44140625" customWidth="1"/>
    <col min="4" max="4" width="12.77734375" customWidth="1"/>
    <col min="5" max="5" width="9.44140625" customWidth="1"/>
    <col min="6" max="7" width="9.77734375" customWidth="1"/>
    <col min="8" max="8" width="8.21875" customWidth="1"/>
    <col min="9" max="13" width="10.77734375" customWidth="1"/>
    <col min="14" max="14" width="3" customWidth="1"/>
    <col min="27" max="27" width="8.77734375" style="1744"/>
  </cols>
  <sheetData>
    <row r="1" spans="1:27" s="4" customFormat="1" ht="14.1" customHeight="1">
      <c r="A1" s="3708" t="str">
        <f>CONCATENATE("PART FOUR - UTILITY ALLOWANCES","  -  ",'Part I-Project Identification'!$O$7," ",'Part I-Project Identification'!$F$27,", ",'Part I-Project Identification'!F28,", ",'Part I-Project Identification'!J28," County")</f>
        <v>PART FOUR - UTILITY ALLOWANCES  -  2026-0xx The Groves, Tifton, Tift County</v>
      </c>
      <c r="B1" s="3709"/>
      <c r="C1" s="3709"/>
      <c r="D1" s="3709"/>
      <c r="E1" s="3709"/>
      <c r="F1" s="3709"/>
      <c r="G1" s="3709"/>
      <c r="H1" s="3709"/>
      <c r="I1" s="3709"/>
      <c r="J1" s="3709"/>
      <c r="K1" s="3709"/>
      <c r="L1" s="3709"/>
      <c r="M1" s="3709"/>
      <c r="N1" s="3"/>
      <c r="O1" s="3"/>
      <c r="P1" s="3"/>
      <c r="Q1" s="3"/>
      <c r="R1" s="77"/>
      <c r="S1" s="77"/>
      <c r="T1" s="77"/>
      <c r="U1" s="77"/>
      <c r="V1" s="77"/>
      <c r="W1" s="77"/>
      <c r="X1" s="77"/>
      <c r="Y1" s="77"/>
      <c r="Z1" s="77"/>
      <c r="AA1" s="1798">
        <v>1</v>
      </c>
    </row>
    <row r="2" spans="1:27" s="4" customFormat="1" ht="7.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1798">
        <v>2</v>
      </c>
    </row>
    <row r="3" spans="1:27" s="4" customFormat="1" ht="12.75" customHeight="1">
      <c r="A3" s="77"/>
      <c r="B3" s="3710" t="str">
        <f>'Part I-Project Identification'!$A$6</f>
        <v>May XX, 2026</v>
      </c>
      <c r="C3" s="3710"/>
      <c r="D3" s="3710"/>
      <c r="E3" s="3710"/>
      <c r="F3" s="3" t="s">
        <v>760</v>
      </c>
      <c r="G3" s="77"/>
      <c r="H3" s="77"/>
      <c r="I3" s="3711" t="s">
        <v>4855</v>
      </c>
      <c r="J3" s="3712"/>
      <c r="K3" s="77"/>
      <c r="L3" s="77"/>
      <c r="M3" s="77"/>
      <c r="N3" s="77"/>
      <c r="O3" s="77"/>
      <c r="P3" s="77"/>
      <c r="Q3" s="77"/>
      <c r="R3" s="77"/>
      <c r="S3" s="77"/>
      <c r="T3" s="77"/>
      <c r="U3" s="77"/>
      <c r="V3" s="77"/>
      <c r="W3" s="77"/>
      <c r="X3" s="77"/>
      <c r="Y3" s="77"/>
      <c r="Z3" s="77"/>
      <c r="AA3" s="1798">
        <v>3</v>
      </c>
    </row>
    <row r="4" spans="1:27" s="4" customFormat="1" ht="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1798">
        <v>4</v>
      </c>
    </row>
    <row r="5" spans="1:27" ht="13.8">
      <c r="A5" s="129" t="s">
        <v>761</v>
      </c>
      <c r="O5" s="604"/>
      <c r="P5" s="604"/>
      <c r="Q5" s="604"/>
      <c r="R5" s="604"/>
      <c r="S5" s="604"/>
      <c r="T5" s="604"/>
      <c r="U5" s="604"/>
      <c r="V5" s="280"/>
      <c r="W5" s="280"/>
      <c r="X5" s="280"/>
      <c r="Y5" s="280"/>
      <c r="AA5" s="1798">
        <v>5</v>
      </c>
    </row>
    <row r="6" spans="1:27" ht="6" customHeight="1">
      <c r="A6" s="77"/>
      <c r="O6" s="604"/>
      <c r="P6" s="604"/>
      <c r="Q6" s="604"/>
      <c r="R6" s="604"/>
      <c r="S6" s="604"/>
      <c r="T6" s="604"/>
      <c r="U6" s="604"/>
      <c r="V6" s="280"/>
      <c r="W6" s="280"/>
      <c r="X6" s="280"/>
      <c r="Y6" s="280"/>
      <c r="AA6" s="1798">
        <v>6</v>
      </c>
    </row>
    <row r="7" spans="1:27" s="4" customFormat="1" ht="13.5" customHeight="1">
      <c r="A7" s="6" t="s">
        <v>21</v>
      </c>
      <c r="B7" s="6" t="s">
        <v>762</v>
      </c>
      <c r="C7" s="77"/>
      <c r="D7" s="77"/>
      <c r="E7" s="77"/>
      <c r="F7" s="43" t="s">
        <v>763</v>
      </c>
      <c r="G7" s="43"/>
      <c r="H7" s="43"/>
      <c r="I7" s="3701" t="s">
        <v>7677</v>
      </c>
      <c r="J7" s="3702"/>
      <c r="K7" s="3702"/>
      <c r="L7" s="3702"/>
      <c r="M7" s="3703"/>
      <c r="N7" s="77"/>
      <c r="O7" s="604"/>
      <c r="P7" s="604"/>
      <c r="Q7" s="604"/>
      <c r="R7" s="604"/>
      <c r="S7" s="604"/>
      <c r="T7" s="604"/>
      <c r="U7" s="604"/>
      <c r="V7" s="280"/>
      <c r="W7" s="280"/>
      <c r="X7" s="280"/>
      <c r="Y7" s="280"/>
      <c r="Z7" s="77"/>
      <c r="AA7" s="1798">
        <v>7</v>
      </c>
    </row>
    <row r="8" spans="1:27" s="4" customFormat="1" ht="13.35" customHeight="1">
      <c r="A8" s="6"/>
      <c r="B8" s="77"/>
      <c r="C8" s="77"/>
      <c r="D8" s="77"/>
      <c r="E8" s="77"/>
      <c r="F8" s="43" t="s">
        <v>764</v>
      </c>
      <c r="G8" s="43"/>
      <c r="H8" s="11"/>
      <c r="I8" s="3704">
        <v>46023</v>
      </c>
      <c r="J8" s="3705"/>
      <c r="K8" s="32" t="s">
        <v>765</v>
      </c>
      <c r="L8" s="3706" t="s">
        <v>1259</v>
      </c>
      <c r="M8" s="3707"/>
      <c r="N8" s="77"/>
      <c r="O8" s="604"/>
      <c r="P8" s="604"/>
      <c r="Q8" s="604"/>
      <c r="R8" s="604"/>
      <c r="S8" s="604"/>
      <c r="T8" s="604"/>
      <c r="U8" s="604"/>
      <c r="V8" s="280"/>
      <c r="W8" s="280"/>
      <c r="X8" s="280"/>
      <c r="Y8" s="280"/>
      <c r="Z8" s="77"/>
      <c r="AA8" s="1798">
        <v>8</v>
      </c>
    </row>
    <row r="9" spans="1:27" s="4" customFormat="1" ht="4.5" customHeight="1">
      <c r="A9" s="6"/>
      <c r="B9" s="77"/>
      <c r="C9" s="77"/>
      <c r="D9" s="77"/>
      <c r="E9" s="77"/>
      <c r="F9" s="77"/>
      <c r="G9" s="77"/>
      <c r="H9" s="77"/>
      <c r="I9" s="77"/>
      <c r="J9" s="77"/>
      <c r="K9" s="77"/>
      <c r="L9" s="77"/>
      <c r="M9" s="77"/>
      <c r="N9" s="77"/>
      <c r="O9" s="604"/>
      <c r="P9" s="604"/>
      <c r="Q9" s="604"/>
      <c r="R9" s="604"/>
      <c r="S9" s="604"/>
      <c r="T9" s="604"/>
      <c r="U9" s="604"/>
      <c r="V9" s="280"/>
      <c r="W9" s="280"/>
      <c r="X9" s="280"/>
      <c r="Y9" s="280"/>
      <c r="Z9" s="77"/>
      <c r="AA9" s="1798">
        <v>9</v>
      </c>
    </row>
    <row r="10" spans="1:27" s="6" customFormat="1" ht="13.5" customHeight="1">
      <c r="F10" s="3700" t="s">
        <v>766</v>
      </c>
      <c r="G10" s="3700"/>
      <c r="I10" s="3700" t="s">
        <v>767</v>
      </c>
      <c r="J10" s="3700"/>
      <c r="K10" s="3700"/>
      <c r="L10" s="3700"/>
      <c r="M10" s="3700"/>
      <c r="O10" s="604"/>
      <c r="P10" s="604"/>
      <c r="Q10" s="604"/>
      <c r="R10" s="604"/>
      <c r="S10" s="604"/>
      <c r="T10" s="604"/>
      <c r="U10" s="604"/>
      <c r="AA10" s="1798">
        <v>10</v>
      </c>
    </row>
    <row r="11" spans="1:27" s="6" customFormat="1" ht="13.5" customHeight="1">
      <c r="B11" s="6" t="s">
        <v>768</v>
      </c>
      <c r="D11" s="6" t="s">
        <v>769</v>
      </c>
      <c r="F11" s="9" t="s">
        <v>770</v>
      </c>
      <c r="G11" s="9" t="s">
        <v>771</v>
      </c>
      <c r="I11" s="127" t="s">
        <v>772</v>
      </c>
      <c r="J11" s="127">
        <v>1</v>
      </c>
      <c r="K11" s="127">
        <v>2</v>
      </c>
      <c r="L11" s="127">
        <v>3</v>
      </c>
      <c r="M11" s="127">
        <v>4</v>
      </c>
      <c r="O11" s="604"/>
      <c r="P11" s="604"/>
      <c r="Q11" s="604"/>
      <c r="R11" s="604"/>
      <c r="S11" s="604"/>
      <c r="T11" s="604"/>
      <c r="U11" s="604"/>
      <c r="AA11" s="1798">
        <v>11</v>
      </c>
    </row>
    <row r="12" spans="1:27" s="4" customFormat="1" ht="12" customHeight="1">
      <c r="A12" s="77"/>
      <c r="B12" s="2697" t="s">
        <v>773</v>
      </c>
      <c r="C12" s="2698"/>
      <c r="D12" s="3698" t="s">
        <v>1327</v>
      </c>
      <c r="E12" s="3699"/>
      <c r="F12" s="2699" t="s">
        <v>1744</v>
      </c>
      <c r="G12" s="2699"/>
      <c r="H12" s="2700"/>
      <c r="I12" s="2701"/>
      <c r="J12" s="2701">
        <v>11</v>
      </c>
      <c r="K12" s="2701">
        <v>13</v>
      </c>
      <c r="L12" s="2701">
        <v>17</v>
      </c>
      <c r="M12" s="2701"/>
      <c r="N12" s="77"/>
      <c r="O12" s="604"/>
      <c r="P12" s="604"/>
      <c r="Q12" s="604"/>
      <c r="R12" s="604"/>
      <c r="S12" s="604"/>
      <c r="T12" s="604"/>
      <c r="U12" s="604"/>
      <c r="V12" s="77"/>
      <c r="W12" s="77"/>
      <c r="X12" s="77"/>
      <c r="Y12" s="77"/>
      <c r="Z12" s="77"/>
      <c r="AA12" s="1798">
        <v>12</v>
      </c>
    </row>
    <row r="13" spans="1:27" s="4" customFormat="1" ht="12" customHeight="1">
      <c r="A13" s="77"/>
      <c r="B13" s="871" t="s">
        <v>774</v>
      </c>
      <c r="C13" s="2344"/>
      <c r="D13" s="3686" t="s">
        <v>778</v>
      </c>
      <c r="E13" s="3687"/>
      <c r="F13" s="130" t="s">
        <v>1744</v>
      </c>
      <c r="G13" s="130"/>
      <c r="H13" s="2345"/>
      <c r="I13" s="869"/>
      <c r="J13" s="869">
        <v>8</v>
      </c>
      <c r="K13" s="869">
        <v>11</v>
      </c>
      <c r="L13" s="2346">
        <v>13</v>
      </c>
      <c r="M13" s="2346"/>
      <c r="N13" s="77"/>
      <c r="O13" s="3697" t="s">
        <v>775</v>
      </c>
      <c r="P13" s="3697"/>
      <c r="Q13" s="3697"/>
      <c r="R13" s="3697"/>
      <c r="S13" s="3697"/>
      <c r="T13" s="77"/>
      <c r="U13" s="77"/>
      <c r="V13" s="77"/>
      <c r="W13" s="77"/>
      <c r="X13" s="77"/>
      <c r="Y13" s="77"/>
      <c r="Z13" s="77"/>
      <c r="AA13" s="1798">
        <v>13</v>
      </c>
    </row>
    <row r="14" spans="1:27" s="4" customFormat="1" ht="12" customHeight="1">
      <c r="A14" s="77"/>
      <c r="B14" s="872" t="s">
        <v>776</v>
      </c>
      <c r="C14" s="2347"/>
      <c r="D14" s="3686" t="s">
        <v>1327</v>
      </c>
      <c r="E14" s="3687"/>
      <c r="F14" s="130" t="s">
        <v>1744</v>
      </c>
      <c r="G14" s="130"/>
      <c r="H14" s="2348"/>
      <c r="I14" s="869"/>
      <c r="J14" s="869">
        <v>6</v>
      </c>
      <c r="K14" s="869">
        <v>8</v>
      </c>
      <c r="L14" s="2346">
        <v>10</v>
      </c>
      <c r="M14" s="2346"/>
      <c r="N14" s="77"/>
      <c r="O14" s="3697"/>
      <c r="P14" s="3697"/>
      <c r="Q14" s="3697"/>
      <c r="R14" s="3697"/>
      <c r="S14" s="3697"/>
      <c r="T14" s="77"/>
      <c r="U14" s="77"/>
      <c r="V14" s="77"/>
      <c r="W14" s="77"/>
      <c r="X14" s="77"/>
      <c r="Y14" s="77"/>
      <c r="Z14" s="77"/>
      <c r="AA14" s="1798">
        <v>14</v>
      </c>
    </row>
    <row r="15" spans="1:27" s="4" customFormat="1" ht="12" customHeight="1">
      <c r="A15" s="77"/>
      <c r="B15" s="873" t="s">
        <v>777</v>
      </c>
      <c r="C15" s="2349"/>
      <c r="D15" s="873" t="s">
        <v>778</v>
      </c>
      <c r="E15" s="2350"/>
      <c r="F15" s="130" t="s">
        <v>1744</v>
      </c>
      <c r="G15" s="130"/>
      <c r="H15" s="2351"/>
      <c r="I15" s="869"/>
      <c r="J15" s="869">
        <v>11</v>
      </c>
      <c r="K15" s="869">
        <v>14</v>
      </c>
      <c r="L15" s="2346">
        <v>18</v>
      </c>
      <c r="M15" s="2346"/>
      <c r="N15" s="77"/>
      <c r="O15" s="3697"/>
      <c r="P15" s="3697"/>
      <c r="Q15" s="3697"/>
      <c r="R15" s="3697"/>
      <c r="S15" s="3697"/>
      <c r="T15" s="77"/>
      <c r="U15" s="77"/>
      <c r="V15" s="77"/>
      <c r="W15" s="77"/>
      <c r="X15" s="77"/>
      <c r="Y15" s="77"/>
      <c r="Z15" s="77"/>
      <c r="AA15" s="1798">
        <v>15</v>
      </c>
    </row>
    <row r="16" spans="1:27" s="4" customFormat="1" ht="12" customHeight="1">
      <c r="A16" s="77"/>
      <c r="B16" s="874" t="s">
        <v>779</v>
      </c>
      <c r="C16" s="2344"/>
      <c r="D16" s="871" t="s">
        <v>778</v>
      </c>
      <c r="E16" s="2352"/>
      <c r="F16" s="130"/>
      <c r="G16" s="130" t="s">
        <v>1744</v>
      </c>
      <c r="H16" s="2345"/>
      <c r="I16" s="869"/>
      <c r="J16" s="869"/>
      <c r="K16" s="869"/>
      <c r="L16" s="2346"/>
      <c r="M16" s="2346"/>
      <c r="N16" s="77"/>
      <c r="O16" s="3697"/>
      <c r="P16" s="3697"/>
      <c r="Q16" s="3697"/>
      <c r="R16" s="3697"/>
      <c r="S16" s="3697"/>
      <c r="T16" s="77"/>
      <c r="U16" s="77"/>
      <c r="V16" s="77"/>
      <c r="W16" s="77"/>
      <c r="X16" s="77"/>
      <c r="Y16" s="77"/>
      <c r="Z16" s="77"/>
      <c r="AA16" s="1798">
        <v>16</v>
      </c>
    </row>
    <row r="17" spans="1:27" s="4" customFormat="1" ht="12" customHeight="1">
      <c r="A17" s="77"/>
      <c r="B17" s="874" t="s">
        <v>780</v>
      </c>
      <c r="C17" s="2344"/>
      <c r="D17" s="871" t="s">
        <v>778</v>
      </c>
      <c r="E17" s="2352"/>
      <c r="F17" s="130"/>
      <c r="G17" s="130" t="s">
        <v>1744</v>
      </c>
      <c r="H17" s="2345"/>
      <c r="I17" s="869"/>
      <c r="J17" s="869"/>
      <c r="K17" s="869"/>
      <c r="L17" s="2346"/>
      <c r="M17" s="2346"/>
      <c r="N17" s="77"/>
      <c r="O17" s="3697"/>
      <c r="P17" s="3697"/>
      <c r="Q17" s="3697"/>
      <c r="R17" s="3697"/>
      <c r="S17" s="3697"/>
      <c r="T17" s="77"/>
      <c r="U17" s="77"/>
      <c r="V17" s="77"/>
      <c r="W17" s="77"/>
      <c r="X17" s="77"/>
      <c r="Y17" s="77"/>
      <c r="Z17" s="77"/>
      <c r="AA17" s="1798">
        <v>17</v>
      </c>
    </row>
    <row r="18" spans="1:27" s="4" customFormat="1" ht="12" customHeight="1">
      <c r="A18" s="77"/>
      <c r="B18" s="875" t="s">
        <v>781</v>
      </c>
      <c r="C18" s="2347"/>
      <c r="D18" s="872" t="s">
        <v>778</v>
      </c>
      <c r="E18" s="2353"/>
      <c r="F18" s="130" t="s">
        <v>1744</v>
      </c>
      <c r="G18" s="130"/>
      <c r="H18" s="2348"/>
      <c r="I18" s="869"/>
      <c r="J18" s="869">
        <v>24</v>
      </c>
      <c r="K18" s="869">
        <v>31</v>
      </c>
      <c r="L18" s="2346">
        <v>37</v>
      </c>
      <c r="M18" s="2346"/>
      <c r="N18" s="77"/>
      <c r="O18" s="3697"/>
      <c r="P18" s="3697"/>
      <c r="Q18" s="3697"/>
      <c r="R18" s="3697"/>
      <c r="S18" s="3697"/>
      <c r="T18" s="77"/>
      <c r="U18" s="77"/>
      <c r="V18" s="77"/>
      <c r="W18" s="77"/>
      <c r="X18" s="77"/>
      <c r="Y18" s="77"/>
      <c r="Z18" s="77"/>
      <c r="AA18" s="1798">
        <v>18</v>
      </c>
    </row>
    <row r="19" spans="1:27" s="4" customFormat="1" ht="12" customHeight="1">
      <c r="A19" s="77"/>
      <c r="B19" s="873" t="s">
        <v>782</v>
      </c>
      <c r="C19" s="2349"/>
      <c r="D19" s="877" t="s">
        <v>783</v>
      </c>
      <c r="E19" s="2702" t="s">
        <v>7444</v>
      </c>
      <c r="F19" s="130" t="s">
        <v>1744</v>
      </c>
      <c r="G19" s="130"/>
      <c r="H19" s="2351"/>
      <c r="I19" s="869"/>
      <c r="J19" s="869">
        <v>48</v>
      </c>
      <c r="K19" s="869">
        <v>61</v>
      </c>
      <c r="L19" s="2346">
        <v>76</v>
      </c>
      <c r="M19" s="2346"/>
      <c r="N19" s="77"/>
      <c r="O19" s="3697"/>
      <c r="P19" s="3697"/>
      <c r="Q19" s="3697"/>
      <c r="R19" s="3697"/>
      <c r="S19" s="3697"/>
      <c r="T19" s="77"/>
      <c r="U19" s="77"/>
      <c r="V19" s="77"/>
      <c r="W19" s="77"/>
      <c r="X19" s="77"/>
      <c r="Y19" s="77"/>
      <c r="Z19" s="77"/>
      <c r="AA19" s="1798">
        <v>19</v>
      </c>
    </row>
    <row r="20" spans="1:27" s="4" customFormat="1" ht="12" customHeight="1">
      <c r="A20" s="77"/>
      <c r="B20" s="876" t="s">
        <v>784</v>
      </c>
      <c r="C20" s="2354"/>
      <c r="D20" s="128"/>
      <c r="E20" s="2355"/>
      <c r="F20" s="130"/>
      <c r="G20" s="130" t="s">
        <v>1744</v>
      </c>
      <c r="H20" s="2348"/>
      <c r="I20" s="869"/>
      <c r="J20" s="869"/>
      <c r="K20" s="869"/>
      <c r="L20" s="2346"/>
      <c r="M20" s="2346"/>
      <c r="N20" s="77"/>
      <c r="O20" s="3697"/>
      <c r="P20" s="3697"/>
      <c r="Q20" s="3697"/>
      <c r="R20" s="3697"/>
      <c r="S20" s="3697"/>
      <c r="T20" s="77"/>
      <c r="U20" s="77"/>
      <c r="V20" s="77"/>
      <c r="W20" s="77"/>
      <c r="X20" s="77"/>
      <c r="Y20" s="77"/>
      <c r="Z20" s="77"/>
      <c r="AA20" s="1798">
        <v>20</v>
      </c>
    </row>
    <row r="21" spans="1:27">
      <c r="B21" s="1783" t="s">
        <v>785</v>
      </c>
      <c r="C21" s="126"/>
      <c r="D21" s="126"/>
      <c r="E21" s="126"/>
      <c r="O21" s="3697"/>
      <c r="P21" s="3697"/>
      <c r="Q21" s="3697"/>
      <c r="R21" s="3697"/>
      <c r="S21" s="3697"/>
      <c r="AA21" s="1798">
        <v>21</v>
      </c>
    </row>
    <row r="22" spans="1:27" s="4" customFormat="1" ht="12" customHeight="1">
      <c r="A22" s="77"/>
      <c r="B22" s="1781" t="s">
        <v>786</v>
      </c>
      <c r="C22" s="2344"/>
      <c r="D22" s="871" t="s">
        <v>787</v>
      </c>
      <c r="E22" s="2352"/>
      <c r="F22" s="130" t="s">
        <v>1744</v>
      </c>
      <c r="G22" s="130"/>
      <c r="H22" s="2351"/>
      <c r="I22" s="869"/>
      <c r="J22" s="869">
        <v>45</v>
      </c>
      <c r="K22" s="869">
        <v>45</v>
      </c>
      <c r="L22" s="2346">
        <v>45</v>
      </c>
      <c r="M22" s="2346"/>
      <c r="N22" s="77"/>
      <c r="O22" s="3697"/>
      <c r="P22" s="3697"/>
      <c r="Q22" s="3697"/>
      <c r="R22" s="3697"/>
      <c r="S22" s="3697"/>
      <c r="T22" s="77"/>
      <c r="U22" s="77"/>
      <c r="V22" s="77"/>
      <c r="W22" s="77"/>
      <c r="X22" s="77"/>
      <c r="Y22" s="77"/>
      <c r="Z22" s="77"/>
      <c r="AA22" s="1798">
        <v>22</v>
      </c>
    </row>
    <row r="23" spans="1:27" s="4" customFormat="1" ht="12" customHeight="1">
      <c r="A23" s="77"/>
      <c r="B23" s="1785" t="s">
        <v>788</v>
      </c>
      <c r="C23" s="2347"/>
      <c r="D23" s="872" t="s">
        <v>778</v>
      </c>
      <c r="E23" s="2352"/>
      <c r="F23" s="130" t="s">
        <v>1744</v>
      </c>
      <c r="G23" s="130"/>
      <c r="H23" s="2348"/>
      <c r="I23" s="869"/>
      <c r="J23" s="869">
        <v>22</v>
      </c>
      <c r="K23" s="869">
        <v>22</v>
      </c>
      <c r="L23" s="2346">
        <v>22</v>
      </c>
      <c r="M23" s="2346"/>
      <c r="N23" s="77"/>
      <c r="O23" s="3697"/>
      <c r="P23" s="3697"/>
      <c r="Q23" s="3697"/>
      <c r="R23" s="3697"/>
      <c r="S23" s="3697"/>
      <c r="T23" s="77"/>
      <c r="U23" s="77"/>
      <c r="V23" s="77"/>
      <c r="W23" s="77"/>
      <c r="X23" s="77"/>
      <c r="Y23" s="77"/>
      <c r="Z23" s="77"/>
      <c r="AA23" s="1798">
        <v>23</v>
      </c>
    </row>
    <row r="24" spans="1:27" s="4" customFormat="1" ht="12" customHeight="1">
      <c r="A24" s="77"/>
      <c r="B24" s="876" t="s">
        <v>436</v>
      </c>
      <c r="C24" s="3688"/>
      <c r="D24" s="3689"/>
      <c r="E24" s="3690"/>
      <c r="F24" s="131"/>
      <c r="G24" s="131"/>
      <c r="H24" s="2356"/>
      <c r="I24" s="870"/>
      <c r="J24" s="870"/>
      <c r="K24" s="870"/>
      <c r="L24" s="2357"/>
      <c r="M24" s="2357"/>
      <c r="N24" s="77"/>
      <c r="O24" s="3697"/>
      <c r="P24" s="3697"/>
      <c r="Q24" s="3697"/>
      <c r="R24" s="3697"/>
      <c r="S24" s="3697"/>
      <c r="T24" s="77"/>
      <c r="U24" s="77"/>
      <c r="V24" s="77"/>
      <c r="W24" s="77"/>
      <c r="X24" s="77"/>
      <c r="Y24" s="77"/>
      <c r="Z24" s="77"/>
      <c r="AA24" s="1798">
        <v>24</v>
      </c>
    </row>
    <row r="25" spans="1:27" s="4" customFormat="1">
      <c r="A25" s="77"/>
      <c r="B25" s="6" t="s">
        <v>789</v>
      </c>
      <c r="C25" s="77"/>
      <c r="D25"/>
      <c r="E25"/>
      <c r="F25" s="34"/>
      <c r="G25" s="34"/>
      <c r="H25" s="77"/>
      <c r="I25" s="2542">
        <f>IF(SUM(I12:I24)=0,0,IF(OR($D12="&lt;&lt;Select Fuel &gt;&gt;",$D13="&lt;&lt;Select Fuel &gt;&gt;",$D14="&lt;&lt;Select Fuel &gt;&gt;"),"Select Fuel",IF($E19="&lt;Select&gt;","Submeter?",SUM(I12:I24))))</f>
        <v>0</v>
      </c>
      <c r="J25" s="2542">
        <f>IF(SUM(J12:J24)=0,0,IF(OR($D12="&lt;&lt;Select Fuel &gt;&gt;",$D13="&lt;&lt;Select Fuel &gt;&gt;",$D14="&lt;&lt;Select Fuel &gt;&gt;"),"Select Fuel",IF($E19="&lt;Select&gt;","Submeter?",SUM(J12:J24))))</f>
        <v>175</v>
      </c>
      <c r="K25" s="2542">
        <f>IF(SUM(K12:K24)=0,0,IF(OR($D12="&lt;&lt;Select Fuel &gt;&gt;",$D13="&lt;&lt;Select Fuel &gt;&gt;",$D14="&lt;&lt;Select Fuel &gt;&gt;"),"Select Fuel",IF($E19="&lt;Select&gt;","Submeter?",SUM(K12:K24))))</f>
        <v>205</v>
      </c>
      <c r="L25" s="2542">
        <f>IF(SUM(L12:L24)=0,0,IF(OR($D12="&lt;&lt;Select Fuel &gt;&gt;",$D13="&lt;&lt;Select Fuel &gt;&gt;",$D14="&lt;&lt;Select Fuel &gt;&gt;"),"Select Fuel",IF($E19="&lt;Select&gt;","Submeter?",SUM(L12:L24))))</f>
        <v>238</v>
      </c>
      <c r="M25" s="2542">
        <f>IF(SUM(M12:M24)=0,0,IF(OR($D12="&lt;&lt;Select Fuel &gt;&gt;",$D13="&lt;&lt;Select Fuel &gt;&gt;",$D14="&lt;&lt;Select Fuel &gt;&gt;"),"Select Fuel",IF($E19="&lt;Select&gt;","Submeter?",SUM(M12:M24))))</f>
        <v>0</v>
      </c>
      <c r="N25" s="77"/>
      <c r="O25" s="77"/>
      <c r="P25" s="77"/>
      <c r="Q25" s="77"/>
      <c r="R25" s="77"/>
      <c r="S25" s="77"/>
      <c r="T25" s="77"/>
      <c r="U25" s="77"/>
      <c r="V25" s="77"/>
      <c r="W25" s="77"/>
      <c r="X25" s="77"/>
      <c r="Y25" s="77"/>
      <c r="Z25" s="77"/>
      <c r="AA25" s="1798">
        <v>25</v>
      </c>
    </row>
    <row r="26" spans="1:27" s="4" customFormat="1" ht="7.5" customHeight="1">
      <c r="A26" s="77"/>
      <c r="B26" s="77"/>
      <c r="C26" s="77"/>
      <c r="D26" s="77"/>
      <c r="E26" s="77"/>
      <c r="F26" s="77"/>
      <c r="G26" s="77"/>
      <c r="H26" s="77"/>
      <c r="I26" s="77"/>
      <c r="J26" s="77"/>
      <c r="K26" s="77"/>
      <c r="L26" s="77"/>
      <c r="M26"/>
      <c r="N26"/>
      <c r="O26" s="604"/>
      <c r="P26" s="604"/>
      <c r="Q26" s="604"/>
      <c r="R26" s="604"/>
      <c r="S26" s="604"/>
      <c r="T26" s="604"/>
      <c r="U26" s="604"/>
      <c r="V26" s="280"/>
      <c r="W26" s="280"/>
      <c r="X26" s="280"/>
      <c r="Y26" s="280"/>
      <c r="Z26" s="77"/>
      <c r="AA26" s="1798">
        <v>26</v>
      </c>
    </row>
    <row r="27" spans="1:27" s="4" customFormat="1" ht="12.75" customHeight="1">
      <c r="A27" s="6" t="s">
        <v>25</v>
      </c>
      <c r="B27" s="6" t="s">
        <v>790</v>
      </c>
      <c r="C27" s="77"/>
      <c r="D27" s="77"/>
      <c r="E27" s="77"/>
      <c r="F27" s="43" t="s">
        <v>763</v>
      </c>
      <c r="G27" s="43"/>
      <c r="H27" s="43"/>
      <c r="I27" s="3701"/>
      <c r="J27" s="3702"/>
      <c r="K27" s="3702"/>
      <c r="L27" s="3702"/>
      <c r="M27" s="3703"/>
      <c r="N27" s="77"/>
      <c r="O27" s="604"/>
      <c r="P27" s="604"/>
      <c r="Q27" s="604"/>
      <c r="R27" s="604"/>
      <c r="S27" s="604"/>
      <c r="T27" s="604"/>
      <c r="U27" s="604"/>
      <c r="V27" s="280"/>
      <c r="W27" s="280"/>
      <c r="X27" s="280"/>
      <c r="Y27" s="280"/>
      <c r="Z27" s="77"/>
      <c r="AA27" s="1798">
        <v>27</v>
      </c>
    </row>
    <row r="28" spans="1:27" s="4" customFormat="1" ht="13.35" customHeight="1">
      <c r="A28" s="6"/>
      <c r="B28" s="6"/>
      <c r="C28" s="77"/>
      <c r="D28" s="77"/>
      <c r="E28" s="77"/>
      <c r="F28" s="43" t="s">
        <v>764</v>
      </c>
      <c r="G28" s="43"/>
      <c r="H28" s="11"/>
      <c r="I28" s="3704"/>
      <c r="J28" s="3705"/>
      <c r="K28" s="32" t="s">
        <v>765</v>
      </c>
      <c r="L28" s="3706"/>
      <c r="M28" s="3707"/>
      <c r="N28" s="77"/>
      <c r="O28" s="604"/>
      <c r="P28" s="604"/>
      <c r="Q28" s="604"/>
      <c r="R28" s="604"/>
      <c r="S28" s="604"/>
      <c r="T28" s="604"/>
      <c r="U28" s="604"/>
      <c r="V28" s="280"/>
      <c r="W28" s="280"/>
      <c r="X28" s="280"/>
      <c r="Y28" s="280"/>
      <c r="Z28" s="77"/>
      <c r="AA28" s="1798">
        <v>28</v>
      </c>
    </row>
    <row r="29" spans="1:27" s="4" customFormat="1" ht="4.5" customHeight="1">
      <c r="A29" s="6"/>
      <c r="B29" s="77"/>
      <c r="C29" s="77"/>
      <c r="D29" s="77"/>
      <c r="E29" s="77"/>
      <c r="F29" s="77"/>
      <c r="G29" s="77"/>
      <c r="H29" s="77"/>
      <c r="I29" s="77"/>
      <c r="J29" s="77"/>
      <c r="K29" s="77"/>
      <c r="L29" s="77"/>
      <c r="M29" s="77"/>
      <c r="N29" s="77"/>
      <c r="O29" s="604"/>
      <c r="P29" s="604"/>
      <c r="Q29" s="604"/>
      <c r="R29" s="604"/>
      <c r="S29" s="604"/>
      <c r="T29" s="604"/>
      <c r="U29" s="604"/>
      <c r="V29" s="280"/>
      <c r="W29" s="280"/>
      <c r="X29" s="280"/>
      <c r="Y29" s="280"/>
      <c r="Z29" s="77"/>
      <c r="AA29" s="1798">
        <v>29</v>
      </c>
    </row>
    <row r="30" spans="1:27" s="6" customFormat="1" ht="13.8">
      <c r="F30" s="3700" t="s">
        <v>766</v>
      </c>
      <c r="G30" s="3700"/>
      <c r="I30" s="3700" t="s">
        <v>767</v>
      </c>
      <c r="J30" s="3700"/>
      <c r="K30" s="3700"/>
      <c r="L30" s="3700"/>
      <c r="M30" s="3700"/>
      <c r="O30" s="604"/>
      <c r="P30" s="604"/>
      <c r="Q30" s="604"/>
      <c r="R30" s="604"/>
      <c r="S30" s="604"/>
      <c r="T30" s="604"/>
      <c r="U30" s="604"/>
      <c r="V30" s="280"/>
      <c r="W30" s="280"/>
      <c r="X30" s="280"/>
      <c r="Y30" s="280"/>
      <c r="AA30" s="1798">
        <v>30</v>
      </c>
    </row>
    <row r="31" spans="1:27" s="6" customFormat="1" ht="13.8">
      <c r="B31" s="6" t="s">
        <v>768</v>
      </c>
      <c r="D31" s="6" t="s">
        <v>769</v>
      </c>
      <c r="F31" s="9" t="s">
        <v>770</v>
      </c>
      <c r="G31" s="9" t="s">
        <v>771</v>
      </c>
      <c r="I31" s="127" t="s">
        <v>772</v>
      </c>
      <c r="J31" s="127">
        <v>1</v>
      </c>
      <c r="K31" s="127">
        <v>2</v>
      </c>
      <c r="L31" s="127">
        <v>3</v>
      </c>
      <c r="M31" s="127">
        <v>4</v>
      </c>
      <c r="O31" s="604"/>
      <c r="P31" s="604"/>
      <c r="Q31" s="604"/>
      <c r="R31" s="604"/>
      <c r="S31" s="604"/>
      <c r="T31" s="604"/>
      <c r="U31" s="604"/>
      <c r="AA31" s="1798">
        <v>31</v>
      </c>
    </row>
    <row r="32" spans="1:27" s="4" customFormat="1" ht="12" customHeight="1">
      <c r="A32" s="77"/>
      <c r="B32" s="2697" t="s">
        <v>773</v>
      </c>
      <c r="C32" s="2698"/>
      <c r="D32" s="3698"/>
      <c r="E32" s="3699"/>
      <c r="F32" s="2699"/>
      <c r="G32" s="2699"/>
      <c r="H32" s="2700"/>
      <c r="I32" s="2701"/>
      <c r="J32" s="2701"/>
      <c r="K32" s="2701"/>
      <c r="L32" s="2701"/>
      <c r="M32" s="2701"/>
      <c r="N32" s="77"/>
      <c r="O32" s="604"/>
      <c r="P32" s="604"/>
      <c r="Q32" s="604"/>
      <c r="R32" s="604"/>
      <c r="S32" s="604"/>
      <c r="T32" s="604"/>
      <c r="U32" s="604"/>
      <c r="V32" s="6"/>
      <c r="W32" s="6"/>
      <c r="X32" s="6"/>
      <c r="Y32" s="6"/>
      <c r="Z32" s="77"/>
      <c r="AA32" s="1798">
        <v>32</v>
      </c>
    </row>
    <row r="33" spans="1:27" s="4" customFormat="1" ht="12" customHeight="1">
      <c r="A33" s="77"/>
      <c r="B33" s="871" t="s">
        <v>774</v>
      </c>
      <c r="C33" s="2344"/>
      <c r="D33" s="3686"/>
      <c r="E33" s="3687"/>
      <c r="F33" s="130"/>
      <c r="G33" s="130"/>
      <c r="H33" s="2345"/>
      <c r="I33" s="869"/>
      <c r="J33" s="869"/>
      <c r="K33" s="869"/>
      <c r="L33" s="2346"/>
      <c r="M33" s="2346"/>
      <c r="N33" s="77"/>
      <c r="O33" s="604"/>
      <c r="P33" s="604"/>
      <c r="Q33" s="604"/>
      <c r="R33" s="604"/>
      <c r="S33" s="604"/>
      <c r="T33" s="604"/>
      <c r="U33" s="604"/>
      <c r="V33" s="77"/>
      <c r="W33" s="77"/>
      <c r="X33" s="77"/>
      <c r="Y33" s="77"/>
      <c r="Z33" s="77"/>
      <c r="AA33" s="1798">
        <v>33</v>
      </c>
    </row>
    <row r="34" spans="1:27" s="4" customFormat="1" ht="12" customHeight="1">
      <c r="A34" s="77"/>
      <c r="B34" s="872" t="s">
        <v>776</v>
      </c>
      <c r="C34" s="2347"/>
      <c r="D34" s="3686"/>
      <c r="E34" s="3687"/>
      <c r="F34" s="130"/>
      <c r="G34" s="130"/>
      <c r="H34" s="2348"/>
      <c r="I34" s="869"/>
      <c r="J34" s="869"/>
      <c r="K34" s="869"/>
      <c r="L34" s="2346"/>
      <c r="M34" s="2346"/>
      <c r="N34" s="77"/>
      <c r="O34" s="3697" t="s">
        <v>775</v>
      </c>
      <c r="P34" s="3697"/>
      <c r="Q34" s="3697"/>
      <c r="R34" s="3697"/>
      <c r="S34" s="3697"/>
      <c r="T34" s="77"/>
      <c r="U34" s="77"/>
      <c r="V34" s="77"/>
      <c r="W34" s="77"/>
      <c r="X34" s="77"/>
      <c r="Y34" s="77"/>
      <c r="Z34" s="77"/>
      <c r="AA34" s="1798">
        <v>34</v>
      </c>
    </row>
    <row r="35" spans="1:27" s="4" customFormat="1" ht="12" customHeight="1">
      <c r="A35" s="77"/>
      <c r="B35" s="873" t="s">
        <v>777</v>
      </c>
      <c r="C35" s="2349"/>
      <c r="D35" s="873" t="s">
        <v>778</v>
      </c>
      <c r="E35" s="2350"/>
      <c r="F35" s="130"/>
      <c r="G35" s="130"/>
      <c r="H35" s="2351"/>
      <c r="I35" s="869"/>
      <c r="J35" s="869"/>
      <c r="K35" s="869"/>
      <c r="L35" s="2346"/>
      <c r="M35" s="2346"/>
      <c r="N35" s="77"/>
      <c r="O35" s="3697"/>
      <c r="P35" s="3697"/>
      <c r="Q35" s="3697"/>
      <c r="R35" s="3697"/>
      <c r="S35" s="3697"/>
      <c r="T35" s="77"/>
      <c r="U35" s="77"/>
      <c r="V35" s="77"/>
      <c r="W35" s="77"/>
      <c r="X35" s="77"/>
      <c r="Y35" s="77"/>
      <c r="Z35" s="77"/>
      <c r="AA35" s="1798">
        <v>35</v>
      </c>
    </row>
    <row r="36" spans="1:27" s="4" customFormat="1" ht="12" customHeight="1">
      <c r="A36" s="77"/>
      <c r="B36" s="874" t="s">
        <v>779</v>
      </c>
      <c r="C36" s="2344"/>
      <c r="D36" s="871" t="s">
        <v>778</v>
      </c>
      <c r="E36" s="2352"/>
      <c r="F36" s="130"/>
      <c r="G36" s="130"/>
      <c r="H36" s="2345"/>
      <c r="I36" s="869"/>
      <c r="J36" s="869"/>
      <c r="K36" s="869"/>
      <c r="L36" s="2346"/>
      <c r="M36" s="2346"/>
      <c r="N36" s="77"/>
      <c r="O36" s="3697"/>
      <c r="P36" s="3697"/>
      <c r="Q36" s="3697"/>
      <c r="R36" s="3697"/>
      <c r="S36" s="3697"/>
      <c r="T36" s="77"/>
      <c r="U36" s="77"/>
      <c r="V36" s="77"/>
      <c r="W36" s="77"/>
      <c r="X36" s="77"/>
      <c r="Y36" s="77"/>
      <c r="Z36" s="77"/>
      <c r="AA36" s="1798">
        <v>36</v>
      </c>
    </row>
    <row r="37" spans="1:27" s="4" customFormat="1" ht="12" customHeight="1">
      <c r="A37" s="77"/>
      <c r="B37" s="874" t="s">
        <v>780</v>
      </c>
      <c r="C37" s="2344"/>
      <c r="D37" s="871" t="s">
        <v>778</v>
      </c>
      <c r="E37" s="2352"/>
      <c r="F37" s="130"/>
      <c r="G37" s="130"/>
      <c r="H37" s="2345"/>
      <c r="I37" s="869"/>
      <c r="J37" s="869"/>
      <c r="K37" s="869"/>
      <c r="L37" s="2346"/>
      <c r="M37" s="2346"/>
      <c r="N37" s="77"/>
      <c r="O37" s="3697"/>
      <c r="P37" s="3697"/>
      <c r="Q37" s="3697"/>
      <c r="R37" s="3697"/>
      <c r="S37" s="3697"/>
      <c r="T37" s="77"/>
      <c r="U37" s="77"/>
      <c r="V37" s="77"/>
      <c r="W37" s="77"/>
      <c r="X37" s="77"/>
      <c r="Y37" s="77"/>
      <c r="Z37" s="77"/>
      <c r="AA37" s="1798">
        <v>37</v>
      </c>
    </row>
    <row r="38" spans="1:27" s="4" customFormat="1" ht="12" customHeight="1">
      <c r="A38" s="77"/>
      <c r="B38" s="875" t="s">
        <v>781</v>
      </c>
      <c r="C38" s="2347"/>
      <c r="D38" s="872" t="s">
        <v>778</v>
      </c>
      <c r="E38" s="2352"/>
      <c r="F38" s="130"/>
      <c r="G38" s="130"/>
      <c r="H38" s="2348"/>
      <c r="I38" s="869"/>
      <c r="J38" s="869"/>
      <c r="K38" s="869"/>
      <c r="L38" s="2346"/>
      <c r="M38" s="2346"/>
      <c r="N38" s="77"/>
      <c r="O38" s="3697"/>
      <c r="P38" s="3697"/>
      <c r="Q38" s="3697"/>
      <c r="R38" s="3697"/>
      <c r="S38" s="3697"/>
      <c r="T38" s="77"/>
      <c r="U38" s="77"/>
      <c r="V38" s="77"/>
      <c r="W38" s="77"/>
      <c r="X38" s="77"/>
      <c r="Y38" s="77"/>
      <c r="Z38" s="77"/>
      <c r="AA38" s="1798">
        <v>38</v>
      </c>
    </row>
    <row r="39" spans="1:27" s="4" customFormat="1" ht="12" customHeight="1">
      <c r="A39" s="77"/>
      <c r="B39" s="873" t="s">
        <v>782</v>
      </c>
      <c r="C39" s="2349"/>
      <c r="D39" s="877" t="s">
        <v>783</v>
      </c>
      <c r="E39" s="2702"/>
      <c r="F39" s="130"/>
      <c r="G39" s="130"/>
      <c r="H39" s="2351"/>
      <c r="I39" s="869"/>
      <c r="J39" s="869"/>
      <c r="K39" s="869"/>
      <c r="L39" s="2346"/>
      <c r="M39" s="2346"/>
      <c r="N39" s="77"/>
      <c r="O39" s="3697"/>
      <c r="P39" s="3697"/>
      <c r="Q39" s="3697"/>
      <c r="R39" s="3697"/>
      <c r="S39" s="3697"/>
      <c r="T39" s="77"/>
      <c r="U39" s="77"/>
      <c r="V39" s="77"/>
      <c r="W39" s="77"/>
      <c r="X39" s="77"/>
      <c r="Y39" s="77"/>
      <c r="Z39" s="77"/>
      <c r="AA39" s="1798">
        <v>39</v>
      </c>
    </row>
    <row r="40" spans="1:27" s="4" customFormat="1" ht="12" customHeight="1">
      <c r="A40" s="77"/>
      <c r="B40" s="876" t="s">
        <v>784</v>
      </c>
      <c r="C40" s="2354"/>
      <c r="D40" s="128"/>
      <c r="E40" s="2355"/>
      <c r="F40" s="130"/>
      <c r="G40" s="130"/>
      <c r="H40" s="2348"/>
      <c r="I40" s="869"/>
      <c r="J40" s="869"/>
      <c r="K40" s="869"/>
      <c r="L40" s="2346"/>
      <c r="M40" s="2346"/>
      <c r="N40" s="77"/>
      <c r="O40" s="3697"/>
      <c r="P40" s="3697"/>
      <c r="Q40" s="3697"/>
      <c r="R40" s="3697"/>
      <c r="S40" s="3697"/>
      <c r="T40" s="77"/>
      <c r="U40" s="77"/>
      <c r="V40" s="77"/>
      <c r="W40" s="77"/>
      <c r="X40" s="77"/>
      <c r="Y40" s="77"/>
      <c r="Z40" s="77"/>
      <c r="AA40" s="1798">
        <v>40</v>
      </c>
    </row>
    <row r="41" spans="1:27">
      <c r="B41" s="1783" t="s">
        <v>785</v>
      </c>
      <c r="C41" s="126"/>
      <c r="D41" s="126"/>
      <c r="E41" s="126"/>
      <c r="O41" s="3697"/>
      <c r="P41" s="3697"/>
      <c r="Q41" s="3697"/>
      <c r="R41" s="3697"/>
      <c r="S41" s="3697"/>
      <c r="AA41" s="1798">
        <v>41</v>
      </c>
    </row>
    <row r="42" spans="1:27" s="4" customFormat="1" ht="12" customHeight="1">
      <c r="A42" s="77"/>
      <c r="B42" s="1781" t="s">
        <v>791</v>
      </c>
      <c r="C42" s="2344"/>
      <c r="D42" s="871" t="s">
        <v>787</v>
      </c>
      <c r="E42" s="2350"/>
      <c r="F42" s="130"/>
      <c r="G42" s="130"/>
      <c r="H42" s="2351"/>
      <c r="I42" s="869"/>
      <c r="J42" s="869"/>
      <c r="K42" s="869"/>
      <c r="L42" s="2346"/>
      <c r="M42" s="2346"/>
      <c r="N42" s="77"/>
      <c r="O42" s="3697"/>
      <c r="P42" s="3697"/>
      <c r="Q42" s="3697"/>
      <c r="R42" s="3697"/>
      <c r="S42" s="3697"/>
      <c r="T42" s="77"/>
      <c r="U42" s="77"/>
      <c r="V42" s="77"/>
      <c r="W42" s="77"/>
      <c r="X42" s="77"/>
      <c r="Y42" s="77"/>
      <c r="Z42" s="77"/>
      <c r="AA42" s="1798">
        <v>42</v>
      </c>
    </row>
    <row r="43" spans="1:27" s="4" customFormat="1" ht="12" customHeight="1">
      <c r="A43" s="77"/>
      <c r="B43" s="1782" t="s">
        <v>788</v>
      </c>
      <c r="C43" s="2347"/>
      <c r="D43" s="872" t="s">
        <v>778</v>
      </c>
      <c r="E43" s="2352"/>
      <c r="F43" s="130"/>
      <c r="G43" s="130"/>
      <c r="H43" s="2348"/>
      <c r="I43" s="869"/>
      <c r="J43" s="869"/>
      <c r="K43" s="869"/>
      <c r="L43" s="2346"/>
      <c r="M43" s="2346"/>
      <c r="N43" s="77"/>
      <c r="O43" s="3697"/>
      <c r="P43" s="3697"/>
      <c r="Q43" s="3697"/>
      <c r="R43" s="3697"/>
      <c r="S43" s="3697"/>
      <c r="T43" s="77"/>
      <c r="U43" s="77"/>
      <c r="V43" s="77"/>
      <c r="W43" s="77"/>
      <c r="X43" s="77"/>
      <c r="Y43" s="77"/>
      <c r="Z43" s="77"/>
      <c r="AA43" s="1798">
        <v>43</v>
      </c>
    </row>
    <row r="44" spans="1:27" s="4" customFormat="1" ht="12" customHeight="1">
      <c r="A44" s="77"/>
      <c r="B44" s="1786" t="s">
        <v>436</v>
      </c>
      <c r="C44" s="3688"/>
      <c r="D44" s="3689"/>
      <c r="E44" s="3690"/>
      <c r="F44" s="131"/>
      <c r="G44" s="131"/>
      <c r="H44" s="2356"/>
      <c r="I44" s="870"/>
      <c r="J44" s="870"/>
      <c r="K44" s="870"/>
      <c r="L44" s="2357"/>
      <c r="M44" s="2357"/>
      <c r="N44" s="77"/>
      <c r="O44" s="3697"/>
      <c r="P44" s="3697"/>
      <c r="Q44" s="3697"/>
      <c r="R44" s="3697"/>
      <c r="S44" s="3697"/>
      <c r="T44" s="77"/>
      <c r="U44" s="77"/>
      <c r="V44" s="77"/>
      <c r="W44" s="77"/>
      <c r="X44" s="77"/>
      <c r="Y44" s="77"/>
      <c r="Z44" s="77"/>
      <c r="AA44" s="1798">
        <v>44</v>
      </c>
    </row>
    <row r="45" spans="1:27" s="4" customFormat="1">
      <c r="A45" s="77"/>
      <c r="B45" s="6" t="s">
        <v>789</v>
      </c>
      <c r="C45" s="77"/>
      <c r="D45"/>
      <c r="E45"/>
      <c r="F45" s="34"/>
      <c r="G45" s="34"/>
      <c r="H45" s="77"/>
      <c r="I45" s="2542">
        <f>IF(SUM(I32:I44)=0,0,IF(OR($D32="&lt;&lt;Select Fuel &gt;&gt;",$D34="&lt;&lt;Select Fuel &gt;&gt;",$D35="&lt;&lt;Select Fuel &gt;&gt;"),"Select Fuel",IF($E39="&lt;Select&gt;","Submeter?",SUM(I32:I44))))</f>
        <v>0</v>
      </c>
      <c r="J45" s="2542">
        <f>IF(SUM(J32:J44)=0,0,IF(OR($D32="&lt;&lt;Select Fuel &gt;&gt;",$D34="&lt;&lt;Select Fuel &gt;&gt;",$D35="&lt;&lt;Select Fuel &gt;&gt;"),"Select Fuel",IF($E39="&lt;Select&gt;","Submeter?",SUM(J32:J44))))</f>
        <v>0</v>
      </c>
      <c r="K45" s="2542">
        <f>IF(SUM(K32:K44)=0,0,IF(OR($D32="&lt;&lt;Select Fuel &gt;&gt;",$D34="&lt;&lt;Select Fuel &gt;&gt;",$D35="&lt;&lt;Select Fuel &gt;&gt;"),"Select Fuel",IF($E39="&lt;Select&gt;","Submeter?",SUM(K32:K44))))</f>
        <v>0</v>
      </c>
      <c r="L45" s="2542">
        <f>IF(SUM(L32:L44)=0,0,IF(OR($D32="&lt;&lt;Select Fuel &gt;&gt;",$D34="&lt;&lt;Select Fuel &gt;&gt;",$D35="&lt;&lt;Select Fuel &gt;&gt;"),"Select Fuel",IF($E39="&lt;Select&gt;","Submeter?",SUM(L32:L44))))</f>
        <v>0</v>
      </c>
      <c r="M45" s="2542">
        <f>IF(SUM(M32:M44)=0,0,IF(OR($D32="&lt;&lt;Select Fuel &gt;&gt;",$D34="&lt;&lt;Select Fuel &gt;&gt;",$D35="&lt;&lt;Select Fuel &gt;&gt;"),"Select Fuel",IF($E39="&lt;Select&gt;","Submeter?",SUM(M32:M44))))</f>
        <v>0</v>
      </c>
      <c r="N45" s="77"/>
      <c r="O45" s="1784"/>
      <c r="P45" s="1784"/>
      <c r="Q45" s="1784"/>
      <c r="R45" s="77"/>
      <c r="S45" s="77"/>
      <c r="T45" s="77"/>
      <c r="U45" s="77"/>
      <c r="V45" s="77"/>
      <c r="W45" s="77"/>
      <c r="X45" s="77"/>
      <c r="Y45" s="77"/>
      <c r="Z45" s="77"/>
      <c r="AA45" s="1798">
        <v>45</v>
      </c>
    </row>
    <row r="46" spans="1:27" ht="6" customHeight="1">
      <c r="A46" s="77"/>
      <c r="AA46" s="1798">
        <v>46</v>
      </c>
    </row>
    <row r="47" spans="1:27" s="4" customFormat="1">
      <c r="A47" s="77"/>
      <c r="B47" s="25" t="s">
        <v>792</v>
      </c>
      <c r="C47" s="77"/>
      <c r="D47"/>
      <c r="E47"/>
      <c r="F47" s="34"/>
      <c r="G47" s="34"/>
      <c r="H47" s="77"/>
      <c r="I47" s="9"/>
      <c r="J47" s="9"/>
      <c r="K47" s="9"/>
      <c r="L47" s="9"/>
      <c r="M47" s="9"/>
      <c r="N47" s="77"/>
      <c r="O47" s="77"/>
      <c r="P47" s="77"/>
      <c r="Q47" s="77"/>
      <c r="R47" s="77"/>
      <c r="S47" s="77"/>
      <c r="T47" s="77"/>
      <c r="U47" s="77"/>
      <c r="V47" s="77"/>
      <c r="W47" s="77"/>
      <c r="X47" s="77"/>
      <c r="Y47" s="77"/>
      <c r="Z47" s="77"/>
      <c r="AA47" s="1798">
        <v>47</v>
      </c>
    </row>
    <row r="48" spans="1:27" s="4" customFormat="1" ht="12" customHeight="1">
      <c r="A48" s="6"/>
      <c r="B48" s="6" t="s">
        <v>68</v>
      </c>
      <c r="C48" s="77"/>
      <c r="D48" s="77"/>
      <c r="E48" s="77"/>
      <c r="F48" s="77"/>
      <c r="G48" s="77"/>
      <c r="H48" s="77"/>
      <c r="I48" s="77"/>
      <c r="J48" s="77"/>
      <c r="K48" s="77"/>
      <c r="L48" s="77"/>
      <c r="M48"/>
      <c r="N48"/>
      <c r="O48"/>
      <c r="P48"/>
      <c r="Q48"/>
      <c r="R48"/>
      <c r="S48"/>
      <c r="T48" s="77"/>
      <c r="U48" s="77"/>
      <c r="V48" s="77"/>
      <c r="W48" s="77"/>
      <c r="X48" s="77"/>
      <c r="Y48" s="77"/>
      <c r="Z48" s="77"/>
      <c r="AA48" s="1798">
        <v>48</v>
      </c>
    </row>
    <row r="49" spans="1:27" s="4" customFormat="1" ht="24.75" customHeight="1">
      <c r="A49" s="77"/>
      <c r="B49" s="3691"/>
      <c r="C49" s="3692"/>
      <c r="D49" s="3692"/>
      <c r="E49" s="3692"/>
      <c r="F49" s="3692"/>
      <c r="G49" s="3692"/>
      <c r="H49" s="3692"/>
      <c r="I49" s="3692"/>
      <c r="J49" s="3692"/>
      <c r="K49" s="3692"/>
      <c r="L49" s="3692"/>
      <c r="M49" s="3693"/>
      <c r="N49"/>
      <c r="O49" s="3179" t="s">
        <v>289</v>
      </c>
      <c r="P49" s="3179"/>
      <c r="Q49" s="3179"/>
      <c r="R49" s="3179"/>
      <c r="S49" s="3179"/>
      <c r="T49" s="77"/>
      <c r="U49" s="77"/>
      <c r="V49" s="77"/>
      <c r="W49" s="77"/>
      <c r="X49" s="77"/>
      <c r="Y49" s="77"/>
      <c r="Z49" s="77"/>
      <c r="AA49" s="1798">
        <v>49</v>
      </c>
    </row>
    <row r="50" spans="1:27" s="4" customFormat="1" ht="3" customHeight="1">
      <c r="A50" s="77"/>
      <c r="B50" s="77"/>
      <c r="C50" s="77"/>
      <c r="D50" s="77"/>
      <c r="E50" s="77"/>
      <c r="F50" s="77"/>
      <c r="G50" s="77"/>
      <c r="H50" s="77"/>
      <c r="I50" s="77"/>
      <c r="J50" s="77"/>
      <c r="K50" s="77"/>
      <c r="L50" s="77"/>
      <c r="M50"/>
      <c r="N50"/>
      <c r="O50" s="3179"/>
      <c r="P50" s="3179"/>
      <c r="Q50" s="3179"/>
      <c r="R50" s="3179"/>
      <c r="S50" s="3179"/>
      <c r="T50" s="77"/>
      <c r="U50" s="77"/>
      <c r="V50" s="77"/>
      <c r="W50" s="77"/>
      <c r="X50" s="77"/>
      <c r="Y50" s="77"/>
      <c r="Z50" s="77"/>
      <c r="AA50" s="1798">
        <v>50</v>
      </c>
    </row>
    <row r="51" spans="1:27" s="4" customFormat="1" ht="12" customHeight="1">
      <c r="A51" s="6"/>
      <c r="B51" s="6" t="s">
        <v>793</v>
      </c>
      <c r="C51" s="77"/>
      <c r="D51" s="77"/>
      <c r="E51" s="77"/>
      <c r="F51" s="77"/>
      <c r="G51" s="77"/>
      <c r="H51" s="77"/>
      <c r="I51" s="77"/>
      <c r="J51" s="77"/>
      <c r="K51" s="77"/>
      <c r="L51" s="77"/>
      <c r="M51"/>
      <c r="N51"/>
      <c r="O51" s="3179"/>
      <c r="P51" s="3179"/>
      <c r="Q51" s="3179"/>
      <c r="R51" s="3179"/>
      <c r="S51" s="3179"/>
      <c r="T51" s="77"/>
      <c r="U51" s="77"/>
      <c r="V51" s="77"/>
      <c r="W51" s="77"/>
      <c r="X51" s="77"/>
      <c r="Y51" s="77"/>
      <c r="Z51" s="77"/>
      <c r="AA51" s="1798">
        <v>51</v>
      </c>
    </row>
    <row r="52" spans="1:27" s="4" customFormat="1" ht="24.75" customHeight="1">
      <c r="A52" s="77"/>
      <c r="B52" s="3694"/>
      <c r="C52" s="3695"/>
      <c r="D52" s="3695"/>
      <c r="E52" s="3695"/>
      <c r="F52" s="3695"/>
      <c r="G52" s="3695"/>
      <c r="H52" s="3695"/>
      <c r="I52" s="3695"/>
      <c r="J52" s="3695"/>
      <c r="K52" s="3695"/>
      <c r="L52" s="3695"/>
      <c r="M52" s="3696"/>
      <c r="N52"/>
      <c r="O52" s="3179"/>
      <c r="P52" s="3179"/>
      <c r="Q52" s="3179"/>
      <c r="R52" s="3179"/>
      <c r="S52" s="3179"/>
      <c r="T52" s="77"/>
      <c r="U52" s="77"/>
      <c r="V52" s="77"/>
      <c r="W52" s="77"/>
      <c r="X52" s="77"/>
      <c r="Y52" s="77"/>
      <c r="Z52" s="77"/>
      <c r="AA52" s="1798">
        <v>52</v>
      </c>
    </row>
    <row r="53" spans="1:27">
      <c r="AA53" s="1798">
        <v>53</v>
      </c>
    </row>
    <row r="54" spans="1:27">
      <c r="AA54" s="1798">
        <v>54</v>
      </c>
    </row>
    <row r="55" spans="1:27">
      <c r="AA55" s="1798">
        <v>55</v>
      </c>
    </row>
    <row r="56" spans="1:27">
      <c r="AA56" s="1798">
        <v>56</v>
      </c>
    </row>
  </sheetData>
  <sheetProtection algorithmName="SHA-512" hashValue="IGFAKYP6TEbrbUsa/n9TOaMeIx1kj9lYuJdMPSOrBZJf7DWUrfwws84eXRO7DLpFZYOA0MRAlmQ+CEeJAHk5rQ==" saltValue="3f/1U9vdDqza96s7GjJY0g==" spinCount="100000" sheet="1" objects="1" scenarios="1"/>
  <mergeCells count="26">
    <mergeCell ref="O13:S24"/>
    <mergeCell ref="A1:M1"/>
    <mergeCell ref="B3:E3"/>
    <mergeCell ref="I3:J3"/>
    <mergeCell ref="I7:M7"/>
    <mergeCell ref="I8:J8"/>
    <mergeCell ref="L8:M8"/>
    <mergeCell ref="D32:E32"/>
    <mergeCell ref="F10:G10"/>
    <mergeCell ref="I10:M10"/>
    <mergeCell ref="D12:E12"/>
    <mergeCell ref="D13:E13"/>
    <mergeCell ref="I27:M27"/>
    <mergeCell ref="I28:J28"/>
    <mergeCell ref="L28:M28"/>
    <mergeCell ref="F30:G30"/>
    <mergeCell ref="I30:M30"/>
    <mergeCell ref="D14:E14"/>
    <mergeCell ref="C24:E24"/>
    <mergeCell ref="D33:E33"/>
    <mergeCell ref="D34:E34"/>
    <mergeCell ref="C44:E44"/>
    <mergeCell ref="B49:M49"/>
    <mergeCell ref="O49:S52"/>
    <mergeCell ref="B52:M52"/>
    <mergeCell ref="O34:S44"/>
  </mergeCells>
  <conditionalFormatting sqref="I25:M25">
    <cfRule type="cellIs" dxfId="111" priority="4" operator="equal">
      <formula>"Select Fuel"</formula>
    </cfRule>
    <cfRule type="cellIs" dxfId="110" priority="5" operator="equal">
      <formula>"&lt;&lt;Select Fuel &gt;&gt;"</formula>
    </cfRule>
    <cfRule type="cellIs" dxfId="109" priority="6" operator="equal">
      <formula>"""&lt;&lt;Select Fuel &gt;&gt;"""</formula>
    </cfRule>
  </conditionalFormatting>
  <conditionalFormatting sqref="I45:M45">
    <cfRule type="cellIs" dxfId="108" priority="1" operator="equal">
      <formula>"Select Fuel"</formula>
    </cfRule>
    <cfRule type="cellIs" dxfId="107" priority="2" operator="equal">
      <formula>"&lt;&lt;Select Fuel &gt;&gt;"</formula>
    </cfRule>
    <cfRule type="cellIs" dxfId="106" priority="3" operator="equal">
      <formula>"""&lt;&lt;Select Fuel &gt;&gt;"""</formula>
    </cfRule>
  </conditionalFormatting>
  <dataValidations count="5">
    <dataValidation type="list" allowBlank="1" showInputMessage="1" showErrorMessage="1" sqref="L8:M8 L28:M28" xr:uid="{D0E96906-329C-4CF2-B472-BF1D92A72BBD}">
      <formula1>"SF Detached, Semi-Detached, Row House/TH, Low-Rise Apt, Low-Rise Elevator, High-Rise Apt, High-Rise Elevator, Mfd Home"</formula1>
    </dataValidation>
    <dataValidation type="list" allowBlank="1" showInputMessage="1" showErrorMessage="1" sqref="F32:G40 F42:G44 F12:G20 F22:G24" xr:uid="{166D7ECC-AEC8-4AE1-A618-0AF44F96DE2A}">
      <formula1>"X"</formula1>
    </dataValidation>
    <dataValidation type="list" allowBlank="1" showInputMessage="1" showErrorMessage="1" sqref="D13:E14 D33:E34" xr:uid="{C39D6136-7ECA-4F51-86BD-EFC9A182E8D2}">
      <formula1>"&lt;&lt;Select Fuel &gt;&gt;,Natural Gas, Electric, Propane"</formula1>
    </dataValidation>
    <dataValidation type="list" allowBlank="1" showInputMessage="1" showErrorMessage="1" sqref="E19 E39" xr:uid="{01C4DCC5-67CC-4648-9EEF-E922FD14EF79}">
      <formula1>"&lt;Select&gt;,Yes, No"</formula1>
    </dataValidation>
    <dataValidation type="list" allowBlank="1" showInputMessage="1" showErrorMessage="1" sqref="D12:E12 D32:E32" xr:uid="{F90A05F1-2323-4D4D-A196-BEFF2F1EC165}">
      <formula1>"&lt;&lt;Select Fuel &gt;&gt;,Natural Gas, Electric, Propane, Electric Heat Pump"</formula1>
    </dataValidation>
  </dataValidations>
  <printOptions horizontalCentered="1"/>
  <pageMargins left="0.25" right="0.25" top="0.75" bottom="0.5" header="0.5" footer="0.25"/>
  <pageSetup scale="86"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ignoredErrors>
    <ignoredError sqref="J25:M25 J45:M45" formulaRange="1"/>
  </ignoredError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9D8BA-9AE7-48F1-B58C-CCA7312A0BFB}">
  <sheetPr codeName="Sheet21">
    <pageSetUpPr fitToPage="1"/>
  </sheetPr>
  <dimension ref="A1:TH326"/>
  <sheetViews>
    <sheetView showGridLines="0" topLeftCell="A2" zoomScale="80" zoomScaleNormal="80" workbookViewId="0">
      <selection activeCell="G7" sqref="G7"/>
    </sheetView>
  </sheetViews>
  <sheetFormatPr defaultColWidth="9.21875" defaultRowHeight="13.2"/>
  <cols>
    <col min="1" max="1" width="2.77734375" style="4" customWidth="1"/>
    <col min="2" max="2" width="10" style="4" customWidth="1"/>
    <col min="3" max="3" width="7.5546875" style="4" customWidth="1"/>
    <col min="4" max="4" width="6.44140625" style="4" customWidth="1"/>
    <col min="5" max="5" width="6.77734375" style="4" customWidth="1"/>
    <col min="6" max="6" width="8.21875" style="4" customWidth="1"/>
    <col min="7" max="8" width="9.77734375" style="4" customWidth="1"/>
    <col min="9" max="9" width="10.77734375" style="4" customWidth="1"/>
    <col min="10" max="10" width="11.77734375" style="4" customWidth="1"/>
    <col min="11" max="11" width="10.21875" style="4" customWidth="1"/>
    <col min="12" max="12" width="9.77734375" style="4" customWidth="1"/>
    <col min="13" max="14" width="11" style="4" customWidth="1"/>
    <col min="15" max="15" width="13.77734375" style="4" customWidth="1"/>
    <col min="16" max="16" width="15.44140625" style="4" customWidth="1"/>
    <col min="17" max="17" width="12.44140625" style="35" customWidth="1"/>
    <col min="18" max="18" width="9.77734375" style="35" customWidth="1"/>
    <col min="19" max="21" width="7.77734375" style="35" customWidth="1"/>
    <col min="22" max="22" width="59.21875" style="35" customWidth="1"/>
    <col min="23" max="23" width="47.77734375" style="35" customWidth="1"/>
    <col min="24" max="172" width="9.21875" style="251"/>
    <col min="173" max="173" width="12.5546875" style="251" customWidth="1"/>
    <col min="174" max="174" width="8.21875" style="251" customWidth="1"/>
    <col min="175" max="178" width="7.21875" style="251" customWidth="1"/>
    <col min="179" max="179" width="8.21875" style="251" customWidth="1"/>
    <col min="180" max="183" width="7.21875" style="251" customWidth="1"/>
    <col min="184" max="193" width="9.21875" style="251"/>
    <col min="194" max="194" width="8.21875" style="251" customWidth="1"/>
    <col min="195" max="198" width="7.21875" style="251" customWidth="1"/>
    <col min="199" max="203" width="9.21875" style="251"/>
    <col min="204" max="204" width="8.21875" style="251" customWidth="1"/>
    <col min="205" max="208" width="7.21875" style="251" customWidth="1"/>
    <col min="209" max="288" width="9.21875" style="251"/>
    <col min="289" max="293" width="11.21875" style="251" customWidth="1"/>
    <col min="294" max="308" width="9.21875" style="251"/>
    <col min="309" max="309" width="10.21875" style="251" customWidth="1"/>
    <col min="310" max="313" width="10" style="251" customWidth="1"/>
    <col min="314" max="317" width="9.21875" style="251"/>
    <col min="318" max="318" width="9.21875" style="1185"/>
    <col min="319" max="322" width="9.21875" style="251"/>
    <col min="323" max="323" width="9.21875" style="1185"/>
    <col min="324" max="327" width="11.44140625" style="251" customWidth="1"/>
    <col min="328" max="328" width="11.44140625" style="1185" customWidth="1"/>
    <col min="329" max="332" width="11.44140625" style="251" customWidth="1"/>
    <col min="333" max="333" width="11.44140625" style="1185" customWidth="1"/>
    <col min="334" max="348" width="9.21875" style="1185"/>
    <col min="349" max="353" width="11" style="1185" customWidth="1"/>
    <col min="354" max="354" width="9.21875" style="1185"/>
    <col min="355" max="360" width="9.21875" style="251"/>
    <col min="361" max="361" width="9.21875" style="255"/>
    <col min="362" max="376" width="9.21875" style="251"/>
    <col min="377" max="378" width="9.21875" style="255"/>
    <col min="379" max="385" width="10.21875" style="251" customWidth="1"/>
    <col min="386" max="388" width="9.21875" style="251"/>
    <col min="389" max="389" width="10.44140625" style="251" customWidth="1"/>
    <col min="390" max="393" width="10.21875" style="251" customWidth="1"/>
    <col min="394" max="411" width="9.21875" style="251"/>
    <col min="412" max="414" width="9.21875" style="77"/>
    <col min="415" max="415" width="9.21875" style="1794"/>
    <col min="416" max="416" width="9.21875" style="1798"/>
    <col min="417" max="528" width="9.21875" style="77"/>
    <col min="529" max="16384" width="9.21875" style="35"/>
  </cols>
  <sheetData>
    <row r="1" spans="1:528" s="1166" customFormat="1" ht="12.75" hidden="1" customHeight="1">
      <c r="B1" s="1166" t="s">
        <v>794</v>
      </c>
      <c r="C1" s="1166" t="s">
        <v>795</v>
      </c>
      <c r="D1" s="1166" t="s">
        <v>796</v>
      </c>
      <c r="E1" s="1166" t="s">
        <v>797</v>
      </c>
      <c r="F1" s="1166" t="s">
        <v>798</v>
      </c>
      <c r="G1" s="1166" t="s">
        <v>799</v>
      </c>
      <c r="H1" s="1166" t="s">
        <v>800</v>
      </c>
      <c r="I1" s="1166" t="s">
        <v>801</v>
      </c>
      <c r="J1" s="1166" t="s">
        <v>802</v>
      </c>
      <c r="K1" s="1166" t="s">
        <v>803</v>
      </c>
      <c r="L1" s="1166" t="s">
        <v>804</v>
      </c>
      <c r="M1" s="1166" t="s">
        <v>805</v>
      </c>
      <c r="N1" s="1166" t="s">
        <v>806</v>
      </c>
      <c r="O1" s="1166" t="s">
        <v>807</v>
      </c>
      <c r="P1" s="1166" t="s">
        <v>808</v>
      </c>
      <c r="Q1" s="1166" t="s">
        <v>809</v>
      </c>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c r="DX1" s="251"/>
      <c r="DY1" s="251"/>
      <c r="DZ1" s="251"/>
      <c r="EA1" s="251"/>
      <c r="EB1" s="251"/>
      <c r="EC1" s="251"/>
      <c r="ED1" s="251"/>
      <c r="EE1" s="251"/>
      <c r="EF1" s="251"/>
      <c r="EG1" s="251"/>
      <c r="EH1" s="251"/>
      <c r="EI1" s="251"/>
      <c r="EJ1" s="251"/>
      <c r="EK1" s="251"/>
      <c r="EL1" s="251"/>
      <c r="EM1" s="251"/>
      <c r="EN1" s="251"/>
      <c r="EO1" s="251"/>
      <c r="EP1" s="251"/>
      <c r="EQ1" s="251"/>
      <c r="ER1" s="251"/>
      <c r="ES1" s="251"/>
      <c r="ET1" s="251"/>
      <c r="EU1" s="251"/>
      <c r="EV1" s="251"/>
      <c r="EW1" s="251"/>
      <c r="EX1" s="251"/>
      <c r="EY1" s="251"/>
      <c r="EZ1" s="251"/>
      <c r="FA1" s="251"/>
      <c r="FB1" s="251"/>
      <c r="FC1" s="251"/>
      <c r="FD1" s="251"/>
      <c r="FE1" s="251"/>
      <c r="FF1" s="251"/>
      <c r="FG1" s="251"/>
      <c r="FH1" s="251"/>
      <c r="FI1" s="251"/>
      <c r="FJ1" s="251"/>
      <c r="FK1" s="251"/>
      <c r="FL1" s="251"/>
      <c r="FM1" s="251"/>
      <c r="FN1" s="251"/>
      <c r="FO1" s="251"/>
      <c r="FP1" s="251"/>
      <c r="FQ1" s="251"/>
      <c r="FR1" s="251"/>
      <c r="FS1" s="251"/>
      <c r="FT1" s="251"/>
      <c r="FU1" s="251"/>
      <c r="FV1" s="251"/>
      <c r="FW1" s="251"/>
      <c r="FX1" s="251"/>
      <c r="FY1" s="251"/>
      <c r="FZ1" s="251"/>
      <c r="GA1" s="251"/>
      <c r="GB1" s="251"/>
      <c r="GC1" s="251"/>
      <c r="GD1" s="251"/>
      <c r="GE1" s="251"/>
      <c r="GF1" s="251"/>
      <c r="GG1" s="251"/>
      <c r="GH1" s="251"/>
      <c r="GI1" s="251"/>
      <c r="GJ1" s="251"/>
      <c r="GK1" s="251"/>
      <c r="GL1" s="251"/>
      <c r="GM1" s="251"/>
      <c r="GN1" s="251"/>
      <c r="GO1" s="251"/>
      <c r="GP1" s="251"/>
      <c r="GQ1" s="251"/>
      <c r="GR1" s="251"/>
      <c r="GS1" s="251"/>
      <c r="GT1" s="251"/>
      <c r="GU1" s="251"/>
      <c r="GV1" s="251"/>
      <c r="GW1" s="251"/>
      <c r="GX1" s="251"/>
      <c r="GY1" s="251"/>
      <c r="GZ1" s="251"/>
      <c r="HA1" s="251"/>
      <c r="HB1" s="251"/>
      <c r="HC1" s="251"/>
      <c r="HD1" s="251"/>
      <c r="HE1" s="251"/>
      <c r="HF1" s="251"/>
      <c r="HG1" s="251"/>
      <c r="HH1" s="251"/>
      <c r="HI1" s="251"/>
      <c r="HJ1" s="251"/>
      <c r="HK1" s="251"/>
      <c r="HL1" s="251"/>
      <c r="HM1" s="251"/>
      <c r="HN1" s="251"/>
      <c r="HO1" s="251"/>
      <c r="HP1" s="251"/>
      <c r="HQ1" s="251"/>
      <c r="HR1" s="251"/>
      <c r="HS1" s="251"/>
      <c r="HT1" s="251"/>
      <c r="HU1" s="251"/>
      <c r="HV1" s="251"/>
      <c r="HW1" s="251"/>
      <c r="HX1" s="251"/>
      <c r="HY1" s="251"/>
      <c r="HZ1" s="251"/>
      <c r="IA1" s="251"/>
      <c r="IB1" s="251"/>
      <c r="IC1" s="251"/>
      <c r="ID1" s="251"/>
      <c r="IE1" s="251"/>
      <c r="IF1" s="251"/>
      <c r="IG1" s="251"/>
      <c r="IH1" s="251"/>
      <c r="II1" s="251"/>
      <c r="IJ1" s="251"/>
      <c r="IK1" s="251"/>
      <c r="IL1" s="251"/>
      <c r="IM1" s="251"/>
      <c r="IN1" s="251"/>
      <c r="IO1" s="251"/>
      <c r="IP1" s="251"/>
      <c r="IQ1" s="251"/>
      <c r="IR1" s="251"/>
      <c r="IS1" s="251"/>
      <c r="IT1" s="251"/>
      <c r="IU1" s="251"/>
      <c r="IV1" s="251"/>
      <c r="IW1" s="251"/>
      <c r="IX1" s="251"/>
      <c r="IY1" s="251"/>
      <c r="IZ1" s="251"/>
      <c r="JA1" s="251"/>
      <c r="JB1" s="251"/>
      <c r="JC1" s="251"/>
      <c r="JD1" s="251"/>
      <c r="JE1" s="251"/>
      <c r="JF1" s="251"/>
      <c r="JG1" s="251"/>
      <c r="JH1" s="251"/>
      <c r="JI1" s="251"/>
      <c r="JJ1" s="251"/>
      <c r="JK1" s="251"/>
      <c r="JL1" s="251"/>
      <c r="JM1" s="251"/>
      <c r="JN1" s="251"/>
      <c r="JO1" s="251"/>
      <c r="JP1" s="251"/>
      <c r="JQ1" s="251"/>
      <c r="JR1" s="251"/>
      <c r="JS1" s="251"/>
      <c r="JT1" s="251"/>
      <c r="JU1" s="251"/>
      <c r="JV1" s="251"/>
      <c r="JW1" s="251"/>
      <c r="JX1" s="251"/>
      <c r="JY1" s="251"/>
      <c r="JZ1" s="251"/>
      <c r="KA1" s="251"/>
      <c r="KB1" s="251"/>
      <c r="KC1" s="251"/>
      <c r="KD1" s="251"/>
      <c r="KE1" s="251"/>
      <c r="KF1" s="251"/>
      <c r="KG1" s="251"/>
      <c r="KH1" s="251"/>
      <c r="KI1" s="251"/>
      <c r="KJ1" s="251"/>
      <c r="KK1" s="251"/>
      <c r="KL1" s="251"/>
      <c r="KM1" s="251"/>
      <c r="KN1" s="251"/>
      <c r="KO1" s="251"/>
      <c r="KP1" s="251"/>
      <c r="KQ1" s="251"/>
      <c r="KR1" s="251"/>
      <c r="KS1" s="251"/>
      <c r="KT1" s="251"/>
      <c r="KU1" s="251"/>
      <c r="KV1" s="251"/>
      <c r="KW1" s="251"/>
      <c r="KX1" s="251"/>
      <c r="KY1" s="251"/>
      <c r="KZ1" s="251"/>
      <c r="LA1" s="251"/>
      <c r="LB1" s="251"/>
      <c r="LC1" s="251"/>
      <c r="LD1" s="251"/>
      <c r="LE1" s="251"/>
      <c r="LF1" s="1185"/>
      <c r="LG1" s="251"/>
      <c r="LH1" s="251"/>
      <c r="LI1" s="251"/>
      <c r="LJ1" s="251"/>
      <c r="LK1" s="1185"/>
      <c r="LL1" s="251"/>
      <c r="LM1" s="251"/>
      <c r="LN1" s="251"/>
      <c r="LO1" s="251"/>
      <c r="LP1" s="1185"/>
      <c r="LQ1" s="251"/>
      <c r="LR1" s="251"/>
      <c r="LS1" s="251"/>
      <c r="LT1" s="251"/>
      <c r="LU1" s="1185"/>
      <c r="LV1" s="1185"/>
      <c r="LW1" s="1185"/>
      <c r="LX1" s="1185"/>
      <c r="LY1" s="1185"/>
      <c r="LZ1" s="1185"/>
      <c r="MA1" s="1185"/>
      <c r="MB1" s="1185"/>
      <c r="MC1" s="1185"/>
      <c r="MD1" s="1185"/>
      <c r="ME1" s="1185"/>
      <c r="MF1" s="1185"/>
      <c r="MG1" s="1185"/>
      <c r="MH1" s="1185"/>
      <c r="MI1" s="1185"/>
      <c r="MJ1" s="1185"/>
      <c r="MK1" s="1185"/>
      <c r="ML1" s="1185"/>
      <c r="MM1" s="1185"/>
      <c r="MN1" s="1185"/>
      <c r="MO1" s="1185"/>
      <c r="MP1" s="1185"/>
      <c r="MQ1" s="251"/>
      <c r="MR1" s="251"/>
      <c r="MS1" s="251"/>
      <c r="MT1" s="251"/>
      <c r="MU1" s="251"/>
      <c r="MV1" s="251"/>
      <c r="MW1" s="255"/>
      <c r="MX1" s="251"/>
      <c r="MY1" s="251"/>
      <c r="MZ1" s="251"/>
      <c r="NA1" s="251"/>
      <c r="NB1" s="251"/>
      <c r="NC1" s="251"/>
      <c r="ND1" s="251"/>
      <c r="NE1" s="251"/>
      <c r="NF1" s="251"/>
      <c r="NG1" s="251"/>
      <c r="NH1" s="251"/>
      <c r="NI1" s="251"/>
      <c r="NJ1" s="251"/>
      <c r="NK1" s="251"/>
      <c r="NL1" s="251"/>
      <c r="NM1" s="255"/>
      <c r="NN1" s="255"/>
      <c r="NO1" s="251"/>
      <c r="NP1" s="251"/>
      <c r="NQ1" s="251"/>
      <c r="NR1" s="251"/>
      <c r="NS1" s="251"/>
      <c r="NT1" s="251"/>
      <c r="NU1" s="251"/>
      <c r="NV1" s="251"/>
      <c r="NW1" s="251"/>
      <c r="NX1" s="251"/>
      <c r="NY1" s="251"/>
      <c r="NZ1" s="251"/>
      <c r="OA1" s="251"/>
      <c r="OB1" s="251"/>
      <c r="OC1" s="251"/>
      <c r="OD1" s="251"/>
      <c r="OE1" s="251"/>
      <c r="OF1" s="251"/>
      <c r="OG1" s="251"/>
      <c r="OH1" s="251"/>
      <c r="OI1" s="251"/>
      <c r="OJ1" s="251"/>
      <c r="OK1" s="251"/>
      <c r="OL1" s="251"/>
      <c r="OM1" s="251"/>
      <c r="ON1" s="251"/>
      <c r="OO1" s="251"/>
      <c r="OP1" s="251"/>
      <c r="OQ1" s="251"/>
      <c r="OR1" s="251"/>
      <c r="OS1" s="251"/>
      <c r="OT1" s="251"/>
      <c r="OU1" s="251"/>
      <c r="OV1" s="77"/>
      <c r="OW1" s="77"/>
      <c r="OX1" s="77"/>
      <c r="OY1" s="1794"/>
      <c r="OZ1" s="1798">
        <v>1</v>
      </c>
      <c r="PA1" s="1344"/>
      <c r="PB1" s="1344"/>
      <c r="PC1" s="1344"/>
      <c r="PD1" s="1344"/>
      <c r="PE1" s="1344"/>
      <c r="PF1" s="1344"/>
      <c r="PG1" s="1344"/>
      <c r="PH1" s="1344"/>
      <c r="PI1" s="1344"/>
      <c r="PJ1" s="1344"/>
      <c r="PK1" s="1344"/>
      <c r="PL1" s="1344"/>
      <c r="PM1" s="1344"/>
      <c r="PN1" s="1344"/>
      <c r="PO1" s="1344"/>
      <c r="PP1" s="1344"/>
      <c r="PQ1" s="1344"/>
    </row>
    <row r="2" spans="1:528" s="41" customFormat="1" ht="14.1" customHeight="1">
      <c r="A2" s="3484" t="str">
        <f>CONCATENATE("PART FOUR - PROJECTED REVENUES &amp; EXPENSES","  -  ",'Part I-Project Identification'!$O$7," ",'Part I-Project Identification'!$F$27,", ",'Part I-Project Identification'!F28,", ",'Part I-Project Identification'!J28," County")</f>
        <v>PART FOUR - PROJECTED REVENUES &amp; EXPENSES  -  2026-0xx The Groves, Tifton, Tift County</v>
      </c>
      <c r="B2" s="3485"/>
      <c r="C2" s="3485"/>
      <c r="D2" s="3485"/>
      <c r="E2" s="3485"/>
      <c r="F2" s="3485"/>
      <c r="G2" s="3485"/>
      <c r="H2" s="3485"/>
      <c r="I2" s="3485"/>
      <c r="J2" s="3485"/>
      <c r="K2" s="3485"/>
      <c r="L2" s="3485"/>
      <c r="M2" s="3485"/>
      <c r="N2" s="3485"/>
      <c r="O2" s="3485"/>
      <c r="P2" s="3485"/>
      <c r="Q2" s="3486"/>
      <c r="T2" s="966" t="str">
        <f>A2</f>
        <v>PART FOUR - PROJECTED REVENUES &amp; EXPENSES  -  2026-0xx The Groves, Tifton, Tift County</v>
      </c>
      <c r="U2" s="966"/>
      <c r="V2" s="966"/>
      <c r="W2" s="966"/>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c r="CL2" s="253"/>
      <c r="CM2" s="253"/>
      <c r="CN2" s="253"/>
      <c r="CO2" s="253"/>
      <c r="CP2" s="253"/>
      <c r="CQ2" s="253"/>
      <c r="CR2" s="253"/>
      <c r="CS2" s="253"/>
      <c r="CT2" s="253"/>
      <c r="CU2" s="253"/>
      <c r="CV2" s="253"/>
      <c r="CW2" s="253"/>
      <c r="CX2" s="253"/>
      <c r="CY2" s="253"/>
      <c r="CZ2" s="253"/>
      <c r="DA2" s="253"/>
      <c r="DB2" s="253"/>
      <c r="DC2" s="253"/>
      <c r="DD2" s="253"/>
      <c r="DE2" s="253"/>
      <c r="DF2" s="253"/>
      <c r="DG2" s="253"/>
      <c r="DH2" s="253"/>
      <c r="DI2" s="253"/>
      <c r="DJ2" s="253"/>
      <c r="DK2" s="253"/>
      <c r="DL2" s="253"/>
      <c r="DM2" s="253"/>
      <c r="DN2" s="253"/>
      <c r="DO2" s="253"/>
      <c r="DP2" s="253"/>
      <c r="DQ2" s="253"/>
      <c r="DR2" s="253"/>
      <c r="DS2" s="253"/>
      <c r="DT2" s="253"/>
      <c r="DU2" s="253"/>
      <c r="DV2" s="253"/>
      <c r="DW2" s="253"/>
      <c r="DX2" s="253"/>
      <c r="DY2" s="253"/>
      <c r="DZ2" s="253"/>
      <c r="EA2" s="253"/>
      <c r="EB2" s="253"/>
      <c r="EC2" s="253"/>
      <c r="ED2" s="253"/>
      <c r="EE2" s="253"/>
      <c r="EF2" s="253"/>
      <c r="EG2" s="253"/>
      <c r="EH2" s="253"/>
      <c r="EI2" s="253"/>
      <c r="EJ2" s="253"/>
      <c r="EK2" s="253"/>
      <c r="EL2" s="253"/>
      <c r="EM2" s="253"/>
      <c r="EN2" s="253"/>
      <c r="EO2" s="253"/>
      <c r="EP2" s="253"/>
      <c r="EQ2" s="253"/>
      <c r="ER2" s="253"/>
      <c r="ES2" s="253"/>
      <c r="ET2" s="253"/>
      <c r="EU2" s="253"/>
      <c r="EV2" s="253"/>
      <c r="EW2" s="253"/>
      <c r="EX2" s="253"/>
      <c r="EY2" s="253"/>
      <c r="EZ2" s="253"/>
      <c r="FA2" s="253"/>
      <c r="FB2" s="253"/>
      <c r="FC2" s="253"/>
      <c r="FD2" s="253"/>
      <c r="FE2" s="253"/>
      <c r="FF2" s="253"/>
      <c r="FG2" s="253"/>
      <c r="FH2" s="253"/>
      <c r="FI2" s="253"/>
      <c r="FJ2" s="253"/>
      <c r="FK2" s="253"/>
      <c r="FL2" s="253"/>
      <c r="FM2" s="253"/>
      <c r="FN2" s="253"/>
      <c r="FO2" s="253"/>
      <c r="FP2" s="253"/>
      <c r="FQ2" s="253"/>
      <c r="FR2" s="253"/>
      <c r="FS2" s="253"/>
      <c r="FT2" s="253"/>
      <c r="FU2" s="253"/>
      <c r="FV2" s="253"/>
      <c r="FW2" s="253"/>
      <c r="FX2" s="253"/>
      <c r="FY2" s="253"/>
      <c r="FZ2" s="253"/>
      <c r="GA2" s="253"/>
      <c r="GB2" s="253"/>
      <c r="GC2" s="253"/>
      <c r="GD2" s="253"/>
      <c r="GE2" s="253"/>
      <c r="GF2" s="253"/>
      <c r="GG2" s="253"/>
      <c r="GH2" s="253"/>
      <c r="GI2" s="253"/>
      <c r="GJ2" s="253"/>
      <c r="GK2" s="253"/>
      <c r="GL2" s="253"/>
      <c r="GM2" s="253"/>
      <c r="GN2" s="253"/>
      <c r="GO2" s="253"/>
      <c r="GP2" s="253"/>
      <c r="GQ2" s="253"/>
      <c r="GR2" s="253"/>
      <c r="GS2" s="253"/>
      <c r="GT2" s="253"/>
      <c r="GU2" s="253"/>
      <c r="GV2" s="253"/>
      <c r="GW2" s="253"/>
      <c r="GX2" s="253"/>
      <c r="GY2" s="253"/>
      <c r="GZ2" s="253"/>
      <c r="HA2" s="253"/>
      <c r="HB2" s="253"/>
      <c r="HC2" s="253"/>
      <c r="HD2" s="253"/>
      <c r="HE2" s="253"/>
      <c r="HF2" s="253"/>
      <c r="HG2" s="253"/>
      <c r="HH2" s="253"/>
      <c r="HI2" s="253"/>
      <c r="HJ2" s="253"/>
      <c r="HK2" s="253"/>
      <c r="HL2" s="253"/>
      <c r="HM2" s="253"/>
      <c r="HN2" s="253"/>
      <c r="HO2" s="253"/>
      <c r="HP2" s="253"/>
      <c r="HQ2" s="253"/>
      <c r="HR2" s="253"/>
      <c r="HS2" s="253"/>
      <c r="HT2" s="253"/>
      <c r="HU2" s="253"/>
      <c r="HV2" s="253"/>
      <c r="HW2" s="253"/>
      <c r="HX2" s="253"/>
      <c r="HY2" s="253"/>
      <c r="HZ2" s="253"/>
      <c r="IA2" s="253"/>
      <c r="IB2" s="253"/>
      <c r="IC2" s="253"/>
      <c r="ID2" s="253"/>
      <c r="IE2" s="253"/>
      <c r="IF2" s="253"/>
      <c r="IG2" s="253"/>
      <c r="IH2" s="253"/>
      <c r="II2" s="253"/>
      <c r="IJ2" s="253"/>
      <c r="IK2" s="253"/>
      <c r="IL2" s="253"/>
      <c r="IM2" s="253"/>
      <c r="IN2" s="253"/>
      <c r="IO2" s="253"/>
      <c r="IP2" s="253"/>
      <c r="IQ2" s="253"/>
      <c r="IR2" s="253"/>
      <c r="IS2" s="253"/>
      <c r="IT2" s="253"/>
      <c r="IU2" s="253"/>
      <c r="IV2" s="253"/>
      <c r="IW2" s="253"/>
      <c r="IX2" s="253"/>
      <c r="IY2" s="253"/>
      <c r="IZ2" s="253"/>
      <c r="JA2" s="253"/>
      <c r="JB2" s="253"/>
      <c r="JC2" s="253"/>
      <c r="JD2" s="253"/>
      <c r="JE2" s="253"/>
      <c r="JF2" s="253"/>
      <c r="JG2" s="1296"/>
      <c r="JH2" s="1296"/>
      <c r="JI2" s="1296"/>
      <c r="JJ2" s="1296"/>
      <c r="JK2" s="1296"/>
      <c r="JL2" s="1296"/>
      <c r="JM2" s="1296"/>
      <c r="JN2" s="1296"/>
      <c r="JO2" s="1296"/>
      <c r="JP2" s="1296"/>
      <c r="JQ2" s="1296"/>
      <c r="JR2" s="1296"/>
      <c r="JS2" s="1296"/>
      <c r="JT2" s="1296"/>
      <c r="JU2" s="1296"/>
      <c r="JV2" s="1296"/>
      <c r="JW2" s="1296"/>
      <c r="JX2" s="1296"/>
      <c r="JY2" s="1296"/>
      <c r="JZ2" s="1296"/>
      <c r="KA2" s="1296"/>
      <c r="KB2" s="1296"/>
      <c r="KC2" s="1296"/>
      <c r="KD2" s="1296"/>
      <c r="KE2" s="1296"/>
      <c r="KF2" s="1296"/>
      <c r="KG2" s="1296"/>
      <c r="KH2" s="1296"/>
      <c r="KI2" s="1296"/>
      <c r="KJ2" s="1296"/>
      <c r="KK2" s="1296"/>
      <c r="KL2" s="1296"/>
      <c r="KM2" s="1296"/>
      <c r="KN2" s="1296"/>
      <c r="KO2" s="1296"/>
      <c r="KP2" s="1296"/>
      <c r="KQ2" s="1296"/>
      <c r="KR2" s="1296"/>
      <c r="KS2" s="1296"/>
      <c r="KT2" s="1296"/>
      <c r="KU2" s="1296"/>
      <c r="KV2" s="1296"/>
      <c r="KW2" s="1296"/>
      <c r="KX2" s="1296"/>
      <c r="KY2" s="1296"/>
      <c r="KZ2" s="1296"/>
      <c r="LA2" s="1296"/>
      <c r="LB2" s="1296"/>
      <c r="LC2" s="1296"/>
      <c r="LD2" s="1296"/>
      <c r="LE2" s="1296"/>
      <c r="LF2" s="1296"/>
      <c r="LG2" s="1296"/>
      <c r="LH2" s="1296"/>
      <c r="LI2" s="1296"/>
      <c r="LJ2" s="1296"/>
      <c r="LK2" s="1296"/>
      <c r="LL2" s="1296"/>
      <c r="LM2" s="1296"/>
      <c r="LN2" s="1296"/>
      <c r="LO2" s="1296"/>
      <c r="LP2" s="1296"/>
      <c r="LQ2" s="1296"/>
      <c r="LR2" s="1296"/>
      <c r="LS2" s="1296"/>
      <c r="LT2" s="1296"/>
      <c r="LU2" s="1296"/>
      <c r="LV2" s="253"/>
      <c r="LW2" s="253"/>
      <c r="LX2" s="1184"/>
      <c r="LY2" s="253"/>
      <c r="LZ2" s="253"/>
      <c r="MA2" s="253"/>
      <c r="MB2" s="253"/>
      <c r="MC2" s="1184"/>
      <c r="MD2" s="253"/>
      <c r="ME2" s="253"/>
      <c r="MF2" s="253"/>
      <c r="MG2" s="253"/>
      <c r="MH2" s="1184"/>
      <c r="MI2" s="253"/>
      <c r="MJ2" s="253"/>
      <c r="MK2" s="253"/>
      <c r="ML2" s="253"/>
      <c r="MM2" s="1184"/>
      <c r="MN2" s="253"/>
      <c r="MO2" s="253"/>
      <c r="MP2" s="253"/>
      <c r="MQ2" s="253"/>
      <c r="MR2" s="253"/>
      <c r="MS2" s="253"/>
      <c r="MT2" s="253"/>
      <c r="MU2" s="253"/>
      <c r="MV2" s="253"/>
      <c r="MW2" s="253"/>
      <c r="MX2" s="253"/>
      <c r="MY2" s="253"/>
      <c r="MZ2" s="253"/>
      <c r="NA2" s="253"/>
      <c r="NB2" s="253"/>
      <c r="NC2" s="253"/>
      <c r="ND2" s="253"/>
      <c r="NE2" s="253"/>
      <c r="NF2" s="253"/>
      <c r="NG2" s="253"/>
      <c r="NH2" s="253"/>
      <c r="NI2" s="253"/>
      <c r="NJ2" s="253"/>
      <c r="NK2" s="253"/>
      <c r="NL2" s="253"/>
      <c r="NM2" s="253"/>
      <c r="NN2" s="253"/>
      <c r="NO2" s="253"/>
      <c r="NP2" s="253"/>
      <c r="NQ2" s="253"/>
      <c r="NR2" s="253"/>
      <c r="NS2" s="253"/>
      <c r="NT2" s="253"/>
      <c r="NU2" s="253"/>
      <c r="NV2" s="253"/>
      <c r="NW2" s="253"/>
      <c r="NX2" s="253"/>
      <c r="NY2" s="253"/>
      <c r="NZ2" s="253"/>
      <c r="OA2" s="253"/>
      <c r="OB2" s="253"/>
      <c r="OC2" s="253"/>
      <c r="OD2" s="253"/>
      <c r="OE2" s="253"/>
      <c r="OF2" s="253"/>
      <c r="OG2" s="253"/>
      <c r="OH2" s="253"/>
      <c r="OI2" s="253"/>
      <c r="OJ2" s="253"/>
      <c r="OK2" s="253"/>
      <c r="OL2" s="253"/>
      <c r="OM2" s="253"/>
      <c r="ON2" s="253"/>
      <c r="OO2" s="253"/>
      <c r="OP2" s="253"/>
      <c r="OQ2" s="253"/>
      <c r="OR2" s="253"/>
      <c r="OS2" s="253"/>
      <c r="OT2" s="253"/>
      <c r="OU2" s="253"/>
      <c r="OV2" s="43"/>
      <c r="OW2" s="43"/>
      <c r="OX2" s="43"/>
      <c r="OY2" s="1796"/>
      <c r="OZ2" s="1799">
        <v>2</v>
      </c>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row>
    <row r="3" spans="1:528" ht="4.5" customHeight="1">
      <c r="A3" s="77"/>
      <c r="B3" s="77"/>
      <c r="C3" s="77"/>
      <c r="D3" s="77"/>
      <c r="E3" s="77"/>
      <c r="F3" s="77"/>
      <c r="G3" s="77"/>
      <c r="H3" s="77"/>
      <c r="I3" s="77"/>
      <c r="J3" s="77"/>
      <c r="K3" s="77"/>
      <c r="L3" s="77"/>
      <c r="M3" s="77"/>
      <c r="N3" s="77"/>
      <c r="O3" s="77"/>
      <c r="P3" s="77"/>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c r="GE3" s="254"/>
      <c r="GF3" s="254"/>
      <c r="GG3" s="254"/>
      <c r="GH3" s="254"/>
      <c r="GI3" s="254"/>
      <c r="GJ3" s="254"/>
      <c r="GK3" s="254"/>
      <c r="GL3" s="254"/>
      <c r="GM3" s="254"/>
      <c r="GN3" s="254"/>
      <c r="GO3" s="254"/>
      <c r="GP3" s="254"/>
      <c r="GQ3" s="254"/>
      <c r="GR3" s="254"/>
      <c r="GS3" s="254"/>
      <c r="GT3" s="254"/>
      <c r="GU3" s="254"/>
      <c r="GV3" s="254"/>
      <c r="GW3" s="254"/>
      <c r="GX3" s="254"/>
      <c r="GY3" s="254"/>
      <c r="GZ3" s="254"/>
      <c r="HA3" s="254"/>
      <c r="HB3" s="254"/>
      <c r="HC3" s="254"/>
      <c r="HD3" s="254"/>
      <c r="HE3" s="254"/>
      <c r="HF3" s="254"/>
      <c r="HG3" s="254"/>
      <c r="HH3" s="254"/>
      <c r="HI3" s="254"/>
      <c r="HJ3" s="254"/>
      <c r="HK3" s="254"/>
      <c r="HL3" s="254"/>
      <c r="HM3" s="254"/>
      <c r="HN3" s="254"/>
      <c r="HO3" s="254"/>
      <c r="HP3" s="254"/>
      <c r="HQ3" s="254"/>
      <c r="HR3" s="254"/>
      <c r="HS3" s="254"/>
      <c r="HT3" s="254"/>
      <c r="HU3" s="254"/>
      <c r="HV3" s="254"/>
      <c r="HW3" s="254"/>
      <c r="HX3" s="254"/>
      <c r="HY3" s="254"/>
      <c r="HZ3" s="254"/>
      <c r="IA3" s="254"/>
      <c r="IB3" s="254"/>
      <c r="IC3" s="254"/>
      <c r="ID3" s="254"/>
      <c r="IE3" s="254"/>
      <c r="IF3" s="254"/>
      <c r="IG3" s="254"/>
      <c r="IH3" s="254"/>
      <c r="II3" s="254"/>
      <c r="IJ3" s="254"/>
      <c r="IK3" s="254"/>
      <c r="IL3" s="254"/>
      <c r="IM3" s="254"/>
      <c r="IN3" s="254"/>
      <c r="IO3" s="254"/>
      <c r="IP3" s="254"/>
      <c r="IQ3" s="254"/>
      <c r="IR3" s="254"/>
      <c r="IS3" s="254"/>
      <c r="IT3" s="254"/>
      <c r="IU3" s="254"/>
      <c r="IV3" s="254"/>
      <c r="IW3" s="254"/>
      <c r="IX3" s="254"/>
      <c r="IY3" s="254"/>
      <c r="IZ3" s="254"/>
      <c r="JA3" s="254"/>
      <c r="JB3" s="254"/>
      <c r="JC3" s="254"/>
      <c r="JD3" s="254"/>
      <c r="JE3" s="254"/>
      <c r="JF3" s="254"/>
      <c r="JG3" s="254"/>
      <c r="JH3" s="254"/>
      <c r="JI3" s="1771"/>
      <c r="JJ3" s="1771"/>
      <c r="JK3" s="1771"/>
      <c r="JL3" s="1771"/>
      <c r="JM3" s="1771"/>
      <c r="JN3" s="1771"/>
      <c r="JO3" s="1771"/>
      <c r="JP3" s="1771"/>
      <c r="JQ3" s="1771"/>
      <c r="JR3" s="1771"/>
      <c r="JS3" s="1771"/>
      <c r="JT3" s="1771"/>
      <c r="JU3" s="1771"/>
      <c r="JV3" s="1771"/>
      <c r="JW3" s="1771"/>
      <c r="JX3" s="1771"/>
      <c r="JY3" s="1771"/>
      <c r="JZ3" s="1771"/>
      <c r="KA3" s="1771"/>
      <c r="KB3" s="1771"/>
      <c r="KC3" s="1771"/>
      <c r="KD3" s="1771"/>
      <c r="KE3" s="1771"/>
      <c r="KF3" s="1771"/>
      <c r="KG3" s="1771"/>
      <c r="KH3" s="1771"/>
      <c r="KI3" s="1771"/>
      <c r="KJ3" s="1771"/>
      <c r="KK3" s="1771"/>
      <c r="KL3" s="1771"/>
      <c r="KM3" s="1771"/>
      <c r="KN3" s="1771"/>
      <c r="KO3" s="1771"/>
      <c r="KP3" s="1771"/>
      <c r="KQ3" s="1771"/>
      <c r="KR3" s="1771"/>
      <c r="KS3" s="1771"/>
      <c r="KT3" s="1771"/>
      <c r="KU3" s="1771"/>
      <c r="KV3" s="1771"/>
      <c r="KW3" s="1771"/>
      <c r="KX3" s="1771"/>
      <c r="KY3" s="1771"/>
      <c r="KZ3" s="1771"/>
      <c r="LA3" s="1771"/>
      <c r="LB3" s="1771"/>
      <c r="LC3" s="1771"/>
      <c r="LD3" s="1771"/>
      <c r="LE3" s="1771"/>
      <c r="LF3" s="1771"/>
      <c r="LG3" s="1771"/>
      <c r="LH3" s="1771"/>
      <c r="LI3" s="1771"/>
      <c r="LJ3" s="1771"/>
      <c r="LK3" s="1771"/>
      <c r="LL3" s="1771"/>
      <c r="LM3" s="1771"/>
      <c r="LN3" s="1771"/>
      <c r="LO3" s="1771"/>
      <c r="LP3" s="1771"/>
      <c r="LQ3" s="1771"/>
      <c r="LR3" s="1771"/>
      <c r="LS3" s="1771"/>
      <c r="LT3" s="1771"/>
      <c r="LU3" s="1771"/>
      <c r="LV3" s="254"/>
      <c r="LW3" s="254"/>
      <c r="LX3" s="254"/>
      <c r="LY3" s="254"/>
      <c r="LZ3" s="254"/>
      <c r="MA3" s="254"/>
      <c r="MB3" s="254"/>
      <c r="MC3" s="254"/>
      <c r="MD3" s="254"/>
      <c r="ME3" s="254"/>
      <c r="MF3" s="254"/>
      <c r="MG3" s="254"/>
      <c r="MH3" s="254"/>
      <c r="MI3" s="254"/>
      <c r="MJ3" s="254"/>
      <c r="MK3" s="254"/>
      <c r="ML3" s="254"/>
      <c r="MM3" s="254"/>
      <c r="MN3" s="254"/>
      <c r="MO3" s="254"/>
      <c r="MP3" s="251"/>
      <c r="MU3" s="254"/>
      <c r="MV3" s="254"/>
      <c r="MW3" s="254"/>
      <c r="MX3" s="254"/>
      <c r="MY3" s="254"/>
      <c r="MZ3" s="254"/>
      <c r="NA3" s="254"/>
      <c r="NB3" s="254"/>
      <c r="NC3" s="254"/>
      <c r="ND3" s="254"/>
      <c r="NE3" s="254"/>
      <c r="NF3" s="254"/>
      <c r="NG3" s="254"/>
      <c r="NH3" s="254"/>
      <c r="NI3" s="254"/>
      <c r="NJ3" s="254"/>
      <c r="NK3" s="254"/>
      <c r="NL3" s="254"/>
      <c r="NM3" s="254"/>
      <c r="NN3" s="254"/>
      <c r="OZ3" s="1798">
        <v>3</v>
      </c>
    </row>
    <row r="4" spans="1:528" s="41" customFormat="1" ht="12.6" customHeight="1">
      <c r="A4" s="3" t="s">
        <v>21</v>
      </c>
      <c r="B4" s="3" t="s">
        <v>810</v>
      </c>
      <c r="C4" s="43"/>
      <c r="D4" s="1016" t="s">
        <v>811</v>
      </c>
      <c r="E4" s="1016"/>
      <c r="F4" s="1016"/>
      <c r="G4" s="1016"/>
      <c r="H4" s="1016"/>
      <c r="I4" s="1016"/>
      <c r="J4" s="1016"/>
      <c r="K4" s="59"/>
      <c r="L4" s="59"/>
      <c r="M4" s="59"/>
      <c r="O4" s="104" t="s">
        <v>812</v>
      </c>
      <c r="P4" s="3807" t="str">
        <f>'Part I-Project Identification'!$O$30</f>
        <v>Tift Co.</v>
      </c>
      <c r="Q4" s="3807"/>
      <c r="T4" s="3" t="str">
        <f>B4</f>
        <v>RENT SCHEDULE</v>
      </c>
      <c r="U4" s="91"/>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4"/>
      <c r="BK4" s="1004"/>
      <c r="BL4" s="1004"/>
      <c r="BM4" s="1004"/>
      <c r="BN4" s="1004"/>
      <c r="BO4" s="1004"/>
      <c r="BP4" s="1004"/>
      <c r="BQ4" s="1004"/>
      <c r="BR4" s="1004"/>
      <c r="BS4" s="1004"/>
      <c r="BT4" s="1004"/>
      <c r="BU4" s="1004"/>
      <c r="BV4" s="1004"/>
      <c r="BW4" s="1004"/>
      <c r="BX4" s="1004"/>
      <c r="BY4" s="1004"/>
      <c r="BZ4" s="1004"/>
      <c r="CA4" s="1004"/>
      <c r="CB4" s="1004"/>
      <c r="CC4" s="1004"/>
      <c r="CD4" s="1004"/>
      <c r="CE4" s="1004"/>
      <c r="CF4" s="1004"/>
      <c r="CG4" s="1004"/>
      <c r="CH4" s="1004"/>
      <c r="CI4" s="1004"/>
      <c r="CJ4" s="1004"/>
      <c r="CK4" s="1004"/>
      <c r="CL4" s="1004"/>
      <c r="CM4" s="1004"/>
      <c r="CN4" s="1004"/>
      <c r="CO4" s="1004"/>
      <c r="CP4" s="1004"/>
      <c r="CQ4" s="1004"/>
      <c r="CR4" s="1004"/>
      <c r="CS4" s="1004"/>
      <c r="CT4" s="1004"/>
      <c r="CU4" s="1004"/>
      <c r="CV4" s="1004"/>
      <c r="CW4" s="1004"/>
      <c r="CX4" s="1004"/>
      <c r="CY4" s="1004"/>
      <c r="CZ4" s="1004"/>
      <c r="DA4" s="1004"/>
      <c r="DB4" s="1004"/>
      <c r="DC4" s="1004"/>
      <c r="DD4" s="1004"/>
      <c r="DE4" s="1004"/>
      <c r="DF4" s="1004"/>
      <c r="DG4" s="1004"/>
      <c r="DH4" s="1004"/>
      <c r="DI4" s="1004"/>
      <c r="DJ4" s="1004"/>
      <c r="DK4" s="1004"/>
      <c r="DL4" s="1004"/>
      <c r="DM4" s="1004"/>
      <c r="DN4" s="1004"/>
      <c r="DO4" s="1004"/>
      <c r="DP4" s="1004"/>
      <c r="DQ4" s="1004"/>
      <c r="DR4" s="1004"/>
      <c r="DS4" s="1004"/>
      <c r="DT4" s="1004"/>
      <c r="DU4" s="1004"/>
      <c r="DV4" s="1004"/>
      <c r="DW4" s="1004"/>
      <c r="DX4" s="1004"/>
      <c r="DY4" s="1004"/>
      <c r="DZ4" s="1004"/>
      <c r="EA4" s="1004"/>
      <c r="EB4" s="1004"/>
      <c r="EC4" s="1004"/>
      <c r="ED4" s="1004"/>
      <c r="EE4" s="1004"/>
      <c r="EF4" s="1004"/>
      <c r="EG4" s="1004"/>
      <c r="EH4" s="1004"/>
      <c r="EI4" s="1004"/>
      <c r="EJ4" s="1004"/>
      <c r="EK4" s="1004"/>
      <c r="EL4" s="1004"/>
      <c r="EM4" s="1004"/>
      <c r="EN4" s="1004"/>
      <c r="EO4" s="1004"/>
      <c r="EP4" s="1004"/>
      <c r="EQ4" s="1004"/>
      <c r="ER4" s="1004"/>
      <c r="ES4" s="1004"/>
      <c r="ET4" s="1004"/>
      <c r="EU4" s="1004"/>
      <c r="EV4" s="1004"/>
      <c r="EW4" s="1004"/>
      <c r="EX4" s="1004"/>
      <c r="EY4" s="1004"/>
      <c r="EZ4" s="1004"/>
      <c r="FA4" s="1004"/>
      <c r="FB4" s="1004"/>
      <c r="FC4" s="1004"/>
      <c r="FD4" s="1004"/>
      <c r="FE4" s="1004"/>
      <c r="FF4" s="1004"/>
      <c r="FG4" s="1004"/>
      <c r="FH4" s="1004"/>
      <c r="FI4" s="1004"/>
      <c r="FJ4" s="1004"/>
      <c r="FK4" s="1004"/>
      <c r="FL4" s="1004"/>
      <c r="FM4" s="1004"/>
      <c r="FN4" s="1004"/>
      <c r="FO4" s="1004"/>
      <c r="FP4" s="1004"/>
      <c r="FQ4" s="1004"/>
      <c r="FR4" s="1004"/>
      <c r="FS4" s="1004"/>
      <c r="FT4" s="1004"/>
      <c r="FU4" s="1004"/>
      <c r="FV4" s="1004"/>
      <c r="FW4" s="1004"/>
      <c r="FX4" s="1004"/>
      <c r="FY4" s="1004"/>
      <c r="FZ4" s="1004"/>
      <c r="GA4" s="1004"/>
      <c r="GB4" s="1004"/>
      <c r="GC4" s="1004"/>
      <c r="GD4" s="1004"/>
      <c r="GE4" s="1004"/>
      <c r="GF4" s="1004"/>
      <c r="GG4" s="1004"/>
      <c r="GH4" s="1004"/>
      <c r="GI4" s="1004"/>
      <c r="GJ4" s="1004"/>
      <c r="GK4" s="1004"/>
      <c r="GL4" s="1004"/>
      <c r="GM4" s="1004"/>
      <c r="GN4" s="1004"/>
      <c r="GO4" s="1004"/>
      <c r="GP4" s="1004"/>
      <c r="GQ4" s="1004"/>
      <c r="GR4" s="1004"/>
      <c r="GS4" s="1004"/>
      <c r="GT4" s="1004"/>
      <c r="GU4" s="1004"/>
      <c r="GV4" s="1004"/>
      <c r="GW4" s="1004"/>
      <c r="GX4" s="1004"/>
      <c r="GY4" s="1004"/>
      <c r="GZ4" s="1004"/>
      <c r="HA4" s="1004"/>
      <c r="HB4" s="1004"/>
      <c r="HC4" s="1004"/>
      <c r="HD4" s="1004"/>
      <c r="HE4" s="1004"/>
      <c r="HF4" s="1004"/>
      <c r="HG4" s="1004"/>
      <c r="HH4" s="1004"/>
      <c r="HI4" s="1004"/>
      <c r="HJ4" s="1004"/>
      <c r="HK4" s="1004"/>
      <c r="HL4" s="1004"/>
      <c r="HM4" s="1004"/>
      <c r="HN4" s="1004"/>
      <c r="HO4" s="1004"/>
      <c r="HP4" s="1004"/>
      <c r="HQ4" s="1004"/>
      <c r="HR4" s="1004"/>
      <c r="HS4" s="1004"/>
      <c r="HT4" s="1004"/>
      <c r="HU4" s="1004"/>
      <c r="HV4" s="1004"/>
      <c r="HW4" s="1004"/>
      <c r="HX4" s="1004"/>
      <c r="HY4" s="1004"/>
      <c r="HZ4" s="1004"/>
      <c r="IA4" s="1004"/>
      <c r="IB4" s="1004"/>
      <c r="IC4" s="1004"/>
      <c r="ID4" s="1004"/>
      <c r="IE4" s="1004"/>
      <c r="IF4" s="1004"/>
      <c r="IG4" s="1004"/>
      <c r="IH4" s="1004"/>
      <c r="II4" s="1004"/>
      <c r="IJ4" s="1004"/>
      <c r="IK4" s="1004"/>
      <c r="IL4" s="1004"/>
      <c r="IM4" s="1004"/>
      <c r="IN4" s="1004"/>
      <c r="IO4" s="1004"/>
      <c r="IP4" s="1004"/>
      <c r="IQ4" s="1004"/>
      <c r="IR4" s="1004"/>
      <c r="IS4" s="1004"/>
      <c r="IT4" s="1004"/>
      <c r="IU4" s="1004"/>
      <c r="IV4" s="1004"/>
      <c r="IW4" s="1004"/>
      <c r="IX4" s="1004"/>
      <c r="IY4" s="1004"/>
      <c r="IZ4" s="1004"/>
      <c r="JA4" s="1004"/>
      <c r="JB4" s="1004"/>
      <c r="JC4" s="1004"/>
      <c r="JD4" s="1004"/>
      <c r="JE4" s="1004"/>
      <c r="JF4" s="1004"/>
      <c r="JG4" s="1004"/>
      <c r="JH4" s="1004"/>
      <c r="JI4" s="1772"/>
      <c r="JJ4" s="1772"/>
      <c r="JK4" s="1772"/>
      <c r="JL4" s="1772"/>
      <c r="JM4" s="1772"/>
      <c r="JN4" s="1771" t="s">
        <v>813</v>
      </c>
      <c r="JO4" s="1771" t="s">
        <v>814</v>
      </c>
      <c r="JP4" s="1771" t="s">
        <v>815</v>
      </c>
      <c r="JQ4" s="1771" t="s">
        <v>816</v>
      </c>
      <c r="JR4" s="1771" t="s">
        <v>817</v>
      </c>
      <c r="JS4" s="1771" t="s">
        <v>813</v>
      </c>
      <c r="JT4" s="1771" t="s">
        <v>814</v>
      </c>
      <c r="JU4" s="1771" t="s">
        <v>815</v>
      </c>
      <c r="JV4" s="1771" t="s">
        <v>816</v>
      </c>
      <c r="JW4" s="1771" t="s">
        <v>817</v>
      </c>
      <c r="JX4" s="1772"/>
      <c r="JY4" s="1772"/>
      <c r="JZ4" s="1772"/>
      <c r="KA4" s="1772"/>
      <c r="KB4" s="1772"/>
      <c r="KC4" s="1772"/>
      <c r="KD4" s="1772"/>
      <c r="KE4" s="1772"/>
      <c r="KF4" s="1772"/>
      <c r="KG4" s="1772"/>
      <c r="KH4" s="1771" t="s">
        <v>813</v>
      </c>
      <c r="KI4" s="1771" t="s">
        <v>814</v>
      </c>
      <c r="KJ4" s="1771" t="s">
        <v>815</v>
      </c>
      <c r="KK4" s="1771" t="s">
        <v>816</v>
      </c>
      <c r="KL4" s="1771" t="s">
        <v>817</v>
      </c>
      <c r="KM4" s="1771" t="s">
        <v>813</v>
      </c>
      <c r="KN4" s="1771" t="s">
        <v>814</v>
      </c>
      <c r="KO4" s="1771" t="s">
        <v>815</v>
      </c>
      <c r="KP4" s="1771" t="s">
        <v>816</v>
      </c>
      <c r="KQ4" s="1771" t="s">
        <v>817</v>
      </c>
      <c r="KR4" s="1771" t="s">
        <v>813</v>
      </c>
      <c r="KS4" s="1771" t="s">
        <v>814</v>
      </c>
      <c r="KT4" s="1771" t="s">
        <v>815</v>
      </c>
      <c r="KU4" s="1771" t="s">
        <v>816</v>
      </c>
      <c r="KV4" s="1771" t="s">
        <v>817</v>
      </c>
      <c r="KW4" s="1771" t="s">
        <v>813</v>
      </c>
      <c r="KX4" s="1771" t="s">
        <v>814</v>
      </c>
      <c r="KY4" s="1771" t="s">
        <v>815</v>
      </c>
      <c r="KZ4" s="1771" t="s">
        <v>816</v>
      </c>
      <c r="LA4" s="1771" t="s">
        <v>817</v>
      </c>
      <c r="LB4" s="1771" t="s">
        <v>813</v>
      </c>
      <c r="LC4" s="1771" t="s">
        <v>814</v>
      </c>
      <c r="LD4" s="1771" t="s">
        <v>815</v>
      </c>
      <c r="LE4" s="1771" t="s">
        <v>816</v>
      </c>
      <c r="LF4" s="1771" t="s">
        <v>817</v>
      </c>
      <c r="LG4" s="1771" t="s">
        <v>813</v>
      </c>
      <c r="LH4" s="1771" t="s">
        <v>814</v>
      </c>
      <c r="LI4" s="1771" t="s">
        <v>815</v>
      </c>
      <c r="LJ4" s="1771" t="s">
        <v>816</v>
      </c>
      <c r="LK4" s="1771" t="s">
        <v>817</v>
      </c>
      <c r="LL4" s="1771" t="s">
        <v>813</v>
      </c>
      <c r="LM4" s="1771" t="s">
        <v>814</v>
      </c>
      <c r="LN4" s="1771" t="s">
        <v>815</v>
      </c>
      <c r="LO4" s="1771" t="s">
        <v>816</v>
      </c>
      <c r="LP4" s="1771" t="s">
        <v>817</v>
      </c>
      <c r="LQ4" s="1771" t="s">
        <v>813</v>
      </c>
      <c r="LR4" s="1771" t="s">
        <v>814</v>
      </c>
      <c r="LS4" s="1771" t="s">
        <v>815</v>
      </c>
      <c r="LT4" s="1771" t="s">
        <v>816</v>
      </c>
      <c r="LU4" s="1771" t="s">
        <v>817</v>
      </c>
      <c r="LV4" s="1771" t="s">
        <v>813</v>
      </c>
      <c r="LW4" s="1771" t="s">
        <v>814</v>
      </c>
      <c r="LX4" s="1771" t="s">
        <v>815</v>
      </c>
      <c r="LY4" s="1771" t="s">
        <v>816</v>
      </c>
      <c r="LZ4" s="1771" t="s">
        <v>817</v>
      </c>
      <c r="MA4" s="1771" t="s">
        <v>813</v>
      </c>
      <c r="MB4" s="1771" t="s">
        <v>814</v>
      </c>
      <c r="MC4" s="1771" t="s">
        <v>815</v>
      </c>
      <c r="MD4" s="1771" t="s">
        <v>816</v>
      </c>
      <c r="ME4" s="1771" t="s">
        <v>817</v>
      </c>
      <c r="MF4" s="1771" t="s">
        <v>813</v>
      </c>
      <c r="MG4" s="1771" t="s">
        <v>814</v>
      </c>
      <c r="MH4" s="1771" t="s">
        <v>815</v>
      </c>
      <c r="MI4" s="1771" t="s">
        <v>816</v>
      </c>
      <c r="MJ4" s="1771" t="s">
        <v>817</v>
      </c>
      <c r="MK4" s="1771" t="s">
        <v>813</v>
      </c>
      <c r="ML4" s="1771" t="s">
        <v>814</v>
      </c>
      <c r="MM4" s="1771" t="s">
        <v>815</v>
      </c>
      <c r="MN4" s="1771" t="s">
        <v>816</v>
      </c>
      <c r="MO4" s="1771" t="s">
        <v>817</v>
      </c>
      <c r="MP4" s="1004"/>
      <c r="MQ4" s="1004"/>
      <c r="MR4" s="1004"/>
      <c r="MS4" s="1004"/>
      <c r="MT4" s="1004"/>
      <c r="MU4" s="1004"/>
      <c r="MV4" s="1004"/>
      <c r="MW4" s="1004"/>
      <c r="MX4" s="1004"/>
      <c r="MY4" s="1004"/>
      <c r="MZ4" s="1004"/>
      <c r="NA4" s="1004"/>
      <c r="NB4" s="1004"/>
      <c r="NC4" s="1004"/>
      <c r="ND4" s="1004"/>
      <c r="NE4" s="1004"/>
      <c r="NF4" s="1004"/>
      <c r="NG4" s="1004"/>
      <c r="NH4" s="1004"/>
      <c r="NI4" s="1004"/>
      <c r="NJ4" s="1004"/>
      <c r="NK4" s="1004"/>
      <c r="NL4" s="1004"/>
      <c r="NM4" s="1004"/>
      <c r="NN4" s="1004"/>
      <c r="NO4" s="3789" t="s">
        <v>818</v>
      </c>
      <c r="NP4" s="3789" t="s">
        <v>819</v>
      </c>
      <c r="NQ4" s="3789" t="s">
        <v>820</v>
      </c>
      <c r="NR4" s="3789" t="s">
        <v>821</v>
      </c>
      <c r="NS4" s="3789" t="s">
        <v>822</v>
      </c>
      <c r="NT4" s="1004"/>
      <c r="NU4" s="1004"/>
      <c r="NV4" s="1004"/>
      <c r="NW4" s="1004"/>
      <c r="NX4" s="1004"/>
      <c r="NY4" s="1004"/>
      <c r="NZ4" s="1004"/>
      <c r="OA4" s="1004"/>
      <c r="OB4" s="1004"/>
      <c r="OC4" s="1004"/>
      <c r="OD4" s="253"/>
      <c r="OE4" s="253"/>
      <c r="OF4" s="253"/>
      <c r="OG4" s="253"/>
      <c r="OH4" s="253"/>
      <c r="OI4" s="253"/>
      <c r="OJ4" s="253"/>
      <c r="OK4" s="253"/>
      <c r="OL4" s="253"/>
      <c r="OM4" s="253"/>
      <c r="ON4" s="253"/>
      <c r="OO4" s="253"/>
      <c r="OP4" s="253"/>
      <c r="OQ4" s="253"/>
      <c r="OR4" s="253"/>
      <c r="OS4" s="253"/>
      <c r="OT4" s="253"/>
      <c r="OU4" s="253"/>
      <c r="OV4" s="43"/>
      <c r="OW4" s="43"/>
      <c r="OX4" s="43"/>
      <c r="OY4" s="1796"/>
      <c r="OZ4" s="1799">
        <v>4</v>
      </c>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row>
    <row r="5" spans="1:528" s="41" customFormat="1" ht="3" customHeight="1" thickBot="1">
      <c r="B5" s="3"/>
      <c r="C5" s="43"/>
      <c r="D5" s="1016"/>
      <c r="E5" s="1016"/>
      <c r="F5" s="1016"/>
      <c r="G5" s="1016"/>
      <c r="H5" s="1016"/>
      <c r="I5" s="1016"/>
      <c r="J5" s="1016"/>
      <c r="K5" s="43"/>
      <c r="L5" s="43"/>
      <c r="M5" s="43"/>
      <c r="N5" s="43"/>
      <c r="P5" s="1007"/>
      <c r="Q5" s="3805" t="s">
        <v>823</v>
      </c>
      <c r="R5" s="2544"/>
      <c r="S5" s="232"/>
      <c r="T5" s="232"/>
      <c r="U5" s="232"/>
      <c r="W5" s="233"/>
      <c r="X5" s="3789" t="s">
        <v>824</v>
      </c>
      <c r="Y5" s="3789" t="s">
        <v>825</v>
      </c>
      <c r="Z5" s="3789" t="s">
        <v>826</v>
      </c>
      <c r="AA5" s="3789" t="s">
        <v>827</v>
      </c>
      <c r="AB5" s="3789" t="s">
        <v>828</v>
      </c>
      <c r="AC5" s="3789" t="s">
        <v>829</v>
      </c>
      <c r="AD5" s="3789" t="s">
        <v>830</v>
      </c>
      <c r="AE5" s="3789" t="s">
        <v>831</v>
      </c>
      <c r="AF5" s="3789" t="s">
        <v>832</v>
      </c>
      <c r="AG5" s="3789" t="s">
        <v>833</v>
      </c>
      <c r="AH5" s="3789" t="s">
        <v>834</v>
      </c>
      <c r="AI5" s="3789" t="s">
        <v>835</v>
      </c>
      <c r="AJ5" s="3789" t="s">
        <v>836</v>
      </c>
      <c r="AK5" s="3789" t="s">
        <v>837</v>
      </c>
      <c r="AL5" s="3789" t="s">
        <v>838</v>
      </c>
      <c r="AM5" s="3789" t="s">
        <v>839</v>
      </c>
      <c r="AN5" s="3789" t="s">
        <v>840</v>
      </c>
      <c r="AO5" s="3789" t="s">
        <v>841</v>
      </c>
      <c r="AP5" s="3789" t="s">
        <v>842</v>
      </c>
      <c r="AQ5" s="3789" t="s">
        <v>843</v>
      </c>
      <c r="AR5" s="3789" t="s">
        <v>844</v>
      </c>
      <c r="AS5" s="3789" t="s">
        <v>845</v>
      </c>
      <c r="AT5" s="3789" t="s">
        <v>846</v>
      </c>
      <c r="AU5" s="3789" t="s">
        <v>847</v>
      </c>
      <c r="AV5" s="3789" t="s">
        <v>848</v>
      </c>
      <c r="AW5" s="3789" t="s">
        <v>849</v>
      </c>
      <c r="AX5" s="3789" t="s">
        <v>850</v>
      </c>
      <c r="AY5" s="3789" t="s">
        <v>851</v>
      </c>
      <c r="AZ5" s="3789" t="s">
        <v>852</v>
      </c>
      <c r="BA5" s="3789" t="s">
        <v>853</v>
      </c>
      <c r="BB5" s="3789" t="s">
        <v>854</v>
      </c>
      <c r="BC5" s="3789" t="s">
        <v>855</v>
      </c>
      <c r="BD5" s="3789" t="s">
        <v>856</v>
      </c>
      <c r="BE5" s="3789" t="s">
        <v>857</v>
      </c>
      <c r="BF5" s="3789" t="s">
        <v>858</v>
      </c>
      <c r="BG5" s="3789" t="s">
        <v>859</v>
      </c>
      <c r="BH5" s="3789" t="s">
        <v>860</v>
      </c>
      <c r="BI5" s="3789" t="s">
        <v>861</v>
      </c>
      <c r="BJ5" s="3789" t="s">
        <v>862</v>
      </c>
      <c r="BK5" s="3789" t="s">
        <v>863</v>
      </c>
      <c r="BL5" s="3789" t="s">
        <v>864</v>
      </c>
      <c r="BM5" s="3789" t="s">
        <v>865</v>
      </c>
      <c r="BN5" s="3789" t="s">
        <v>866</v>
      </c>
      <c r="BO5" s="3789" t="s">
        <v>867</v>
      </c>
      <c r="BP5" s="3789" t="s">
        <v>868</v>
      </c>
      <c r="BQ5" s="3789" t="s">
        <v>869</v>
      </c>
      <c r="BR5" s="3789" t="s">
        <v>870</v>
      </c>
      <c r="BS5" s="3789" t="s">
        <v>871</v>
      </c>
      <c r="BT5" s="3789" t="s">
        <v>872</v>
      </c>
      <c r="BU5" s="3789" t="s">
        <v>873</v>
      </c>
      <c r="BV5" s="3789" t="s">
        <v>874</v>
      </c>
      <c r="BW5" s="3789" t="s">
        <v>875</v>
      </c>
      <c r="BX5" s="3789" t="s">
        <v>876</v>
      </c>
      <c r="BY5" s="3789" t="s">
        <v>877</v>
      </c>
      <c r="BZ5" s="3789" t="s">
        <v>878</v>
      </c>
      <c r="CA5" s="3789" t="s">
        <v>879</v>
      </c>
      <c r="CB5" s="3789" t="s">
        <v>880</v>
      </c>
      <c r="CC5" s="3789" t="s">
        <v>881</v>
      </c>
      <c r="CD5" s="3789" t="s">
        <v>882</v>
      </c>
      <c r="CE5" s="3789" t="s">
        <v>883</v>
      </c>
      <c r="CF5" s="3789" t="s">
        <v>884</v>
      </c>
      <c r="CG5" s="3789" t="s">
        <v>885</v>
      </c>
      <c r="CH5" s="3789" t="s">
        <v>886</v>
      </c>
      <c r="CI5" s="3789" t="s">
        <v>887</v>
      </c>
      <c r="CJ5" s="3789" t="s">
        <v>888</v>
      </c>
      <c r="CK5" s="3789" t="s">
        <v>889</v>
      </c>
      <c r="CL5" s="3789" t="s">
        <v>890</v>
      </c>
      <c r="CM5" s="3789" t="s">
        <v>891</v>
      </c>
      <c r="CN5" s="3789" t="s">
        <v>892</v>
      </c>
      <c r="CO5" s="3789" t="s">
        <v>893</v>
      </c>
      <c r="CP5" s="3789" t="s">
        <v>894</v>
      </c>
      <c r="CQ5" s="3789" t="s">
        <v>895</v>
      </c>
      <c r="CR5" s="3789" t="s">
        <v>896</v>
      </c>
      <c r="CS5" s="3789" t="s">
        <v>897</v>
      </c>
      <c r="CT5" s="3789" t="s">
        <v>898</v>
      </c>
      <c r="CU5" s="3789" t="s">
        <v>899</v>
      </c>
      <c r="CV5" s="3789" t="s">
        <v>900</v>
      </c>
      <c r="CW5" s="3789" t="s">
        <v>901</v>
      </c>
      <c r="CX5" s="3789" t="s">
        <v>902</v>
      </c>
      <c r="CY5" s="3789" t="s">
        <v>903</v>
      </c>
      <c r="CZ5" s="3789" t="s">
        <v>904</v>
      </c>
      <c r="DA5" s="3789" t="s">
        <v>905</v>
      </c>
      <c r="DB5" s="3789" t="s">
        <v>906</v>
      </c>
      <c r="DC5" s="3789" t="s">
        <v>907</v>
      </c>
      <c r="DD5" s="3789" t="s">
        <v>908</v>
      </c>
      <c r="DE5" s="3789" t="s">
        <v>909</v>
      </c>
      <c r="DF5" s="3789" t="s">
        <v>910</v>
      </c>
      <c r="DG5" s="3789" t="s">
        <v>911</v>
      </c>
      <c r="DH5" s="3789" t="s">
        <v>912</v>
      </c>
      <c r="DI5" s="3789" t="s">
        <v>913</v>
      </c>
      <c r="DJ5" s="3789" t="s">
        <v>914</v>
      </c>
      <c r="DK5" s="3789" t="s">
        <v>915</v>
      </c>
      <c r="DL5" s="3789" t="s">
        <v>916</v>
      </c>
      <c r="DM5" s="3789" t="s">
        <v>917</v>
      </c>
      <c r="DN5" s="3789" t="s">
        <v>918</v>
      </c>
      <c r="DO5" s="3789" t="s">
        <v>919</v>
      </c>
      <c r="DP5" s="3789" t="s">
        <v>920</v>
      </c>
      <c r="DQ5" s="3789" t="s">
        <v>921</v>
      </c>
      <c r="DR5" s="3789" t="s">
        <v>922</v>
      </c>
      <c r="DS5" s="3789" t="s">
        <v>923</v>
      </c>
      <c r="DT5" s="3789" t="s">
        <v>924</v>
      </c>
      <c r="DU5" s="3789" t="s">
        <v>925</v>
      </c>
      <c r="DV5" s="3789" t="s">
        <v>926</v>
      </c>
      <c r="DW5" s="3789" t="s">
        <v>927</v>
      </c>
      <c r="DX5" s="3789" t="s">
        <v>928</v>
      </c>
      <c r="DY5" s="3789" t="s">
        <v>929</v>
      </c>
      <c r="DZ5" s="3789" t="s">
        <v>930</v>
      </c>
      <c r="EA5" s="3789" t="s">
        <v>931</v>
      </c>
      <c r="EB5" s="3789" t="s">
        <v>932</v>
      </c>
      <c r="EC5" s="3789" t="s">
        <v>933</v>
      </c>
      <c r="ED5" s="3789" t="s">
        <v>934</v>
      </c>
      <c r="EE5" s="3789" t="s">
        <v>935</v>
      </c>
      <c r="EF5" s="3789" t="s">
        <v>936</v>
      </c>
      <c r="EG5" s="3789" t="s">
        <v>937</v>
      </c>
      <c r="EH5" s="3789" t="s">
        <v>938</v>
      </c>
      <c r="EI5" s="3789" t="s">
        <v>939</v>
      </c>
      <c r="EJ5" s="3789" t="s">
        <v>940</v>
      </c>
      <c r="EK5" s="3789" t="s">
        <v>941</v>
      </c>
      <c r="EL5" s="3789" t="s">
        <v>942</v>
      </c>
      <c r="EM5" s="3789" t="s">
        <v>943</v>
      </c>
      <c r="EN5" s="3789" t="s">
        <v>944</v>
      </c>
      <c r="EO5" s="3789" t="s">
        <v>945</v>
      </c>
      <c r="EP5" s="3789" t="s">
        <v>946</v>
      </c>
      <c r="EQ5" s="3789" t="s">
        <v>947</v>
      </c>
      <c r="ER5" s="3789" t="s">
        <v>948</v>
      </c>
      <c r="ES5" s="3789" t="s">
        <v>949</v>
      </c>
      <c r="ET5" s="3789" t="s">
        <v>950</v>
      </c>
      <c r="EU5" s="3789" t="s">
        <v>951</v>
      </c>
      <c r="EV5" s="3789" t="s">
        <v>952</v>
      </c>
      <c r="EW5" s="3789" t="s">
        <v>953</v>
      </c>
      <c r="EX5" s="3789" t="s">
        <v>954</v>
      </c>
      <c r="EY5" s="3789" t="s">
        <v>955</v>
      </c>
      <c r="EZ5" s="3789" t="s">
        <v>956</v>
      </c>
      <c r="FA5" s="3789" t="s">
        <v>957</v>
      </c>
      <c r="FB5" s="3789" t="s">
        <v>958</v>
      </c>
      <c r="FC5" s="3789" t="s">
        <v>959</v>
      </c>
      <c r="FD5" s="3789" t="s">
        <v>960</v>
      </c>
      <c r="FE5" s="3789" t="s">
        <v>961</v>
      </c>
      <c r="FF5" s="3789" t="s">
        <v>962</v>
      </c>
      <c r="FG5" s="3789" t="s">
        <v>963</v>
      </c>
      <c r="FH5" s="3789" t="s">
        <v>964</v>
      </c>
      <c r="FI5" s="3789" t="s">
        <v>965</v>
      </c>
      <c r="FJ5" s="3789" t="s">
        <v>966</v>
      </c>
      <c r="FK5" s="3789" t="s">
        <v>967</v>
      </c>
      <c r="FL5" s="3789" t="s">
        <v>968</v>
      </c>
      <c r="FM5" s="3789" t="s">
        <v>969</v>
      </c>
      <c r="FN5" s="3789" t="s">
        <v>970</v>
      </c>
      <c r="FO5" s="3789" t="s">
        <v>971</v>
      </c>
      <c r="FP5" s="3789" t="s">
        <v>972</v>
      </c>
      <c r="FQ5" s="3789" t="s">
        <v>973</v>
      </c>
      <c r="FR5" s="3789" t="s">
        <v>974</v>
      </c>
      <c r="FS5" s="3789" t="s">
        <v>975</v>
      </c>
      <c r="FT5" s="3789" t="s">
        <v>976</v>
      </c>
      <c r="FU5" s="3789" t="s">
        <v>977</v>
      </c>
      <c r="FV5" s="3789" t="s">
        <v>978</v>
      </c>
      <c r="FW5" s="3789" t="s">
        <v>979</v>
      </c>
      <c r="FX5" s="3789" t="s">
        <v>980</v>
      </c>
      <c r="FY5" s="3789" t="s">
        <v>981</v>
      </c>
      <c r="FZ5" s="3789" t="s">
        <v>982</v>
      </c>
      <c r="GA5" s="3789" t="s">
        <v>983</v>
      </c>
      <c r="GB5" s="3789" t="s">
        <v>984</v>
      </c>
      <c r="GC5" s="3789" t="s">
        <v>985</v>
      </c>
      <c r="GD5" s="3789" t="s">
        <v>986</v>
      </c>
      <c r="GE5" s="3789" t="s">
        <v>987</v>
      </c>
      <c r="GF5" s="3789" t="s">
        <v>988</v>
      </c>
      <c r="GG5" s="3789" t="s">
        <v>989</v>
      </c>
      <c r="GH5" s="3789" t="s">
        <v>990</v>
      </c>
      <c r="GI5" s="3789" t="s">
        <v>991</v>
      </c>
      <c r="GJ5" s="3789" t="s">
        <v>992</v>
      </c>
      <c r="GK5" s="3789" t="s">
        <v>993</v>
      </c>
      <c r="GL5" s="3789" t="s">
        <v>994</v>
      </c>
      <c r="GM5" s="3789" t="s">
        <v>995</v>
      </c>
      <c r="GN5" s="3789" t="s">
        <v>996</v>
      </c>
      <c r="GO5" s="3789" t="s">
        <v>997</v>
      </c>
      <c r="GP5" s="3789" t="s">
        <v>998</v>
      </c>
      <c r="GQ5" s="3789" t="s">
        <v>999</v>
      </c>
      <c r="GR5" s="3789" t="s">
        <v>1000</v>
      </c>
      <c r="GS5" s="3789" t="s">
        <v>1001</v>
      </c>
      <c r="GT5" s="3789" t="s">
        <v>1002</v>
      </c>
      <c r="GU5" s="3789" t="s">
        <v>1003</v>
      </c>
      <c r="GV5" s="3789" t="s">
        <v>1004</v>
      </c>
      <c r="GW5" s="3789" t="s">
        <v>1005</v>
      </c>
      <c r="GX5" s="3789" t="s">
        <v>1006</v>
      </c>
      <c r="GY5" s="3789" t="s">
        <v>1007</v>
      </c>
      <c r="GZ5" s="3789" t="s">
        <v>1008</v>
      </c>
      <c r="HA5" s="3789" t="s">
        <v>1009</v>
      </c>
      <c r="HB5" s="3789" t="s">
        <v>1010</v>
      </c>
      <c r="HC5" s="3789" t="s">
        <v>1011</v>
      </c>
      <c r="HD5" s="3789" t="s">
        <v>1012</v>
      </c>
      <c r="HE5" s="3789" t="s">
        <v>1013</v>
      </c>
      <c r="HF5" s="3789" t="s">
        <v>1014</v>
      </c>
      <c r="HG5" s="3789" t="s">
        <v>1015</v>
      </c>
      <c r="HH5" s="3789" t="s">
        <v>1016</v>
      </c>
      <c r="HI5" s="3789" t="s">
        <v>1017</v>
      </c>
      <c r="HJ5" s="3789" t="s">
        <v>1018</v>
      </c>
      <c r="HK5" s="3789" t="s">
        <v>1019</v>
      </c>
      <c r="HL5" s="3789" t="s">
        <v>1020</v>
      </c>
      <c r="HM5" s="3789" t="s">
        <v>1021</v>
      </c>
      <c r="HN5" s="3789" t="s">
        <v>1022</v>
      </c>
      <c r="HO5" s="3789" t="s">
        <v>1023</v>
      </c>
      <c r="HP5" s="3789" t="s">
        <v>1024</v>
      </c>
      <c r="HQ5" s="3789" t="s">
        <v>1025</v>
      </c>
      <c r="HR5" s="3789" t="s">
        <v>1026</v>
      </c>
      <c r="HS5" s="3789" t="s">
        <v>1027</v>
      </c>
      <c r="HT5" s="3789" t="s">
        <v>1028</v>
      </c>
      <c r="HU5" s="3789" t="s">
        <v>1029</v>
      </c>
      <c r="HV5" s="3789" t="s">
        <v>1030</v>
      </c>
      <c r="HW5" s="3789" t="s">
        <v>1031</v>
      </c>
      <c r="HX5" s="3789" t="s">
        <v>1032</v>
      </c>
      <c r="HY5" s="3789" t="s">
        <v>1033</v>
      </c>
      <c r="HZ5" s="3789" t="s">
        <v>1034</v>
      </c>
      <c r="IA5" s="3789" t="s">
        <v>1035</v>
      </c>
      <c r="IB5" s="3789" t="s">
        <v>1036</v>
      </c>
      <c r="IC5" s="3789" t="s">
        <v>1037</v>
      </c>
      <c r="ID5" s="3789" t="s">
        <v>1038</v>
      </c>
      <c r="IE5" s="3789" t="s">
        <v>1039</v>
      </c>
      <c r="IF5" s="3789" t="s">
        <v>1040</v>
      </c>
      <c r="IG5" s="3789" t="s">
        <v>1041</v>
      </c>
      <c r="IH5" s="3789" t="s">
        <v>1042</v>
      </c>
      <c r="II5" s="3789" t="s">
        <v>1043</v>
      </c>
      <c r="IJ5" s="3789" t="s">
        <v>1044</v>
      </c>
      <c r="IK5" s="3789" t="s">
        <v>1045</v>
      </c>
      <c r="IL5" s="3789" t="s">
        <v>1046</v>
      </c>
      <c r="IM5" s="3789" t="s">
        <v>1047</v>
      </c>
      <c r="IN5" s="3789" t="s">
        <v>1048</v>
      </c>
      <c r="IO5" s="3789" t="s">
        <v>1049</v>
      </c>
      <c r="IP5" s="3789" t="s">
        <v>1050</v>
      </c>
      <c r="IQ5" s="3789" t="s">
        <v>1051</v>
      </c>
      <c r="IR5" s="3789" t="s">
        <v>1052</v>
      </c>
      <c r="IS5" s="3789" t="s">
        <v>1053</v>
      </c>
      <c r="IT5" s="3789" t="s">
        <v>1054</v>
      </c>
      <c r="IU5" s="3789" t="s">
        <v>1055</v>
      </c>
      <c r="IV5" s="3789" t="s">
        <v>1056</v>
      </c>
      <c r="IW5" s="3789" t="s">
        <v>1057</v>
      </c>
      <c r="IX5" s="3789" t="s">
        <v>1058</v>
      </c>
      <c r="IY5" s="3789" t="s">
        <v>1059</v>
      </c>
      <c r="IZ5" s="3789" t="s">
        <v>1060</v>
      </c>
      <c r="JA5" s="3789" t="s">
        <v>1061</v>
      </c>
      <c r="JB5" s="3789" t="s">
        <v>1062</v>
      </c>
      <c r="JC5" s="3789" t="s">
        <v>1063</v>
      </c>
      <c r="JD5" s="3789" t="s">
        <v>1064</v>
      </c>
      <c r="JE5" s="3789" t="s">
        <v>1065</v>
      </c>
      <c r="JF5" s="3789" t="s">
        <v>1066</v>
      </c>
      <c r="JG5" s="3789" t="s">
        <v>1067</v>
      </c>
      <c r="JH5" s="3789" t="s">
        <v>1068</v>
      </c>
      <c r="JI5" s="1772"/>
      <c r="JJ5" s="1772"/>
      <c r="JK5" s="1772"/>
      <c r="JL5" s="1772"/>
      <c r="JM5" s="1772"/>
      <c r="JN5" s="1772"/>
      <c r="JO5" s="1772"/>
      <c r="JP5" s="1772"/>
      <c r="JQ5" s="1772"/>
      <c r="JR5" s="1772"/>
      <c r="JS5" s="1772"/>
      <c r="JT5" s="1772"/>
      <c r="JU5" s="1772"/>
      <c r="JV5" s="1772"/>
      <c r="JW5" s="1772"/>
      <c r="JX5" s="1772"/>
      <c r="JY5" s="1772"/>
      <c r="JZ5" s="1772"/>
      <c r="KA5" s="1772"/>
      <c r="KB5" s="1772"/>
      <c r="KC5" s="1772"/>
      <c r="KD5" s="1772"/>
      <c r="KE5" s="1772"/>
      <c r="KF5" s="1772"/>
      <c r="KG5" s="1772"/>
      <c r="KH5" s="1772"/>
      <c r="KI5" s="1772"/>
      <c r="KJ5" s="1772"/>
      <c r="KK5" s="1772"/>
      <c r="KL5" s="1772"/>
      <c r="KM5" s="1772"/>
      <c r="KN5" s="1772"/>
      <c r="KO5" s="1772"/>
      <c r="KP5" s="1772"/>
      <c r="KQ5" s="1772"/>
      <c r="KR5" s="1772"/>
      <c r="KS5" s="1772"/>
      <c r="KT5" s="1772"/>
      <c r="KU5" s="1772"/>
      <c r="KV5" s="1772"/>
      <c r="KW5" s="1772"/>
      <c r="KX5" s="1772"/>
      <c r="KY5" s="1772"/>
      <c r="KZ5" s="1772"/>
      <c r="LA5" s="1772"/>
      <c r="LB5" s="1772"/>
      <c r="LC5" s="1772"/>
      <c r="LD5" s="1772"/>
      <c r="LE5" s="1772"/>
      <c r="LF5" s="1772"/>
      <c r="LG5" s="1772"/>
      <c r="LH5" s="1772"/>
      <c r="LI5" s="1772"/>
      <c r="LJ5" s="1772"/>
      <c r="LK5" s="1772"/>
      <c r="LL5" s="1772"/>
      <c r="LM5" s="1772"/>
      <c r="LN5" s="1772"/>
      <c r="LO5" s="1772"/>
      <c r="LP5" s="1772"/>
      <c r="LQ5" s="1772"/>
      <c r="LR5" s="1772"/>
      <c r="LS5" s="1772"/>
      <c r="LT5" s="1772"/>
      <c r="LU5" s="1772"/>
      <c r="LV5" s="1004"/>
      <c r="LW5" s="1004"/>
      <c r="LX5" s="1004"/>
      <c r="LY5" s="1004"/>
      <c r="LZ5" s="1004"/>
      <c r="MA5" s="1004"/>
      <c r="MB5" s="1004"/>
      <c r="MC5" s="1004"/>
      <c r="MD5" s="1004"/>
      <c r="ME5" s="1004"/>
      <c r="MF5" s="1004"/>
      <c r="MG5" s="1004"/>
      <c r="MH5" s="1004"/>
      <c r="MI5" s="1004"/>
      <c r="MJ5" s="1004"/>
      <c r="MK5" s="1004"/>
      <c r="ML5" s="1004"/>
      <c r="MM5" s="1004"/>
      <c r="MN5" s="1004"/>
      <c r="MO5" s="1004"/>
      <c r="MP5" s="3789" t="s">
        <v>1069</v>
      </c>
      <c r="MQ5" s="3789" t="s">
        <v>1070</v>
      </c>
      <c r="MR5" s="3789" t="s">
        <v>1071</v>
      </c>
      <c r="MS5" s="3789" t="s">
        <v>1072</v>
      </c>
      <c r="MT5" s="3789" t="s">
        <v>1073</v>
      </c>
      <c r="MU5" s="3789" t="s">
        <v>1074</v>
      </c>
      <c r="MV5" s="3789" t="s">
        <v>1075</v>
      </c>
      <c r="MW5" s="3789" t="s">
        <v>1076</v>
      </c>
      <c r="MX5" s="3789" t="s">
        <v>1077</v>
      </c>
      <c r="MY5" s="3789" t="s">
        <v>1078</v>
      </c>
      <c r="MZ5" s="3789" t="s">
        <v>1079</v>
      </c>
      <c r="NA5" s="3789" t="s">
        <v>1080</v>
      </c>
      <c r="NB5" s="3789" t="s">
        <v>1081</v>
      </c>
      <c r="NC5" s="3789" t="s">
        <v>1082</v>
      </c>
      <c r="ND5" s="3789" t="s">
        <v>1083</v>
      </c>
      <c r="NE5" s="3789" t="s">
        <v>1084</v>
      </c>
      <c r="NF5" s="3789" t="s">
        <v>1085</v>
      </c>
      <c r="NG5" s="3789" t="s">
        <v>1086</v>
      </c>
      <c r="NH5" s="3789" t="s">
        <v>1087</v>
      </c>
      <c r="NI5" s="3789" t="s">
        <v>1088</v>
      </c>
      <c r="NJ5" s="3789" t="s">
        <v>1089</v>
      </c>
      <c r="NK5" s="3789" t="s">
        <v>1090</v>
      </c>
      <c r="NL5" s="3789" t="s">
        <v>1091</v>
      </c>
      <c r="NM5" s="3789" t="s">
        <v>1092</v>
      </c>
      <c r="NN5" s="3789" t="s">
        <v>1093</v>
      </c>
      <c r="NO5" s="3789"/>
      <c r="NP5" s="3789"/>
      <c r="NQ5" s="3789"/>
      <c r="NR5" s="3789"/>
      <c r="NS5" s="3789"/>
      <c r="NT5" s="1004"/>
      <c r="NU5" s="1004"/>
      <c r="NV5" s="1004"/>
      <c r="NW5" s="1004"/>
      <c r="NX5" s="1004"/>
      <c r="NY5" s="1004"/>
      <c r="NZ5" s="1004"/>
      <c r="OA5" s="1004"/>
      <c r="OB5" s="1004"/>
      <c r="OC5" s="1004"/>
      <c r="OD5" s="253"/>
      <c r="OE5" s="253"/>
      <c r="OF5" s="253"/>
      <c r="OG5" s="253"/>
      <c r="OH5" s="253"/>
      <c r="OI5" s="253"/>
      <c r="OJ5" s="253"/>
      <c r="OK5" s="253"/>
      <c r="OL5" s="253"/>
      <c r="OM5" s="253"/>
      <c r="ON5" s="253"/>
      <c r="OO5" s="253"/>
      <c r="OP5" s="253"/>
      <c r="OQ5" s="253"/>
      <c r="OR5" s="253"/>
      <c r="OS5" s="253"/>
      <c r="OT5" s="253"/>
      <c r="OU5" s="253"/>
      <c r="OV5" s="43"/>
      <c r="OW5" s="43"/>
      <c r="OX5" s="43"/>
      <c r="OY5" s="1796"/>
      <c r="OZ5" s="1799">
        <v>5</v>
      </c>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row>
    <row r="6" spans="1:528" s="41" customFormat="1" ht="12.6" customHeight="1" thickBot="1">
      <c r="A6" s="3801" t="str">
        <f>IF(A58&gt;0,"Finish Row!","")</f>
        <v/>
      </c>
      <c r="B6" s="92" t="s">
        <v>1094</v>
      </c>
      <c r="D6" s="1016"/>
      <c r="E6" s="1016"/>
      <c r="F6" s="1016"/>
      <c r="G6" s="2703" t="s">
        <v>7731</v>
      </c>
      <c r="H6" s="3802" t="s">
        <v>1095</v>
      </c>
      <c r="I6" s="3803"/>
      <c r="J6" s="3803"/>
      <c r="K6" s="501" t="s">
        <v>803</v>
      </c>
      <c r="L6" s="3804" t="str">
        <f>'Part I-Project Identification'!$A$6</f>
        <v>May XX, 2026</v>
      </c>
      <c r="M6" s="3804"/>
      <c r="N6" s="3804"/>
      <c r="O6" s="1164" t="s">
        <v>1096</v>
      </c>
      <c r="P6" s="1006">
        <v>74700</v>
      </c>
      <c r="Q6" s="3805"/>
      <c r="R6" s="2544"/>
      <c r="S6" s="43"/>
      <c r="U6" s="43"/>
      <c r="X6" s="3789"/>
      <c r="Y6" s="3789"/>
      <c r="Z6" s="3789"/>
      <c r="AA6" s="3789"/>
      <c r="AB6" s="3789"/>
      <c r="AC6" s="3789"/>
      <c r="AD6" s="3789"/>
      <c r="AE6" s="3789"/>
      <c r="AF6" s="3789"/>
      <c r="AG6" s="3789"/>
      <c r="AH6" s="3789"/>
      <c r="AI6" s="3789"/>
      <c r="AJ6" s="3789"/>
      <c r="AK6" s="3789"/>
      <c r="AL6" s="3789"/>
      <c r="AM6" s="3789"/>
      <c r="AN6" s="3789"/>
      <c r="AO6" s="3789"/>
      <c r="AP6" s="3789"/>
      <c r="AQ6" s="3789"/>
      <c r="AR6" s="3789"/>
      <c r="AS6" s="3789"/>
      <c r="AT6" s="3789"/>
      <c r="AU6" s="3789"/>
      <c r="AV6" s="3789"/>
      <c r="AW6" s="3789"/>
      <c r="AX6" s="3789"/>
      <c r="AY6" s="3789"/>
      <c r="AZ6" s="3789"/>
      <c r="BA6" s="3789"/>
      <c r="BB6" s="3789"/>
      <c r="BC6" s="3789"/>
      <c r="BD6" s="3789"/>
      <c r="BE6" s="3789"/>
      <c r="BF6" s="3789"/>
      <c r="BG6" s="3789"/>
      <c r="BH6" s="3789"/>
      <c r="BI6" s="3789"/>
      <c r="BJ6" s="3789"/>
      <c r="BK6" s="3789"/>
      <c r="BL6" s="3789"/>
      <c r="BM6" s="3789"/>
      <c r="BN6" s="3789"/>
      <c r="BO6" s="3789"/>
      <c r="BP6" s="3789"/>
      <c r="BQ6" s="3789"/>
      <c r="BR6" s="3789"/>
      <c r="BS6" s="3789"/>
      <c r="BT6" s="3789"/>
      <c r="BU6" s="3789"/>
      <c r="BV6" s="3789"/>
      <c r="BW6" s="3789"/>
      <c r="BX6" s="3789"/>
      <c r="BY6" s="3789"/>
      <c r="BZ6" s="3789"/>
      <c r="CA6" s="3789"/>
      <c r="CB6" s="3789"/>
      <c r="CC6" s="3789"/>
      <c r="CD6" s="3789"/>
      <c r="CE6" s="3789"/>
      <c r="CF6" s="3789"/>
      <c r="CG6" s="3789"/>
      <c r="CH6" s="3789"/>
      <c r="CI6" s="3789"/>
      <c r="CJ6" s="3789"/>
      <c r="CK6" s="3789"/>
      <c r="CL6" s="3789"/>
      <c r="CM6" s="3789"/>
      <c r="CN6" s="3789"/>
      <c r="CO6" s="3789"/>
      <c r="CP6" s="3789"/>
      <c r="CQ6" s="3789"/>
      <c r="CR6" s="3789"/>
      <c r="CS6" s="3789"/>
      <c r="CT6" s="3789"/>
      <c r="CU6" s="3789"/>
      <c r="CV6" s="3789"/>
      <c r="CW6" s="3789"/>
      <c r="CX6" s="3789"/>
      <c r="CY6" s="3789"/>
      <c r="CZ6" s="3789"/>
      <c r="DA6" s="3789"/>
      <c r="DB6" s="3789"/>
      <c r="DC6" s="3789"/>
      <c r="DD6" s="3789"/>
      <c r="DE6" s="3789"/>
      <c r="DF6" s="3789"/>
      <c r="DG6" s="3789"/>
      <c r="DH6" s="3789"/>
      <c r="DI6" s="3789"/>
      <c r="DJ6" s="3789"/>
      <c r="DK6" s="3789"/>
      <c r="DL6" s="3789"/>
      <c r="DM6" s="3789"/>
      <c r="DN6" s="3789"/>
      <c r="DO6" s="3789"/>
      <c r="DP6" s="3789"/>
      <c r="DQ6" s="3789"/>
      <c r="DR6" s="3789"/>
      <c r="DS6" s="3789"/>
      <c r="DT6" s="3789"/>
      <c r="DU6" s="3789"/>
      <c r="DV6" s="3789"/>
      <c r="DW6" s="3789"/>
      <c r="DX6" s="3789"/>
      <c r="DY6" s="3789"/>
      <c r="DZ6" s="3789"/>
      <c r="EA6" s="3789"/>
      <c r="EB6" s="3789"/>
      <c r="EC6" s="3789"/>
      <c r="ED6" s="3789"/>
      <c r="EE6" s="3789"/>
      <c r="EF6" s="3789"/>
      <c r="EG6" s="3789"/>
      <c r="EH6" s="3789"/>
      <c r="EI6" s="3789"/>
      <c r="EJ6" s="3789"/>
      <c r="EK6" s="3789"/>
      <c r="EL6" s="3789"/>
      <c r="EM6" s="3789"/>
      <c r="EN6" s="3789"/>
      <c r="EO6" s="3789"/>
      <c r="EP6" s="3789"/>
      <c r="EQ6" s="3789"/>
      <c r="ER6" s="3789"/>
      <c r="ES6" s="3789"/>
      <c r="ET6" s="3789"/>
      <c r="EU6" s="3789"/>
      <c r="EV6" s="3789"/>
      <c r="EW6" s="3789"/>
      <c r="EX6" s="3789"/>
      <c r="EY6" s="3789"/>
      <c r="EZ6" s="3789"/>
      <c r="FA6" s="3789"/>
      <c r="FB6" s="3789"/>
      <c r="FC6" s="3789"/>
      <c r="FD6" s="3789"/>
      <c r="FE6" s="3789"/>
      <c r="FF6" s="3789"/>
      <c r="FG6" s="3789"/>
      <c r="FH6" s="3789"/>
      <c r="FI6" s="3789"/>
      <c r="FJ6" s="3789"/>
      <c r="FK6" s="3789"/>
      <c r="FL6" s="3789"/>
      <c r="FM6" s="3789"/>
      <c r="FN6" s="3789"/>
      <c r="FO6" s="3789"/>
      <c r="FP6" s="3789"/>
      <c r="FQ6" s="3789"/>
      <c r="FR6" s="3789"/>
      <c r="FS6" s="3789"/>
      <c r="FT6" s="3789"/>
      <c r="FU6" s="3789"/>
      <c r="FV6" s="3789"/>
      <c r="FW6" s="3789"/>
      <c r="FX6" s="3789"/>
      <c r="FY6" s="3789"/>
      <c r="FZ6" s="3789"/>
      <c r="GA6" s="3789"/>
      <c r="GB6" s="3789"/>
      <c r="GC6" s="3789"/>
      <c r="GD6" s="3789"/>
      <c r="GE6" s="3789"/>
      <c r="GF6" s="3789"/>
      <c r="GG6" s="3789"/>
      <c r="GH6" s="3789"/>
      <c r="GI6" s="3789"/>
      <c r="GJ6" s="3789"/>
      <c r="GK6" s="3789"/>
      <c r="GL6" s="3789"/>
      <c r="GM6" s="3789"/>
      <c r="GN6" s="3789"/>
      <c r="GO6" s="3789"/>
      <c r="GP6" s="3789"/>
      <c r="GQ6" s="3789"/>
      <c r="GR6" s="3789"/>
      <c r="GS6" s="3789"/>
      <c r="GT6" s="3789"/>
      <c r="GU6" s="3789"/>
      <c r="GV6" s="3789"/>
      <c r="GW6" s="3789"/>
      <c r="GX6" s="3789"/>
      <c r="GY6" s="3789"/>
      <c r="GZ6" s="3789"/>
      <c r="HA6" s="3789"/>
      <c r="HB6" s="3789"/>
      <c r="HC6" s="3789"/>
      <c r="HD6" s="3789"/>
      <c r="HE6" s="3789"/>
      <c r="HF6" s="3789"/>
      <c r="HG6" s="3789"/>
      <c r="HH6" s="3789"/>
      <c r="HI6" s="3789"/>
      <c r="HJ6" s="3789"/>
      <c r="HK6" s="3789"/>
      <c r="HL6" s="3789"/>
      <c r="HM6" s="3789"/>
      <c r="HN6" s="3789"/>
      <c r="HO6" s="3789"/>
      <c r="HP6" s="3789"/>
      <c r="HQ6" s="3789"/>
      <c r="HR6" s="3789"/>
      <c r="HS6" s="3789"/>
      <c r="HT6" s="3789"/>
      <c r="HU6" s="3789"/>
      <c r="HV6" s="3789"/>
      <c r="HW6" s="3789"/>
      <c r="HX6" s="3789"/>
      <c r="HY6" s="3789"/>
      <c r="HZ6" s="3789"/>
      <c r="IA6" s="3789"/>
      <c r="IB6" s="3789"/>
      <c r="IC6" s="3789"/>
      <c r="ID6" s="3789"/>
      <c r="IE6" s="3789"/>
      <c r="IF6" s="3789"/>
      <c r="IG6" s="3789"/>
      <c r="IH6" s="3789"/>
      <c r="II6" s="3789"/>
      <c r="IJ6" s="3789"/>
      <c r="IK6" s="3789"/>
      <c r="IL6" s="3789"/>
      <c r="IM6" s="3789"/>
      <c r="IN6" s="3789"/>
      <c r="IO6" s="3789"/>
      <c r="IP6" s="3789"/>
      <c r="IQ6" s="3789"/>
      <c r="IR6" s="3789"/>
      <c r="IS6" s="3789"/>
      <c r="IT6" s="3789"/>
      <c r="IU6" s="3789"/>
      <c r="IV6" s="3789"/>
      <c r="IW6" s="3789"/>
      <c r="IX6" s="3789"/>
      <c r="IY6" s="3789"/>
      <c r="IZ6" s="3789"/>
      <c r="JA6" s="3789"/>
      <c r="JB6" s="3789"/>
      <c r="JC6" s="3789"/>
      <c r="JD6" s="3789"/>
      <c r="JE6" s="3789"/>
      <c r="JF6" s="3789"/>
      <c r="JG6" s="3789"/>
      <c r="JH6" s="3789"/>
      <c r="JI6" s="1772"/>
      <c r="JJ6" s="1772"/>
      <c r="JK6" s="1772"/>
      <c r="JL6" s="1772"/>
      <c r="JM6" s="1772"/>
      <c r="JN6" s="1772"/>
      <c r="JO6" s="1772"/>
      <c r="JP6" s="1772"/>
      <c r="JQ6" s="1772"/>
      <c r="JR6" s="1772"/>
      <c r="JS6" s="1772"/>
      <c r="JT6" s="1772"/>
      <c r="JU6" s="1772"/>
      <c r="JV6" s="1772"/>
      <c r="JW6" s="1772"/>
      <c r="JX6" s="1772"/>
      <c r="JY6" s="1772"/>
      <c r="JZ6" s="1772"/>
      <c r="KA6" s="1772"/>
      <c r="KB6" s="1772"/>
      <c r="KC6" s="1772"/>
      <c r="KD6" s="1772"/>
      <c r="KE6" s="1772"/>
      <c r="KF6" s="1772"/>
      <c r="KG6" s="1772"/>
      <c r="KH6" s="1772"/>
      <c r="KI6" s="1772"/>
      <c r="KJ6" s="1772"/>
      <c r="KK6" s="1772"/>
      <c r="KL6" s="1772"/>
      <c r="KM6" s="1772"/>
      <c r="KN6" s="1772"/>
      <c r="KO6" s="1772"/>
      <c r="KP6" s="1772"/>
      <c r="KQ6" s="1772"/>
      <c r="KR6" s="1772"/>
      <c r="KS6" s="1772"/>
      <c r="KT6" s="1772"/>
      <c r="KU6" s="1772"/>
      <c r="KV6" s="1772"/>
      <c r="KW6" s="1772"/>
      <c r="KX6" s="1772"/>
      <c r="KY6" s="1772"/>
      <c r="KZ6" s="1772"/>
      <c r="LA6" s="1772"/>
      <c r="LB6" s="1772"/>
      <c r="LC6" s="1772"/>
      <c r="LD6" s="1772"/>
      <c r="LE6" s="1772"/>
      <c r="LF6" s="1772"/>
      <c r="LG6" s="1772"/>
      <c r="LH6" s="1772"/>
      <c r="LI6" s="1772"/>
      <c r="LJ6" s="1772"/>
      <c r="LK6" s="1772"/>
      <c r="LL6" s="1772"/>
      <c r="LM6" s="1772"/>
      <c r="LN6" s="1772"/>
      <c r="LO6" s="1772"/>
      <c r="LP6" s="1772"/>
      <c r="LQ6" s="1772"/>
      <c r="LR6" s="1772"/>
      <c r="LS6" s="1772"/>
      <c r="LT6" s="1772"/>
      <c r="LU6" s="1772"/>
      <c r="LV6" s="1004"/>
      <c r="LW6" s="1004"/>
      <c r="LX6" s="1004"/>
      <c r="LY6" s="1004"/>
      <c r="LZ6" s="1004"/>
      <c r="MA6" s="1004"/>
      <c r="MB6" s="1004"/>
      <c r="MC6" s="1004"/>
      <c r="MD6" s="1004"/>
      <c r="ME6" s="1004"/>
      <c r="MF6" s="1004"/>
      <c r="MG6" s="1004"/>
      <c r="MH6" s="1004"/>
      <c r="MI6" s="1004"/>
      <c r="MJ6" s="1004"/>
      <c r="MK6" s="1004"/>
      <c r="ML6" s="1004"/>
      <c r="MM6" s="1004"/>
      <c r="MN6" s="1004"/>
      <c r="MO6" s="1004"/>
      <c r="MP6" s="3789"/>
      <c r="MQ6" s="3789"/>
      <c r="MR6" s="3789"/>
      <c r="MS6" s="3789"/>
      <c r="MT6" s="3789"/>
      <c r="MU6" s="3789"/>
      <c r="MV6" s="3789"/>
      <c r="MW6" s="3789"/>
      <c r="MX6" s="3789"/>
      <c r="MY6" s="3789"/>
      <c r="MZ6" s="3789"/>
      <c r="NA6" s="3789"/>
      <c r="NB6" s="3789"/>
      <c r="NC6" s="3789"/>
      <c r="ND6" s="3789"/>
      <c r="NE6" s="3789"/>
      <c r="NF6" s="3789"/>
      <c r="NG6" s="3789"/>
      <c r="NH6" s="3789"/>
      <c r="NI6" s="3789"/>
      <c r="NJ6" s="3789"/>
      <c r="NK6" s="3789"/>
      <c r="NL6" s="3789"/>
      <c r="NM6" s="3789"/>
      <c r="NN6" s="3789"/>
      <c r="NO6" s="3789"/>
      <c r="NP6" s="3789"/>
      <c r="NQ6" s="3789"/>
      <c r="NR6" s="3789"/>
      <c r="NS6" s="3789"/>
      <c r="NT6" s="3828" t="s">
        <v>1097</v>
      </c>
      <c r="NU6" s="3828" t="s">
        <v>1098</v>
      </c>
      <c r="NV6" s="3828" t="s">
        <v>1099</v>
      </c>
      <c r="NW6" s="3828" t="s">
        <v>1100</v>
      </c>
      <c r="NX6" s="3828" t="s">
        <v>1101</v>
      </c>
      <c r="NY6" s="3789" t="s">
        <v>1102</v>
      </c>
      <c r="NZ6" s="3789" t="s">
        <v>1103</v>
      </c>
      <c r="OA6" s="3789" t="s">
        <v>1104</v>
      </c>
      <c r="OB6" s="3789" t="s">
        <v>1105</v>
      </c>
      <c r="OC6" s="3789" t="s">
        <v>1106</v>
      </c>
      <c r="OD6" s="253"/>
      <c r="OE6" s="253"/>
      <c r="OF6" s="253"/>
      <c r="OG6" s="253"/>
      <c r="OH6" s="253"/>
      <c r="OI6" s="253"/>
      <c r="OJ6" s="253"/>
      <c r="OK6" s="253"/>
      <c r="OL6" s="253"/>
      <c r="OM6" s="253"/>
      <c r="ON6" s="253"/>
      <c r="OO6" s="253"/>
      <c r="OP6" s="253"/>
      <c r="OQ6" s="253"/>
      <c r="OR6" s="253"/>
      <c r="OS6" s="253"/>
      <c r="OT6" s="253"/>
      <c r="OU6" s="253"/>
      <c r="OV6" s="43"/>
      <c r="OW6" s="43"/>
      <c r="OX6" s="43"/>
      <c r="OY6" s="1796"/>
      <c r="OZ6" s="1799">
        <v>6</v>
      </c>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row>
    <row r="7" spans="1:528" s="41" customFormat="1" ht="12.6" customHeight="1">
      <c r="A7" s="3801"/>
      <c r="B7" s="2520" t="s">
        <v>1107</v>
      </c>
      <c r="E7" s="3"/>
      <c r="G7" s="870" t="s">
        <v>7474</v>
      </c>
      <c r="I7" s="3790" t="s">
        <v>1108</v>
      </c>
      <c r="J7" s="501" t="s">
        <v>768</v>
      </c>
      <c r="K7" s="501" t="s">
        <v>1109</v>
      </c>
      <c r="L7" s="3804"/>
      <c r="M7" s="3804"/>
      <c r="N7" s="3804"/>
      <c r="O7" s="1165" t="s">
        <v>1110</v>
      </c>
      <c r="P7" s="1031">
        <v>46143</v>
      </c>
      <c r="Q7" s="3805"/>
      <c r="R7" s="3792" t="s">
        <v>1111</v>
      </c>
      <c r="S7" s="3792"/>
      <c r="X7" s="3789"/>
      <c r="Y7" s="3789"/>
      <c r="Z7" s="3789"/>
      <c r="AA7" s="3789"/>
      <c r="AB7" s="3789"/>
      <c r="AC7" s="3789"/>
      <c r="AD7" s="3789"/>
      <c r="AE7" s="3789"/>
      <c r="AF7" s="3789"/>
      <c r="AG7" s="3789"/>
      <c r="AH7" s="3789"/>
      <c r="AI7" s="3789"/>
      <c r="AJ7" s="3789"/>
      <c r="AK7" s="3789"/>
      <c r="AL7" s="3789"/>
      <c r="AM7" s="3789"/>
      <c r="AN7" s="3789"/>
      <c r="AO7" s="3789"/>
      <c r="AP7" s="3789"/>
      <c r="AQ7" s="3789"/>
      <c r="AR7" s="3789"/>
      <c r="AS7" s="3789"/>
      <c r="AT7" s="3789"/>
      <c r="AU7" s="3789"/>
      <c r="AV7" s="3789"/>
      <c r="AW7" s="3789"/>
      <c r="AX7" s="3789"/>
      <c r="AY7" s="3789"/>
      <c r="AZ7" s="3789"/>
      <c r="BA7" s="3789"/>
      <c r="BB7" s="3789"/>
      <c r="BC7" s="3789"/>
      <c r="BD7" s="3789"/>
      <c r="BE7" s="3789"/>
      <c r="BF7" s="3789"/>
      <c r="BG7" s="3789"/>
      <c r="BH7" s="3789"/>
      <c r="BI7" s="3789"/>
      <c r="BJ7" s="3789"/>
      <c r="BK7" s="3789"/>
      <c r="BL7" s="3789"/>
      <c r="BM7" s="3789"/>
      <c r="BN7" s="3789"/>
      <c r="BO7" s="3789"/>
      <c r="BP7" s="3789"/>
      <c r="BQ7" s="3789"/>
      <c r="BR7" s="3789"/>
      <c r="BS7" s="3789"/>
      <c r="BT7" s="3789"/>
      <c r="BU7" s="3789"/>
      <c r="BV7" s="3789"/>
      <c r="BW7" s="3789"/>
      <c r="BX7" s="3789"/>
      <c r="BY7" s="3789"/>
      <c r="BZ7" s="3789"/>
      <c r="CA7" s="3789"/>
      <c r="CB7" s="3789"/>
      <c r="CC7" s="3789"/>
      <c r="CD7" s="3789"/>
      <c r="CE7" s="3789"/>
      <c r="CF7" s="3789"/>
      <c r="CG7" s="3789"/>
      <c r="CH7" s="3789"/>
      <c r="CI7" s="3789"/>
      <c r="CJ7" s="3789"/>
      <c r="CK7" s="3789"/>
      <c r="CL7" s="3789"/>
      <c r="CM7" s="3789"/>
      <c r="CN7" s="3789"/>
      <c r="CO7" s="3789"/>
      <c r="CP7" s="3789"/>
      <c r="CQ7" s="3789"/>
      <c r="CR7" s="3789"/>
      <c r="CS7" s="3789"/>
      <c r="CT7" s="3789"/>
      <c r="CU7" s="3789"/>
      <c r="CV7" s="3789"/>
      <c r="CW7" s="3789"/>
      <c r="CX7" s="3789"/>
      <c r="CY7" s="3789"/>
      <c r="CZ7" s="3789"/>
      <c r="DA7" s="3789"/>
      <c r="DB7" s="3789"/>
      <c r="DC7" s="3789"/>
      <c r="DD7" s="3789"/>
      <c r="DE7" s="3789"/>
      <c r="DF7" s="3789"/>
      <c r="DG7" s="3789"/>
      <c r="DH7" s="3789"/>
      <c r="DI7" s="3789"/>
      <c r="DJ7" s="3789"/>
      <c r="DK7" s="3789"/>
      <c r="DL7" s="3789"/>
      <c r="DM7" s="3789"/>
      <c r="DN7" s="3789"/>
      <c r="DO7" s="3789"/>
      <c r="DP7" s="3789"/>
      <c r="DQ7" s="3789"/>
      <c r="DR7" s="3789"/>
      <c r="DS7" s="3789"/>
      <c r="DT7" s="3789"/>
      <c r="DU7" s="3789"/>
      <c r="DV7" s="3789"/>
      <c r="DW7" s="3789"/>
      <c r="DX7" s="3789"/>
      <c r="DY7" s="3789"/>
      <c r="DZ7" s="3789"/>
      <c r="EA7" s="3789"/>
      <c r="EB7" s="3789"/>
      <c r="EC7" s="3789"/>
      <c r="ED7" s="3789"/>
      <c r="EE7" s="3789"/>
      <c r="EF7" s="3789"/>
      <c r="EG7" s="3789"/>
      <c r="EH7" s="3789"/>
      <c r="EI7" s="3789"/>
      <c r="EJ7" s="3789"/>
      <c r="EK7" s="3789"/>
      <c r="EL7" s="3789"/>
      <c r="EM7" s="3789"/>
      <c r="EN7" s="3789"/>
      <c r="EO7" s="3789"/>
      <c r="EP7" s="3789"/>
      <c r="EQ7" s="3789"/>
      <c r="ER7" s="3789"/>
      <c r="ES7" s="3789"/>
      <c r="ET7" s="3789"/>
      <c r="EU7" s="3789"/>
      <c r="EV7" s="3789"/>
      <c r="EW7" s="3789"/>
      <c r="EX7" s="3789"/>
      <c r="EY7" s="3789"/>
      <c r="EZ7" s="3789"/>
      <c r="FA7" s="3789"/>
      <c r="FB7" s="3789"/>
      <c r="FC7" s="3789"/>
      <c r="FD7" s="3789"/>
      <c r="FE7" s="3789"/>
      <c r="FF7" s="3789"/>
      <c r="FG7" s="3789"/>
      <c r="FH7" s="3789"/>
      <c r="FI7" s="3789"/>
      <c r="FJ7" s="3789"/>
      <c r="FK7" s="3789"/>
      <c r="FL7" s="3789"/>
      <c r="FM7" s="3789"/>
      <c r="FN7" s="3789"/>
      <c r="FO7" s="3789"/>
      <c r="FP7" s="3789"/>
      <c r="FQ7" s="3789"/>
      <c r="FR7" s="3789"/>
      <c r="FS7" s="3789"/>
      <c r="FT7" s="3789"/>
      <c r="FU7" s="3789"/>
      <c r="FV7" s="3789"/>
      <c r="FW7" s="3789"/>
      <c r="FX7" s="3789"/>
      <c r="FY7" s="3789"/>
      <c r="FZ7" s="3789"/>
      <c r="GA7" s="3789"/>
      <c r="GB7" s="3789"/>
      <c r="GC7" s="3789"/>
      <c r="GD7" s="3789"/>
      <c r="GE7" s="3789"/>
      <c r="GF7" s="3789"/>
      <c r="GG7" s="3789"/>
      <c r="GH7" s="3789"/>
      <c r="GI7" s="3789"/>
      <c r="GJ7" s="3789"/>
      <c r="GK7" s="3789"/>
      <c r="GL7" s="3789"/>
      <c r="GM7" s="3789"/>
      <c r="GN7" s="3789"/>
      <c r="GO7" s="3789"/>
      <c r="GP7" s="3789"/>
      <c r="GQ7" s="3789"/>
      <c r="GR7" s="3789"/>
      <c r="GS7" s="3789"/>
      <c r="GT7" s="3789"/>
      <c r="GU7" s="3789"/>
      <c r="GV7" s="3789"/>
      <c r="GW7" s="3789"/>
      <c r="GX7" s="3789"/>
      <c r="GY7" s="3789"/>
      <c r="GZ7" s="3789"/>
      <c r="HA7" s="3789"/>
      <c r="HB7" s="3789"/>
      <c r="HC7" s="3789"/>
      <c r="HD7" s="3789"/>
      <c r="HE7" s="3789"/>
      <c r="HF7" s="3789"/>
      <c r="HG7" s="3789"/>
      <c r="HH7" s="3789"/>
      <c r="HI7" s="3789"/>
      <c r="HJ7" s="3789"/>
      <c r="HK7" s="3789"/>
      <c r="HL7" s="3789"/>
      <c r="HM7" s="3789"/>
      <c r="HN7" s="3789"/>
      <c r="HO7" s="3789"/>
      <c r="HP7" s="3789"/>
      <c r="HQ7" s="3789"/>
      <c r="HR7" s="3789"/>
      <c r="HS7" s="3789"/>
      <c r="HT7" s="3789"/>
      <c r="HU7" s="3789"/>
      <c r="HV7" s="3789"/>
      <c r="HW7" s="3789"/>
      <c r="HX7" s="3789"/>
      <c r="HY7" s="3789"/>
      <c r="HZ7" s="3789"/>
      <c r="IA7" s="3789"/>
      <c r="IB7" s="3789"/>
      <c r="IC7" s="3789"/>
      <c r="ID7" s="3789"/>
      <c r="IE7" s="3789"/>
      <c r="IF7" s="3789"/>
      <c r="IG7" s="3789"/>
      <c r="IH7" s="3789"/>
      <c r="II7" s="3789"/>
      <c r="IJ7" s="3789"/>
      <c r="IK7" s="3789"/>
      <c r="IL7" s="3789"/>
      <c r="IM7" s="3789"/>
      <c r="IN7" s="3789"/>
      <c r="IO7" s="3789"/>
      <c r="IP7" s="3789"/>
      <c r="IQ7" s="3789"/>
      <c r="IR7" s="3789"/>
      <c r="IS7" s="3789"/>
      <c r="IT7" s="3789"/>
      <c r="IU7" s="3789"/>
      <c r="IV7" s="3789"/>
      <c r="IW7" s="3789"/>
      <c r="IX7" s="3789"/>
      <c r="IY7" s="3789"/>
      <c r="IZ7" s="3789"/>
      <c r="JA7" s="3789"/>
      <c r="JB7" s="3789"/>
      <c r="JC7" s="3789"/>
      <c r="JD7" s="3789"/>
      <c r="JE7" s="3789"/>
      <c r="JF7" s="3789"/>
      <c r="JG7" s="3789"/>
      <c r="JH7" s="3789"/>
      <c r="JI7" s="1772"/>
      <c r="JJ7" s="1772"/>
      <c r="JK7" s="1772"/>
      <c r="JL7" s="1772"/>
      <c r="JM7" s="1772"/>
      <c r="JN7" s="1772"/>
      <c r="JO7" s="1772"/>
      <c r="JP7" s="1772"/>
      <c r="JQ7" s="1772"/>
      <c r="JR7" s="1772"/>
      <c r="JS7" s="1772"/>
      <c r="JT7" s="1772"/>
      <c r="JU7" s="1772"/>
      <c r="JV7" s="1772"/>
      <c r="JW7" s="1772"/>
      <c r="JX7" s="1772"/>
      <c r="JY7" s="1772"/>
      <c r="JZ7" s="1772"/>
      <c r="KA7" s="1772"/>
      <c r="KB7" s="1772"/>
      <c r="KC7" s="1772"/>
      <c r="KD7" s="1772"/>
      <c r="KE7" s="1772"/>
      <c r="KF7" s="1772"/>
      <c r="KG7" s="1772"/>
      <c r="KH7" s="1772"/>
      <c r="KI7" s="1772"/>
      <c r="KJ7" s="1772"/>
      <c r="KK7" s="1772"/>
      <c r="KL7" s="1772"/>
      <c r="KM7" s="1772"/>
      <c r="KN7" s="1772"/>
      <c r="KO7" s="1772"/>
      <c r="KP7" s="1772"/>
      <c r="KQ7" s="1772"/>
      <c r="KR7" s="1772"/>
      <c r="KS7" s="1772"/>
      <c r="KT7" s="1772"/>
      <c r="KU7" s="1772"/>
      <c r="KV7" s="1772"/>
      <c r="KW7" s="1772"/>
      <c r="KX7" s="1772"/>
      <c r="KY7" s="1772"/>
      <c r="KZ7" s="1772"/>
      <c r="LA7" s="1772"/>
      <c r="LB7" s="1772"/>
      <c r="LC7" s="1772"/>
      <c r="LD7" s="1772"/>
      <c r="LE7" s="1772"/>
      <c r="LF7" s="1772"/>
      <c r="LG7" s="1772"/>
      <c r="LH7" s="1772"/>
      <c r="LI7" s="1772"/>
      <c r="LJ7" s="1772"/>
      <c r="LK7" s="1772"/>
      <c r="LL7" s="1772"/>
      <c r="LM7" s="1772"/>
      <c r="LN7" s="1772"/>
      <c r="LO7" s="1772"/>
      <c r="LP7" s="1772"/>
      <c r="LQ7" s="1772"/>
      <c r="LR7" s="1772"/>
      <c r="LS7" s="1772"/>
      <c r="LT7" s="1772"/>
      <c r="LU7" s="1772"/>
      <c r="LV7" s="1004"/>
      <c r="LW7" s="1004"/>
      <c r="LX7" s="1004"/>
      <c r="LY7" s="1004"/>
      <c r="LZ7" s="1004"/>
      <c r="MA7" s="1004"/>
      <c r="MB7" s="1004"/>
      <c r="MC7" s="1004"/>
      <c r="MD7" s="1004"/>
      <c r="ME7" s="1004"/>
      <c r="MF7" s="1004"/>
      <c r="MG7" s="1004"/>
      <c r="MH7" s="1004"/>
      <c r="MI7" s="1004"/>
      <c r="MJ7" s="1004"/>
      <c r="MK7" s="1004"/>
      <c r="ML7" s="1004"/>
      <c r="MM7" s="1004"/>
      <c r="MN7" s="1004"/>
      <c r="MO7" s="1004"/>
      <c r="MP7" s="3789"/>
      <c r="MQ7" s="3789"/>
      <c r="MR7" s="3789"/>
      <c r="MS7" s="3789"/>
      <c r="MT7" s="3789"/>
      <c r="MU7" s="3789"/>
      <c r="MV7" s="3789"/>
      <c r="MW7" s="3789"/>
      <c r="MX7" s="3789"/>
      <c r="MY7" s="3789"/>
      <c r="MZ7" s="3789"/>
      <c r="NA7" s="3789"/>
      <c r="NB7" s="3789"/>
      <c r="NC7" s="3789"/>
      <c r="ND7" s="3789"/>
      <c r="NE7" s="3789"/>
      <c r="NF7" s="3789"/>
      <c r="NG7" s="3789"/>
      <c r="NH7" s="3789"/>
      <c r="NI7" s="3789"/>
      <c r="NJ7" s="3789"/>
      <c r="NK7" s="3789"/>
      <c r="NL7" s="3789"/>
      <c r="NM7" s="3789"/>
      <c r="NN7" s="3789"/>
      <c r="NO7" s="3789"/>
      <c r="NP7" s="3789"/>
      <c r="NQ7" s="3789"/>
      <c r="NR7" s="3789"/>
      <c r="NS7" s="3789"/>
      <c r="NT7" s="3828"/>
      <c r="NU7" s="3828"/>
      <c r="NV7" s="3828"/>
      <c r="NW7" s="3828"/>
      <c r="NX7" s="3828"/>
      <c r="NY7" s="3789"/>
      <c r="NZ7" s="3789"/>
      <c r="OA7" s="3789"/>
      <c r="OB7" s="3789"/>
      <c r="OC7" s="3789"/>
      <c r="OD7" s="253"/>
      <c r="OE7" s="253"/>
      <c r="OF7" s="253"/>
      <c r="OG7" s="253"/>
      <c r="OH7" s="253"/>
      <c r="OI7" s="253"/>
      <c r="OJ7" s="253"/>
      <c r="OK7" s="253"/>
      <c r="OL7" s="253"/>
      <c r="OM7" s="253"/>
      <c r="ON7" s="253"/>
      <c r="OO7" s="253"/>
      <c r="OP7" s="253"/>
      <c r="OQ7" s="253"/>
      <c r="OR7" s="253"/>
      <c r="OS7" s="253"/>
      <c r="OT7" s="253"/>
      <c r="OU7" s="253"/>
      <c r="OV7" s="43"/>
      <c r="OW7" s="43"/>
      <c r="OX7" s="43"/>
      <c r="OY7" s="1796"/>
      <c r="OZ7" s="1799">
        <v>7</v>
      </c>
      <c r="PA7" s="43"/>
      <c r="PB7" s="43"/>
      <c r="PC7" s="43"/>
      <c r="PD7" s="43"/>
      <c r="PE7" s="43"/>
      <c r="PF7" s="43"/>
      <c r="PG7" s="43"/>
      <c r="PH7" s="43"/>
      <c r="PI7" s="43"/>
      <c r="PJ7" s="43"/>
      <c r="PK7" s="43"/>
      <c r="PL7" s="43"/>
      <c r="PM7" s="43"/>
      <c r="PN7" s="43"/>
      <c r="PO7" s="43"/>
      <c r="PP7" s="43"/>
      <c r="PQ7" s="43"/>
      <c r="PR7" s="43"/>
      <c r="PS7" s="43"/>
      <c r="PT7" s="43"/>
      <c r="PU7" s="43"/>
      <c r="PV7" s="43"/>
      <c r="PW7" s="43"/>
      <c r="PX7" s="43"/>
      <c r="PY7" s="43"/>
      <c r="PZ7" s="43"/>
      <c r="QA7" s="43"/>
      <c r="QB7" s="43"/>
      <c r="QC7" s="43"/>
      <c r="QD7" s="43"/>
      <c r="QE7" s="43"/>
      <c r="QF7" s="43"/>
      <c r="QG7" s="43"/>
      <c r="QH7" s="43"/>
      <c r="QI7" s="43"/>
      <c r="QJ7" s="43"/>
      <c r="QK7" s="43"/>
      <c r="QL7" s="43"/>
      <c r="QM7" s="43"/>
      <c r="QN7" s="43"/>
      <c r="QO7" s="43"/>
      <c r="QP7" s="43"/>
      <c r="QQ7" s="43"/>
      <c r="QR7" s="43"/>
      <c r="QS7" s="43"/>
      <c r="QT7" s="43"/>
      <c r="QU7" s="43"/>
      <c r="QV7" s="43"/>
      <c r="QW7" s="43"/>
      <c r="QX7" s="43"/>
      <c r="QY7" s="43"/>
      <c r="QZ7" s="43"/>
      <c r="RA7" s="43"/>
      <c r="RB7" s="43"/>
      <c r="RC7" s="43"/>
      <c r="RD7" s="43"/>
      <c r="RE7" s="43"/>
      <c r="RF7" s="43"/>
      <c r="RG7" s="43"/>
      <c r="RH7" s="43"/>
      <c r="RI7" s="43"/>
      <c r="RJ7" s="43"/>
      <c r="RK7" s="43"/>
      <c r="RL7" s="43"/>
      <c r="RM7" s="43"/>
      <c r="RN7" s="43"/>
      <c r="RO7" s="43"/>
      <c r="RP7" s="43"/>
      <c r="RQ7" s="43"/>
      <c r="RR7" s="43"/>
      <c r="RS7" s="43"/>
      <c r="RT7" s="43"/>
      <c r="RU7" s="43"/>
      <c r="RV7" s="43"/>
      <c r="RW7" s="43"/>
      <c r="RX7" s="43"/>
      <c r="RY7" s="43"/>
      <c r="RZ7" s="43"/>
      <c r="SA7" s="43"/>
      <c r="SB7" s="43"/>
      <c r="SC7" s="43"/>
      <c r="SD7" s="43"/>
      <c r="SE7" s="43"/>
      <c r="SF7" s="43"/>
      <c r="SG7" s="43"/>
      <c r="SH7" s="43"/>
      <c r="SI7" s="43"/>
      <c r="SJ7" s="43"/>
      <c r="SK7" s="43"/>
      <c r="SL7" s="43"/>
      <c r="SM7" s="43"/>
      <c r="SN7" s="43"/>
      <c r="SO7" s="43"/>
      <c r="SP7" s="43"/>
      <c r="SQ7" s="43"/>
      <c r="SR7" s="43"/>
      <c r="SS7" s="43"/>
      <c r="ST7" s="43"/>
      <c r="SU7" s="43"/>
      <c r="SV7" s="43"/>
      <c r="SW7" s="43"/>
      <c r="SX7" s="43"/>
      <c r="SY7" s="43"/>
      <c r="SZ7" s="43"/>
      <c r="TA7" s="43"/>
      <c r="TB7" s="43"/>
      <c r="TC7" s="43"/>
      <c r="TD7" s="43"/>
      <c r="TE7" s="43"/>
      <c r="TF7" s="43"/>
      <c r="TG7" s="43"/>
      <c r="TH7" s="43"/>
    </row>
    <row r="8" spans="1:528" s="41" customFormat="1" ht="12.6" customHeight="1">
      <c r="A8" s="3801"/>
      <c r="B8" s="2541" t="s">
        <v>1112</v>
      </c>
      <c r="C8" s="43"/>
      <c r="E8" s="43"/>
      <c r="F8" s="43"/>
      <c r="I8" s="3790"/>
      <c r="J8" s="501" t="s">
        <v>1113</v>
      </c>
      <c r="K8" s="501" t="s">
        <v>1114</v>
      </c>
      <c r="L8" s="490"/>
      <c r="M8" s="490"/>
      <c r="N8" s="1163" t="s">
        <v>1115</v>
      </c>
      <c r="O8" s="3793" t="s">
        <v>7732</v>
      </c>
      <c r="P8" s="3794"/>
      <c r="Q8" s="3805"/>
      <c r="R8" s="491"/>
      <c r="S8" s="493" t="s">
        <v>1116</v>
      </c>
      <c r="T8" s="232"/>
      <c r="W8" s="233"/>
      <c r="X8" s="3789"/>
      <c r="Y8" s="3789"/>
      <c r="Z8" s="3789"/>
      <c r="AA8" s="3789"/>
      <c r="AB8" s="3789"/>
      <c r="AC8" s="3789"/>
      <c r="AD8" s="3789"/>
      <c r="AE8" s="3789"/>
      <c r="AF8" s="3789"/>
      <c r="AG8" s="3789"/>
      <c r="AH8" s="3789"/>
      <c r="AI8" s="3789"/>
      <c r="AJ8" s="3789"/>
      <c r="AK8" s="3789"/>
      <c r="AL8" s="3789"/>
      <c r="AM8" s="3789"/>
      <c r="AN8" s="3789"/>
      <c r="AO8" s="3789"/>
      <c r="AP8" s="3789"/>
      <c r="AQ8" s="3789"/>
      <c r="AR8" s="3789"/>
      <c r="AS8" s="3789"/>
      <c r="AT8" s="3789"/>
      <c r="AU8" s="3789"/>
      <c r="AV8" s="3789"/>
      <c r="AW8" s="3789"/>
      <c r="AX8" s="3789"/>
      <c r="AY8" s="3789"/>
      <c r="AZ8" s="3789"/>
      <c r="BA8" s="3789"/>
      <c r="BB8" s="3789"/>
      <c r="BC8" s="3789"/>
      <c r="BD8" s="3789"/>
      <c r="BE8" s="3789"/>
      <c r="BF8" s="3789"/>
      <c r="BG8" s="3789"/>
      <c r="BH8" s="3789"/>
      <c r="BI8" s="3789"/>
      <c r="BJ8" s="3789"/>
      <c r="BK8" s="3789"/>
      <c r="BL8" s="3789"/>
      <c r="BM8" s="3789"/>
      <c r="BN8" s="3789"/>
      <c r="BO8" s="3789"/>
      <c r="BP8" s="3789"/>
      <c r="BQ8" s="3789"/>
      <c r="BR8" s="3789"/>
      <c r="BS8" s="3789"/>
      <c r="BT8" s="3789"/>
      <c r="BU8" s="3789"/>
      <c r="BV8" s="3789"/>
      <c r="BW8" s="3789"/>
      <c r="BX8" s="3789"/>
      <c r="BY8" s="3789"/>
      <c r="BZ8" s="3789"/>
      <c r="CA8" s="3789"/>
      <c r="CB8" s="3789"/>
      <c r="CC8" s="3789"/>
      <c r="CD8" s="3789"/>
      <c r="CE8" s="3789"/>
      <c r="CF8" s="3789"/>
      <c r="CG8" s="3789"/>
      <c r="CH8" s="3789"/>
      <c r="CI8" s="3789"/>
      <c r="CJ8" s="3789"/>
      <c r="CK8" s="3789"/>
      <c r="CL8" s="3789"/>
      <c r="CM8" s="3789"/>
      <c r="CN8" s="3789"/>
      <c r="CO8" s="3789"/>
      <c r="CP8" s="3789"/>
      <c r="CQ8" s="3789"/>
      <c r="CR8" s="3789"/>
      <c r="CS8" s="3789"/>
      <c r="CT8" s="3789"/>
      <c r="CU8" s="3789"/>
      <c r="CV8" s="3789"/>
      <c r="CW8" s="3789"/>
      <c r="CX8" s="3789"/>
      <c r="CY8" s="3789"/>
      <c r="CZ8" s="3789"/>
      <c r="DA8" s="3789"/>
      <c r="DB8" s="3789"/>
      <c r="DC8" s="3789"/>
      <c r="DD8" s="3789"/>
      <c r="DE8" s="3789"/>
      <c r="DF8" s="3789"/>
      <c r="DG8" s="3789"/>
      <c r="DH8" s="3789"/>
      <c r="DI8" s="3789"/>
      <c r="DJ8" s="3789"/>
      <c r="DK8" s="3789"/>
      <c r="DL8" s="3789"/>
      <c r="DM8" s="3789"/>
      <c r="DN8" s="3789"/>
      <c r="DO8" s="3789"/>
      <c r="DP8" s="3789"/>
      <c r="DQ8" s="3789"/>
      <c r="DR8" s="3789"/>
      <c r="DS8" s="3789"/>
      <c r="DT8" s="3789"/>
      <c r="DU8" s="3789"/>
      <c r="DV8" s="3789"/>
      <c r="DW8" s="3789"/>
      <c r="DX8" s="3789"/>
      <c r="DY8" s="3789"/>
      <c r="DZ8" s="3789"/>
      <c r="EA8" s="3789"/>
      <c r="EB8" s="3789"/>
      <c r="EC8" s="3789"/>
      <c r="ED8" s="3789"/>
      <c r="EE8" s="3789"/>
      <c r="EF8" s="3789"/>
      <c r="EG8" s="3789"/>
      <c r="EH8" s="3789"/>
      <c r="EI8" s="3789"/>
      <c r="EJ8" s="3789"/>
      <c r="EK8" s="3789"/>
      <c r="EL8" s="3789"/>
      <c r="EM8" s="3789"/>
      <c r="EN8" s="3789"/>
      <c r="EO8" s="3789"/>
      <c r="EP8" s="3789"/>
      <c r="EQ8" s="3789"/>
      <c r="ER8" s="3789"/>
      <c r="ES8" s="3789"/>
      <c r="ET8" s="3789"/>
      <c r="EU8" s="3789"/>
      <c r="EV8" s="3789"/>
      <c r="EW8" s="3789"/>
      <c r="EX8" s="3789"/>
      <c r="EY8" s="3789"/>
      <c r="EZ8" s="3789"/>
      <c r="FA8" s="3789"/>
      <c r="FB8" s="3789"/>
      <c r="FC8" s="3789"/>
      <c r="FD8" s="3789"/>
      <c r="FE8" s="3789"/>
      <c r="FF8" s="3789"/>
      <c r="FG8" s="3789"/>
      <c r="FH8" s="3789"/>
      <c r="FI8" s="3789"/>
      <c r="FJ8" s="3789"/>
      <c r="FK8" s="3789"/>
      <c r="FL8" s="3789"/>
      <c r="FM8" s="3789"/>
      <c r="FN8" s="3789"/>
      <c r="FO8" s="3789"/>
      <c r="FP8" s="3789"/>
      <c r="FQ8" s="3789"/>
      <c r="FR8" s="3789"/>
      <c r="FS8" s="3789"/>
      <c r="FT8" s="3789"/>
      <c r="FU8" s="3789"/>
      <c r="FV8" s="3789"/>
      <c r="FW8" s="3789"/>
      <c r="FX8" s="3789"/>
      <c r="FY8" s="3789"/>
      <c r="FZ8" s="3789"/>
      <c r="GA8" s="3789"/>
      <c r="GB8" s="3789"/>
      <c r="GC8" s="3789"/>
      <c r="GD8" s="3789"/>
      <c r="GE8" s="3789"/>
      <c r="GF8" s="3789"/>
      <c r="GG8" s="3789"/>
      <c r="GH8" s="3789"/>
      <c r="GI8" s="3789"/>
      <c r="GJ8" s="3789"/>
      <c r="GK8" s="3789"/>
      <c r="GL8" s="3789"/>
      <c r="GM8" s="3789"/>
      <c r="GN8" s="3789"/>
      <c r="GO8" s="3789"/>
      <c r="GP8" s="3789"/>
      <c r="GQ8" s="3789"/>
      <c r="GR8" s="3789"/>
      <c r="GS8" s="3789"/>
      <c r="GT8" s="3789"/>
      <c r="GU8" s="3789"/>
      <c r="GV8" s="3789"/>
      <c r="GW8" s="3789"/>
      <c r="GX8" s="3789"/>
      <c r="GY8" s="3789"/>
      <c r="GZ8" s="3789"/>
      <c r="HA8" s="3789"/>
      <c r="HB8" s="3789"/>
      <c r="HC8" s="3789"/>
      <c r="HD8" s="3789"/>
      <c r="HE8" s="3789"/>
      <c r="HF8" s="3789"/>
      <c r="HG8" s="3789"/>
      <c r="HH8" s="3789"/>
      <c r="HI8" s="3789"/>
      <c r="HJ8" s="3789"/>
      <c r="HK8" s="3789"/>
      <c r="HL8" s="3789"/>
      <c r="HM8" s="3789"/>
      <c r="HN8" s="3789"/>
      <c r="HO8" s="3789"/>
      <c r="HP8" s="3789"/>
      <c r="HQ8" s="3789"/>
      <c r="HR8" s="3789"/>
      <c r="HS8" s="3789"/>
      <c r="HT8" s="3789"/>
      <c r="HU8" s="3789"/>
      <c r="HV8" s="3789"/>
      <c r="HW8" s="3789"/>
      <c r="HX8" s="3789"/>
      <c r="HY8" s="3789"/>
      <c r="HZ8" s="3789"/>
      <c r="IA8" s="3789"/>
      <c r="IB8" s="3789"/>
      <c r="IC8" s="3789"/>
      <c r="ID8" s="3789"/>
      <c r="IE8" s="3789"/>
      <c r="IF8" s="3789"/>
      <c r="IG8" s="3789"/>
      <c r="IH8" s="3789"/>
      <c r="II8" s="3789"/>
      <c r="IJ8" s="3789"/>
      <c r="IK8" s="3789"/>
      <c r="IL8" s="3789"/>
      <c r="IM8" s="3789"/>
      <c r="IN8" s="3789"/>
      <c r="IO8" s="3789"/>
      <c r="IP8" s="3789"/>
      <c r="IQ8" s="3789"/>
      <c r="IR8" s="3789"/>
      <c r="IS8" s="3789"/>
      <c r="IT8" s="3789"/>
      <c r="IU8" s="3789"/>
      <c r="IV8" s="3789"/>
      <c r="IW8" s="3789"/>
      <c r="IX8" s="3789"/>
      <c r="IY8" s="3789"/>
      <c r="IZ8" s="3789"/>
      <c r="JA8" s="3789"/>
      <c r="JB8" s="3789"/>
      <c r="JC8" s="3789"/>
      <c r="JD8" s="3789"/>
      <c r="JE8" s="3789"/>
      <c r="JF8" s="3789"/>
      <c r="JG8" s="3789"/>
      <c r="JH8" s="3789"/>
      <c r="JI8" s="1772"/>
      <c r="JJ8" s="1772"/>
      <c r="JK8" s="1772"/>
      <c r="JL8" s="1772"/>
      <c r="JM8" s="1772"/>
      <c r="JN8" s="1772"/>
      <c r="JO8" s="1772"/>
      <c r="JP8" s="1772"/>
      <c r="JQ8" s="1772"/>
      <c r="JR8" s="1772"/>
      <c r="JS8" s="1772"/>
      <c r="JT8" s="1772"/>
      <c r="JU8" s="1772"/>
      <c r="JV8" s="1772"/>
      <c r="JW8" s="1772"/>
      <c r="JX8" s="1772"/>
      <c r="JY8" s="1772"/>
      <c r="JZ8" s="1772"/>
      <c r="KA8" s="1772"/>
      <c r="KB8" s="1772"/>
      <c r="KC8" s="1772"/>
      <c r="KD8" s="1772"/>
      <c r="KE8" s="1772"/>
      <c r="KF8" s="1772"/>
      <c r="KG8" s="1772"/>
      <c r="KH8" s="1771" t="s">
        <v>772</v>
      </c>
      <c r="KI8" s="1771" t="s">
        <v>814</v>
      </c>
      <c r="KJ8" s="1771" t="s">
        <v>815</v>
      </c>
      <c r="KK8" s="1771" t="s">
        <v>816</v>
      </c>
      <c r="KL8" s="1771" t="s">
        <v>817</v>
      </c>
      <c r="KM8" s="1771" t="s">
        <v>772</v>
      </c>
      <c r="KN8" s="1771" t="s">
        <v>814</v>
      </c>
      <c r="KO8" s="1771" t="s">
        <v>815</v>
      </c>
      <c r="KP8" s="1771" t="s">
        <v>816</v>
      </c>
      <c r="KQ8" s="1771" t="s">
        <v>817</v>
      </c>
      <c r="KR8" s="1771" t="s">
        <v>772</v>
      </c>
      <c r="KS8" s="1771" t="s">
        <v>814</v>
      </c>
      <c r="KT8" s="1771" t="s">
        <v>815</v>
      </c>
      <c r="KU8" s="1771" t="s">
        <v>816</v>
      </c>
      <c r="KV8" s="1771" t="s">
        <v>817</v>
      </c>
      <c r="KW8" s="1771" t="s">
        <v>772</v>
      </c>
      <c r="KX8" s="1771" t="s">
        <v>814</v>
      </c>
      <c r="KY8" s="1771" t="s">
        <v>815</v>
      </c>
      <c r="KZ8" s="1771" t="s">
        <v>816</v>
      </c>
      <c r="LA8" s="1771" t="s">
        <v>817</v>
      </c>
      <c r="LB8" s="1771" t="s">
        <v>772</v>
      </c>
      <c r="LC8" s="1771" t="s">
        <v>814</v>
      </c>
      <c r="LD8" s="1771" t="s">
        <v>815</v>
      </c>
      <c r="LE8" s="1771" t="s">
        <v>816</v>
      </c>
      <c r="LF8" s="1771" t="s">
        <v>817</v>
      </c>
      <c r="LG8" s="1771" t="s">
        <v>772</v>
      </c>
      <c r="LH8" s="1771" t="s">
        <v>814</v>
      </c>
      <c r="LI8" s="1771" t="s">
        <v>815</v>
      </c>
      <c r="LJ8" s="1771" t="s">
        <v>816</v>
      </c>
      <c r="LK8" s="1771" t="s">
        <v>817</v>
      </c>
      <c r="LL8" s="1771" t="s">
        <v>772</v>
      </c>
      <c r="LM8" s="1771" t="s">
        <v>814</v>
      </c>
      <c r="LN8" s="1771" t="s">
        <v>815</v>
      </c>
      <c r="LO8" s="1771" t="s">
        <v>816</v>
      </c>
      <c r="LP8" s="1771" t="s">
        <v>817</v>
      </c>
      <c r="LQ8" s="1771" t="s">
        <v>772</v>
      </c>
      <c r="LR8" s="1771" t="s">
        <v>814</v>
      </c>
      <c r="LS8" s="1771" t="s">
        <v>815</v>
      </c>
      <c r="LT8" s="1771" t="s">
        <v>816</v>
      </c>
      <c r="LU8" s="1771" t="s">
        <v>817</v>
      </c>
      <c r="LV8" s="1771" t="s">
        <v>772</v>
      </c>
      <c r="LW8" s="1771" t="s">
        <v>814</v>
      </c>
      <c r="LX8" s="1771" t="s">
        <v>815</v>
      </c>
      <c r="LY8" s="1771" t="s">
        <v>816</v>
      </c>
      <c r="LZ8" s="1771" t="s">
        <v>817</v>
      </c>
      <c r="MA8" s="1771" t="s">
        <v>772</v>
      </c>
      <c r="MB8" s="1771" t="s">
        <v>814</v>
      </c>
      <c r="MC8" s="1771" t="s">
        <v>815</v>
      </c>
      <c r="MD8" s="1771" t="s">
        <v>816</v>
      </c>
      <c r="ME8" s="1771" t="s">
        <v>817</v>
      </c>
      <c r="MF8" s="1771" t="s">
        <v>772</v>
      </c>
      <c r="MG8" s="1771" t="s">
        <v>814</v>
      </c>
      <c r="MH8" s="1771" t="s">
        <v>815</v>
      </c>
      <c r="MI8" s="1771" t="s">
        <v>816</v>
      </c>
      <c r="MJ8" s="1771" t="s">
        <v>817</v>
      </c>
      <c r="MK8" s="1771" t="s">
        <v>772</v>
      </c>
      <c r="ML8" s="1771" t="s">
        <v>814</v>
      </c>
      <c r="MM8" s="1771" t="s">
        <v>815</v>
      </c>
      <c r="MN8" s="1771" t="s">
        <v>816</v>
      </c>
      <c r="MO8" s="1771" t="s">
        <v>817</v>
      </c>
      <c r="MP8" s="3789"/>
      <c r="MQ8" s="3789"/>
      <c r="MR8" s="3789"/>
      <c r="MS8" s="3789"/>
      <c r="MT8" s="3789"/>
      <c r="MU8" s="3789"/>
      <c r="MV8" s="3789"/>
      <c r="MW8" s="3789"/>
      <c r="MX8" s="3789"/>
      <c r="MY8" s="3789"/>
      <c r="MZ8" s="3789"/>
      <c r="NA8" s="3789"/>
      <c r="NB8" s="3789"/>
      <c r="NC8" s="3789"/>
      <c r="ND8" s="3789"/>
      <c r="NE8" s="3789"/>
      <c r="NF8" s="3789"/>
      <c r="NG8" s="3789"/>
      <c r="NH8" s="3789"/>
      <c r="NI8" s="3789"/>
      <c r="NJ8" s="3789"/>
      <c r="NK8" s="3789"/>
      <c r="NL8" s="3789"/>
      <c r="NM8" s="3789"/>
      <c r="NN8" s="3789"/>
      <c r="NO8" s="3789"/>
      <c r="NP8" s="3789"/>
      <c r="NQ8" s="3789"/>
      <c r="NR8" s="3789"/>
      <c r="NS8" s="3789"/>
      <c r="NT8" s="3828"/>
      <c r="NU8" s="3828"/>
      <c r="NV8" s="3828"/>
      <c r="NW8" s="3828"/>
      <c r="NX8" s="3828"/>
      <c r="NY8" s="3789"/>
      <c r="NZ8" s="3789"/>
      <c r="OA8" s="3789"/>
      <c r="OB8" s="3789"/>
      <c r="OC8" s="3789"/>
      <c r="OD8" s="253"/>
      <c r="OE8" s="253"/>
      <c r="OF8" s="253"/>
      <c r="OG8" s="253"/>
      <c r="OH8" s="253"/>
      <c r="OI8" s="253"/>
      <c r="OJ8" s="253"/>
      <c r="OK8" s="253"/>
      <c r="OL8" s="253"/>
      <c r="OM8" s="253"/>
      <c r="ON8" s="253"/>
      <c r="OO8" s="253"/>
      <c r="OP8" s="253"/>
      <c r="OQ8" s="253"/>
      <c r="OR8" s="253"/>
      <c r="OS8" s="253"/>
      <c r="OT8" s="253"/>
      <c r="OU8" s="253"/>
      <c r="OV8" s="43"/>
      <c r="OW8" s="43"/>
      <c r="OX8" s="43"/>
      <c r="OY8" s="1796"/>
      <c r="OZ8" s="1799">
        <v>8</v>
      </c>
      <c r="PA8" s="43"/>
      <c r="PB8" s="43"/>
      <c r="PC8" s="43"/>
      <c r="PD8" s="43"/>
      <c r="PE8" s="43"/>
      <c r="PF8" s="43"/>
      <c r="PG8" s="43"/>
      <c r="PH8" s="43"/>
      <c r="PI8" s="43"/>
      <c r="PJ8" s="43"/>
      <c r="PK8" s="43"/>
      <c r="PL8" s="43"/>
      <c r="PM8" s="43"/>
      <c r="PN8" s="43"/>
      <c r="PO8" s="43"/>
      <c r="PP8" s="43"/>
      <c r="PQ8" s="43"/>
      <c r="PR8" s="43"/>
      <c r="PS8" s="43"/>
      <c r="PT8" s="43"/>
      <c r="PU8" s="43"/>
      <c r="PV8" s="43"/>
      <c r="PW8" s="43"/>
      <c r="PX8" s="43"/>
      <c r="PY8" s="43"/>
      <c r="PZ8" s="43"/>
      <c r="QA8" s="43"/>
      <c r="QB8" s="43"/>
      <c r="QC8" s="43"/>
      <c r="QD8" s="43"/>
      <c r="QE8" s="43"/>
      <c r="QF8" s="43"/>
      <c r="QG8" s="43"/>
      <c r="QH8" s="43"/>
      <c r="QI8" s="43"/>
      <c r="QJ8" s="43"/>
      <c r="QK8" s="43"/>
      <c r="QL8" s="43"/>
      <c r="QM8" s="43"/>
      <c r="QN8" s="43"/>
      <c r="QO8" s="43"/>
      <c r="QP8" s="43"/>
      <c r="QQ8" s="43"/>
      <c r="QR8" s="43"/>
      <c r="QS8" s="43"/>
      <c r="QT8" s="43"/>
      <c r="QU8" s="43"/>
      <c r="QV8" s="43"/>
      <c r="QW8" s="43"/>
      <c r="QX8" s="43"/>
      <c r="QY8" s="43"/>
      <c r="QZ8" s="43"/>
      <c r="RA8" s="43"/>
      <c r="RB8" s="43"/>
      <c r="RC8" s="43"/>
      <c r="RD8" s="43"/>
      <c r="RE8" s="43"/>
      <c r="RF8" s="43"/>
      <c r="RG8" s="43"/>
      <c r="RH8" s="43"/>
      <c r="RI8" s="43"/>
      <c r="RJ8" s="43"/>
      <c r="RK8" s="43"/>
      <c r="RL8" s="43"/>
      <c r="RM8" s="43"/>
      <c r="RN8" s="43"/>
      <c r="RO8" s="43"/>
      <c r="RP8" s="43"/>
      <c r="RQ8" s="43"/>
      <c r="RR8" s="43"/>
      <c r="RS8" s="43"/>
      <c r="RT8" s="43"/>
      <c r="RU8" s="43"/>
      <c r="RV8" s="43"/>
      <c r="RW8" s="43"/>
      <c r="RX8" s="43"/>
      <c r="RY8" s="43"/>
      <c r="RZ8" s="43"/>
      <c r="SA8" s="43"/>
      <c r="SB8" s="43"/>
      <c r="SC8" s="43"/>
      <c r="SD8" s="43"/>
      <c r="SE8" s="43"/>
      <c r="SF8" s="43"/>
      <c r="SG8" s="43"/>
      <c r="SH8" s="43"/>
      <c r="SI8" s="43"/>
      <c r="SJ8" s="43"/>
      <c r="SK8" s="43"/>
      <c r="SL8" s="43"/>
      <c r="SM8" s="43"/>
      <c r="SN8" s="43"/>
      <c r="SO8" s="43"/>
      <c r="SP8" s="43"/>
      <c r="SQ8" s="43"/>
      <c r="SR8" s="43"/>
      <c r="SS8" s="43"/>
      <c r="ST8" s="43"/>
      <c r="SU8" s="43"/>
      <c r="SV8" s="43"/>
      <c r="SW8" s="43"/>
      <c r="SX8" s="43"/>
      <c r="SY8" s="43"/>
      <c r="SZ8" s="43"/>
      <c r="TA8" s="43"/>
      <c r="TB8" s="43"/>
      <c r="TC8" s="43"/>
      <c r="TD8" s="43"/>
      <c r="TE8" s="43"/>
      <c r="TF8" s="43"/>
      <c r="TG8" s="43"/>
      <c r="TH8" s="43"/>
    </row>
    <row r="9" spans="1:528" s="54" customFormat="1" ht="11.25" customHeight="1">
      <c r="A9" s="3801"/>
      <c r="B9" s="774" t="s">
        <v>1117</v>
      </c>
      <c r="C9" s="501" t="s">
        <v>1118</v>
      </c>
      <c r="D9" s="501" t="s">
        <v>1119</v>
      </c>
      <c r="E9" s="501" t="s">
        <v>1120</v>
      </c>
      <c r="F9" s="501" t="s">
        <v>1120</v>
      </c>
      <c r="G9" s="3790" t="s">
        <v>1121</v>
      </c>
      <c r="H9" s="2544" t="s">
        <v>1122</v>
      </c>
      <c r="I9" s="3790"/>
      <c r="J9" s="3795" t="s">
        <v>1123</v>
      </c>
      <c r="K9" s="501" t="s">
        <v>1124</v>
      </c>
      <c r="L9" s="3797" t="s">
        <v>1125</v>
      </c>
      <c r="M9" s="3798"/>
      <c r="N9" s="501" t="s">
        <v>1126</v>
      </c>
      <c r="O9" s="501" t="s">
        <v>1127</v>
      </c>
      <c r="P9" s="3799" t="s">
        <v>1128</v>
      </c>
      <c r="Q9" s="3805"/>
      <c r="R9" s="501" t="s">
        <v>1129</v>
      </c>
      <c r="S9" s="501" t="s">
        <v>1130</v>
      </c>
      <c r="T9" s="234"/>
      <c r="W9" s="235"/>
      <c r="X9" s="3789"/>
      <c r="Y9" s="3789"/>
      <c r="Z9" s="3789"/>
      <c r="AA9" s="3789"/>
      <c r="AB9" s="3789"/>
      <c r="AC9" s="3789"/>
      <c r="AD9" s="3789"/>
      <c r="AE9" s="3789"/>
      <c r="AF9" s="3789"/>
      <c r="AG9" s="3789"/>
      <c r="AH9" s="3789"/>
      <c r="AI9" s="3789"/>
      <c r="AJ9" s="3789"/>
      <c r="AK9" s="3789"/>
      <c r="AL9" s="3789"/>
      <c r="AM9" s="3789"/>
      <c r="AN9" s="3789"/>
      <c r="AO9" s="3789"/>
      <c r="AP9" s="3789"/>
      <c r="AQ9" s="3789"/>
      <c r="AR9" s="3789"/>
      <c r="AS9" s="3789"/>
      <c r="AT9" s="3789"/>
      <c r="AU9" s="3789"/>
      <c r="AV9" s="3789"/>
      <c r="AW9" s="3789"/>
      <c r="AX9" s="3789"/>
      <c r="AY9" s="3789"/>
      <c r="AZ9" s="3789"/>
      <c r="BA9" s="3789"/>
      <c r="BB9" s="3789"/>
      <c r="BC9" s="3789"/>
      <c r="BD9" s="3789"/>
      <c r="BE9" s="3789"/>
      <c r="BF9" s="3789"/>
      <c r="BG9" s="3789"/>
      <c r="BH9" s="3789"/>
      <c r="BI9" s="3789"/>
      <c r="BJ9" s="3789"/>
      <c r="BK9" s="3789"/>
      <c r="BL9" s="3789"/>
      <c r="BM9" s="3789"/>
      <c r="BN9" s="3789"/>
      <c r="BO9" s="3789"/>
      <c r="BP9" s="3789"/>
      <c r="BQ9" s="3789"/>
      <c r="BR9" s="3789"/>
      <c r="BS9" s="3789"/>
      <c r="BT9" s="3789"/>
      <c r="BU9" s="3789"/>
      <c r="BV9" s="3789"/>
      <c r="BW9" s="3789"/>
      <c r="BX9" s="3789"/>
      <c r="BY9" s="3789"/>
      <c r="BZ9" s="3789"/>
      <c r="CA9" s="3789"/>
      <c r="CB9" s="3789"/>
      <c r="CC9" s="3789"/>
      <c r="CD9" s="3789"/>
      <c r="CE9" s="3789"/>
      <c r="CF9" s="3789"/>
      <c r="CG9" s="3789"/>
      <c r="CH9" s="3789"/>
      <c r="CI9" s="3789"/>
      <c r="CJ9" s="3789"/>
      <c r="CK9" s="3789"/>
      <c r="CL9" s="3789"/>
      <c r="CM9" s="3789"/>
      <c r="CN9" s="3789"/>
      <c r="CO9" s="3789"/>
      <c r="CP9" s="3789"/>
      <c r="CQ9" s="3789"/>
      <c r="CR9" s="3789"/>
      <c r="CS9" s="3789"/>
      <c r="CT9" s="3789"/>
      <c r="CU9" s="3789"/>
      <c r="CV9" s="3789"/>
      <c r="CW9" s="3789"/>
      <c r="CX9" s="3789"/>
      <c r="CY9" s="3789"/>
      <c r="CZ9" s="3789"/>
      <c r="DA9" s="3789"/>
      <c r="DB9" s="3789"/>
      <c r="DC9" s="3789"/>
      <c r="DD9" s="3789"/>
      <c r="DE9" s="3789"/>
      <c r="DF9" s="3789"/>
      <c r="DG9" s="3789"/>
      <c r="DH9" s="3789"/>
      <c r="DI9" s="3789"/>
      <c r="DJ9" s="3789"/>
      <c r="DK9" s="3789"/>
      <c r="DL9" s="3789"/>
      <c r="DM9" s="3789"/>
      <c r="DN9" s="3789"/>
      <c r="DO9" s="3789"/>
      <c r="DP9" s="3789"/>
      <c r="DQ9" s="3789"/>
      <c r="DR9" s="3789"/>
      <c r="DS9" s="3789"/>
      <c r="DT9" s="3789"/>
      <c r="DU9" s="3789"/>
      <c r="DV9" s="3789"/>
      <c r="DW9" s="3789"/>
      <c r="DX9" s="3789"/>
      <c r="DY9" s="3789"/>
      <c r="DZ9" s="3789"/>
      <c r="EA9" s="3789"/>
      <c r="EB9" s="3789"/>
      <c r="EC9" s="3789"/>
      <c r="ED9" s="3789"/>
      <c r="EE9" s="3789"/>
      <c r="EF9" s="3789"/>
      <c r="EG9" s="3789"/>
      <c r="EH9" s="3789"/>
      <c r="EI9" s="3789"/>
      <c r="EJ9" s="3789"/>
      <c r="EK9" s="3789"/>
      <c r="EL9" s="3789"/>
      <c r="EM9" s="3789"/>
      <c r="EN9" s="3789"/>
      <c r="EO9" s="3789"/>
      <c r="EP9" s="3789"/>
      <c r="EQ9" s="3789"/>
      <c r="ER9" s="3789"/>
      <c r="ES9" s="3789"/>
      <c r="ET9" s="3789"/>
      <c r="EU9" s="3789"/>
      <c r="EV9" s="3789"/>
      <c r="EW9" s="3789"/>
      <c r="EX9" s="3789"/>
      <c r="EY9" s="3789"/>
      <c r="EZ9" s="3789"/>
      <c r="FA9" s="3789"/>
      <c r="FB9" s="3789"/>
      <c r="FC9" s="3789"/>
      <c r="FD9" s="3789"/>
      <c r="FE9" s="3789"/>
      <c r="FF9" s="3789"/>
      <c r="FG9" s="3789"/>
      <c r="FH9" s="3789"/>
      <c r="FI9" s="3789"/>
      <c r="FJ9" s="3789"/>
      <c r="FK9" s="3789"/>
      <c r="FL9" s="3789"/>
      <c r="FM9" s="3789"/>
      <c r="FN9" s="3789"/>
      <c r="FO9" s="3789"/>
      <c r="FP9" s="3789"/>
      <c r="FQ9" s="3789"/>
      <c r="FR9" s="3789"/>
      <c r="FS9" s="3789"/>
      <c r="FT9" s="3789"/>
      <c r="FU9" s="3789"/>
      <c r="FV9" s="3789"/>
      <c r="FW9" s="3789"/>
      <c r="FX9" s="3789"/>
      <c r="FY9" s="3789"/>
      <c r="FZ9" s="3789"/>
      <c r="GA9" s="3789"/>
      <c r="GB9" s="3789"/>
      <c r="GC9" s="3789"/>
      <c r="GD9" s="3789"/>
      <c r="GE9" s="3789"/>
      <c r="GF9" s="3789"/>
      <c r="GG9" s="3789"/>
      <c r="GH9" s="3789"/>
      <c r="GI9" s="3789"/>
      <c r="GJ9" s="3789"/>
      <c r="GK9" s="3789"/>
      <c r="GL9" s="3789"/>
      <c r="GM9" s="3789"/>
      <c r="GN9" s="3789"/>
      <c r="GO9" s="3789"/>
      <c r="GP9" s="3789"/>
      <c r="GQ9" s="3789"/>
      <c r="GR9" s="3789"/>
      <c r="GS9" s="3789"/>
      <c r="GT9" s="3789"/>
      <c r="GU9" s="3789"/>
      <c r="GV9" s="3789"/>
      <c r="GW9" s="3789"/>
      <c r="GX9" s="3789"/>
      <c r="GY9" s="3789"/>
      <c r="GZ9" s="3789"/>
      <c r="HA9" s="3789"/>
      <c r="HB9" s="3789"/>
      <c r="HC9" s="3789"/>
      <c r="HD9" s="3789"/>
      <c r="HE9" s="3789"/>
      <c r="HF9" s="3789"/>
      <c r="HG9" s="3789"/>
      <c r="HH9" s="3789"/>
      <c r="HI9" s="3789"/>
      <c r="HJ9" s="3789"/>
      <c r="HK9" s="3789"/>
      <c r="HL9" s="3789"/>
      <c r="HM9" s="3789"/>
      <c r="HN9" s="3789"/>
      <c r="HO9" s="3789"/>
      <c r="HP9" s="3789"/>
      <c r="HQ9" s="3789"/>
      <c r="HR9" s="3789"/>
      <c r="HS9" s="3789"/>
      <c r="HT9" s="3789"/>
      <c r="HU9" s="3789"/>
      <c r="HV9" s="3789"/>
      <c r="HW9" s="3789"/>
      <c r="HX9" s="3789"/>
      <c r="HY9" s="3789"/>
      <c r="HZ9" s="3789"/>
      <c r="IA9" s="3789"/>
      <c r="IB9" s="3789"/>
      <c r="IC9" s="3789"/>
      <c r="ID9" s="3789"/>
      <c r="IE9" s="3789"/>
      <c r="IF9" s="3789"/>
      <c r="IG9" s="3789"/>
      <c r="IH9" s="3789"/>
      <c r="II9" s="3789"/>
      <c r="IJ9" s="3789"/>
      <c r="IK9" s="3789"/>
      <c r="IL9" s="3789"/>
      <c r="IM9" s="3789"/>
      <c r="IN9" s="3789"/>
      <c r="IO9" s="3789"/>
      <c r="IP9" s="3789"/>
      <c r="IQ9" s="3789"/>
      <c r="IR9" s="3789"/>
      <c r="IS9" s="3789"/>
      <c r="IT9" s="3789"/>
      <c r="IU9" s="3789"/>
      <c r="IV9" s="3789"/>
      <c r="IW9" s="3789"/>
      <c r="IX9" s="3789"/>
      <c r="IY9" s="3789"/>
      <c r="IZ9" s="3789"/>
      <c r="JA9" s="3789"/>
      <c r="JB9" s="3789"/>
      <c r="JC9" s="3789"/>
      <c r="JD9" s="3789"/>
      <c r="JE9" s="3789"/>
      <c r="JF9" s="3789"/>
      <c r="JG9" s="3789"/>
      <c r="JH9" s="3789"/>
      <c r="JI9" s="3789" t="s">
        <v>1131</v>
      </c>
      <c r="JJ9" s="1771" t="s">
        <v>814</v>
      </c>
      <c r="JK9" s="1771" t="s">
        <v>815</v>
      </c>
      <c r="JL9" s="1771" t="s">
        <v>816</v>
      </c>
      <c r="JM9" s="1771" t="s">
        <v>817</v>
      </c>
      <c r="JN9" s="3789" t="s">
        <v>1132</v>
      </c>
      <c r="JO9" s="3789" t="s">
        <v>1132</v>
      </c>
      <c r="JP9" s="3789" t="s">
        <v>1132</v>
      </c>
      <c r="JQ9" s="3789" t="s">
        <v>1132</v>
      </c>
      <c r="JR9" s="3789" t="s">
        <v>1132</v>
      </c>
      <c r="JS9" s="3789" t="s">
        <v>1133</v>
      </c>
      <c r="JT9" s="3789" t="s">
        <v>1133</v>
      </c>
      <c r="JU9" s="3789" t="s">
        <v>1133</v>
      </c>
      <c r="JV9" s="3789" t="s">
        <v>1133</v>
      </c>
      <c r="JW9" s="3789" t="s">
        <v>1133</v>
      </c>
      <c r="JX9" s="1771" t="s">
        <v>772</v>
      </c>
      <c r="JY9" s="1771" t="s">
        <v>814</v>
      </c>
      <c r="JZ9" s="1771" t="s">
        <v>815</v>
      </c>
      <c r="KA9" s="1771" t="s">
        <v>816</v>
      </c>
      <c r="KB9" s="1771" t="s">
        <v>817</v>
      </c>
      <c r="KC9" s="1771" t="s">
        <v>772</v>
      </c>
      <c r="KD9" s="1771" t="s">
        <v>814</v>
      </c>
      <c r="KE9" s="1771" t="s">
        <v>815</v>
      </c>
      <c r="KF9" s="1771" t="s">
        <v>816</v>
      </c>
      <c r="KG9" s="1771" t="s">
        <v>817</v>
      </c>
      <c r="KH9" s="3789" t="s">
        <v>1134</v>
      </c>
      <c r="KI9" s="3789" t="s">
        <v>1134</v>
      </c>
      <c r="KJ9" s="3789" t="s">
        <v>1134</v>
      </c>
      <c r="KK9" s="3789" t="s">
        <v>1134</v>
      </c>
      <c r="KL9" s="3789" t="s">
        <v>1134</v>
      </c>
      <c r="KM9" s="3789" t="s">
        <v>1135</v>
      </c>
      <c r="KN9" s="3789" t="s">
        <v>1135</v>
      </c>
      <c r="KO9" s="3789" t="s">
        <v>1135</v>
      </c>
      <c r="KP9" s="3789" t="s">
        <v>1135</v>
      </c>
      <c r="KQ9" s="3789" t="s">
        <v>1135</v>
      </c>
      <c r="KR9" s="3789" t="s">
        <v>1136</v>
      </c>
      <c r="KS9" s="3789" t="s">
        <v>1136</v>
      </c>
      <c r="KT9" s="3789" t="s">
        <v>1136</v>
      </c>
      <c r="KU9" s="3789" t="s">
        <v>1136</v>
      </c>
      <c r="KV9" s="3789" t="s">
        <v>1136</v>
      </c>
      <c r="KW9" s="3789" t="s">
        <v>1137</v>
      </c>
      <c r="KX9" s="3789" t="s">
        <v>1137</v>
      </c>
      <c r="KY9" s="3789" t="s">
        <v>1137</v>
      </c>
      <c r="KZ9" s="3789" t="s">
        <v>1137</v>
      </c>
      <c r="LA9" s="3789" t="s">
        <v>1137</v>
      </c>
      <c r="LB9" s="3789" t="s">
        <v>1138</v>
      </c>
      <c r="LC9" s="3789" t="s">
        <v>1138</v>
      </c>
      <c r="LD9" s="3789" t="s">
        <v>1138</v>
      </c>
      <c r="LE9" s="3789" t="s">
        <v>1138</v>
      </c>
      <c r="LF9" s="3789" t="s">
        <v>1138</v>
      </c>
      <c r="LG9" s="3789" t="s">
        <v>1139</v>
      </c>
      <c r="LH9" s="3789" t="s">
        <v>1139</v>
      </c>
      <c r="LI9" s="3789" t="s">
        <v>1139</v>
      </c>
      <c r="LJ9" s="3789" t="s">
        <v>1139</v>
      </c>
      <c r="LK9" s="3789" t="s">
        <v>1139</v>
      </c>
      <c r="LL9" s="3789" t="s">
        <v>1140</v>
      </c>
      <c r="LM9" s="3789" t="s">
        <v>1140</v>
      </c>
      <c r="LN9" s="3789" t="s">
        <v>1140</v>
      </c>
      <c r="LO9" s="3789" t="s">
        <v>1140</v>
      </c>
      <c r="LP9" s="3789" t="s">
        <v>1140</v>
      </c>
      <c r="LQ9" s="3789" t="s">
        <v>1141</v>
      </c>
      <c r="LR9" s="3789" t="s">
        <v>1141</v>
      </c>
      <c r="LS9" s="3789" t="s">
        <v>1141</v>
      </c>
      <c r="LT9" s="3789" t="s">
        <v>1141</v>
      </c>
      <c r="LU9" s="3789" t="s">
        <v>1141</v>
      </c>
      <c r="LV9" s="3789" t="s">
        <v>1142</v>
      </c>
      <c r="LW9" s="3789" t="s">
        <v>1142</v>
      </c>
      <c r="LX9" s="3789" t="s">
        <v>1142</v>
      </c>
      <c r="LY9" s="3789" t="s">
        <v>1142</v>
      </c>
      <c r="LZ9" s="3789" t="s">
        <v>1142</v>
      </c>
      <c r="MA9" s="3789" t="s">
        <v>1143</v>
      </c>
      <c r="MB9" s="3789" t="s">
        <v>1143</v>
      </c>
      <c r="MC9" s="3789" t="s">
        <v>1143</v>
      </c>
      <c r="MD9" s="3789" t="s">
        <v>1143</v>
      </c>
      <c r="ME9" s="3789" t="s">
        <v>1143</v>
      </c>
      <c r="MF9" s="3789" t="s">
        <v>1144</v>
      </c>
      <c r="MG9" s="3789" t="s">
        <v>1144</v>
      </c>
      <c r="MH9" s="3789" t="s">
        <v>1144</v>
      </c>
      <c r="MI9" s="3789" t="s">
        <v>1144</v>
      </c>
      <c r="MJ9" s="3789" t="s">
        <v>1144</v>
      </c>
      <c r="MK9" s="3789" t="s">
        <v>1145</v>
      </c>
      <c r="ML9" s="3789" t="s">
        <v>1145</v>
      </c>
      <c r="MM9" s="3789" t="s">
        <v>1145</v>
      </c>
      <c r="MN9" s="3789" t="s">
        <v>1145</v>
      </c>
      <c r="MO9" s="3789" t="s">
        <v>1145</v>
      </c>
      <c r="MP9" s="3789"/>
      <c r="MQ9" s="3789"/>
      <c r="MR9" s="3789"/>
      <c r="MS9" s="3789"/>
      <c r="MT9" s="3789"/>
      <c r="MU9" s="3789"/>
      <c r="MV9" s="3789"/>
      <c r="MW9" s="3789"/>
      <c r="MX9" s="3789"/>
      <c r="MY9" s="3789"/>
      <c r="MZ9" s="3789"/>
      <c r="NA9" s="3789"/>
      <c r="NB9" s="3789"/>
      <c r="NC9" s="3789"/>
      <c r="ND9" s="3789"/>
      <c r="NE9" s="3789"/>
      <c r="NF9" s="3789"/>
      <c r="NG9" s="3789"/>
      <c r="NH9" s="3789"/>
      <c r="NI9" s="3789"/>
      <c r="NJ9" s="3789"/>
      <c r="NK9" s="3789"/>
      <c r="NL9" s="3789"/>
      <c r="NM9" s="3789"/>
      <c r="NN9" s="3789"/>
      <c r="NO9" s="3789"/>
      <c r="NP9" s="3789"/>
      <c r="NQ9" s="3789"/>
      <c r="NR9" s="3789"/>
      <c r="NS9" s="3789"/>
      <c r="NT9" s="3828"/>
      <c r="NU9" s="3828"/>
      <c r="NV9" s="3828"/>
      <c r="NW9" s="3828"/>
      <c r="NX9" s="3828"/>
      <c r="NY9" s="3789"/>
      <c r="NZ9" s="3789"/>
      <c r="OA9" s="3789"/>
      <c r="OB9" s="3789"/>
      <c r="OC9" s="3789"/>
      <c r="OD9" s="254"/>
      <c r="OE9" s="254"/>
      <c r="OF9" s="254"/>
      <c r="OG9" s="254"/>
      <c r="OH9" s="254"/>
      <c r="OI9" s="254"/>
      <c r="OJ9" s="254"/>
      <c r="OK9" s="254"/>
      <c r="OL9" s="254"/>
      <c r="OM9" s="254"/>
      <c r="ON9" s="254"/>
      <c r="OO9" s="254"/>
      <c r="OP9" s="254"/>
      <c r="OQ9" s="254"/>
      <c r="OR9" s="254"/>
      <c r="OS9" s="254"/>
      <c r="OT9" s="254"/>
      <c r="OU9" s="254"/>
      <c r="OV9" s="40"/>
      <c r="OW9" s="40"/>
      <c r="OX9" s="40"/>
      <c r="OY9" s="1800"/>
      <c r="OZ9" s="1801">
        <v>9</v>
      </c>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row>
    <row r="10" spans="1:528" s="54" customFormat="1" ht="11.25" customHeight="1">
      <c r="A10" s="3801"/>
      <c r="B10" s="868" t="s">
        <v>1146</v>
      </c>
      <c r="C10" s="501" t="s">
        <v>795</v>
      </c>
      <c r="D10" s="501" t="s">
        <v>796</v>
      </c>
      <c r="E10" s="501" t="s">
        <v>1147</v>
      </c>
      <c r="F10" s="501" t="s">
        <v>1148</v>
      </c>
      <c r="G10" s="3791"/>
      <c r="H10" s="501" t="s">
        <v>1149</v>
      </c>
      <c r="I10" s="3791"/>
      <c r="J10" s="3796"/>
      <c r="K10" s="252" t="s">
        <v>1150</v>
      </c>
      <c r="L10" s="501" t="s">
        <v>680</v>
      </c>
      <c r="M10" s="501" t="s">
        <v>288</v>
      </c>
      <c r="N10" s="501" t="s">
        <v>1120</v>
      </c>
      <c r="O10" s="501" t="s">
        <v>1151</v>
      </c>
      <c r="P10" s="3800"/>
      <c r="Q10" s="3806"/>
      <c r="R10" s="501" t="s">
        <v>1152</v>
      </c>
      <c r="S10" s="501" t="s">
        <v>1153</v>
      </c>
      <c r="T10" s="6" t="s">
        <v>793</v>
      </c>
      <c r="W10" s="6"/>
      <c r="X10" s="3789"/>
      <c r="Y10" s="3789"/>
      <c r="Z10" s="3789"/>
      <c r="AA10" s="3789"/>
      <c r="AB10" s="3789"/>
      <c r="AC10" s="3789"/>
      <c r="AD10" s="3789"/>
      <c r="AE10" s="3789"/>
      <c r="AF10" s="3789"/>
      <c r="AG10" s="3789"/>
      <c r="AH10" s="3789"/>
      <c r="AI10" s="3789"/>
      <c r="AJ10" s="3789"/>
      <c r="AK10" s="3789"/>
      <c r="AL10" s="3789"/>
      <c r="AM10" s="3789"/>
      <c r="AN10" s="3789"/>
      <c r="AO10" s="3789"/>
      <c r="AP10" s="3789"/>
      <c r="AQ10" s="3789"/>
      <c r="AR10" s="3789"/>
      <c r="AS10" s="3789"/>
      <c r="AT10" s="3789"/>
      <c r="AU10" s="3789"/>
      <c r="AV10" s="3789"/>
      <c r="AW10" s="3789"/>
      <c r="AX10" s="3789"/>
      <c r="AY10" s="3789"/>
      <c r="AZ10" s="3789"/>
      <c r="BA10" s="3789"/>
      <c r="BB10" s="3789"/>
      <c r="BC10" s="3789"/>
      <c r="BD10" s="3789"/>
      <c r="BE10" s="3789"/>
      <c r="BF10" s="3789"/>
      <c r="BG10" s="3789"/>
      <c r="BH10" s="3789"/>
      <c r="BI10" s="3789"/>
      <c r="BJ10" s="3789"/>
      <c r="BK10" s="3789"/>
      <c r="BL10" s="3789"/>
      <c r="BM10" s="3789"/>
      <c r="BN10" s="3789"/>
      <c r="BO10" s="3789"/>
      <c r="BP10" s="3789"/>
      <c r="BQ10" s="3789"/>
      <c r="BR10" s="3789"/>
      <c r="BS10" s="3789"/>
      <c r="BT10" s="3789"/>
      <c r="BU10" s="3789"/>
      <c r="BV10" s="3789"/>
      <c r="BW10" s="3789"/>
      <c r="BX10" s="3789"/>
      <c r="BY10" s="3789"/>
      <c r="BZ10" s="3789"/>
      <c r="CA10" s="3789"/>
      <c r="CB10" s="3789"/>
      <c r="CC10" s="3789"/>
      <c r="CD10" s="3789"/>
      <c r="CE10" s="3789"/>
      <c r="CF10" s="3789"/>
      <c r="CG10" s="3789"/>
      <c r="CH10" s="3789"/>
      <c r="CI10" s="3789"/>
      <c r="CJ10" s="3789"/>
      <c r="CK10" s="3789"/>
      <c r="CL10" s="3789"/>
      <c r="CM10" s="3789"/>
      <c r="CN10" s="3789"/>
      <c r="CO10" s="3789"/>
      <c r="CP10" s="3789"/>
      <c r="CQ10" s="3789"/>
      <c r="CR10" s="3789"/>
      <c r="CS10" s="3789"/>
      <c r="CT10" s="3789"/>
      <c r="CU10" s="3789"/>
      <c r="CV10" s="3789"/>
      <c r="CW10" s="3789"/>
      <c r="CX10" s="3789"/>
      <c r="CY10" s="3789"/>
      <c r="CZ10" s="3789"/>
      <c r="DA10" s="3789"/>
      <c r="DB10" s="3789"/>
      <c r="DC10" s="3789"/>
      <c r="DD10" s="3789"/>
      <c r="DE10" s="3789"/>
      <c r="DF10" s="3789"/>
      <c r="DG10" s="3789"/>
      <c r="DH10" s="3789"/>
      <c r="DI10" s="3789"/>
      <c r="DJ10" s="3789"/>
      <c r="DK10" s="3789"/>
      <c r="DL10" s="3789"/>
      <c r="DM10" s="3789"/>
      <c r="DN10" s="3789"/>
      <c r="DO10" s="3789"/>
      <c r="DP10" s="3789"/>
      <c r="DQ10" s="3789"/>
      <c r="DR10" s="3789"/>
      <c r="DS10" s="3789"/>
      <c r="DT10" s="3789"/>
      <c r="DU10" s="3789"/>
      <c r="DV10" s="3789"/>
      <c r="DW10" s="3789"/>
      <c r="DX10" s="3789"/>
      <c r="DY10" s="3789"/>
      <c r="DZ10" s="3789"/>
      <c r="EA10" s="3789"/>
      <c r="EB10" s="3789"/>
      <c r="EC10" s="3789"/>
      <c r="ED10" s="3789"/>
      <c r="EE10" s="3789"/>
      <c r="EF10" s="3789"/>
      <c r="EG10" s="3789"/>
      <c r="EH10" s="3789"/>
      <c r="EI10" s="3789"/>
      <c r="EJ10" s="3789"/>
      <c r="EK10" s="3789"/>
      <c r="EL10" s="3789"/>
      <c r="EM10" s="3789"/>
      <c r="EN10" s="3789"/>
      <c r="EO10" s="3789"/>
      <c r="EP10" s="3789"/>
      <c r="EQ10" s="3789"/>
      <c r="ER10" s="3789"/>
      <c r="ES10" s="3789"/>
      <c r="ET10" s="3789"/>
      <c r="EU10" s="3789"/>
      <c r="EV10" s="3789"/>
      <c r="EW10" s="3789"/>
      <c r="EX10" s="3789"/>
      <c r="EY10" s="3789"/>
      <c r="EZ10" s="3789"/>
      <c r="FA10" s="3789"/>
      <c r="FB10" s="3789"/>
      <c r="FC10" s="3789"/>
      <c r="FD10" s="3789"/>
      <c r="FE10" s="3789"/>
      <c r="FF10" s="3789"/>
      <c r="FG10" s="3789"/>
      <c r="FH10" s="3789"/>
      <c r="FI10" s="3789"/>
      <c r="FJ10" s="3789"/>
      <c r="FK10" s="3789"/>
      <c r="FL10" s="3789"/>
      <c r="FM10" s="3789"/>
      <c r="FN10" s="3789"/>
      <c r="FO10" s="3789"/>
      <c r="FP10" s="3789"/>
      <c r="FQ10" s="3789"/>
      <c r="FR10" s="3789"/>
      <c r="FS10" s="3789"/>
      <c r="FT10" s="3789"/>
      <c r="FU10" s="3789"/>
      <c r="FV10" s="3789"/>
      <c r="FW10" s="3789"/>
      <c r="FX10" s="3789"/>
      <c r="FY10" s="3789"/>
      <c r="FZ10" s="3789"/>
      <c r="GA10" s="3789"/>
      <c r="GB10" s="3789"/>
      <c r="GC10" s="3789"/>
      <c r="GD10" s="3789"/>
      <c r="GE10" s="3789"/>
      <c r="GF10" s="3789"/>
      <c r="GG10" s="3789"/>
      <c r="GH10" s="3789"/>
      <c r="GI10" s="3789"/>
      <c r="GJ10" s="3789"/>
      <c r="GK10" s="3789"/>
      <c r="GL10" s="3789"/>
      <c r="GM10" s="3789"/>
      <c r="GN10" s="3789"/>
      <c r="GO10" s="3789"/>
      <c r="GP10" s="3789"/>
      <c r="GQ10" s="3789"/>
      <c r="GR10" s="3789"/>
      <c r="GS10" s="3789"/>
      <c r="GT10" s="3789"/>
      <c r="GU10" s="3789"/>
      <c r="GV10" s="3789"/>
      <c r="GW10" s="3789"/>
      <c r="GX10" s="3789"/>
      <c r="GY10" s="3789"/>
      <c r="GZ10" s="3789"/>
      <c r="HA10" s="3789"/>
      <c r="HB10" s="3789"/>
      <c r="HC10" s="3789"/>
      <c r="HD10" s="3789"/>
      <c r="HE10" s="3789"/>
      <c r="HF10" s="3789"/>
      <c r="HG10" s="3789"/>
      <c r="HH10" s="3789"/>
      <c r="HI10" s="3789"/>
      <c r="HJ10" s="3789"/>
      <c r="HK10" s="3789"/>
      <c r="HL10" s="3789"/>
      <c r="HM10" s="3789"/>
      <c r="HN10" s="3789"/>
      <c r="HO10" s="3789"/>
      <c r="HP10" s="3789"/>
      <c r="HQ10" s="3789"/>
      <c r="HR10" s="3789"/>
      <c r="HS10" s="3789"/>
      <c r="HT10" s="3789"/>
      <c r="HU10" s="3789"/>
      <c r="HV10" s="3789"/>
      <c r="HW10" s="3789"/>
      <c r="HX10" s="3789"/>
      <c r="HY10" s="3789"/>
      <c r="HZ10" s="3789"/>
      <c r="IA10" s="3789"/>
      <c r="IB10" s="3789"/>
      <c r="IC10" s="3789"/>
      <c r="ID10" s="3789"/>
      <c r="IE10" s="3789"/>
      <c r="IF10" s="3789"/>
      <c r="IG10" s="3789"/>
      <c r="IH10" s="3789"/>
      <c r="II10" s="3789"/>
      <c r="IJ10" s="3789"/>
      <c r="IK10" s="3789"/>
      <c r="IL10" s="3789"/>
      <c r="IM10" s="3789"/>
      <c r="IN10" s="3789"/>
      <c r="IO10" s="3789"/>
      <c r="IP10" s="3789"/>
      <c r="IQ10" s="3789"/>
      <c r="IR10" s="3789"/>
      <c r="IS10" s="3789"/>
      <c r="IT10" s="3789"/>
      <c r="IU10" s="3789"/>
      <c r="IV10" s="3789"/>
      <c r="IW10" s="3789"/>
      <c r="IX10" s="3789"/>
      <c r="IY10" s="3789"/>
      <c r="IZ10" s="3789"/>
      <c r="JA10" s="3789"/>
      <c r="JB10" s="3789"/>
      <c r="JC10" s="3789"/>
      <c r="JD10" s="3789"/>
      <c r="JE10" s="3789"/>
      <c r="JF10" s="3789"/>
      <c r="JG10" s="3789"/>
      <c r="JH10" s="3789"/>
      <c r="JI10" s="3789"/>
      <c r="JJ10" s="1771" t="s">
        <v>1154</v>
      </c>
      <c r="JK10" s="1771" t="s">
        <v>1154</v>
      </c>
      <c r="JL10" s="1771" t="s">
        <v>1154</v>
      </c>
      <c r="JM10" s="1771" t="s">
        <v>1154</v>
      </c>
      <c r="JN10" s="3789"/>
      <c r="JO10" s="3789"/>
      <c r="JP10" s="3789"/>
      <c r="JQ10" s="3789"/>
      <c r="JR10" s="3789"/>
      <c r="JS10" s="3789"/>
      <c r="JT10" s="3789"/>
      <c r="JU10" s="3789"/>
      <c r="JV10" s="3789"/>
      <c r="JW10" s="3789"/>
      <c r="JX10" s="1771" t="s">
        <v>1155</v>
      </c>
      <c r="JY10" s="1771" t="s">
        <v>1155</v>
      </c>
      <c r="JZ10" s="1771" t="s">
        <v>1155</v>
      </c>
      <c r="KA10" s="1771" t="s">
        <v>1155</v>
      </c>
      <c r="KB10" s="1771" t="s">
        <v>1155</v>
      </c>
      <c r="KC10" s="1771" t="s">
        <v>1156</v>
      </c>
      <c r="KD10" s="1771" t="s">
        <v>1156</v>
      </c>
      <c r="KE10" s="1771" t="s">
        <v>1156</v>
      </c>
      <c r="KF10" s="1771" t="s">
        <v>1156</v>
      </c>
      <c r="KG10" s="1771" t="s">
        <v>1156</v>
      </c>
      <c r="KH10" s="3789"/>
      <c r="KI10" s="3789"/>
      <c r="KJ10" s="3789"/>
      <c r="KK10" s="3789"/>
      <c r="KL10" s="3789"/>
      <c r="KM10" s="3789"/>
      <c r="KN10" s="3789"/>
      <c r="KO10" s="3789"/>
      <c r="KP10" s="3789"/>
      <c r="KQ10" s="3789"/>
      <c r="KR10" s="3789"/>
      <c r="KS10" s="3789"/>
      <c r="KT10" s="3789"/>
      <c r="KU10" s="3789"/>
      <c r="KV10" s="3789"/>
      <c r="KW10" s="3789"/>
      <c r="KX10" s="3789"/>
      <c r="KY10" s="3789"/>
      <c r="KZ10" s="3789"/>
      <c r="LA10" s="3789"/>
      <c r="LB10" s="3789"/>
      <c r="LC10" s="3789"/>
      <c r="LD10" s="3789"/>
      <c r="LE10" s="3789"/>
      <c r="LF10" s="3789"/>
      <c r="LG10" s="3789"/>
      <c r="LH10" s="3789"/>
      <c r="LI10" s="3789"/>
      <c r="LJ10" s="3789"/>
      <c r="LK10" s="3789"/>
      <c r="LL10" s="3789"/>
      <c r="LM10" s="3789"/>
      <c r="LN10" s="3789"/>
      <c r="LO10" s="3789"/>
      <c r="LP10" s="3789"/>
      <c r="LQ10" s="3789"/>
      <c r="LR10" s="3789"/>
      <c r="LS10" s="3789"/>
      <c r="LT10" s="3789"/>
      <c r="LU10" s="3789"/>
      <c r="LV10" s="3789"/>
      <c r="LW10" s="3789"/>
      <c r="LX10" s="3789"/>
      <c r="LY10" s="3789"/>
      <c r="LZ10" s="3789"/>
      <c r="MA10" s="3789"/>
      <c r="MB10" s="3789"/>
      <c r="MC10" s="3789"/>
      <c r="MD10" s="3789"/>
      <c r="ME10" s="3789"/>
      <c r="MF10" s="3789"/>
      <c r="MG10" s="3789"/>
      <c r="MH10" s="3789"/>
      <c r="MI10" s="3789"/>
      <c r="MJ10" s="3789"/>
      <c r="MK10" s="3789"/>
      <c r="ML10" s="3789"/>
      <c r="MM10" s="3789"/>
      <c r="MN10" s="3789"/>
      <c r="MO10" s="3789"/>
      <c r="MP10" s="3789"/>
      <c r="MQ10" s="3789"/>
      <c r="MR10" s="3789"/>
      <c r="MS10" s="3789"/>
      <c r="MT10" s="3789"/>
      <c r="MU10" s="3789"/>
      <c r="MV10" s="3789"/>
      <c r="MW10" s="3789"/>
      <c r="MX10" s="3789"/>
      <c r="MY10" s="3789"/>
      <c r="MZ10" s="3789"/>
      <c r="NA10" s="3789"/>
      <c r="NB10" s="3789"/>
      <c r="NC10" s="3789"/>
      <c r="ND10" s="3789"/>
      <c r="NE10" s="3789"/>
      <c r="NF10" s="3789"/>
      <c r="NG10" s="3789"/>
      <c r="NH10" s="3789"/>
      <c r="NI10" s="3789"/>
      <c r="NJ10" s="3789"/>
      <c r="NK10" s="3789"/>
      <c r="NL10" s="3789"/>
      <c r="NM10" s="3789"/>
      <c r="NN10" s="3789"/>
      <c r="NO10" s="3789"/>
      <c r="NP10" s="3789"/>
      <c r="NQ10" s="3789"/>
      <c r="NR10" s="3789"/>
      <c r="NS10" s="3789"/>
      <c r="NT10" s="3828"/>
      <c r="NU10" s="3828"/>
      <c r="NV10" s="3828"/>
      <c r="NW10" s="3828"/>
      <c r="NX10" s="3828"/>
      <c r="NY10" s="3789"/>
      <c r="NZ10" s="3789"/>
      <c r="OA10" s="3789"/>
      <c r="OB10" s="3789"/>
      <c r="OC10" s="3789"/>
      <c r="OD10" s="254"/>
      <c r="OE10" s="254"/>
      <c r="OF10" s="254"/>
      <c r="OG10" s="254"/>
      <c r="OH10" s="254"/>
      <c r="OI10" s="254"/>
      <c r="OJ10" s="254"/>
      <c r="OK10" s="254"/>
      <c r="OL10" s="254"/>
      <c r="OM10" s="254"/>
      <c r="ON10" s="254"/>
      <c r="OO10" s="254"/>
      <c r="OP10" s="254"/>
      <c r="OQ10" s="254"/>
      <c r="OR10" s="254"/>
      <c r="OS10" s="254"/>
      <c r="OT10" s="254"/>
      <c r="OU10" s="254"/>
      <c r="OV10" s="40"/>
      <c r="OW10" s="40"/>
      <c r="OX10" s="40"/>
      <c r="OY10" s="1800"/>
      <c r="OZ10" s="1799">
        <v>10</v>
      </c>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row>
    <row r="11" spans="1:528" ht="12" customHeight="1">
      <c r="A11" s="53" t="str">
        <f t="shared" ref="A11:A57" si="0">IF(AND(E11&gt;0,OR(B11="",C11="",D11="",F11="",G11="", H11="",I11="",N11="",O11="",P11="",Q11="")),1,"")</f>
        <v/>
      </c>
      <c r="B11" s="2704" t="s">
        <v>1157</v>
      </c>
      <c r="C11" s="2705"/>
      <c r="D11" s="2706"/>
      <c r="E11" s="2707"/>
      <c r="F11" s="2707"/>
      <c r="G11" s="2707"/>
      <c r="H11" s="2707"/>
      <c r="I11" s="2707"/>
      <c r="J11" s="2708"/>
      <c r="K11" s="2709"/>
      <c r="L11" s="2710">
        <f t="shared" ref="L11:L57" si="1">MAX(0,H11-I11-J11)</f>
        <v>0</v>
      </c>
      <c r="M11" s="2710">
        <f t="shared" ref="M11:M57" si="2">MAX(0,E11*L11)</f>
        <v>0</v>
      </c>
      <c r="N11" s="2711"/>
      <c r="O11" s="2712"/>
      <c r="P11" s="2711"/>
      <c r="Q11" s="2713"/>
      <c r="R11" s="539"/>
      <c r="S11" s="2714"/>
      <c r="T11" s="3777"/>
      <c r="U11" s="3778"/>
      <c r="V11" s="3778"/>
      <c r="W11" s="3779"/>
      <c r="X11" s="251" t="str">
        <f t="shared" ref="X11:X57" si="3">IF(AND(C11="Efficiency",B11=80,NOT(N11="Common Space")),E11,"")</f>
        <v/>
      </c>
      <c r="Y11" s="251" t="str">
        <f t="shared" ref="Y11:Y57" si="4">IF(AND(C11=1,B11=80,NOT(N11="Common Space")),E11,"")</f>
        <v/>
      </c>
      <c r="Z11" s="251" t="str">
        <f t="shared" ref="Z11:Z57" si="5">IF(AND(C11=2,B11=80,NOT(N11="Common Space")),E11,"")</f>
        <v/>
      </c>
      <c r="AA11" s="251" t="str">
        <f t="shared" ref="AA11:AA57" si="6">IF(AND(C11=3,B11=80,NOT(N11="Common Space")),E11,"")</f>
        <v/>
      </c>
      <c r="AB11" s="251" t="str">
        <f t="shared" ref="AB11:AB57" si="7">IF(AND(C11=4,B11=80,NOT(N11="Common Space")),E11,"")</f>
        <v/>
      </c>
      <c r="AC11" s="251" t="str">
        <f t="shared" ref="AC11:AC57" si="8">IF(AND(C11="Efficiency",B11=70,NOT(N11="Common Space")),E11,"")</f>
        <v/>
      </c>
      <c r="AD11" s="251" t="str">
        <f t="shared" ref="AD11:AD57" si="9">IF(AND(C11=1,B11=70,NOT(N11="Common Space")),E11,"")</f>
        <v/>
      </c>
      <c r="AE11" s="251" t="str">
        <f t="shared" ref="AE11:AE57" si="10">IF(AND(C11=2,B11=70,NOT(N11="Common Space")),E11,"")</f>
        <v/>
      </c>
      <c r="AF11" s="251" t="str">
        <f t="shared" ref="AF11:AF57" si="11">IF(AND(C11=3,B11=70,NOT(N11="Common Space")),E11,"")</f>
        <v/>
      </c>
      <c r="AG11" s="251" t="str">
        <f t="shared" ref="AG11:AG57" si="12">IF(AND(C11=4,B11=70,NOT(N11="Common Space")),E11,"")</f>
        <v/>
      </c>
      <c r="AH11" s="251" t="str">
        <f t="shared" ref="AH11:AH57" si="13">IF(AND(C11="Efficiency",B11=60,NOT(N11="Common Space")),E11,"")</f>
        <v/>
      </c>
      <c r="AI11" s="251" t="str">
        <f t="shared" ref="AI11:AI57" si="14">IF(AND(C11=1,B11=60,NOT(N11="Common Space")),E11,"")</f>
        <v/>
      </c>
      <c r="AJ11" s="251" t="str">
        <f t="shared" ref="AJ11:AJ57" si="15">IF(AND(C11=2,B11=60,NOT(N11="Common Space")),E11,"")</f>
        <v/>
      </c>
      <c r="AK11" s="251" t="str">
        <f t="shared" ref="AK11:AK57" si="16">IF(AND(C11=3,B11=60,NOT(N11="Common Space")),E11,"")</f>
        <v/>
      </c>
      <c r="AL11" s="251" t="str">
        <f t="shared" ref="AL11:AL57" si="17">IF(AND(C11=4,B11=60,NOT(N11="Common Space")),E11,"")</f>
        <v/>
      </c>
      <c r="AM11" s="251" t="str">
        <f t="shared" ref="AM11:AM57" si="18">IF(AND(C11="Efficiency",B11=50,NOT(N11="Common Space")),E11,"")</f>
        <v/>
      </c>
      <c r="AN11" s="251" t="str">
        <f t="shared" ref="AN11:AN57" si="19">IF(AND(C11=1,B11=50,NOT(N11="Common Space")),E11,"")</f>
        <v/>
      </c>
      <c r="AO11" s="251" t="str">
        <f t="shared" ref="AO11:AO57" si="20">IF(AND(C11=2,B11=50,NOT(N11="Common Space")),E11,"")</f>
        <v/>
      </c>
      <c r="AP11" s="251" t="str">
        <f t="shared" ref="AP11:AP57" si="21">IF(AND(C11=3,B11=50,NOT(N11="Common Space")),E11,"")</f>
        <v/>
      </c>
      <c r="AQ11" s="251" t="str">
        <f t="shared" ref="AQ11:AQ57" si="22">IF(AND(C11=4,B11=50,NOT(N11="Common Space")),E11,"")</f>
        <v/>
      </c>
      <c r="AR11" s="251" t="str">
        <f t="shared" ref="AR11:AR57" si="23">IF(AND(C11="Efficiency",B11=40,NOT(N11="Common Space")),E11,"")</f>
        <v/>
      </c>
      <c r="AS11" s="251" t="str">
        <f t="shared" ref="AS11:AS57" si="24">IF(AND(C11=1,B11=40,NOT(N11="Common Space")),E11,"")</f>
        <v/>
      </c>
      <c r="AT11" s="251" t="str">
        <f t="shared" ref="AT11:AT57" si="25">IF(AND(C11=2,B11=40,NOT(N11="Common Space")),E11,"")</f>
        <v/>
      </c>
      <c r="AU11" s="251" t="str">
        <f t="shared" ref="AU11:AU57" si="26">IF(AND(C11=3,B11=40,NOT(N11="Common Space")),E11,"")</f>
        <v/>
      </c>
      <c r="AV11" s="251" t="str">
        <f t="shared" ref="AV11:AV57" si="27">IF(AND(C11=4,B11=40,NOT(N11="Common Space")),E11,"")</f>
        <v/>
      </c>
      <c r="AW11" s="251" t="str">
        <f t="shared" ref="AW11:AW57" si="28">IF(AND(C11="Efficiency",B11=30,NOT(N11="Common Space")),E11,"")</f>
        <v/>
      </c>
      <c r="AX11" s="251" t="str">
        <f t="shared" ref="AX11:AX57" si="29">IF(AND(C11=1,B11=30,NOT(N11="Common Space")),E11,"")</f>
        <v/>
      </c>
      <c r="AY11" s="251" t="str">
        <f t="shared" ref="AY11:AY57" si="30">IF(AND(C11=2,B11=30,NOT(N11="Common Space")),E11,"")</f>
        <v/>
      </c>
      <c r="AZ11" s="251" t="str">
        <f t="shared" ref="AZ11:AZ57" si="31">IF(AND(C11=3,B11=30,NOT(N11="Common Space")),E11,"")</f>
        <v/>
      </c>
      <c r="BA11" s="251" t="str">
        <f t="shared" ref="BA11:BA57" si="32">IF(AND(C11=4,B11=30,NOT(N11="Common Space")),E11,"")</f>
        <v/>
      </c>
      <c r="BB11" s="251" t="str">
        <f t="shared" ref="BB11:BB57" si="33">IF(AND(C11="Efficiency",B11=20,NOT(N11="Common Space")),E11,"")</f>
        <v/>
      </c>
      <c r="BC11" s="251" t="str">
        <f t="shared" ref="BC11:BC57" si="34">IF(AND(C11=1,B11=20,NOT(N11="Common Space")),E11,"")</f>
        <v/>
      </c>
      <c r="BD11" s="251" t="str">
        <f t="shared" ref="BD11:BD57" si="35">IF(AND(C11=2,B11=20,NOT(N11="Common Space")),E11,"")</f>
        <v/>
      </c>
      <c r="BE11" s="251" t="str">
        <f t="shared" ref="BE11:BE57" si="36">IF(AND(C11=3,B11=20,NOT(N11="Common Space")),E11,"")</f>
        <v/>
      </c>
      <c r="BF11" s="251" t="str">
        <f t="shared" ref="BF11:BF57" si="37">IF(AND(C11=4,B11=20,NOT(N11="Common Space")),E11,"")</f>
        <v/>
      </c>
      <c r="BG11" s="251" t="str">
        <f t="shared" ref="BG11:BG57" si="38">IF(AND(C11="Efficiency",B11="Unrestricted",NOT(N11="Common Space")),E11,"")</f>
        <v/>
      </c>
      <c r="BH11" s="251" t="str">
        <f t="shared" ref="BH11:BH57" si="39">IF(AND(C11=1,B11="Unrestricted",NOT(N11="Common Space")),E11,"")</f>
        <v/>
      </c>
      <c r="BI11" s="251" t="str">
        <f t="shared" ref="BI11:BI57" si="40">IF(AND(C11=2,B11="Unrestricted",NOT(N11="Common Space")),E11,"")</f>
        <v/>
      </c>
      <c r="BJ11" s="251" t="str">
        <f t="shared" ref="BJ11:BJ57" si="41">IF(AND(C11=3,B11="Unrestricted",NOT(N11="Common Space")),E11,"")</f>
        <v/>
      </c>
      <c r="BK11" s="251" t="str">
        <f t="shared" ref="BK11:BK57" si="42">IF(AND(C11=4,B11="Unrestricted",NOT(N11="Common Space")),E11,"")</f>
        <v/>
      </c>
      <c r="BL11" s="251" t="str">
        <f t="shared" ref="BL11:BL57" si="43">IF(OR(AND($C11="Efficiency",NOT($K11=""),NOT($K11="PHA Oper Sub"),$B11=20,NOT($N11="Common Space")),AND($C11="Efficiency",NOT($K11=""),NOT($K11="PHA Oper Sub"),$B11="HOME 20",NOT($N11="Common Space"))),$E11,"")</f>
        <v/>
      </c>
      <c r="BM11" s="251" t="str">
        <f t="shared" ref="BM11:BM57" si="44">IF(OR(AND($C11=1,NOT($K11=""),NOT($K11="PHA Oper Sub"),$B11=20,NOT($N11="Common Space")),AND($C11=1,NOT($K11=""),NOT($K11="PHA Oper Sub"),$B11="HOME 20",NOT($N11="Common Space"))),$E11,"")</f>
        <v/>
      </c>
      <c r="BN11" s="251" t="str">
        <f t="shared" ref="BN11:BN57" si="45">IF(OR(AND($C11=2,NOT($K11=""),NOT($K11="PHA Oper Sub"),$B11=20,NOT($N11="Common Space")),AND($C11=2,NOT($K11=""),NOT($K11="PHA Oper Sub"),$B11="HOME 20",NOT($N11="Common Space"))),$E11,"")</f>
        <v/>
      </c>
      <c r="BO11" s="251" t="str">
        <f t="shared" ref="BO11:BO57" si="46">IF(OR(AND($C11=3,NOT($K11=""),NOT($K11="PHA Oper Sub"),$B11=20,NOT($N11="Common Space")),AND($C11=3,NOT($K11=""),NOT($K11="PHA Oper Sub"),$B11="HOME 20",NOT($N11="Common Space"))),$E11,"")</f>
        <v/>
      </c>
      <c r="BP11" s="251" t="str">
        <f t="shared" ref="BP11:BP57" si="47">IF(OR(AND($C11=4,NOT($K11=""),NOT($K11="PHA Oper Sub"),$B11=20,NOT($N11="Common Space")),AND($C11=4,NOT($K11=""),NOT($K11="PHA Oper Sub"),$B11="HOME 20",NOT($N11="Common Space"))),$E11,"")</f>
        <v/>
      </c>
      <c r="BQ11" s="251" t="str">
        <f t="shared" ref="BQ11:BQ57" si="48">IF(OR(AND($C11="Efficiency",NOT($K11=""),NOT($K11="PHA Oper Sub"),$B11=30,NOT($N11="Common Space")),AND($C11="Efficiency",NOT($K11=""),NOT($K11="PHA Oper Sub"),$B11="HOME 30",NOT($N11="Common Space"))),$E11,"")</f>
        <v/>
      </c>
      <c r="BR11" s="251" t="str">
        <f t="shared" ref="BR11:BR57" si="49">IF(OR(AND($C11=1,NOT($K11=""),NOT($K11="PHA Oper Sub"),$B11=30,NOT($N11="Common Space")),AND($C11=1,NOT($K11=""),NOT($K11="PHA Oper Sub"),$B11="HOME 30",NOT($N11="Common Space"))),$E11,"")</f>
        <v/>
      </c>
      <c r="BS11" s="251" t="str">
        <f t="shared" ref="BS11:BS57" si="50">IF(OR(AND($C11=2,NOT($K11=""),NOT($K11="PHA Oper Sub"),$B11=30,NOT($N11="Common Space")),AND($C11=2,NOT($K11=""),NOT($K11="PHA Oper Sub"),$B11="HOME 30",NOT($N11="Common Space"))),$E11,"")</f>
        <v/>
      </c>
      <c r="BT11" s="251" t="str">
        <f t="shared" ref="BT11:BT57" si="51">IF(OR(AND($C11=3,NOT($K11=""),NOT($K11="PHA Oper Sub"),$B11=30,NOT($N11="Common Space")),AND($C11=3,NOT($K11=""),NOT($K11="PHA Oper Sub"),$B11="HOME 30",NOT($N11="Common Space"))),$E11,"")</f>
        <v/>
      </c>
      <c r="BU11" s="251" t="str">
        <f t="shared" ref="BU11:BU57" si="52">IF(OR(AND($C11=4,NOT($K11=""),NOT($K11="PHA Oper Sub"),$B11=30,NOT($N11="Common Space")),AND($C11=4,NOT($K11=""),NOT($K11="PHA Oper Sub"),$B11="HOME 30",NOT($N11="Common Space"))),$E11,"")</f>
        <v/>
      </c>
      <c r="BV11" s="251" t="str">
        <f t="shared" ref="BV11:BV57" si="53">IF(OR(AND($C11="Efficiency",NOT($K11=""),NOT($K11="PHA Oper Sub"),$B11=40,NOT($N11="Common Space")),AND($C11="Efficiency",NOT($K11=""),NOT($K11="PHA Oper Sub"),$B11="HOME 40",NOT($N11="Common Space"))),$E11,"")</f>
        <v/>
      </c>
      <c r="BW11" s="251" t="str">
        <f t="shared" ref="BW11:BW57" si="54">IF(OR(AND($C11=1,NOT($K11=""),NOT($K11="PHA Oper Sub"),$B11=40,NOT($N11="Common Space")),AND($C11=1,NOT($K11=""),NOT($K11="PHA Oper Sub"),$B11="HOME 40",NOT($N11="Common Space"))),$E11,"")</f>
        <v/>
      </c>
      <c r="BX11" s="251" t="str">
        <f t="shared" ref="BX11:BX57" si="55">IF(OR(AND($C11=2,NOT($K11=""),NOT($K11="PHA Oper Sub"),$B11=40,NOT($N11="Common Space")),AND($C11=2,NOT($K11=""),NOT($K11="PHA Oper Sub"),$B11="HOME 40",NOT($N11="Common Space"))),$E11,"")</f>
        <v/>
      </c>
      <c r="BY11" s="251" t="str">
        <f t="shared" ref="BY11:BY57" si="56">IF(OR(AND($C11=3,NOT($K11=""),NOT($K11="PHA Oper Sub"),$B11=40,NOT($N11="Common Space")),AND($C11=3,NOT($K11=""),NOT($K11="PHA Oper Sub"),$B11="HOME 40",NOT($N11="Common Space"))),$E11,"")</f>
        <v/>
      </c>
      <c r="BZ11" s="251" t="str">
        <f t="shared" ref="BZ11:BZ57" si="57">IF(OR(AND($C11=4,NOT($K11=""),NOT($K11="PHA Oper Sub"),$B11=40,NOT($N11="Common Space")),AND($C11=4,NOT($K11=""),NOT($K11="PHA Oper Sub"),$B11="HOME 40",NOT($N11="Common Space"))),$E11,"")</f>
        <v/>
      </c>
      <c r="CA11" s="251" t="str">
        <f t="shared" ref="CA11:CA57" si="58">IF(OR(AND($C11="Efficiency",NOT($K11=""),NOT($K11="PHA Oper Sub"),NOT($K11=0),$B11=50,NOT($N11="Common Space")),AND($C11="Efficiency",NOT($K11=""),NOT($K11=0),NOT($K11="PHA Oper Sub"),$B11="HOME 50",NOT($N11="Common Space"))),$E11,"")</f>
        <v/>
      </c>
      <c r="CB11" s="251" t="str">
        <f t="shared" ref="CB11:CB57" si="59">IF(OR(AND($C11=1,NOT($K11=""),NOT($K11=0),NOT($K11="PHA Oper Sub"),$B11=50,NOT($N11="Common Space")),AND($C11=1,NOT($K11=""),NOT($K11=0),NOT($K11="PHA Oper Sub"),$B11="HOME 50",NOT($N11="Common Space"))),$E11,"")</f>
        <v/>
      </c>
      <c r="CC11" s="251" t="str">
        <f t="shared" ref="CC11:CC57" si="60">IF(OR(AND($C11=2,NOT($K11=""),NOT($K11=0),NOT($K11="PHA Oper Sub"),$B11=50,NOT($N11="Common Space")),AND($C11=2,NOT($K11=""),NOT($K11=0),NOT($K11="PHA Oper Sub"),$B11="HOME 50",NOT($N11="Common Space"))),$E11,"")</f>
        <v/>
      </c>
      <c r="CD11" s="251" t="str">
        <f t="shared" ref="CD11:CD57" si="61">IF(OR(AND($C11=3,NOT($K11=""),NOT($K11=0),NOT($K11="PHA Oper Sub"),$B11=50,NOT($N11="Common Space")),AND($C11=3,NOT($K11=""),NOT($K11=0),NOT($K11="PHA Oper Sub"),$B11="HOME 50",NOT($N11="Common Space"))),$E11,"")</f>
        <v/>
      </c>
      <c r="CE11" s="251" t="str">
        <f t="shared" ref="CE11:CE57" si="62">IF(OR(AND($C11=4,NOT($K11=""),NOT($K11=0),NOT($K11="PHA Oper Sub"),$B11=50,NOT($N11="Common Space")),AND($C11=4,NOT($K11=""),NOT($K11=0),NOT($K11="PHA Oper Sub"),$B11="HOME 50",NOT($N11="Common Space"))),$E11,"")</f>
        <v/>
      </c>
      <c r="CF11" s="251" t="str">
        <f t="shared" ref="CF11:CF57" si="63">IF(OR(AND($C11="Efficiency",NOT($K11=""),NOT($K11=0),NOT($K11="PHA Oper Sub"),$B11=60,NOT($N11="Common Space")),AND($C11="Efficiency",NOT($K11=""),NOT($K11=0),NOT($K11="PHA Oper Sub"),$B11="HOME 60",NOT($N11="Common Space"))),$E11,"")</f>
        <v/>
      </c>
      <c r="CG11" s="251" t="str">
        <f t="shared" ref="CG11:CG57" si="64">IF(OR(AND($C11=1,NOT($K11=""),NOT($K11=0),NOT($K11="PHA Oper Sub"),$B11=60,NOT($N11="Common Space")),AND($C11=1,NOT($K11=""),NOT($K11=0),NOT($K11="PHA Oper Sub"),$B11="HOME 60",NOT($N11="Common Space"))),$E11,"")</f>
        <v/>
      </c>
      <c r="CH11" s="251" t="str">
        <f t="shared" ref="CH11:CH57" si="65">IF(OR(AND($C11=2,NOT($K11=""),NOT($K11=0),NOT($K11="PHA Oper Sub"),$B11=60,NOT($N11="Common Space")),AND($C11=2,NOT($K11=""),NOT($K11=0),NOT($K11="PHA Oper Sub"),$B11="HOME 60",NOT($N11="Common Space"))),$E11,"")</f>
        <v/>
      </c>
      <c r="CI11" s="251" t="str">
        <f t="shared" ref="CI11:CI57" si="66">IF(OR(AND($C11=3,NOT($K11=""),NOT($K11=0),NOT($K11="PHA Oper Sub"),$B11=60,NOT($N11="Common Space")),AND($C11=3,NOT($K11=""),NOT($K11=0),NOT($K11="PHA Oper Sub"),$B11="HOME 60",NOT($N11="Common Space"))),$E11,"")</f>
        <v/>
      </c>
      <c r="CJ11" s="251" t="str">
        <f t="shared" ref="CJ11:CJ57" si="67">IF(OR(AND($C11=4,NOT($K11=""),NOT($K11=0),NOT($K11="PHA Oper Sub"),$B11=60,NOT($N11="Common Space")),AND($C11=4,NOT($K11=""),NOT($K11=0),NOT($K11="PHA Oper Sub"),$B11="HOME 60",NOT($N11="Common Space"))),$E11,"")</f>
        <v/>
      </c>
      <c r="CK11" s="251" t="str">
        <f t="shared" ref="CK11:CK57" si="68">IF(OR(AND($C11="Efficiency",NOT($K11=""),NOT($K11="PHA Oper Sub"),$B11=70,NOT($N11="Common Space")),AND($C11="Efficiency",NOT($K11=""),NOT($K11="PHA Oper Sub"),$B11="HOME 70",NOT($N11="Common Space"))),$E11,"")</f>
        <v/>
      </c>
      <c r="CL11" s="251" t="str">
        <f t="shared" ref="CL11:CL57" si="69">IF(OR(AND($C11=1,NOT($K11=""),NOT($K11="PHA Oper Sub"),$B11=70,NOT($N11="Common Space")),AND($C11=1,NOT($K11=""),NOT($K11="PHA Oper Sub"),$B11="HOME 70",NOT($N11="Common Space"))),$E11,"")</f>
        <v/>
      </c>
      <c r="CM11" s="251" t="str">
        <f t="shared" ref="CM11:CM57" si="70">IF(OR(AND($C11=2,NOT($K11=""),NOT($K11="PHA Oper Sub"),$B11=70,NOT($N11="Common Space")),AND($C11=2,NOT($K11=""),NOT($K11="PHA Oper Sub"),$B11="HOME 70",NOT($N11="Common Space"))),$E11,"")</f>
        <v/>
      </c>
      <c r="CN11" s="251" t="str">
        <f t="shared" ref="CN11:CN57" si="71">IF(OR(AND($C11=3,NOT($K11=""),NOT($K11="PHA Oper Sub"),$B11=70,NOT($N11="Common Space")),AND($C11=3,NOT($K11=""),NOT($K11="PHA Oper Sub"),$B11="HOME 70",NOT($N11="Common Space"))),$E11,"")</f>
        <v/>
      </c>
      <c r="CO11" s="251" t="str">
        <f t="shared" ref="CO11:CO57" si="72">IF(OR(AND($C11=4,NOT($K11=""),NOT($K11="PHA Oper Sub"),$B11=70,NOT($N11="Common Space")),AND($C11=4,NOT($K11=""),NOT($K11="PHA Oper Sub"),$B11="HOME 70",NOT($N11="Common Space"))),$E11,"")</f>
        <v/>
      </c>
      <c r="CP11" s="251" t="str">
        <f t="shared" ref="CP11:CP57" si="73">IF(OR(AND($C11="Efficiency",NOT($K11=""),NOT($K11="PHA Oper Sub"),$B11=80,NOT($N11="Common Space")),AND($C11="Efficiency",NOT($K11=""),NOT($K11="PHA Oper Sub"),$B11="HOME 80",NOT($N11="Common Space"))),$E11,"")</f>
        <v/>
      </c>
      <c r="CQ11" s="251" t="str">
        <f t="shared" ref="CQ11:CQ57" si="74">IF(OR(AND($C11=1,NOT($K11=""),NOT($K11="PHA Oper Sub"),$B11=80,NOT($N11="Common Space")),AND($C11=1,NOT($K11=""),NOT($K11="PHA Oper Sub"),$B11="HOME 80",NOT($N11="Common Space"))),$E11,"")</f>
        <v/>
      </c>
      <c r="CR11" s="251" t="str">
        <f t="shared" ref="CR11:CR57" si="75">IF(OR(AND($C11=2,NOT($K11=""),NOT($K11="PHA Oper Sub"),$B11=80,NOT($N11="Common Space")),AND($C11=2,NOT($K11=""),NOT($K11="PHA Oper Sub"),$B11="HOME 80",NOT($N11="Common Space"))),$E11,"")</f>
        <v/>
      </c>
      <c r="CS11" s="251" t="str">
        <f t="shared" ref="CS11:CS57" si="76">IF(OR(AND($C11=3,NOT($K11=""),NOT($K11="PHA Oper Sub"),$B11=80,NOT($N11="Common Space")),AND($C11=3,NOT($K11=""),NOT($K11="PHA Oper Sub"),$B11="HOME 80",NOT($N11="Common Space"))),$E11,"")</f>
        <v/>
      </c>
      <c r="CT11" s="251" t="str">
        <f t="shared" ref="CT11:CT57" si="77">IF(OR(AND($C11=4,NOT($K11=""),NOT($K11="PHA Oper Sub"),$B11=80,NOT($N11="Common Space")),AND($C11=4,NOT($K11=""),NOT($K11="PHA Oper Sub"),$B11="HOME 80",NOT($N11="Common Space"))),$E11,"")</f>
        <v/>
      </c>
      <c r="CU11" s="251" t="str">
        <f t="shared" ref="CU11:CU57" si="78">IF(OR(AND($C11="Efficiency",$K11="PHA Oper Sub",$B11=20,NOT($N11="Common Space")),AND($C11="Efficiency",$K11="PHA Oper Sub",$B11="HOME 20",NOT($N11="Common Space"))),$E11,"")</f>
        <v/>
      </c>
      <c r="CV11" s="251" t="str">
        <f t="shared" ref="CV11:CV57" si="79">IF(OR(AND($C11=1,$K11="PHA Oper Sub",$B11=20,NOT($N11="Common Space")),AND($C11=1,$K11="PHA Oper Sub",$B11="HOME 20",NOT($N11="Common Space"))),$E11,"")</f>
        <v/>
      </c>
      <c r="CW11" s="251" t="str">
        <f t="shared" ref="CW11:CW57" si="80">IF(OR(AND($C11=2,$K11="PHA Oper Sub",$B11=20,NOT($N11="Common Space")),AND($C11=2,$K11="PHA Oper Sub",$B11="HOME 20",NOT($N11="Common Space"))),$E11,"")</f>
        <v/>
      </c>
      <c r="CX11" s="251" t="str">
        <f t="shared" ref="CX11:CX57" si="81">IF(OR(AND($C11=3,$K11="PHA Oper Sub",$B11=20,NOT($N11="Common Space")),AND($C11=3,$K11="PHA Oper Sub",$B11="HOME 20",NOT($N11="Common Space"))),$E11,"")</f>
        <v/>
      </c>
      <c r="CY11" s="251" t="str">
        <f t="shared" ref="CY11:CY57" si="82">IF(OR(AND($C11=4,$K11="PHA Oper Sub",$B11=20,NOT($N11="Common Space")),AND($C11=4,$K11="PHA Oper Sub",$B11="HOME 20",NOT($N11="Common Space"))),$E11,"")</f>
        <v/>
      </c>
      <c r="CZ11" s="251" t="str">
        <f t="shared" ref="CZ11:CZ57" si="83">IF(OR(AND($C11="Efficiency",$K11="PHA Oper Sub",$B11=30,NOT($N11="Common Space")),AND($C11="Efficiency",$K11="PHA Oper Sub",$B11="HOME 30",NOT($N11="Common Space"))),$E11,"")</f>
        <v/>
      </c>
      <c r="DA11" s="251" t="str">
        <f t="shared" ref="DA11:DA57" si="84">IF(OR(AND($C11=1,$K11="PHA Oper Sub",$B11=30,NOT($N11="Common Space")),AND($C11=1,$K11="PHA Oper Sub",$B11="HOME 30",NOT($N11="Common Space"))),$E11,"")</f>
        <v/>
      </c>
      <c r="DB11" s="251" t="str">
        <f t="shared" ref="DB11:DB57" si="85">IF(OR(AND($C11=2,$K11="PHA Oper Sub",$B11=30,NOT($N11="Common Space")),AND($C11=2,$K11="PHA Oper Sub",$B11="HOME 30",NOT($N11="Common Space"))),$E11,"")</f>
        <v/>
      </c>
      <c r="DC11" s="251" t="str">
        <f t="shared" ref="DC11:DC57" si="86">IF(OR(AND($C11=3,$K11="PHA Oper Sub",$B11=30,NOT($N11="Common Space")),AND($C11=3,$K11="PHA Oper Sub",$B11="HOME 30",NOT($N11="Common Space"))),$E11,"")</f>
        <v/>
      </c>
      <c r="DD11" s="251" t="str">
        <f t="shared" ref="DD11:DD57" si="87">IF(OR(AND($C11=4,$K11="PHA Oper Sub",$B11=30,NOT($N11="Common Space")),AND($C11=4,$K11="PHA Oper Sub",$B11="HOME 30",NOT($N11="Common Space"))),$E11,"")</f>
        <v/>
      </c>
      <c r="DE11" s="251" t="str">
        <f t="shared" ref="DE11:DE57" si="88">IF(OR(AND($C11="Efficiency",$K11="PHA Oper Sub",$B11=40,NOT($N11="Common Space")),AND($C11="Efficiency",$K11="PHA Oper Sub",$B11="HOME 40",NOT($N11="Common Space"))),$E11,"")</f>
        <v/>
      </c>
      <c r="DF11" s="251" t="str">
        <f t="shared" ref="DF11:DF57" si="89">IF(OR(AND($C11=1,$K11="PHA Oper Sub",$B11=40,NOT($N11="Common Space")),AND($C11=1,$K11="PHA Oper Sub",$B11="HOME 40",NOT($N11="Common Space"))),$E11,"")</f>
        <v/>
      </c>
      <c r="DG11" s="251" t="str">
        <f t="shared" ref="DG11:DG57" si="90">IF(OR(AND($C11=2,$K11="PHA Oper Sub",$B11=40,NOT($N11="Common Space")),AND($C11=2,$K11="PHA Oper Sub",$B11="HOME 40",NOT($N11="Common Space"))),$E11,"")</f>
        <v/>
      </c>
      <c r="DH11" s="251" t="str">
        <f t="shared" ref="DH11:DH57" si="91">IF(OR(AND($C11=3,$K11="PHA Oper Sub",$B11=40,NOT($N11="Common Space")),AND($C11=3,$K11="PHA Oper Sub",$B11="HOME 40",NOT($N11="Common Space"))),$E11,"")</f>
        <v/>
      </c>
      <c r="DI11" s="251" t="str">
        <f t="shared" ref="DI11:DI57" si="92">IF(OR(AND($C11=4,$K11="PHA Oper Sub",$B11=40,NOT($N11="Common Space")),AND($C11=4,$K11="PHA Oper Sub",$B11="HOME 40",NOT($N11="Common Space"))),$E11,"")</f>
        <v/>
      </c>
      <c r="DJ11" s="251" t="str">
        <f t="shared" ref="DJ11:DJ57" si="93">IF(OR(AND($C11="Efficiency",$K11="PHA Oper Sub",$B11=50,NOT($N11="Common Space")),AND($C11="Efficiency",$K11="PHA Oper Sub",$B11="HOME 50",NOT($N11="Common Space"))),$E11,"")</f>
        <v/>
      </c>
      <c r="DK11" s="251" t="str">
        <f t="shared" ref="DK11:DK57" si="94">IF(OR(AND($C11=1,$K11="PHA Oper Sub",$B11=50,NOT($N11="Common Space")),AND($C11=1,$K11="PHA Oper Sub",$B11="HOME 50",NOT($N11="Common Space"))),$E11,"")</f>
        <v/>
      </c>
      <c r="DL11" s="251" t="str">
        <f t="shared" ref="DL11:DL57" si="95">IF(OR(AND($C11=2,$K11="PHA Oper Sub",$B11=50,NOT($N11="Common Space")),AND($C11=2,$K11="PHA Oper Sub",$B11="HOME 50",NOT($N11="Common Space"))),$E11,"")</f>
        <v/>
      </c>
      <c r="DM11" s="251" t="str">
        <f t="shared" ref="DM11:DM57" si="96">IF(OR(AND($C11=3,$K11="PHA Oper Sub",$B11=50,NOT($N11="Common Space")),AND($C11=3,$K11="PHA Oper Sub",$B11="HOME 50",NOT($N11="Common Space"))),$E11,"")</f>
        <v/>
      </c>
      <c r="DN11" s="251" t="str">
        <f t="shared" ref="DN11:DN57" si="97">IF(OR(AND($C11=4,$K11="PHA Oper Sub",$B11=50,NOT($N11="Common Space")),AND($C11=4,$K11="PHA Oper Sub",$B11="HOME 50",NOT($N11="Common Space"))),$E11,"")</f>
        <v/>
      </c>
      <c r="DO11" s="251" t="str">
        <f t="shared" ref="DO11:DO57" si="98">IF(OR(AND($C11="Efficiency",$K11="PHA Oper Sub",$B11=60,NOT($N11="Common Space")),AND($C11="Efficiency",$K11="PHA Oper Sub",$B11="HOME 60",NOT($N11="Common Space"))),$E11,"")</f>
        <v/>
      </c>
      <c r="DP11" s="251" t="str">
        <f t="shared" ref="DP11:DP57" si="99">IF(OR(AND($C11=1,$K11="PHA Oper Sub",$B11=60,NOT($N11="Common Space")),AND($C11=1,$K11="PHA Oper Sub",$B11="HOME 60",NOT($N11="Common Space"))),$E11,"")</f>
        <v/>
      </c>
      <c r="DQ11" s="251" t="str">
        <f t="shared" ref="DQ11:DQ57" si="100">IF(OR(AND($C11=2,$K11="PHA Oper Sub",$B11=60,NOT($N11="Common Space")),AND($C11=2,$K11="PHA Oper Sub",$B11="HOME 60",NOT($N11="Common Space"))),$E11,"")</f>
        <v/>
      </c>
      <c r="DR11" s="251" t="str">
        <f t="shared" ref="DR11:DR57" si="101">IF(OR(AND($C11=3,$K11="PHA Oper Sub",$B11=60,NOT($N11="Common Space")),AND($C11=3,$K11="PHA Oper Sub",$B11="HOME 60",NOT($N11="Common Space"))),$E11,"")</f>
        <v/>
      </c>
      <c r="DS11" s="251" t="str">
        <f t="shared" ref="DS11:DS57" si="102">IF(OR(AND($C11=4,$K11="PHA Oper Sub",$B11=60,NOT($N11="Common Space")),AND($C11=4,$K11="PHA Oper Sub",$B11="HOME 60",NOT($N11="Common Space"))),$E11,"")</f>
        <v/>
      </c>
      <c r="DT11" s="251" t="str">
        <f t="shared" ref="DT11:DT57" si="103">IF(OR(AND($C11="Efficiency",$K11="PHA Oper Sub",$B11=70,NOT($N11="Common Space")),AND($C11="Efficiency",$K11="PHA Oper Sub",$B11="HOME 70",NOT($N11="Common Space"))),$E11,"")</f>
        <v/>
      </c>
      <c r="DU11" s="251" t="str">
        <f t="shared" ref="DU11:DU57" si="104">IF(OR(AND($C11=1,$K11="PHA Oper Sub",$B11=70,NOT($N11="Common Space")),AND($C11=1,$K11="PHA Oper Sub",$B11="HOME 70",NOT($N11="Common Space"))),$E11,"")</f>
        <v/>
      </c>
      <c r="DV11" s="251" t="str">
        <f t="shared" ref="DV11:DV57" si="105">IF(OR(AND($C11=2,$K11="PHA Oper Sub",$B11=70,NOT($N11="Common Space")),AND($C11=2,$K11="PHA Oper Sub",$B11="HOME 70",NOT($N11="Common Space"))),$E11,"")</f>
        <v/>
      </c>
      <c r="DW11" s="251" t="str">
        <f t="shared" ref="DW11:DW57" si="106">IF(OR(AND($C11=3,$K11="PHA Oper Sub",$B11=70,NOT($N11="Common Space")),AND($C11=3,$K11="PHA Oper Sub",$B11="HOME 70",NOT($N11="Common Space"))),$E11,"")</f>
        <v/>
      </c>
      <c r="DX11" s="251" t="str">
        <f t="shared" ref="DX11:DX57" si="107">IF(OR(AND($C11=4,$K11="PHA Oper Sub",$B11=70,NOT($N11="Common Space")),AND($C11=4,$K11="PHA Oper Sub",$B11="HOME 70",NOT($N11="Common Space"))),$E11,"")</f>
        <v/>
      </c>
      <c r="DY11" s="251" t="str">
        <f t="shared" ref="DY11:DY57" si="108">IF(OR(AND($C11="Efficiency",$K11="PHA Oper Sub",$B11=80,NOT($N11="Common Space")),AND($C11="Efficiency",$K11="PHA Oper Sub",$B11="HOME 80",NOT($N11="Common Space"))),$E11,"")</f>
        <v/>
      </c>
      <c r="DZ11" s="251" t="str">
        <f t="shared" ref="DZ11:DZ57" si="109">IF(OR(AND($C11=1,$K11="PHA Oper Sub",$B11=80,NOT($N11="Common Space")),AND($C11=1,$K11="PHA Oper Sub",$B11="HOME 80",NOT($N11="Common Space"))),$E11,"")</f>
        <v/>
      </c>
      <c r="EA11" s="251" t="str">
        <f t="shared" ref="EA11:EA57" si="110">IF(OR(AND($C11=2,$K11="PHA Oper Sub",$B11=80,NOT($N11="Common Space")),AND($C11=2,$K11="PHA Oper Sub",$B11="HOME 80",NOT($N11="Common Space"))),$E11,"")</f>
        <v/>
      </c>
      <c r="EB11" s="251" t="str">
        <f t="shared" ref="EB11:EB57" si="111">IF(OR(AND($C11=3,$K11="PHA Oper Sub",$B11=80,NOT($N11="Common Space")),AND($C11=3,$K11="PHA Oper Sub",$B11="HOME 80",NOT($N11="Common Space"))),$E11,"")</f>
        <v/>
      </c>
      <c r="EC11" s="251" t="str">
        <f t="shared" ref="EC11:EC57" si="112">IF(OR(AND($C11=4,$K11="PHA Oper Sub",$B11=80,NOT($N11="Common Space")),AND($C11=4,$K11="PHA Oper Sub",$B11="HOME 80",NOT($N11="Common Space"))),$E11,"")</f>
        <v/>
      </c>
      <c r="ED11" s="251" t="str">
        <f t="shared" ref="ED11:ED57" si="113">IF(OR(AND($C11="Efficiency",$K11="PBV",$B11=20,NOT($N11="Common Space")),AND($C11="Efficiency",$K11="PBV",$B11="HOME 20",NOT($N11="Common Space"))),$E11,"")</f>
        <v/>
      </c>
      <c r="EE11" s="251" t="str">
        <f t="shared" ref="EE11:EE57" si="114">IF(OR(AND($C11=1,$K11="PBV",$B11=20,NOT($N11="Common Space")),AND($C11=1,$K11="PBV",$B11="HOME 20",NOT($N11="Common Space"))),$E11,"")</f>
        <v/>
      </c>
      <c r="EF11" s="251" t="str">
        <f t="shared" ref="EF11:EF57" si="115">IF(OR(AND($C11=2,$K11="PBV",$B11=20,NOT($N11="Common Space")),AND($C11=2,$K11="PBV",$B11="HOME 20",NOT($N11="Common Space"))),$E11,"")</f>
        <v/>
      </c>
      <c r="EG11" s="251" t="str">
        <f t="shared" ref="EG11:EG57" si="116">IF(OR(AND($C11=3,$K11="PBV",$B11=20,NOT($N11="Common Space")),AND($C11=3,$K11="PBV",$B11="HOME 20",NOT($N11="Common Space"))),$E11,"")</f>
        <v/>
      </c>
      <c r="EH11" s="251" t="str">
        <f t="shared" ref="EH11:EH57" si="117">IF(OR(AND($C11=4,$K11="PBV",$B11=20,NOT($N11="Common Space")),AND($C11=4,$K11="PBV",$B11="HOME 20",NOT($N11="Common Space"))),$E11,"")</f>
        <v/>
      </c>
      <c r="EI11" s="251" t="str">
        <f t="shared" ref="EI11:EI57" si="118">IF(OR(AND($C11="Efficiency",$K11="PBV",$B11=30,NOT($N11="Common Space")),AND($C11="Efficiency",$K11="PBV",$B11="HOME 30",NOT($N11="Common Space"))),$E11,"")</f>
        <v/>
      </c>
      <c r="EJ11" s="251" t="str">
        <f t="shared" ref="EJ11:EJ57" si="119">IF(OR(AND($C11=1,$K11="PBV",$B11=30,NOT($N11="Common Space")),AND($C11=1,$K11="PBV",$B11="HOME 30",NOT($N11="Common Space"))),$E11,"")</f>
        <v/>
      </c>
      <c r="EK11" s="251" t="str">
        <f t="shared" ref="EK11:EK57" si="120">IF(OR(AND($C11=2,$K11="PBV",$B11=30,NOT($N11="Common Space")),AND($C11=2,$K11="PBV",$B11="HOME 30",NOT($N11="Common Space"))),$E11,"")</f>
        <v/>
      </c>
      <c r="EL11" s="251" t="str">
        <f t="shared" ref="EL11:EL57" si="121">IF(OR(AND($C11=3,$K11="PBV",$B11=30,NOT($N11="Common Space")),AND($C11=3,$K11="PBV",$B11="HOME 30",NOT($N11="Common Space"))),$E11,"")</f>
        <v/>
      </c>
      <c r="EM11" s="251" t="str">
        <f t="shared" ref="EM11:EM57" si="122">IF(OR(AND($C11=4,$K11="PBV",$B11=30,NOT($N11="Common Space")),AND($C11=4,$K11="PBV",$B11="HOME 30",NOT($N11="Common Space"))),$E11,"")</f>
        <v/>
      </c>
      <c r="EN11" s="251" t="str">
        <f t="shared" ref="EN11:EN57" si="123">IF(OR(AND($C11="Efficiency",$K11="PBV",$B11=40,NOT($N11="Common Space")),AND($C11="Efficiency",$K11="PBV",$B11="HOME 40",NOT($N11="Common Space"))),$E11,"")</f>
        <v/>
      </c>
      <c r="EO11" s="251" t="str">
        <f t="shared" ref="EO11:EO57" si="124">IF(OR(AND($C11=1,$K11="PBV",$B11=40,NOT($N11="Common Space")),AND($C11=1,$K11="PBV",$B11="HOME 40",NOT($N11="Common Space"))),$E11,"")</f>
        <v/>
      </c>
      <c r="EP11" s="251" t="str">
        <f t="shared" ref="EP11:EP57" si="125">IF(OR(AND($C11=2,$K11="PBV",$B11=40,NOT($N11="Common Space")),AND($C11=2,$K11="PBV",$B11="HOME 40",NOT($N11="Common Space"))),$E11,"")</f>
        <v/>
      </c>
      <c r="EQ11" s="251" t="str">
        <f t="shared" ref="EQ11:EQ57" si="126">IF(OR(AND($C11=3,$K11="PBV",$B11=40,NOT($N11="Common Space")),AND($C11=3,$K11="PBV",$B11="HOME 40",NOT($N11="Common Space"))),$E11,"")</f>
        <v/>
      </c>
      <c r="ER11" s="251" t="str">
        <f t="shared" ref="ER11:ER57" si="127">IF(OR(AND($C11=4,$K11="PBV",$B11=40,NOT($N11="Common Space")),AND($C11=4,$K11="PBV",$B11="HOME 40",NOT($N11="Common Space"))),$E11,"")</f>
        <v/>
      </c>
      <c r="ES11" s="251" t="str">
        <f t="shared" ref="ES11:ES57" si="128">IF(OR(AND($C11="Efficiency",$K11="PBV",$B11=50,NOT($N11="Common Space")),AND($C11="Efficiency",$K11="PBV",$B11="HOME 50",NOT($N11="Common Space"))),$E11,"")</f>
        <v/>
      </c>
      <c r="ET11" s="251" t="str">
        <f t="shared" ref="ET11:ET57" si="129">IF(OR(AND($C11=1,$K11="PBV",$B11=50,NOT($N11="Common Space")),AND($C11=1,$K11="PBV",$B11="HOME 50",NOT($N11="Common Space"))),$E11,"")</f>
        <v/>
      </c>
      <c r="EU11" s="251" t="str">
        <f t="shared" ref="EU11:EU57" si="130">IF(OR(AND($C11=2,$K11="PBV",$B11=50,NOT($N11="Common Space")),AND($C11=2,$K11="PBV",$B11="HOME 50",NOT($N11="Common Space"))),$E11,"")</f>
        <v/>
      </c>
      <c r="EV11" s="251" t="str">
        <f t="shared" ref="EV11:EV57" si="131">IF(OR(AND($C11=3,$K11="PBV",$B11=50,NOT($N11="Common Space")),AND($C11=3,$K11="PBV",$B11="HOME 50",NOT($N11="Common Space"))),$E11,"")</f>
        <v/>
      </c>
      <c r="EW11" s="251" t="str">
        <f t="shared" ref="EW11:EW57" si="132">IF(OR(AND($C11=4,$K11="PBV",$B11=50,NOT($N11="Common Space")),AND($C11=4,$K11="PBV",$B11="HOME 50",NOT($N11="Common Space"))),$E11,"")</f>
        <v/>
      </c>
      <c r="EX11" s="251" t="str">
        <f t="shared" ref="EX11:EX57" si="133">IF(OR(AND($C11="Efficiency",$K11="PBV",$B11=60,NOT($N11="Common Space")),AND($C11="Efficiency",$K11="PBV",$B11="HOME 60",NOT($N11="Common Space"))),$E11,"")</f>
        <v/>
      </c>
      <c r="EY11" s="251" t="str">
        <f t="shared" ref="EY11:EY57" si="134">IF(OR(AND($C11=1,$K11="PBV",$B11=60,NOT($N11="Common Space")),AND($C11=1,$K11="PBV",$B11="HOME 60",NOT($N11="Common Space"))),$E11,"")</f>
        <v/>
      </c>
      <c r="EZ11" s="251" t="str">
        <f t="shared" ref="EZ11:EZ57" si="135">IF(OR(AND($C11=2,$K11="PBV",$B11=60,NOT($N11="Common Space")),AND($C11=2,$K11="PBV",$B11="HOME 60",NOT($N11="Common Space"))),$E11,"")</f>
        <v/>
      </c>
      <c r="FA11" s="251" t="str">
        <f t="shared" ref="FA11:FA57" si="136">IF(OR(AND($C11=3,$K11="PBV",$B11=60,NOT($N11="Common Space")),AND($C11=3,$K11="PBV",$B11="HOME 60",NOT($N11="Common Space"))),$E11,"")</f>
        <v/>
      </c>
      <c r="FB11" s="251" t="str">
        <f t="shared" ref="FB11:FB57" si="137">IF(OR(AND($C11=4,$K11="PBV",$B11=60,NOT($N11="Common Space")),AND($C11=4,$K11="PBV",$B11="HOME 60",NOT($N11="Common Space"))),$E11,"")</f>
        <v/>
      </c>
      <c r="FC11" s="251" t="str">
        <f t="shared" ref="FC11:FC57" si="138">IF(OR(AND($C11="Efficiency",$K11="PBV",$B11=70,NOT($N11="Common Space")),AND($C11="Efficiency",$K11="PBV",$B11="HOME 70",NOT($N11="Common Space"))),$E11,"")</f>
        <v/>
      </c>
      <c r="FD11" s="251" t="str">
        <f t="shared" ref="FD11:FD57" si="139">IF(OR(AND($C11=1,$K11="PBV",$B11=70,NOT($N11="Common Space")),AND($C11=1,$K11="PBV",$B11="HOME 70",NOT($N11="Common Space"))),$E11,"")</f>
        <v/>
      </c>
      <c r="FE11" s="251" t="str">
        <f t="shared" ref="FE11:FE57" si="140">IF(OR(AND($C11=2,$K11="PBV",$B11=70,NOT($N11="Common Space")),AND($C11=2,$K11="PBV",$B11="HOME 70",NOT($N11="Common Space"))),$E11,"")</f>
        <v/>
      </c>
      <c r="FF11" s="251" t="str">
        <f t="shared" ref="FF11:FF57" si="141">IF(OR(AND($C11=3,$K11="PBV",$B11=70,NOT($N11="Common Space")),AND($C11=3,$K11="PBV",$B11="HOME 70",NOT($N11="Common Space"))),$E11,"")</f>
        <v/>
      </c>
      <c r="FG11" s="251" t="str">
        <f t="shared" ref="FG11:FG57" si="142">IF(OR(AND($C11=4,$K11="PBV",$B11=70,NOT($N11="Common Space")),AND($C11=4,$K11="PBV",$B11="HOME 70",NOT($N11="Common Space"))),$E11,"")</f>
        <v/>
      </c>
      <c r="FH11" s="251" t="str">
        <f t="shared" ref="FH11:FH57" si="143">IF(OR(AND($C11="Efficiency",$K11="PBV",$B11=80,NOT($N11="Common Space")),AND($C11="Efficiency",$K11="PBV",$B11="HOME 80",NOT($N11="Common Space"))),$E11,"")</f>
        <v/>
      </c>
      <c r="FI11" s="251" t="str">
        <f t="shared" ref="FI11:FI57" si="144">IF(OR(AND($C11=1,$K11="PBV",$B11=80,NOT($N11="Common Space")),AND($C11=1,$K11="PBV",$B11="HOME 80",NOT($N11="Common Space"))),$E11,"")</f>
        <v/>
      </c>
      <c r="FJ11" s="251" t="str">
        <f t="shared" ref="FJ11:FJ57" si="145">IF(OR(AND($C11=2,$K11="PBV",$B11=80,NOT($N11="Common Space")),AND($C11=2,$K11="PBV",$B11="HOME 80",NOT($N11="Common Space"))),$E11,"")</f>
        <v/>
      </c>
      <c r="FK11" s="251" t="str">
        <f t="shared" ref="FK11:FK57" si="146">IF(OR(AND($C11=3,$K11="PBV",$B11=80,NOT($N11="Common Space")),AND($C11=3,$K11="PBV",$B11="HOME 80",NOT($N11="Common Space"))),$E11,"")</f>
        <v/>
      </c>
      <c r="FL11" s="251" t="str">
        <f t="shared" ref="FL11:FL57" si="147">IF(OR(AND($C11=4,$K11="PBV",$B11=80,NOT($N11="Common Space")),AND($C11=4,$K11="PBV",$B11="HOME 80",NOT($N11="Common Space"))),$E11,"")</f>
        <v/>
      </c>
      <c r="FM11" s="251" t="str">
        <f t="shared" ref="FM11:FM57" si="148">IF(AND(C11="Efficiency",N11="Common Space"),E11,"")</f>
        <v/>
      </c>
      <c r="FN11" s="251" t="str">
        <f t="shared" ref="FN11:FN57" si="149">IF(AND(C11=1,N11="Common Space"),E11,"")</f>
        <v/>
      </c>
      <c r="FO11" s="251" t="str">
        <f t="shared" ref="FO11:FO57" si="150">IF(AND(C11=2,N11="Common Space"),E11,"")</f>
        <v/>
      </c>
      <c r="FP11" s="251" t="str">
        <f t="shared" ref="FP11:FP57" si="151">IF(AND(C11=3,N11="Common Space"),E11,"")</f>
        <v/>
      </c>
      <c r="FQ11" s="251" t="str">
        <f t="shared" ref="FQ11:FQ57" si="152">IF(AND(C11=4,N11="Common Space"),E11,"")</f>
        <v/>
      </c>
      <c r="FR11" s="251" t="str">
        <f t="shared" ref="FR11:FR57" si="153">IF(OR(AND($C11="Efficiency",$B11=80,NOT($N11="Common Space")),AND($C11="Efficiency",$B11="HOME 80",NOT($N11="Common Space"))),$E11*$F11,"")</f>
        <v/>
      </c>
      <c r="FS11" s="251" t="str">
        <f t="shared" ref="FS11:FS57" si="154">IF(OR(AND($C11=1,$B11=80,NOT($N11="Common Space")),AND($C11=1,$B11="HOME 80",NOT($N11="Common Space"))),$E11*$F11,"")</f>
        <v/>
      </c>
      <c r="FT11" s="251" t="str">
        <f t="shared" ref="FT11:FT57" si="155">IF(OR(AND($C11=2,$B11=80,NOT($N11="Common Space")),AND($C11=2,$B11="HOME 80",NOT($N11="Common Space"))),$E11*$F11,"")</f>
        <v/>
      </c>
      <c r="FU11" s="251" t="str">
        <f t="shared" ref="FU11:FU57" si="156">IF(OR(AND($C11=3,$B11=80,NOT($N11="Common Space")),AND($C11=3,$B11="HOME 80",NOT($N11="Common Space"))),$E11*$F11,"")</f>
        <v/>
      </c>
      <c r="FV11" s="251" t="str">
        <f t="shared" ref="FV11:FV57" si="157">IF(OR(AND($C11=4,$B11=80,NOT($N11="Common Space")),AND($C11=4,$B11="HOME 80",NOT($N11="Common Space"))),$E11*$F11,"")</f>
        <v/>
      </c>
      <c r="FW11" s="251" t="str">
        <f t="shared" ref="FW11:FW57" si="158">IF(OR(AND($C11="Efficiency",$B11=70,NOT($N11="Common Space")),AND($C11="Efficiency",$B11="HOME 70",NOT($N11="Common Space"))),$E11*$F11,"")</f>
        <v/>
      </c>
      <c r="FX11" s="251" t="str">
        <f t="shared" ref="FX11:FX57" si="159">IF(OR(AND($C11=1,$B11=70,NOT($N11="Common Space")),AND($C11=1,$B11="HOME 70",NOT($N11="Common Space"))),$E11*$F11,"")</f>
        <v/>
      </c>
      <c r="FY11" s="251" t="str">
        <f t="shared" ref="FY11:FY57" si="160">IF(OR(AND($C11=2,$B11=70,NOT($N11="Common Space")),AND($C11=2,$B11="HOME 70",NOT($N11="Common Space"))),$E11*$F11,"")</f>
        <v/>
      </c>
      <c r="FZ11" s="251" t="str">
        <f t="shared" ref="FZ11:FZ57" si="161">IF(OR(AND($C11=3,$B11=70,NOT($N11="Common Space")),AND($C11=3,$B11="HOME 70",NOT($N11="Common Space"))),$E11*$F11,"")</f>
        <v/>
      </c>
      <c r="GA11" s="251" t="str">
        <f t="shared" ref="GA11:GA57" si="162">IF(OR(AND($C11=4,$B11=70,NOT($N11="Common Space")),AND($C11=4,$B11="HOME 70",NOT($N11="Common Space"))),$E11*$F11,"")</f>
        <v/>
      </c>
      <c r="GB11" s="251" t="str">
        <f t="shared" ref="GB11:GB57" si="163">IF(OR(AND($C11="Efficiency",$B11=60,NOT($N11="Common Space")),AND($C11="Efficiency",$B11="HOME 60",NOT($N11="Common Space"))),$E11*$F11,"")</f>
        <v/>
      </c>
      <c r="GC11" s="251" t="str">
        <f t="shared" ref="GC11:GC57" si="164">IF(OR(AND($C11=1,$B11=60,NOT($N11="Common Space")),AND($C11=1,$B11="HOME 60",NOT($N11="Common Space"))),$E11*$F11,"")</f>
        <v/>
      </c>
      <c r="GD11" s="251" t="str">
        <f t="shared" ref="GD11:GD57" si="165">IF(OR(AND($C11=2,$B11=60,NOT($N11="Common Space")),AND($C11=2,$B11="HOME 60",NOT($N11="Common Space"))),$E11*$F11,"")</f>
        <v/>
      </c>
      <c r="GE11" s="251" t="str">
        <f t="shared" ref="GE11:GE57" si="166">IF(OR(AND($C11=3,$B11=60,NOT($N11="Common Space")),AND($C11=3,$B11="HOME 60",NOT($N11="Common Space"))),$E11*$F11,"")</f>
        <v/>
      </c>
      <c r="GF11" s="251" t="str">
        <f t="shared" ref="GF11:GF57" si="167">IF(OR(AND($C11=4,$B11=60,NOT($N11="Common Space")),AND($C11=4,$B11="HOME 60",NOT($N11="Common Space"))),$E11*$F11,"")</f>
        <v/>
      </c>
      <c r="GG11" s="251" t="str">
        <f t="shared" ref="GG11:GG57" si="168">IF(OR(AND($C11="Efficiency",$B11=50,NOT($N11="Common Space")),AND($C11="Efficiency",$B11="HOME 50",NOT($N11="Common Space"))),$E11*$F11,"")</f>
        <v/>
      </c>
      <c r="GH11" s="251" t="str">
        <f t="shared" ref="GH11:GH57" si="169">IF(OR(AND($C11=1,$B11=50,NOT($N11="Common Space")),AND($C11=1,$B11="HOME 50",NOT($N11="Common Space"))),$E11*$F11,"")</f>
        <v/>
      </c>
      <c r="GI11" s="251" t="str">
        <f t="shared" ref="GI11:GI57" si="170">IF(OR(AND($C11=2,$B11=50,NOT($N11="Common Space")),AND($C11=2,$B11="HOME 50",NOT($N11="Common Space"))),$E11*$F11,"")</f>
        <v/>
      </c>
      <c r="GJ11" s="251" t="str">
        <f t="shared" ref="GJ11:GJ57" si="171">IF(OR(AND($C11=3,$B11=50,NOT($N11="Common Space")),AND($C11=3,$B11="HOME 50",NOT($N11="Common Space"))),$E11*$F11,"")</f>
        <v/>
      </c>
      <c r="GK11" s="251" t="str">
        <f t="shared" ref="GK11:GK57" si="172">IF(OR(AND($C11=4,$B11=50,NOT($N11="Common Space")),AND($C11=4,$B11="HOME 50",NOT($N11="Common Space"))),$E11*$F11,"")</f>
        <v/>
      </c>
      <c r="GL11" s="251" t="str">
        <f t="shared" ref="GL11:GL57" si="173">IF(OR(AND($C11="Efficiency",$B11=40,NOT($N11="Common Space")),AND($C11="Efficiency",$B11="HOME 40",NOT($N11="Common Space"))),$E11*$F11,"")</f>
        <v/>
      </c>
      <c r="GM11" s="251" t="str">
        <f t="shared" ref="GM11:GM57" si="174">IF(OR(AND($C11=1,$B11=40,NOT($N11="Common Space")),AND($C11=1,$B11="HOME 40",NOT($N11="Common Space"))),$E11*$F11,"")</f>
        <v/>
      </c>
      <c r="GN11" s="251" t="str">
        <f t="shared" ref="GN11:GN57" si="175">IF(OR(AND($C11=2,$B11=40,NOT($N11="Common Space")),AND($C11=2,$B11="HOME 40",NOT($N11="Common Space"))),$E11*$F11,"")</f>
        <v/>
      </c>
      <c r="GO11" s="251" t="str">
        <f t="shared" ref="GO11:GO57" si="176">IF(OR(AND($C11=3,$B11=40,NOT($N11="Common Space")),AND($C11=3,$B11="HOME 40",NOT($N11="Common Space"))),$E11*$F11,"")</f>
        <v/>
      </c>
      <c r="GP11" s="251" t="str">
        <f t="shared" ref="GP11:GP57" si="177">IF(OR(AND($C11=4,$B11=40,NOT($N11="Common Space")),AND($C11=4,$B11="HOME 40",NOT($N11="Common Space"))),$E11*$F11,"")</f>
        <v/>
      </c>
      <c r="GQ11" s="251" t="str">
        <f t="shared" ref="GQ11:GQ57" si="178">IF(OR(AND($C11="Efficiency",$B11=30,NOT($N11="Common Space")),AND($C11="Efficiency",$B11="HOME 30",NOT($N11="Common Space"))),$E11*$F11,"")</f>
        <v/>
      </c>
      <c r="GR11" s="251" t="str">
        <f t="shared" ref="GR11:GR57" si="179">IF(OR(AND($C11=1,$B11=30,NOT($N11="Common Space")),AND($C11=1,$B11="HOME 30",NOT($N11="Common Space"))),$E11*$F11,"")</f>
        <v/>
      </c>
      <c r="GS11" s="251" t="str">
        <f t="shared" ref="GS11:GS57" si="180">IF(OR(AND($C11=2,$B11=30,NOT($N11="Common Space")),AND($C11=2,$B11="HOME 30",NOT($N11="Common Space"))),$E11*$F11,"")</f>
        <v/>
      </c>
      <c r="GT11" s="251" t="str">
        <f t="shared" ref="GT11:GT57" si="181">IF(OR(AND($C11=3,$B11=30,NOT($N11="Common Space")),AND($C11=3,$B11="HOME 30",NOT($N11="Common Space"))),$E11*$F11,"")</f>
        <v/>
      </c>
      <c r="GU11" s="251" t="str">
        <f t="shared" ref="GU11:GU57" si="182">IF(OR(AND($C11=4,$B11=30,NOT($N11="Common Space")),AND($C11=4,$B11="HOME 30",NOT($N11="Common Space"))),$E11*$F11,"")</f>
        <v/>
      </c>
      <c r="GV11" s="251" t="str">
        <f t="shared" ref="GV11:GV57" si="183">IF(OR(AND($C11="Efficiency",$B11=20,NOT($N11="Common Space")),AND($C11="Efficiency",$B11="HOME 20",NOT($N11="Common Space"))),$E11*$F11,"")</f>
        <v/>
      </c>
      <c r="GW11" s="251" t="str">
        <f t="shared" ref="GW11:GW57" si="184">IF(OR(AND($C11=1,$B11=20,NOT($N11="Common Space")),AND($C11=1,$B11="HOME 20",NOT($N11="Common Space"))),$E11*$F11,"")</f>
        <v/>
      </c>
      <c r="GX11" s="251" t="str">
        <f t="shared" ref="GX11:GX57" si="185">IF(OR(AND($C11=2,$B11=20,NOT($N11="Common Space")),AND($C11=2,$B11="HOME 20",NOT($N11="Common Space"))),$E11*$F11,"")</f>
        <v/>
      </c>
      <c r="GY11" s="251" t="str">
        <f t="shared" ref="GY11:GY57" si="186">IF(OR(AND($C11=3,$B11=20,NOT($N11="Common Space")),AND($C11=3,$B11="HOME 20",NOT($N11="Common Space"))),$E11*$F11,"")</f>
        <v/>
      </c>
      <c r="GZ11" s="251" t="str">
        <f t="shared" ref="GZ11:GZ57" si="187">IF(OR(AND($C11=4,$B11=20,NOT($N11="Common Space")),AND($C11=4,$B11="HOME 20",NOT($N11="Common Space"))),$E11*$F11,"")</f>
        <v/>
      </c>
      <c r="HA11" s="251" t="str">
        <f t="shared" ref="HA11:HA57" si="188">IF(AND(C11="Efficiency",B11="Unrestricted",NOT(N11="Common Space")),E11*F11,"")</f>
        <v/>
      </c>
      <c r="HB11" s="251" t="str">
        <f t="shared" ref="HB11:HB57" si="189">IF(AND(C11=1,B11="Unrestricted",NOT(N11="Common Space")),E11*F11,"")</f>
        <v/>
      </c>
      <c r="HC11" s="251" t="str">
        <f t="shared" ref="HC11:HC57" si="190">IF(AND(C11=2,B11="Unrestricted",NOT(N11="Common Space")),E11*F11,"")</f>
        <v/>
      </c>
      <c r="HD11" s="251" t="str">
        <f t="shared" ref="HD11:HD57" si="191">IF(AND(C11=3,B11="Unrestricted",NOT(N11="Common Space")),E11*F11,"")</f>
        <v/>
      </c>
      <c r="HE11" s="251" t="str">
        <f t="shared" ref="HE11:HE57" si="192">IF(AND(C11=4,B11="Unrestricted",NOT(N11="Common Space")),E11*F11,"")</f>
        <v/>
      </c>
      <c r="HF11" s="251" t="str">
        <f t="shared" ref="HF11:HF57" si="193">IF(AND(C11="Efficiency",NOT(K11=""),NOT($K11=0),NOT(N11="Common Space")),E11*F11,"")</f>
        <v/>
      </c>
      <c r="HG11" s="251" t="str">
        <f t="shared" ref="HG11:HG57" si="194">IF(AND(C11=1,NOT(K11=""),NOT($K11=0),NOT(N11="Common Space")),E11*F11,"")</f>
        <v/>
      </c>
      <c r="HH11" s="251" t="str">
        <f t="shared" ref="HH11:HH57" si="195">IF(AND(C11=2,NOT(K11=""),NOT($K11=0),NOT(N11="Common Space")),E11*F11,"")</f>
        <v/>
      </c>
      <c r="HI11" s="251" t="str">
        <f t="shared" ref="HI11:HI57" si="196">IF(AND(C11=3,NOT(K11=""),NOT($K11=0),NOT(N11="Common Space")),E11*F11,"")</f>
        <v/>
      </c>
      <c r="HJ11" s="251" t="str">
        <f t="shared" ref="HJ11:HJ57" si="197">IF(AND(C11=4,NOT(K11=""),NOT($K11=0),NOT(N11="Common Space")),E11*F11,"")</f>
        <v/>
      </c>
      <c r="HK11" s="251" t="str">
        <f t="shared" ref="HK11:HK57" si="198">IF(AND(C11="Efficiency",N11="Common Space"),E11*F11,"")</f>
        <v/>
      </c>
      <c r="HL11" s="251" t="str">
        <f t="shared" ref="HL11:HL57" si="199">IF(AND(C11=1,N11="Common Space"),E11*F11,"")</f>
        <v/>
      </c>
      <c r="HM11" s="251" t="str">
        <f t="shared" ref="HM11:HM57" si="200">IF(AND(C11=2,N11="Common Space"),E11*F11,"")</f>
        <v/>
      </c>
      <c r="HN11" s="251" t="str">
        <f t="shared" ref="HN11:HN57" si="201">IF(AND(C11=3,N11="Common Space"),E11*F11,"")</f>
        <v/>
      </c>
      <c r="HO11" s="251" t="str">
        <f t="shared" ref="HO11:HO57" si="202">IF(AND(C11=4,N11="Common Space"),E11*F11,"")</f>
        <v/>
      </c>
      <c r="HP11" s="251" t="str">
        <f t="shared" ref="HP11:HP57" si="203">IF(AND($C11="Efficiency", $P11="New Construction",NOT($B11="Unrestricted"),NOT($B11="NSP 120"),NOT($B11="N/A-CS"),NOT($N11="Common Space")),$E11,"")</f>
        <v/>
      </c>
      <c r="HQ11" s="251" t="str">
        <f t="shared" ref="HQ11:HQ57" si="204">IF(AND($C11=1, $P11="New Construction",NOT($B11="Unrestricted"),NOT($B11="NSP 120"),NOT($B11="N/A-CS"),NOT($N11="Common Space")),$E11,"")</f>
        <v/>
      </c>
      <c r="HR11" s="251" t="str">
        <f t="shared" ref="HR11:HR57" si="205">IF(AND($C11=2, $P11="New Construction",NOT($B11="Unrestricted"),NOT($B11="NSP 120"),NOT($B11="N/A-CS"),NOT($N11="Common Space")),$E11,"")</f>
        <v/>
      </c>
      <c r="HS11" s="251" t="str">
        <f t="shared" ref="HS11:HS57" si="206">IF(AND($C11=3, $P11="New Construction",NOT($B11="Unrestricted"),NOT($B11="NSP 120"),NOT($B11="N/A-CS"),NOT($N11="Common Space")),$E11,"")</f>
        <v/>
      </c>
      <c r="HT11" s="251" t="str">
        <f t="shared" ref="HT11:HT57" si="207">IF(AND($C11=4, $P11="New Construction",NOT($B11="Unrestricted"),NOT($B11="NSP 120"),NOT($B11="N/A-CS"),NOT($N11="Common Space")),$E11,"")</f>
        <v/>
      </c>
      <c r="HU11" s="251" t="str">
        <f t="shared" ref="HU11:HU57" si="208">IF(AND($C11="Efficiency", $P11="New Construction",$B11="Unrestricted",NOT($B11="N/A-CS"),NOT($N11="Common Space")),$E11,"")</f>
        <v/>
      </c>
      <c r="HV11" s="251" t="str">
        <f t="shared" ref="HV11:HV57" si="209">IF(AND($C11=1, $P11="New Construction",$B11="Unrestricted",NOT($B11="N/A-CS"),NOT($N11="Common Space")),$E11,"")</f>
        <v/>
      </c>
      <c r="HW11" s="251" t="str">
        <f t="shared" ref="HW11:HW57" si="210">IF(AND($C11=2, $P11="New Construction",$B11="Unrestricted",NOT($B11="N/A-CS"),NOT($N11="Common Space")),$E11,"")</f>
        <v/>
      </c>
      <c r="HX11" s="251" t="str">
        <f t="shared" ref="HX11:HX57" si="211">IF(AND($C11=3, $P11="New Construction",$B11="Unrestricted",NOT($B11="N/A-CS"),NOT($N11="Common Space")),$E11,"")</f>
        <v/>
      </c>
      <c r="HY11" s="251" t="str">
        <f t="shared" ref="HY11:HY57" si="212">IF(AND($C11=4, $P11="New Construction",$B11="Unrestricted",NOT($B11="N/A-CS"),NOT($N11="Common Space")),$E11,"")</f>
        <v/>
      </c>
      <c r="HZ11" s="251" t="str">
        <f t="shared" ref="HZ11:HZ57" si="213">IF(AND($C11="Efficiency", $P11="New Construction",$B11="N/A-CS",$N11="Common Space"),$E11,"")</f>
        <v/>
      </c>
      <c r="IA11" s="251" t="str">
        <f t="shared" ref="IA11:IA57" si="214">IF(AND($C11=1, $P11="New Construction",$B11="N/A-CS",$N11="Common Space"),$E11,"")</f>
        <v/>
      </c>
      <c r="IB11" s="251" t="str">
        <f t="shared" ref="IB11:IB57" si="215">IF(AND($C11=2, $P11="New Construction",$B11="N/A-CS",$N11="Common Space"),$E11,"")</f>
        <v/>
      </c>
      <c r="IC11" s="251" t="str">
        <f t="shared" ref="IC11:IC57" si="216">IF(AND($C11=3, $P11="New Construction",$B11="N/A-CS",$N11="Common Space"),$E11,"")</f>
        <v/>
      </c>
      <c r="ID11" s="251" t="str">
        <f t="shared" ref="ID11:ID57" si="217">IF(AND($C11=4, $P11="New Construction",$B11="N/A-CS",$N11="Common Space"),$E11,"")</f>
        <v/>
      </c>
      <c r="IE11" s="251" t="str">
        <f t="shared" ref="IE11:IE57" si="218">IF(AND($C11="Efficiency", $P11="Acquisition/Rehab",NOT($B11="Unrestricted"),NOT($B11="NSP 120"),NOT($B11="N/A-CS"),NOT($N11="Common Space")),$E11,"")</f>
        <v/>
      </c>
      <c r="IF11" s="251" t="str">
        <f t="shared" ref="IF11:IF57" si="219">IF(AND($C11=1, $P11="Acquisition/Rehab",NOT($B11="Unrestricted"),NOT($B11="NSP 120"),NOT($B11="N/A-CS"),NOT($N11="Common Space")),$E11,"")</f>
        <v/>
      </c>
      <c r="IG11" s="251" t="str">
        <f t="shared" ref="IG11:IG57" si="220">IF(AND($C11=2, $P11="Acquisition/Rehab",NOT($B11="Unrestricted"),NOT($B11="NSP 120"),NOT($B11="N/A-CS"),NOT($N11="Common Space")),$E11,"")</f>
        <v/>
      </c>
      <c r="IH11" s="251" t="str">
        <f t="shared" ref="IH11:IH57" si="221">IF(AND($C11=3, $P11="Acquisition/Rehab",NOT($B11="Unrestricted"),NOT($B11="NSP 120"),NOT($B11="N/A-CS"),NOT($N11="Common Space")),$E11,"")</f>
        <v/>
      </c>
      <c r="II11" s="251" t="str">
        <f t="shared" ref="II11:II57" si="222">IF(AND($C11=4, $P11="Acquisition/Rehab",NOT($B11="Unrestricted"),NOT($B11="NSP 120"),NOT($B11="N/A-CS"),NOT($N11="Common Space")),$E11,"")</f>
        <v/>
      </c>
      <c r="IJ11" s="251" t="str">
        <f t="shared" ref="IJ11:IJ57" si="223">IF(AND($C11="Efficiency", $P11="Acquisition/Rehab",$B11="Unrestricted",NOT($B11="N/A-CS"),NOT($N11="Common Space")),$E11,"")</f>
        <v/>
      </c>
      <c r="IK11" s="251" t="str">
        <f t="shared" ref="IK11:IK57" si="224">IF(AND($C11=1, $P11="Acquisition/Rehab",$B11="Unrestricted",NOT($B11="N/A-CS"),NOT($N11="Common Space")),$E11,"")</f>
        <v/>
      </c>
      <c r="IL11" s="251" t="str">
        <f t="shared" ref="IL11:IL57" si="225">IF(AND($C11=2, $P11="Acquisition/Rehab",$B11="Unrestricted",NOT($B11="N/A-CS"),NOT($N11="Common Space")),$E11,"")</f>
        <v/>
      </c>
      <c r="IM11" s="251" t="str">
        <f t="shared" ref="IM11:IM57" si="226">IF(AND($C11=3, $P11="Acquisition/Rehab",$B11="Unrestricted",NOT($B11="N/A-CS"),NOT($N11="Common Space")),$E11,"")</f>
        <v/>
      </c>
      <c r="IN11" s="251" t="str">
        <f t="shared" ref="IN11:IN57" si="227">IF(AND($C11=4, $P11="Acquisition/Rehab",$B11="Unrestricted",NOT($B11="N/A-CS"),NOT($N11="Common Space")),$E11,"")</f>
        <v/>
      </c>
      <c r="IO11" s="251" t="str">
        <f t="shared" ref="IO11:IO57" si="228">IF(AND($C11="Efficiency", $P11="Acquisition/Rehab",$B11="N/A-CS",$N11="Common Space"),$E11,"")</f>
        <v/>
      </c>
      <c r="IP11" s="251" t="str">
        <f t="shared" ref="IP11:IP57" si="229">IF(AND($C11=1, $P11="Acquisition/Rehab",$B11="N/A-CS",$N11="Common Space"),$E11,"")</f>
        <v/>
      </c>
      <c r="IQ11" s="251" t="str">
        <f t="shared" ref="IQ11:IQ57" si="230">IF(AND($C11=2, $P11="Acquisition/Rehab",$B11="N/A-CS",$N11="Common Space"),$E11,"")</f>
        <v/>
      </c>
      <c r="IR11" s="251" t="str">
        <f t="shared" ref="IR11:IR57" si="231">IF(AND($C11=3, $P11="Acquisition/Rehab",$B11="N/A-CS",$N11="Common Space"),$E11,"")</f>
        <v/>
      </c>
      <c r="IS11" s="251" t="str">
        <f t="shared" ref="IS11:IS57" si="232">IF(AND($C11=4, $P11="Acquisition/Rehab",$B11="N/A-CS",$N11="Common Space"),$E11,"")</f>
        <v/>
      </c>
      <c r="IT11" s="251" t="str">
        <f t="shared" ref="IT11:IT57" si="233">IF(AND($C11="Efficiency", $P11="Rehabilitation",NOT($B11="Unrestricted"),NOT($B11="NSP 120"),NOT($B11="N/A-CS"),NOT($N11="Common Space")),$E11,"")</f>
        <v/>
      </c>
      <c r="IU11" s="251" t="str">
        <f t="shared" ref="IU11:IU57" si="234">IF(AND($C11=1, $P11="Rehabilitation",NOT($B11="Unrestricted"),NOT($B11="NSP 120"),NOT($B11="N/A-CS"),NOT($N11="Common Space")),$E11,"")</f>
        <v/>
      </c>
      <c r="IV11" s="251" t="str">
        <f t="shared" ref="IV11:IV57" si="235">IF(AND($C11=2, $P11="Rehabilitation",NOT($B11="Unrestricted"),NOT($B11="NSP 120"),NOT($B11="N/A-CS"),NOT($N11="Common Space")),$E11,"")</f>
        <v/>
      </c>
      <c r="IW11" s="251" t="str">
        <f t="shared" ref="IW11:IW57" si="236">IF(AND($C11=3, $P11="Rehabilitation",NOT($B11="Unrestricted"),NOT($B11="NSP 120"),NOT($B11="N/A-CS"),NOT($N11="Common Space")),$E11,"")</f>
        <v/>
      </c>
      <c r="IX11" s="251" t="str">
        <f t="shared" ref="IX11:IX57" si="237">IF(AND($C11=4, $P11="Rehabilitation",NOT($B11="Unrestricted"),NOT($B11="NSP 120"),NOT($B11="N/A-CS"),NOT($N11="Common Space")),$E11,"")</f>
        <v/>
      </c>
      <c r="IY11" s="251" t="str">
        <f t="shared" ref="IY11:IY57" si="238">IF(AND($C11="Efficiency", $P11="Rehabilitation",$B11="Unrestricted",NOT($B11="N/A-CS"),NOT($N11="Common Space")),$E11,"")</f>
        <v/>
      </c>
      <c r="IZ11" s="251" t="str">
        <f t="shared" ref="IZ11:IZ57" si="239">IF(AND($C11=1, $P11="Rehabilitation",$B11="Unrestricted",NOT($B11="N/A-CS"),NOT($N11="Common Space")),$E11,"")</f>
        <v/>
      </c>
      <c r="JA11" s="251" t="str">
        <f t="shared" ref="JA11:JA57" si="240">IF(AND($C11=2, $P11="Rehabilitation",$B11="Unrestricted",NOT($B11="N/A-CS"),NOT($N11="Common Space")),$E11,"")</f>
        <v/>
      </c>
      <c r="JB11" s="251" t="str">
        <f t="shared" ref="JB11:JB57" si="241">IF(AND($C11=3, $P11="Rehabilitation",$B11="Unrestricted",NOT($B11="N/A-CS"),NOT($N11="Common Space")),$E11,"")</f>
        <v/>
      </c>
      <c r="JC11" s="251" t="str">
        <f t="shared" ref="JC11:JC57" si="242">IF(AND($C11=4, $P11="Rehabilitation",$B11="Unrestricted",NOT($B11="N/A-CS"),NOT($N11="Common Space")),$E11,"")</f>
        <v/>
      </c>
      <c r="JD11" s="251" t="str">
        <f t="shared" ref="JD11:JD57" si="243">IF(AND($C11="Efficiency", $P11="Rehabilitation",$B11="N/A-CS",$N11="Common Space"),$E11,"")</f>
        <v/>
      </c>
      <c r="JE11" s="251" t="str">
        <f t="shared" ref="JE11:JE57" si="244">IF(AND($C11=1, $P11="Rehabilitation",$B11="N/A-CS",$N11="Common Space"),$E11,"")</f>
        <v/>
      </c>
      <c r="JF11" s="251" t="str">
        <f t="shared" ref="JF11:JF57" si="245">IF(AND($C11=2, $P11="Rehabilitation",$B11="N/A-CS",$N11="Common Space"),$E11,"")</f>
        <v/>
      </c>
      <c r="JG11" s="251" t="str">
        <f t="shared" ref="JG11:JG57" si="246">IF(AND($C11=3, $P11="Rehabilitation",$B11="N/A-CS",$N11="Common Space"),$E11,"")</f>
        <v/>
      </c>
      <c r="JH11" s="251" t="str">
        <f t="shared" ref="JH11:JH57" si="247">IF(AND($C11=4, $P11="Rehabilitation",$B11="N/A-CS",$N11="Common Space"),$E11,"")</f>
        <v/>
      </c>
      <c r="JI11" s="1297" t="str">
        <f t="shared" ref="JI11:JI57" si="248">IF(AND($C11="Efficiency", NOT(OR($O11="SF Detached",$O11="Mfd Home",$O11="Semi-Detached",$O11="Row House/TH"))),$E11,"")</f>
        <v/>
      </c>
      <c r="JJ11" s="1297" t="str">
        <f t="shared" ref="JJ11:JJ57" si="249">IF(AND($C11=1, NOT(OR($O11="SF Detached",$O11="Mfd Home",$O11="Semi-Detached",$O11="Row House/TH"))),$E11,"")</f>
        <v/>
      </c>
      <c r="JK11" s="1297" t="str">
        <f t="shared" ref="JK11:JK57" si="250">IF(AND($C11=2, NOT(OR($O11="SF Detached",$O11="Mfd Home",$O11="Semi-Detached",$O11="Row House/TH"))),$E11,"")</f>
        <v/>
      </c>
      <c r="JL11" s="1297" t="str">
        <f t="shared" ref="JL11:JL57" si="251">IF(AND($C11=3, NOT(OR($O11="SF Detached",$O11="Mfd Home",$O11="Semi-Detached",$O11="Row House/TH"))),$E11,"")</f>
        <v/>
      </c>
      <c r="JM11" s="1297" t="str">
        <f t="shared" ref="JM11:JM57" si="252">IF(AND($C11=4, NOT(OR($O11="SF Detached",$O11="Mfd Home",$O11="Semi-Detached",$O11="Row House/TH"))),$E11,"")</f>
        <v/>
      </c>
      <c r="JN11" s="1297" t="str">
        <f t="shared" ref="JN11:JN57" si="253">IF(AND($C11="Efficiency", $O11="SF Detached",NOT($Q11="Yes")),$E11,"")</f>
        <v/>
      </c>
      <c r="JO11" s="1297" t="str">
        <f t="shared" ref="JO11:JO57" si="254">IF(AND($C11=1, $O11="SF Detached",NOT($Q11="Yes")),$E11,"")</f>
        <v/>
      </c>
      <c r="JP11" s="1297" t="str">
        <f t="shared" ref="JP11:JP57" si="255">IF(AND($C11=2, $O11="SF Detached",NOT($Q11="Yes")),$E11,"")</f>
        <v/>
      </c>
      <c r="JQ11" s="1297" t="str">
        <f t="shared" ref="JQ11:JQ57" si="256">IF(AND($C11=3, $O11="SF Detached",NOT($Q11="Yes")),$E11,"")</f>
        <v/>
      </c>
      <c r="JR11" s="1297" t="str">
        <f t="shared" ref="JR11:JR57" si="257">IF(AND($C11=4, $O11="SF Detached",NOT($Q11="Yes")),$E11,"")</f>
        <v/>
      </c>
      <c r="JS11" s="1297" t="str">
        <f t="shared" ref="JS11:JS57" si="258">IF(AND($C11="Efficiency", $O11="SF Detached",$Q11="Yes"),$E11,"")</f>
        <v/>
      </c>
      <c r="JT11" s="1297" t="str">
        <f t="shared" ref="JT11:JT57" si="259">IF(AND($C11=1, $O11="SF Detached",$Q11="Yes"),$E11,"")</f>
        <v/>
      </c>
      <c r="JU11" s="1297" t="str">
        <f t="shared" ref="JU11:JU57" si="260">IF(AND($C11=2, $O11="SF Detached",$Q11="Yes"),$E11,"")</f>
        <v/>
      </c>
      <c r="JV11" s="1297" t="str">
        <f t="shared" ref="JV11:JV57" si="261">IF(AND($C11=3, $O11="SF Detached",$Q11="Yes"),$E11,"")</f>
        <v/>
      </c>
      <c r="JW11" s="1297" t="str">
        <f t="shared" ref="JW11:JW57" si="262">IF(AND($C11=4, $O11="SF Detached",$Q11="Yes"),$E11,"")</f>
        <v/>
      </c>
      <c r="JX11" s="1297" t="str">
        <f t="shared" ref="JX11:JX57" si="263">IF(AND($C11="Efficiency", $O11="Mfd Home",NOT($Q11="Yes")),$E11,"")</f>
        <v/>
      </c>
      <c r="JY11" s="1297" t="str">
        <f t="shared" ref="JY11:JY57" si="264">IF(AND($C11=1, $O11="Mfd Home",NOT($Q11="Yes")),$E11,"")</f>
        <v/>
      </c>
      <c r="JZ11" s="1297" t="str">
        <f t="shared" ref="JZ11:JZ57" si="265">IF(AND($C11=2, $O11="Mfd Home",NOT($Q11="Yes")),$E11,"")</f>
        <v/>
      </c>
      <c r="KA11" s="1297" t="str">
        <f t="shared" ref="KA11:KA57" si="266">IF(AND($C11=3, $O11="Mfd Home",NOT($Q11="Yes")),$E11,"")</f>
        <v/>
      </c>
      <c r="KB11" s="1297" t="str">
        <f t="shared" ref="KB11:KB57" si="267">IF(AND($C11=4, $O11="Mfd Home",NOT($Q11="Yes")),$E11,"")</f>
        <v/>
      </c>
      <c r="KC11" s="1297" t="str">
        <f t="shared" ref="KC11:KC57" si="268">IF(AND($C11="Efficiency", $O11="Mfd Home",$Q11="Yes"),$E11,"")</f>
        <v/>
      </c>
      <c r="KD11" s="1297" t="str">
        <f t="shared" ref="KD11:KD57" si="269">IF(AND($C11=1, $O11="Mfd Home",$Q11="Yes"),$E11,"")</f>
        <v/>
      </c>
      <c r="KE11" s="1297" t="str">
        <f t="shared" ref="KE11:KE57" si="270">IF(AND($C11=2, $O11="Mfd Home",$Q11="Yes"),$E11,"")</f>
        <v/>
      </c>
      <c r="KF11" s="1297" t="str">
        <f t="shared" ref="KF11:KF57" si="271">IF(AND($C11=3, $O11="Mfd Home",$Q11="Yes"),$E11,"")</f>
        <v/>
      </c>
      <c r="KG11" s="1297" t="str">
        <f t="shared" ref="KG11:KG57" si="272">IF(AND($C11=4, $O11="Mfd Home",$Q11="Yes"),$E11,"")</f>
        <v/>
      </c>
      <c r="KH11" s="1297" t="str">
        <f t="shared" ref="KH11:KH57" si="273">IF(AND($C11="Efficiency", $O11="Semi-Detached",NOT($Q11="Yes")),$E11,"")</f>
        <v/>
      </c>
      <c r="KI11" s="1297" t="str">
        <f t="shared" ref="KI11:KI57" si="274">IF(AND($C11=1, $O11="Semi-Detached",NOT($Q11="Yes")),$E11,"")</f>
        <v/>
      </c>
      <c r="KJ11" s="1297" t="str">
        <f t="shared" ref="KJ11:KJ57" si="275">IF(AND($C11=2, $O11="Semi-Detached",NOT($Q11="Yes")),$E11,"")</f>
        <v/>
      </c>
      <c r="KK11" s="1297" t="str">
        <f t="shared" ref="KK11:KK57" si="276">IF(AND($C11=3, $O11="Semi-Detached",NOT($Q11="Yes")),$E11,"")</f>
        <v/>
      </c>
      <c r="KL11" s="1297" t="str">
        <f t="shared" ref="KL11:KL57" si="277">IF(AND($C11=4, $O11="Semi-Detached",NOT($Q11="Yes")),$E11,"")</f>
        <v/>
      </c>
      <c r="KM11" s="1297" t="str">
        <f t="shared" ref="KM11:KM57" si="278">IF(AND($C11="Efficiency", $O11="Semi-Detached",$Q11="Yes"),$E11,"")</f>
        <v/>
      </c>
      <c r="KN11" s="1297" t="str">
        <f t="shared" ref="KN11:KN57" si="279">IF(AND($C11=1, $O11="Semi-Detached",$Q11="Yes"),$E11,"")</f>
        <v/>
      </c>
      <c r="KO11" s="1297" t="str">
        <f t="shared" ref="KO11:KO57" si="280">IF(AND($C11=2, $O11="Semi-Detached",$Q11="Yes"),$E11,"")</f>
        <v/>
      </c>
      <c r="KP11" s="1297" t="str">
        <f t="shared" ref="KP11:KP57" si="281">IF(AND($C11=3, $O11="Semi-Detached",$Q11="Yes"),$E11,"")</f>
        <v/>
      </c>
      <c r="KQ11" s="1297" t="str">
        <f t="shared" ref="KQ11:KQ57" si="282">IF(AND($C11=4, $O11="Semi-Detached",$Q11="Yes"),$E11,"")</f>
        <v/>
      </c>
      <c r="KR11" s="1297" t="str">
        <f t="shared" ref="KR11:KR57" si="283">IF(AND($C11="Efficiency", $O11="Row House/TH",NOT($Q11="Yes")),$E11,"")</f>
        <v/>
      </c>
      <c r="KS11" s="1297" t="str">
        <f t="shared" ref="KS11:KS57" si="284">IF(AND($C11=1, $O11="Row House/TH",NOT($Q11="Yes")),$E11,"")</f>
        <v/>
      </c>
      <c r="KT11" s="1297" t="str">
        <f t="shared" ref="KT11:KT57" si="285">IF(AND($C11=2, $O11="Row House/TH",NOT($Q11="Yes")),$E11,"")</f>
        <v/>
      </c>
      <c r="KU11" s="1297" t="str">
        <f t="shared" ref="KU11:KU57" si="286">IF(AND($C11=3, $O11="Row House/TH",NOT($Q11="Yes")),$E11,"")</f>
        <v/>
      </c>
      <c r="KV11" s="1297" t="str">
        <f t="shared" ref="KV11:KV57" si="287">IF(AND($C11=4, $O11="Row House/TH",NOT($Q11="Yes")),$E11,"")</f>
        <v/>
      </c>
      <c r="KW11" s="1297" t="str">
        <f t="shared" ref="KW11:KW57" si="288">IF(AND($C11="Efficiency", $O11="Row House/TH",$Q11="Yes"),$E11,"")</f>
        <v/>
      </c>
      <c r="KX11" s="1297" t="str">
        <f t="shared" ref="KX11:KX57" si="289">IF(AND($C11=1, $O11="Row House/TH",$Q11="Yes"),$E11,"")</f>
        <v/>
      </c>
      <c r="KY11" s="1297" t="str">
        <f t="shared" ref="KY11:KY57" si="290">IF(AND($C11=2, $O11="Row House/TH",$Q11="Yes"),$E11,"")</f>
        <v/>
      </c>
      <c r="KZ11" s="1297" t="str">
        <f t="shared" ref="KZ11:KZ57" si="291">IF(AND($C11=3, $O11="Row House/TH",$Q11="Yes"),$E11,"")</f>
        <v/>
      </c>
      <c r="LA11" s="1297" t="str">
        <f t="shared" ref="LA11:LA57" si="292">IF(AND($C11=4, $O11="Row House/TH",$Q11="Yes"),$E11,"")</f>
        <v/>
      </c>
      <c r="LB11" s="1297" t="str">
        <f t="shared" ref="LB11:LB57" si="293">IF(AND($C11="Efficiency", $O11="Low-Rise Apt",NOT($Q11="Yes")),$E11,"")</f>
        <v/>
      </c>
      <c r="LC11" s="1297" t="str">
        <f t="shared" ref="LC11:LC57" si="294">IF(AND($C11=1, $O11="Low-Rise Apt",NOT($Q11="Yes")),$E11,"")</f>
        <v/>
      </c>
      <c r="LD11" s="1297" t="str">
        <f t="shared" ref="LD11:LD57" si="295">IF(AND($C11=2, $O11="Low-Rise Apt",NOT($Q11="Yes")),$E11,"")</f>
        <v/>
      </c>
      <c r="LE11" s="1297" t="str">
        <f t="shared" ref="LE11:LE57" si="296">IF(AND($C11=3, $O11="Low-Rise Apt",NOT($Q11="Yes")),$E11,"")</f>
        <v/>
      </c>
      <c r="LF11" s="1297" t="str">
        <f t="shared" ref="LF11:LF57" si="297">IF(AND($C11=4, $O11="Low-Rise Apt",NOT($Q11="Yes")),$E11,"")</f>
        <v/>
      </c>
      <c r="LG11" s="1297" t="str">
        <f t="shared" ref="LG11:LG57" si="298">IF(AND($C11="Efficiency", $O11="Low-Rise Elevator",NOT($Q11="Yes")),$E11,"")</f>
        <v/>
      </c>
      <c r="LH11" s="1297" t="str">
        <f t="shared" ref="LH11:LH57" si="299">IF(AND($C11=1, $O11="Low-Rise Elevator",NOT($Q11="Yes")),$E11,"")</f>
        <v/>
      </c>
      <c r="LI11" s="1297" t="str">
        <f t="shared" ref="LI11:LI57" si="300">IF(AND($C11=2, $O11="Low-Rise Elevator",NOT($Q11="Yes")),$E11,"")</f>
        <v/>
      </c>
      <c r="LJ11" s="1297" t="str">
        <f t="shared" ref="LJ11:LJ57" si="301">IF(AND($C11=3, $O11="Low-Rise Elevator",NOT($Q11="Yes")),$E11,"")</f>
        <v/>
      </c>
      <c r="LK11" s="1297" t="str">
        <f t="shared" ref="LK11:LK57" si="302">IF(AND($C11=4, $O11="Low-Rise Elevator",NOT($Q11="Yes")),$E11,"")</f>
        <v/>
      </c>
      <c r="LL11" s="1297" t="str">
        <f t="shared" ref="LL11:LL57" si="303">IF(AND($C11="Efficiency", $O11="Low-Rise Apt",$Q11="Yes"),$E11,"")</f>
        <v/>
      </c>
      <c r="LM11" s="1297" t="str">
        <f t="shared" ref="LM11:LM57" si="304">IF(AND($C11=1, $O11="Low-Rise Apt",$Q11="Yes"),$E11,"")</f>
        <v/>
      </c>
      <c r="LN11" s="1297" t="str">
        <f t="shared" ref="LN11:LN57" si="305">IF(AND($C11=2, $O11="Low-Rise Apt",$Q11="Yes"),$E11,"")</f>
        <v/>
      </c>
      <c r="LO11" s="1297" t="str">
        <f t="shared" ref="LO11:LO57" si="306">IF(AND($C11=3, $O11="Low-Rise Apt",$Q11="Yes"),$E11,"")</f>
        <v/>
      </c>
      <c r="LP11" s="1297" t="str">
        <f t="shared" ref="LP11:LP57" si="307">IF(AND($C11=4, $O11="Low-Rise Apt",$Q11="Yes"),$E11,"")</f>
        <v/>
      </c>
      <c r="LQ11" s="1297" t="str">
        <f t="shared" ref="LQ11:LQ57" si="308">IF(AND($C11="Efficiency", $O11="Low-Rise Elevator",$Q11="Yes"),$E11,"")</f>
        <v/>
      </c>
      <c r="LR11" s="1297" t="str">
        <f t="shared" ref="LR11:LR57" si="309">IF(AND($C11=1, $O11="Low-Rise Elevator",$Q11="Yes"),$E11,"")</f>
        <v/>
      </c>
      <c r="LS11" s="1297" t="str">
        <f t="shared" ref="LS11:LS57" si="310">IF(AND($C11=2, $O11="Low-Rise Elevator",$Q11="Yes"),$E11,"")</f>
        <v/>
      </c>
      <c r="LT11" s="1297" t="str">
        <f t="shared" ref="LT11:LT57" si="311">IF(AND($C11=3, $O11="Low-Rise Elevator",$Q11="Yes"),$E11,"")</f>
        <v/>
      </c>
      <c r="LU11" s="1297" t="str">
        <f t="shared" ref="LU11:LU57" si="312">IF(AND($C11=4, $O11="Low-Rise Elevator",$Q11="Yes"),$E11,"")</f>
        <v/>
      </c>
      <c r="LV11" s="1297" t="str">
        <f t="shared" ref="LV11:LV57" si="313">IF(AND($C11="Efficiency", $O11="High-Rise Apt",NOT($Q11="Yes")),$E11,"")</f>
        <v/>
      </c>
      <c r="LW11" s="1297" t="str">
        <f t="shared" ref="LW11:LW57" si="314">IF(AND($C11=1, $O11="High-Rise Apt",NOT($Q11="Yes")),$E11,"")</f>
        <v/>
      </c>
      <c r="LX11" s="1297" t="str">
        <f t="shared" ref="LX11:LX57" si="315">IF(AND($C11=2, $O11="High-Rise Apt",NOT($Q11="Yes")),$E11,"")</f>
        <v/>
      </c>
      <c r="LY11" s="1297" t="str">
        <f t="shared" ref="LY11:LY57" si="316">IF(AND($C11=3, $O11="High-Rise Apt",NOT($Q11="Yes")),$E11,"")</f>
        <v/>
      </c>
      <c r="LZ11" s="1297" t="str">
        <f t="shared" ref="LZ11:LZ57" si="317">IF(AND($C11=4, $O11="High-Rise Apt",NOT($Q11="Yes")),$E11,"")</f>
        <v/>
      </c>
      <c r="MA11" s="1297" t="str">
        <f t="shared" ref="MA11:MA57" si="318">IF(AND($C11="Efficiency", $O11="High-Rise Elevator",NOT($Q11="Yes")),$E11,"")</f>
        <v/>
      </c>
      <c r="MB11" s="1297" t="str">
        <f t="shared" ref="MB11:MB57" si="319">IF(AND($C11=1, $O11="High-Rise Elevator",NOT($Q11="Yes")),$E11,"")</f>
        <v/>
      </c>
      <c r="MC11" s="1297" t="str">
        <f t="shared" ref="MC11:MC57" si="320">IF(AND($C11=2, $O11="High-Rise Elevator",NOT($Q11="Yes")),$E11,"")</f>
        <v/>
      </c>
      <c r="MD11" s="1297" t="str">
        <f t="shared" ref="MD11:MD57" si="321">IF(AND($C11=3, $O11="High-Rise Elevator",NOT($Q11="Yes")),$E11,"")</f>
        <v/>
      </c>
      <c r="ME11" s="1297" t="str">
        <f t="shared" ref="ME11:ME57" si="322">IF(AND($C11=4, $O11="High-Rise Elevator",NOT($Q11="Yes")),$E11,"")</f>
        <v/>
      </c>
      <c r="MF11" s="1297" t="str">
        <f t="shared" ref="MF11:MF57" si="323">IF(AND($C11="Efficiency", $O11="High-Rise Apt",$Q11="Yes"),$E11,"")</f>
        <v/>
      </c>
      <c r="MG11" s="1297" t="str">
        <f t="shared" ref="MG11:MG57" si="324">IF(AND($C11=1, $O11="High-Rise Apt",$Q11="Yes"),$E11,"")</f>
        <v/>
      </c>
      <c r="MH11" s="1297" t="str">
        <f t="shared" ref="MH11:MH57" si="325">IF(AND($C11=2, $O11="High-Rise Apt",$Q11="Yes"),$E11,"")</f>
        <v/>
      </c>
      <c r="MI11" s="1297" t="str">
        <f t="shared" ref="MI11:MI57" si="326">IF(AND($C11=3, $O11="High-Rise Apt",$Q11="Yes"),$E11,"")</f>
        <v/>
      </c>
      <c r="MJ11" s="1297" t="str">
        <f t="shared" ref="MJ11:MJ57" si="327">IF(AND($C11=4, $O11="High-Rise Apt",$Q11="Yes"),$E11,"")</f>
        <v/>
      </c>
      <c r="MK11" s="1297" t="str">
        <f t="shared" ref="MK11:MK57" si="328">IF(AND($C11="Efficiency", $O11="High-Rise Elevator",$Q11="Yes"),$E11,"")</f>
        <v/>
      </c>
      <c r="ML11" s="1297" t="str">
        <f t="shared" ref="ML11:ML57" si="329">IF(AND($C11=1, $O11="High-Rise Elevator",$Q11="Yes"),$E11,"")</f>
        <v/>
      </c>
      <c r="MM11" s="1297" t="str">
        <f t="shared" ref="MM11:MM57" si="330">IF(AND($C11=2, $O11="High-Rise Elevator",$Q11="Yes"),$E11,"")</f>
        <v/>
      </c>
      <c r="MN11" s="1297" t="str">
        <f t="shared" ref="MN11:MN57" si="331">IF(AND($C11=3, $O11="High-Rise Elevator",$Q11="Yes"),$E11,"")</f>
        <v/>
      </c>
      <c r="MO11" s="1297" t="str">
        <f t="shared" ref="MO11:MO57" si="332">IF(AND($C11=4, $O11="High-Rise Elevator",$Q11="Yes"),$E11,"")</f>
        <v/>
      </c>
      <c r="MP11" s="1773" t="str">
        <f t="shared" ref="MP11:MP57" si="333">IF(AND($B11="NSP 120% AMI",$C11="Efficiency", NOT($N11="Common Space")),$E11,"")</f>
        <v/>
      </c>
      <c r="MQ11" s="1773" t="str">
        <f t="shared" ref="MQ11:MQ57" si="334">IF(AND($B11="NSP 120% AMI",$C11=1,NOT($N11="Common Space")),$E11,"")</f>
        <v/>
      </c>
      <c r="MR11" s="1773" t="str">
        <f t="shared" ref="MR11:MR57" si="335">IF(AND($B11="NSP 120% AMI",$C11=2,NOT($N11="Common Space")),$E11,"")</f>
        <v/>
      </c>
      <c r="MS11" s="1773" t="str">
        <f t="shared" ref="MS11:MS57" si="336">IF(AND($B11="NSP 120% AMI",$C11=3,NOT($N11="Common Space")),$E11,"")</f>
        <v/>
      </c>
      <c r="MT11" s="1773" t="str">
        <f t="shared" ref="MT11:MT57" si="337">IF(AND($B11="NSP 120% AMI",$C11=4,NOT($N11="Common Space")),$E11,"")</f>
        <v/>
      </c>
      <c r="MU11" s="251" t="str">
        <f t="shared" ref="MU11:MU57" si="338">IF(AND(C11="Efficiency",B11="NSP 120% AMI",NOT(N11="Common Space")),E11*F11,"")</f>
        <v/>
      </c>
      <c r="MV11" s="251" t="str">
        <f t="shared" ref="MV11:MV57" si="339">IF(AND(C11=1,B11="NSP 120% AMI",NOT(N11="Common Space")),E11*F11,"")</f>
        <v/>
      </c>
      <c r="MW11" s="251" t="str">
        <f t="shared" ref="MW11:MW57" si="340">IF(AND(C11=2,B11="NSP 120% AMI",NOT(N11="Common Space")),E11*F11,"")</f>
        <v/>
      </c>
      <c r="MX11" s="251" t="str">
        <f t="shared" ref="MX11:MX57" si="341">IF(AND(C11=3,B11="NSP 120% AMI",NOT(N11="Common Space")),E11*F11,"")</f>
        <v/>
      </c>
      <c r="MY11" s="251" t="str">
        <f t="shared" ref="MY11:MY57" si="342">IF(AND(C11=4,B11="NSP 120% AMI",NOT(N11="Common Space")),E11*F11,"")</f>
        <v/>
      </c>
      <c r="MZ11" s="251" t="str">
        <f t="shared" ref="MZ11:MZ57" si="343">IF(AND($C11="Efficiency", $P11="New Construction",$B11="NSP 120% AMI",NOT($N11="Common Space")),$E11,"")</f>
        <v/>
      </c>
      <c r="NA11" s="251" t="str">
        <f t="shared" ref="NA11:NA57" si="344">IF(AND($C11=1, $P11="New Construction",$B11="NSP 120% AMI",NOT($N11="Common Space")),$E11,"")</f>
        <v/>
      </c>
      <c r="NB11" s="251" t="str">
        <f t="shared" ref="NB11:NB57" si="345">IF(AND($C11=2, $P11="New Construction",$B11="NSP 120% AMI",NOT($N11="Common Space")),$E11,"")</f>
        <v/>
      </c>
      <c r="NC11" s="251" t="str">
        <f t="shared" ref="NC11:NC57" si="346">IF(AND($C11=3, $P11="New Construction",$B11="NSP 120% AMI",NOT($N11="Common Space")),$E11,"")</f>
        <v/>
      </c>
      <c r="ND11" s="251" t="str">
        <f t="shared" ref="ND11:ND57" si="347">IF(AND($C11=4, $P11="New Construction",$B11="NSP 120% AMI",NOT($N11="Common Space")),$E11,"")</f>
        <v/>
      </c>
      <c r="NE11" s="251" t="str">
        <f t="shared" ref="NE11:NE57" si="348">IF(AND($C11="Efficiency", $P11="Acquisition/Rehab",$B11="NSP 120% AMI",NOT($N11="Common Space")),$E11,"")</f>
        <v/>
      </c>
      <c r="NF11" s="251" t="str">
        <f t="shared" ref="NF11:NF57" si="349">IF(AND($C11=1, $P11="Acquisition/Rehab",$B11="NSP 120% AMI",NOT($N11="Common Space")),$E11,"")</f>
        <v/>
      </c>
      <c r="NG11" s="251" t="str">
        <f t="shared" ref="NG11:NG57" si="350">IF(AND($C11=2, $P11="Acquisition/Rehab",$B11="NSP 120% AMI",NOT($N11="Common Space")),$E11,"")</f>
        <v/>
      </c>
      <c r="NH11" s="251" t="str">
        <f t="shared" ref="NH11:NH57" si="351">IF(AND($C11=3, $P11="Acquisition/Rehab",$B11="NSP 120% AMI",NOT($N11="Common Space")),$E11,"")</f>
        <v/>
      </c>
      <c r="NI11" s="251" t="str">
        <f t="shared" ref="NI11:NI57" si="352">IF(AND($C11=4, $P11="Acquisition/Rehab",$B11="NSP 120% AMI",NOT($N11="Common Space")),$E11,"")</f>
        <v/>
      </c>
      <c r="NJ11" s="251" t="str">
        <f t="shared" ref="NJ11:NJ57" si="353">IF(AND($C11="Efficiency", $P11="Rehabilitation",$B11="NSP 120% AMI",NOT($N11="Common Space")),$E11,"")</f>
        <v/>
      </c>
      <c r="NK11" s="251" t="str">
        <f t="shared" ref="NK11:NK57" si="354">IF(AND($C11=1, $P11="Rehabilitation",$B11="NSP 120% AMI",NOT($N11="Common Space")),$E11,"")</f>
        <v/>
      </c>
      <c r="NL11" s="251" t="str">
        <f t="shared" ref="NL11:NL57" si="355">IF(AND($C11=2, $P11="Rehabilitation",$B11="NSP 120% AMI",NOT($N11="Common Space")),$E11,"")</f>
        <v/>
      </c>
      <c r="NM11" s="251" t="str">
        <f t="shared" ref="NM11:NM57" si="356">IF(AND($C11=3, $P11="Rehabilitation",$B11="NSP 120% AMI",NOT($N11="Common Space")),$E11,"")</f>
        <v/>
      </c>
      <c r="NN11" s="251" t="str">
        <f t="shared" ref="NN11:NN57" si="357">IF(AND($C11=4, $P11="Rehabilitation",$B11="NSP 120% AMI",NOT($N11="Common Space")),$E11,"")</f>
        <v/>
      </c>
      <c r="NO11" s="1185">
        <f t="shared" ref="NO11:NO57" si="358">IF(AND($C11="Efficiency",$E11&gt;0,OR($O11="Low-Rise Apt",$O11="Low-Rise Elevator",$O11="High-Rise Apt",$O11="High-Rise Elevator",$O11="Row House/TH"),OR($P11="Acquisition/Rehab",$P11="Rehabilitation"),NOT($Q11="Yes")),$E11,0)</f>
        <v>0</v>
      </c>
      <c r="NP11" s="1185">
        <f t="shared" ref="NP11:NP57" si="359">IF(AND($C11=1,$E11&gt;0,OR($O11="Low-Rise Apt",$O11="Low-Rise Elevator",$O11="High-Rise Apt",$O11="High-Rise Elevator",$O11="Row House/TH"),OR($P11="Acquisition/Rehab",$P11="Rehabilitation"),NOT($Q11="Yes")),$E11,0)</f>
        <v>0</v>
      </c>
      <c r="NQ11" s="1185">
        <f t="shared" ref="NQ11:NQ57" si="360">IF(AND($C11=2,$E11&gt;0,OR($O11="Low-Rise Apt",$O11="Low-Rise Elevator",$O11="High-Rise Apt",$O11="High-Rise Elevator",$O11="Row House/TH"),OR($P11="Acquisition/Rehab",$P11="Rehabilitation"),NOT($Q11="Yes")),$E11,0)</f>
        <v>0</v>
      </c>
      <c r="NR11" s="1185">
        <f t="shared" ref="NR11:NR57" si="361">IF(AND($C11=3,$E11&gt;0,OR($O11="Low-Rise Apt",$O11="Low-Rise Elevator",$O11="High-Rise Apt",$O11="High-Rise Elevator",$O11="Row House/TH"),OR($P11="Acquisition/Rehab",$P11="Rehabilitation"),NOT($Q11="Yes")),$E11,0)</f>
        <v>0</v>
      </c>
      <c r="NS11" s="1185">
        <f t="shared" ref="NS11:NS57" si="362">IF(AND($C11=4,$E11&gt;0,OR($O11="Low-Rise Apt",$O11="Low-Rise Elevator",$O11="High-Rise Apt",$O11="High-Rise Elevator",$O11="Row House/TH"),OR($P11="Acquisition/Rehab",$P11="Rehabilitation"),NOT($Q11="Yes")),$E11,0)</f>
        <v>0</v>
      </c>
      <c r="NT11" s="1185">
        <f>IF(AND($C11="Efficiency",$E11&gt;0,OR($O11="Low-Rise Apt",$O11="Low-Rise Elevator",$O11="High-Rise Apt",$O11="High-Rise Elevator",$O11="Row House/TH"),$P11="New Construction"),$E11,0)</f>
        <v>0</v>
      </c>
      <c r="NU11" s="1185">
        <f>IF(AND($C11=1,$E11&gt;0,OR($O11="Low-Rise Apt",$O11="Low-Rise Elevator",$O11="High-Rise Apt",$O11="High-Rise Elevator",$O11="Row House/TH"),$P11="New Construction"),$E11,0)</f>
        <v>0</v>
      </c>
      <c r="NV11" s="1185">
        <f>IF(AND($C11=2,$E11&gt;0,OR($O11="Low-Rise Apt",$O11="Low-Rise Elevator",$O11="High-Rise Apt",$O11="High-Rise Elevator",$O11="Row House/TH"),$P11="New Construction"),$E11,0)</f>
        <v>0</v>
      </c>
      <c r="NW11" s="1185">
        <f>IF(AND($C11=3,$E11&gt;0,OR($O11="Low-Rise Apt",$O11="Low-Rise Elevator",$O11="High-Rise Apt",$O11="High-Rise Elevator",$O11="Row House/TH"),$P11="New Construction"),$E11,0)</f>
        <v>0</v>
      </c>
      <c r="NX11" s="1185">
        <f>IF(AND($C11=4,$E11&gt;0,OR($O11="Low-Rise Apt",$O11="Low-Rise Elevator",$O11="High-Rise Apt",$O11="High-Rise Elevator",$O11="Row House/TH"),$P11="New Construction"),$E11,0)</f>
        <v>0</v>
      </c>
      <c r="NY11" s="1185">
        <f t="shared" ref="NY11:NY57" si="363">IF(AND($C11="Efficiency",$E11&gt;0,OR($O11="SF Detached",$O11="Semi-Detached",$O11="Mfd Home"),NOT($Q11="Yes")),$E11,0)</f>
        <v>0</v>
      </c>
      <c r="NZ11" s="1185">
        <f t="shared" ref="NZ11:NZ57" si="364">IF(AND($C11=1,$E11&gt;0,OR($O11="SF Detached",$O11="Semi-Detached",$O11="Mfd Home"),NOT($Q11="Yes")),$E11,0)</f>
        <v>0</v>
      </c>
      <c r="OA11" s="1185">
        <f t="shared" ref="OA11:OA57" si="365">IF(AND($C11=2,$E11&gt;0,OR($O11="SF Detached",$O11="Semi-Detached",$O11="Mfd Home"),NOT($Q11="Yes")),$E11,0)</f>
        <v>0</v>
      </c>
      <c r="OB11" s="1185">
        <f t="shared" ref="OB11:OB57" si="366">IF(AND($C11=3,$E11&gt;0,OR($O11="SF Detached",$O11="Semi-Detached",$O11="Mfd Home"),NOT($Q11="Yes")),$E11,0)</f>
        <v>0</v>
      </c>
      <c r="OC11" s="1185">
        <f t="shared" ref="OC11:OC57" si="367">IF(AND($C11=4,$E11&gt;0,OR($O11="SF Detached",$O11="Semi-Detached",$O11="Mfd Home"),NOT($Q11="Yes")),$E11,0)</f>
        <v>0</v>
      </c>
      <c r="OY11" s="1794" t="s">
        <v>1158</v>
      </c>
      <c r="OZ11" s="1798">
        <v>11</v>
      </c>
    </row>
    <row r="12" spans="1:528" ht="12" customHeight="1">
      <c r="A12" s="53" t="str">
        <f t="shared" si="0"/>
        <v/>
      </c>
      <c r="B12" s="754" t="s">
        <v>1157</v>
      </c>
      <c r="C12" s="85"/>
      <c r="D12" s="1187"/>
      <c r="E12" s="86"/>
      <c r="F12" s="86"/>
      <c r="G12" s="86"/>
      <c r="H12" s="86"/>
      <c r="I12" s="86"/>
      <c r="J12" s="967"/>
      <c r="K12" s="473"/>
      <c r="L12" s="330">
        <f t="shared" si="1"/>
        <v>0</v>
      </c>
      <c r="M12" s="330">
        <f t="shared" si="2"/>
        <v>0</v>
      </c>
      <c r="N12" s="506"/>
      <c r="O12" s="1134"/>
      <c r="P12" s="506"/>
      <c r="Q12" s="87"/>
      <c r="R12" s="540"/>
      <c r="S12" s="541"/>
      <c r="T12" s="3758"/>
      <c r="U12" s="3759"/>
      <c r="V12" s="3759"/>
      <c r="W12" s="3760"/>
      <c r="X12" s="251" t="str">
        <f t="shared" si="3"/>
        <v/>
      </c>
      <c r="Y12" s="251" t="str">
        <f t="shared" si="4"/>
        <v/>
      </c>
      <c r="Z12" s="251" t="str">
        <f t="shared" si="5"/>
        <v/>
      </c>
      <c r="AA12" s="251" t="str">
        <f t="shared" si="6"/>
        <v/>
      </c>
      <c r="AB12" s="251" t="str">
        <f t="shared" si="7"/>
        <v/>
      </c>
      <c r="AC12" s="251" t="str">
        <f t="shared" si="8"/>
        <v/>
      </c>
      <c r="AD12" s="251" t="str">
        <f t="shared" si="9"/>
        <v/>
      </c>
      <c r="AE12" s="251" t="str">
        <f t="shared" si="10"/>
        <v/>
      </c>
      <c r="AF12" s="251" t="str">
        <f t="shared" si="11"/>
        <v/>
      </c>
      <c r="AG12" s="251" t="str">
        <f t="shared" si="12"/>
        <v/>
      </c>
      <c r="AH12" s="251" t="str">
        <f t="shared" si="13"/>
        <v/>
      </c>
      <c r="AI12" s="251" t="str">
        <f t="shared" si="14"/>
        <v/>
      </c>
      <c r="AJ12" s="251" t="str">
        <f t="shared" si="15"/>
        <v/>
      </c>
      <c r="AK12" s="251" t="str">
        <f t="shared" si="16"/>
        <v/>
      </c>
      <c r="AL12" s="251" t="str">
        <f t="shared" si="17"/>
        <v/>
      </c>
      <c r="AM12" s="251" t="str">
        <f t="shared" si="18"/>
        <v/>
      </c>
      <c r="AN12" s="251" t="str">
        <f t="shared" si="19"/>
        <v/>
      </c>
      <c r="AO12" s="251" t="str">
        <f t="shared" si="20"/>
        <v/>
      </c>
      <c r="AP12" s="251" t="str">
        <f t="shared" si="21"/>
        <v/>
      </c>
      <c r="AQ12" s="251" t="str">
        <f t="shared" si="22"/>
        <v/>
      </c>
      <c r="AR12" s="251" t="str">
        <f t="shared" si="23"/>
        <v/>
      </c>
      <c r="AS12" s="251" t="str">
        <f t="shared" si="24"/>
        <v/>
      </c>
      <c r="AT12" s="251" t="str">
        <f t="shared" si="25"/>
        <v/>
      </c>
      <c r="AU12" s="251" t="str">
        <f t="shared" si="26"/>
        <v/>
      </c>
      <c r="AV12" s="251" t="str">
        <f t="shared" si="27"/>
        <v/>
      </c>
      <c r="AW12" s="251" t="str">
        <f t="shared" si="28"/>
        <v/>
      </c>
      <c r="AX12" s="251" t="str">
        <f t="shared" si="29"/>
        <v/>
      </c>
      <c r="AY12" s="251" t="str">
        <f t="shared" si="30"/>
        <v/>
      </c>
      <c r="AZ12" s="251" t="str">
        <f t="shared" si="31"/>
        <v/>
      </c>
      <c r="BA12" s="251" t="str">
        <f t="shared" si="32"/>
        <v/>
      </c>
      <c r="BB12" s="251" t="str">
        <f t="shared" si="33"/>
        <v/>
      </c>
      <c r="BC12" s="251" t="str">
        <f t="shared" si="34"/>
        <v/>
      </c>
      <c r="BD12" s="251" t="str">
        <f t="shared" si="35"/>
        <v/>
      </c>
      <c r="BE12" s="251" t="str">
        <f t="shared" si="36"/>
        <v/>
      </c>
      <c r="BF12" s="251" t="str">
        <f t="shared" si="37"/>
        <v/>
      </c>
      <c r="BG12" s="251" t="str">
        <f t="shared" si="38"/>
        <v/>
      </c>
      <c r="BH12" s="251" t="str">
        <f t="shared" si="39"/>
        <v/>
      </c>
      <c r="BI12" s="251" t="str">
        <f t="shared" si="40"/>
        <v/>
      </c>
      <c r="BJ12" s="251" t="str">
        <f t="shared" si="41"/>
        <v/>
      </c>
      <c r="BK12" s="251" t="str">
        <f t="shared" si="42"/>
        <v/>
      </c>
      <c r="BL12" s="251" t="str">
        <f t="shared" si="43"/>
        <v/>
      </c>
      <c r="BM12" s="251" t="str">
        <f t="shared" si="44"/>
        <v/>
      </c>
      <c r="BN12" s="251" t="str">
        <f t="shared" si="45"/>
        <v/>
      </c>
      <c r="BO12" s="251" t="str">
        <f t="shared" si="46"/>
        <v/>
      </c>
      <c r="BP12" s="251" t="str">
        <f t="shared" si="47"/>
        <v/>
      </c>
      <c r="BQ12" s="251" t="str">
        <f t="shared" si="48"/>
        <v/>
      </c>
      <c r="BR12" s="251" t="str">
        <f t="shared" si="49"/>
        <v/>
      </c>
      <c r="BS12" s="251" t="str">
        <f t="shared" si="50"/>
        <v/>
      </c>
      <c r="BT12" s="251" t="str">
        <f t="shared" si="51"/>
        <v/>
      </c>
      <c r="BU12" s="251" t="str">
        <f t="shared" si="52"/>
        <v/>
      </c>
      <c r="BV12" s="251" t="str">
        <f t="shared" si="53"/>
        <v/>
      </c>
      <c r="BW12" s="251" t="str">
        <f t="shared" si="54"/>
        <v/>
      </c>
      <c r="BX12" s="251" t="str">
        <f t="shared" si="55"/>
        <v/>
      </c>
      <c r="BY12" s="251" t="str">
        <f t="shared" si="56"/>
        <v/>
      </c>
      <c r="BZ12" s="251" t="str">
        <f t="shared" si="57"/>
        <v/>
      </c>
      <c r="CA12" s="251" t="str">
        <f t="shared" si="58"/>
        <v/>
      </c>
      <c r="CB12" s="251" t="str">
        <f t="shared" si="59"/>
        <v/>
      </c>
      <c r="CC12" s="251" t="str">
        <f t="shared" si="60"/>
        <v/>
      </c>
      <c r="CD12" s="251" t="str">
        <f t="shared" si="61"/>
        <v/>
      </c>
      <c r="CE12" s="251" t="str">
        <f t="shared" si="62"/>
        <v/>
      </c>
      <c r="CF12" s="251" t="str">
        <f t="shared" si="63"/>
        <v/>
      </c>
      <c r="CG12" s="251" t="str">
        <f t="shared" si="64"/>
        <v/>
      </c>
      <c r="CH12" s="251" t="str">
        <f t="shared" si="65"/>
        <v/>
      </c>
      <c r="CI12" s="251" t="str">
        <f t="shared" si="66"/>
        <v/>
      </c>
      <c r="CJ12" s="251" t="str">
        <f t="shared" si="67"/>
        <v/>
      </c>
      <c r="CK12" s="251" t="str">
        <f t="shared" si="68"/>
        <v/>
      </c>
      <c r="CL12" s="251" t="str">
        <f t="shared" si="69"/>
        <v/>
      </c>
      <c r="CM12" s="251" t="str">
        <f t="shared" si="70"/>
        <v/>
      </c>
      <c r="CN12" s="251" t="str">
        <f t="shared" si="71"/>
        <v/>
      </c>
      <c r="CO12" s="251" t="str">
        <f t="shared" si="72"/>
        <v/>
      </c>
      <c r="CP12" s="251" t="str">
        <f t="shared" si="73"/>
        <v/>
      </c>
      <c r="CQ12" s="251" t="str">
        <f t="shared" si="74"/>
        <v/>
      </c>
      <c r="CR12" s="251" t="str">
        <f t="shared" si="75"/>
        <v/>
      </c>
      <c r="CS12" s="251" t="str">
        <f t="shared" si="76"/>
        <v/>
      </c>
      <c r="CT12" s="251" t="str">
        <f t="shared" si="77"/>
        <v/>
      </c>
      <c r="CU12" s="251" t="str">
        <f t="shared" si="78"/>
        <v/>
      </c>
      <c r="CV12" s="251" t="str">
        <f t="shared" si="79"/>
        <v/>
      </c>
      <c r="CW12" s="251" t="str">
        <f t="shared" si="80"/>
        <v/>
      </c>
      <c r="CX12" s="251" t="str">
        <f t="shared" si="81"/>
        <v/>
      </c>
      <c r="CY12" s="251" t="str">
        <f t="shared" si="82"/>
        <v/>
      </c>
      <c r="CZ12" s="251" t="str">
        <f t="shared" si="83"/>
        <v/>
      </c>
      <c r="DA12" s="251" t="str">
        <f t="shared" si="84"/>
        <v/>
      </c>
      <c r="DB12" s="251" t="str">
        <f t="shared" si="85"/>
        <v/>
      </c>
      <c r="DC12" s="251" t="str">
        <f t="shared" si="86"/>
        <v/>
      </c>
      <c r="DD12" s="251" t="str">
        <f t="shared" si="87"/>
        <v/>
      </c>
      <c r="DE12" s="251" t="str">
        <f t="shared" si="88"/>
        <v/>
      </c>
      <c r="DF12" s="251" t="str">
        <f t="shared" si="89"/>
        <v/>
      </c>
      <c r="DG12" s="251" t="str">
        <f t="shared" si="90"/>
        <v/>
      </c>
      <c r="DH12" s="251" t="str">
        <f t="shared" si="91"/>
        <v/>
      </c>
      <c r="DI12" s="251" t="str">
        <f t="shared" si="92"/>
        <v/>
      </c>
      <c r="DJ12" s="251" t="str">
        <f t="shared" si="93"/>
        <v/>
      </c>
      <c r="DK12" s="251" t="str">
        <f t="shared" si="94"/>
        <v/>
      </c>
      <c r="DL12" s="251" t="str">
        <f t="shared" si="95"/>
        <v/>
      </c>
      <c r="DM12" s="251" t="str">
        <f t="shared" si="96"/>
        <v/>
      </c>
      <c r="DN12" s="251" t="str">
        <f t="shared" si="97"/>
        <v/>
      </c>
      <c r="DO12" s="251" t="str">
        <f t="shared" si="98"/>
        <v/>
      </c>
      <c r="DP12" s="251" t="str">
        <f t="shared" si="99"/>
        <v/>
      </c>
      <c r="DQ12" s="251" t="str">
        <f t="shared" si="100"/>
        <v/>
      </c>
      <c r="DR12" s="251" t="str">
        <f t="shared" si="101"/>
        <v/>
      </c>
      <c r="DS12" s="251" t="str">
        <f t="shared" si="102"/>
        <v/>
      </c>
      <c r="DT12" s="251" t="str">
        <f t="shared" si="103"/>
        <v/>
      </c>
      <c r="DU12" s="251" t="str">
        <f t="shared" si="104"/>
        <v/>
      </c>
      <c r="DV12" s="251" t="str">
        <f t="shared" si="105"/>
        <v/>
      </c>
      <c r="DW12" s="251" t="str">
        <f t="shared" si="106"/>
        <v/>
      </c>
      <c r="DX12" s="251" t="str">
        <f t="shared" si="107"/>
        <v/>
      </c>
      <c r="DY12" s="251" t="str">
        <f t="shared" si="108"/>
        <v/>
      </c>
      <c r="DZ12" s="251" t="str">
        <f t="shared" si="109"/>
        <v/>
      </c>
      <c r="EA12" s="251" t="str">
        <f t="shared" si="110"/>
        <v/>
      </c>
      <c r="EB12" s="251" t="str">
        <f t="shared" si="111"/>
        <v/>
      </c>
      <c r="EC12" s="251" t="str">
        <f t="shared" si="112"/>
        <v/>
      </c>
      <c r="ED12" s="251" t="str">
        <f t="shared" si="113"/>
        <v/>
      </c>
      <c r="EE12" s="251" t="str">
        <f t="shared" si="114"/>
        <v/>
      </c>
      <c r="EF12" s="251" t="str">
        <f t="shared" si="115"/>
        <v/>
      </c>
      <c r="EG12" s="251" t="str">
        <f t="shared" si="116"/>
        <v/>
      </c>
      <c r="EH12" s="251" t="str">
        <f t="shared" si="117"/>
        <v/>
      </c>
      <c r="EI12" s="251" t="str">
        <f t="shared" si="118"/>
        <v/>
      </c>
      <c r="EJ12" s="251" t="str">
        <f t="shared" si="119"/>
        <v/>
      </c>
      <c r="EK12" s="251" t="str">
        <f t="shared" si="120"/>
        <v/>
      </c>
      <c r="EL12" s="251" t="str">
        <f t="shared" si="121"/>
        <v/>
      </c>
      <c r="EM12" s="251" t="str">
        <f t="shared" si="122"/>
        <v/>
      </c>
      <c r="EN12" s="251" t="str">
        <f t="shared" si="123"/>
        <v/>
      </c>
      <c r="EO12" s="251" t="str">
        <f t="shared" si="124"/>
        <v/>
      </c>
      <c r="EP12" s="251" t="str">
        <f t="shared" si="125"/>
        <v/>
      </c>
      <c r="EQ12" s="251" t="str">
        <f t="shared" si="126"/>
        <v/>
      </c>
      <c r="ER12" s="251" t="str">
        <f t="shared" si="127"/>
        <v/>
      </c>
      <c r="ES12" s="251" t="str">
        <f t="shared" si="128"/>
        <v/>
      </c>
      <c r="ET12" s="251" t="str">
        <f t="shared" si="129"/>
        <v/>
      </c>
      <c r="EU12" s="251" t="str">
        <f t="shared" si="130"/>
        <v/>
      </c>
      <c r="EV12" s="251" t="str">
        <f t="shared" si="131"/>
        <v/>
      </c>
      <c r="EW12" s="251" t="str">
        <f t="shared" si="132"/>
        <v/>
      </c>
      <c r="EX12" s="251" t="str">
        <f t="shared" si="133"/>
        <v/>
      </c>
      <c r="EY12" s="251" t="str">
        <f t="shared" si="134"/>
        <v/>
      </c>
      <c r="EZ12" s="251" t="str">
        <f t="shared" si="135"/>
        <v/>
      </c>
      <c r="FA12" s="251" t="str">
        <f t="shared" si="136"/>
        <v/>
      </c>
      <c r="FB12" s="251" t="str">
        <f t="shared" si="137"/>
        <v/>
      </c>
      <c r="FC12" s="251" t="str">
        <f t="shared" si="138"/>
        <v/>
      </c>
      <c r="FD12" s="251" t="str">
        <f t="shared" si="139"/>
        <v/>
      </c>
      <c r="FE12" s="251" t="str">
        <f t="shared" si="140"/>
        <v/>
      </c>
      <c r="FF12" s="251" t="str">
        <f t="shared" si="141"/>
        <v/>
      </c>
      <c r="FG12" s="251" t="str">
        <f t="shared" si="142"/>
        <v/>
      </c>
      <c r="FH12" s="251" t="str">
        <f t="shared" si="143"/>
        <v/>
      </c>
      <c r="FI12" s="251" t="str">
        <f t="shared" si="144"/>
        <v/>
      </c>
      <c r="FJ12" s="251" t="str">
        <f t="shared" si="145"/>
        <v/>
      </c>
      <c r="FK12" s="251" t="str">
        <f t="shared" si="146"/>
        <v/>
      </c>
      <c r="FL12" s="251" t="str">
        <f t="shared" si="147"/>
        <v/>
      </c>
      <c r="FM12" s="251" t="str">
        <f t="shared" si="148"/>
        <v/>
      </c>
      <c r="FN12" s="251" t="str">
        <f t="shared" si="149"/>
        <v/>
      </c>
      <c r="FO12" s="251" t="str">
        <f t="shared" si="150"/>
        <v/>
      </c>
      <c r="FP12" s="251" t="str">
        <f t="shared" si="151"/>
        <v/>
      </c>
      <c r="FQ12" s="251" t="str">
        <f t="shared" si="152"/>
        <v/>
      </c>
      <c r="FR12" s="251" t="str">
        <f t="shared" si="153"/>
        <v/>
      </c>
      <c r="FS12" s="251" t="str">
        <f t="shared" si="154"/>
        <v/>
      </c>
      <c r="FT12" s="251" t="str">
        <f t="shared" si="155"/>
        <v/>
      </c>
      <c r="FU12" s="251" t="str">
        <f t="shared" si="156"/>
        <v/>
      </c>
      <c r="FV12" s="251" t="str">
        <f t="shared" si="157"/>
        <v/>
      </c>
      <c r="FW12" s="251" t="str">
        <f t="shared" si="158"/>
        <v/>
      </c>
      <c r="FX12" s="251" t="str">
        <f t="shared" si="159"/>
        <v/>
      </c>
      <c r="FY12" s="251" t="str">
        <f t="shared" si="160"/>
        <v/>
      </c>
      <c r="FZ12" s="251" t="str">
        <f t="shared" si="161"/>
        <v/>
      </c>
      <c r="GA12" s="251" t="str">
        <f t="shared" si="162"/>
        <v/>
      </c>
      <c r="GB12" s="251" t="str">
        <f t="shared" si="163"/>
        <v/>
      </c>
      <c r="GC12" s="251" t="str">
        <f t="shared" si="164"/>
        <v/>
      </c>
      <c r="GD12" s="251" t="str">
        <f t="shared" si="165"/>
        <v/>
      </c>
      <c r="GE12" s="251" t="str">
        <f t="shared" si="166"/>
        <v/>
      </c>
      <c r="GF12" s="251" t="str">
        <f t="shared" si="167"/>
        <v/>
      </c>
      <c r="GG12" s="251" t="str">
        <f t="shared" si="168"/>
        <v/>
      </c>
      <c r="GH12" s="251" t="str">
        <f t="shared" si="169"/>
        <v/>
      </c>
      <c r="GI12" s="251" t="str">
        <f t="shared" si="170"/>
        <v/>
      </c>
      <c r="GJ12" s="251" t="str">
        <f t="shared" si="171"/>
        <v/>
      </c>
      <c r="GK12" s="251" t="str">
        <f t="shared" si="172"/>
        <v/>
      </c>
      <c r="GL12" s="251" t="str">
        <f t="shared" si="173"/>
        <v/>
      </c>
      <c r="GM12" s="251" t="str">
        <f t="shared" si="174"/>
        <v/>
      </c>
      <c r="GN12" s="251" t="str">
        <f t="shared" si="175"/>
        <v/>
      </c>
      <c r="GO12" s="251" t="str">
        <f t="shared" si="176"/>
        <v/>
      </c>
      <c r="GP12" s="251" t="str">
        <f t="shared" si="177"/>
        <v/>
      </c>
      <c r="GQ12" s="251" t="str">
        <f t="shared" si="178"/>
        <v/>
      </c>
      <c r="GR12" s="251" t="str">
        <f t="shared" si="179"/>
        <v/>
      </c>
      <c r="GS12" s="251" t="str">
        <f t="shared" si="180"/>
        <v/>
      </c>
      <c r="GT12" s="251" t="str">
        <f t="shared" si="181"/>
        <v/>
      </c>
      <c r="GU12" s="251" t="str">
        <f t="shared" si="182"/>
        <v/>
      </c>
      <c r="GV12" s="251" t="str">
        <f t="shared" si="183"/>
        <v/>
      </c>
      <c r="GW12" s="251" t="str">
        <f t="shared" si="184"/>
        <v/>
      </c>
      <c r="GX12" s="251" t="str">
        <f t="shared" si="185"/>
        <v/>
      </c>
      <c r="GY12" s="251" t="str">
        <f t="shared" si="186"/>
        <v/>
      </c>
      <c r="GZ12" s="251" t="str">
        <f t="shared" si="187"/>
        <v/>
      </c>
      <c r="HA12" s="251" t="str">
        <f t="shared" si="188"/>
        <v/>
      </c>
      <c r="HB12" s="251" t="str">
        <f t="shared" si="189"/>
        <v/>
      </c>
      <c r="HC12" s="251" t="str">
        <f t="shared" si="190"/>
        <v/>
      </c>
      <c r="HD12" s="251" t="str">
        <f t="shared" si="191"/>
        <v/>
      </c>
      <c r="HE12" s="251" t="str">
        <f t="shared" si="192"/>
        <v/>
      </c>
      <c r="HF12" s="251" t="str">
        <f t="shared" si="193"/>
        <v/>
      </c>
      <c r="HG12" s="251" t="str">
        <f t="shared" si="194"/>
        <v/>
      </c>
      <c r="HH12" s="251" t="str">
        <f t="shared" si="195"/>
        <v/>
      </c>
      <c r="HI12" s="251" t="str">
        <f t="shared" si="196"/>
        <v/>
      </c>
      <c r="HJ12" s="251" t="str">
        <f t="shared" si="197"/>
        <v/>
      </c>
      <c r="HK12" s="251" t="str">
        <f t="shared" si="198"/>
        <v/>
      </c>
      <c r="HL12" s="251" t="str">
        <f t="shared" si="199"/>
        <v/>
      </c>
      <c r="HM12" s="251" t="str">
        <f t="shared" si="200"/>
        <v/>
      </c>
      <c r="HN12" s="251" t="str">
        <f t="shared" si="201"/>
        <v/>
      </c>
      <c r="HO12" s="251" t="str">
        <f t="shared" si="202"/>
        <v/>
      </c>
      <c r="HP12" s="251" t="str">
        <f t="shared" si="203"/>
        <v/>
      </c>
      <c r="HQ12" s="251" t="str">
        <f t="shared" si="204"/>
        <v/>
      </c>
      <c r="HR12" s="251" t="str">
        <f t="shared" si="205"/>
        <v/>
      </c>
      <c r="HS12" s="251" t="str">
        <f t="shared" si="206"/>
        <v/>
      </c>
      <c r="HT12" s="251" t="str">
        <f t="shared" si="207"/>
        <v/>
      </c>
      <c r="HU12" s="251" t="str">
        <f t="shared" si="208"/>
        <v/>
      </c>
      <c r="HV12" s="251" t="str">
        <f t="shared" si="209"/>
        <v/>
      </c>
      <c r="HW12" s="251" t="str">
        <f t="shared" si="210"/>
        <v/>
      </c>
      <c r="HX12" s="251" t="str">
        <f t="shared" si="211"/>
        <v/>
      </c>
      <c r="HY12" s="251" t="str">
        <f t="shared" si="212"/>
        <v/>
      </c>
      <c r="HZ12" s="251" t="str">
        <f t="shared" si="213"/>
        <v/>
      </c>
      <c r="IA12" s="251" t="str">
        <f t="shared" si="214"/>
        <v/>
      </c>
      <c r="IB12" s="251" t="str">
        <f t="shared" si="215"/>
        <v/>
      </c>
      <c r="IC12" s="251" t="str">
        <f t="shared" si="216"/>
        <v/>
      </c>
      <c r="ID12" s="251" t="str">
        <f t="shared" si="217"/>
        <v/>
      </c>
      <c r="IE12" s="251" t="str">
        <f t="shared" si="218"/>
        <v/>
      </c>
      <c r="IF12" s="251" t="str">
        <f t="shared" si="219"/>
        <v/>
      </c>
      <c r="IG12" s="251" t="str">
        <f t="shared" si="220"/>
        <v/>
      </c>
      <c r="IH12" s="251" t="str">
        <f t="shared" si="221"/>
        <v/>
      </c>
      <c r="II12" s="251" t="str">
        <f t="shared" si="222"/>
        <v/>
      </c>
      <c r="IJ12" s="251" t="str">
        <f t="shared" si="223"/>
        <v/>
      </c>
      <c r="IK12" s="251" t="str">
        <f t="shared" si="224"/>
        <v/>
      </c>
      <c r="IL12" s="251" t="str">
        <f t="shared" si="225"/>
        <v/>
      </c>
      <c r="IM12" s="251" t="str">
        <f t="shared" si="226"/>
        <v/>
      </c>
      <c r="IN12" s="251" t="str">
        <f t="shared" si="227"/>
        <v/>
      </c>
      <c r="IO12" s="251" t="str">
        <f t="shared" si="228"/>
        <v/>
      </c>
      <c r="IP12" s="251" t="str">
        <f t="shared" si="229"/>
        <v/>
      </c>
      <c r="IQ12" s="251" t="str">
        <f t="shared" si="230"/>
        <v/>
      </c>
      <c r="IR12" s="251" t="str">
        <f t="shared" si="231"/>
        <v/>
      </c>
      <c r="IS12" s="251" t="str">
        <f t="shared" si="232"/>
        <v/>
      </c>
      <c r="IT12" s="251" t="str">
        <f t="shared" si="233"/>
        <v/>
      </c>
      <c r="IU12" s="251" t="str">
        <f t="shared" si="234"/>
        <v/>
      </c>
      <c r="IV12" s="251" t="str">
        <f t="shared" si="235"/>
        <v/>
      </c>
      <c r="IW12" s="251" t="str">
        <f t="shared" si="236"/>
        <v/>
      </c>
      <c r="IX12" s="251" t="str">
        <f t="shared" si="237"/>
        <v/>
      </c>
      <c r="IY12" s="251" t="str">
        <f t="shared" si="238"/>
        <v/>
      </c>
      <c r="IZ12" s="251" t="str">
        <f t="shared" si="239"/>
        <v/>
      </c>
      <c r="JA12" s="251" t="str">
        <f t="shared" si="240"/>
        <v/>
      </c>
      <c r="JB12" s="251" t="str">
        <f t="shared" si="241"/>
        <v/>
      </c>
      <c r="JC12" s="251" t="str">
        <f t="shared" si="242"/>
        <v/>
      </c>
      <c r="JD12" s="251" t="str">
        <f t="shared" si="243"/>
        <v/>
      </c>
      <c r="JE12" s="251" t="str">
        <f t="shared" si="244"/>
        <v/>
      </c>
      <c r="JF12" s="251" t="str">
        <f t="shared" si="245"/>
        <v/>
      </c>
      <c r="JG12" s="251" t="str">
        <f t="shared" si="246"/>
        <v/>
      </c>
      <c r="JH12" s="251" t="str">
        <f t="shared" si="247"/>
        <v/>
      </c>
      <c r="JI12" s="1297" t="str">
        <f t="shared" si="248"/>
        <v/>
      </c>
      <c r="JJ12" s="1297" t="str">
        <f t="shared" si="249"/>
        <v/>
      </c>
      <c r="JK12" s="1297" t="str">
        <f t="shared" si="250"/>
        <v/>
      </c>
      <c r="JL12" s="1297" t="str">
        <f t="shared" si="251"/>
        <v/>
      </c>
      <c r="JM12" s="1297" t="str">
        <f t="shared" si="252"/>
        <v/>
      </c>
      <c r="JN12" s="1297" t="str">
        <f t="shared" si="253"/>
        <v/>
      </c>
      <c r="JO12" s="1297" t="str">
        <f t="shared" si="254"/>
        <v/>
      </c>
      <c r="JP12" s="1297" t="str">
        <f t="shared" si="255"/>
        <v/>
      </c>
      <c r="JQ12" s="1297" t="str">
        <f t="shared" si="256"/>
        <v/>
      </c>
      <c r="JR12" s="1297" t="str">
        <f t="shared" si="257"/>
        <v/>
      </c>
      <c r="JS12" s="1297" t="str">
        <f t="shared" si="258"/>
        <v/>
      </c>
      <c r="JT12" s="1297" t="str">
        <f t="shared" si="259"/>
        <v/>
      </c>
      <c r="JU12" s="1297" t="str">
        <f t="shared" si="260"/>
        <v/>
      </c>
      <c r="JV12" s="1297" t="str">
        <f t="shared" si="261"/>
        <v/>
      </c>
      <c r="JW12" s="1297" t="str">
        <f t="shared" si="262"/>
        <v/>
      </c>
      <c r="JX12" s="1297" t="str">
        <f t="shared" si="263"/>
        <v/>
      </c>
      <c r="JY12" s="1297" t="str">
        <f t="shared" si="264"/>
        <v/>
      </c>
      <c r="JZ12" s="1297" t="str">
        <f t="shared" si="265"/>
        <v/>
      </c>
      <c r="KA12" s="1297" t="str">
        <f t="shared" si="266"/>
        <v/>
      </c>
      <c r="KB12" s="1297" t="str">
        <f t="shared" si="267"/>
        <v/>
      </c>
      <c r="KC12" s="1297" t="str">
        <f t="shared" si="268"/>
        <v/>
      </c>
      <c r="KD12" s="1297" t="str">
        <f t="shared" si="269"/>
        <v/>
      </c>
      <c r="KE12" s="1297" t="str">
        <f t="shared" si="270"/>
        <v/>
      </c>
      <c r="KF12" s="1297" t="str">
        <f t="shared" si="271"/>
        <v/>
      </c>
      <c r="KG12" s="1297" t="str">
        <f t="shared" si="272"/>
        <v/>
      </c>
      <c r="KH12" s="1297" t="str">
        <f t="shared" si="273"/>
        <v/>
      </c>
      <c r="KI12" s="1297" t="str">
        <f t="shared" si="274"/>
        <v/>
      </c>
      <c r="KJ12" s="1297" t="str">
        <f t="shared" si="275"/>
        <v/>
      </c>
      <c r="KK12" s="1297" t="str">
        <f t="shared" si="276"/>
        <v/>
      </c>
      <c r="KL12" s="1297" t="str">
        <f t="shared" si="277"/>
        <v/>
      </c>
      <c r="KM12" s="1297" t="str">
        <f t="shared" si="278"/>
        <v/>
      </c>
      <c r="KN12" s="1297" t="str">
        <f t="shared" si="279"/>
        <v/>
      </c>
      <c r="KO12" s="1297" t="str">
        <f t="shared" si="280"/>
        <v/>
      </c>
      <c r="KP12" s="1297" t="str">
        <f t="shared" si="281"/>
        <v/>
      </c>
      <c r="KQ12" s="1297" t="str">
        <f t="shared" si="282"/>
        <v/>
      </c>
      <c r="KR12" s="1297" t="str">
        <f t="shared" si="283"/>
        <v/>
      </c>
      <c r="KS12" s="1297" t="str">
        <f t="shared" si="284"/>
        <v/>
      </c>
      <c r="KT12" s="1297" t="str">
        <f t="shared" si="285"/>
        <v/>
      </c>
      <c r="KU12" s="1297" t="str">
        <f t="shared" si="286"/>
        <v/>
      </c>
      <c r="KV12" s="1297" t="str">
        <f t="shared" si="287"/>
        <v/>
      </c>
      <c r="KW12" s="1297" t="str">
        <f t="shared" si="288"/>
        <v/>
      </c>
      <c r="KX12" s="1297" t="str">
        <f t="shared" si="289"/>
        <v/>
      </c>
      <c r="KY12" s="1297" t="str">
        <f t="shared" si="290"/>
        <v/>
      </c>
      <c r="KZ12" s="1297" t="str">
        <f t="shared" si="291"/>
        <v/>
      </c>
      <c r="LA12" s="1297" t="str">
        <f t="shared" si="292"/>
        <v/>
      </c>
      <c r="LB12" s="1297" t="str">
        <f t="shared" si="293"/>
        <v/>
      </c>
      <c r="LC12" s="1297" t="str">
        <f t="shared" si="294"/>
        <v/>
      </c>
      <c r="LD12" s="1297" t="str">
        <f t="shared" si="295"/>
        <v/>
      </c>
      <c r="LE12" s="1297" t="str">
        <f t="shared" si="296"/>
        <v/>
      </c>
      <c r="LF12" s="1297" t="str">
        <f t="shared" si="297"/>
        <v/>
      </c>
      <c r="LG12" s="1297" t="str">
        <f t="shared" si="298"/>
        <v/>
      </c>
      <c r="LH12" s="1297" t="str">
        <f t="shared" si="299"/>
        <v/>
      </c>
      <c r="LI12" s="1297" t="str">
        <f t="shared" si="300"/>
        <v/>
      </c>
      <c r="LJ12" s="1297" t="str">
        <f t="shared" si="301"/>
        <v/>
      </c>
      <c r="LK12" s="1297" t="str">
        <f t="shared" si="302"/>
        <v/>
      </c>
      <c r="LL12" s="1297" t="str">
        <f t="shared" si="303"/>
        <v/>
      </c>
      <c r="LM12" s="1297" t="str">
        <f t="shared" si="304"/>
        <v/>
      </c>
      <c r="LN12" s="1297" t="str">
        <f t="shared" si="305"/>
        <v/>
      </c>
      <c r="LO12" s="1297" t="str">
        <f t="shared" si="306"/>
        <v/>
      </c>
      <c r="LP12" s="1297" t="str">
        <f t="shared" si="307"/>
        <v/>
      </c>
      <c r="LQ12" s="1297" t="str">
        <f t="shared" si="308"/>
        <v/>
      </c>
      <c r="LR12" s="1297" t="str">
        <f t="shared" si="309"/>
        <v/>
      </c>
      <c r="LS12" s="1297" t="str">
        <f t="shared" si="310"/>
        <v/>
      </c>
      <c r="LT12" s="1297" t="str">
        <f t="shared" si="311"/>
        <v/>
      </c>
      <c r="LU12" s="1297" t="str">
        <f t="shared" si="312"/>
        <v/>
      </c>
      <c r="LV12" s="1297" t="str">
        <f t="shared" si="313"/>
        <v/>
      </c>
      <c r="LW12" s="1297" t="str">
        <f t="shared" si="314"/>
        <v/>
      </c>
      <c r="LX12" s="1297" t="str">
        <f t="shared" si="315"/>
        <v/>
      </c>
      <c r="LY12" s="1297" t="str">
        <f t="shared" si="316"/>
        <v/>
      </c>
      <c r="LZ12" s="1297" t="str">
        <f t="shared" si="317"/>
        <v/>
      </c>
      <c r="MA12" s="1297" t="str">
        <f t="shared" si="318"/>
        <v/>
      </c>
      <c r="MB12" s="1297" t="str">
        <f t="shared" si="319"/>
        <v/>
      </c>
      <c r="MC12" s="1297" t="str">
        <f t="shared" si="320"/>
        <v/>
      </c>
      <c r="MD12" s="1297" t="str">
        <f t="shared" si="321"/>
        <v/>
      </c>
      <c r="ME12" s="1297" t="str">
        <f t="shared" si="322"/>
        <v/>
      </c>
      <c r="MF12" s="1297" t="str">
        <f t="shared" si="323"/>
        <v/>
      </c>
      <c r="MG12" s="1297" t="str">
        <f t="shared" si="324"/>
        <v/>
      </c>
      <c r="MH12" s="1297" t="str">
        <f t="shared" si="325"/>
        <v/>
      </c>
      <c r="MI12" s="1297" t="str">
        <f t="shared" si="326"/>
        <v/>
      </c>
      <c r="MJ12" s="1297" t="str">
        <f t="shared" si="327"/>
        <v/>
      </c>
      <c r="MK12" s="1297" t="str">
        <f t="shared" si="328"/>
        <v/>
      </c>
      <c r="ML12" s="1297" t="str">
        <f t="shared" si="329"/>
        <v/>
      </c>
      <c r="MM12" s="1297" t="str">
        <f t="shared" si="330"/>
        <v/>
      </c>
      <c r="MN12" s="1297" t="str">
        <f t="shared" si="331"/>
        <v/>
      </c>
      <c r="MO12" s="1297" t="str">
        <f t="shared" si="332"/>
        <v/>
      </c>
      <c r="MP12" s="1773" t="str">
        <f t="shared" si="333"/>
        <v/>
      </c>
      <c r="MQ12" s="1773" t="str">
        <f t="shared" si="334"/>
        <v/>
      </c>
      <c r="MR12" s="1773" t="str">
        <f t="shared" si="335"/>
        <v/>
      </c>
      <c r="MS12" s="1773" t="str">
        <f t="shared" si="336"/>
        <v/>
      </c>
      <c r="MT12" s="1773" t="str">
        <f t="shared" si="337"/>
        <v/>
      </c>
      <c r="MU12" s="251" t="str">
        <f t="shared" si="338"/>
        <v/>
      </c>
      <c r="MV12" s="251" t="str">
        <f t="shared" si="339"/>
        <v/>
      </c>
      <c r="MW12" s="251" t="str">
        <f t="shared" si="340"/>
        <v/>
      </c>
      <c r="MX12" s="251" t="str">
        <f t="shared" si="341"/>
        <v/>
      </c>
      <c r="MY12" s="251" t="str">
        <f t="shared" si="342"/>
        <v/>
      </c>
      <c r="MZ12" s="251" t="str">
        <f t="shared" si="343"/>
        <v/>
      </c>
      <c r="NA12" s="251" t="str">
        <f t="shared" si="344"/>
        <v/>
      </c>
      <c r="NB12" s="251" t="str">
        <f t="shared" si="345"/>
        <v/>
      </c>
      <c r="NC12" s="251" t="str">
        <f t="shared" si="346"/>
        <v/>
      </c>
      <c r="ND12" s="251" t="str">
        <f t="shared" si="347"/>
        <v/>
      </c>
      <c r="NE12" s="251" t="str">
        <f t="shared" si="348"/>
        <v/>
      </c>
      <c r="NF12" s="251" t="str">
        <f t="shared" si="349"/>
        <v/>
      </c>
      <c r="NG12" s="251" t="str">
        <f t="shared" si="350"/>
        <v/>
      </c>
      <c r="NH12" s="251" t="str">
        <f t="shared" si="351"/>
        <v/>
      </c>
      <c r="NI12" s="251" t="str">
        <f t="shared" si="352"/>
        <v/>
      </c>
      <c r="NJ12" s="251" t="str">
        <f t="shared" si="353"/>
        <v/>
      </c>
      <c r="NK12" s="251" t="str">
        <f t="shared" si="354"/>
        <v/>
      </c>
      <c r="NL12" s="251" t="str">
        <f t="shared" si="355"/>
        <v/>
      </c>
      <c r="NM12" s="251" t="str">
        <f t="shared" si="356"/>
        <v/>
      </c>
      <c r="NN12" s="251" t="str">
        <f t="shared" si="357"/>
        <v/>
      </c>
      <c r="NO12" s="1185">
        <f t="shared" si="358"/>
        <v>0</v>
      </c>
      <c r="NP12" s="1185">
        <f t="shared" si="359"/>
        <v>0</v>
      </c>
      <c r="NQ12" s="1185">
        <f t="shared" si="360"/>
        <v>0</v>
      </c>
      <c r="NR12" s="1185">
        <f t="shared" si="361"/>
        <v>0</v>
      </c>
      <c r="NS12" s="1185">
        <f t="shared" si="362"/>
        <v>0</v>
      </c>
      <c r="NT12" s="1185">
        <f t="shared" ref="NT12:NT57" si="368">IF(AND($C12="Efficiency",$E12&gt;0,OR($O12="Low-Rise Apt",$O12="Low-Rise Elevator",$O12="High-Rise Apt",$O12="High-Rise Elevator",$O12="Row House/TH"),$P12="New Construction"),$E12,0)</f>
        <v>0</v>
      </c>
      <c r="NU12" s="1185">
        <f t="shared" ref="NU12:NU57" si="369">IF(AND($C12=1,$E12&gt;0,OR($O12="Low-Rise Apt",$O12="Low-Rise Elevator",$O12="High-Rise Apt",$O12="High-Rise Elevator",$O12="Row House/TH"),$P12="New Construction"),$E12,0)</f>
        <v>0</v>
      </c>
      <c r="NV12" s="1185">
        <f t="shared" ref="NV12:NV57" si="370">IF(AND($C12=2,$E12&gt;0,OR($O12="Low-Rise Apt",$O12="Low-Rise Elevator",$O12="High-Rise Apt",$O12="High-Rise Elevator",$O12="Row House/TH"),$P12="New Construction"),$E12,0)</f>
        <v>0</v>
      </c>
      <c r="NW12" s="1185">
        <f t="shared" ref="NW12:NW57" si="371">IF(AND($C12=3,$E12&gt;0,OR($O12="Low-Rise Apt",$O12="Low-Rise Elevator",$O12="High-Rise Apt",$O12="High-Rise Elevator",$O12="Row House/TH"),$P12="New Construction"),$E12,0)</f>
        <v>0</v>
      </c>
      <c r="NX12" s="1185">
        <f t="shared" ref="NX12:NX57" si="372">IF(AND($C12=4,$E12&gt;0,OR($O12="Low-Rise Apt",$O12="Low-Rise Elevator",$O12="High-Rise Apt",$O12="High-Rise Elevator",$O12="Row House/TH"),$P12="New Construction"),$E12,0)</f>
        <v>0</v>
      </c>
      <c r="NY12" s="1185">
        <f t="shared" si="363"/>
        <v>0</v>
      </c>
      <c r="NZ12" s="1185">
        <f t="shared" si="364"/>
        <v>0</v>
      </c>
      <c r="OA12" s="1185">
        <f t="shared" si="365"/>
        <v>0</v>
      </c>
      <c r="OB12" s="1185">
        <f t="shared" si="366"/>
        <v>0</v>
      </c>
      <c r="OC12" s="1185">
        <f t="shared" si="367"/>
        <v>0</v>
      </c>
      <c r="OY12" s="1794" t="s">
        <v>1159</v>
      </c>
      <c r="OZ12" s="1799">
        <v>12</v>
      </c>
    </row>
    <row r="13" spans="1:528" ht="12" customHeight="1">
      <c r="A13" s="53" t="str">
        <f t="shared" si="0"/>
        <v/>
      </c>
      <c r="B13" s="754" t="s">
        <v>1160</v>
      </c>
      <c r="C13" s="85"/>
      <c r="D13" s="1187"/>
      <c r="E13" s="86"/>
      <c r="F13" s="86"/>
      <c r="G13" s="86"/>
      <c r="H13" s="86"/>
      <c r="I13" s="86"/>
      <c r="J13" s="967"/>
      <c r="K13" s="473"/>
      <c r="L13" s="330">
        <f t="shared" si="1"/>
        <v>0</v>
      </c>
      <c r="M13" s="330">
        <f t="shared" si="2"/>
        <v>0</v>
      </c>
      <c r="N13" s="506"/>
      <c r="O13" s="1134"/>
      <c r="P13" s="506"/>
      <c r="Q13" s="87"/>
      <c r="R13" s="540"/>
      <c r="S13" s="541"/>
      <c r="T13" s="3758"/>
      <c r="U13" s="3759"/>
      <c r="V13" s="3759"/>
      <c r="W13" s="3760"/>
      <c r="X13" s="251" t="str">
        <f t="shared" si="3"/>
        <v/>
      </c>
      <c r="Y13" s="251" t="str">
        <f t="shared" si="4"/>
        <v/>
      </c>
      <c r="Z13" s="251" t="str">
        <f t="shared" si="5"/>
        <v/>
      </c>
      <c r="AA13" s="251" t="str">
        <f t="shared" si="6"/>
        <v/>
      </c>
      <c r="AB13" s="251" t="str">
        <f t="shared" si="7"/>
        <v/>
      </c>
      <c r="AC13" s="251" t="str">
        <f t="shared" si="8"/>
        <v/>
      </c>
      <c r="AD13" s="251" t="str">
        <f t="shared" si="9"/>
        <v/>
      </c>
      <c r="AE13" s="251" t="str">
        <f t="shared" si="10"/>
        <v/>
      </c>
      <c r="AF13" s="251" t="str">
        <f t="shared" si="11"/>
        <v/>
      </c>
      <c r="AG13" s="251" t="str">
        <f t="shared" si="12"/>
        <v/>
      </c>
      <c r="AH13" s="251" t="str">
        <f t="shared" si="13"/>
        <v/>
      </c>
      <c r="AI13" s="251" t="str">
        <f t="shared" si="14"/>
        <v/>
      </c>
      <c r="AJ13" s="251" t="str">
        <f t="shared" si="15"/>
        <v/>
      </c>
      <c r="AK13" s="251" t="str">
        <f t="shared" si="16"/>
        <v/>
      </c>
      <c r="AL13" s="251" t="str">
        <f t="shared" si="17"/>
        <v/>
      </c>
      <c r="AM13" s="251" t="str">
        <f t="shared" si="18"/>
        <v/>
      </c>
      <c r="AN13" s="251" t="str">
        <f t="shared" si="19"/>
        <v/>
      </c>
      <c r="AO13" s="251" t="str">
        <f t="shared" si="20"/>
        <v/>
      </c>
      <c r="AP13" s="251" t="str">
        <f t="shared" si="21"/>
        <v/>
      </c>
      <c r="AQ13" s="251" t="str">
        <f t="shared" si="22"/>
        <v/>
      </c>
      <c r="AR13" s="251" t="str">
        <f t="shared" si="23"/>
        <v/>
      </c>
      <c r="AS13" s="251" t="str">
        <f t="shared" si="24"/>
        <v/>
      </c>
      <c r="AT13" s="251" t="str">
        <f t="shared" si="25"/>
        <v/>
      </c>
      <c r="AU13" s="251" t="str">
        <f t="shared" si="26"/>
        <v/>
      </c>
      <c r="AV13" s="251" t="str">
        <f t="shared" si="27"/>
        <v/>
      </c>
      <c r="AW13" s="251" t="str">
        <f t="shared" si="28"/>
        <v/>
      </c>
      <c r="AX13" s="251" t="str">
        <f t="shared" si="29"/>
        <v/>
      </c>
      <c r="AY13" s="251" t="str">
        <f t="shared" si="30"/>
        <v/>
      </c>
      <c r="AZ13" s="251" t="str">
        <f t="shared" si="31"/>
        <v/>
      </c>
      <c r="BA13" s="251" t="str">
        <f t="shared" si="32"/>
        <v/>
      </c>
      <c r="BB13" s="251" t="str">
        <f t="shared" si="33"/>
        <v/>
      </c>
      <c r="BC13" s="251" t="str">
        <f t="shared" si="34"/>
        <v/>
      </c>
      <c r="BD13" s="251" t="str">
        <f t="shared" si="35"/>
        <v/>
      </c>
      <c r="BE13" s="251" t="str">
        <f t="shared" si="36"/>
        <v/>
      </c>
      <c r="BF13" s="251" t="str">
        <f t="shared" si="37"/>
        <v/>
      </c>
      <c r="BG13" s="251" t="str">
        <f t="shared" si="38"/>
        <v/>
      </c>
      <c r="BH13" s="251" t="str">
        <f t="shared" si="39"/>
        <v/>
      </c>
      <c r="BI13" s="251" t="str">
        <f t="shared" si="40"/>
        <v/>
      </c>
      <c r="BJ13" s="251" t="str">
        <f t="shared" si="41"/>
        <v/>
      </c>
      <c r="BK13" s="251" t="str">
        <f t="shared" si="42"/>
        <v/>
      </c>
      <c r="BL13" s="251" t="str">
        <f t="shared" si="43"/>
        <v/>
      </c>
      <c r="BM13" s="251" t="str">
        <f t="shared" si="44"/>
        <v/>
      </c>
      <c r="BN13" s="251" t="str">
        <f t="shared" si="45"/>
        <v/>
      </c>
      <c r="BO13" s="251" t="str">
        <f t="shared" si="46"/>
        <v/>
      </c>
      <c r="BP13" s="251" t="str">
        <f t="shared" si="47"/>
        <v/>
      </c>
      <c r="BQ13" s="251" t="str">
        <f t="shared" si="48"/>
        <v/>
      </c>
      <c r="BR13" s="251" t="str">
        <f t="shared" si="49"/>
        <v/>
      </c>
      <c r="BS13" s="251" t="str">
        <f t="shared" si="50"/>
        <v/>
      </c>
      <c r="BT13" s="251" t="str">
        <f t="shared" si="51"/>
        <v/>
      </c>
      <c r="BU13" s="251" t="str">
        <f t="shared" si="52"/>
        <v/>
      </c>
      <c r="BV13" s="251" t="str">
        <f t="shared" si="53"/>
        <v/>
      </c>
      <c r="BW13" s="251" t="str">
        <f t="shared" si="54"/>
        <v/>
      </c>
      <c r="BX13" s="251" t="str">
        <f t="shared" si="55"/>
        <v/>
      </c>
      <c r="BY13" s="251" t="str">
        <f t="shared" si="56"/>
        <v/>
      </c>
      <c r="BZ13" s="251" t="str">
        <f t="shared" si="57"/>
        <v/>
      </c>
      <c r="CA13" s="251" t="str">
        <f t="shared" si="58"/>
        <v/>
      </c>
      <c r="CB13" s="251" t="str">
        <f t="shared" si="59"/>
        <v/>
      </c>
      <c r="CC13" s="251" t="str">
        <f t="shared" si="60"/>
        <v/>
      </c>
      <c r="CD13" s="251" t="str">
        <f t="shared" si="61"/>
        <v/>
      </c>
      <c r="CE13" s="251" t="str">
        <f t="shared" si="62"/>
        <v/>
      </c>
      <c r="CF13" s="251" t="str">
        <f t="shared" si="63"/>
        <v/>
      </c>
      <c r="CG13" s="251" t="str">
        <f t="shared" si="64"/>
        <v/>
      </c>
      <c r="CH13" s="251" t="str">
        <f t="shared" si="65"/>
        <v/>
      </c>
      <c r="CI13" s="251" t="str">
        <f t="shared" si="66"/>
        <v/>
      </c>
      <c r="CJ13" s="251" t="str">
        <f t="shared" si="67"/>
        <v/>
      </c>
      <c r="CK13" s="251" t="str">
        <f t="shared" si="68"/>
        <v/>
      </c>
      <c r="CL13" s="251" t="str">
        <f t="shared" si="69"/>
        <v/>
      </c>
      <c r="CM13" s="251" t="str">
        <f t="shared" si="70"/>
        <v/>
      </c>
      <c r="CN13" s="251" t="str">
        <f t="shared" si="71"/>
        <v/>
      </c>
      <c r="CO13" s="251" t="str">
        <f t="shared" si="72"/>
        <v/>
      </c>
      <c r="CP13" s="251" t="str">
        <f t="shared" si="73"/>
        <v/>
      </c>
      <c r="CQ13" s="251" t="str">
        <f t="shared" si="74"/>
        <v/>
      </c>
      <c r="CR13" s="251" t="str">
        <f t="shared" si="75"/>
        <v/>
      </c>
      <c r="CS13" s="251" t="str">
        <f t="shared" si="76"/>
        <v/>
      </c>
      <c r="CT13" s="251" t="str">
        <f t="shared" si="77"/>
        <v/>
      </c>
      <c r="CU13" s="251" t="str">
        <f t="shared" si="78"/>
        <v/>
      </c>
      <c r="CV13" s="251" t="str">
        <f t="shared" si="79"/>
        <v/>
      </c>
      <c r="CW13" s="251" t="str">
        <f t="shared" si="80"/>
        <v/>
      </c>
      <c r="CX13" s="251" t="str">
        <f t="shared" si="81"/>
        <v/>
      </c>
      <c r="CY13" s="251" t="str">
        <f t="shared" si="82"/>
        <v/>
      </c>
      <c r="CZ13" s="251" t="str">
        <f t="shared" si="83"/>
        <v/>
      </c>
      <c r="DA13" s="251" t="str">
        <f t="shared" si="84"/>
        <v/>
      </c>
      <c r="DB13" s="251" t="str">
        <f t="shared" si="85"/>
        <v/>
      </c>
      <c r="DC13" s="251" t="str">
        <f t="shared" si="86"/>
        <v/>
      </c>
      <c r="DD13" s="251" t="str">
        <f t="shared" si="87"/>
        <v/>
      </c>
      <c r="DE13" s="251" t="str">
        <f t="shared" si="88"/>
        <v/>
      </c>
      <c r="DF13" s="251" t="str">
        <f t="shared" si="89"/>
        <v/>
      </c>
      <c r="DG13" s="251" t="str">
        <f t="shared" si="90"/>
        <v/>
      </c>
      <c r="DH13" s="251" t="str">
        <f t="shared" si="91"/>
        <v/>
      </c>
      <c r="DI13" s="251" t="str">
        <f t="shared" si="92"/>
        <v/>
      </c>
      <c r="DJ13" s="251" t="str">
        <f t="shared" si="93"/>
        <v/>
      </c>
      <c r="DK13" s="251" t="str">
        <f t="shared" si="94"/>
        <v/>
      </c>
      <c r="DL13" s="251" t="str">
        <f t="shared" si="95"/>
        <v/>
      </c>
      <c r="DM13" s="251" t="str">
        <f t="shared" si="96"/>
        <v/>
      </c>
      <c r="DN13" s="251" t="str">
        <f t="shared" si="97"/>
        <v/>
      </c>
      <c r="DO13" s="251" t="str">
        <f t="shared" si="98"/>
        <v/>
      </c>
      <c r="DP13" s="251" t="str">
        <f t="shared" si="99"/>
        <v/>
      </c>
      <c r="DQ13" s="251" t="str">
        <f t="shared" si="100"/>
        <v/>
      </c>
      <c r="DR13" s="251" t="str">
        <f t="shared" si="101"/>
        <v/>
      </c>
      <c r="DS13" s="251" t="str">
        <f t="shared" si="102"/>
        <v/>
      </c>
      <c r="DT13" s="251" t="str">
        <f t="shared" si="103"/>
        <v/>
      </c>
      <c r="DU13" s="251" t="str">
        <f t="shared" si="104"/>
        <v/>
      </c>
      <c r="DV13" s="251" t="str">
        <f t="shared" si="105"/>
        <v/>
      </c>
      <c r="DW13" s="251" t="str">
        <f t="shared" si="106"/>
        <v/>
      </c>
      <c r="DX13" s="251" t="str">
        <f t="shared" si="107"/>
        <v/>
      </c>
      <c r="DY13" s="251" t="str">
        <f t="shared" si="108"/>
        <v/>
      </c>
      <c r="DZ13" s="251" t="str">
        <f t="shared" si="109"/>
        <v/>
      </c>
      <c r="EA13" s="251" t="str">
        <f t="shared" si="110"/>
        <v/>
      </c>
      <c r="EB13" s="251" t="str">
        <f t="shared" si="111"/>
        <v/>
      </c>
      <c r="EC13" s="251" t="str">
        <f t="shared" si="112"/>
        <v/>
      </c>
      <c r="ED13" s="251" t="str">
        <f t="shared" si="113"/>
        <v/>
      </c>
      <c r="EE13" s="251" t="str">
        <f t="shared" si="114"/>
        <v/>
      </c>
      <c r="EF13" s="251" t="str">
        <f t="shared" si="115"/>
        <v/>
      </c>
      <c r="EG13" s="251" t="str">
        <f t="shared" si="116"/>
        <v/>
      </c>
      <c r="EH13" s="251" t="str">
        <f t="shared" si="117"/>
        <v/>
      </c>
      <c r="EI13" s="251" t="str">
        <f t="shared" si="118"/>
        <v/>
      </c>
      <c r="EJ13" s="251" t="str">
        <f t="shared" si="119"/>
        <v/>
      </c>
      <c r="EK13" s="251" t="str">
        <f t="shared" si="120"/>
        <v/>
      </c>
      <c r="EL13" s="251" t="str">
        <f t="shared" si="121"/>
        <v/>
      </c>
      <c r="EM13" s="251" t="str">
        <f t="shared" si="122"/>
        <v/>
      </c>
      <c r="EN13" s="251" t="str">
        <f t="shared" si="123"/>
        <v/>
      </c>
      <c r="EO13" s="251" t="str">
        <f t="shared" si="124"/>
        <v/>
      </c>
      <c r="EP13" s="251" t="str">
        <f t="shared" si="125"/>
        <v/>
      </c>
      <c r="EQ13" s="251" t="str">
        <f t="shared" si="126"/>
        <v/>
      </c>
      <c r="ER13" s="251" t="str">
        <f t="shared" si="127"/>
        <v/>
      </c>
      <c r="ES13" s="251" t="str">
        <f t="shared" si="128"/>
        <v/>
      </c>
      <c r="ET13" s="251" t="str">
        <f t="shared" si="129"/>
        <v/>
      </c>
      <c r="EU13" s="251" t="str">
        <f t="shared" si="130"/>
        <v/>
      </c>
      <c r="EV13" s="251" t="str">
        <f t="shared" si="131"/>
        <v/>
      </c>
      <c r="EW13" s="251" t="str">
        <f t="shared" si="132"/>
        <v/>
      </c>
      <c r="EX13" s="251" t="str">
        <f t="shared" si="133"/>
        <v/>
      </c>
      <c r="EY13" s="251" t="str">
        <f t="shared" si="134"/>
        <v/>
      </c>
      <c r="EZ13" s="251" t="str">
        <f t="shared" si="135"/>
        <v/>
      </c>
      <c r="FA13" s="251" t="str">
        <f t="shared" si="136"/>
        <v/>
      </c>
      <c r="FB13" s="251" t="str">
        <f t="shared" si="137"/>
        <v/>
      </c>
      <c r="FC13" s="251" t="str">
        <f t="shared" si="138"/>
        <v/>
      </c>
      <c r="FD13" s="251" t="str">
        <f t="shared" si="139"/>
        <v/>
      </c>
      <c r="FE13" s="251" t="str">
        <f t="shared" si="140"/>
        <v/>
      </c>
      <c r="FF13" s="251" t="str">
        <f t="shared" si="141"/>
        <v/>
      </c>
      <c r="FG13" s="251" t="str">
        <f t="shared" si="142"/>
        <v/>
      </c>
      <c r="FH13" s="251" t="str">
        <f t="shared" si="143"/>
        <v/>
      </c>
      <c r="FI13" s="251" t="str">
        <f t="shared" si="144"/>
        <v/>
      </c>
      <c r="FJ13" s="251" t="str">
        <f t="shared" si="145"/>
        <v/>
      </c>
      <c r="FK13" s="251" t="str">
        <f t="shared" si="146"/>
        <v/>
      </c>
      <c r="FL13" s="251" t="str">
        <f t="shared" si="147"/>
        <v/>
      </c>
      <c r="FM13" s="251" t="str">
        <f t="shared" si="148"/>
        <v/>
      </c>
      <c r="FN13" s="251" t="str">
        <f t="shared" si="149"/>
        <v/>
      </c>
      <c r="FO13" s="251" t="str">
        <f t="shared" si="150"/>
        <v/>
      </c>
      <c r="FP13" s="251" t="str">
        <f t="shared" si="151"/>
        <v/>
      </c>
      <c r="FQ13" s="251" t="str">
        <f t="shared" si="152"/>
        <v/>
      </c>
      <c r="FR13" s="251" t="str">
        <f t="shared" si="153"/>
        <v/>
      </c>
      <c r="FS13" s="251" t="str">
        <f t="shared" si="154"/>
        <v/>
      </c>
      <c r="FT13" s="251" t="str">
        <f t="shared" si="155"/>
        <v/>
      </c>
      <c r="FU13" s="251" t="str">
        <f t="shared" si="156"/>
        <v/>
      </c>
      <c r="FV13" s="251" t="str">
        <f t="shared" si="157"/>
        <v/>
      </c>
      <c r="FW13" s="251" t="str">
        <f t="shared" si="158"/>
        <v/>
      </c>
      <c r="FX13" s="251" t="str">
        <f t="shared" si="159"/>
        <v/>
      </c>
      <c r="FY13" s="251" t="str">
        <f t="shared" si="160"/>
        <v/>
      </c>
      <c r="FZ13" s="251" t="str">
        <f t="shared" si="161"/>
        <v/>
      </c>
      <c r="GA13" s="251" t="str">
        <f t="shared" si="162"/>
        <v/>
      </c>
      <c r="GB13" s="251" t="str">
        <f t="shared" si="163"/>
        <v/>
      </c>
      <c r="GC13" s="251" t="str">
        <f t="shared" si="164"/>
        <v/>
      </c>
      <c r="GD13" s="251" t="str">
        <f t="shared" si="165"/>
        <v/>
      </c>
      <c r="GE13" s="251" t="str">
        <f t="shared" si="166"/>
        <v/>
      </c>
      <c r="GF13" s="251" t="str">
        <f t="shared" si="167"/>
        <v/>
      </c>
      <c r="GG13" s="251" t="str">
        <f t="shared" si="168"/>
        <v/>
      </c>
      <c r="GH13" s="251" t="str">
        <f t="shared" si="169"/>
        <v/>
      </c>
      <c r="GI13" s="251" t="str">
        <f t="shared" si="170"/>
        <v/>
      </c>
      <c r="GJ13" s="251" t="str">
        <f t="shared" si="171"/>
        <v/>
      </c>
      <c r="GK13" s="251" t="str">
        <f t="shared" si="172"/>
        <v/>
      </c>
      <c r="GL13" s="251" t="str">
        <f t="shared" si="173"/>
        <v/>
      </c>
      <c r="GM13" s="251" t="str">
        <f t="shared" si="174"/>
        <v/>
      </c>
      <c r="GN13" s="251" t="str">
        <f t="shared" si="175"/>
        <v/>
      </c>
      <c r="GO13" s="251" t="str">
        <f t="shared" si="176"/>
        <v/>
      </c>
      <c r="GP13" s="251" t="str">
        <f t="shared" si="177"/>
        <v/>
      </c>
      <c r="GQ13" s="251" t="str">
        <f t="shared" si="178"/>
        <v/>
      </c>
      <c r="GR13" s="251" t="str">
        <f t="shared" si="179"/>
        <v/>
      </c>
      <c r="GS13" s="251" t="str">
        <f t="shared" si="180"/>
        <v/>
      </c>
      <c r="GT13" s="251" t="str">
        <f t="shared" si="181"/>
        <v/>
      </c>
      <c r="GU13" s="251" t="str">
        <f t="shared" si="182"/>
        <v/>
      </c>
      <c r="GV13" s="251" t="str">
        <f t="shared" si="183"/>
        <v/>
      </c>
      <c r="GW13" s="251" t="str">
        <f t="shared" si="184"/>
        <v/>
      </c>
      <c r="GX13" s="251" t="str">
        <f t="shared" si="185"/>
        <v/>
      </c>
      <c r="GY13" s="251" t="str">
        <f t="shared" si="186"/>
        <v/>
      </c>
      <c r="GZ13" s="251" t="str">
        <f t="shared" si="187"/>
        <v/>
      </c>
      <c r="HA13" s="251" t="str">
        <f t="shared" si="188"/>
        <v/>
      </c>
      <c r="HB13" s="251" t="str">
        <f t="shared" si="189"/>
        <v/>
      </c>
      <c r="HC13" s="251" t="str">
        <f t="shared" si="190"/>
        <v/>
      </c>
      <c r="HD13" s="251" t="str">
        <f t="shared" si="191"/>
        <v/>
      </c>
      <c r="HE13" s="251" t="str">
        <f t="shared" si="192"/>
        <v/>
      </c>
      <c r="HF13" s="251" t="str">
        <f t="shared" si="193"/>
        <v/>
      </c>
      <c r="HG13" s="251" t="str">
        <f t="shared" si="194"/>
        <v/>
      </c>
      <c r="HH13" s="251" t="str">
        <f t="shared" si="195"/>
        <v/>
      </c>
      <c r="HI13" s="251" t="str">
        <f t="shared" si="196"/>
        <v/>
      </c>
      <c r="HJ13" s="251" t="str">
        <f t="shared" si="197"/>
        <v/>
      </c>
      <c r="HK13" s="251" t="str">
        <f t="shared" si="198"/>
        <v/>
      </c>
      <c r="HL13" s="251" t="str">
        <f t="shared" si="199"/>
        <v/>
      </c>
      <c r="HM13" s="251" t="str">
        <f t="shared" si="200"/>
        <v/>
      </c>
      <c r="HN13" s="251" t="str">
        <f t="shared" si="201"/>
        <v/>
      </c>
      <c r="HO13" s="251" t="str">
        <f t="shared" si="202"/>
        <v/>
      </c>
      <c r="HP13" s="251" t="str">
        <f t="shared" si="203"/>
        <v/>
      </c>
      <c r="HQ13" s="251" t="str">
        <f t="shared" si="204"/>
        <v/>
      </c>
      <c r="HR13" s="251" t="str">
        <f t="shared" si="205"/>
        <v/>
      </c>
      <c r="HS13" s="251" t="str">
        <f t="shared" si="206"/>
        <v/>
      </c>
      <c r="HT13" s="251" t="str">
        <f t="shared" si="207"/>
        <v/>
      </c>
      <c r="HU13" s="251" t="str">
        <f t="shared" si="208"/>
        <v/>
      </c>
      <c r="HV13" s="251" t="str">
        <f t="shared" si="209"/>
        <v/>
      </c>
      <c r="HW13" s="251" t="str">
        <f t="shared" si="210"/>
        <v/>
      </c>
      <c r="HX13" s="251" t="str">
        <f t="shared" si="211"/>
        <v/>
      </c>
      <c r="HY13" s="251" t="str">
        <f t="shared" si="212"/>
        <v/>
      </c>
      <c r="HZ13" s="251" t="str">
        <f t="shared" si="213"/>
        <v/>
      </c>
      <c r="IA13" s="251" t="str">
        <f t="shared" si="214"/>
        <v/>
      </c>
      <c r="IB13" s="251" t="str">
        <f t="shared" si="215"/>
        <v/>
      </c>
      <c r="IC13" s="251" t="str">
        <f t="shared" si="216"/>
        <v/>
      </c>
      <c r="ID13" s="251" t="str">
        <f t="shared" si="217"/>
        <v/>
      </c>
      <c r="IE13" s="251" t="str">
        <f t="shared" si="218"/>
        <v/>
      </c>
      <c r="IF13" s="251" t="str">
        <f t="shared" si="219"/>
        <v/>
      </c>
      <c r="IG13" s="251" t="str">
        <f t="shared" si="220"/>
        <v/>
      </c>
      <c r="IH13" s="251" t="str">
        <f t="shared" si="221"/>
        <v/>
      </c>
      <c r="II13" s="251" t="str">
        <f t="shared" si="222"/>
        <v/>
      </c>
      <c r="IJ13" s="251" t="str">
        <f t="shared" si="223"/>
        <v/>
      </c>
      <c r="IK13" s="251" t="str">
        <f t="shared" si="224"/>
        <v/>
      </c>
      <c r="IL13" s="251" t="str">
        <f t="shared" si="225"/>
        <v/>
      </c>
      <c r="IM13" s="251" t="str">
        <f t="shared" si="226"/>
        <v/>
      </c>
      <c r="IN13" s="251" t="str">
        <f t="shared" si="227"/>
        <v/>
      </c>
      <c r="IO13" s="251" t="str">
        <f t="shared" si="228"/>
        <v/>
      </c>
      <c r="IP13" s="251" t="str">
        <f t="shared" si="229"/>
        <v/>
      </c>
      <c r="IQ13" s="251" t="str">
        <f t="shared" si="230"/>
        <v/>
      </c>
      <c r="IR13" s="251" t="str">
        <f t="shared" si="231"/>
        <v/>
      </c>
      <c r="IS13" s="251" t="str">
        <f t="shared" si="232"/>
        <v/>
      </c>
      <c r="IT13" s="251" t="str">
        <f t="shared" si="233"/>
        <v/>
      </c>
      <c r="IU13" s="251" t="str">
        <f t="shared" si="234"/>
        <v/>
      </c>
      <c r="IV13" s="251" t="str">
        <f t="shared" si="235"/>
        <v/>
      </c>
      <c r="IW13" s="251" t="str">
        <f t="shared" si="236"/>
        <v/>
      </c>
      <c r="IX13" s="251" t="str">
        <f t="shared" si="237"/>
        <v/>
      </c>
      <c r="IY13" s="251" t="str">
        <f t="shared" si="238"/>
        <v/>
      </c>
      <c r="IZ13" s="251" t="str">
        <f t="shared" si="239"/>
        <v/>
      </c>
      <c r="JA13" s="251" t="str">
        <f t="shared" si="240"/>
        <v/>
      </c>
      <c r="JB13" s="251" t="str">
        <f t="shared" si="241"/>
        <v/>
      </c>
      <c r="JC13" s="251" t="str">
        <f t="shared" si="242"/>
        <v/>
      </c>
      <c r="JD13" s="251" t="str">
        <f t="shared" si="243"/>
        <v/>
      </c>
      <c r="JE13" s="251" t="str">
        <f t="shared" si="244"/>
        <v/>
      </c>
      <c r="JF13" s="251" t="str">
        <f t="shared" si="245"/>
        <v/>
      </c>
      <c r="JG13" s="251" t="str">
        <f t="shared" si="246"/>
        <v/>
      </c>
      <c r="JH13" s="251" t="str">
        <f t="shared" si="247"/>
        <v/>
      </c>
      <c r="JI13" s="1297" t="str">
        <f t="shared" si="248"/>
        <v/>
      </c>
      <c r="JJ13" s="1297" t="str">
        <f t="shared" si="249"/>
        <v/>
      </c>
      <c r="JK13" s="1297" t="str">
        <f t="shared" si="250"/>
        <v/>
      </c>
      <c r="JL13" s="1297" t="str">
        <f t="shared" si="251"/>
        <v/>
      </c>
      <c r="JM13" s="1297" t="str">
        <f t="shared" si="252"/>
        <v/>
      </c>
      <c r="JN13" s="1297" t="str">
        <f t="shared" si="253"/>
        <v/>
      </c>
      <c r="JO13" s="1297" t="str">
        <f t="shared" si="254"/>
        <v/>
      </c>
      <c r="JP13" s="1297" t="str">
        <f t="shared" si="255"/>
        <v/>
      </c>
      <c r="JQ13" s="1297" t="str">
        <f t="shared" si="256"/>
        <v/>
      </c>
      <c r="JR13" s="1297" t="str">
        <f t="shared" si="257"/>
        <v/>
      </c>
      <c r="JS13" s="1297" t="str">
        <f t="shared" si="258"/>
        <v/>
      </c>
      <c r="JT13" s="1297" t="str">
        <f t="shared" si="259"/>
        <v/>
      </c>
      <c r="JU13" s="1297" t="str">
        <f t="shared" si="260"/>
        <v/>
      </c>
      <c r="JV13" s="1297" t="str">
        <f t="shared" si="261"/>
        <v/>
      </c>
      <c r="JW13" s="1297" t="str">
        <f t="shared" si="262"/>
        <v/>
      </c>
      <c r="JX13" s="1297" t="str">
        <f t="shared" si="263"/>
        <v/>
      </c>
      <c r="JY13" s="1297" t="str">
        <f t="shared" si="264"/>
        <v/>
      </c>
      <c r="JZ13" s="1297" t="str">
        <f t="shared" si="265"/>
        <v/>
      </c>
      <c r="KA13" s="1297" t="str">
        <f t="shared" si="266"/>
        <v/>
      </c>
      <c r="KB13" s="1297" t="str">
        <f t="shared" si="267"/>
        <v/>
      </c>
      <c r="KC13" s="1297" t="str">
        <f t="shared" si="268"/>
        <v/>
      </c>
      <c r="KD13" s="1297" t="str">
        <f t="shared" si="269"/>
        <v/>
      </c>
      <c r="KE13" s="1297" t="str">
        <f t="shared" si="270"/>
        <v/>
      </c>
      <c r="KF13" s="1297" t="str">
        <f t="shared" si="271"/>
        <v/>
      </c>
      <c r="KG13" s="1297" t="str">
        <f t="shared" si="272"/>
        <v/>
      </c>
      <c r="KH13" s="1297" t="str">
        <f t="shared" si="273"/>
        <v/>
      </c>
      <c r="KI13" s="1297" t="str">
        <f t="shared" si="274"/>
        <v/>
      </c>
      <c r="KJ13" s="1297" t="str">
        <f t="shared" si="275"/>
        <v/>
      </c>
      <c r="KK13" s="1297" t="str">
        <f t="shared" si="276"/>
        <v/>
      </c>
      <c r="KL13" s="1297" t="str">
        <f t="shared" si="277"/>
        <v/>
      </c>
      <c r="KM13" s="1297" t="str">
        <f t="shared" si="278"/>
        <v/>
      </c>
      <c r="KN13" s="1297" t="str">
        <f t="shared" si="279"/>
        <v/>
      </c>
      <c r="KO13" s="1297" t="str">
        <f t="shared" si="280"/>
        <v/>
      </c>
      <c r="KP13" s="1297" t="str">
        <f t="shared" si="281"/>
        <v/>
      </c>
      <c r="KQ13" s="1297" t="str">
        <f t="shared" si="282"/>
        <v/>
      </c>
      <c r="KR13" s="1297" t="str">
        <f t="shared" si="283"/>
        <v/>
      </c>
      <c r="KS13" s="1297" t="str">
        <f t="shared" si="284"/>
        <v/>
      </c>
      <c r="KT13" s="1297" t="str">
        <f t="shared" si="285"/>
        <v/>
      </c>
      <c r="KU13" s="1297" t="str">
        <f t="shared" si="286"/>
        <v/>
      </c>
      <c r="KV13" s="1297" t="str">
        <f t="shared" si="287"/>
        <v/>
      </c>
      <c r="KW13" s="1297" t="str">
        <f t="shared" si="288"/>
        <v/>
      </c>
      <c r="KX13" s="1297" t="str">
        <f t="shared" si="289"/>
        <v/>
      </c>
      <c r="KY13" s="1297" t="str">
        <f t="shared" si="290"/>
        <v/>
      </c>
      <c r="KZ13" s="1297" t="str">
        <f t="shared" si="291"/>
        <v/>
      </c>
      <c r="LA13" s="1297" t="str">
        <f t="shared" si="292"/>
        <v/>
      </c>
      <c r="LB13" s="1297" t="str">
        <f t="shared" si="293"/>
        <v/>
      </c>
      <c r="LC13" s="1297" t="str">
        <f t="shared" si="294"/>
        <v/>
      </c>
      <c r="LD13" s="1297" t="str">
        <f t="shared" si="295"/>
        <v/>
      </c>
      <c r="LE13" s="1297" t="str">
        <f t="shared" si="296"/>
        <v/>
      </c>
      <c r="LF13" s="1297" t="str">
        <f t="shared" si="297"/>
        <v/>
      </c>
      <c r="LG13" s="1297" t="str">
        <f t="shared" si="298"/>
        <v/>
      </c>
      <c r="LH13" s="1297" t="str">
        <f t="shared" si="299"/>
        <v/>
      </c>
      <c r="LI13" s="1297" t="str">
        <f t="shared" si="300"/>
        <v/>
      </c>
      <c r="LJ13" s="1297" t="str">
        <f t="shared" si="301"/>
        <v/>
      </c>
      <c r="LK13" s="1297" t="str">
        <f t="shared" si="302"/>
        <v/>
      </c>
      <c r="LL13" s="1297" t="str">
        <f t="shared" si="303"/>
        <v/>
      </c>
      <c r="LM13" s="1297" t="str">
        <f t="shared" si="304"/>
        <v/>
      </c>
      <c r="LN13" s="1297" t="str">
        <f t="shared" si="305"/>
        <v/>
      </c>
      <c r="LO13" s="1297" t="str">
        <f t="shared" si="306"/>
        <v/>
      </c>
      <c r="LP13" s="1297" t="str">
        <f t="shared" si="307"/>
        <v/>
      </c>
      <c r="LQ13" s="1297" t="str">
        <f t="shared" si="308"/>
        <v/>
      </c>
      <c r="LR13" s="1297" t="str">
        <f t="shared" si="309"/>
        <v/>
      </c>
      <c r="LS13" s="1297" t="str">
        <f t="shared" si="310"/>
        <v/>
      </c>
      <c r="LT13" s="1297" t="str">
        <f t="shared" si="311"/>
        <v/>
      </c>
      <c r="LU13" s="1297" t="str">
        <f t="shared" si="312"/>
        <v/>
      </c>
      <c r="LV13" s="1297" t="str">
        <f t="shared" si="313"/>
        <v/>
      </c>
      <c r="LW13" s="1297" t="str">
        <f t="shared" si="314"/>
        <v/>
      </c>
      <c r="LX13" s="1297" t="str">
        <f t="shared" si="315"/>
        <v/>
      </c>
      <c r="LY13" s="1297" t="str">
        <f t="shared" si="316"/>
        <v/>
      </c>
      <c r="LZ13" s="1297" t="str">
        <f t="shared" si="317"/>
        <v/>
      </c>
      <c r="MA13" s="1297" t="str">
        <f t="shared" si="318"/>
        <v/>
      </c>
      <c r="MB13" s="1297" t="str">
        <f t="shared" si="319"/>
        <v/>
      </c>
      <c r="MC13" s="1297" t="str">
        <f t="shared" si="320"/>
        <v/>
      </c>
      <c r="MD13" s="1297" t="str">
        <f t="shared" si="321"/>
        <v/>
      </c>
      <c r="ME13" s="1297" t="str">
        <f t="shared" si="322"/>
        <v/>
      </c>
      <c r="MF13" s="1297" t="str">
        <f t="shared" si="323"/>
        <v/>
      </c>
      <c r="MG13" s="1297" t="str">
        <f t="shared" si="324"/>
        <v/>
      </c>
      <c r="MH13" s="1297" t="str">
        <f t="shared" si="325"/>
        <v/>
      </c>
      <c r="MI13" s="1297" t="str">
        <f t="shared" si="326"/>
        <v/>
      </c>
      <c r="MJ13" s="1297" t="str">
        <f t="shared" si="327"/>
        <v/>
      </c>
      <c r="MK13" s="1297" t="str">
        <f t="shared" si="328"/>
        <v/>
      </c>
      <c r="ML13" s="1297" t="str">
        <f t="shared" si="329"/>
        <v/>
      </c>
      <c r="MM13" s="1297" t="str">
        <f t="shared" si="330"/>
        <v/>
      </c>
      <c r="MN13" s="1297" t="str">
        <f t="shared" si="331"/>
        <v/>
      </c>
      <c r="MO13" s="1297" t="str">
        <f t="shared" si="332"/>
        <v/>
      </c>
      <c r="MP13" s="1773" t="str">
        <f t="shared" si="333"/>
        <v/>
      </c>
      <c r="MQ13" s="1773" t="str">
        <f t="shared" si="334"/>
        <v/>
      </c>
      <c r="MR13" s="1773" t="str">
        <f t="shared" si="335"/>
        <v/>
      </c>
      <c r="MS13" s="1773" t="str">
        <f t="shared" si="336"/>
        <v/>
      </c>
      <c r="MT13" s="1773" t="str">
        <f t="shared" si="337"/>
        <v/>
      </c>
      <c r="MU13" s="251" t="str">
        <f t="shared" si="338"/>
        <v/>
      </c>
      <c r="MV13" s="251" t="str">
        <f t="shared" si="339"/>
        <v/>
      </c>
      <c r="MW13" s="251" t="str">
        <f t="shared" si="340"/>
        <v/>
      </c>
      <c r="MX13" s="251" t="str">
        <f t="shared" si="341"/>
        <v/>
      </c>
      <c r="MY13" s="251" t="str">
        <f t="shared" si="342"/>
        <v/>
      </c>
      <c r="MZ13" s="251" t="str">
        <f t="shared" si="343"/>
        <v/>
      </c>
      <c r="NA13" s="251" t="str">
        <f t="shared" si="344"/>
        <v/>
      </c>
      <c r="NB13" s="251" t="str">
        <f t="shared" si="345"/>
        <v/>
      </c>
      <c r="NC13" s="251" t="str">
        <f t="shared" si="346"/>
        <v/>
      </c>
      <c r="ND13" s="251" t="str">
        <f t="shared" si="347"/>
        <v/>
      </c>
      <c r="NE13" s="251" t="str">
        <f t="shared" si="348"/>
        <v/>
      </c>
      <c r="NF13" s="251" t="str">
        <f t="shared" si="349"/>
        <v/>
      </c>
      <c r="NG13" s="251" t="str">
        <f t="shared" si="350"/>
        <v/>
      </c>
      <c r="NH13" s="251" t="str">
        <f t="shared" si="351"/>
        <v/>
      </c>
      <c r="NI13" s="251" t="str">
        <f t="shared" si="352"/>
        <v/>
      </c>
      <c r="NJ13" s="251" t="str">
        <f t="shared" si="353"/>
        <v/>
      </c>
      <c r="NK13" s="251" t="str">
        <f t="shared" si="354"/>
        <v/>
      </c>
      <c r="NL13" s="251" t="str">
        <f t="shared" si="355"/>
        <v/>
      </c>
      <c r="NM13" s="251" t="str">
        <f t="shared" si="356"/>
        <v/>
      </c>
      <c r="NN13" s="251" t="str">
        <f t="shared" si="357"/>
        <v/>
      </c>
      <c r="NO13" s="1185">
        <f t="shared" si="358"/>
        <v>0</v>
      </c>
      <c r="NP13" s="1185">
        <f t="shared" si="359"/>
        <v>0</v>
      </c>
      <c r="NQ13" s="1185">
        <f t="shared" si="360"/>
        <v>0</v>
      </c>
      <c r="NR13" s="1185">
        <f t="shared" si="361"/>
        <v>0</v>
      </c>
      <c r="NS13" s="1185">
        <f t="shared" si="362"/>
        <v>0</v>
      </c>
      <c r="NT13" s="1185">
        <f t="shared" si="368"/>
        <v>0</v>
      </c>
      <c r="NU13" s="1185">
        <f t="shared" si="369"/>
        <v>0</v>
      </c>
      <c r="NV13" s="1185">
        <f t="shared" si="370"/>
        <v>0</v>
      </c>
      <c r="NW13" s="1185">
        <f t="shared" si="371"/>
        <v>0</v>
      </c>
      <c r="NX13" s="1185">
        <f t="shared" si="372"/>
        <v>0</v>
      </c>
      <c r="NY13" s="1185">
        <f t="shared" si="363"/>
        <v>0</v>
      </c>
      <c r="NZ13" s="1185">
        <f t="shared" si="364"/>
        <v>0</v>
      </c>
      <c r="OA13" s="1185">
        <f t="shared" si="365"/>
        <v>0</v>
      </c>
      <c r="OB13" s="1185">
        <f t="shared" si="366"/>
        <v>0</v>
      </c>
      <c r="OC13" s="1185">
        <f t="shared" si="367"/>
        <v>0</v>
      </c>
      <c r="OY13" s="1794" t="s">
        <v>1161</v>
      </c>
      <c r="OZ13" s="1799">
        <v>13</v>
      </c>
    </row>
    <row r="14" spans="1:528" ht="12" customHeight="1">
      <c r="A14" s="53" t="str">
        <f t="shared" si="0"/>
        <v/>
      </c>
      <c r="B14" s="754" t="s">
        <v>1160</v>
      </c>
      <c r="C14" s="85"/>
      <c r="D14" s="1187"/>
      <c r="E14" s="86"/>
      <c r="F14" s="86"/>
      <c r="G14" s="86"/>
      <c r="H14" s="86"/>
      <c r="I14" s="86"/>
      <c r="J14" s="967"/>
      <c r="K14" s="473"/>
      <c r="L14" s="330">
        <f t="shared" si="1"/>
        <v>0</v>
      </c>
      <c r="M14" s="330">
        <f t="shared" si="2"/>
        <v>0</v>
      </c>
      <c r="N14" s="506"/>
      <c r="O14" s="1134"/>
      <c r="P14" s="506"/>
      <c r="Q14" s="87"/>
      <c r="R14" s="540"/>
      <c r="S14" s="541"/>
      <c r="T14" s="3758"/>
      <c r="U14" s="3759"/>
      <c r="V14" s="3759"/>
      <c r="W14" s="3760"/>
      <c r="X14" s="251" t="str">
        <f t="shared" si="3"/>
        <v/>
      </c>
      <c r="Y14" s="251" t="str">
        <f t="shared" si="4"/>
        <v/>
      </c>
      <c r="Z14" s="251" t="str">
        <f t="shared" si="5"/>
        <v/>
      </c>
      <c r="AA14" s="251" t="str">
        <f t="shared" si="6"/>
        <v/>
      </c>
      <c r="AB14" s="251" t="str">
        <f t="shared" si="7"/>
        <v/>
      </c>
      <c r="AC14" s="251" t="str">
        <f t="shared" si="8"/>
        <v/>
      </c>
      <c r="AD14" s="251" t="str">
        <f t="shared" si="9"/>
        <v/>
      </c>
      <c r="AE14" s="251" t="str">
        <f t="shared" si="10"/>
        <v/>
      </c>
      <c r="AF14" s="251" t="str">
        <f t="shared" si="11"/>
        <v/>
      </c>
      <c r="AG14" s="251" t="str">
        <f t="shared" si="12"/>
        <v/>
      </c>
      <c r="AH14" s="251" t="str">
        <f t="shared" si="13"/>
        <v/>
      </c>
      <c r="AI14" s="251" t="str">
        <f t="shared" si="14"/>
        <v/>
      </c>
      <c r="AJ14" s="251" t="str">
        <f t="shared" si="15"/>
        <v/>
      </c>
      <c r="AK14" s="251" t="str">
        <f t="shared" si="16"/>
        <v/>
      </c>
      <c r="AL14" s="251" t="str">
        <f t="shared" si="17"/>
        <v/>
      </c>
      <c r="AM14" s="251" t="str">
        <f t="shared" si="18"/>
        <v/>
      </c>
      <c r="AN14" s="251" t="str">
        <f t="shared" si="19"/>
        <v/>
      </c>
      <c r="AO14" s="251" t="str">
        <f t="shared" si="20"/>
        <v/>
      </c>
      <c r="AP14" s="251" t="str">
        <f t="shared" si="21"/>
        <v/>
      </c>
      <c r="AQ14" s="251" t="str">
        <f t="shared" si="22"/>
        <v/>
      </c>
      <c r="AR14" s="251" t="str">
        <f t="shared" si="23"/>
        <v/>
      </c>
      <c r="AS14" s="251" t="str">
        <f t="shared" si="24"/>
        <v/>
      </c>
      <c r="AT14" s="251" t="str">
        <f t="shared" si="25"/>
        <v/>
      </c>
      <c r="AU14" s="251" t="str">
        <f t="shared" si="26"/>
        <v/>
      </c>
      <c r="AV14" s="251" t="str">
        <f t="shared" si="27"/>
        <v/>
      </c>
      <c r="AW14" s="251" t="str">
        <f t="shared" si="28"/>
        <v/>
      </c>
      <c r="AX14" s="251" t="str">
        <f t="shared" si="29"/>
        <v/>
      </c>
      <c r="AY14" s="251" t="str">
        <f t="shared" si="30"/>
        <v/>
      </c>
      <c r="AZ14" s="251" t="str">
        <f t="shared" si="31"/>
        <v/>
      </c>
      <c r="BA14" s="251" t="str">
        <f t="shared" si="32"/>
        <v/>
      </c>
      <c r="BB14" s="251" t="str">
        <f t="shared" si="33"/>
        <v/>
      </c>
      <c r="BC14" s="251" t="str">
        <f t="shared" si="34"/>
        <v/>
      </c>
      <c r="BD14" s="251" t="str">
        <f t="shared" si="35"/>
        <v/>
      </c>
      <c r="BE14" s="251" t="str">
        <f t="shared" si="36"/>
        <v/>
      </c>
      <c r="BF14" s="251" t="str">
        <f t="shared" si="37"/>
        <v/>
      </c>
      <c r="BG14" s="251" t="str">
        <f t="shared" si="38"/>
        <v/>
      </c>
      <c r="BH14" s="251" t="str">
        <f t="shared" si="39"/>
        <v/>
      </c>
      <c r="BI14" s="251" t="str">
        <f t="shared" si="40"/>
        <v/>
      </c>
      <c r="BJ14" s="251" t="str">
        <f t="shared" si="41"/>
        <v/>
      </c>
      <c r="BK14" s="251" t="str">
        <f t="shared" si="42"/>
        <v/>
      </c>
      <c r="BL14" s="251" t="str">
        <f t="shared" si="43"/>
        <v/>
      </c>
      <c r="BM14" s="251" t="str">
        <f t="shared" si="44"/>
        <v/>
      </c>
      <c r="BN14" s="251" t="str">
        <f t="shared" si="45"/>
        <v/>
      </c>
      <c r="BO14" s="251" t="str">
        <f t="shared" si="46"/>
        <v/>
      </c>
      <c r="BP14" s="251" t="str">
        <f t="shared" si="47"/>
        <v/>
      </c>
      <c r="BQ14" s="251" t="str">
        <f t="shared" si="48"/>
        <v/>
      </c>
      <c r="BR14" s="251" t="str">
        <f t="shared" si="49"/>
        <v/>
      </c>
      <c r="BS14" s="251" t="str">
        <f t="shared" si="50"/>
        <v/>
      </c>
      <c r="BT14" s="251" t="str">
        <f t="shared" si="51"/>
        <v/>
      </c>
      <c r="BU14" s="251" t="str">
        <f t="shared" si="52"/>
        <v/>
      </c>
      <c r="BV14" s="251" t="str">
        <f t="shared" si="53"/>
        <v/>
      </c>
      <c r="BW14" s="251" t="str">
        <f t="shared" si="54"/>
        <v/>
      </c>
      <c r="BX14" s="251" t="str">
        <f t="shared" si="55"/>
        <v/>
      </c>
      <c r="BY14" s="251" t="str">
        <f t="shared" si="56"/>
        <v/>
      </c>
      <c r="BZ14" s="251" t="str">
        <f t="shared" si="57"/>
        <v/>
      </c>
      <c r="CA14" s="251" t="str">
        <f t="shared" si="58"/>
        <v/>
      </c>
      <c r="CB14" s="251" t="str">
        <f t="shared" si="59"/>
        <v/>
      </c>
      <c r="CC14" s="251" t="str">
        <f t="shared" si="60"/>
        <v/>
      </c>
      <c r="CD14" s="251" t="str">
        <f t="shared" si="61"/>
        <v/>
      </c>
      <c r="CE14" s="251" t="str">
        <f t="shared" si="62"/>
        <v/>
      </c>
      <c r="CF14" s="251" t="str">
        <f t="shared" si="63"/>
        <v/>
      </c>
      <c r="CG14" s="251" t="str">
        <f t="shared" si="64"/>
        <v/>
      </c>
      <c r="CH14" s="251" t="str">
        <f t="shared" si="65"/>
        <v/>
      </c>
      <c r="CI14" s="251" t="str">
        <f t="shared" si="66"/>
        <v/>
      </c>
      <c r="CJ14" s="251" t="str">
        <f t="shared" si="67"/>
        <v/>
      </c>
      <c r="CK14" s="251" t="str">
        <f t="shared" si="68"/>
        <v/>
      </c>
      <c r="CL14" s="251" t="str">
        <f t="shared" si="69"/>
        <v/>
      </c>
      <c r="CM14" s="251" t="str">
        <f t="shared" si="70"/>
        <v/>
      </c>
      <c r="CN14" s="251" t="str">
        <f t="shared" si="71"/>
        <v/>
      </c>
      <c r="CO14" s="251" t="str">
        <f t="shared" si="72"/>
        <v/>
      </c>
      <c r="CP14" s="251" t="str">
        <f t="shared" si="73"/>
        <v/>
      </c>
      <c r="CQ14" s="251" t="str">
        <f t="shared" si="74"/>
        <v/>
      </c>
      <c r="CR14" s="251" t="str">
        <f t="shared" si="75"/>
        <v/>
      </c>
      <c r="CS14" s="251" t="str">
        <f t="shared" si="76"/>
        <v/>
      </c>
      <c r="CT14" s="251" t="str">
        <f t="shared" si="77"/>
        <v/>
      </c>
      <c r="CU14" s="251" t="str">
        <f t="shared" si="78"/>
        <v/>
      </c>
      <c r="CV14" s="251" t="str">
        <f t="shared" si="79"/>
        <v/>
      </c>
      <c r="CW14" s="251" t="str">
        <f t="shared" si="80"/>
        <v/>
      </c>
      <c r="CX14" s="251" t="str">
        <f t="shared" si="81"/>
        <v/>
      </c>
      <c r="CY14" s="251" t="str">
        <f t="shared" si="82"/>
        <v/>
      </c>
      <c r="CZ14" s="251" t="str">
        <f t="shared" si="83"/>
        <v/>
      </c>
      <c r="DA14" s="251" t="str">
        <f t="shared" si="84"/>
        <v/>
      </c>
      <c r="DB14" s="251" t="str">
        <f t="shared" si="85"/>
        <v/>
      </c>
      <c r="DC14" s="251" t="str">
        <f t="shared" si="86"/>
        <v/>
      </c>
      <c r="DD14" s="251" t="str">
        <f t="shared" si="87"/>
        <v/>
      </c>
      <c r="DE14" s="251" t="str">
        <f t="shared" si="88"/>
        <v/>
      </c>
      <c r="DF14" s="251" t="str">
        <f t="shared" si="89"/>
        <v/>
      </c>
      <c r="DG14" s="251" t="str">
        <f t="shared" si="90"/>
        <v/>
      </c>
      <c r="DH14" s="251" t="str">
        <f t="shared" si="91"/>
        <v/>
      </c>
      <c r="DI14" s="251" t="str">
        <f t="shared" si="92"/>
        <v/>
      </c>
      <c r="DJ14" s="251" t="str">
        <f t="shared" si="93"/>
        <v/>
      </c>
      <c r="DK14" s="251" t="str">
        <f t="shared" si="94"/>
        <v/>
      </c>
      <c r="DL14" s="251" t="str">
        <f t="shared" si="95"/>
        <v/>
      </c>
      <c r="DM14" s="251" t="str">
        <f t="shared" si="96"/>
        <v/>
      </c>
      <c r="DN14" s="251" t="str">
        <f t="shared" si="97"/>
        <v/>
      </c>
      <c r="DO14" s="251" t="str">
        <f t="shared" si="98"/>
        <v/>
      </c>
      <c r="DP14" s="251" t="str">
        <f t="shared" si="99"/>
        <v/>
      </c>
      <c r="DQ14" s="251" t="str">
        <f t="shared" si="100"/>
        <v/>
      </c>
      <c r="DR14" s="251" t="str">
        <f t="shared" si="101"/>
        <v/>
      </c>
      <c r="DS14" s="251" t="str">
        <f t="shared" si="102"/>
        <v/>
      </c>
      <c r="DT14" s="251" t="str">
        <f t="shared" si="103"/>
        <v/>
      </c>
      <c r="DU14" s="251" t="str">
        <f t="shared" si="104"/>
        <v/>
      </c>
      <c r="DV14" s="251" t="str">
        <f t="shared" si="105"/>
        <v/>
      </c>
      <c r="DW14" s="251" t="str">
        <f t="shared" si="106"/>
        <v/>
      </c>
      <c r="DX14" s="251" t="str">
        <f t="shared" si="107"/>
        <v/>
      </c>
      <c r="DY14" s="251" t="str">
        <f t="shared" si="108"/>
        <v/>
      </c>
      <c r="DZ14" s="251" t="str">
        <f t="shared" si="109"/>
        <v/>
      </c>
      <c r="EA14" s="251" t="str">
        <f t="shared" si="110"/>
        <v/>
      </c>
      <c r="EB14" s="251" t="str">
        <f t="shared" si="111"/>
        <v/>
      </c>
      <c r="EC14" s="251" t="str">
        <f t="shared" si="112"/>
        <v/>
      </c>
      <c r="ED14" s="251" t="str">
        <f t="shared" si="113"/>
        <v/>
      </c>
      <c r="EE14" s="251" t="str">
        <f t="shared" si="114"/>
        <v/>
      </c>
      <c r="EF14" s="251" t="str">
        <f t="shared" si="115"/>
        <v/>
      </c>
      <c r="EG14" s="251" t="str">
        <f t="shared" si="116"/>
        <v/>
      </c>
      <c r="EH14" s="251" t="str">
        <f t="shared" si="117"/>
        <v/>
      </c>
      <c r="EI14" s="251" t="str">
        <f t="shared" si="118"/>
        <v/>
      </c>
      <c r="EJ14" s="251" t="str">
        <f t="shared" si="119"/>
        <v/>
      </c>
      <c r="EK14" s="251" t="str">
        <f t="shared" si="120"/>
        <v/>
      </c>
      <c r="EL14" s="251" t="str">
        <f t="shared" si="121"/>
        <v/>
      </c>
      <c r="EM14" s="251" t="str">
        <f t="shared" si="122"/>
        <v/>
      </c>
      <c r="EN14" s="251" t="str">
        <f t="shared" si="123"/>
        <v/>
      </c>
      <c r="EO14" s="251" t="str">
        <f t="shared" si="124"/>
        <v/>
      </c>
      <c r="EP14" s="251" t="str">
        <f t="shared" si="125"/>
        <v/>
      </c>
      <c r="EQ14" s="251" t="str">
        <f t="shared" si="126"/>
        <v/>
      </c>
      <c r="ER14" s="251" t="str">
        <f t="shared" si="127"/>
        <v/>
      </c>
      <c r="ES14" s="251" t="str">
        <f t="shared" si="128"/>
        <v/>
      </c>
      <c r="ET14" s="251" t="str">
        <f t="shared" si="129"/>
        <v/>
      </c>
      <c r="EU14" s="251" t="str">
        <f t="shared" si="130"/>
        <v/>
      </c>
      <c r="EV14" s="251" t="str">
        <f t="shared" si="131"/>
        <v/>
      </c>
      <c r="EW14" s="251" t="str">
        <f t="shared" si="132"/>
        <v/>
      </c>
      <c r="EX14" s="251" t="str">
        <f t="shared" si="133"/>
        <v/>
      </c>
      <c r="EY14" s="251" t="str">
        <f t="shared" si="134"/>
        <v/>
      </c>
      <c r="EZ14" s="251" t="str">
        <f t="shared" si="135"/>
        <v/>
      </c>
      <c r="FA14" s="251" t="str">
        <f t="shared" si="136"/>
        <v/>
      </c>
      <c r="FB14" s="251" t="str">
        <f t="shared" si="137"/>
        <v/>
      </c>
      <c r="FC14" s="251" t="str">
        <f t="shared" si="138"/>
        <v/>
      </c>
      <c r="FD14" s="251" t="str">
        <f t="shared" si="139"/>
        <v/>
      </c>
      <c r="FE14" s="251" t="str">
        <f t="shared" si="140"/>
        <v/>
      </c>
      <c r="FF14" s="251" t="str">
        <f t="shared" si="141"/>
        <v/>
      </c>
      <c r="FG14" s="251" t="str">
        <f t="shared" si="142"/>
        <v/>
      </c>
      <c r="FH14" s="251" t="str">
        <f t="shared" si="143"/>
        <v/>
      </c>
      <c r="FI14" s="251" t="str">
        <f t="shared" si="144"/>
        <v/>
      </c>
      <c r="FJ14" s="251" t="str">
        <f t="shared" si="145"/>
        <v/>
      </c>
      <c r="FK14" s="251" t="str">
        <f t="shared" si="146"/>
        <v/>
      </c>
      <c r="FL14" s="251" t="str">
        <f t="shared" si="147"/>
        <v/>
      </c>
      <c r="FM14" s="251" t="str">
        <f t="shared" si="148"/>
        <v/>
      </c>
      <c r="FN14" s="251" t="str">
        <f t="shared" si="149"/>
        <v/>
      </c>
      <c r="FO14" s="251" t="str">
        <f t="shared" si="150"/>
        <v/>
      </c>
      <c r="FP14" s="251" t="str">
        <f t="shared" si="151"/>
        <v/>
      </c>
      <c r="FQ14" s="251" t="str">
        <f t="shared" si="152"/>
        <v/>
      </c>
      <c r="FR14" s="251" t="str">
        <f t="shared" si="153"/>
        <v/>
      </c>
      <c r="FS14" s="251" t="str">
        <f t="shared" si="154"/>
        <v/>
      </c>
      <c r="FT14" s="251" t="str">
        <f t="shared" si="155"/>
        <v/>
      </c>
      <c r="FU14" s="251" t="str">
        <f t="shared" si="156"/>
        <v/>
      </c>
      <c r="FV14" s="251" t="str">
        <f t="shared" si="157"/>
        <v/>
      </c>
      <c r="FW14" s="251" t="str">
        <f t="shared" si="158"/>
        <v/>
      </c>
      <c r="FX14" s="251" t="str">
        <f t="shared" si="159"/>
        <v/>
      </c>
      <c r="FY14" s="251" t="str">
        <f t="shared" si="160"/>
        <v/>
      </c>
      <c r="FZ14" s="251" t="str">
        <f t="shared" si="161"/>
        <v/>
      </c>
      <c r="GA14" s="251" t="str">
        <f t="shared" si="162"/>
        <v/>
      </c>
      <c r="GB14" s="251" t="str">
        <f t="shared" si="163"/>
        <v/>
      </c>
      <c r="GC14" s="251" t="str">
        <f t="shared" si="164"/>
        <v/>
      </c>
      <c r="GD14" s="251" t="str">
        <f t="shared" si="165"/>
        <v/>
      </c>
      <c r="GE14" s="251" t="str">
        <f t="shared" si="166"/>
        <v/>
      </c>
      <c r="GF14" s="251" t="str">
        <f t="shared" si="167"/>
        <v/>
      </c>
      <c r="GG14" s="251" t="str">
        <f t="shared" si="168"/>
        <v/>
      </c>
      <c r="GH14" s="251" t="str">
        <f t="shared" si="169"/>
        <v/>
      </c>
      <c r="GI14" s="251" t="str">
        <f t="shared" si="170"/>
        <v/>
      </c>
      <c r="GJ14" s="251" t="str">
        <f t="shared" si="171"/>
        <v/>
      </c>
      <c r="GK14" s="251" t="str">
        <f t="shared" si="172"/>
        <v/>
      </c>
      <c r="GL14" s="251" t="str">
        <f t="shared" si="173"/>
        <v/>
      </c>
      <c r="GM14" s="251" t="str">
        <f t="shared" si="174"/>
        <v/>
      </c>
      <c r="GN14" s="251" t="str">
        <f t="shared" si="175"/>
        <v/>
      </c>
      <c r="GO14" s="251" t="str">
        <f t="shared" si="176"/>
        <v/>
      </c>
      <c r="GP14" s="251" t="str">
        <f t="shared" si="177"/>
        <v/>
      </c>
      <c r="GQ14" s="251" t="str">
        <f t="shared" si="178"/>
        <v/>
      </c>
      <c r="GR14" s="251" t="str">
        <f t="shared" si="179"/>
        <v/>
      </c>
      <c r="GS14" s="251" t="str">
        <f t="shared" si="180"/>
        <v/>
      </c>
      <c r="GT14" s="251" t="str">
        <f t="shared" si="181"/>
        <v/>
      </c>
      <c r="GU14" s="251" t="str">
        <f t="shared" si="182"/>
        <v/>
      </c>
      <c r="GV14" s="251" t="str">
        <f t="shared" si="183"/>
        <v/>
      </c>
      <c r="GW14" s="251" t="str">
        <f t="shared" si="184"/>
        <v/>
      </c>
      <c r="GX14" s="251" t="str">
        <f t="shared" si="185"/>
        <v/>
      </c>
      <c r="GY14" s="251" t="str">
        <f t="shared" si="186"/>
        <v/>
      </c>
      <c r="GZ14" s="251" t="str">
        <f t="shared" si="187"/>
        <v/>
      </c>
      <c r="HA14" s="251" t="str">
        <f t="shared" si="188"/>
        <v/>
      </c>
      <c r="HB14" s="251" t="str">
        <f t="shared" si="189"/>
        <v/>
      </c>
      <c r="HC14" s="251" t="str">
        <f t="shared" si="190"/>
        <v/>
      </c>
      <c r="HD14" s="251" t="str">
        <f t="shared" si="191"/>
        <v/>
      </c>
      <c r="HE14" s="251" t="str">
        <f t="shared" si="192"/>
        <v/>
      </c>
      <c r="HF14" s="251" t="str">
        <f t="shared" si="193"/>
        <v/>
      </c>
      <c r="HG14" s="251" t="str">
        <f t="shared" si="194"/>
        <v/>
      </c>
      <c r="HH14" s="251" t="str">
        <f t="shared" si="195"/>
        <v/>
      </c>
      <c r="HI14" s="251" t="str">
        <f t="shared" si="196"/>
        <v/>
      </c>
      <c r="HJ14" s="251" t="str">
        <f t="shared" si="197"/>
        <v/>
      </c>
      <c r="HK14" s="251" t="str">
        <f t="shared" si="198"/>
        <v/>
      </c>
      <c r="HL14" s="251" t="str">
        <f t="shared" si="199"/>
        <v/>
      </c>
      <c r="HM14" s="251" t="str">
        <f t="shared" si="200"/>
        <v/>
      </c>
      <c r="HN14" s="251" t="str">
        <f t="shared" si="201"/>
        <v/>
      </c>
      <c r="HO14" s="251" t="str">
        <f t="shared" si="202"/>
        <v/>
      </c>
      <c r="HP14" s="251" t="str">
        <f t="shared" si="203"/>
        <v/>
      </c>
      <c r="HQ14" s="251" t="str">
        <f t="shared" si="204"/>
        <v/>
      </c>
      <c r="HR14" s="251" t="str">
        <f t="shared" si="205"/>
        <v/>
      </c>
      <c r="HS14" s="251" t="str">
        <f t="shared" si="206"/>
        <v/>
      </c>
      <c r="HT14" s="251" t="str">
        <f t="shared" si="207"/>
        <v/>
      </c>
      <c r="HU14" s="251" t="str">
        <f t="shared" si="208"/>
        <v/>
      </c>
      <c r="HV14" s="251" t="str">
        <f t="shared" si="209"/>
        <v/>
      </c>
      <c r="HW14" s="251" t="str">
        <f t="shared" si="210"/>
        <v/>
      </c>
      <c r="HX14" s="251" t="str">
        <f t="shared" si="211"/>
        <v/>
      </c>
      <c r="HY14" s="251" t="str">
        <f t="shared" si="212"/>
        <v/>
      </c>
      <c r="HZ14" s="251" t="str">
        <f t="shared" si="213"/>
        <v/>
      </c>
      <c r="IA14" s="251" t="str">
        <f t="shared" si="214"/>
        <v/>
      </c>
      <c r="IB14" s="251" t="str">
        <f t="shared" si="215"/>
        <v/>
      </c>
      <c r="IC14" s="251" t="str">
        <f t="shared" si="216"/>
        <v/>
      </c>
      <c r="ID14" s="251" t="str">
        <f t="shared" si="217"/>
        <v/>
      </c>
      <c r="IE14" s="251" t="str">
        <f t="shared" si="218"/>
        <v/>
      </c>
      <c r="IF14" s="251" t="str">
        <f t="shared" si="219"/>
        <v/>
      </c>
      <c r="IG14" s="251" t="str">
        <f t="shared" si="220"/>
        <v/>
      </c>
      <c r="IH14" s="251" t="str">
        <f t="shared" si="221"/>
        <v/>
      </c>
      <c r="II14" s="251" t="str">
        <f t="shared" si="222"/>
        <v/>
      </c>
      <c r="IJ14" s="251" t="str">
        <f t="shared" si="223"/>
        <v/>
      </c>
      <c r="IK14" s="251" t="str">
        <f t="shared" si="224"/>
        <v/>
      </c>
      <c r="IL14" s="251" t="str">
        <f t="shared" si="225"/>
        <v/>
      </c>
      <c r="IM14" s="251" t="str">
        <f t="shared" si="226"/>
        <v/>
      </c>
      <c r="IN14" s="251" t="str">
        <f t="shared" si="227"/>
        <v/>
      </c>
      <c r="IO14" s="251" t="str">
        <f t="shared" si="228"/>
        <v/>
      </c>
      <c r="IP14" s="251" t="str">
        <f t="shared" si="229"/>
        <v/>
      </c>
      <c r="IQ14" s="251" t="str">
        <f t="shared" si="230"/>
        <v/>
      </c>
      <c r="IR14" s="251" t="str">
        <f t="shared" si="231"/>
        <v/>
      </c>
      <c r="IS14" s="251" t="str">
        <f t="shared" si="232"/>
        <v/>
      </c>
      <c r="IT14" s="251" t="str">
        <f t="shared" si="233"/>
        <v/>
      </c>
      <c r="IU14" s="251" t="str">
        <f t="shared" si="234"/>
        <v/>
      </c>
      <c r="IV14" s="251" t="str">
        <f t="shared" si="235"/>
        <v/>
      </c>
      <c r="IW14" s="251" t="str">
        <f t="shared" si="236"/>
        <v/>
      </c>
      <c r="IX14" s="251" t="str">
        <f t="shared" si="237"/>
        <v/>
      </c>
      <c r="IY14" s="251" t="str">
        <f t="shared" si="238"/>
        <v/>
      </c>
      <c r="IZ14" s="251" t="str">
        <f t="shared" si="239"/>
        <v/>
      </c>
      <c r="JA14" s="251" t="str">
        <f t="shared" si="240"/>
        <v/>
      </c>
      <c r="JB14" s="251" t="str">
        <f t="shared" si="241"/>
        <v/>
      </c>
      <c r="JC14" s="251" t="str">
        <f t="shared" si="242"/>
        <v/>
      </c>
      <c r="JD14" s="251" t="str">
        <f t="shared" si="243"/>
        <v/>
      </c>
      <c r="JE14" s="251" t="str">
        <f t="shared" si="244"/>
        <v/>
      </c>
      <c r="JF14" s="251" t="str">
        <f t="shared" si="245"/>
        <v/>
      </c>
      <c r="JG14" s="251" t="str">
        <f t="shared" si="246"/>
        <v/>
      </c>
      <c r="JH14" s="251" t="str">
        <f t="shared" si="247"/>
        <v/>
      </c>
      <c r="JI14" s="1297" t="str">
        <f t="shared" si="248"/>
        <v/>
      </c>
      <c r="JJ14" s="1297" t="str">
        <f t="shared" si="249"/>
        <v/>
      </c>
      <c r="JK14" s="1297" t="str">
        <f t="shared" si="250"/>
        <v/>
      </c>
      <c r="JL14" s="1297" t="str">
        <f t="shared" si="251"/>
        <v/>
      </c>
      <c r="JM14" s="1297" t="str">
        <f t="shared" si="252"/>
        <v/>
      </c>
      <c r="JN14" s="1297" t="str">
        <f t="shared" si="253"/>
        <v/>
      </c>
      <c r="JO14" s="1297" t="str">
        <f t="shared" si="254"/>
        <v/>
      </c>
      <c r="JP14" s="1297" t="str">
        <f t="shared" si="255"/>
        <v/>
      </c>
      <c r="JQ14" s="1297" t="str">
        <f t="shared" si="256"/>
        <v/>
      </c>
      <c r="JR14" s="1297" t="str">
        <f t="shared" si="257"/>
        <v/>
      </c>
      <c r="JS14" s="1297" t="str">
        <f t="shared" si="258"/>
        <v/>
      </c>
      <c r="JT14" s="1297" t="str">
        <f t="shared" si="259"/>
        <v/>
      </c>
      <c r="JU14" s="1297" t="str">
        <f t="shared" si="260"/>
        <v/>
      </c>
      <c r="JV14" s="1297" t="str">
        <f t="shared" si="261"/>
        <v/>
      </c>
      <c r="JW14" s="1297" t="str">
        <f t="shared" si="262"/>
        <v/>
      </c>
      <c r="JX14" s="1297" t="str">
        <f t="shared" si="263"/>
        <v/>
      </c>
      <c r="JY14" s="1297" t="str">
        <f t="shared" si="264"/>
        <v/>
      </c>
      <c r="JZ14" s="1297" t="str">
        <f t="shared" si="265"/>
        <v/>
      </c>
      <c r="KA14" s="1297" t="str">
        <f t="shared" si="266"/>
        <v/>
      </c>
      <c r="KB14" s="1297" t="str">
        <f t="shared" si="267"/>
        <v/>
      </c>
      <c r="KC14" s="1297" t="str">
        <f t="shared" si="268"/>
        <v/>
      </c>
      <c r="KD14" s="1297" t="str">
        <f t="shared" si="269"/>
        <v/>
      </c>
      <c r="KE14" s="1297" t="str">
        <f t="shared" si="270"/>
        <v/>
      </c>
      <c r="KF14" s="1297" t="str">
        <f t="shared" si="271"/>
        <v/>
      </c>
      <c r="KG14" s="1297" t="str">
        <f t="shared" si="272"/>
        <v/>
      </c>
      <c r="KH14" s="1297" t="str">
        <f t="shared" si="273"/>
        <v/>
      </c>
      <c r="KI14" s="1297" t="str">
        <f t="shared" si="274"/>
        <v/>
      </c>
      <c r="KJ14" s="1297" t="str">
        <f t="shared" si="275"/>
        <v/>
      </c>
      <c r="KK14" s="1297" t="str">
        <f t="shared" si="276"/>
        <v/>
      </c>
      <c r="KL14" s="1297" t="str">
        <f t="shared" si="277"/>
        <v/>
      </c>
      <c r="KM14" s="1297" t="str">
        <f t="shared" si="278"/>
        <v/>
      </c>
      <c r="KN14" s="1297" t="str">
        <f t="shared" si="279"/>
        <v/>
      </c>
      <c r="KO14" s="1297" t="str">
        <f t="shared" si="280"/>
        <v/>
      </c>
      <c r="KP14" s="1297" t="str">
        <f t="shared" si="281"/>
        <v/>
      </c>
      <c r="KQ14" s="1297" t="str">
        <f t="shared" si="282"/>
        <v/>
      </c>
      <c r="KR14" s="1297" t="str">
        <f t="shared" si="283"/>
        <v/>
      </c>
      <c r="KS14" s="1297" t="str">
        <f t="shared" si="284"/>
        <v/>
      </c>
      <c r="KT14" s="1297" t="str">
        <f t="shared" si="285"/>
        <v/>
      </c>
      <c r="KU14" s="1297" t="str">
        <f t="shared" si="286"/>
        <v/>
      </c>
      <c r="KV14" s="1297" t="str">
        <f t="shared" si="287"/>
        <v/>
      </c>
      <c r="KW14" s="1297" t="str">
        <f t="shared" si="288"/>
        <v/>
      </c>
      <c r="KX14" s="1297" t="str">
        <f t="shared" si="289"/>
        <v/>
      </c>
      <c r="KY14" s="1297" t="str">
        <f t="shared" si="290"/>
        <v/>
      </c>
      <c r="KZ14" s="1297" t="str">
        <f t="shared" si="291"/>
        <v/>
      </c>
      <c r="LA14" s="1297" t="str">
        <f t="shared" si="292"/>
        <v/>
      </c>
      <c r="LB14" s="1297" t="str">
        <f t="shared" si="293"/>
        <v/>
      </c>
      <c r="LC14" s="1297" t="str">
        <f t="shared" si="294"/>
        <v/>
      </c>
      <c r="LD14" s="1297" t="str">
        <f t="shared" si="295"/>
        <v/>
      </c>
      <c r="LE14" s="1297" t="str">
        <f t="shared" si="296"/>
        <v/>
      </c>
      <c r="LF14" s="1297" t="str">
        <f t="shared" si="297"/>
        <v/>
      </c>
      <c r="LG14" s="1297" t="str">
        <f t="shared" si="298"/>
        <v/>
      </c>
      <c r="LH14" s="1297" t="str">
        <f t="shared" si="299"/>
        <v/>
      </c>
      <c r="LI14" s="1297" t="str">
        <f t="shared" si="300"/>
        <v/>
      </c>
      <c r="LJ14" s="1297" t="str">
        <f t="shared" si="301"/>
        <v/>
      </c>
      <c r="LK14" s="1297" t="str">
        <f t="shared" si="302"/>
        <v/>
      </c>
      <c r="LL14" s="1297" t="str">
        <f t="shared" si="303"/>
        <v/>
      </c>
      <c r="LM14" s="1297" t="str">
        <f t="shared" si="304"/>
        <v/>
      </c>
      <c r="LN14" s="1297" t="str">
        <f t="shared" si="305"/>
        <v/>
      </c>
      <c r="LO14" s="1297" t="str">
        <f t="shared" si="306"/>
        <v/>
      </c>
      <c r="LP14" s="1297" t="str">
        <f t="shared" si="307"/>
        <v/>
      </c>
      <c r="LQ14" s="1297" t="str">
        <f t="shared" si="308"/>
        <v/>
      </c>
      <c r="LR14" s="1297" t="str">
        <f t="shared" si="309"/>
        <v/>
      </c>
      <c r="LS14" s="1297" t="str">
        <f t="shared" si="310"/>
        <v/>
      </c>
      <c r="LT14" s="1297" t="str">
        <f t="shared" si="311"/>
        <v/>
      </c>
      <c r="LU14" s="1297" t="str">
        <f t="shared" si="312"/>
        <v/>
      </c>
      <c r="LV14" s="1297" t="str">
        <f t="shared" si="313"/>
        <v/>
      </c>
      <c r="LW14" s="1297" t="str">
        <f t="shared" si="314"/>
        <v/>
      </c>
      <c r="LX14" s="1297" t="str">
        <f t="shared" si="315"/>
        <v/>
      </c>
      <c r="LY14" s="1297" t="str">
        <f t="shared" si="316"/>
        <v/>
      </c>
      <c r="LZ14" s="1297" t="str">
        <f t="shared" si="317"/>
        <v/>
      </c>
      <c r="MA14" s="1297" t="str">
        <f t="shared" si="318"/>
        <v/>
      </c>
      <c r="MB14" s="1297" t="str">
        <f t="shared" si="319"/>
        <v/>
      </c>
      <c r="MC14" s="1297" t="str">
        <f t="shared" si="320"/>
        <v/>
      </c>
      <c r="MD14" s="1297" t="str">
        <f t="shared" si="321"/>
        <v/>
      </c>
      <c r="ME14" s="1297" t="str">
        <f t="shared" si="322"/>
        <v/>
      </c>
      <c r="MF14" s="1297" t="str">
        <f t="shared" si="323"/>
        <v/>
      </c>
      <c r="MG14" s="1297" t="str">
        <f t="shared" si="324"/>
        <v/>
      </c>
      <c r="MH14" s="1297" t="str">
        <f t="shared" si="325"/>
        <v/>
      </c>
      <c r="MI14" s="1297" t="str">
        <f t="shared" si="326"/>
        <v/>
      </c>
      <c r="MJ14" s="1297" t="str">
        <f t="shared" si="327"/>
        <v/>
      </c>
      <c r="MK14" s="1297" t="str">
        <f t="shared" si="328"/>
        <v/>
      </c>
      <c r="ML14" s="1297" t="str">
        <f t="shared" si="329"/>
        <v/>
      </c>
      <c r="MM14" s="1297" t="str">
        <f t="shared" si="330"/>
        <v/>
      </c>
      <c r="MN14" s="1297" t="str">
        <f t="shared" si="331"/>
        <v/>
      </c>
      <c r="MO14" s="1297" t="str">
        <f t="shared" si="332"/>
        <v/>
      </c>
      <c r="MP14" s="1773" t="str">
        <f t="shared" si="333"/>
        <v/>
      </c>
      <c r="MQ14" s="1773" t="str">
        <f t="shared" si="334"/>
        <v/>
      </c>
      <c r="MR14" s="1773" t="str">
        <f t="shared" si="335"/>
        <v/>
      </c>
      <c r="MS14" s="1773" t="str">
        <f t="shared" si="336"/>
        <v/>
      </c>
      <c r="MT14" s="1773" t="str">
        <f t="shared" si="337"/>
        <v/>
      </c>
      <c r="MU14" s="251" t="str">
        <f t="shared" si="338"/>
        <v/>
      </c>
      <c r="MV14" s="251" t="str">
        <f t="shared" si="339"/>
        <v/>
      </c>
      <c r="MW14" s="251" t="str">
        <f t="shared" si="340"/>
        <v/>
      </c>
      <c r="MX14" s="251" t="str">
        <f t="shared" si="341"/>
        <v/>
      </c>
      <c r="MY14" s="251" t="str">
        <f t="shared" si="342"/>
        <v/>
      </c>
      <c r="MZ14" s="251" t="str">
        <f t="shared" si="343"/>
        <v/>
      </c>
      <c r="NA14" s="251" t="str">
        <f t="shared" si="344"/>
        <v/>
      </c>
      <c r="NB14" s="251" t="str">
        <f t="shared" si="345"/>
        <v/>
      </c>
      <c r="NC14" s="251" t="str">
        <f t="shared" si="346"/>
        <v/>
      </c>
      <c r="ND14" s="251" t="str">
        <f t="shared" si="347"/>
        <v/>
      </c>
      <c r="NE14" s="251" t="str">
        <f t="shared" si="348"/>
        <v/>
      </c>
      <c r="NF14" s="251" t="str">
        <f t="shared" si="349"/>
        <v/>
      </c>
      <c r="NG14" s="251" t="str">
        <f t="shared" si="350"/>
        <v/>
      </c>
      <c r="NH14" s="251" t="str">
        <f t="shared" si="351"/>
        <v/>
      </c>
      <c r="NI14" s="251" t="str">
        <f t="shared" si="352"/>
        <v/>
      </c>
      <c r="NJ14" s="251" t="str">
        <f t="shared" si="353"/>
        <v/>
      </c>
      <c r="NK14" s="251" t="str">
        <f t="shared" si="354"/>
        <v/>
      </c>
      <c r="NL14" s="251" t="str">
        <f t="shared" si="355"/>
        <v/>
      </c>
      <c r="NM14" s="251" t="str">
        <f t="shared" si="356"/>
        <v/>
      </c>
      <c r="NN14" s="251" t="str">
        <f t="shared" si="357"/>
        <v/>
      </c>
      <c r="NO14" s="1185">
        <f t="shared" si="358"/>
        <v>0</v>
      </c>
      <c r="NP14" s="1185">
        <f t="shared" si="359"/>
        <v>0</v>
      </c>
      <c r="NQ14" s="1185">
        <f t="shared" si="360"/>
        <v>0</v>
      </c>
      <c r="NR14" s="1185">
        <f t="shared" si="361"/>
        <v>0</v>
      </c>
      <c r="NS14" s="1185">
        <f t="shared" si="362"/>
        <v>0</v>
      </c>
      <c r="NT14" s="1185">
        <f t="shared" si="368"/>
        <v>0</v>
      </c>
      <c r="NU14" s="1185">
        <f t="shared" si="369"/>
        <v>0</v>
      </c>
      <c r="NV14" s="1185">
        <f t="shared" si="370"/>
        <v>0</v>
      </c>
      <c r="NW14" s="1185">
        <f t="shared" si="371"/>
        <v>0</v>
      </c>
      <c r="NX14" s="1185">
        <f t="shared" si="372"/>
        <v>0</v>
      </c>
      <c r="NY14" s="1185">
        <f t="shared" si="363"/>
        <v>0</v>
      </c>
      <c r="NZ14" s="1185">
        <f t="shared" si="364"/>
        <v>0</v>
      </c>
      <c r="OA14" s="1185">
        <f t="shared" si="365"/>
        <v>0</v>
      </c>
      <c r="OB14" s="1185">
        <f t="shared" si="366"/>
        <v>0</v>
      </c>
      <c r="OC14" s="1185">
        <f t="shared" si="367"/>
        <v>0</v>
      </c>
      <c r="OY14" s="1794" t="s">
        <v>1162</v>
      </c>
      <c r="OZ14" s="1798">
        <v>14</v>
      </c>
    </row>
    <row r="15" spans="1:528" ht="12" customHeight="1">
      <c r="A15" s="53" t="str">
        <f t="shared" si="0"/>
        <v/>
      </c>
      <c r="B15" s="754" t="s">
        <v>1160</v>
      </c>
      <c r="C15" s="85"/>
      <c r="D15" s="1187"/>
      <c r="E15" s="86"/>
      <c r="F15" s="86"/>
      <c r="G15" s="86"/>
      <c r="H15" s="86"/>
      <c r="I15" s="86"/>
      <c r="J15" s="967"/>
      <c r="K15" s="473"/>
      <c r="L15" s="330">
        <f t="shared" si="1"/>
        <v>0</v>
      </c>
      <c r="M15" s="330">
        <f t="shared" si="2"/>
        <v>0</v>
      </c>
      <c r="N15" s="506"/>
      <c r="O15" s="1134"/>
      <c r="P15" s="506"/>
      <c r="Q15" s="87"/>
      <c r="R15" s="540"/>
      <c r="S15" s="541"/>
      <c r="T15" s="3758"/>
      <c r="U15" s="3759"/>
      <c r="V15" s="3759"/>
      <c r="W15" s="3760"/>
      <c r="X15" s="251" t="str">
        <f t="shared" si="3"/>
        <v/>
      </c>
      <c r="Y15" s="251" t="str">
        <f t="shared" si="4"/>
        <v/>
      </c>
      <c r="Z15" s="251" t="str">
        <f t="shared" si="5"/>
        <v/>
      </c>
      <c r="AA15" s="251" t="str">
        <f t="shared" si="6"/>
        <v/>
      </c>
      <c r="AB15" s="251" t="str">
        <f t="shared" si="7"/>
        <v/>
      </c>
      <c r="AC15" s="251" t="str">
        <f t="shared" si="8"/>
        <v/>
      </c>
      <c r="AD15" s="251" t="str">
        <f t="shared" si="9"/>
        <v/>
      </c>
      <c r="AE15" s="251" t="str">
        <f t="shared" si="10"/>
        <v/>
      </c>
      <c r="AF15" s="251" t="str">
        <f t="shared" si="11"/>
        <v/>
      </c>
      <c r="AG15" s="251" t="str">
        <f t="shared" si="12"/>
        <v/>
      </c>
      <c r="AH15" s="251" t="str">
        <f t="shared" si="13"/>
        <v/>
      </c>
      <c r="AI15" s="251" t="str">
        <f t="shared" si="14"/>
        <v/>
      </c>
      <c r="AJ15" s="251" t="str">
        <f t="shared" si="15"/>
        <v/>
      </c>
      <c r="AK15" s="251" t="str">
        <f t="shared" si="16"/>
        <v/>
      </c>
      <c r="AL15" s="251" t="str">
        <f t="shared" si="17"/>
        <v/>
      </c>
      <c r="AM15" s="251" t="str">
        <f t="shared" si="18"/>
        <v/>
      </c>
      <c r="AN15" s="251" t="str">
        <f t="shared" si="19"/>
        <v/>
      </c>
      <c r="AO15" s="251" t="str">
        <f t="shared" si="20"/>
        <v/>
      </c>
      <c r="AP15" s="251" t="str">
        <f t="shared" si="21"/>
        <v/>
      </c>
      <c r="AQ15" s="251" t="str">
        <f t="shared" si="22"/>
        <v/>
      </c>
      <c r="AR15" s="251" t="str">
        <f t="shared" si="23"/>
        <v/>
      </c>
      <c r="AS15" s="251" t="str">
        <f t="shared" si="24"/>
        <v/>
      </c>
      <c r="AT15" s="251" t="str">
        <f t="shared" si="25"/>
        <v/>
      </c>
      <c r="AU15" s="251" t="str">
        <f t="shared" si="26"/>
        <v/>
      </c>
      <c r="AV15" s="251" t="str">
        <f t="shared" si="27"/>
        <v/>
      </c>
      <c r="AW15" s="251" t="str">
        <f t="shared" si="28"/>
        <v/>
      </c>
      <c r="AX15" s="251" t="str">
        <f t="shared" si="29"/>
        <v/>
      </c>
      <c r="AY15" s="251" t="str">
        <f t="shared" si="30"/>
        <v/>
      </c>
      <c r="AZ15" s="251" t="str">
        <f t="shared" si="31"/>
        <v/>
      </c>
      <c r="BA15" s="251" t="str">
        <f t="shared" si="32"/>
        <v/>
      </c>
      <c r="BB15" s="251" t="str">
        <f t="shared" si="33"/>
        <v/>
      </c>
      <c r="BC15" s="251" t="str">
        <f t="shared" si="34"/>
        <v/>
      </c>
      <c r="BD15" s="251" t="str">
        <f t="shared" si="35"/>
        <v/>
      </c>
      <c r="BE15" s="251" t="str">
        <f t="shared" si="36"/>
        <v/>
      </c>
      <c r="BF15" s="251" t="str">
        <f t="shared" si="37"/>
        <v/>
      </c>
      <c r="BG15" s="251" t="str">
        <f t="shared" si="38"/>
        <v/>
      </c>
      <c r="BH15" s="251" t="str">
        <f t="shared" si="39"/>
        <v/>
      </c>
      <c r="BI15" s="251" t="str">
        <f t="shared" si="40"/>
        <v/>
      </c>
      <c r="BJ15" s="251" t="str">
        <f t="shared" si="41"/>
        <v/>
      </c>
      <c r="BK15" s="251" t="str">
        <f t="shared" si="42"/>
        <v/>
      </c>
      <c r="BL15" s="251" t="str">
        <f t="shared" si="43"/>
        <v/>
      </c>
      <c r="BM15" s="251" t="str">
        <f t="shared" si="44"/>
        <v/>
      </c>
      <c r="BN15" s="251" t="str">
        <f t="shared" si="45"/>
        <v/>
      </c>
      <c r="BO15" s="251" t="str">
        <f t="shared" si="46"/>
        <v/>
      </c>
      <c r="BP15" s="251" t="str">
        <f t="shared" si="47"/>
        <v/>
      </c>
      <c r="BQ15" s="251" t="str">
        <f t="shared" si="48"/>
        <v/>
      </c>
      <c r="BR15" s="251" t="str">
        <f t="shared" si="49"/>
        <v/>
      </c>
      <c r="BS15" s="251" t="str">
        <f t="shared" si="50"/>
        <v/>
      </c>
      <c r="BT15" s="251" t="str">
        <f t="shared" si="51"/>
        <v/>
      </c>
      <c r="BU15" s="251" t="str">
        <f t="shared" si="52"/>
        <v/>
      </c>
      <c r="BV15" s="251" t="str">
        <f t="shared" si="53"/>
        <v/>
      </c>
      <c r="BW15" s="251" t="str">
        <f t="shared" si="54"/>
        <v/>
      </c>
      <c r="BX15" s="251" t="str">
        <f t="shared" si="55"/>
        <v/>
      </c>
      <c r="BY15" s="251" t="str">
        <f t="shared" si="56"/>
        <v/>
      </c>
      <c r="BZ15" s="251" t="str">
        <f t="shared" si="57"/>
        <v/>
      </c>
      <c r="CA15" s="251" t="str">
        <f t="shared" si="58"/>
        <v/>
      </c>
      <c r="CB15" s="251" t="str">
        <f t="shared" si="59"/>
        <v/>
      </c>
      <c r="CC15" s="251" t="str">
        <f t="shared" si="60"/>
        <v/>
      </c>
      <c r="CD15" s="251" t="str">
        <f t="shared" si="61"/>
        <v/>
      </c>
      <c r="CE15" s="251" t="str">
        <f t="shared" si="62"/>
        <v/>
      </c>
      <c r="CF15" s="251" t="str">
        <f t="shared" si="63"/>
        <v/>
      </c>
      <c r="CG15" s="251" t="str">
        <f t="shared" si="64"/>
        <v/>
      </c>
      <c r="CH15" s="251" t="str">
        <f t="shared" si="65"/>
        <v/>
      </c>
      <c r="CI15" s="251" t="str">
        <f t="shared" si="66"/>
        <v/>
      </c>
      <c r="CJ15" s="251" t="str">
        <f t="shared" si="67"/>
        <v/>
      </c>
      <c r="CK15" s="251" t="str">
        <f t="shared" si="68"/>
        <v/>
      </c>
      <c r="CL15" s="251" t="str">
        <f t="shared" si="69"/>
        <v/>
      </c>
      <c r="CM15" s="251" t="str">
        <f t="shared" si="70"/>
        <v/>
      </c>
      <c r="CN15" s="251" t="str">
        <f t="shared" si="71"/>
        <v/>
      </c>
      <c r="CO15" s="251" t="str">
        <f t="shared" si="72"/>
        <v/>
      </c>
      <c r="CP15" s="251" t="str">
        <f t="shared" si="73"/>
        <v/>
      </c>
      <c r="CQ15" s="251" t="str">
        <f t="shared" si="74"/>
        <v/>
      </c>
      <c r="CR15" s="251" t="str">
        <f t="shared" si="75"/>
        <v/>
      </c>
      <c r="CS15" s="251" t="str">
        <f t="shared" si="76"/>
        <v/>
      </c>
      <c r="CT15" s="251" t="str">
        <f t="shared" si="77"/>
        <v/>
      </c>
      <c r="CU15" s="251" t="str">
        <f t="shared" si="78"/>
        <v/>
      </c>
      <c r="CV15" s="251" t="str">
        <f t="shared" si="79"/>
        <v/>
      </c>
      <c r="CW15" s="251" t="str">
        <f t="shared" si="80"/>
        <v/>
      </c>
      <c r="CX15" s="251" t="str">
        <f t="shared" si="81"/>
        <v/>
      </c>
      <c r="CY15" s="251" t="str">
        <f t="shared" si="82"/>
        <v/>
      </c>
      <c r="CZ15" s="251" t="str">
        <f t="shared" si="83"/>
        <v/>
      </c>
      <c r="DA15" s="251" t="str">
        <f t="shared" si="84"/>
        <v/>
      </c>
      <c r="DB15" s="251" t="str">
        <f t="shared" si="85"/>
        <v/>
      </c>
      <c r="DC15" s="251" t="str">
        <f t="shared" si="86"/>
        <v/>
      </c>
      <c r="DD15" s="251" t="str">
        <f t="shared" si="87"/>
        <v/>
      </c>
      <c r="DE15" s="251" t="str">
        <f t="shared" si="88"/>
        <v/>
      </c>
      <c r="DF15" s="251" t="str">
        <f t="shared" si="89"/>
        <v/>
      </c>
      <c r="DG15" s="251" t="str">
        <f t="shared" si="90"/>
        <v/>
      </c>
      <c r="DH15" s="251" t="str">
        <f t="shared" si="91"/>
        <v/>
      </c>
      <c r="DI15" s="251" t="str">
        <f t="shared" si="92"/>
        <v/>
      </c>
      <c r="DJ15" s="251" t="str">
        <f t="shared" si="93"/>
        <v/>
      </c>
      <c r="DK15" s="251" t="str">
        <f t="shared" si="94"/>
        <v/>
      </c>
      <c r="DL15" s="251" t="str">
        <f t="shared" si="95"/>
        <v/>
      </c>
      <c r="DM15" s="251" t="str">
        <f t="shared" si="96"/>
        <v/>
      </c>
      <c r="DN15" s="251" t="str">
        <f t="shared" si="97"/>
        <v/>
      </c>
      <c r="DO15" s="251" t="str">
        <f t="shared" si="98"/>
        <v/>
      </c>
      <c r="DP15" s="251" t="str">
        <f t="shared" si="99"/>
        <v/>
      </c>
      <c r="DQ15" s="251" t="str">
        <f t="shared" si="100"/>
        <v/>
      </c>
      <c r="DR15" s="251" t="str">
        <f t="shared" si="101"/>
        <v/>
      </c>
      <c r="DS15" s="251" t="str">
        <f t="shared" si="102"/>
        <v/>
      </c>
      <c r="DT15" s="251" t="str">
        <f t="shared" si="103"/>
        <v/>
      </c>
      <c r="DU15" s="251" t="str">
        <f t="shared" si="104"/>
        <v/>
      </c>
      <c r="DV15" s="251" t="str">
        <f t="shared" si="105"/>
        <v/>
      </c>
      <c r="DW15" s="251" t="str">
        <f t="shared" si="106"/>
        <v/>
      </c>
      <c r="DX15" s="251" t="str">
        <f t="shared" si="107"/>
        <v/>
      </c>
      <c r="DY15" s="251" t="str">
        <f t="shared" si="108"/>
        <v/>
      </c>
      <c r="DZ15" s="251" t="str">
        <f t="shared" si="109"/>
        <v/>
      </c>
      <c r="EA15" s="251" t="str">
        <f t="shared" si="110"/>
        <v/>
      </c>
      <c r="EB15" s="251" t="str">
        <f t="shared" si="111"/>
        <v/>
      </c>
      <c r="EC15" s="251" t="str">
        <f t="shared" si="112"/>
        <v/>
      </c>
      <c r="ED15" s="251" t="str">
        <f t="shared" si="113"/>
        <v/>
      </c>
      <c r="EE15" s="251" t="str">
        <f t="shared" si="114"/>
        <v/>
      </c>
      <c r="EF15" s="251" t="str">
        <f t="shared" si="115"/>
        <v/>
      </c>
      <c r="EG15" s="251" t="str">
        <f t="shared" si="116"/>
        <v/>
      </c>
      <c r="EH15" s="251" t="str">
        <f t="shared" si="117"/>
        <v/>
      </c>
      <c r="EI15" s="251" t="str">
        <f t="shared" si="118"/>
        <v/>
      </c>
      <c r="EJ15" s="251" t="str">
        <f t="shared" si="119"/>
        <v/>
      </c>
      <c r="EK15" s="251" t="str">
        <f t="shared" si="120"/>
        <v/>
      </c>
      <c r="EL15" s="251" t="str">
        <f t="shared" si="121"/>
        <v/>
      </c>
      <c r="EM15" s="251" t="str">
        <f t="shared" si="122"/>
        <v/>
      </c>
      <c r="EN15" s="251" t="str">
        <f t="shared" si="123"/>
        <v/>
      </c>
      <c r="EO15" s="251" t="str">
        <f t="shared" si="124"/>
        <v/>
      </c>
      <c r="EP15" s="251" t="str">
        <f t="shared" si="125"/>
        <v/>
      </c>
      <c r="EQ15" s="251" t="str">
        <f t="shared" si="126"/>
        <v/>
      </c>
      <c r="ER15" s="251" t="str">
        <f t="shared" si="127"/>
        <v/>
      </c>
      <c r="ES15" s="251" t="str">
        <f t="shared" si="128"/>
        <v/>
      </c>
      <c r="ET15" s="251" t="str">
        <f t="shared" si="129"/>
        <v/>
      </c>
      <c r="EU15" s="251" t="str">
        <f t="shared" si="130"/>
        <v/>
      </c>
      <c r="EV15" s="251" t="str">
        <f t="shared" si="131"/>
        <v/>
      </c>
      <c r="EW15" s="251" t="str">
        <f t="shared" si="132"/>
        <v/>
      </c>
      <c r="EX15" s="251" t="str">
        <f t="shared" si="133"/>
        <v/>
      </c>
      <c r="EY15" s="251" t="str">
        <f t="shared" si="134"/>
        <v/>
      </c>
      <c r="EZ15" s="251" t="str">
        <f t="shared" si="135"/>
        <v/>
      </c>
      <c r="FA15" s="251" t="str">
        <f t="shared" si="136"/>
        <v/>
      </c>
      <c r="FB15" s="251" t="str">
        <f t="shared" si="137"/>
        <v/>
      </c>
      <c r="FC15" s="251" t="str">
        <f t="shared" si="138"/>
        <v/>
      </c>
      <c r="FD15" s="251" t="str">
        <f t="shared" si="139"/>
        <v/>
      </c>
      <c r="FE15" s="251" t="str">
        <f t="shared" si="140"/>
        <v/>
      </c>
      <c r="FF15" s="251" t="str">
        <f t="shared" si="141"/>
        <v/>
      </c>
      <c r="FG15" s="251" t="str">
        <f t="shared" si="142"/>
        <v/>
      </c>
      <c r="FH15" s="251" t="str">
        <f t="shared" si="143"/>
        <v/>
      </c>
      <c r="FI15" s="251" t="str">
        <f t="shared" si="144"/>
        <v/>
      </c>
      <c r="FJ15" s="251" t="str">
        <f t="shared" si="145"/>
        <v/>
      </c>
      <c r="FK15" s="251" t="str">
        <f t="shared" si="146"/>
        <v/>
      </c>
      <c r="FL15" s="251" t="str">
        <f t="shared" si="147"/>
        <v/>
      </c>
      <c r="FM15" s="251" t="str">
        <f t="shared" si="148"/>
        <v/>
      </c>
      <c r="FN15" s="251" t="str">
        <f t="shared" si="149"/>
        <v/>
      </c>
      <c r="FO15" s="251" t="str">
        <f t="shared" si="150"/>
        <v/>
      </c>
      <c r="FP15" s="251" t="str">
        <f t="shared" si="151"/>
        <v/>
      </c>
      <c r="FQ15" s="251" t="str">
        <f t="shared" si="152"/>
        <v/>
      </c>
      <c r="FR15" s="251" t="str">
        <f t="shared" si="153"/>
        <v/>
      </c>
      <c r="FS15" s="251" t="str">
        <f t="shared" si="154"/>
        <v/>
      </c>
      <c r="FT15" s="251" t="str">
        <f t="shared" si="155"/>
        <v/>
      </c>
      <c r="FU15" s="251" t="str">
        <f t="shared" si="156"/>
        <v/>
      </c>
      <c r="FV15" s="251" t="str">
        <f t="shared" si="157"/>
        <v/>
      </c>
      <c r="FW15" s="251" t="str">
        <f t="shared" si="158"/>
        <v/>
      </c>
      <c r="FX15" s="251" t="str">
        <f t="shared" si="159"/>
        <v/>
      </c>
      <c r="FY15" s="251" t="str">
        <f t="shared" si="160"/>
        <v/>
      </c>
      <c r="FZ15" s="251" t="str">
        <f t="shared" si="161"/>
        <v/>
      </c>
      <c r="GA15" s="251" t="str">
        <f t="shared" si="162"/>
        <v/>
      </c>
      <c r="GB15" s="251" t="str">
        <f t="shared" si="163"/>
        <v/>
      </c>
      <c r="GC15" s="251" t="str">
        <f t="shared" si="164"/>
        <v/>
      </c>
      <c r="GD15" s="251" t="str">
        <f t="shared" si="165"/>
        <v/>
      </c>
      <c r="GE15" s="251" t="str">
        <f t="shared" si="166"/>
        <v/>
      </c>
      <c r="GF15" s="251" t="str">
        <f t="shared" si="167"/>
        <v/>
      </c>
      <c r="GG15" s="251" t="str">
        <f t="shared" si="168"/>
        <v/>
      </c>
      <c r="GH15" s="251" t="str">
        <f t="shared" si="169"/>
        <v/>
      </c>
      <c r="GI15" s="251" t="str">
        <f t="shared" si="170"/>
        <v/>
      </c>
      <c r="GJ15" s="251" t="str">
        <f t="shared" si="171"/>
        <v/>
      </c>
      <c r="GK15" s="251" t="str">
        <f t="shared" si="172"/>
        <v/>
      </c>
      <c r="GL15" s="251" t="str">
        <f t="shared" si="173"/>
        <v/>
      </c>
      <c r="GM15" s="251" t="str">
        <f t="shared" si="174"/>
        <v/>
      </c>
      <c r="GN15" s="251" t="str">
        <f t="shared" si="175"/>
        <v/>
      </c>
      <c r="GO15" s="251" t="str">
        <f t="shared" si="176"/>
        <v/>
      </c>
      <c r="GP15" s="251" t="str">
        <f t="shared" si="177"/>
        <v/>
      </c>
      <c r="GQ15" s="251" t="str">
        <f t="shared" si="178"/>
        <v/>
      </c>
      <c r="GR15" s="251" t="str">
        <f t="shared" si="179"/>
        <v/>
      </c>
      <c r="GS15" s="251" t="str">
        <f t="shared" si="180"/>
        <v/>
      </c>
      <c r="GT15" s="251" t="str">
        <f t="shared" si="181"/>
        <v/>
      </c>
      <c r="GU15" s="251" t="str">
        <f t="shared" si="182"/>
        <v/>
      </c>
      <c r="GV15" s="251" t="str">
        <f t="shared" si="183"/>
        <v/>
      </c>
      <c r="GW15" s="251" t="str">
        <f t="shared" si="184"/>
        <v/>
      </c>
      <c r="GX15" s="251" t="str">
        <f t="shared" si="185"/>
        <v/>
      </c>
      <c r="GY15" s="251" t="str">
        <f t="shared" si="186"/>
        <v/>
      </c>
      <c r="GZ15" s="251" t="str">
        <f t="shared" si="187"/>
        <v/>
      </c>
      <c r="HA15" s="251" t="str">
        <f t="shared" si="188"/>
        <v/>
      </c>
      <c r="HB15" s="251" t="str">
        <f t="shared" si="189"/>
        <v/>
      </c>
      <c r="HC15" s="251" t="str">
        <f t="shared" si="190"/>
        <v/>
      </c>
      <c r="HD15" s="251" t="str">
        <f t="shared" si="191"/>
        <v/>
      </c>
      <c r="HE15" s="251" t="str">
        <f t="shared" si="192"/>
        <v/>
      </c>
      <c r="HF15" s="251" t="str">
        <f t="shared" si="193"/>
        <v/>
      </c>
      <c r="HG15" s="251" t="str">
        <f t="shared" si="194"/>
        <v/>
      </c>
      <c r="HH15" s="251" t="str">
        <f t="shared" si="195"/>
        <v/>
      </c>
      <c r="HI15" s="251" t="str">
        <f t="shared" si="196"/>
        <v/>
      </c>
      <c r="HJ15" s="251" t="str">
        <f t="shared" si="197"/>
        <v/>
      </c>
      <c r="HK15" s="251" t="str">
        <f t="shared" si="198"/>
        <v/>
      </c>
      <c r="HL15" s="251" t="str">
        <f t="shared" si="199"/>
        <v/>
      </c>
      <c r="HM15" s="251" t="str">
        <f t="shared" si="200"/>
        <v/>
      </c>
      <c r="HN15" s="251" t="str">
        <f t="shared" si="201"/>
        <v/>
      </c>
      <c r="HO15" s="251" t="str">
        <f t="shared" si="202"/>
        <v/>
      </c>
      <c r="HP15" s="251" t="str">
        <f t="shared" si="203"/>
        <v/>
      </c>
      <c r="HQ15" s="251" t="str">
        <f t="shared" si="204"/>
        <v/>
      </c>
      <c r="HR15" s="251" t="str">
        <f t="shared" si="205"/>
        <v/>
      </c>
      <c r="HS15" s="251" t="str">
        <f t="shared" si="206"/>
        <v/>
      </c>
      <c r="HT15" s="251" t="str">
        <f t="shared" si="207"/>
        <v/>
      </c>
      <c r="HU15" s="251" t="str">
        <f t="shared" si="208"/>
        <v/>
      </c>
      <c r="HV15" s="251" t="str">
        <f t="shared" si="209"/>
        <v/>
      </c>
      <c r="HW15" s="251" t="str">
        <f t="shared" si="210"/>
        <v/>
      </c>
      <c r="HX15" s="251" t="str">
        <f t="shared" si="211"/>
        <v/>
      </c>
      <c r="HY15" s="251" t="str">
        <f t="shared" si="212"/>
        <v/>
      </c>
      <c r="HZ15" s="251" t="str">
        <f t="shared" si="213"/>
        <v/>
      </c>
      <c r="IA15" s="251" t="str">
        <f t="shared" si="214"/>
        <v/>
      </c>
      <c r="IB15" s="251" t="str">
        <f t="shared" si="215"/>
        <v/>
      </c>
      <c r="IC15" s="251" t="str">
        <f t="shared" si="216"/>
        <v/>
      </c>
      <c r="ID15" s="251" t="str">
        <f t="shared" si="217"/>
        <v/>
      </c>
      <c r="IE15" s="251" t="str">
        <f t="shared" si="218"/>
        <v/>
      </c>
      <c r="IF15" s="251" t="str">
        <f t="shared" si="219"/>
        <v/>
      </c>
      <c r="IG15" s="251" t="str">
        <f t="shared" si="220"/>
        <v/>
      </c>
      <c r="IH15" s="251" t="str">
        <f t="shared" si="221"/>
        <v/>
      </c>
      <c r="II15" s="251" t="str">
        <f t="shared" si="222"/>
        <v/>
      </c>
      <c r="IJ15" s="251" t="str">
        <f t="shared" si="223"/>
        <v/>
      </c>
      <c r="IK15" s="251" t="str">
        <f t="shared" si="224"/>
        <v/>
      </c>
      <c r="IL15" s="251" t="str">
        <f t="shared" si="225"/>
        <v/>
      </c>
      <c r="IM15" s="251" t="str">
        <f t="shared" si="226"/>
        <v/>
      </c>
      <c r="IN15" s="251" t="str">
        <f t="shared" si="227"/>
        <v/>
      </c>
      <c r="IO15" s="251" t="str">
        <f t="shared" si="228"/>
        <v/>
      </c>
      <c r="IP15" s="251" t="str">
        <f t="shared" si="229"/>
        <v/>
      </c>
      <c r="IQ15" s="251" t="str">
        <f t="shared" si="230"/>
        <v/>
      </c>
      <c r="IR15" s="251" t="str">
        <f t="shared" si="231"/>
        <v/>
      </c>
      <c r="IS15" s="251" t="str">
        <f t="shared" si="232"/>
        <v/>
      </c>
      <c r="IT15" s="251" t="str">
        <f t="shared" si="233"/>
        <v/>
      </c>
      <c r="IU15" s="251" t="str">
        <f t="shared" si="234"/>
        <v/>
      </c>
      <c r="IV15" s="251" t="str">
        <f t="shared" si="235"/>
        <v/>
      </c>
      <c r="IW15" s="251" t="str">
        <f t="shared" si="236"/>
        <v/>
      </c>
      <c r="IX15" s="251" t="str">
        <f t="shared" si="237"/>
        <v/>
      </c>
      <c r="IY15" s="251" t="str">
        <f t="shared" si="238"/>
        <v/>
      </c>
      <c r="IZ15" s="251" t="str">
        <f t="shared" si="239"/>
        <v/>
      </c>
      <c r="JA15" s="251" t="str">
        <f t="shared" si="240"/>
        <v/>
      </c>
      <c r="JB15" s="251" t="str">
        <f t="shared" si="241"/>
        <v/>
      </c>
      <c r="JC15" s="251" t="str">
        <f t="shared" si="242"/>
        <v/>
      </c>
      <c r="JD15" s="251" t="str">
        <f t="shared" si="243"/>
        <v/>
      </c>
      <c r="JE15" s="251" t="str">
        <f t="shared" si="244"/>
        <v/>
      </c>
      <c r="JF15" s="251" t="str">
        <f t="shared" si="245"/>
        <v/>
      </c>
      <c r="JG15" s="251" t="str">
        <f t="shared" si="246"/>
        <v/>
      </c>
      <c r="JH15" s="251" t="str">
        <f t="shared" si="247"/>
        <v/>
      </c>
      <c r="JI15" s="1297" t="str">
        <f t="shared" si="248"/>
        <v/>
      </c>
      <c r="JJ15" s="1297" t="str">
        <f t="shared" si="249"/>
        <v/>
      </c>
      <c r="JK15" s="1297" t="str">
        <f t="shared" si="250"/>
        <v/>
      </c>
      <c r="JL15" s="1297" t="str">
        <f t="shared" si="251"/>
        <v/>
      </c>
      <c r="JM15" s="1297" t="str">
        <f t="shared" si="252"/>
        <v/>
      </c>
      <c r="JN15" s="1297" t="str">
        <f t="shared" si="253"/>
        <v/>
      </c>
      <c r="JO15" s="1297" t="str">
        <f t="shared" si="254"/>
        <v/>
      </c>
      <c r="JP15" s="1297" t="str">
        <f t="shared" si="255"/>
        <v/>
      </c>
      <c r="JQ15" s="1297" t="str">
        <f t="shared" si="256"/>
        <v/>
      </c>
      <c r="JR15" s="1297" t="str">
        <f t="shared" si="257"/>
        <v/>
      </c>
      <c r="JS15" s="1297" t="str">
        <f t="shared" si="258"/>
        <v/>
      </c>
      <c r="JT15" s="1297" t="str">
        <f t="shared" si="259"/>
        <v/>
      </c>
      <c r="JU15" s="1297" t="str">
        <f t="shared" si="260"/>
        <v/>
      </c>
      <c r="JV15" s="1297" t="str">
        <f t="shared" si="261"/>
        <v/>
      </c>
      <c r="JW15" s="1297" t="str">
        <f t="shared" si="262"/>
        <v/>
      </c>
      <c r="JX15" s="1297" t="str">
        <f t="shared" si="263"/>
        <v/>
      </c>
      <c r="JY15" s="1297" t="str">
        <f t="shared" si="264"/>
        <v/>
      </c>
      <c r="JZ15" s="1297" t="str">
        <f t="shared" si="265"/>
        <v/>
      </c>
      <c r="KA15" s="1297" t="str">
        <f t="shared" si="266"/>
        <v/>
      </c>
      <c r="KB15" s="1297" t="str">
        <f t="shared" si="267"/>
        <v/>
      </c>
      <c r="KC15" s="1297" t="str">
        <f t="shared" si="268"/>
        <v/>
      </c>
      <c r="KD15" s="1297" t="str">
        <f t="shared" si="269"/>
        <v/>
      </c>
      <c r="KE15" s="1297" t="str">
        <f t="shared" si="270"/>
        <v/>
      </c>
      <c r="KF15" s="1297" t="str">
        <f t="shared" si="271"/>
        <v/>
      </c>
      <c r="KG15" s="1297" t="str">
        <f t="shared" si="272"/>
        <v/>
      </c>
      <c r="KH15" s="1297" t="str">
        <f t="shared" si="273"/>
        <v/>
      </c>
      <c r="KI15" s="1297" t="str">
        <f t="shared" si="274"/>
        <v/>
      </c>
      <c r="KJ15" s="1297" t="str">
        <f t="shared" si="275"/>
        <v/>
      </c>
      <c r="KK15" s="1297" t="str">
        <f t="shared" si="276"/>
        <v/>
      </c>
      <c r="KL15" s="1297" t="str">
        <f t="shared" si="277"/>
        <v/>
      </c>
      <c r="KM15" s="1297" t="str">
        <f t="shared" si="278"/>
        <v/>
      </c>
      <c r="KN15" s="1297" t="str">
        <f t="shared" si="279"/>
        <v/>
      </c>
      <c r="KO15" s="1297" t="str">
        <f t="shared" si="280"/>
        <v/>
      </c>
      <c r="KP15" s="1297" t="str">
        <f t="shared" si="281"/>
        <v/>
      </c>
      <c r="KQ15" s="1297" t="str">
        <f t="shared" si="282"/>
        <v/>
      </c>
      <c r="KR15" s="1297" t="str">
        <f t="shared" si="283"/>
        <v/>
      </c>
      <c r="KS15" s="1297" t="str">
        <f t="shared" si="284"/>
        <v/>
      </c>
      <c r="KT15" s="1297" t="str">
        <f t="shared" si="285"/>
        <v/>
      </c>
      <c r="KU15" s="1297" t="str">
        <f t="shared" si="286"/>
        <v/>
      </c>
      <c r="KV15" s="1297" t="str">
        <f t="shared" si="287"/>
        <v/>
      </c>
      <c r="KW15" s="1297" t="str">
        <f t="shared" si="288"/>
        <v/>
      </c>
      <c r="KX15" s="1297" t="str">
        <f t="shared" si="289"/>
        <v/>
      </c>
      <c r="KY15" s="1297" t="str">
        <f t="shared" si="290"/>
        <v/>
      </c>
      <c r="KZ15" s="1297" t="str">
        <f t="shared" si="291"/>
        <v/>
      </c>
      <c r="LA15" s="1297" t="str">
        <f t="shared" si="292"/>
        <v/>
      </c>
      <c r="LB15" s="1297" t="str">
        <f t="shared" si="293"/>
        <v/>
      </c>
      <c r="LC15" s="1297" t="str">
        <f t="shared" si="294"/>
        <v/>
      </c>
      <c r="LD15" s="1297" t="str">
        <f t="shared" si="295"/>
        <v/>
      </c>
      <c r="LE15" s="1297" t="str">
        <f t="shared" si="296"/>
        <v/>
      </c>
      <c r="LF15" s="1297" t="str">
        <f t="shared" si="297"/>
        <v/>
      </c>
      <c r="LG15" s="1297" t="str">
        <f t="shared" si="298"/>
        <v/>
      </c>
      <c r="LH15" s="1297" t="str">
        <f t="shared" si="299"/>
        <v/>
      </c>
      <c r="LI15" s="1297" t="str">
        <f t="shared" si="300"/>
        <v/>
      </c>
      <c r="LJ15" s="1297" t="str">
        <f t="shared" si="301"/>
        <v/>
      </c>
      <c r="LK15" s="1297" t="str">
        <f t="shared" si="302"/>
        <v/>
      </c>
      <c r="LL15" s="1297" t="str">
        <f t="shared" si="303"/>
        <v/>
      </c>
      <c r="LM15" s="1297" t="str">
        <f t="shared" si="304"/>
        <v/>
      </c>
      <c r="LN15" s="1297" t="str">
        <f t="shared" si="305"/>
        <v/>
      </c>
      <c r="LO15" s="1297" t="str">
        <f t="shared" si="306"/>
        <v/>
      </c>
      <c r="LP15" s="1297" t="str">
        <f t="shared" si="307"/>
        <v/>
      </c>
      <c r="LQ15" s="1297" t="str">
        <f t="shared" si="308"/>
        <v/>
      </c>
      <c r="LR15" s="1297" t="str">
        <f t="shared" si="309"/>
        <v/>
      </c>
      <c r="LS15" s="1297" t="str">
        <f t="shared" si="310"/>
        <v/>
      </c>
      <c r="LT15" s="1297" t="str">
        <f t="shared" si="311"/>
        <v/>
      </c>
      <c r="LU15" s="1297" t="str">
        <f t="shared" si="312"/>
        <v/>
      </c>
      <c r="LV15" s="1297" t="str">
        <f t="shared" si="313"/>
        <v/>
      </c>
      <c r="LW15" s="1297" t="str">
        <f t="shared" si="314"/>
        <v/>
      </c>
      <c r="LX15" s="1297" t="str">
        <f t="shared" si="315"/>
        <v/>
      </c>
      <c r="LY15" s="1297" t="str">
        <f t="shared" si="316"/>
        <v/>
      </c>
      <c r="LZ15" s="1297" t="str">
        <f t="shared" si="317"/>
        <v/>
      </c>
      <c r="MA15" s="1297" t="str">
        <f t="shared" si="318"/>
        <v/>
      </c>
      <c r="MB15" s="1297" t="str">
        <f t="shared" si="319"/>
        <v/>
      </c>
      <c r="MC15" s="1297" t="str">
        <f t="shared" si="320"/>
        <v/>
      </c>
      <c r="MD15" s="1297" t="str">
        <f t="shared" si="321"/>
        <v/>
      </c>
      <c r="ME15" s="1297" t="str">
        <f t="shared" si="322"/>
        <v/>
      </c>
      <c r="MF15" s="1297" t="str">
        <f t="shared" si="323"/>
        <v/>
      </c>
      <c r="MG15" s="1297" t="str">
        <f t="shared" si="324"/>
        <v/>
      </c>
      <c r="MH15" s="1297" t="str">
        <f t="shared" si="325"/>
        <v/>
      </c>
      <c r="MI15" s="1297" t="str">
        <f t="shared" si="326"/>
        <v/>
      </c>
      <c r="MJ15" s="1297" t="str">
        <f t="shared" si="327"/>
        <v/>
      </c>
      <c r="MK15" s="1297" t="str">
        <f t="shared" si="328"/>
        <v/>
      </c>
      <c r="ML15" s="1297" t="str">
        <f t="shared" si="329"/>
        <v/>
      </c>
      <c r="MM15" s="1297" t="str">
        <f t="shared" si="330"/>
        <v/>
      </c>
      <c r="MN15" s="1297" t="str">
        <f t="shared" si="331"/>
        <v/>
      </c>
      <c r="MO15" s="1297" t="str">
        <f t="shared" si="332"/>
        <v/>
      </c>
      <c r="MP15" s="1773" t="str">
        <f t="shared" si="333"/>
        <v/>
      </c>
      <c r="MQ15" s="1773" t="str">
        <f t="shared" si="334"/>
        <v/>
      </c>
      <c r="MR15" s="1773" t="str">
        <f t="shared" si="335"/>
        <v/>
      </c>
      <c r="MS15" s="1773" t="str">
        <f t="shared" si="336"/>
        <v/>
      </c>
      <c r="MT15" s="1773" t="str">
        <f t="shared" si="337"/>
        <v/>
      </c>
      <c r="MU15" s="251" t="str">
        <f t="shared" si="338"/>
        <v/>
      </c>
      <c r="MV15" s="251" t="str">
        <f t="shared" si="339"/>
        <v/>
      </c>
      <c r="MW15" s="251" t="str">
        <f t="shared" si="340"/>
        <v/>
      </c>
      <c r="MX15" s="251" t="str">
        <f t="shared" si="341"/>
        <v/>
      </c>
      <c r="MY15" s="251" t="str">
        <f t="shared" si="342"/>
        <v/>
      </c>
      <c r="MZ15" s="251" t="str">
        <f t="shared" si="343"/>
        <v/>
      </c>
      <c r="NA15" s="251" t="str">
        <f t="shared" si="344"/>
        <v/>
      </c>
      <c r="NB15" s="251" t="str">
        <f t="shared" si="345"/>
        <v/>
      </c>
      <c r="NC15" s="251" t="str">
        <f t="shared" si="346"/>
        <v/>
      </c>
      <c r="ND15" s="251" t="str">
        <f t="shared" si="347"/>
        <v/>
      </c>
      <c r="NE15" s="251" t="str">
        <f t="shared" si="348"/>
        <v/>
      </c>
      <c r="NF15" s="251" t="str">
        <f t="shared" si="349"/>
        <v/>
      </c>
      <c r="NG15" s="251" t="str">
        <f t="shared" si="350"/>
        <v/>
      </c>
      <c r="NH15" s="251" t="str">
        <f t="shared" si="351"/>
        <v/>
      </c>
      <c r="NI15" s="251" t="str">
        <f t="shared" si="352"/>
        <v/>
      </c>
      <c r="NJ15" s="251" t="str">
        <f t="shared" si="353"/>
        <v/>
      </c>
      <c r="NK15" s="251" t="str">
        <f t="shared" si="354"/>
        <v/>
      </c>
      <c r="NL15" s="251" t="str">
        <f t="shared" si="355"/>
        <v/>
      </c>
      <c r="NM15" s="251" t="str">
        <f t="shared" si="356"/>
        <v/>
      </c>
      <c r="NN15" s="251" t="str">
        <f t="shared" si="357"/>
        <v/>
      </c>
      <c r="NO15" s="1185">
        <f t="shared" si="358"/>
        <v>0</v>
      </c>
      <c r="NP15" s="1185">
        <f t="shared" si="359"/>
        <v>0</v>
      </c>
      <c r="NQ15" s="1185">
        <f t="shared" si="360"/>
        <v>0</v>
      </c>
      <c r="NR15" s="1185">
        <f t="shared" si="361"/>
        <v>0</v>
      </c>
      <c r="NS15" s="1185">
        <f t="shared" si="362"/>
        <v>0</v>
      </c>
      <c r="NT15" s="1185">
        <f t="shared" si="368"/>
        <v>0</v>
      </c>
      <c r="NU15" s="1185">
        <f t="shared" si="369"/>
        <v>0</v>
      </c>
      <c r="NV15" s="1185">
        <f t="shared" si="370"/>
        <v>0</v>
      </c>
      <c r="NW15" s="1185">
        <f t="shared" si="371"/>
        <v>0</v>
      </c>
      <c r="NX15" s="1185">
        <f t="shared" si="372"/>
        <v>0</v>
      </c>
      <c r="NY15" s="1185">
        <f t="shared" si="363"/>
        <v>0</v>
      </c>
      <c r="NZ15" s="1185">
        <f t="shared" si="364"/>
        <v>0</v>
      </c>
      <c r="OA15" s="1185">
        <f t="shared" si="365"/>
        <v>0</v>
      </c>
      <c r="OB15" s="1185">
        <f t="shared" si="366"/>
        <v>0</v>
      </c>
      <c r="OC15" s="1185">
        <f t="shared" si="367"/>
        <v>0</v>
      </c>
      <c r="OY15" s="1794" t="s">
        <v>1163</v>
      </c>
      <c r="OZ15" s="1799">
        <v>15</v>
      </c>
    </row>
    <row r="16" spans="1:528" ht="12" customHeight="1">
      <c r="A16" s="53" t="str">
        <f t="shared" si="0"/>
        <v/>
      </c>
      <c r="B16" s="754" t="s">
        <v>1160</v>
      </c>
      <c r="C16" s="85"/>
      <c r="D16" s="1187"/>
      <c r="E16" s="86"/>
      <c r="F16" s="86"/>
      <c r="G16" s="86"/>
      <c r="H16" s="86"/>
      <c r="I16" s="86"/>
      <c r="J16" s="967"/>
      <c r="K16" s="473"/>
      <c r="L16" s="330">
        <f t="shared" si="1"/>
        <v>0</v>
      </c>
      <c r="M16" s="330">
        <f t="shared" si="2"/>
        <v>0</v>
      </c>
      <c r="N16" s="506"/>
      <c r="O16" s="1134"/>
      <c r="P16" s="506"/>
      <c r="Q16" s="87"/>
      <c r="R16" s="540"/>
      <c r="S16" s="541"/>
      <c r="T16" s="3758"/>
      <c r="U16" s="3759"/>
      <c r="V16" s="3759"/>
      <c r="W16" s="3760"/>
      <c r="X16" s="251" t="str">
        <f t="shared" si="3"/>
        <v/>
      </c>
      <c r="Y16" s="251" t="str">
        <f t="shared" si="4"/>
        <v/>
      </c>
      <c r="Z16" s="251" t="str">
        <f t="shared" si="5"/>
        <v/>
      </c>
      <c r="AA16" s="251" t="str">
        <f t="shared" si="6"/>
        <v/>
      </c>
      <c r="AB16" s="251" t="str">
        <f t="shared" si="7"/>
        <v/>
      </c>
      <c r="AC16" s="251" t="str">
        <f t="shared" si="8"/>
        <v/>
      </c>
      <c r="AD16" s="251" t="str">
        <f t="shared" si="9"/>
        <v/>
      </c>
      <c r="AE16" s="251" t="str">
        <f t="shared" si="10"/>
        <v/>
      </c>
      <c r="AF16" s="251" t="str">
        <f t="shared" si="11"/>
        <v/>
      </c>
      <c r="AG16" s="251" t="str">
        <f t="shared" si="12"/>
        <v/>
      </c>
      <c r="AH16" s="251" t="str">
        <f t="shared" si="13"/>
        <v/>
      </c>
      <c r="AI16" s="251" t="str">
        <f t="shared" si="14"/>
        <v/>
      </c>
      <c r="AJ16" s="251" t="str">
        <f t="shared" si="15"/>
        <v/>
      </c>
      <c r="AK16" s="251" t="str">
        <f t="shared" si="16"/>
        <v/>
      </c>
      <c r="AL16" s="251" t="str">
        <f t="shared" si="17"/>
        <v/>
      </c>
      <c r="AM16" s="251" t="str">
        <f t="shared" si="18"/>
        <v/>
      </c>
      <c r="AN16" s="251" t="str">
        <f t="shared" si="19"/>
        <v/>
      </c>
      <c r="AO16" s="251" t="str">
        <f t="shared" si="20"/>
        <v/>
      </c>
      <c r="AP16" s="251" t="str">
        <f t="shared" si="21"/>
        <v/>
      </c>
      <c r="AQ16" s="251" t="str">
        <f t="shared" si="22"/>
        <v/>
      </c>
      <c r="AR16" s="251" t="str">
        <f t="shared" si="23"/>
        <v/>
      </c>
      <c r="AS16" s="251" t="str">
        <f t="shared" si="24"/>
        <v/>
      </c>
      <c r="AT16" s="251" t="str">
        <f t="shared" si="25"/>
        <v/>
      </c>
      <c r="AU16" s="251" t="str">
        <f t="shared" si="26"/>
        <v/>
      </c>
      <c r="AV16" s="251" t="str">
        <f t="shared" si="27"/>
        <v/>
      </c>
      <c r="AW16" s="251" t="str">
        <f t="shared" si="28"/>
        <v/>
      </c>
      <c r="AX16" s="251" t="str">
        <f t="shared" si="29"/>
        <v/>
      </c>
      <c r="AY16" s="251" t="str">
        <f t="shared" si="30"/>
        <v/>
      </c>
      <c r="AZ16" s="251" t="str">
        <f t="shared" si="31"/>
        <v/>
      </c>
      <c r="BA16" s="251" t="str">
        <f t="shared" si="32"/>
        <v/>
      </c>
      <c r="BB16" s="251" t="str">
        <f t="shared" si="33"/>
        <v/>
      </c>
      <c r="BC16" s="251" t="str">
        <f t="shared" si="34"/>
        <v/>
      </c>
      <c r="BD16" s="251" t="str">
        <f t="shared" si="35"/>
        <v/>
      </c>
      <c r="BE16" s="251" t="str">
        <f t="shared" si="36"/>
        <v/>
      </c>
      <c r="BF16" s="251" t="str">
        <f t="shared" si="37"/>
        <v/>
      </c>
      <c r="BG16" s="251" t="str">
        <f t="shared" si="38"/>
        <v/>
      </c>
      <c r="BH16" s="251" t="str">
        <f t="shared" si="39"/>
        <v/>
      </c>
      <c r="BI16" s="251" t="str">
        <f t="shared" si="40"/>
        <v/>
      </c>
      <c r="BJ16" s="251" t="str">
        <f t="shared" si="41"/>
        <v/>
      </c>
      <c r="BK16" s="251" t="str">
        <f t="shared" si="42"/>
        <v/>
      </c>
      <c r="BL16" s="251" t="str">
        <f t="shared" si="43"/>
        <v/>
      </c>
      <c r="BM16" s="251" t="str">
        <f t="shared" si="44"/>
        <v/>
      </c>
      <c r="BN16" s="251" t="str">
        <f t="shared" si="45"/>
        <v/>
      </c>
      <c r="BO16" s="251" t="str">
        <f t="shared" si="46"/>
        <v/>
      </c>
      <c r="BP16" s="251" t="str">
        <f t="shared" si="47"/>
        <v/>
      </c>
      <c r="BQ16" s="251" t="str">
        <f t="shared" si="48"/>
        <v/>
      </c>
      <c r="BR16" s="251" t="str">
        <f t="shared" si="49"/>
        <v/>
      </c>
      <c r="BS16" s="251" t="str">
        <f t="shared" si="50"/>
        <v/>
      </c>
      <c r="BT16" s="251" t="str">
        <f t="shared" si="51"/>
        <v/>
      </c>
      <c r="BU16" s="251" t="str">
        <f t="shared" si="52"/>
        <v/>
      </c>
      <c r="BV16" s="251" t="str">
        <f t="shared" si="53"/>
        <v/>
      </c>
      <c r="BW16" s="251" t="str">
        <f t="shared" si="54"/>
        <v/>
      </c>
      <c r="BX16" s="251" t="str">
        <f t="shared" si="55"/>
        <v/>
      </c>
      <c r="BY16" s="251" t="str">
        <f t="shared" si="56"/>
        <v/>
      </c>
      <c r="BZ16" s="251" t="str">
        <f t="shared" si="57"/>
        <v/>
      </c>
      <c r="CA16" s="251" t="str">
        <f t="shared" si="58"/>
        <v/>
      </c>
      <c r="CB16" s="251" t="str">
        <f t="shared" si="59"/>
        <v/>
      </c>
      <c r="CC16" s="251" t="str">
        <f t="shared" si="60"/>
        <v/>
      </c>
      <c r="CD16" s="251" t="str">
        <f t="shared" si="61"/>
        <v/>
      </c>
      <c r="CE16" s="251" t="str">
        <f t="shared" si="62"/>
        <v/>
      </c>
      <c r="CF16" s="251" t="str">
        <f t="shared" si="63"/>
        <v/>
      </c>
      <c r="CG16" s="251" t="str">
        <f t="shared" si="64"/>
        <v/>
      </c>
      <c r="CH16" s="251" t="str">
        <f t="shared" si="65"/>
        <v/>
      </c>
      <c r="CI16" s="251" t="str">
        <f t="shared" si="66"/>
        <v/>
      </c>
      <c r="CJ16" s="251" t="str">
        <f t="shared" si="67"/>
        <v/>
      </c>
      <c r="CK16" s="251" t="str">
        <f t="shared" si="68"/>
        <v/>
      </c>
      <c r="CL16" s="251" t="str">
        <f t="shared" si="69"/>
        <v/>
      </c>
      <c r="CM16" s="251" t="str">
        <f t="shared" si="70"/>
        <v/>
      </c>
      <c r="CN16" s="251" t="str">
        <f t="shared" si="71"/>
        <v/>
      </c>
      <c r="CO16" s="251" t="str">
        <f t="shared" si="72"/>
        <v/>
      </c>
      <c r="CP16" s="251" t="str">
        <f t="shared" si="73"/>
        <v/>
      </c>
      <c r="CQ16" s="251" t="str">
        <f t="shared" si="74"/>
        <v/>
      </c>
      <c r="CR16" s="251" t="str">
        <f t="shared" si="75"/>
        <v/>
      </c>
      <c r="CS16" s="251" t="str">
        <f t="shared" si="76"/>
        <v/>
      </c>
      <c r="CT16" s="251" t="str">
        <f t="shared" si="77"/>
        <v/>
      </c>
      <c r="CU16" s="251" t="str">
        <f t="shared" si="78"/>
        <v/>
      </c>
      <c r="CV16" s="251" t="str">
        <f t="shared" si="79"/>
        <v/>
      </c>
      <c r="CW16" s="251" t="str">
        <f t="shared" si="80"/>
        <v/>
      </c>
      <c r="CX16" s="251" t="str">
        <f t="shared" si="81"/>
        <v/>
      </c>
      <c r="CY16" s="251" t="str">
        <f t="shared" si="82"/>
        <v/>
      </c>
      <c r="CZ16" s="251" t="str">
        <f t="shared" si="83"/>
        <v/>
      </c>
      <c r="DA16" s="251" t="str">
        <f t="shared" si="84"/>
        <v/>
      </c>
      <c r="DB16" s="251" t="str">
        <f t="shared" si="85"/>
        <v/>
      </c>
      <c r="DC16" s="251" t="str">
        <f t="shared" si="86"/>
        <v/>
      </c>
      <c r="DD16" s="251" t="str">
        <f t="shared" si="87"/>
        <v/>
      </c>
      <c r="DE16" s="251" t="str">
        <f t="shared" si="88"/>
        <v/>
      </c>
      <c r="DF16" s="251" t="str">
        <f t="shared" si="89"/>
        <v/>
      </c>
      <c r="DG16" s="251" t="str">
        <f t="shared" si="90"/>
        <v/>
      </c>
      <c r="DH16" s="251" t="str">
        <f t="shared" si="91"/>
        <v/>
      </c>
      <c r="DI16" s="251" t="str">
        <f t="shared" si="92"/>
        <v/>
      </c>
      <c r="DJ16" s="251" t="str">
        <f t="shared" si="93"/>
        <v/>
      </c>
      <c r="DK16" s="251" t="str">
        <f t="shared" si="94"/>
        <v/>
      </c>
      <c r="DL16" s="251" t="str">
        <f t="shared" si="95"/>
        <v/>
      </c>
      <c r="DM16" s="251" t="str">
        <f t="shared" si="96"/>
        <v/>
      </c>
      <c r="DN16" s="251" t="str">
        <f t="shared" si="97"/>
        <v/>
      </c>
      <c r="DO16" s="251" t="str">
        <f t="shared" si="98"/>
        <v/>
      </c>
      <c r="DP16" s="251" t="str">
        <f t="shared" si="99"/>
        <v/>
      </c>
      <c r="DQ16" s="251" t="str">
        <f t="shared" si="100"/>
        <v/>
      </c>
      <c r="DR16" s="251" t="str">
        <f t="shared" si="101"/>
        <v/>
      </c>
      <c r="DS16" s="251" t="str">
        <f t="shared" si="102"/>
        <v/>
      </c>
      <c r="DT16" s="251" t="str">
        <f t="shared" si="103"/>
        <v/>
      </c>
      <c r="DU16" s="251" t="str">
        <f t="shared" si="104"/>
        <v/>
      </c>
      <c r="DV16" s="251" t="str">
        <f t="shared" si="105"/>
        <v/>
      </c>
      <c r="DW16" s="251" t="str">
        <f t="shared" si="106"/>
        <v/>
      </c>
      <c r="DX16" s="251" t="str">
        <f t="shared" si="107"/>
        <v/>
      </c>
      <c r="DY16" s="251" t="str">
        <f t="shared" si="108"/>
        <v/>
      </c>
      <c r="DZ16" s="251" t="str">
        <f t="shared" si="109"/>
        <v/>
      </c>
      <c r="EA16" s="251" t="str">
        <f t="shared" si="110"/>
        <v/>
      </c>
      <c r="EB16" s="251" t="str">
        <f t="shared" si="111"/>
        <v/>
      </c>
      <c r="EC16" s="251" t="str">
        <f t="shared" si="112"/>
        <v/>
      </c>
      <c r="ED16" s="251" t="str">
        <f t="shared" si="113"/>
        <v/>
      </c>
      <c r="EE16" s="251" t="str">
        <f t="shared" si="114"/>
        <v/>
      </c>
      <c r="EF16" s="251" t="str">
        <f t="shared" si="115"/>
        <v/>
      </c>
      <c r="EG16" s="251" t="str">
        <f t="shared" si="116"/>
        <v/>
      </c>
      <c r="EH16" s="251" t="str">
        <f t="shared" si="117"/>
        <v/>
      </c>
      <c r="EI16" s="251" t="str">
        <f t="shared" si="118"/>
        <v/>
      </c>
      <c r="EJ16" s="251" t="str">
        <f t="shared" si="119"/>
        <v/>
      </c>
      <c r="EK16" s="251" t="str">
        <f t="shared" si="120"/>
        <v/>
      </c>
      <c r="EL16" s="251" t="str">
        <f t="shared" si="121"/>
        <v/>
      </c>
      <c r="EM16" s="251" t="str">
        <f t="shared" si="122"/>
        <v/>
      </c>
      <c r="EN16" s="251" t="str">
        <f t="shared" si="123"/>
        <v/>
      </c>
      <c r="EO16" s="251" t="str">
        <f t="shared" si="124"/>
        <v/>
      </c>
      <c r="EP16" s="251" t="str">
        <f t="shared" si="125"/>
        <v/>
      </c>
      <c r="EQ16" s="251" t="str">
        <f t="shared" si="126"/>
        <v/>
      </c>
      <c r="ER16" s="251" t="str">
        <f t="shared" si="127"/>
        <v/>
      </c>
      <c r="ES16" s="251" t="str">
        <f t="shared" si="128"/>
        <v/>
      </c>
      <c r="ET16" s="251" t="str">
        <f t="shared" si="129"/>
        <v/>
      </c>
      <c r="EU16" s="251" t="str">
        <f t="shared" si="130"/>
        <v/>
      </c>
      <c r="EV16" s="251" t="str">
        <f t="shared" si="131"/>
        <v/>
      </c>
      <c r="EW16" s="251" t="str">
        <f t="shared" si="132"/>
        <v/>
      </c>
      <c r="EX16" s="251" t="str">
        <f t="shared" si="133"/>
        <v/>
      </c>
      <c r="EY16" s="251" t="str">
        <f t="shared" si="134"/>
        <v/>
      </c>
      <c r="EZ16" s="251" t="str">
        <f t="shared" si="135"/>
        <v/>
      </c>
      <c r="FA16" s="251" t="str">
        <f t="shared" si="136"/>
        <v/>
      </c>
      <c r="FB16" s="251" t="str">
        <f t="shared" si="137"/>
        <v/>
      </c>
      <c r="FC16" s="251" t="str">
        <f t="shared" si="138"/>
        <v/>
      </c>
      <c r="FD16" s="251" t="str">
        <f t="shared" si="139"/>
        <v/>
      </c>
      <c r="FE16" s="251" t="str">
        <f t="shared" si="140"/>
        <v/>
      </c>
      <c r="FF16" s="251" t="str">
        <f t="shared" si="141"/>
        <v/>
      </c>
      <c r="FG16" s="251" t="str">
        <f t="shared" si="142"/>
        <v/>
      </c>
      <c r="FH16" s="251" t="str">
        <f t="shared" si="143"/>
        <v/>
      </c>
      <c r="FI16" s="251" t="str">
        <f t="shared" si="144"/>
        <v/>
      </c>
      <c r="FJ16" s="251" t="str">
        <f t="shared" si="145"/>
        <v/>
      </c>
      <c r="FK16" s="251" t="str">
        <f t="shared" si="146"/>
        <v/>
      </c>
      <c r="FL16" s="251" t="str">
        <f t="shared" si="147"/>
        <v/>
      </c>
      <c r="FM16" s="251" t="str">
        <f t="shared" si="148"/>
        <v/>
      </c>
      <c r="FN16" s="251" t="str">
        <f t="shared" si="149"/>
        <v/>
      </c>
      <c r="FO16" s="251" t="str">
        <f t="shared" si="150"/>
        <v/>
      </c>
      <c r="FP16" s="251" t="str">
        <f t="shared" si="151"/>
        <v/>
      </c>
      <c r="FQ16" s="251" t="str">
        <f t="shared" si="152"/>
        <v/>
      </c>
      <c r="FR16" s="251" t="str">
        <f t="shared" si="153"/>
        <v/>
      </c>
      <c r="FS16" s="251" t="str">
        <f t="shared" si="154"/>
        <v/>
      </c>
      <c r="FT16" s="251" t="str">
        <f t="shared" si="155"/>
        <v/>
      </c>
      <c r="FU16" s="251" t="str">
        <f t="shared" si="156"/>
        <v/>
      </c>
      <c r="FV16" s="251" t="str">
        <f t="shared" si="157"/>
        <v/>
      </c>
      <c r="FW16" s="251" t="str">
        <f t="shared" si="158"/>
        <v/>
      </c>
      <c r="FX16" s="251" t="str">
        <f t="shared" si="159"/>
        <v/>
      </c>
      <c r="FY16" s="251" t="str">
        <f t="shared" si="160"/>
        <v/>
      </c>
      <c r="FZ16" s="251" t="str">
        <f t="shared" si="161"/>
        <v/>
      </c>
      <c r="GA16" s="251" t="str">
        <f t="shared" si="162"/>
        <v/>
      </c>
      <c r="GB16" s="251" t="str">
        <f t="shared" si="163"/>
        <v/>
      </c>
      <c r="GC16" s="251" t="str">
        <f t="shared" si="164"/>
        <v/>
      </c>
      <c r="GD16" s="251" t="str">
        <f t="shared" si="165"/>
        <v/>
      </c>
      <c r="GE16" s="251" t="str">
        <f t="shared" si="166"/>
        <v/>
      </c>
      <c r="GF16" s="251" t="str">
        <f t="shared" si="167"/>
        <v/>
      </c>
      <c r="GG16" s="251" t="str">
        <f t="shared" si="168"/>
        <v/>
      </c>
      <c r="GH16" s="251" t="str">
        <f t="shared" si="169"/>
        <v/>
      </c>
      <c r="GI16" s="251" t="str">
        <f t="shared" si="170"/>
        <v/>
      </c>
      <c r="GJ16" s="251" t="str">
        <f t="shared" si="171"/>
        <v/>
      </c>
      <c r="GK16" s="251" t="str">
        <f t="shared" si="172"/>
        <v/>
      </c>
      <c r="GL16" s="251" t="str">
        <f t="shared" si="173"/>
        <v/>
      </c>
      <c r="GM16" s="251" t="str">
        <f t="shared" si="174"/>
        <v/>
      </c>
      <c r="GN16" s="251" t="str">
        <f t="shared" si="175"/>
        <v/>
      </c>
      <c r="GO16" s="251" t="str">
        <f t="shared" si="176"/>
        <v/>
      </c>
      <c r="GP16" s="251" t="str">
        <f t="shared" si="177"/>
        <v/>
      </c>
      <c r="GQ16" s="251" t="str">
        <f t="shared" si="178"/>
        <v/>
      </c>
      <c r="GR16" s="251" t="str">
        <f t="shared" si="179"/>
        <v/>
      </c>
      <c r="GS16" s="251" t="str">
        <f t="shared" si="180"/>
        <v/>
      </c>
      <c r="GT16" s="251" t="str">
        <f t="shared" si="181"/>
        <v/>
      </c>
      <c r="GU16" s="251" t="str">
        <f t="shared" si="182"/>
        <v/>
      </c>
      <c r="GV16" s="251" t="str">
        <f t="shared" si="183"/>
        <v/>
      </c>
      <c r="GW16" s="251" t="str">
        <f t="shared" si="184"/>
        <v/>
      </c>
      <c r="GX16" s="251" t="str">
        <f t="shared" si="185"/>
        <v/>
      </c>
      <c r="GY16" s="251" t="str">
        <f t="shared" si="186"/>
        <v/>
      </c>
      <c r="GZ16" s="251" t="str">
        <f t="shared" si="187"/>
        <v/>
      </c>
      <c r="HA16" s="251" t="str">
        <f t="shared" si="188"/>
        <v/>
      </c>
      <c r="HB16" s="251" t="str">
        <f t="shared" si="189"/>
        <v/>
      </c>
      <c r="HC16" s="251" t="str">
        <f t="shared" si="190"/>
        <v/>
      </c>
      <c r="HD16" s="251" t="str">
        <f t="shared" si="191"/>
        <v/>
      </c>
      <c r="HE16" s="251" t="str">
        <f t="shared" si="192"/>
        <v/>
      </c>
      <c r="HF16" s="251" t="str">
        <f t="shared" si="193"/>
        <v/>
      </c>
      <c r="HG16" s="251" t="str">
        <f t="shared" si="194"/>
        <v/>
      </c>
      <c r="HH16" s="251" t="str">
        <f t="shared" si="195"/>
        <v/>
      </c>
      <c r="HI16" s="251" t="str">
        <f t="shared" si="196"/>
        <v/>
      </c>
      <c r="HJ16" s="251" t="str">
        <f t="shared" si="197"/>
        <v/>
      </c>
      <c r="HK16" s="251" t="str">
        <f t="shared" si="198"/>
        <v/>
      </c>
      <c r="HL16" s="251" t="str">
        <f t="shared" si="199"/>
        <v/>
      </c>
      <c r="HM16" s="251" t="str">
        <f t="shared" si="200"/>
        <v/>
      </c>
      <c r="HN16" s="251" t="str">
        <f t="shared" si="201"/>
        <v/>
      </c>
      <c r="HO16" s="251" t="str">
        <f t="shared" si="202"/>
        <v/>
      </c>
      <c r="HP16" s="251" t="str">
        <f t="shared" si="203"/>
        <v/>
      </c>
      <c r="HQ16" s="251" t="str">
        <f t="shared" si="204"/>
        <v/>
      </c>
      <c r="HR16" s="251" t="str">
        <f t="shared" si="205"/>
        <v/>
      </c>
      <c r="HS16" s="251" t="str">
        <f t="shared" si="206"/>
        <v/>
      </c>
      <c r="HT16" s="251" t="str">
        <f t="shared" si="207"/>
        <v/>
      </c>
      <c r="HU16" s="251" t="str">
        <f t="shared" si="208"/>
        <v/>
      </c>
      <c r="HV16" s="251" t="str">
        <f t="shared" si="209"/>
        <v/>
      </c>
      <c r="HW16" s="251" t="str">
        <f t="shared" si="210"/>
        <v/>
      </c>
      <c r="HX16" s="251" t="str">
        <f t="shared" si="211"/>
        <v/>
      </c>
      <c r="HY16" s="251" t="str">
        <f t="shared" si="212"/>
        <v/>
      </c>
      <c r="HZ16" s="251" t="str">
        <f t="shared" si="213"/>
        <v/>
      </c>
      <c r="IA16" s="251" t="str">
        <f t="shared" si="214"/>
        <v/>
      </c>
      <c r="IB16" s="251" t="str">
        <f t="shared" si="215"/>
        <v/>
      </c>
      <c r="IC16" s="251" t="str">
        <f t="shared" si="216"/>
        <v/>
      </c>
      <c r="ID16" s="251" t="str">
        <f t="shared" si="217"/>
        <v/>
      </c>
      <c r="IE16" s="251" t="str">
        <f t="shared" si="218"/>
        <v/>
      </c>
      <c r="IF16" s="251" t="str">
        <f t="shared" si="219"/>
        <v/>
      </c>
      <c r="IG16" s="251" t="str">
        <f t="shared" si="220"/>
        <v/>
      </c>
      <c r="IH16" s="251" t="str">
        <f t="shared" si="221"/>
        <v/>
      </c>
      <c r="II16" s="251" t="str">
        <f t="shared" si="222"/>
        <v/>
      </c>
      <c r="IJ16" s="251" t="str">
        <f t="shared" si="223"/>
        <v/>
      </c>
      <c r="IK16" s="251" t="str">
        <f t="shared" si="224"/>
        <v/>
      </c>
      <c r="IL16" s="251" t="str">
        <f t="shared" si="225"/>
        <v/>
      </c>
      <c r="IM16" s="251" t="str">
        <f t="shared" si="226"/>
        <v/>
      </c>
      <c r="IN16" s="251" t="str">
        <f t="shared" si="227"/>
        <v/>
      </c>
      <c r="IO16" s="251" t="str">
        <f t="shared" si="228"/>
        <v/>
      </c>
      <c r="IP16" s="251" t="str">
        <f t="shared" si="229"/>
        <v/>
      </c>
      <c r="IQ16" s="251" t="str">
        <f t="shared" si="230"/>
        <v/>
      </c>
      <c r="IR16" s="251" t="str">
        <f t="shared" si="231"/>
        <v/>
      </c>
      <c r="IS16" s="251" t="str">
        <f t="shared" si="232"/>
        <v/>
      </c>
      <c r="IT16" s="251" t="str">
        <f t="shared" si="233"/>
        <v/>
      </c>
      <c r="IU16" s="251" t="str">
        <f t="shared" si="234"/>
        <v/>
      </c>
      <c r="IV16" s="251" t="str">
        <f t="shared" si="235"/>
        <v/>
      </c>
      <c r="IW16" s="251" t="str">
        <f t="shared" si="236"/>
        <v/>
      </c>
      <c r="IX16" s="251" t="str">
        <f t="shared" si="237"/>
        <v/>
      </c>
      <c r="IY16" s="251" t="str">
        <f t="shared" si="238"/>
        <v/>
      </c>
      <c r="IZ16" s="251" t="str">
        <f t="shared" si="239"/>
        <v/>
      </c>
      <c r="JA16" s="251" t="str">
        <f t="shared" si="240"/>
        <v/>
      </c>
      <c r="JB16" s="251" t="str">
        <f t="shared" si="241"/>
        <v/>
      </c>
      <c r="JC16" s="251" t="str">
        <f t="shared" si="242"/>
        <v/>
      </c>
      <c r="JD16" s="251" t="str">
        <f t="shared" si="243"/>
        <v/>
      </c>
      <c r="JE16" s="251" t="str">
        <f t="shared" si="244"/>
        <v/>
      </c>
      <c r="JF16" s="251" t="str">
        <f t="shared" si="245"/>
        <v/>
      </c>
      <c r="JG16" s="251" t="str">
        <f t="shared" si="246"/>
        <v/>
      </c>
      <c r="JH16" s="251" t="str">
        <f t="shared" si="247"/>
        <v/>
      </c>
      <c r="JI16" s="1297" t="str">
        <f t="shared" si="248"/>
        <v/>
      </c>
      <c r="JJ16" s="1297" t="str">
        <f t="shared" si="249"/>
        <v/>
      </c>
      <c r="JK16" s="1297" t="str">
        <f t="shared" si="250"/>
        <v/>
      </c>
      <c r="JL16" s="1297" t="str">
        <f t="shared" si="251"/>
        <v/>
      </c>
      <c r="JM16" s="1297" t="str">
        <f t="shared" si="252"/>
        <v/>
      </c>
      <c r="JN16" s="1297" t="str">
        <f t="shared" si="253"/>
        <v/>
      </c>
      <c r="JO16" s="1297" t="str">
        <f t="shared" si="254"/>
        <v/>
      </c>
      <c r="JP16" s="1297" t="str">
        <f t="shared" si="255"/>
        <v/>
      </c>
      <c r="JQ16" s="1297" t="str">
        <f t="shared" si="256"/>
        <v/>
      </c>
      <c r="JR16" s="1297" t="str">
        <f t="shared" si="257"/>
        <v/>
      </c>
      <c r="JS16" s="1297" t="str">
        <f t="shared" si="258"/>
        <v/>
      </c>
      <c r="JT16" s="1297" t="str">
        <f t="shared" si="259"/>
        <v/>
      </c>
      <c r="JU16" s="1297" t="str">
        <f t="shared" si="260"/>
        <v/>
      </c>
      <c r="JV16" s="1297" t="str">
        <f t="shared" si="261"/>
        <v/>
      </c>
      <c r="JW16" s="1297" t="str">
        <f t="shared" si="262"/>
        <v/>
      </c>
      <c r="JX16" s="1297" t="str">
        <f t="shared" si="263"/>
        <v/>
      </c>
      <c r="JY16" s="1297" t="str">
        <f t="shared" si="264"/>
        <v/>
      </c>
      <c r="JZ16" s="1297" t="str">
        <f t="shared" si="265"/>
        <v/>
      </c>
      <c r="KA16" s="1297" t="str">
        <f t="shared" si="266"/>
        <v/>
      </c>
      <c r="KB16" s="1297" t="str">
        <f t="shared" si="267"/>
        <v/>
      </c>
      <c r="KC16" s="1297" t="str">
        <f t="shared" si="268"/>
        <v/>
      </c>
      <c r="KD16" s="1297" t="str">
        <f t="shared" si="269"/>
        <v/>
      </c>
      <c r="KE16" s="1297" t="str">
        <f t="shared" si="270"/>
        <v/>
      </c>
      <c r="KF16" s="1297" t="str">
        <f t="shared" si="271"/>
        <v/>
      </c>
      <c r="KG16" s="1297" t="str">
        <f t="shared" si="272"/>
        <v/>
      </c>
      <c r="KH16" s="1297" t="str">
        <f t="shared" si="273"/>
        <v/>
      </c>
      <c r="KI16" s="1297" t="str">
        <f t="shared" si="274"/>
        <v/>
      </c>
      <c r="KJ16" s="1297" t="str">
        <f t="shared" si="275"/>
        <v/>
      </c>
      <c r="KK16" s="1297" t="str">
        <f t="shared" si="276"/>
        <v/>
      </c>
      <c r="KL16" s="1297" t="str">
        <f t="shared" si="277"/>
        <v/>
      </c>
      <c r="KM16" s="1297" t="str">
        <f t="shared" si="278"/>
        <v/>
      </c>
      <c r="KN16" s="1297" t="str">
        <f t="shared" si="279"/>
        <v/>
      </c>
      <c r="KO16" s="1297" t="str">
        <f t="shared" si="280"/>
        <v/>
      </c>
      <c r="KP16" s="1297" t="str">
        <f t="shared" si="281"/>
        <v/>
      </c>
      <c r="KQ16" s="1297" t="str">
        <f t="shared" si="282"/>
        <v/>
      </c>
      <c r="KR16" s="1297" t="str">
        <f t="shared" si="283"/>
        <v/>
      </c>
      <c r="KS16" s="1297" t="str">
        <f t="shared" si="284"/>
        <v/>
      </c>
      <c r="KT16" s="1297" t="str">
        <f t="shared" si="285"/>
        <v/>
      </c>
      <c r="KU16" s="1297" t="str">
        <f t="shared" si="286"/>
        <v/>
      </c>
      <c r="KV16" s="1297" t="str">
        <f t="shared" si="287"/>
        <v/>
      </c>
      <c r="KW16" s="1297" t="str">
        <f t="shared" si="288"/>
        <v/>
      </c>
      <c r="KX16" s="1297" t="str">
        <f t="shared" si="289"/>
        <v/>
      </c>
      <c r="KY16" s="1297" t="str">
        <f t="shared" si="290"/>
        <v/>
      </c>
      <c r="KZ16" s="1297" t="str">
        <f t="shared" si="291"/>
        <v/>
      </c>
      <c r="LA16" s="1297" t="str">
        <f t="shared" si="292"/>
        <v/>
      </c>
      <c r="LB16" s="1297" t="str">
        <f t="shared" si="293"/>
        <v/>
      </c>
      <c r="LC16" s="1297" t="str">
        <f t="shared" si="294"/>
        <v/>
      </c>
      <c r="LD16" s="1297" t="str">
        <f t="shared" si="295"/>
        <v/>
      </c>
      <c r="LE16" s="1297" t="str">
        <f t="shared" si="296"/>
        <v/>
      </c>
      <c r="LF16" s="1297" t="str">
        <f t="shared" si="297"/>
        <v/>
      </c>
      <c r="LG16" s="1297" t="str">
        <f t="shared" si="298"/>
        <v/>
      </c>
      <c r="LH16" s="1297" t="str">
        <f t="shared" si="299"/>
        <v/>
      </c>
      <c r="LI16" s="1297" t="str">
        <f t="shared" si="300"/>
        <v/>
      </c>
      <c r="LJ16" s="1297" t="str">
        <f t="shared" si="301"/>
        <v/>
      </c>
      <c r="LK16" s="1297" t="str">
        <f t="shared" si="302"/>
        <v/>
      </c>
      <c r="LL16" s="1297" t="str">
        <f t="shared" si="303"/>
        <v/>
      </c>
      <c r="LM16" s="1297" t="str">
        <f t="shared" si="304"/>
        <v/>
      </c>
      <c r="LN16" s="1297" t="str">
        <f t="shared" si="305"/>
        <v/>
      </c>
      <c r="LO16" s="1297" t="str">
        <f t="shared" si="306"/>
        <v/>
      </c>
      <c r="LP16" s="1297" t="str">
        <f t="shared" si="307"/>
        <v/>
      </c>
      <c r="LQ16" s="1297" t="str">
        <f t="shared" si="308"/>
        <v/>
      </c>
      <c r="LR16" s="1297" t="str">
        <f t="shared" si="309"/>
        <v/>
      </c>
      <c r="LS16" s="1297" t="str">
        <f t="shared" si="310"/>
        <v/>
      </c>
      <c r="LT16" s="1297" t="str">
        <f t="shared" si="311"/>
        <v/>
      </c>
      <c r="LU16" s="1297" t="str">
        <f t="shared" si="312"/>
        <v/>
      </c>
      <c r="LV16" s="1297" t="str">
        <f t="shared" si="313"/>
        <v/>
      </c>
      <c r="LW16" s="1297" t="str">
        <f t="shared" si="314"/>
        <v/>
      </c>
      <c r="LX16" s="1297" t="str">
        <f t="shared" si="315"/>
        <v/>
      </c>
      <c r="LY16" s="1297" t="str">
        <f t="shared" si="316"/>
        <v/>
      </c>
      <c r="LZ16" s="1297" t="str">
        <f t="shared" si="317"/>
        <v/>
      </c>
      <c r="MA16" s="1297" t="str">
        <f t="shared" si="318"/>
        <v/>
      </c>
      <c r="MB16" s="1297" t="str">
        <f t="shared" si="319"/>
        <v/>
      </c>
      <c r="MC16" s="1297" t="str">
        <f t="shared" si="320"/>
        <v/>
      </c>
      <c r="MD16" s="1297" t="str">
        <f t="shared" si="321"/>
        <v/>
      </c>
      <c r="ME16" s="1297" t="str">
        <f t="shared" si="322"/>
        <v/>
      </c>
      <c r="MF16" s="1297" t="str">
        <f t="shared" si="323"/>
        <v/>
      </c>
      <c r="MG16" s="1297" t="str">
        <f t="shared" si="324"/>
        <v/>
      </c>
      <c r="MH16" s="1297" t="str">
        <f t="shared" si="325"/>
        <v/>
      </c>
      <c r="MI16" s="1297" t="str">
        <f t="shared" si="326"/>
        <v/>
      </c>
      <c r="MJ16" s="1297" t="str">
        <f t="shared" si="327"/>
        <v/>
      </c>
      <c r="MK16" s="1297" t="str">
        <f t="shared" si="328"/>
        <v/>
      </c>
      <c r="ML16" s="1297" t="str">
        <f t="shared" si="329"/>
        <v/>
      </c>
      <c r="MM16" s="1297" t="str">
        <f t="shared" si="330"/>
        <v/>
      </c>
      <c r="MN16" s="1297" t="str">
        <f t="shared" si="331"/>
        <v/>
      </c>
      <c r="MO16" s="1297" t="str">
        <f t="shared" si="332"/>
        <v/>
      </c>
      <c r="MP16" s="1773" t="str">
        <f t="shared" si="333"/>
        <v/>
      </c>
      <c r="MQ16" s="1773" t="str">
        <f t="shared" si="334"/>
        <v/>
      </c>
      <c r="MR16" s="1773" t="str">
        <f t="shared" si="335"/>
        <v/>
      </c>
      <c r="MS16" s="1773" t="str">
        <f t="shared" si="336"/>
        <v/>
      </c>
      <c r="MT16" s="1773" t="str">
        <f t="shared" si="337"/>
        <v/>
      </c>
      <c r="MU16" s="251" t="str">
        <f t="shared" si="338"/>
        <v/>
      </c>
      <c r="MV16" s="251" t="str">
        <f t="shared" si="339"/>
        <v/>
      </c>
      <c r="MW16" s="251" t="str">
        <f t="shared" si="340"/>
        <v/>
      </c>
      <c r="MX16" s="251" t="str">
        <f t="shared" si="341"/>
        <v/>
      </c>
      <c r="MY16" s="251" t="str">
        <f t="shared" si="342"/>
        <v/>
      </c>
      <c r="MZ16" s="251" t="str">
        <f t="shared" si="343"/>
        <v/>
      </c>
      <c r="NA16" s="251" t="str">
        <f t="shared" si="344"/>
        <v/>
      </c>
      <c r="NB16" s="251" t="str">
        <f t="shared" si="345"/>
        <v/>
      </c>
      <c r="NC16" s="251" t="str">
        <f t="shared" si="346"/>
        <v/>
      </c>
      <c r="ND16" s="251" t="str">
        <f t="shared" si="347"/>
        <v/>
      </c>
      <c r="NE16" s="251" t="str">
        <f t="shared" si="348"/>
        <v/>
      </c>
      <c r="NF16" s="251" t="str">
        <f t="shared" si="349"/>
        <v/>
      </c>
      <c r="NG16" s="251" t="str">
        <f t="shared" si="350"/>
        <v/>
      </c>
      <c r="NH16" s="251" t="str">
        <f t="shared" si="351"/>
        <v/>
      </c>
      <c r="NI16" s="251" t="str">
        <f t="shared" si="352"/>
        <v/>
      </c>
      <c r="NJ16" s="251" t="str">
        <f t="shared" si="353"/>
        <v/>
      </c>
      <c r="NK16" s="251" t="str">
        <f t="shared" si="354"/>
        <v/>
      </c>
      <c r="NL16" s="251" t="str">
        <f t="shared" si="355"/>
        <v/>
      </c>
      <c r="NM16" s="251" t="str">
        <f t="shared" si="356"/>
        <v/>
      </c>
      <c r="NN16" s="251" t="str">
        <f t="shared" si="357"/>
        <v/>
      </c>
      <c r="NO16" s="1185">
        <f t="shared" si="358"/>
        <v>0</v>
      </c>
      <c r="NP16" s="1185">
        <f t="shared" si="359"/>
        <v>0</v>
      </c>
      <c r="NQ16" s="1185">
        <f t="shared" si="360"/>
        <v>0</v>
      </c>
      <c r="NR16" s="1185">
        <f t="shared" si="361"/>
        <v>0</v>
      </c>
      <c r="NS16" s="1185">
        <f t="shared" si="362"/>
        <v>0</v>
      </c>
      <c r="NT16" s="1185">
        <f t="shared" si="368"/>
        <v>0</v>
      </c>
      <c r="NU16" s="1185">
        <f t="shared" si="369"/>
        <v>0</v>
      </c>
      <c r="NV16" s="1185">
        <f t="shared" si="370"/>
        <v>0</v>
      </c>
      <c r="NW16" s="1185">
        <f t="shared" si="371"/>
        <v>0</v>
      </c>
      <c r="NX16" s="1185">
        <f t="shared" si="372"/>
        <v>0</v>
      </c>
      <c r="NY16" s="1185">
        <f t="shared" si="363"/>
        <v>0</v>
      </c>
      <c r="NZ16" s="1185">
        <f t="shared" si="364"/>
        <v>0</v>
      </c>
      <c r="OA16" s="1185">
        <f t="shared" si="365"/>
        <v>0</v>
      </c>
      <c r="OB16" s="1185">
        <f t="shared" si="366"/>
        <v>0</v>
      </c>
      <c r="OC16" s="1185">
        <f t="shared" si="367"/>
        <v>0</v>
      </c>
      <c r="OY16" s="1794" t="s">
        <v>1164</v>
      </c>
      <c r="OZ16" s="1799">
        <v>16</v>
      </c>
    </row>
    <row r="17" spans="1:416" ht="12" customHeight="1" thickBot="1">
      <c r="A17" s="53" t="str">
        <f t="shared" si="0"/>
        <v/>
      </c>
      <c r="B17" s="755" t="s">
        <v>1160</v>
      </c>
      <c r="C17" s="758"/>
      <c r="D17" s="1188"/>
      <c r="E17" s="759"/>
      <c r="F17" s="759"/>
      <c r="G17" s="759"/>
      <c r="H17" s="759"/>
      <c r="I17" s="759"/>
      <c r="J17" s="968"/>
      <c r="K17" s="770"/>
      <c r="L17" s="771">
        <f t="shared" si="1"/>
        <v>0</v>
      </c>
      <c r="M17" s="771">
        <f t="shared" si="2"/>
        <v>0</v>
      </c>
      <c r="N17" s="772"/>
      <c r="O17" s="1135"/>
      <c r="P17" s="772"/>
      <c r="Q17" s="773"/>
      <c r="R17" s="540"/>
      <c r="S17" s="541"/>
      <c r="T17" s="3758"/>
      <c r="U17" s="3759"/>
      <c r="V17" s="3759"/>
      <c r="W17" s="3760"/>
      <c r="X17" s="251" t="str">
        <f t="shared" si="3"/>
        <v/>
      </c>
      <c r="Y17" s="251" t="str">
        <f t="shared" si="4"/>
        <v/>
      </c>
      <c r="Z17" s="251" t="str">
        <f t="shared" si="5"/>
        <v/>
      </c>
      <c r="AA17" s="251" t="str">
        <f t="shared" si="6"/>
        <v/>
      </c>
      <c r="AB17" s="251" t="str">
        <f t="shared" si="7"/>
        <v/>
      </c>
      <c r="AC17" s="251" t="str">
        <f t="shared" si="8"/>
        <v/>
      </c>
      <c r="AD17" s="251" t="str">
        <f t="shared" si="9"/>
        <v/>
      </c>
      <c r="AE17" s="251" t="str">
        <f t="shared" si="10"/>
        <v/>
      </c>
      <c r="AF17" s="251" t="str">
        <f t="shared" si="11"/>
        <v/>
      </c>
      <c r="AG17" s="251" t="str">
        <f t="shared" si="12"/>
        <v/>
      </c>
      <c r="AH17" s="251" t="str">
        <f t="shared" si="13"/>
        <v/>
      </c>
      <c r="AI17" s="251" t="str">
        <f t="shared" si="14"/>
        <v/>
      </c>
      <c r="AJ17" s="251" t="str">
        <f t="shared" si="15"/>
        <v/>
      </c>
      <c r="AK17" s="251" t="str">
        <f t="shared" si="16"/>
        <v/>
      </c>
      <c r="AL17" s="251" t="str">
        <f t="shared" si="17"/>
        <v/>
      </c>
      <c r="AM17" s="251" t="str">
        <f t="shared" si="18"/>
        <v/>
      </c>
      <c r="AN17" s="251" t="str">
        <f t="shared" si="19"/>
        <v/>
      </c>
      <c r="AO17" s="251" t="str">
        <f t="shared" si="20"/>
        <v/>
      </c>
      <c r="AP17" s="251" t="str">
        <f t="shared" si="21"/>
        <v/>
      </c>
      <c r="AQ17" s="251" t="str">
        <f t="shared" si="22"/>
        <v/>
      </c>
      <c r="AR17" s="251" t="str">
        <f t="shared" si="23"/>
        <v/>
      </c>
      <c r="AS17" s="251" t="str">
        <f t="shared" si="24"/>
        <v/>
      </c>
      <c r="AT17" s="251" t="str">
        <f t="shared" si="25"/>
        <v/>
      </c>
      <c r="AU17" s="251" t="str">
        <f t="shared" si="26"/>
        <v/>
      </c>
      <c r="AV17" s="251" t="str">
        <f t="shared" si="27"/>
        <v/>
      </c>
      <c r="AW17" s="251" t="str">
        <f t="shared" si="28"/>
        <v/>
      </c>
      <c r="AX17" s="251" t="str">
        <f t="shared" si="29"/>
        <v/>
      </c>
      <c r="AY17" s="251" t="str">
        <f t="shared" si="30"/>
        <v/>
      </c>
      <c r="AZ17" s="251" t="str">
        <f t="shared" si="31"/>
        <v/>
      </c>
      <c r="BA17" s="251" t="str">
        <f t="shared" si="32"/>
        <v/>
      </c>
      <c r="BB17" s="251" t="str">
        <f t="shared" si="33"/>
        <v/>
      </c>
      <c r="BC17" s="251" t="str">
        <f t="shared" si="34"/>
        <v/>
      </c>
      <c r="BD17" s="251" t="str">
        <f t="shared" si="35"/>
        <v/>
      </c>
      <c r="BE17" s="251" t="str">
        <f t="shared" si="36"/>
        <v/>
      </c>
      <c r="BF17" s="251" t="str">
        <f t="shared" si="37"/>
        <v/>
      </c>
      <c r="BG17" s="251" t="str">
        <f t="shared" si="38"/>
        <v/>
      </c>
      <c r="BH17" s="251" t="str">
        <f t="shared" si="39"/>
        <v/>
      </c>
      <c r="BI17" s="251" t="str">
        <f t="shared" si="40"/>
        <v/>
      </c>
      <c r="BJ17" s="251" t="str">
        <f t="shared" si="41"/>
        <v/>
      </c>
      <c r="BK17" s="251" t="str">
        <f t="shared" si="42"/>
        <v/>
      </c>
      <c r="BL17" s="251" t="str">
        <f t="shared" si="43"/>
        <v/>
      </c>
      <c r="BM17" s="251" t="str">
        <f t="shared" si="44"/>
        <v/>
      </c>
      <c r="BN17" s="251" t="str">
        <f t="shared" si="45"/>
        <v/>
      </c>
      <c r="BO17" s="251" t="str">
        <f t="shared" si="46"/>
        <v/>
      </c>
      <c r="BP17" s="251" t="str">
        <f t="shared" si="47"/>
        <v/>
      </c>
      <c r="BQ17" s="251" t="str">
        <f t="shared" si="48"/>
        <v/>
      </c>
      <c r="BR17" s="251" t="str">
        <f t="shared" si="49"/>
        <v/>
      </c>
      <c r="BS17" s="251" t="str">
        <f t="shared" si="50"/>
        <v/>
      </c>
      <c r="BT17" s="251" t="str">
        <f t="shared" si="51"/>
        <v/>
      </c>
      <c r="BU17" s="251" t="str">
        <f t="shared" si="52"/>
        <v/>
      </c>
      <c r="BV17" s="251" t="str">
        <f t="shared" si="53"/>
        <v/>
      </c>
      <c r="BW17" s="251" t="str">
        <f t="shared" si="54"/>
        <v/>
      </c>
      <c r="BX17" s="251" t="str">
        <f t="shared" si="55"/>
        <v/>
      </c>
      <c r="BY17" s="251" t="str">
        <f t="shared" si="56"/>
        <v/>
      </c>
      <c r="BZ17" s="251" t="str">
        <f t="shared" si="57"/>
        <v/>
      </c>
      <c r="CA17" s="251" t="str">
        <f t="shared" si="58"/>
        <v/>
      </c>
      <c r="CB17" s="251" t="str">
        <f t="shared" si="59"/>
        <v/>
      </c>
      <c r="CC17" s="251" t="str">
        <f t="shared" si="60"/>
        <v/>
      </c>
      <c r="CD17" s="251" t="str">
        <f t="shared" si="61"/>
        <v/>
      </c>
      <c r="CE17" s="251" t="str">
        <f t="shared" si="62"/>
        <v/>
      </c>
      <c r="CF17" s="251" t="str">
        <f t="shared" si="63"/>
        <v/>
      </c>
      <c r="CG17" s="251" t="str">
        <f t="shared" si="64"/>
        <v/>
      </c>
      <c r="CH17" s="251" t="str">
        <f t="shared" si="65"/>
        <v/>
      </c>
      <c r="CI17" s="251" t="str">
        <f t="shared" si="66"/>
        <v/>
      </c>
      <c r="CJ17" s="251" t="str">
        <f t="shared" si="67"/>
        <v/>
      </c>
      <c r="CK17" s="251" t="str">
        <f t="shared" si="68"/>
        <v/>
      </c>
      <c r="CL17" s="251" t="str">
        <f t="shared" si="69"/>
        <v/>
      </c>
      <c r="CM17" s="251" t="str">
        <f t="shared" si="70"/>
        <v/>
      </c>
      <c r="CN17" s="251" t="str">
        <f t="shared" si="71"/>
        <v/>
      </c>
      <c r="CO17" s="251" t="str">
        <f t="shared" si="72"/>
        <v/>
      </c>
      <c r="CP17" s="251" t="str">
        <f t="shared" si="73"/>
        <v/>
      </c>
      <c r="CQ17" s="251" t="str">
        <f t="shared" si="74"/>
        <v/>
      </c>
      <c r="CR17" s="251" t="str">
        <f t="shared" si="75"/>
        <v/>
      </c>
      <c r="CS17" s="251" t="str">
        <f t="shared" si="76"/>
        <v/>
      </c>
      <c r="CT17" s="251" t="str">
        <f t="shared" si="77"/>
        <v/>
      </c>
      <c r="CU17" s="251" t="str">
        <f t="shared" si="78"/>
        <v/>
      </c>
      <c r="CV17" s="251" t="str">
        <f t="shared" si="79"/>
        <v/>
      </c>
      <c r="CW17" s="251" t="str">
        <f t="shared" si="80"/>
        <v/>
      </c>
      <c r="CX17" s="251" t="str">
        <f t="shared" si="81"/>
        <v/>
      </c>
      <c r="CY17" s="251" t="str">
        <f t="shared" si="82"/>
        <v/>
      </c>
      <c r="CZ17" s="251" t="str">
        <f t="shared" si="83"/>
        <v/>
      </c>
      <c r="DA17" s="251" t="str">
        <f t="shared" si="84"/>
        <v/>
      </c>
      <c r="DB17" s="251" t="str">
        <f t="shared" si="85"/>
        <v/>
      </c>
      <c r="DC17" s="251" t="str">
        <f t="shared" si="86"/>
        <v/>
      </c>
      <c r="DD17" s="251" t="str">
        <f t="shared" si="87"/>
        <v/>
      </c>
      <c r="DE17" s="251" t="str">
        <f t="shared" si="88"/>
        <v/>
      </c>
      <c r="DF17" s="251" t="str">
        <f t="shared" si="89"/>
        <v/>
      </c>
      <c r="DG17" s="251" t="str">
        <f t="shared" si="90"/>
        <v/>
      </c>
      <c r="DH17" s="251" t="str">
        <f t="shared" si="91"/>
        <v/>
      </c>
      <c r="DI17" s="251" t="str">
        <f t="shared" si="92"/>
        <v/>
      </c>
      <c r="DJ17" s="251" t="str">
        <f t="shared" si="93"/>
        <v/>
      </c>
      <c r="DK17" s="251" t="str">
        <f t="shared" si="94"/>
        <v/>
      </c>
      <c r="DL17" s="251" t="str">
        <f t="shared" si="95"/>
        <v/>
      </c>
      <c r="DM17" s="251" t="str">
        <f t="shared" si="96"/>
        <v/>
      </c>
      <c r="DN17" s="251" t="str">
        <f t="shared" si="97"/>
        <v/>
      </c>
      <c r="DO17" s="251" t="str">
        <f t="shared" si="98"/>
        <v/>
      </c>
      <c r="DP17" s="251" t="str">
        <f t="shared" si="99"/>
        <v/>
      </c>
      <c r="DQ17" s="251" t="str">
        <f t="shared" si="100"/>
        <v/>
      </c>
      <c r="DR17" s="251" t="str">
        <f t="shared" si="101"/>
        <v/>
      </c>
      <c r="DS17" s="251" t="str">
        <f t="shared" si="102"/>
        <v/>
      </c>
      <c r="DT17" s="251" t="str">
        <f t="shared" si="103"/>
        <v/>
      </c>
      <c r="DU17" s="251" t="str">
        <f t="shared" si="104"/>
        <v/>
      </c>
      <c r="DV17" s="251" t="str">
        <f t="shared" si="105"/>
        <v/>
      </c>
      <c r="DW17" s="251" t="str">
        <f t="shared" si="106"/>
        <v/>
      </c>
      <c r="DX17" s="251" t="str">
        <f t="shared" si="107"/>
        <v/>
      </c>
      <c r="DY17" s="251" t="str">
        <f t="shared" si="108"/>
        <v/>
      </c>
      <c r="DZ17" s="251" t="str">
        <f t="shared" si="109"/>
        <v/>
      </c>
      <c r="EA17" s="251" t="str">
        <f t="shared" si="110"/>
        <v/>
      </c>
      <c r="EB17" s="251" t="str">
        <f t="shared" si="111"/>
        <v/>
      </c>
      <c r="EC17" s="251" t="str">
        <f t="shared" si="112"/>
        <v/>
      </c>
      <c r="ED17" s="251" t="str">
        <f t="shared" si="113"/>
        <v/>
      </c>
      <c r="EE17" s="251" t="str">
        <f t="shared" si="114"/>
        <v/>
      </c>
      <c r="EF17" s="251" t="str">
        <f t="shared" si="115"/>
        <v/>
      </c>
      <c r="EG17" s="251" t="str">
        <f t="shared" si="116"/>
        <v/>
      </c>
      <c r="EH17" s="251" t="str">
        <f t="shared" si="117"/>
        <v/>
      </c>
      <c r="EI17" s="251" t="str">
        <f t="shared" si="118"/>
        <v/>
      </c>
      <c r="EJ17" s="251" t="str">
        <f t="shared" si="119"/>
        <v/>
      </c>
      <c r="EK17" s="251" t="str">
        <f t="shared" si="120"/>
        <v/>
      </c>
      <c r="EL17" s="251" t="str">
        <f t="shared" si="121"/>
        <v/>
      </c>
      <c r="EM17" s="251" t="str">
        <f t="shared" si="122"/>
        <v/>
      </c>
      <c r="EN17" s="251" t="str">
        <f t="shared" si="123"/>
        <v/>
      </c>
      <c r="EO17" s="251" t="str">
        <f t="shared" si="124"/>
        <v/>
      </c>
      <c r="EP17" s="251" t="str">
        <f t="shared" si="125"/>
        <v/>
      </c>
      <c r="EQ17" s="251" t="str">
        <f t="shared" si="126"/>
        <v/>
      </c>
      <c r="ER17" s="251" t="str">
        <f t="shared" si="127"/>
        <v/>
      </c>
      <c r="ES17" s="251" t="str">
        <f t="shared" si="128"/>
        <v/>
      </c>
      <c r="ET17" s="251" t="str">
        <f t="shared" si="129"/>
        <v/>
      </c>
      <c r="EU17" s="251" t="str">
        <f t="shared" si="130"/>
        <v/>
      </c>
      <c r="EV17" s="251" t="str">
        <f t="shared" si="131"/>
        <v/>
      </c>
      <c r="EW17" s="251" t="str">
        <f t="shared" si="132"/>
        <v/>
      </c>
      <c r="EX17" s="251" t="str">
        <f t="shared" si="133"/>
        <v/>
      </c>
      <c r="EY17" s="251" t="str">
        <f t="shared" si="134"/>
        <v/>
      </c>
      <c r="EZ17" s="251" t="str">
        <f t="shared" si="135"/>
        <v/>
      </c>
      <c r="FA17" s="251" t="str">
        <f t="shared" si="136"/>
        <v/>
      </c>
      <c r="FB17" s="251" t="str">
        <f t="shared" si="137"/>
        <v/>
      </c>
      <c r="FC17" s="251" t="str">
        <f t="shared" si="138"/>
        <v/>
      </c>
      <c r="FD17" s="251" t="str">
        <f t="shared" si="139"/>
        <v/>
      </c>
      <c r="FE17" s="251" t="str">
        <f t="shared" si="140"/>
        <v/>
      </c>
      <c r="FF17" s="251" t="str">
        <f t="shared" si="141"/>
        <v/>
      </c>
      <c r="FG17" s="251" t="str">
        <f t="shared" si="142"/>
        <v/>
      </c>
      <c r="FH17" s="251" t="str">
        <f t="shared" si="143"/>
        <v/>
      </c>
      <c r="FI17" s="251" t="str">
        <f t="shared" si="144"/>
        <v/>
      </c>
      <c r="FJ17" s="251" t="str">
        <f t="shared" si="145"/>
        <v/>
      </c>
      <c r="FK17" s="251" t="str">
        <f t="shared" si="146"/>
        <v/>
      </c>
      <c r="FL17" s="251" t="str">
        <f t="shared" si="147"/>
        <v/>
      </c>
      <c r="FM17" s="251" t="str">
        <f t="shared" si="148"/>
        <v/>
      </c>
      <c r="FN17" s="251" t="str">
        <f t="shared" si="149"/>
        <v/>
      </c>
      <c r="FO17" s="251" t="str">
        <f t="shared" si="150"/>
        <v/>
      </c>
      <c r="FP17" s="251" t="str">
        <f t="shared" si="151"/>
        <v/>
      </c>
      <c r="FQ17" s="251" t="str">
        <f t="shared" si="152"/>
        <v/>
      </c>
      <c r="FR17" s="251" t="str">
        <f t="shared" si="153"/>
        <v/>
      </c>
      <c r="FS17" s="251" t="str">
        <f t="shared" si="154"/>
        <v/>
      </c>
      <c r="FT17" s="251" t="str">
        <f t="shared" si="155"/>
        <v/>
      </c>
      <c r="FU17" s="251" t="str">
        <f t="shared" si="156"/>
        <v/>
      </c>
      <c r="FV17" s="251" t="str">
        <f t="shared" si="157"/>
        <v/>
      </c>
      <c r="FW17" s="251" t="str">
        <f t="shared" si="158"/>
        <v/>
      </c>
      <c r="FX17" s="251" t="str">
        <f t="shared" si="159"/>
        <v/>
      </c>
      <c r="FY17" s="251" t="str">
        <f t="shared" si="160"/>
        <v/>
      </c>
      <c r="FZ17" s="251" t="str">
        <f t="shared" si="161"/>
        <v/>
      </c>
      <c r="GA17" s="251" t="str">
        <f t="shared" si="162"/>
        <v/>
      </c>
      <c r="GB17" s="251" t="str">
        <f t="shared" si="163"/>
        <v/>
      </c>
      <c r="GC17" s="251" t="str">
        <f t="shared" si="164"/>
        <v/>
      </c>
      <c r="GD17" s="251" t="str">
        <f t="shared" si="165"/>
        <v/>
      </c>
      <c r="GE17" s="251" t="str">
        <f t="shared" si="166"/>
        <v/>
      </c>
      <c r="GF17" s="251" t="str">
        <f t="shared" si="167"/>
        <v/>
      </c>
      <c r="GG17" s="251" t="str">
        <f t="shared" si="168"/>
        <v/>
      </c>
      <c r="GH17" s="251" t="str">
        <f t="shared" si="169"/>
        <v/>
      </c>
      <c r="GI17" s="251" t="str">
        <f t="shared" si="170"/>
        <v/>
      </c>
      <c r="GJ17" s="251" t="str">
        <f t="shared" si="171"/>
        <v/>
      </c>
      <c r="GK17" s="251" t="str">
        <f t="shared" si="172"/>
        <v/>
      </c>
      <c r="GL17" s="251" t="str">
        <f t="shared" si="173"/>
        <v/>
      </c>
      <c r="GM17" s="251" t="str">
        <f t="shared" si="174"/>
        <v/>
      </c>
      <c r="GN17" s="251" t="str">
        <f t="shared" si="175"/>
        <v/>
      </c>
      <c r="GO17" s="251" t="str">
        <f t="shared" si="176"/>
        <v/>
      </c>
      <c r="GP17" s="251" t="str">
        <f t="shared" si="177"/>
        <v/>
      </c>
      <c r="GQ17" s="251" t="str">
        <f t="shared" si="178"/>
        <v/>
      </c>
      <c r="GR17" s="251" t="str">
        <f t="shared" si="179"/>
        <v/>
      </c>
      <c r="GS17" s="251" t="str">
        <f t="shared" si="180"/>
        <v/>
      </c>
      <c r="GT17" s="251" t="str">
        <f t="shared" si="181"/>
        <v/>
      </c>
      <c r="GU17" s="251" t="str">
        <f t="shared" si="182"/>
        <v/>
      </c>
      <c r="GV17" s="251" t="str">
        <f t="shared" si="183"/>
        <v/>
      </c>
      <c r="GW17" s="251" t="str">
        <f t="shared" si="184"/>
        <v/>
      </c>
      <c r="GX17" s="251" t="str">
        <f t="shared" si="185"/>
        <v/>
      </c>
      <c r="GY17" s="251" t="str">
        <f t="shared" si="186"/>
        <v/>
      </c>
      <c r="GZ17" s="251" t="str">
        <f t="shared" si="187"/>
        <v/>
      </c>
      <c r="HA17" s="251" t="str">
        <f t="shared" si="188"/>
        <v/>
      </c>
      <c r="HB17" s="251" t="str">
        <f t="shared" si="189"/>
        <v/>
      </c>
      <c r="HC17" s="251" t="str">
        <f t="shared" si="190"/>
        <v/>
      </c>
      <c r="HD17" s="251" t="str">
        <f t="shared" si="191"/>
        <v/>
      </c>
      <c r="HE17" s="251" t="str">
        <f t="shared" si="192"/>
        <v/>
      </c>
      <c r="HF17" s="251" t="str">
        <f t="shared" si="193"/>
        <v/>
      </c>
      <c r="HG17" s="251" t="str">
        <f t="shared" si="194"/>
        <v/>
      </c>
      <c r="HH17" s="251" t="str">
        <f t="shared" si="195"/>
        <v/>
      </c>
      <c r="HI17" s="251" t="str">
        <f t="shared" si="196"/>
        <v/>
      </c>
      <c r="HJ17" s="251" t="str">
        <f t="shared" si="197"/>
        <v/>
      </c>
      <c r="HK17" s="251" t="str">
        <f t="shared" si="198"/>
        <v/>
      </c>
      <c r="HL17" s="251" t="str">
        <f t="shared" si="199"/>
        <v/>
      </c>
      <c r="HM17" s="251" t="str">
        <f t="shared" si="200"/>
        <v/>
      </c>
      <c r="HN17" s="251" t="str">
        <f t="shared" si="201"/>
        <v/>
      </c>
      <c r="HO17" s="251" t="str">
        <f t="shared" si="202"/>
        <v/>
      </c>
      <c r="HP17" s="251" t="str">
        <f t="shared" si="203"/>
        <v/>
      </c>
      <c r="HQ17" s="251" t="str">
        <f t="shared" si="204"/>
        <v/>
      </c>
      <c r="HR17" s="251" t="str">
        <f t="shared" si="205"/>
        <v/>
      </c>
      <c r="HS17" s="251" t="str">
        <f t="shared" si="206"/>
        <v/>
      </c>
      <c r="HT17" s="251" t="str">
        <f t="shared" si="207"/>
        <v/>
      </c>
      <c r="HU17" s="251" t="str">
        <f t="shared" si="208"/>
        <v/>
      </c>
      <c r="HV17" s="251" t="str">
        <f t="shared" si="209"/>
        <v/>
      </c>
      <c r="HW17" s="251" t="str">
        <f t="shared" si="210"/>
        <v/>
      </c>
      <c r="HX17" s="251" t="str">
        <f t="shared" si="211"/>
        <v/>
      </c>
      <c r="HY17" s="251" t="str">
        <f t="shared" si="212"/>
        <v/>
      </c>
      <c r="HZ17" s="251" t="str">
        <f t="shared" si="213"/>
        <v/>
      </c>
      <c r="IA17" s="251" t="str">
        <f t="shared" si="214"/>
        <v/>
      </c>
      <c r="IB17" s="251" t="str">
        <f t="shared" si="215"/>
        <v/>
      </c>
      <c r="IC17" s="251" t="str">
        <f t="shared" si="216"/>
        <v/>
      </c>
      <c r="ID17" s="251" t="str">
        <f t="shared" si="217"/>
        <v/>
      </c>
      <c r="IE17" s="251" t="str">
        <f t="shared" si="218"/>
        <v/>
      </c>
      <c r="IF17" s="251" t="str">
        <f t="shared" si="219"/>
        <v/>
      </c>
      <c r="IG17" s="251" t="str">
        <f t="shared" si="220"/>
        <v/>
      </c>
      <c r="IH17" s="251" t="str">
        <f t="shared" si="221"/>
        <v/>
      </c>
      <c r="II17" s="251" t="str">
        <f t="shared" si="222"/>
        <v/>
      </c>
      <c r="IJ17" s="251" t="str">
        <f t="shared" si="223"/>
        <v/>
      </c>
      <c r="IK17" s="251" t="str">
        <f t="shared" si="224"/>
        <v/>
      </c>
      <c r="IL17" s="251" t="str">
        <f t="shared" si="225"/>
        <v/>
      </c>
      <c r="IM17" s="251" t="str">
        <f t="shared" si="226"/>
        <v/>
      </c>
      <c r="IN17" s="251" t="str">
        <f t="shared" si="227"/>
        <v/>
      </c>
      <c r="IO17" s="251" t="str">
        <f t="shared" si="228"/>
        <v/>
      </c>
      <c r="IP17" s="251" t="str">
        <f t="shared" si="229"/>
        <v/>
      </c>
      <c r="IQ17" s="251" t="str">
        <f t="shared" si="230"/>
        <v/>
      </c>
      <c r="IR17" s="251" t="str">
        <f t="shared" si="231"/>
        <v/>
      </c>
      <c r="IS17" s="251" t="str">
        <f t="shared" si="232"/>
        <v/>
      </c>
      <c r="IT17" s="251" t="str">
        <f t="shared" si="233"/>
        <v/>
      </c>
      <c r="IU17" s="251" t="str">
        <f t="shared" si="234"/>
        <v/>
      </c>
      <c r="IV17" s="251" t="str">
        <f t="shared" si="235"/>
        <v/>
      </c>
      <c r="IW17" s="251" t="str">
        <f t="shared" si="236"/>
        <v/>
      </c>
      <c r="IX17" s="251" t="str">
        <f t="shared" si="237"/>
        <v/>
      </c>
      <c r="IY17" s="251" t="str">
        <f t="shared" si="238"/>
        <v/>
      </c>
      <c r="IZ17" s="251" t="str">
        <f t="shared" si="239"/>
        <v/>
      </c>
      <c r="JA17" s="251" t="str">
        <f t="shared" si="240"/>
        <v/>
      </c>
      <c r="JB17" s="251" t="str">
        <f t="shared" si="241"/>
        <v/>
      </c>
      <c r="JC17" s="251" t="str">
        <f t="shared" si="242"/>
        <v/>
      </c>
      <c r="JD17" s="251" t="str">
        <f t="shared" si="243"/>
        <v/>
      </c>
      <c r="JE17" s="251" t="str">
        <f t="shared" si="244"/>
        <v/>
      </c>
      <c r="JF17" s="251" t="str">
        <f t="shared" si="245"/>
        <v/>
      </c>
      <c r="JG17" s="251" t="str">
        <f t="shared" si="246"/>
        <v/>
      </c>
      <c r="JH17" s="251" t="str">
        <f t="shared" si="247"/>
        <v/>
      </c>
      <c r="JI17" s="1297" t="str">
        <f t="shared" si="248"/>
        <v/>
      </c>
      <c r="JJ17" s="1297" t="str">
        <f t="shared" si="249"/>
        <v/>
      </c>
      <c r="JK17" s="1297" t="str">
        <f t="shared" si="250"/>
        <v/>
      </c>
      <c r="JL17" s="1297" t="str">
        <f t="shared" si="251"/>
        <v/>
      </c>
      <c r="JM17" s="1297" t="str">
        <f t="shared" si="252"/>
        <v/>
      </c>
      <c r="JN17" s="1297" t="str">
        <f t="shared" si="253"/>
        <v/>
      </c>
      <c r="JO17" s="1297" t="str">
        <f t="shared" si="254"/>
        <v/>
      </c>
      <c r="JP17" s="1297" t="str">
        <f t="shared" si="255"/>
        <v/>
      </c>
      <c r="JQ17" s="1297" t="str">
        <f t="shared" si="256"/>
        <v/>
      </c>
      <c r="JR17" s="1297" t="str">
        <f t="shared" si="257"/>
        <v/>
      </c>
      <c r="JS17" s="1297" t="str">
        <f t="shared" si="258"/>
        <v/>
      </c>
      <c r="JT17" s="1297" t="str">
        <f t="shared" si="259"/>
        <v/>
      </c>
      <c r="JU17" s="1297" t="str">
        <f t="shared" si="260"/>
        <v/>
      </c>
      <c r="JV17" s="1297" t="str">
        <f t="shared" si="261"/>
        <v/>
      </c>
      <c r="JW17" s="1297" t="str">
        <f t="shared" si="262"/>
        <v/>
      </c>
      <c r="JX17" s="1297" t="str">
        <f t="shared" si="263"/>
        <v/>
      </c>
      <c r="JY17" s="1297" t="str">
        <f t="shared" si="264"/>
        <v/>
      </c>
      <c r="JZ17" s="1297" t="str">
        <f t="shared" si="265"/>
        <v/>
      </c>
      <c r="KA17" s="1297" t="str">
        <f t="shared" si="266"/>
        <v/>
      </c>
      <c r="KB17" s="1297" t="str">
        <f t="shared" si="267"/>
        <v/>
      </c>
      <c r="KC17" s="1297" t="str">
        <f t="shared" si="268"/>
        <v/>
      </c>
      <c r="KD17" s="1297" t="str">
        <f t="shared" si="269"/>
        <v/>
      </c>
      <c r="KE17" s="1297" t="str">
        <f t="shared" si="270"/>
        <v/>
      </c>
      <c r="KF17" s="1297" t="str">
        <f t="shared" si="271"/>
        <v/>
      </c>
      <c r="KG17" s="1297" t="str">
        <f t="shared" si="272"/>
        <v/>
      </c>
      <c r="KH17" s="1297" t="str">
        <f t="shared" si="273"/>
        <v/>
      </c>
      <c r="KI17" s="1297" t="str">
        <f t="shared" si="274"/>
        <v/>
      </c>
      <c r="KJ17" s="1297" t="str">
        <f t="shared" si="275"/>
        <v/>
      </c>
      <c r="KK17" s="1297" t="str">
        <f t="shared" si="276"/>
        <v/>
      </c>
      <c r="KL17" s="1297" t="str">
        <f t="shared" si="277"/>
        <v/>
      </c>
      <c r="KM17" s="1297" t="str">
        <f t="shared" si="278"/>
        <v/>
      </c>
      <c r="KN17" s="1297" t="str">
        <f t="shared" si="279"/>
        <v/>
      </c>
      <c r="KO17" s="1297" t="str">
        <f t="shared" si="280"/>
        <v/>
      </c>
      <c r="KP17" s="1297" t="str">
        <f t="shared" si="281"/>
        <v/>
      </c>
      <c r="KQ17" s="1297" t="str">
        <f t="shared" si="282"/>
        <v/>
      </c>
      <c r="KR17" s="1297" t="str">
        <f t="shared" si="283"/>
        <v/>
      </c>
      <c r="KS17" s="1297" t="str">
        <f t="shared" si="284"/>
        <v/>
      </c>
      <c r="KT17" s="1297" t="str">
        <f t="shared" si="285"/>
        <v/>
      </c>
      <c r="KU17" s="1297" t="str">
        <f t="shared" si="286"/>
        <v/>
      </c>
      <c r="KV17" s="1297" t="str">
        <f t="shared" si="287"/>
        <v/>
      </c>
      <c r="KW17" s="1297" t="str">
        <f t="shared" si="288"/>
        <v/>
      </c>
      <c r="KX17" s="1297" t="str">
        <f t="shared" si="289"/>
        <v/>
      </c>
      <c r="KY17" s="1297" t="str">
        <f t="shared" si="290"/>
        <v/>
      </c>
      <c r="KZ17" s="1297" t="str">
        <f t="shared" si="291"/>
        <v/>
      </c>
      <c r="LA17" s="1297" t="str">
        <f t="shared" si="292"/>
        <v/>
      </c>
      <c r="LB17" s="1297" t="str">
        <f t="shared" si="293"/>
        <v/>
      </c>
      <c r="LC17" s="1297" t="str">
        <f t="shared" si="294"/>
        <v/>
      </c>
      <c r="LD17" s="1297" t="str">
        <f t="shared" si="295"/>
        <v/>
      </c>
      <c r="LE17" s="1297" t="str">
        <f t="shared" si="296"/>
        <v/>
      </c>
      <c r="LF17" s="1297" t="str">
        <f t="shared" si="297"/>
        <v/>
      </c>
      <c r="LG17" s="1297" t="str">
        <f t="shared" si="298"/>
        <v/>
      </c>
      <c r="LH17" s="1297" t="str">
        <f t="shared" si="299"/>
        <v/>
      </c>
      <c r="LI17" s="1297" t="str">
        <f t="shared" si="300"/>
        <v/>
      </c>
      <c r="LJ17" s="1297" t="str">
        <f t="shared" si="301"/>
        <v/>
      </c>
      <c r="LK17" s="1297" t="str">
        <f t="shared" si="302"/>
        <v/>
      </c>
      <c r="LL17" s="1297" t="str">
        <f t="shared" si="303"/>
        <v/>
      </c>
      <c r="LM17" s="1297" t="str">
        <f t="shared" si="304"/>
        <v/>
      </c>
      <c r="LN17" s="1297" t="str">
        <f t="shared" si="305"/>
        <v/>
      </c>
      <c r="LO17" s="1297" t="str">
        <f t="shared" si="306"/>
        <v/>
      </c>
      <c r="LP17" s="1297" t="str">
        <f t="shared" si="307"/>
        <v/>
      </c>
      <c r="LQ17" s="1297" t="str">
        <f t="shared" si="308"/>
        <v/>
      </c>
      <c r="LR17" s="1297" t="str">
        <f t="shared" si="309"/>
        <v/>
      </c>
      <c r="LS17" s="1297" t="str">
        <f t="shared" si="310"/>
        <v/>
      </c>
      <c r="LT17" s="1297" t="str">
        <f t="shared" si="311"/>
        <v/>
      </c>
      <c r="LU17" s="1297" t="str">
        <f t="shared" si="312"/>
        <v/>
      </c>
      <c r="LV17" s="1297" t="str">
        <f t="shared" si="313"/>
        <v/>
      </c>
      <c r="LW17" s="1297" t="str">
        <f t="shared" si="314"/>
        <v/>
      </c>
      <c r="LX17" s="1297" t="str">
        <f t="shared" si="315"/>
        <v/>
      </c>
      <c r="LY17" s="1297" t="str">
        <f t="shared" si="316"/>
        <v/>
      </c>
      <c r="LZ17" s="1297" t="str">
        <f t="shared" si="317"/>
        <v/>
      </c>
      <c r="MA17" s="1297" t="str">
        <f t="shared" si="318"/>
        <v/>
      </c>
      <c r="MB17" s="1297" t="str">
        <f t="shared" si="319"/>
        <v/>
      </c>
      <c r="MC17" s="1297" t="str">
        <f t="shared" si="320"/>
        <v/>
      </c>
      <c r="MD17" s="1297" t="str">
        <f t="shared" si="321"/>
        <v/>
      </c>
      <c r="ME17" s="1297" t="str">
        <f t="shared" si="322"/>
        <v/>
      </c>
      <c r="MF17" s="1297" t="str">
        <f t="shared" si="323"/>
        <v/>
      </c>
      <c r="MG17" s="1297" t="str">
        <f t="shared" si="324"/>
        <v/>
      </c>
      <c r="MH17" s="1297" t="str">
        <f t="shared" si="325"/>
        <v/>
      </c>
      <c r="MI17" s="1297" t="str">
        <f t="shared" si="326"/>
        <v/>
      </c>
      <c r="MJ17" s="1297" t="str">
        <f t="shared" si="327"/>
        <v/>
      </c>
      <c r="MK17" s="1297" t="str">
        <f t="shared" si="328"/>
        <v/>
      </c>
      <c r="ML17" s="1297" t="str">
        <f t="shared" si="329"/>
        <v/>
      </c>
      <c r="MM17" s="1297" t="str">
        <f t="shared" si="330"/>
        <v/>
      </c>
      <c r="MN17" s="1297" t="str">
        <f t="shared" si="331"/>
        <v/>
      </c>
      <c r="MO17" s="1297" t="str">
        <f t="shared" si="332"/>
        <v/>
      </c>
      <c r="MP17" s="1773" t="str">
        <f t="shared" si="333"/>
        <v/>
      </c>
      <c r="MQ17" s="1773" t="str">
        <f t="shared" si="334"/>
        <v/>
      </c>
      <c r="MR17" s="1773" t="str">
        <f t="shared" si="335"/>
        <v/>
      </c>
      <c r="MS17" s="1773" t="str">
        <f t="shared" si="336"/>
        <v/>
      </c>
      <c r="MT17" s="1773" t="str">
        <f t="shared" si="337"/>
        <v/>
      </c>
      <c r="MU17" s="251" t="str">
        <f t="shared" si="338"/>
        <v/>
      </c>
      <c r="MV17" s="251" t="str">
        <f t="shared" si="339"/>
        <v/>
      </c>
      <c r="MW17" s="251" t="str">
        <f t="shared" si="340"/>
        <v/>
      </c>
      <c r="MX17" s="251" t="str">
        <f t="shared" si="341"/>
        <v/>
      </c>
      <c r="MY17" s="251" t="str">
        <f t="shared" si="342"/>
        <v/>
      </c>
      <c r="MZ17" s="251" t="str">
        <f t="shared" si="343"/>
        <v/>
      </c>
      <c r="NA17" s="251" t="str">
        <f t="shared" si="344"/>
        <v/>
      </c>
      <c r="NB17" s="251" t="str">
        <f t="shared" si="345"/>
        <v/>
      </c>
      <c r="NC17" s="251" t="str">
        <f t="shared" si="346"/>
        <v/>
      </c>
      <c r="ND17" s="251" t="str">
        <f t="shared" si="347"/>
        <v/>
      </c>
      <c r="NE17" s="251" t="str">
        <f t="shared" si="348"/>
        <v/>
      </c>
      <c r="NF17" s="251" t="str">
        <f t="shared" si="349"/>
        <v/>
      </c>
      <c r="NG17" s="251" t="str">
        <f t="shared" si="350"/>
        <v/>
      </c>
      <c r="NH17" s="251" t="str">
        <f t="shared" si="351"/>
        <v/>
      </c>
      <c r="NI17" s="251" t="str">
        <f t="shared" si="352"/>
        <v/>
      </c>
      <c r="NJ17" s="251" t="str">
        <f t="shared" si="353"/>
        <v/>
      </c>
      <c r="NK17" s="251" t="str">
        <f t="shared" si="354"/>
        <v/>
      </c>
      <c r="NL17" s="251" t="str">
        <f t="shared" si="355"/>
        <v/>
      </c>
      <c r="NM17" s="251" t="str">
        <f t="shared" si="356"/>
        <v/>
      </c>
      <c r="NN17" s="251" t="str">
        <f t="shared" si="357"/>
        <v/>
      </c>
      <c r="NO17" s="1185">
        <f t="shared" si="358"/>
        <v>0</v>
      </c>
      <c r="NP17" s="1185">
        <f t="shared" si="359"/>
        <v>0</v>
      </c>
      <c r="NQ17" s="1185">
        <f t="shared" si="360"/>
        <v>0</v>
      </c>
      <c r="NR17" s="1185">
        <f t="shared" si="361"/>
        <v>0</v>
      </c>
      <c r="NS17" s="1185">
        <f t="shared" si="362"/>
        <v>0</v>
      </c>
      <c r="NT17" s="1185">
        <f t="shared" si="368"/>
        <v>0</v>
      </c>
      <c r="NU17" s="1185">
        <f t="shared" si="369"/>
        <v>0</v>
      </c>
      <c r="NV17" s="1185">
        <f t="shared" si="370"/>
        <v>0</v>
      </c>
      <c r="NW17" s="1185">
        <f t="shared" si="371"/>
        <v>0</v>
      </c>
      <c r="NX17" s="1185">
        <f t="shared" si="372"/>
        <v>0</v>
      </c>
      <c r="NY17" s="1185">
        <f t="shared" si="363"/>
        <v>0</v>
      </c>
      <c r="NZ17" s="1185">
        <f t="shared" si="364"/>
        <v>0</v>
      </c>
      <c r="OA17" s="1185">
        <f t="shared" si="365"/>
        <v>0</v>
      </c>
      <c r="OB17" s="1185">
        <f t="shared" si="366"/>
        <v>0</v>
      </c>
      <c r="OC17" s="1185">
        <f t="shared" si="367"/>
        <v>0</v>
      </c>
      <c r="OY17" s="1794" t="s">
        <v>1165</v>
      </c>
      <c r="OZ17" s="1799">
        <v>17</v>
      </c>
    </row>
    <row r="18" spans="1:416" ht="12" customHeight="1">
      <c r="A18" s="53" t="str">
        <f t="shared" si="0"/>
        <v/>
      </c>
      <c r="B18" s="781">
        <v>60</v>
      </c>
      <c r="C18" s="756">
        <v>1</v>
      </c>
      <c r="D18" s="1189">
        <v>1</v>
      </c>
      <c r="E18" s="757">
        <v>3</v>
      </c>
      <c r="F18" s="757">
        <v>769</v>
      </c>
      <c r="G18" s="757">
        <v>463</v>
      </c>
      <c r="H18" s="757">
        <f>G18-10</f>
        <v>453</v>
      </c>
      <c r="I18" s="757">
        <v>0</v>
      </c>
      <c r="J18" s="765">
        <f>IF(C18="",0,HLOOKUP(C18,'Part IV-Utility Allowances'!$I$11:$M$25,15))</f>
        <v>175</v>
      </c>
      <c r="K18" s="766"/>
      <c r="L18" s="767">
        <f t="shared" si="1"/>
        <v>278</v>
      </c>
      <c r="M18" s="767">
        <f t="shared" si="2"/>
        <v>834</v>
      </c>
      <c r="N18" s="768" t="s">
        <v>7474</v>
      </c>
      <c r="O18" s="1136" t="s">
        <v>1259</v>
      </c>
      <c r="P18" s="768" t="s">
        <v>7678</v>
      </c>
      <c r="Q18" s="769" t="s">
        <v>7474</v>
      </c>
      <c r="R18" s="540"/>
      <c r="S18" s="541"/>
      <c r="T18" s="3758"/>
      <c r="U18" s="3759"/>
      <c r="V18" s="3759"/>
      <c r="W18" s="3760"/>
      <c r="X18" s="251" t="str">
        <f t="shared" si="3"/>
        <v/>
      </c>
      <c r="Y18" s="251" t="str">
        <f t="shared" si="4"/>
        <v/>
      </c>
      <c r="Z18" s="251" t="str">
        <f t="shared" si="5"/>
        <v/>
      </c>
      <c r="AA18" s="251" t="str">
        <f t="shared" si="6"/>
        <v/>
      </c>
      <c r="AB18" s="251" t="str">
        <f t="shared" si="7"/>
        <v/>
      </c>
      <c r="AC18" s="251" t="str">
        <f t="shared" si="8"/>
        <v/>
      </c>
      <c r="AD18" s="251" t="str">
        <f t="shared" si="9"/>
        <v/>
      </c>
      <c r="AE18" s="251" t="str">
        <f t="shared" si="10"/>
        <v/>
      </c>
      <c r="AF18" s="251" t="str">
        <f t="shared" si="11"/>
        <v/>
      </c>
      <c r="AG18" s="251" t="str">
        <f t="shared" si="12"/>
        <v/>
      </c>
      <c r="AH18" s="251" t="str">
        <f t="shared" si="13"/>
        <v/>
      </c>
      <c r="AI18" s="251">
        <f t="shared" si="14"/>
        <v>3</v>
      </c>
      <c r="AJ18" s="251" t="str">
        <f t="shared" si="15"/>
        <v/>
      </c>
      <c r="AK18" s="251" t="str">
        <f t="shared" si="16"/>
        <v/>
      </c>
      <c r="AL18" s="251" t="str">
        <f t="shared" si="17"/>
        <v/>
      </c>
      <c r="AM18" s="251" t="str">
        <f t="shared" si="18"/>
        <v/>
      </c>
      <c r="AN18" s="251" t="str">
        <f t="shared" si="19"/>
        <v/>
      </c>
      <c r="AO18" s="251" t="str">
        <f t="shared" si="20"/>
        <v/>
      </c>
      <c r="AP18" s="251" t="str">
        <f t="shared" si="21"/>
        <v/>
      </c>
      <c r="AQ18" s="251" t="str">
        <f t="shared" si="22"/>
        <v/>
      </c>
      <c r="AR18" s="251" t="str">
        <f t="shared" si="23"/>
        <v/>
      </c>
      <c r="AS18" s="251" t="str">
        <f t="shared" si="24"/>
        <v/>
      </c>
      <c r="AT18" s="251" t="str">
        <f t="shared" si="25"/>
        <v/>
      </c>
      <c r="AU18" s="251" t="str">
        <f t="shared" si="26"/>
        <v/>
      </c>
      <c r="AV18" s="251" t="str">
        <f t="shared" si="27"/>
        <v/>
      </c>
      <c r="AW18" s="251" t="str">
        <f t="shared" si="28"/>
        <v/>
      </c>
      <c r="AX18" s="251" t="str">
        <f t="shared" si="29"/>
        <v/>
      </c>
      <c r="AY18" s="251" t="str">
        <f t="shared" si="30"/>
        <v/>
      </c>
      <c r="AZ18" s="251" t="str">
        <f t="shared" si="31"/>
        <v/>
      </c>
      <c r="BA18" s="251" t="str">
        <f t="shared" si="32"/>
        <v/>
      </c>
      <c r="BB18" s="251" t="str">
        <f t="shared" si="33"/>
        <v/>
      </c>
      <c r="BC18" s="251" t="str">
        <f t="shared" si="34"/>
        <v/>
      </c>
      <c r="BD18" s="251" t="str">
        <f t="shared" si="35"/>
        <v/>
      </c>
      <c r="BE18" s="251" t="str">
        <f t="shared" si="36"/>
        <v/>
      </c>
      <c r="BF18" s="251" t="str">
        <f t="shared" si="37"/>
        <v/>
      </c>
      <c r="BG18" s="251" t="str">
        <f t="shared" si="38"/>
        <v/>
      </c>
      <c r="BH18" s="251" t="str">
        <f t="shared" si="39"/>
        <v/>
      </c>
      <c r="BI18" s="251" t="str">
        <f t="shared" si="40"/>
        <v/>
      </c>
      <c r="BJ18" s="251" t="str">
        <f t="shared" si="41"/>
        <v/>
      </c>
      <c r="BK18" s="251" t="str">
        <f t="shared" si="42"/>
        <v/>
      </c>
      <c r="BL18" s="251" t="str">
        <f t="shared" si="43"/>
        <v/>
      </c>
      <c r="BM18" s="251" t="str">
        <f t="shared" si="44"/>
        <v/>
      </c>
      <c r="BN18" s="251" t="str">
        <f t="shared" si="45"/>
        <v/>
      </c>
      <c r="BO18" s="251" t="str">
        <f t="shared" si="46"/>
        <v/>
      </c>
      <c r="BP18" s="251" t="str">
        <f t="shared" si="47"/>
        <v/>
      </c>
      <c r="BQ18" s="251" t="str">
        <f t="shared" si="48"/>
        <v/>
      </c>
      <c r="BR18" s="251" t="str">
        <f t="shared" si="49"/>
        <v/>
      </c>
      <c r="BS18" s="251" t="str">
        <f t="shared" si="50"/>
        <v/>
      </c>
      <c r="BT18" s="251" t="str">
        <f t="shared" si="51"/>
        <v/>
      </c>
      <c r="BU18" s="251" t="str">
        <f t="shared" si="52"/>
        <v/>
      </c>
      <c r="BV18" s="251" t="str">
        <f t="shared" si="53"/>
        <v/>
      </c>
      <c r="BW18" s="251" t="str">
        <f t="shared" si="54"/>
        <v/>
      </c>
      <c r="BX18" s="251" t="str">
        <f t="shared" si="55"/>
        <v/>
      </c>
      <c r="BY18" s="251" t="str">
        <f t="shared" si="56"/>
        <v/>
      </c>
      <c r="BZ18" s="251" t="str">
        <f t="shared" si="57"/>
        <v/>
      </c>
      <c r="CA18" s="251" t="str">
        <f t="shared" si="58"/>
        <v/>
      </c>
      <c r="CB18" s="251" t="str">
        <f t="shared" si="59"/>
        <v/>
      </c>
      <c r="CC18" s="251" t="str">
        <f t="shared" si="60"/>
        <v/>
      </c>
      <c r="CD18" s="251" t="str">
        <f t="shared" si="61"/>
        <v/>
      </c>
      <c r="CE18" s="251" t="str">
        <f t="shared" si="62"/>
        <v/>
      </c>
      <c r="CF18" s="251" t="str">
        <f t="shared" si="63"/>
        <v/>
      </c>
      <c r="CG18" s="251" t="str">
        <f t="shared" si="64"/>
        <v/>
      </c>
      <c r="CH18" s="251" t="str">
        <f t="shared" si="65"/>
        <v/>
      </c>
      <c r="CI18" s="251" t="str">
        <f t="shared" si="66"/>
        <v/>
      </c>
      <c r="CJ18" s="251" t="str">
        <f t="shared" si="67"/>
        <v/>
      </c>
      <c r="CK18" s="251" t="str">
        <f t="shared" si="68"/>
        <v/>
      </c>
      <c r="CL18" s="251" t="str">
        <f t="shared" si="69"/>
        <v/>
      </c>
      <c r="CM18" s="251" t="str">
        <f t="shared" si="70"/>
        <v/>
      </c>
      <c r="CN18" s="251" t="str">
        <f t="shared" si="71"/>
        <v/>
      </c>
      <c r="CO18" s="251" t="str">
        <f t="shared" si="72"/>
        <v/>
      </c>
      <c r="CP18" s="251" t="str">
        <f t="shared" si="73"/>
        <v/>
      </c>
      <c r="CQ18" s="251" t="str">
        <f t="shared" si="74"/>
        <v/>
      </c>
      <c r="CR18" s="251" t="str">
        <f t="shared" si="75"/>
        <v/>
      </c>
      <c r="CS18" s="251" t="str">
        <f t="shared" si="76"/>
        <v/>
      </c>
      <c r="CT18" s="251" t="str">
        <f t="shared" si="77"/>
        <v/>
      </c>
      <c r="CU18" s="251" t="str">
        <f t="shared" si="78"/>
        <v/>
      </c>
      <c r="CV18" s="251" t="str">
        <f t="shared" si="79"/>
        <v/>
      </c>
      <c r="CW18" s="251" t="str">
        <f t="shared" si="80"/>
        <v/>
      </c>
      <c r="CX18" s="251" t="str">
        <f t="shared" si="81"/>
        <v/>
      </c>
      <c r="CY18" s="251" t="str">
        <f t="shared" si="82"/>
        <v/>
      </c>
      <c r="CZ18" s="251" t="str">
        <f t="shared" si="83"/>
        <v/>
      </c>
      <c r="DA18" s="251" t="str">
        <f t="shared" si="84"/>
        <v/>
      </c>
      <c r="DB18" s="251" t="str">
        <f t="shared" si="85"/>
        <v/>
      </c>
      <c r="DC18" s="251" t="str">
        <f t="shared" si="86"/>
        <v/>
      </c>
      <c r="DD18" s="251" t="str">
        <f t="shared" si="87"/>
        <v/>
      </c>
      <c r="DE18" s="251" t="str">
        <f t="shared" si="88"/>
        <v/>
      </c>
      <c r="DF18" s="251" t="str">
        <f t="shared" si="89"/>
        <v/>
      </c>
      <c r="DG18" s="251" t="str">
        <f t="shared" si="90"/>
        <v/>
      </c>
      <c r="DH18" s="251" t="str">
        <f t="shared" si="91"/>
        <v/>
      </c>
      <c r="DI18" s="251" t="str">
        <f t="shared" si="92"/>
        <v/>
      </c>
      <c r="DJ18" s="251" t="str">
        <f t="shared" si="93"/>
        <v/>
      </c>
      <c r="DK18" s="251" t="str">
        <f t="shared" si="94"/>
        <v/>
      </c>
      <c r="DL18" s="251" t="str">
        <f t="shared" si="95"/>
        <v/>
      </c>
      <c r="DM18" s="251" t="str">
        <f t="shared" si="96"/>
        <v/>
      </c>
      <c r="DN18" s="251" t="str">
        <f t="shared" si="97"/>
        <v/>
      </c>
      <c r="DO18" s="251" t="str">
        <f t="shared" si="98"/>
        <v/>
      </c>
      <c r="DP18" s="251" t="str">
        <f t="shared" si="99"/>
        <v/>
      </c>
      <c r="DQ18" s="251" t="str">
        <f t="shared" si="100"/>
        <v/>
      </c>
      <c r="DR18" s="251" t="str">
        <f t="shared" si="101"/>
        <v/>
      </c>
      <c r="DS18" s="251" t="str">
        <f t="shared" si="102"/>
        <v/>
      </c>
      <c r="DT18" s="251" t="str">
        <f t="shared" si="103"/>
        <v/>
      </c>
      <c r="DU18" s="251" t="str">
        <f t="shared" si="104"/>
        <v/>
      </c>
      <c r="DV18" s="251" t="str">
        <f t="shared" si="105"/>
        <v/>
      </c>
      <c r="DW18" s="251" t="str">
        <f t="shared" si="106"/>
        <v/>
      </c>
      <c r="DX18" s="251" t="str">
        <f t="shared" si="107"/>
        <v/>
      </c>
      <c r="DY18" s="251" t="str">
        <f t="shared" si="108"/>
        <v/>
      </c>
      <c r="DZ18" s="251" t="str">
        <f t="shared" si="109"/>
        <v/>
      </c>
      <c r="EA18" s="251" t="str">
        <f t="shared" si="110"/>
        <v/>
      </c>
      <c r="EB18" s="251" t="str">
        <f t="shared" si="111"/>
        <v/>
      </c>
      <c r="EC18" s="251" t="str">
        <f t="shared" si="112"/>
        <v/>
      </c>
      <c r="ED18" s="251" t="str">
        <f t="shared" si="113"/>
        <v/>
      </c>
      <c r="EE18" s="251" t="str">
        <f t="shared" si="114"/>
        <v/>
      </c>
      <c r="EF18" s="251" t="str">
        <f t="shared" si="115"/>
        <v/>
      </c>
      <c r="EG18" s="251" t="str">
        <f t="shared" si="116"/>
        <v/>
      </c>
      <c r="EH18" s="251" t="str">
        <f t="shared" si="117"/>
        <v/>
      </c>
      <c r="EI18" s="251" t="str">
        <f t="shared" si="118"/>
        <v/>
      </c>
      <c r="EJ18" s="251" t="str">
        <f t="shared" si="119"/>
        <v/>
      </c>
      <c r="EK18" s="251" t="str">
        <f t="shared" si="120"/>
        <v/>
      </c>
      <c r="EL18" s="251" t="str">
        <f t="shared" si="121"/>
        <v/>
      </c>
      <c r="EM18" s="251" t="str">
        <f t="shared" si="122"/>
        <v/>
      </c>
      <c r="EN18" s="251" t="str">
        <f t="shared" si="123"/>
        <v/>
      </c>
      <c r="EO18" s="251" t="str">
        <f t="shared" si="124"/>
        <v/>
      </c>
      <c r="EP18" s="251" t="str">
        <f t="shared" si="125"/>
        <v/>
      </c>
      <c r="EQ18" s="251" t="str">
        <f t="shared" si="126"/>
        <v/>
      </c>
      <c r="ER18" s="251" t="str">
        <f t="shared" si="127"/>
        <v/>
      </c>
      <c r="ES18" s="251" t="str">
        <f t="shared" si="128"/>
        <v/>
      </c>
      <c r="ET18" s="251" t="str">
        <f t="shared" si="129"/>
        <v/>
      </c>
      <c r="EU18" s="251" t="str">
        <f t="shared" si="130"/>
        <v/>
      </c>
      <c r="EV18" s="251" t="str">
        <f t="shared" si="131"/>
        <v/>
      </c>
      <c r="EW18" s="251" t="str">
        <f t="shared" si="132"/>
        <v/>
      </c>
      <c r="EX18" s="251" t="str">
        <f t="shared" si="133"/>
        <v/>
      </c>
      <c r="EY18" s="251" t="str">
        <f t="shared" si="134"/>
        <v/>
      </c>
      <c r="EZ18" s="251" t="str">
        <f t="shared" si="135"/>
        <v/>
      </c>
      <c r="FA18" s="251" t="str">
        <f t="shared" si="136"/>
        <v/>
      </c>
      <c r="FB18" s="251" t="str">
        <f t="shared" si="137"/>
        <v/>
      </c>
      <c r="FC18" s="251" t="str">
        <f t="shared" si="138"/>
        <v/>
      </c>
      <c r="FD18" s="251" t="str">
        <f t="shared" si="139"/>
        <v/>
      </c>
      <c r="FE18" s="251" t="str">
        <f t="shared" si="140"/>
        <v/>
      </c>
      <c r="FF18" s="251" t="str">
        <f t="shared" si="141"/>
        <v/>
      </c>
      <c r="FG18" s="251" t="str">
        <f t="shared" si="142"/>
        <v/>
      </c>
      <c r="FH18" s="251" t="str">
        <f t="shared" si="143"/>
        <v/>
      </c>
      <c r="FI18" s="251" t="str">
        <f t="shared" si="144"/>
        <v/>
      </c>
      <c r="FJ18" s="251" t="str">
        <f t="shared" si="145"/>
        <v/>
      </c>
      <c r="FK18" s="251" t="str">
        <f t="shared" si="146"/>
        <v/>
      </c>
      <c r="FL18" s="251" t="str">
        <f t="shared" si="147"/>
        <v/>
      </c>
      <c r="FM18" s="251" t="str">
        <f t="shared" si="148"/>
        <v/>
      </c>
      <c r="FN18" s="251" t="str">
        <f t="shared" si="149"/>
        <v/>
      </c>
      <c r="FO18" s="251" t="str">
        <f t="shared" si="150"/>
        <v/>
      </c>
      <c r="FP18" s="251" t="str">
        <f t="shared" si="151"/>
        <v/>
      </c>
      <c r="FQ18" s="251" t="str">
        <f t="shared" si="152"/>
        <v/>
      </c>
      <c r="FR18" s="251" t="str">
        <f t="shared" si="153"/>
        <v/>
      </c>
      <c r="FS18" s="251" t="str">
        <f t="shared" si="154"/>
        <v/>
      </c>
      <c r="FT18" s="251" t="str">
        <f t="shared" si="155"/>
        <v/>
      </c>
      <c r="FU18" s="251" t="str">
        <f t="shared" si="156"/>
        <v/>
      </c>
      <c r="FV18" s="251" t="str">
        <f t="shared" si="157"/>
        <v/>
      </c>
      <c r="FW18" s="251" t="str">
        <f t="shared" si="158"/>
        <v/>
      </c>
      <c r="FX18" s="251" t="str">
        <f t="shared" si="159"/>
        <v/>
      </c>
      <c r="FY18" s="251" t="str">
        <f t="shared" si="160"/>
        <v/>
      </c>
      <c r="FZ18" s="251" t="str">
        <f t="shared" si="161"/>
        <v/>
      </c>
      <c r="GA18" s="251" t="str">
        <f t="shared" si="162"/>
        <v/>
      </c>
      <c r="GB18" s="251" t="str">
        <f t="shared" si="163"/>
        <v/>
      </c>
      <c r="GC18" s="251">
        <f t="shared" si="164"/>
        <v>2307</v>
      </c>
      <c r="GD18" s="251" t="str">
        <f t="shared" si="165"/>
        <v/>
      </c>
      <c r="GE18" s="251" t="str">
        <f t="shared" si="166"/>
        <v/>
      </c>
      <c r="GF18" s="251" t="str">
        <f t="shared" si="167"/>
        <v/>
      </c>
      <c r="GG18" s="251" t="str">
        <f t="shared" si="168"/>
        <v/>
      </c>
      <c r="GH18" s="251" t="str">
        <f t="shared" si="169"/>
        <v/>
      </c>
      <c r="GI18" s="251" t="str">
        <f t="shared" si="170"/>
        <v/>
      </c>
      <c r="GJ18" s="251" t="str">
        <f t="shared" si="171"/>
        <v/>
      </c>
      <c r="GK18" s="251" t="str">
        <f t="shared" si="172"/>
        <v/>
      </c>
      <c r="GL18" s="251" t="str">
        <f t="shared" si="173"/>
        <v/>
      </c>
      <c r="GM18" s="251" t="str">
        <f t="shared" si="174"/>
        <v/>
      </c>
      <c r="GN18" s="251" t="str">
        <f t="shared" si="175"/>
        <v/>
      </c>
      <c r="GO18" s="251" t="str">
        <f t="shared" si="176"/>
        <v/>
      </c>
      <c r="GP18" s="251" t="str">
        <f t="shared" si="177"/>
        <v/>
      </c>
      <c r="GQ18" s="251" t="str">
        <f t="shared" si="178"/>
        <v/>
      </c>
      <c r="GR18" s="251" t="str">
        <f t="shared" si="179"/>
        <v/>
      </c>
      <c r="GS18" s="251" t="str">
        <f t="shared" si="180"/>
        <v/>
      </c>
      <c r="GT18" s="251" t="str">
        <f t="shared" si="181"/>
        <v/>
      </c>
      <c r="GU18" s="251" t="str">
        <f t="shared" si="182"/>
        <v/>
      </c>
      <c r="GV18" s="251" t="str">
        <f t="shared" si="183"/>
        <v/>
      </c>
      <c r="GW18" s="251" t="str">
        <f t="shared" si="184"/>
        <v/>
      </c>
      <c r="GX18" s="251" t="str">
        <f t="shared" si="185"/>
        <v/>
      </c>
      <c r="GY18" s="251" t="str">
        <f t="shared" si="186"/>
        <v/>
      </c>
      <c r="GZ18" s="251" t="str">
        <f t="shared" si="187"/>
        <v/>
      </c>
      <c r="HA18" s="251" t="str">
        <f t="shared" si="188"/>
        <v/>
      </c>
      <c r="HB18" s="251" t="str">
        <f t="shared" si="189"/>
        <v/>
      </c>
      <c r="HC18" s="251" t="str">
        <f t="shared" si="190"/>
        <v/>
      </c>
      <c r="HD18" s="251" t="str">
        <f t="shared" si="191"/>
        <v/>
      </c>
      <c r="HE18" s="251" t="str">
        <f t="shared" si="192"/>
        <v/>
      </c>
      <c r="HF18" s="251" t="str">
        <f t="shared" si="193"/>
        <v/>
      </c>
      <c r="HG18" s="251" t="str">
        <f t="shared" si="194"/>
        <v/>
      </c>
      <c r="HH18" s="251" t="str">
        <f t="shared" si="195"/>
        <v/>
      </c>
      <c r="HI18" s="251" t="str">
        <f t="shared" si="196"/>
        <v/>
      </c>
      <c r="HJ18" s="251" t="str">
        <f t="shared" si="197"/>
        <v/>
      </c>
      <c r="HK18" s="251" t="str">
        <f t="shared" si="198"/>
        <v/>
      </c>
      <c r="HL18" s="251" t="str">
        <f t="shared" si="199"/>
        <v/>
      </c>
      <c r="HM18" s="251" t="str">
        <f t="shared" si="200"/>
        <v/>
      </c>
      <c r="HN18" s="251" t="str">
        <f t="shared" si="201"/>
        <v/>
      </c>
      <c r="HO18" s="251" t="str">
        <f t="shared" si="202"/>
        <v/>
      </c>
      <c r="HP18" s="251" t="str">
        <f t="shared" si="203"/>
        <v/>
      </c>
      <c r="HQ18" s="251" t="str">
        <f t="shared" si="204"/>
        <v/>
      </c>
      <c r="HR18" s="251" t="str">
        <f t="shared" si="205"/>
        <v/>
      </c>
      <c r="HS18" s="251" t="str">
        <f t="shared" si="206"/>
        <v/>
      </c>
      <c r="HT18" s="251" t="str">
        <f t="shared" si="207"/>
        <v/>
      </c>
      <c r="HU18" s="251" t="str">
        <f t="shared" si="208"/>
        <v/>
      </c>
      <c r="HV18" s="251" t="str">
        <f t="shared" si="209"/>
        <v/>
      </c>
      <c r="HW18" s="251" t="str">
        <f t="shared" si="210"/>
        <v/>
      </c>
      <c r="HX18" s="251" t="str">
        <f t="shared" si="211"/>
        <v/>
      </c>
      <c r="HY18" s="251" t="str">
        <f t="shared" si="212"/>
        <v/>
      </c>
      <c r="HZ18" s="251" t="str">
        <f t="shared" si="213"/>
        <v/>
      </c>
      <c r="IA18" s="251" t="str">
        <f t="shared" si="214"/>
        <v/>
      </c>
      <c r="IB18" s="251" t="str">
        <f t="shared" si="215"/>
        <v/>
      </c>
      <c r="IC18" s="251" t="str">
        <f t="shared" si="216"/>
        <v/>
      </c>
      <c r="ID18" s="251" t="str">
        <f t="shared" si="217"/>
        <v/>
      </c>
      <c r="IE18" s="251" t="str">
        <f t="shared" si="218"/>
        <v/>
      </c>
      <c r="IF18" s="251">
        <f t="shared" si="219"/>
        <v>3</v>
      </c>
      <c r="IG18" s="251" t="str">
        <f t="shared" si="220"/>
        <v/>
      </c>
      <c r="IH18" s="251" t="str">
        <f t="shared" si="221"/>
        <v/>
      </c>
      <c r="II18" s="251" t="str">
        <f t="shared" si="222"/>
        <v/>
      </c>
      <c r="IJ18" s="251" t="str">
        <f t="shared" si="223"/>
        <v/>
      </c>
      <c r="IK18" s="251" t="str">
        <f t="shared" si="224"/>
        <v/>
      </c>
      <c r="IL18" s="251" t="str">
        <f t="shared" si="225"/>
        <v/>
      </c>
      <c r="IM18" s="251" t="str">
        <f t="shared" si="226"/>
        <v/>
      </c>
      <c r="IN18" s="251" t="str">
        <f t="shared" si="227"/>
        <v/>
      </c>
      <c r="IO18" s="251" t="str">
        <f t="shared" si="228"/>
        <v/>
      </c>
      <c r="IP18" s="251" t="str">
        <f t="shared" si="229"/>
        <v/>
      </c>
      <c r="IQ18" s="251" t="str">
        <f t="shared" si="230"/>
        <v/>
      </c>
      <c r="IR18" s="251" t="str">
        <f t="shared" si="231"/>
        <v/>
      </c>
      <c r="IS18" s="251" t="str">
        <f t="shared" si="232"/>
        <v/>
      </c>
      <c r="IT18" s="251" t="str">
        <f t="shared" si="233"/>
        <v/>
      </c>
      <c r="IU18" s="251" t="str">
        <f t="shared" si="234"/>
        <v/>
      </c>
      <c r="IV18" s="251" t="str">
        <f t="shared" si="235"/>
        <v/>
      </c>
      <c r="IW18" s="251" t="str">
        <f t="shared" si="236"/>
        <v/>
      </c>
      <c r="IX18" s="251" t="str">
        <f t="shared" si="237"/>
        <v/>
      </c>
      <c r="IY18" s="251" t="str">
        <f t="shared" si="238"/>
        <v/>
      </c>
      <c r="IZ18" s="251" t="str">
        <f t="shared" si="239"/>
        <v/>
      </c>
      <c r="JA18" s="251" t="str">
        <f t="shared" si="240"/>
        <v/>
      </c>
      <c r="JB18" s="251" t="str">
        <f t="shared" si="241"/>
        <v/>
      </c>
      <c r="JC18" s="251" t="str">
        <f t="shared" si="242"/>
        <v/>
      </c>
      <c r="JD18" s="251" t="str">
        <f t="shared" si="243"/>
        <v/>
      </c>
      <c r="JE18" s="251" t="str">
        <f t="shared" si="244"/>
        <v/>
      </c>
      <c r="JF18" s="251" t="str">
        <f t="shared" si="245"/>
        <v/>
      </c>
      <c r="JG18" s="251" t="str">
        <f t="shared" si="246"/>
        <v/>
      </c>
      <c r="JH18" s="251" t="str">
        <f t="shared" si="247"/>
        <v/>
      </c>
      <c r="JI18" s="1297" t="str">
        <f t="shared" si="248"/>
        <v/>
      </c>
      <c r="JJ18" s="1297">
        <f t="shared" si="249"/>
        <v>3</v>
      </c>
      <c r="JK18" s="1297" t="str">
        <f t="shared" si="250"/>
        <v/>
      </c>
      <c r="JL18" s="1297" t="str">
        <f t="shared" si="251"/>
        <v/>
      </c>
      <c r="JM18" s="1297" t="str">
        <f t="shared" si="252"/>
        <v/>
      </c>
      <c r="JN18" s="1297" t="str">
        <f t="shared" si="253"/>
        <v/>
      </c>
      <c r="JO18" s="1297" t="str">
        <f t="shared" si="254"/>
        <v/>
      </c>
      <c r="JP18" s="1297" t="str">
        <f t="shared" si="255"/>
        <v/>
      </c>
      <c r="JQ18" s="1297" t="str">
        <f t="shared" si="256"/>
        <v/>
      </c>
      <c r="JR18" s="1297" t="str">
        <f t="shared" si="257"/>
        <v/>
      </c>
      <c r="JS18" s="1297" t="str">
        <f t="shared" si="258"/>
        <v/>
      </c>
      <c r="JT18" s="1297" t="str">
        <f t="shared" si="259"/>
        <v/>
      </c>
      <c r="JU18" s="1297" t="str">
        <f t="shared" si="260"/>
        <v/>
      </c>
      <c r="JV18" s="1297" t="str">
        <f t="shared" si="261"/>
        <v/>
      </c>
      <c r="JW18" s="1297" t="str">
        <f t="shared" si="262"/>
        <v/>
      </c>
      <c r="JX18" s="1297" t="str">
        <f t="shared" si="263"/>
        <v/>
      </c>
      <c r="JY18" s="1297" t="str">
        <f t="shared" si="264"/>
        <v/>
      </c>
      <c r="JZ18" s="1297" t="str">
        <f t="shared" si="265"/>
        <v/>
      </c>
      <c r="KA18" s="1297" t="str">
        <f t="shared" si="266"/>
        <v/>
      </c>
      <c r="KB18" s="1297" t="str">
        <f t="shared" si="267"/>
        <v/>
      </c>
      <c r="KC18" s="1297" t="str">
        <f t="shared" si="268"/>
        <v/>
      </c>
      <c r="KD18" s="1297" t="str">
        <f t="shared" si="269"/>
        <v/>
      </c>
      <c r="KE18" s="1297" t="str">
        <f t="shared" si="270"/>
        <v/>
      </c>
      <c r="KF18" s="1297" t="str">
        <f t="shared" si="271"/>
        <v/>
      </c>
      <c r="KG18" s="1297" t="str">
        <f t="shared" si="272"/>
        <v/>
      </c>
      <c r="KH18" s="1297" t="str">
        <f t="shared" si="273"/>
        <v/>
      </c>
      <c r="KI18" s="1297" t="str">
        <f t="shared" si="274"/>
        <v/>
      </c>
      <c r="KJ18" s="1297" t="str">
        <f t="shared" si="275"/>
        <v/>
      </c>
      <c r="KK18" s="1297" t="str">
        <f t="shared" si="276"/>
        <v/>
      </c>
      <c r="KL18" s="1297" t="str">
        <f t="shared" si="277"/>
        <v/>
      </c>
      <c r="KM18" s="1297" t="str">
        <f t="shared" si="278"/>
        <v/>
      </c>
      <c r="KN18" s="1297" t="str">
        <f t="shared" si="279"/>
        <v/>
      </c>
      <c r="KO18" s="1297" t="str">
        <f t="shared" si="280"/>
        <v/>
      </c>
      <c r="KP18" s="1297" t="str">
        <f t="shared" si="281"/>
        <v/>
      </c>
      <c r="KQ18" s="1297" t="str">
        <f t="shared" si="282"/>
        <v/>
      </c>
      <c r="KR18" s="1297" t="str">
        <f t="shared" si="283"/>
        <v/>
      </c>
      <c r="KS18" s="1297" t="str">
        <f t="shared" si="284"/>
        <v/>
      </c>
      <c r="KT18" s="1297" t="str">
        <f t="shared" si="285"/>
        <v/>
      </c>
      <c r="KU18" s="1297" t="str">
        <f t="shared" si="286"/>
        <v/>
      </c>
      <c r="KV18" s="1297" t="str">
        <f t="shared" si="287"/>
        <v/>
      </c>
      <c r="KW18" s="1297" t="str">
        <f t="shared" si="288"/>
        <v/>
      </c>
      <c r="KX18" s="1297" t="str">
        <f t="shared" si="289"/>
        <v/>
      </c>
      <c r="KY18" s="1297" t="str">
        <f t="shared" si="290"/>
        <v/>
      </c>
      <c r="KZ18" s="1297" t="str">
        <f t="shared" si="291"/>
        <v/>
      </c>
      <c r="LA18" s="1297" t="str">
        <f t="shared" si="292"/>
        <v/>
      </c>
      <c r="LB18" s="1297" t="str">
        <f t="shared" si="293"/>
        <v/>
      </c>
      <c r="LC18" s="1297">
        <f t="shared" si="294"/>
        <v>3</v>
      </c>
      <c r="LD18" s="1297" t="str">
        <f t="shared" si="295"/>
        <v/>
      </c>
      <c r="LE18" s="1297" t="str">
        <f t="shared" si="296"/>
        <v/>
      </c>
      <c r="LF18" s="1297" t="str">
        <f t="shared" si="297"/>
        <v/>
      </c>
      <c r="LG18" s="1297" t="str">
        <f t="shared" si="298"/>
        <v/>
      </c>
      <c r="LH18" s="1297" t="str">
        <f t="shared" si="299"/>
        <v/>
      </c>
      <c r="LI18" s="1297" t="str">
        <f t="shared" si="300"/>
        <v/>
      </c>
      <c r="LJ18" s="1297" t="str">
        <f t="shared" si="301"/>
        <v/>
      </c>
      <c r="LK18" s="1297" t="str">
        <f t="shared" si="302"/>
        <v/>
      </c>
      <c r="LL18" s="1297" t="str">
        <f t="shared" si="303"/>
        <v/>
      </c>
      <c r="LM18" s="1297" t="str">
        <f t="shared" si="304"/>
        <v/>
      </c>
      <c r="LN18" s="1297" t="str">
        <f t="shared" si="305"/>
        <v/>
      </c>
      <c r="LO18" s="1297" t="str">
        <f t="shared" si="306"/>
        <v/>
      </c>
      <c r="LP18" s="1297" t="str">
        <f t="shared" si="307"/>
        <v/>
      </c>
      <c r="LQ18" s="1297" t="str">
        <f t="shared" si="308"/>
        <v/>
      </c>
      <c r="LR18" s="1297" t="str">
        <f t="shared" si="309"/>
        <v/>
      </c>
      <c r="LS18" s="1297" t="str">
        <f t="shared" si="310"/>
        <v/>
      </c>
      <c r="LT18" s="1297" t="str">
        <f t="shared" si="311"/>
        <v/>
      </c>
      <c r="LU18" s="1297" t="str">
        <f t="shared" si="312"/>
        <v/>
      </c>
      <c r="LV18" s="1297" t="str">
        <f t="shared" si="313"/>
        <v/>
      </c>
      <c r="LW18" s="1297" t="str">
        <f t="shared" si="314"/>
        <v/>
      </c>
      <c r="LX18" s="1297" t="str">
        <f t="shared" si="315"/>
        <v/>
      </c>
      <c r="LY18" s="1297" t="str">
        <f t="shared" si="316"/>
        <v/>
      </c>
      <c r="LZ18" s="1297" t="str">
        <f t="shared" si="317"/>
        <v/>
      </c>
      <c r="MA18" s="1297" t="str">
        <f t="shared" si="318"/>
        <v/>
      </c>
      <c r="MB18" s="1297" t="str">
        <f t="shared" si="319"/>
        <v/>
      </c>
      <c r="MC18" s="1297" t="str">
        <f t="shared" si="320"/>
        <v/>
      </c>
      <c r="MD18" s="1297" t="str">
        <f t="shared" si="321"/>
        <v/>
      </c>
      <c r="ME18" s="1297" t="str">
        <f t="shared" si="322"/>
        <v/>
      </c>
      <c r="MF18" s="1297" t="str">
        <f t="shared" si="323"/>
        <v/>
      </c>
      <c r="MG18" s="1297" t="str">
        <f t="shared" si="324"/>
        <v/>
      </c>
      <c r="MH18" s="1297" t="str">
        <f t="shared" si="325"/>
        <v/>
      </c>
      <c r="MI18" s="1297" t="str">
        <f t="shared" si="326"/>
        <v/>
      </c>
      <c r="MJ18" s="1297" t="str">
        <f t="shared" si="327"/>
        <v/>
      </c>
      <c r="MK18" s="1297" t="str">
        <f t="shared" si="328"/>
        <v/>
      </c>
      <c r="ML18" s="1297" t="str">
        <f t="shared" si="329"/>
        <v/>
      </c>
      <c r="MM18" s="1297" t="str">
        <f t="shared" si="330"/>
        <v/>
      </c>
      <c r="MN18" s="1297" t="str">
        <f t="shared" si="331"/>
        <v/>
      </c>
      <c r="MO18" s="1297" t="str">
        <f t="shared" si="332"/>
        <v/>
      </c>
      <c r="MP18" s="1773" t="str">
        <f t="shared" si="333"/>
        <v/>
      </c>
      <c r="MQ18" s="1773" t="str">
        <f t="shared" si="334"/>
        <v/>
      </c>
      <c r="MR18" s="1773" t="str">
        <f t="shared" si="335"/>
        <v/>
      </c>
      <c r="MS18" s="1773" t="str">
        <f t="shared" si="336"/>
        <v/>
      </c>
      <c r="MT18" s="1773" t="str">
        <f t="shared" si="337"/>
        <v/>
      </c>
      <c r="MU18" s="251" t="str">
        <f t="shared" si="338"/>
        <v/>
      </c>
      <c r="MV18" s="251" t="str">
        <f t="shared" si="339"/>
        <v/>
      </c>
      <c r="MW18" s="251" t="str">
        <f t="shared" si="340"/>
        <v/>
      </c>
      <c r="MX18" s="251" t="str">
        <f t="shared" si="341"/>
        <v/>
      </c>
      <c r="MY18" s="251" t="str">
        <f t="shared" si="342"/>
        <v/>
      </c>
      <c r="MZ18" s="251" t="str">
        <f t="shared" si="343"/>
        <v/>
      </c>
      <c r="NA18" s="251" t="str">
        <f t="shared" si="344"/>
        <v/>
      </c>
      <c r="NB18" s="251" t="str">
        <f t="shared" si="345"/>
        <v/>
      </c>
      <c r="NC18" s="251" t="str">
        <f t="shared" si="346"/>
        <v/>
      </c>
      <c r="ND18" s="251" t="str">
        <f t="shared" si="347"/>
        <v/>
      </c>
      <c r="NE18" s="251" t="str">
        <f t="shared" si="348"/>
        <v/>
      </c>
      <c r="NF18" s="251" t="str">
        <f t="shared" si="349"/>
        <v/>
      </c>
      <c r="NG18" s="251" t="str">
        <f t="shared" si="350"/>
        <v/>
      </c>
      <c r="NH18" s="251" t="str">
        <f t="shared" si="351"/>
        <v/>
      </c>
      <c r="NI18" s="251" t="str">
        <f t="shared" si="352"/>
        <v/>
      </c>
      <c r="NJ18" s="251" t="str">
        <f t="shared" si="353"/>
        <v/>
      </c>
      <c r="NK18" s="251" t="str">
        <f t="shared" si="354"/>
        <v/>
      </c>
      <c r="NL18" s="251" t="str">
        <f t="shared" si="355"/>
        <v/>
      </c>
      <c r="NM18" s="251" t="str">
        <f t="shared" si="356"/>
        <v/>
      </c>
      <c r="NN18" s="251" t="str">
        <f t="shared" si="357"/>
        <v/>
      </c>
      <c r="NO18" s="1185">
        <f t="shared" si="358"/>
        <v>0</v>
      </c>
      <c r="NP18" s="1185">
        <f t="shared" si="359"/>
        <v>3</v>
      </c>
      <c r="NQ18" s="1185">
        <f t="shared" si="360"/>
        <v>0</v>
      </c>
      <c r="NR18" s="1185">
        <f t="shared" si="361"/>
        <v>0</v>
      </c>
      <c r="NS18" s="1185">
        <f t="shared" si="362"/>
        <v>0</v>
      </c>
      <c r="NT18" s="1185">
        <f t="shared" si="368"/>
        <v>0</v>
      </c>
      <c r="NU18" s="1185">
        <f t="shared" si="369"/>
        <v>0</v>
      </c>
      <c r="NV18" s="1185">
        <f t="shared" si="370"/>
        <v>0</v>
      </c>
      <c r="NW18" s="1185">
        <f t="shared" si="371"/>
        <v>0</v>
      </c>
      <c r="NX18" s="1185">
        <f t="shared" si="372"/>
        <v>0</v>
      </c>
      <c r="NY18" s="1185">
        <f t="shared" si="363"/>
        <v>0</v>
      </c>
      <c r="NZ18" s="1185">
        <f t="shared" si="364"/>
        <v>0</v>
      </c>
      <c r="OA18" s="1185">
        <f t="shared" si="365"/>
        <v>0</v>
      </c>
      <c r="OB18" s="1185">
        <f t="shared" si="366"/>
        <v>0</v>
      </c>
      <c r="OC18" s="1185">
        <f t="shared" si="367"/>
        <v>0</v>
      </c>
      <c r="OY18" s="1794" t="s">
        <v>1166</v>
      </c>
      <c r="OZ18" s="1799">
        <v>18</v>
      </c>
    </row>
    <row r="19" spans="1:416" ht="12" customHeight="1">
      <c r="A19" s="53" t="str">
        <f t="shared" si="0"/>
        <v/>
      </c>
      <c r="B19" s="782">
        <v>60</v>
      </c>
      <c r="C19" s="85">
        <v>2</v>
      </c>
      <c r="D19" s="1187">
        <v>2</v>
      </c>
      <c r="E19" s="86">
        <v>5</v>
      </c>
      <c r="F19" s="86">
        <v>1041</v>
      </c>
      <c r="G19" s="86">
        <v>555</v>
      </c>
      <c r="H19" s="86">
        <f t="shared" ref="H19:H24" si="373">G19-10</f>
        <v>545</v>
      </c>
      <c r="I19" s="86">
        <v>0</v>
      </c>
      <c r="J19" s="765">
        <f>IF(C19="",0,HLOOKUP(C19,'Part IV-Utility Allowances'!$I$11:$M$25,15))</f>
        <v>205</v>
      </c>
      <c r="K19" s="473"/>
      <c r="L19" s="330">
        <f t="shared" si="1"/>
        <v>340</v>
      </c>
      <c r="M19" s="330">
        <f t="shared" si="2"/>
        <v>1700</v>
      </c>
      <c r="N19" s="506" t="s">
        <v>7474</v>
      </c>
      <c r="O19" s="1134" t="s">
        <v>1259</v>
      </c>
      <c r="P19" s="506" t="s">
        <v>7678</v>
      </c>
      <c r="Q19" s="87" t="s">
        <v>7474</v>
      </c>
      <c r="R19" s="540"/>
      <c r="S19" s="541"/>
      <c r="T19" s="3758"/>
      <c r="U19" s="3759"/>
      <c r="V19" s="3759"/>
      <c r="W19" s="3760"/>
      <c r="X19" s="251" t="str">
        <f t="shared" si="3"/>
        <v/>
      </c>
      <c r="Y19" s="251" t="str">
        <f t="shared" si="4"/>
        <v/>
      </c>
      <c r="Z19" s="251" t="str">
        <f t="shared" si="5"/>
        <v/>
      </c>
      <c r="AA19" s="251" t="str">
        <f t="shared" si="6"/>
        <v/>
      </c>
      <c r="AB19" s="251" t="str">
        <f t="shared" si="7"/>
        <v/>
      </c>
      <c r="AC19" s="251" t="str">
        <f t="shared" si="8"/>
        <v/>
      </c>
      <c r="AD19" s="251" t="str">
        <f t="shared" si="9"/>
        <v/>
      </c>
      <c r="AE19" s="251" t="str">
        <f t="shared" si="10"/>
        <v/>
      </c>
      <c r="AF19" s="251" t="str">
        <f t="shared" si="11"/>
        <v/>
      </c>
      <c r="AG19" s="251" t="str">
        <f t="shared" si="12"/>
        <v/>
      </c>
      <c r="AH19" s="251" t="str">
        <f t="shared" si="13"/>
        <v/>
      </c>
      <c r="AI19" s="251" t="str">
        <f t="shared" si="14"/>
        <v/>
      </c>
      <c r="AJ19" s="251">
        <f t="shared" si="15"/>
        <v>5</v>
      </c>
      <c r="AK19" s="251" t="str">
        <f t="shared" si="16"/>
        <v/>
      </c>
      <c r="AL19" s="251" t="str">
        <f t="shared" si="17"/>
        <v/>
      </c>
      <c r="AM19" s="251" t="str">
        <f t="shared" si="18"/>
        <v/>
      </c>
      <c r="AN19" s="251" t="str">
        <f t="shared" si="19"/>
        <v/>
      </c>
      <c r="AO19" s="251" t="str">
        <f t="shared" si="20"/>
        <v/>
      </c>
      <c r="AP19" s="251" t="str">
        <f t="shared" si="21"/>
        <v/>
      </c>
      <c r="AQ19" s="251" t="str">
        <f t="shared" si="22"/>
        <v/>
      </c>
      <c r="AR19" s="251" t="str">
        <f t="shared" si="23"/>
        <v/>
      </c>
      <c r="AS19" s="251" t="str">
        <f t="shared" si="24"/>
        <v/>
      </c>
      <c r="AT19" s="251" t="str">
        <f t="shared" si="25"/>
        <v/>
      </c>
      <c r="AU19" s="251" t="str">
        <f t="shared" si="26"/>
        <v/>
      </c>
      <c r="AV19" s="251" t="str">
        <f t="shared" si="27"/>
        <v/>
      </c>
      <c r="AW19" s="251" t="str">
        <f t="shared" si="28"/>
        <v/>
      </c>
      <c r="AX19" s="251" t="str">
        <f t="shared" si="29"/>
        <v/>
      </c>
      <c r="AY19" s="251" t="str">
        <f t="shared" si="30"/>
        <v/>
      </c>
      <c r="AZ19" s="251" t="str">
        <f t="shared" si="31"/>
        <v/>
      </c>
      <c r="BA19" s="251" t="str">
        <f t="shared" si="32"/>
        <v/>
      </c>
      <c r="BB19" s="251" t="str">
        <f t="shared" si="33"/>
        <v/>
      </c>
      <c r="BC19" s="251" t="str">
        <f t="shared" si="34"/>
        <v/>
      </c>
      <c r="BD19" s="251" t="str">
        <f t="shared" si="35"/>
        <v/>
      </c>
      <c r="BE19" s="251" t="str">
        <f t="shared" si="36"/>
        <v/>
      </c>
      <c r="BF19" s="251" t="str">
        <f t="shared" si="37"/>
        <v/>
      </c>
      <c r="BG19" s="251" t="str">
        <f t="shared" si="38"/>
        <v/>
      </c>
      <c r="BH19" s="251" t="str">
        <f t="shared" si="39"/>
        <v/>
      </c>
      <c r="BI19" s="251" t="str">
        <f t="shared" si="40"/>
        <v/>
      </c>
      <c r="BJ19" s="251" t="str">
        <f t="shared" si="41"/>
        <v/>
      </c>
      <c r="BK19" s="251" t="str">
        <f t="shared" si="42"/>
        <v/>
      </c>
      <c r="BL19" s="251" t="str">
        <f t="shared" si="43"/>
        <v/>
      </c>
      <c r="BM19" s="251" t="str">
        <f t="shared" si="44"/>
        <v/>
      </c>
      <c r="BN19" s="251" t="str">
        <f t="shared" si="45"/>
        <v/>
      </c>
      <c r="BO19" s="251" t="str">
        <f t="shared" si="46"/>
        <v/>
      </c>
      <c r="BP19" s="251" t="str">
        <f t="shared" si="47"/>
        <v/>
      </c>
      <c r="BQ19" s="251" t="str">
        <f t="shared" si="48"/>
        <v/>
      </c>
      <c r="BR19" s="251" t="str">
        <f t="shared" si="49"/>
        <v/>
      </c>
      <c r="BS19" s="251" t="str">
        <f t="shared" si="50"/>
        <v/>
      </c>
      <c r="BT19" s="251" t="str">
        <f t="shared" si="51"/>
        <v/>
      </c>
      <c r="BU19" s="251" t="str">
        <f t="shared" si="52"/>
        <v/>
      </c>
      <c r="BV19" s="251" t="str">
        <f t="shared" si="53"/>
        <v/>
      </c>
      <c r="BW19" s="251" t="str">
        <f t="shared" si="54"/>
        <v/>
      </c>
      <c r="BX19" s="251" t="str">
        <f t="shared" si="55"/>
        <v/>
      </c>
      <c r="BY19" s="251" t="str">
        <f t="shared" si="56"/>
        <v/>
      </c>
      <c r="BZ19" s="251" t="str">
        <f t="shared" si="57"/>
        <v/>
      </c>
      <c r="CA19" s="251" t="str">
        <f t="shared" si="58"/>
        <v/>
      </c>
      <c r="CB19" s="251" t="str">
        <f t="shared" si="59"/>
        <v/>
      </c>
      <c r="CC19" s="251" t="str">
        <f t="shared" si="60"/>
        <v/>
      </c>
      <c r="CD19" s="251" t="str">
        <f t="shared" si="61"/>
        <v/>
      </c>
      <c r="CE19" s="251" t="str">
        <f t="shared" si="62"/>
        <v/>
      </c>
      <c r="CF19" s="251" t="str">
        <f t="shared" si="63"/>
        <v/>
      </c>
      <c r="CG19" s="251" t="str">
        <f t="shared" si="64"/>
        <v/>
      </c>
      <c r="CH19" s="251" t="str">
        <f t="shared" si="65"/>
        <v/>
      </c>
      <c r="CI19" s="251" t="str">
        <f t="shared" si="66"/>
        <v/>
      </c>
      <c r="CJ19" s="251" t="str">
        <f t="shared" si="67"/>
        <v/>
      </c>
      <c r="CK19" s="251" t="str">
        <f t="shared" si="68"/>
        <v/>
      </c>
      <c r="CL19" s="251" t="str">
        <f t="shared" si="69"/>
        <v/>
      </c>
      <c r="CM19" s="251" t="str">
        <f t="shared" si="70"/>
        <v/>
      </c>
      <c r="CN19" s="251" t="str">
        <f t="shared" si="71"/>
        <v/>
      </c>
      <c r="CO19" s="251" t="str">
        <f t="shared" si="72"/>
        <v/>
      </c>
      <c r="CP19" s="251" t="str">
        <f t="shared" si="73"/>
        <v/>
      </c>
      <c r="CQ19" s="251" t="str">
        <f t="shared" si="74"/>
        <v/>
      </c>
      <c r="CR19" s="251" t="str">
        <f t="shared" si="75"/>
        <v/>
      </c>
      <c r="CS19" s="251" t="str">
        <f t="shared" si="76"/>
        <v/>
      </c>
      <c r="CT19" s="251" t="str">
        <f t="shared" si="77"/>
        <v/>
      </c>
      <c r="CU19" s="251" t="str">
        <f t="shared" si="78"/>
        <v/>
      </c>
      <c r="CV19" s="251" t="str">
        <f t="shared" si="79"/>
        <v/>
      </c>
      <c r="CW19" s="251" t="str">
        <f t="shared" si="80"/>
        <v/>
      </c>
      <c r="CX19" s="251" t="str">
        <f t="shared" si="81"/>
        <v/>
      </c>
      <c r="CY19" s="251" t="str">
        <f t="shared" si="82"/>
        <v/>
      </c>
      <c r="CZ19" s="251" t="str">
        <f t="shared" si="83"/>
        <v/>
      </c>
      <c r="DA19" s="251" t="str">
        <f t="shared" si="84"/>
        <v/>
      </c>
      <c r="DB19" s="251" t="str">
        <f t="shared" si="85"/>
        <v/>
      </c>
      <c r="DC19" s="251" t="str">
        <f t="shared" si="86"/>
        <v/>
      </c>
      <c r="DD19" s="251" t="str">
        <f t="shared" si="87"/>
        <v/>
      </c>
      <c r="DE19" s="251" t="str">
        <f t="shared" si="88"/>
        <v/>
      </c>
      <c r="DF19" s="251" t="str">
        <f t="shared" si="89"/>
        <v/>
      </c>
      <c r="DG19" s="251" t="str">
        <f t="shared" si="90"/>
        <v/>
      </c>
      <c r="DH19" s="251" t="str">
        <f t="shared" si="91"/>
        <v/>
      </c>
      <c r="DI19" s="251" t="str">
        <f t="shared" si="92"/>
        <v/>
      </c>
      <c r="DJ19" s="251" t="str">
        <f t="shared" si="93"/>
        <v/>
      </c>
      <c r="DK19" s="251" t="str">
        <f t="shared" si="94"/>
        <v/>
      </c>
      <c r="DL19" s="251" t="str">
        <f t="shared" si="95"/>
        <v/>
      </c>
      <c r="DM19" s="251" t="str">
        <f t="shared" si="96"/>
        <v/>
      </c>
      <c r="DN19" s="251" t="str">
        <f t="shared" si="97"/>
        <v/>
      </c>
      <c r="DO19" s="251" t="str">
        <f t="shared" si="98"/>
        <v/>
      </c>
      <c r="DP19" s="251" t="str">
        <f t="shared" si="99"/>
        <v/>
      </c>
      <c r="DQ19" s="251" t="str">
        <f t="shared" si="100"/>
        <v/>
      </c>
      <c r="DR19" s="251" t="str">
        <f t="shared" si="101"/>
        <v/>
      </c>
      <c r="DS19" s="251" t="str">
        <f t="shared" si="102"/>
        <v/>
      </c>
      <c r="DT19" s="251" t="str">
        <f t="shared" si="103"/>
        <v/>
      </c>
      <c r="DU19" s="251" t="str">
        <f t="shared" si="104"/>
        <v/>
      </c>
      <c r="DV19" s="251" t="str">
        <f t="shared" si="105"/>
        <v/>
      </c>
      <c r="DW19" s="251" t="str">
        <f t="shared" si="106"/>
        <v/>
      </c>
      <c r="DX19" s="251" t="str">
        <f t="shared" si="107"/>
        <v/>
      </c>
      <c r="DY19" s="251" t="str">
        <f t="shared" si="108"/>
        <v/>
      </c>
      <c r="DZ19" s="251" t="str">
        <f t="shared" si="109"/>
        <v/>
      </c>
      <c r="EA19" s="251" t="str">
        <f t="shared" si="110"/>
        <v/>
      </c>
      <c r="EB19" s="251" t="str">
        <f t="shared" si="111"/>
        <v/>
      </c>
      <c r="EC19" s="251" t="str">
        <f t="shared" si="112"/>
        <v/>
      </c>
      <c r="ED19" s="251" t="str">
        <f t="shared" si="113"/>
        <v/>
      </c>
      <c r="EE19" s="251" t="str">
        <f t="shared" si="114"/>
        <v/>
      </c>
      <c r="EF19" s="251" t="str">
        <f t="shared" si="115"/>
        <v/>
      </c>
      <c r="EG19" s="251" t="str">
        <f t="shared" si="116"/>
        <v/>
      </c>
      <c r="EH19" s="251" t="str">
        <f t="shared" si="117"/>
        <v/>
      </c>
      <c r="EI19" s="251" t="str">
        <f t="shared" si="118"/>
        <v/>
      </c>
      <c r="EJ19" s="251" t="str">
        <f t="shared" si="119"/>
        <v/>
      </c>
      <c r="EK19" s="251" t="str">
        <f t="shared" si="120"/>
        <v/>
      </c>
      <c r="EL19" s="251" t="str">
        <f t="shared" si="121"/>
        <v/>
      </c>
      <c r="EM19" s="251" t="str">
        <f t="shared" si="122"/>
        <v/>
      </c>
      <c r="EN19" s="251" t="str">
        <f t="shared" si="123"/>
        <v/>
      </c>
      <c r="EO19" s="251" t="str">
        <f t="shared" si="124"/>
        <v/>
      </c>
      <c r="EP19" s="251" t="str">
        <f t="shared" si="125"/>
        <v/>
      </c>
      <c r="EQ19" s="251" t="str">
        <f t="shared" si="126"/>
        <v/>
      </c>
      <c r="ER19" s="251" t="str">
        <f t="shared" si="127"/>
        <v/>
      </c>
      <c r="ES19" s="251" t="str">
        <f t="shared" si="128"/>
        <v/>
      </c>
      <c r="ET19" s="251" t="str">
        <f t="shared" si="129"/>
        <v/>
      </c>
      <c r="EU19" s="251" t="str">
        <f t="shared" si="130"/>
        <v/>
      </c>
      <c r="EV19" s="251" t="str">
        <f t="shared" si="131"/>
        <v/>
      </c>
      <c r="EW19" s="251" t="str">
        <f t="shared" si="132"/>
        <v/>
      </c>
      <c r="EX19" s="251" t="str">
        <f t="shared" si="133"/>
        <v/>
      </c>
      <c r="EY19" s="251" t="str">
        <f t="shared" si="134"/>
        <v/>
      </c>
      <c r="EZ19" s="251" t="str">
        <f t="shared" si="135"/>
        <v/>
      </c>
      <c r="FA19" s="251" t="str">
        <f t="shared" si="136"/>
        <v/>
      </c>
      <c r="FB19" s="251" t="str">
        <f t="shared" si="137"/>
        <v/>
      </c>
      <c r="FC19" s="251" t="str">
        <f t="shared" si="138"/>
        <v/>
      </c>
      <c r="FD19" s="251" t="str">
        <f t="shared" si="139"/>
        <v/>
      </c>
      <c r="FE19" s="251" t="str">
        <f t="shared" si="140"/>
        <v/>
      </c>
      <c r="FF19" s="251" t="str">
        <f t="shared" si="141"/>
        <v/>
      </c>
      <c r="FG19" s="251" t="str">
        <f t="shared" si="142"/>
        <v/>
      </c>
      <c r="FH19" s="251" t="str">
        <f t="shared" si="143"/>
        <v/>
      </c>
      <c r="FI19" s="251" t="str">
        <f t="shared" si="144"/>
        <v/>
      </c>
      <c r="FJ19" s="251" t="str">
        <f t="shared" si="145"/>
        <v/>
      </c>
      <c r="FK19" s="251" t="str">
        <f t="shared" si="146"/>
        <v/>
      </c>
      <c r="FL19" s="251" t="str">
        <f t="shared" si="147"/>
        <v/>
      </c>
      <c r="FM19" s="251" t="str">
        <f t="shared" si="148"/>
        <v/>
      </c>
      <c r="FN19" s="251" t="str">
        <f t="shared" si="149"/>
        <v/>
      </c>
      <c r="FO19" s="251" t="str">
        <f t="shared" si="150"/>
        <v/>
      </c>
      <c r="FP19" s="251" t="str">
        <f t="shared" si="151"/>
        <v/>
      </c>
      <c r="FQ19" s="251" t="str">
        <f t="shared" si="152"/>
        <v/>
      </c>
      <c r="FR19" s="251" t="str">
        <f t="shared" si="153"/>
        <v/>
      </c>
      <c r="FS19" s="251" t="str">
        <f t="shared" si="154"/>
        <v/>
      </c>
      <c r="FT19" s="251" t="str">
        <f t="shared" si="155"/>
        <v/>
      </c>
      <c r="FU19" s="251" t="str">
        <f t="shared" si="156"/>
        <v/>
      </c>
      <c r="FV19" s="251" t="str">
        <f t="shared" si="157"/>
        <v/>
      </c>
      <c r="FW19" s="251" t="str">
        <f t="shared" si="158"/>
        <v/>
      </c>
      <c r="FX19" s="251" t="str">
        <f t="shared" si="159"/>
        <v/>
      </c>
      <c r="FY19" s="251" t="str">
        <f t="shared" si="160"/>
        <v/>
      </c>
      <c r="FZ19" s="251" t="str">
        <f t="shared" si="161"/>
        <v/>
      </c>
      <c r="GA19" s="251" t="str">
        <f t="shared" si="162"/>
        <v/>
      </c>
      <c r="GB19" s="251" t="str">
        <f t="shared" si="163"/>
        <v/>
      </c>
      <c r="GC19" s="251" t="str">
        <f t="shared" si="164"/>
        <v/>
      </c>
      <c r="GD19" s="251">
        <f t="shared" si="165"/>
        <v>5205</v>
      </c>
      <c r="GE19" s="251" t="str">
        <f t="shared" si="166"/>
        <v/>
      </c>
      <c r="GF19" s="251" t="str">
        <f t="shared" si="167"/>
        <v/>
      </c>
      <c r="GG19" s="251" t="str">
        <f t="shared" si="168"/>
        <v/>
      </c>
      <c r="GH19" s="251" t="str">
        <f t="shared" si="169"/>
        <v/>
      </c>
      <c r="GI19" s="251" t="str">
        <f t="shared" si="170"/>
        <v/>
      </c>
      <c r="GJ19" s="251" t="str">
        <f t="shared" si="171"/>
        <v/>
      </c>
      <c r="GK19" s="251" t="str">
        <f t="shared" si="172"/>
        <v/>
      </c>
      <c r="GL19" s="251" t="str">
        <f t="shared" si="173"/>
        <v/>
      </c>
      <c r="GM19" s="251" t="str">
        <f t="shared" si="174"/>
        <v/>
      </c>
      <c r="GN19" s="251" t="str">
        <f t="shared" si="175"/>
        <v/>
      </c>
      <c r="GO19" s="251" t="str">
        <f t="shared" si="176"/>
        <v/>
      </c>
      <c r="GP19" s="251" t="str">
        <f t="shared" si="177"/>
        <v/>
      </c>
      <c r="GQ19" s="251" t="str">
        <f t="shared" si="178"/>
        <v/>
      </c>
      <c r="GR19" s="251" t="str">
        <f t="shared" si="179"/>
        <v/>
      </c>
      <c r="GS19" s="251" t="str">
        <f t="shared" si="180"/>
        <v/>
      </c>
      <c r="GT19" s="251" t="str">
        <f t="shared" si="181"/>
        <v/>
      </c>
      <c r="GU19" s="251" t="str">
        <f t="shared" si="182"/>
        <v/>
      </c>
      <c r="GV19" s="251" t="str">
        <f t="shared" si="183"/>
        <v/>
      </c>
      <c r="GW19" s="251" t="str">
        <f t="shared" si="184"/>
        <v/>
      </c>
      <c r="GX19" s="251" t="str">
        <f t="shared" si="185"/>
        <v/>
      </c>
      <c r="GY19" s="251" t="str">
        <f t="shared" si="186"/>
        <v/>
      </c>
      <c r="GZ19" s="251" t="str">
        <f t="shared" si="187"/>
        <v/>
      </c>
      <c r="HA19" s="251" t="str">
        <f t="shared" si="188"/>
        <v/>
      </c>
      <c r="HB19" s="251" t="str">
        <f t="shared" si="189"/>
        <v/>
      </c>
      <c r="HC19" s="251" t="str">
        <f t="shared" si="190"/>
        <v/>
      </c>
      <c r="HD19" s="251" t="str">
        <f t="shared" si="191"/>
        <v/>
      </c>
      <c r="HE19" s="251" t="str">
        <f t="shared" si="192"/>
        <v/>
      </c>
      <c r="HF19" s="251" t="str">
        <f t="shared" si="193"/>
        <v/>
      </c>
      <c r="HG19" s="251" t="str">
        <f t="shared" si="194"/>
        <v/>
      </c>
      <c r="HH19" s="251" t="str">
        <f t="shared" si="195"/>
        <v/>
      </c>
      <c r="HI19" s="251" t="str">
        <f t="shared" si="196"/>
        <v/>
      </c>
      <c r="HJ19" s="251" t="str">
        <f t="shared" si="197"/>
        <v/>
      </c>
      <c r="HK19" s="251" t="str">
        <f t="shared" si="198"/>
        <v/>
      </c>
      <c r="HL19" s="251" t="str">
        <f t="shared" si="199"/>
        <v/>
      </c>
      <c r="HM19" s="251" t="str">
        <f t="shared" si="200"/>
        <v/>
      </c>
      <c r="HN19" s="251" t="str">
        <f t="shared" si="201"/>
        <v/>
      </c>
      <c r="HO19" s="251" t="str">
        <f t="shared" si="202"/>
        <v/>
      </c>
      <c r="HP19" s="251" t="str">
        <f t="shared" si="203"/>
        <v/>
      </c>
      <c r="HQ19" s="251" t="str">
        <f t="shared" si="204"/>
        <v/>
      </c>
      <c r="HR19" s="251" t="str">
        <f t="shared" si="205"/>
        <v/>
      </c>
      <c r="HS19" s="251" t="str">
        <f t="shared" si="206"/>
        <v/>
      </c>
      <c r="HT19" s="251" t="str">
        <f t="shared" si="207"/>
        <v/>
      </c>
      <c r="HU19" s="251" t="str">
        <f t="shared" si="208"/>
        <v/>
      </c>
      <c r="HV19" s="251" t="str">
        <f t="shared" si="209"/>
        <v/>
      </c>
      <c r="HW19" s="251" t="str">
        <f t="shared" si="210"/>
        <v/>
      </c>
      <c r="HX19" s="251" t="str">
        <f t="shared" si="211"/>
        <v/>
      </c>
      <c r="HY19" s="251" t="str">
        <f t="shared" si="212"/>
        <v/>
      </c>
      <c r="HZ19" s="251" t="str">
        <f t="shared" si="213"/>
        <v/>
      </c>
      <c r="IA19" s="251" t="str">
        <f t="shared" si="214"/>
        <v/>
      </c>
      <c r="IB19" s="251" t="str">
        <f t="shared" si="215"/>
        <v/>
      </c>
      <c r="IC19" s="251" t="str">
        <f t="shared" si="216"/>
        <v/>
      </c>
      <c r="ID19" s="251" t="str">
        <f t="shared" si="217"/>
        <v/>
      </c>
      <c r="IE19" s="251" t="str">
        <f t="shared" si="218"/>
        <v/>
      </c>
      <c r="IF19" s="251" t="str">
        <f t="shared" si="219"/>
        <v/>
      </c>
      <c r="IG19" s="251">
        <f t="shared" si="220"/>
        <v>5</v>
      </c>
      <c r="IH19" s="251" t="str">
        <f t="shared" si="221"/>
        <v/>
      </c>
      <c r="II19" s="251" t="str">
        <f t="shared" si="222"/>
        <v/>
      </c>
      <c r="IJ19" s="251" t="str">
        <f t="shared" si="223"/>
        <v/>
      </c>
      <c r="IK19" s="251" t="str">
        <f t="shared" si="224"/>
        <v/>
      </c>
      <c r="IL19" s="251" t="str">
        <f t="shared" si="225"/>
        <v/>
      </c>
      <c r="IM19" s="251" t="str">
        <f t="shared" si="226"/>
        <v/>
      </c>
      <c r="IN19" s="251" t="str">
        <f t="shared" si="227"/>
        <v/>
      </c>
      <c r="IO19" s="251" t="str">
        <f t="shared" si="228"/>
        <v/>
      </c>
      <c r="IP19" s="251" t="str">
        <f t="shared" si="229"/>
        <v/>
      </c>
      <c r="IQ19" s="251" t="str">
        <f t="shared" si="230"/>
        <v/>
      </c>
      <c r="IR19" s="251" t="str">
        <f t="shared" si="231"/>
        <v/>
      </c>
      <c r="IS19" s="251" t="str">
        <f t="shared" si="232"/>
        <v/>
      </c>
      <c r="IT19" s="251" t="str">
        <f t="shared" si="233"/>
        <v/>
      </c>
      <c r="IU19" s="251" t="str">
        <f t="shared" si="234"/>
        <v/>
      </c>
      <c r="IV19" s="251" t="str">
        <f t="shared" si="235"/>
        <v/>
      </c>
      <c r="IW19" s="251" t="str">
        <f t="shared" si="236"/>
        <v/>
      </c>
      <c r="IX19" s="251" t="str">
        <f t="shared" si="237"/>
        <v/>
      </c>
      <c r="IY19" s="251" t="str">
        <f t="shared" si="238"/>
        <v/>
      </c>
      <c r="IZ19" s="251" t="str">
        <f t="shared" si="239"/>
        <v/>
      </c>
      <c r="JA19" s="251" t="str">
        <f t="shared" si="240"/>
        <v/>
      </c>
      <c r="JB19" s="251" t="str">
        <f t="shared" si="241"/>
        <v/>
      </c>
      <c r="JC19" s="251" t="str">
        <f t="shared" si="242"/>
        <v/>
      </c>
      <c r="JD19" s="251" t="str">
        <f t="shared" si="243"/>
        <v/>
      </c>
      <c r="JE19" s="251" t="str">
        <f t="shared" si="244"/>
        <v/>
      </c>
      <c r="JF19" s="251" t="str">
        <f t="shared" si="245"/>
        <v/>
      </c>
      <c r="JG19" s="251" t="str">
        <f t="shared" si="246"/>
        <v/>
      </c>
      <c r="JH19" s="251" t="str">
        <f t="shared" si="247"/>
        <v/>
      </c>
      <c r="JI19" s="1297" t="str">
        <f t="shared" si="248"/>
        <v/>
      </c>
      <c r="JJ19" s="1297" t="str">
        <f t="shared" si="249"/>
        <v/>
      </c>
      <c r="JK19" s="1297">
        <f t="shared" si="250"/>
        <v>5</v>
      </c>
      <c r="JL19" s="1297" t="str">
        <f t="shared" si="251"/>
        <v/>
      </c>
      <c r="JM19" s="1297" t="str">
        <f t="shared" si="252"/>
        <v/>
      </c>
      <c r="JN19" s="1297" t="str">
        <f t="shared" si="253"/>
        <v/>
      </c>
      <c r="JO19" s="1297" t="str">
        <f t="shared" si="254"/>
        <v/>
      </c>
      <c r="JP19" s="1297" t="str">
        <f t="shared" si="255"/>
        <v/>
      </c>
      <c r="JQ19" s="1297" t="str">
        <f t="shared" si="256"/>
        <v/>
      </c>
      <c r="JR19" s="1297" t="str">
        <f t="shared" si="257"/>
        <v/>
      </c>
      <c r="JS19" s="1297" t="str">
        <f t="shared" si="258"/>
        <v/>
      </c>
      <c r="JT19" s="1297" t="str">
        <f t="shared" si="259"/>
        <v/>
      </c>
      <c r="JU19" s="1297" t="str">
        <f t="shared" si="260"/>
        <v/>
      </c>
      <c r="JV19" s="1297" t="str">
        <f t="shared" si="261"/>
        <v/>
      </c>
      <c r="JW19" s="1297" t="str">
        <f t="shared" si="262"/>
        <v/>
      </c>
      <c r="JX19" s="1297" t="str">
        <f t="shared" si="263"/>
        <v/>
      </c>
      <c r="JY19" s="1297" t="str">
        <f t="shared" si="264"/>
        <v/>
      </c>
      <c r="JZ19" s="1297" t="str">
        <f t="shared" si="265"/>
        <v/>
      </c>
      <c r="KA19" s="1297" t="str">
        <f t="shared" si="266"/>
        <v/>
      </c>
      <c r="KB19" s="1297" t="str">
        <f t="shared" si="267"/>
        <v/>
      </c>
      <c r="KC19" s="1297" t="str">
        <f t="shared" si="268"/>
        <v/>
      </c>
      <c r="KD19" s="1297" t="str">
        <f t="shared" si="269"/>
        <v/>
      </c>
      <c r="KE19" s="1297" t="str">
        <f t="shared" si="270"/>
        <v/>
      </c>
      <c r="KF19" s="1297" t="str">
        <f t="shared" si="271"/>
        <v/>
      </c>
      <c r="KG19" s="1297" t="str">
        <f t="shared" si="272"/>
        <v/>
      </c>
      <c r="KH19" s="1297" t="str">
        <f t="shared" si="273"/>
        <v/>
      </c>
      <c r="KI19" s="1297" t="str">
        <f t="shared" si="274"/>
        <v/>
      </c>
      <c r="KJ19" s="1297" t="str">
        <f t="shared" si="275"/>
        <v/>
      </c>
      <c r="KK19" s="1297" t="str">
        <f t="shared" si="276"/>
        <v/>
      </c>
      <c r="KL19" s="1297" t="str">
        <f t="shared" si="277"/>
        <v/>
      </c>
      <c r="KM19" s="1297" t="str">
        <f t="shared" si="278"/>
        <v/>
      </c>
      <c r="KN19" s="1297" t="str">
        <f t="shared" si="279"/>
        <v/>
      </c>
      <c r="KO19" s="1297" t="str">
        <f t="shared" si="280"/>
        <v/>
      </c>
      <c r="KP19" s="1297" t="str">
        <f t="shared" si="281"/>
        <v/>
      </c>
      <c r="KQ19" s="1297" t="str">
        <f t="shared" si="282"/>
        <v/>
      </c>
      <c r="KR19" s="1297" t="str">
        <f t="shared" si="283"/>
        <v/>
      </c>
      <c r="KS19" s="1297" t="str">
        <f t="shared" si="284"/>
        <v/>
      </c>
      <c r="KT19" s="1297" t="str">
        <f t="shared" si="285"/>
        <v/>
      </c>
      <c r="KU19" s="1297" t="str">
        <f t="shared" si="286"/>
        <v/>
      </c>
      <c r="KV19" s="1297" t="str">
        <f t="shared" si="287"/>
        <v/>
      </c>
      <c r="KW19" s="1297" t="str">
        <f t="shared" si="288"/>
        <v/>
      </c>
      <c r="KX19" s="1297" t="str">
        <f t="shared" si="289"/>
        <v/>
      </c>
      <c r="KY19" s="1297" t="str">
        <f t="shared" si="290"/>
        <v/>
      </c>
      <c r="KZ19" s="1297" t="str">
        <f t="shared" si="291"/>
        <v/>
      </c>
      <c r="LA19" s="1297" t="str">
        <f t="shared" si="292"/>
        <v/>
      </c>
      <c r="LB19" s="1297" t="str">
        <f t="shared" si="293"/>
        <v/>
      </c>
      <c r="LC19" s="1297" t="str">
        <f t="shared" si="294"/>
        <v/>
      </c>
      <c r="LD19" s="1297">
        <f t="shared" si="295"/>
        <v>5</v>
      </c>
      <c r="LE19" s="1297" t="str">
        <f t="shared" si="296"/>
        <v/>
      </c>
      <c r="LF19" s="1297" t="str">
        <f t="shared" si="297"/>
        <v/>
      </c>
      <c r="LG19" s="1297" t="str">
        <f t="shared" si="298"/>
        <v/>
      </c>
      <c r="LH19" s="1297" t="str">
        <f t="shared" si="299"/>
        <v/>
      </c>
      <c r="LI19" s="1297" t="str">
        <f t="shared" si="300"/>
        <v/>
      </c>
      <c r="LJ19" s="1297" t="str">
        <f t="shared" si="301"/>
        <v/>
      </c>
      <c r="LK19" s="1297" t="str">
        <f t="shared" si="302"/>
        <v/>
      </c>
      <c r="LL19" s="1297" t="str">
        <f t="shared" si="303"/>
        <v/>
      </c>
      <c r="LM19" s="1297" t="str">
        <f t="shared" si="304"/>
        <v/>
      </c>
      <c r="LN19" s="1297" t="str">
        <f t="shared" si="305"/>
        <v/>
      </c>
      <c r="LO19" s="1297" t="str">
        <f t="shared" si="306"/>
        <v/>
      </c>
      <c r="LP19" s="1297" t="str">
        <f t="shared" si="307"/>
        <v/>
      </c>
      <c r="LQ19" s="1297" t="str">
        <f t="shared" si="308"/>
        <v/>
      </c>
      <c r="LR19" s="1297" t="str">
        <f t="shared" si="309"/>
        <v/>
      </c>
      <c r="LS19" s="1297" t="str">
        <f t="shared" si="310"/>
        <v/>
      </c>
      <c r="LT19" s="1297" t="str">
        <f t="shared" si="311"/>
        <v/>
      </c>
      <c r="LU19" s="1297" t="str">
        <f t="shared" si="312"/>
        <v/>
      </c>
      <c r="LV19" s="1297" t="str">
        <f t="shared" si="313"/>
        <v/>
      </c>
      <c r="LW19" s="1297" t="str">
        <f t="shared" si="314"/>
        <v/>
      </c>
      <c r="LX19" s="1297" t="str">
        <f t="shared" si="315"/>
        <v/>
      </c>
      <c r="LY19" s="1297" t="str">
        <f t="shared" si="316"/>
        <v/>
      </c>
      <c r="LZ19" s="1297" t="str">
        <f t="shared" si="317"/>
        <v/>
      </c>
      <c r="MA19" s="1297" t="str">
        <f t="shared" si="318"/>
        <v/>
      </c>
      <c r="MB19" s="1297" t="str">
        <f t="shared" si="319"/>
        <v/>
      </c>
      <c r="MC19" s="1297" t="str">
        <f t="shared" si="320"/>
        <v/>
      </c>
      <c r="MD19" s="1297" t="str">
        <f t="shared" si="321"/>
        <v/>
      </c>
      <c r="ME19" s="1297" t="str">
        <f t="shared" si="322"/>
        <v/>
      </c>
      <c r="MF19" s="1297" t="str">
        <f t="shared" si="323"/>
        <v/>
      </c>
      <c r="MG19" s="1297" t="str">
        <f t="shared" si="324"/>
        <v/>
      </c>
      <c r="MH19" s="1297" t="str">
        <f t="shared" si="325"/>
        <v/>
      </c>
      <c r="MI19" s="1297" t="str">
        <f t="shared" si="326"/>
        <v/>
      </c>
      <c r="MJ19" s="1297" t="str">
        <f t="shared" si="327"/>
        <v/>
      </c>
      <c r="MK19" s="1297" t="str">
        <f t="shared" si="328"/>
        <v/>
      </c>
      <c r="ML19" s="1297" t="str">
        <f t="shared" si="329"/>
        <v/>
      </c>
      <c r="MM19" s="1297" t="str">
        <f t="shared" si="330"/>
        <v/>
      </c>
      <c r="MN19" s="1297" t="str">
        <f t="shared" si="331"/>
        <v/>
      </c>
      <c r="MO19" s="1297" t="str">
        <f t="shared" si="332"/>
        <v/>
      </c>
      <c r="MP19" s="1773" t="str">
        <f t="shared" si="333"/>
        <v/>
      </c>
      <c r="MQ19" s="1773" t="str">
        <f t="shared" si="334"/>
        <v/>
      </c>
      <c r="MR19" s="1773" t="str">
        <f t="shared" si="335"/>
        <v/>
      </c>
      <c r="MS19" s="1773" t="str">
        <f t="shared" si="336"/>
        <v/>
      </c>
      <c r="MT19" s="1773" t="str">
        <f t="shared" si="337"/>
        <v/>
      </c>
      <c r="MU19" s="251" t="str">
        <f t="shared" si="338"/>
        <v/>
      </c>
      <c r="MV19" s="251" t="str">
        <f t="shared" si="339"/>
        <v/>
      </c>
      <c r="MW19" s="251" t="str">
        <f t="shared" si="340"/>
        <v/>
      </c>
      <c r="MX19" s="251" t="str">
        <f t="shared" si="341"/>
        <v/>
      </c>
      <c r="MY19" s="251" t="str">
        <f t="shared" si="342"/>
        <v/>
      </c>
      <c r="MZ19" s="251" t="str">
        <f t="shared" si="343"/>
        <v/>
      </c>
      <c r="NA19" s="251" t="str">
        <f t="shared" si="344"/>
        <v/>
      </c>
      <c r="NB19" s="251" t="str">
        <f t="shared" si="345"/>
        <v/>
      </c>
      <c r="NC19" s="251" t="str">
        <f t="shared" si="346"/>
        <v/>
      </c>
      <c r="ND19" s="251" t="str">
        <f t="shared" si="347"/>
        <v/>
      </c>
      <c r="NE19" s="251" t="str">
        <f t="shared" si="348"/>
        <v/>
      </c>
      <c r="NF19" s="251" t="str">
        <f t="shared" si="349"/>
        <v/>
      </c>
      <c r="NG19" s="251" t="str">
        <f t="shared" si="350"/>
        <v/>
      </c>
      <c r="NH19" s="251" t="str">
        <f t="shared" si="351"/>
        <v/>
      </c>
      <c r="NI19" s="251" t="str">
        <f t="shared" si="352"/>
        <v/>
      </c>
      <c r="NJ19" s="251" t="str">
        <f t="shared" si="353"/>
        <v/>
      </c>
      <c r="NK19" s="251" t="str">
        <f t="shared" si="354"/>
        <v/>
      </c>
      <c r="NL19" s="251" t="str">
        <f t="shared" si="355"/>
        <v/>
      </c>
      <c r="NM19" s="251" t="str">
        <f t="shared" si="356"/>
        <v/>
      </c>
      <c r="NN19" s="251" t="str">
        <f t="shared" si="357"/>
        <v/>
      </c>
      <c r="NO19" s="1185">
        <f t="shared" si="358"/>
        <v>0</v>
      </c>
      <c r="NP19" s="1185">
        <f t="shared" si="359"/>
        <v>0</v>
      </c>
      <c r="NQ19" s="1185">
        <f t="shared" si="360"/>
        <v>5</v>
      </c>
      <c r="NR19" s="1185">
        <f t="shared" si="361"/>
        <v>0</v>
      </c>
      <c r="NS19" s="1185">
        <f t="shared" si="362"/>
        <v>0</v>
      </c>
      <c r="NT19" s="1185">
        <f t="shared" si="368"/>
        <v>0</v>
      </c>
      <c r="NU19" s="1185">
        <f t="shared" si="369"/>
        <v>0</v>
      </c>
      <c r="NV19" s="1185">
        <f t="shared" si="370"/>
        <v>0</v>
      </c>
      <c r="NW19" s="1185">
        <f t="shared" si="371"/>
        <v>0</v>
      </c>
      <c r="NX19" s="1185">
        <f t="shared" si="372"/>
        <v>0</v>
      </c>
      <c r="NY19" s="1185">
        <f t="shared" si="363"/>
        <v>0</v>
      </c>
      <c r="NZ19" s="1185">
        <f t="shared" si="364"/>
        <v>0</v>
      </c>
      <c r="OA19" s="1185">
        <f t="shared" si="365"/>
        <v>0</v>
      </c>
      <c r="OB19" s="1185">
        <f t="shared" si="366"/>
        <v>0</v>
      </c>
      <c r="OC19" s="1185">
        <f t="shared" si="367"/>
        <v>0</v>
      </c>
      <c r="OY19" s="1794" t="s">
        <v>1167</v>
      </c>
      <c r="OZ19" s="1799">
        <v>19</v>
      </c>
    </row>
    <row r="20" spans="1:416" ht="12" customHeight="1">
      <c r="A20" s="53" t="str">
        <f t="shared" si="0"/>
        <v/>
      </c>
      <c r="B20" s="782">
        <v>60</v>
      </c>
      <c r="C20" s="85">
        <v>3</v>
      </c>
      <c r="D20" s="1187">
        <v>2</v>
      </c>
      <c r="E20" s="86">
        <v>2</v>
      </c>
      <c r="F20" s="86">
        <v>1170</v>
      </c>
      <c r="G20" s="86">
        <v>642</v>
      </c>
      <c r="H20" s="86">
        <f t="shared" si="373"/>
        <v>632</v>
      </c>
      <c r="I20" s="86">
        <v>0</v>
      </c>
      <c r="J20" s="765">
        <f>IF(C20="",0,HLOOKUP(C20,'Part IV-Utility Allowances'!$I$11:$M$25,15))</f>
        <v>238</v>
      </c>
      <c r="K20" s="473"/>
      <c r="L20" s="330">
        <f t="shared" si="1"/>
        <v>394</v>
      </c>
      <c r="M20" s="330">
        <f t="shared" si="2"/>
        <v>788</v>
      </c>
      <c r="N20" s="506" t="s">
        <v>7474</v>
      </c>
      <c r="O20" s="1134" t="s">
        <v>1259</v>
      </c>
      <c r="P20" s="506" t="s">
        <v>7678</v>
      </c>
      <c r="Q20" s="87" t="s">
        <v>7474</v>
      </c>
      <c r="R20" s="540"/>
      <c r="S20" s="541"/>
      <c r="T20" s="3758"/>
      <c r="U20" s="3759"/>
      <c r="V20" s="3759"/>
      <c r="W20" s="3760"/>
      <c r="X20" s="251" t="str">
        <f t="shared" si="3"/>
        <v/>
      </c>
      <c r="Y20" s="251" t="str">
        <f t="shared" si="4"/>
        <v/>
      </c>
      <c r="Z20" s="251" t="str">
        <f t="shared" si="5"/>
        <v/>
      </c>
      <c r="AA20" s="251" t="str">
        <f t="shared" si="6"/>
        <v/>
      </c>
      <c r="AB20" s="251" t="str">
        <f t="shared" si="7"/>
        <v/>
      </c>
      <c r="AC20" s="251" t="str">
        <f t="shared" si="8"/>
        <v/>
      </c>
      <c r="AD20" s="251" t="str">
        <f t="shared" si="9"/>
        <v/>
      </c>
      <c r="AE20" s="251" t="str">
        <f t="shared" si="10"/>
        <v/>
      </c>
      <c r="AF20" s="251" t="str">
        <f t="shared" si="11"/>
        <v/>
      </c>
      <c r="AG20" s="251" t="str">
        <f t="shared" si="12"/>
        <v/>
      </c>
      <c r="AH20" s="251" t="str">
        <f t="shared" si="13"/>
        <v/>
      </c>
      <c r="AI20" s="251" t="str">
        <f t="shared" si="14"/>
        <v/>
      </c>
      <c r="AJ20" s="251" t="str">
        <f t="shared" si="15"/>
        <v/>
      </c>
      <c r="AK20" s="251">
        <f t="shared" si="16"/>
        <v>2</v>
      </c>
      <c r="AL20" s="251" t="str">
        <f t="shared" si="17"/>
        <v/>
      </c>
      <c r="AM20" s="251" t="str">
        <f t="shared" si="18"/>
        <v/>
      </c>
      <c r="AN20" s="251" t="str">
        <f t="shared" si="19"/>
        <v/>
      </c>
      <c r="AO20" s="251" t="str">
        <f t="shared" si="20"/>
        <v/>
      </c>
      <c r="AP20" s="251" t="str">
        <f t="shared" si="21"/>
        <v/>
      </c>
      <c r="AQ20" s="251" t="str">
        <f t="shared" si="22"/>
        <v/>
      </c>
      <c r="AR20" s="251" t="str">
        <f t="shared" si="23"/>
        <v/>
      </c>
      <c r="AS20" s="251" t="str">
        <f t="shared" si="24"/>
        <v/>
      </c>
      <c r="AT20" s="251" t="str">
        <f t="shared" si="25"/>
        <v/>
      </c>
      <c r="AU20" s="251" t="str">
        <f t="shared" si="26"/>
        <v/>
      </c>
      <c r="AV20" s="251" t="str">
        <f t="shared" si="27"/>
        <v/>
      </c>
      <c r="AW20" s="251" t="str">
        <f t="shared" si="28"/>
        <v/>
      </c>
      <c r="AX20" s="251" t="str">
        <f t="shared" si="29"/>
        <v/>
      </c>
      <c r="AY20" s="251" t="str">
        <f t="shared" si="30"/>
        <v/>
      </c>
      <c r="AZ20" s="251" t="str">
        <f t="shared" si="31"/>
        <v/>
      </c>
      <c r="BA20" s="251" t="str">
        <f t="shared" si="32"/>
        <v/>
      </c>
      <c r="BB20" s="251" t="str">
        <f t="shared" si="33"/>
        <v/>
      </c>
      <c r="BC20" s="251" t="str">
        <f t="shared" si="34"/>
        <v/>
      </c>
      <c r="BD20" s="251" t="str">
        <f t="shared" si="35"/>
        <v/>
      </c>
      <c r="BE20" s="251" t="str">
        <f t="shared" si="36"/>
        <v/>
      </c>
      <c r="BF20" s="251" t="str">
        <f t="shared" si="37"/>
        <v/>
      </c>
      <c r="BG20" s="251" t="str">
        <f t="shared" si="38"/>
        <v/>
      </c>
      <c r="BH20" s="251" t="str">
        <f t="shared" si="39"/>
        <v/>
      </c>
      <c r="BI20" s="251" t="str">
        <f t="shared" si="40"/>
        <v/>
      </c>
      <c r="BJ20" s="251" t="str">
        <f t="shared" si="41"/>
        <v/>
      </c>
      <c r="BK20" s="251" t="str">
        <f t="shared" si="42"/>
        <v/>
      </c>
      <c r="BL20" s="251" t="str">
        <f t="shared" si="43"/>
        <v/>
      </c>
      <c r="BM20" s="251" t="str">
        <f t="shared" si="44"/>
        <v/>
      </c>
      <c r="BN20" s="251" t="str">
        <f t="shared" si="45"/>
        <v/>
      </c>
      <c r="BO20" s="251" t="str">
        <f t="shared" si="46"/>
        <v/>
      </c>
      <c r="BP20" s="251" t="str">
        <f t="shared" si="47"/>
        <v/>
      </c>
      <c r="BQ20" s="251" t="str">
        <f t="shared" si="48"/>
        <v/>
      </c>
      <c r="BR20" s="251" t="str">
        <f t="shared" si="49"/>
        <v/>
      </c>
      <c r="BS20" s="251" t="str">
        <f t="shared" si="50"/>
        <v/>
      </c>
      <c r="BT20" s="251" t="str">
        <f t="shared" si="51"/>
        <v/>
      </c>
      <c r="BU20" s="251" t="str">
        <f t="shared" si="52"/>
        <v/>
      </c>
      <c r="BV20" s="251" t="str">
        <f t="shared" si="53"/>
        <v/>
      </c>
      <c r="BW20" s="251" t="str">
        <f t="shared" si="54"/>
        <v/>
      </c>
      <c r="BX20" s="251" t="str">
        <f t="shared" si="55"/>
        <v/>
      </c>
      <c r="BY20" s="251" t="str">
        <f t="shared" si="56"/>
        <v/>
      </c>
      <c r="BZ20" s="251" t="str">
        <f t="shared" si="57"/>
        <v/>
      </c>
      <c r="CA20" s="251" t="str">
        <f t="shared" si="58"/>
        <v/>
      </c>
      <c r="CB20" s="251" t="str">
        <f t="shared" si="59"/>
        <v/>
      </c>
      <c r="CC20" s="251" t="str">
        <f t="shared" si="60"/>
        <v/>
      </c>
      <c r="CD20" s="251" t="str">
        <f t="shared" si="61"/>
        <v/>
      </c>
      <c r="CE20" s="251" t="str">
        <f t="shared" si="62"/>
        <v/>
      </c>
      <c r="CF20" s="251" t="str">
        <f t="shared" si="63"/>
        <v/>
      </c>
      <c r="CG20" s="251" t="str">
        <f t="shared" si="64"/>
        <v/>
      </c>
      <c r="CH20" s="251" t="str">
        <f t="shared" si="65"/>
        <v/>
      </c>
      <c r="CI20" s="251" t="str">
        <f t="shared" si="66"/>
        <v/>
      </c>
      <c r="CJ20" s="251" t="str">
        <f t="shared" si="67"/>
        <v/>
      </c>
      <c r="CK20" s="251" t="str">
        <f t="shared" si="68"/>
        <v/>
      </c>
      <c r="CL20" s="251" t="str">
        <f t="shared" si="69"/>
        <v/>
      </c>
      <c r="CM20" s="251" t="str">
        <f t="shared" si="70"/>
        <v/>
      </c>
      <c r="CN20" s="251" t="str">
        <f t="shared" si="71"/>
        <v/>
      </c>
      <c r="CO20" s="251" t="str">
        <f t="shared" si="72"/>
        <v/>
      </c>
      <c r="CP20" s="251" t="str">
        <f t="shared" si="73"/>
        <v/>
      </c>
      <c r="CQ20" s="251" t="str">
        <f t="shared" si="74"/>
        <v/>
      </c>
      <c r="CR20" s="251" t="str">
        <f t="shared" si="75"/>
        <v/>
      </c>
      <c r="CS20" s="251" t="str">
        <f t="shared" si="76"/>
        <v/>
      </c>
      <c r="CT20" s="251" t="str">
        <f t="shared" si="77"/>
        <v/>
      </c>
      <c r="CU20" s="251" t="str">
        <f t="shared" si="78"/>
        <v/>
      </c>
      <c r="CV20" s="251" t="str">
        <f t="shared" si="79"/>
        <v/>
      </c>
      <c r="CW20" s="251" t="str">
        <f t="shared" si="80"/>
        <v/>
      </c>
      <c r="CX20" s="251" t="str">
        <f t="shared" si="81"/>
        <v/>
      </c>
      <c r="CY20" s="251" t="str">
        <f t="shared" si="82"/>
        <v/>
      </c>
      <c r="CZ20" s="251" t="str">
        <f t="shared" si="83"/>
        <v/>
      </c>
      <c r="DA20" s="251" t="str">
        <f t="shared" si="84"/>
        <v/>
      </c>
      <c r="DB20" s="251" t="str">
        <f t="shared" si="85"/>
        <v/>
      </c>
      <c r="DC20" s="251" t="str">
        <f t="shared" si="86"/>
        <v/>
      </c>
      <c r="DD20" s="251" t="str">
        <f t="shared" si="87"/>
        <v/>
      </c>
      <c r="DE20" s="251" t="str">
        <f t="shared" si="88"/>
        <v/>
      </c>
      <c r="DF20" s="251" t="str">
        <f t="shared" si="89"/>
        <v/>
      </c>
      <c r="DG20" s="251" t="str">
        <f t="shared" si="90"/>
        <v/>
      </c>
      <c r="DH20" s="251" t="str">
        <f t="shared" si="91"/>
        <v/>
      </c>
      <c r="DI20" s="251" t="str">
        <f t="shared" si="92"/>
        <v/>
      </c>
      <c r="DJ20" s="251" t="str">
        <f t="shared" si="93"/>
        <v/>
      </c>
      <c r="DK20" s="251" t="str">
        <f t="shared" si="94"/>
        <v/>
      </c>
      <c r="DL20" s="251" t="str">
        <f t="shared" si="95"/>
        <v/>
      </c>
      <c r="DM20" s="251" t="str">
        <f t="shared" si="96"/>
        <v/>
      </c>
      <c r="DN20" s="251" t="str">
        <f t="shared" si="97"/>
        <v/>
      </c>
      <c r="DO20" s="251" t="str">
        <f t="shared" si="98"/>
        <v/>
      </c>
      <c r="DP20" s="251" t="str">
        <f t="shared" si="99"/>
        <v/>
      </c>
      <c r="DQ20" s="251" t="str">
        <f t="shared" si="100"/>
        <v/>
      </c>
      <c r="DR20" s="251" t="str">
        <f t="shared" si="101"/>
        <v/>
      </c>
      <c r="DS20" s="251" t="str">
        <f t="shared" si="102"/>
        <v/>
      </c>
      <c r="DT20" s="251" t="str">
        <f t="shared" si="103"/>
        <v/>
      </c>
      <c r="DU20" s="251" t="str">
        <f t="shared" si="104"/>
        <v/>
      </c>
      <c r="DV20" s="251" t="str">
        <f t="shared" si="105"/>
        <v/>
      </c>
      <c r="DW20" s="251" t="str">
        <f t="shared" si="106"/>
        <v/>
      </c>
      <c r="DX20" s="251" t="str">
        <f t="shared" si="107"/>
        <v/>
      </c>
      <c r="DY20" s="251" t="str">
        <f t="shared" si="108"/>
        <v/>
      </c>
      <c r="DZ20" s="251" t="str">
        <f t="shared" si="109"/>
        <v/>
      </c>
      <c r="EA20" s="251" t="str">
        <f t="shared" si="110"/>
        <v/>
      </c>
      <c r="EB20" s="251" t="str">
        <f t="shared" si="111"/>
        <v/>
      </c>
      <c r="EC20" s="251" t="str">
        <f t="shared" si="112"/>
        <v/>
      </c>
      <c r="ED20" s="251" t="str">
        <f t="shared" si="113"/>
        <v/>
      </c>
      <c r="EE20" s="251" t="str">
        <f t="shared" si="114"/>
        <v/>
      </c>
      <c r="EF20" s="251" t="str">
        <f t="shared" si="115"/>
        <v/>
      </c>
      <c r="EG20" s="251" t="str">
        <f t="shared" si="116"/>
        <v/>
      </c>
      <c r="EH20" s="251" t="str">
        <f t="shared" si="117"/>
        <v/>
      </c>
      <c r="EI20" s="251" t="str">
        <f t="shared" si="118"/>
        <v/>
      </c>
      <c r="EJ20" s="251" t="str">
        <f t="shared" si="119"/>
        <v/>
      </c>
      <c r="EK20" s="251" t="str">
        <f t="shared" si="120"/>
        <v/>
      </c>
      <c r="EL20" s="251" t="str">
        <f t="shared" si="121"/>
        <v/>
      </c>
      <c r="EM20" s="251" t="str">
        <f t="shared" si="122"/>
        <v/>
      </c>
      <c r="EN20" s="251" t="str">
        <f t="shared" si="123"/>
        <v/>
      </c>
      <c r="EO20" s="251" t="str">
        <f t="shared" si="124"/>
        <v/>
      </c>
      <c r="EP20" s="251" t="str">
        <f t="shared" si="125"/>
        <v/>
      </c>
      <c r="EQ20" s="251" t="str">
        <f t="shared" si="126"/>
        <v/>
      </c>
      <c r="ER20" s="251" t="str">
        <f t="shared" si="127"/>
        <v/>
      </c>
      <c r="ES20" s="251" t="str">
        <f t="shared" si="128"/>
        <v/>
      </c>
      <c r="ET20" s="251" t="str">
        <f t="shared" si="129"/>
        <v/>
      </c>
      <c r="EU20" s="251" t="str">
        <f t="shared" si="130"/>
        <v/>
      </c>
      <c r="EV20" s="251" t="str">
        <f t="shared" si="131"/>
        <v/>
      </c>
      <c r="EW20" s="251" t="str">
        <f t="shared" si="132"/>
        <v/>
      </c>
      <c r="EX20" s="251" t="str">
        <f t="shared" si="133"/>
        <v/>
      </c>
      <c r="EY20" s="251" t="str">
        <f t="shared" si="134"/>
        <v/>
      </c>
      <c r="EZ20" s="251" t="str">
        <f t="shared" si="135"/>
        <v/>
      </c>
      <c r="FA20" s="251" t="str">
        <f t="shared" si="136"/>
        <v/>
      </c>
      <c r="FB20" s="251" t="str">
        <f t="shared" si="137"/>
        <v/>
      </c>
      <c r="FC20" s="251" t="str">
        <f t="shared" si="138"/>
        <v/>
      </c>
      <c r="FD20" s="251" t="str">
        <f t="shared" si="139"/>
        <v/>
      </c>
      <c r="FE20" s="251" t="str">
        <f t="shared" si="140"/>
        <v/>
      </c>
      <c r="FF20" s="251" t="str">
        <f t="shared" si="141"/>
        <v/>
      </c>
      <c r="FG20" s="251" t="str">
        <f t="shared" si="142"/>
        <v/>
      </c>
      <c r="FH20" s="251" t="str">
        <f t="shared" si="143"/>
        <v/>
      </c>
      <c r="FI20" s="251" t="str">
        <f t="shared" si="144"/>
        <v/>
      </c>
      <c r="FJ20" s="251" t="str">
        <f t="shared" si="145"/>
        <v/>
      </c>
      <c r="FK20" s="251" t="str">
        <f t="shared" si="146"/>
        <v/>
      </c>
      <c r="FL20" s="251" t="str">
        <f t="shared" si="147"/>
        <v/>
      </c>
      <c r="FM20" s="251" t="str">
        <f t="shared" si="148"/>
        <v/>
      </c>
      <c r="FN20" s="251" t="str">
        <f t="shared" si="149"/>
        <v/>
      </c>
      <c r="FO20" s="251" t="str">
        <f t="shared" si="150"/>
        <v/>
      </c>
      <c r="FP20" s="251" t="str">
        <f t="shared" si="151"/>
        <v/>
      </c>
      <c r="FQ20" s="251" t="str">
        <f t="shared" si="152"/>
        <v/>
      </c>
      <c r="FR20" s="251" t="str">
        <f t="shared" si="153"/>
        <v/>
      </c>
      <c r="FS20" s="251" t="str">
        <f t="shared" si="154"/>
        <v/>
      </c>
      <c r="FT20" s="251" t="str">
        <f t="shared" si="155"/>
        <v/>
      </c>
      <c r="FU20" s="251" t="str">
        <f t="shared" si="156"/>
        <v/>
      </c>
      <c r="FV20" s="251" t="str">
        <f t="shared" si="157"/>
        <v/>
      </c>
      <c r="FW20" s="251" t="str">
        <f t="shared" si="158"/>
        <v/>
      </c>
      <c r="FX20" s="251" t="str">
        <f t="shared" si="159"/>
        <v/>
      </c>
      <c r="FY20" s="251" t="str">
        <f t="shared" si="160"/>
        <v/>
      </c>
      <c r="FZ20" s="251" t="str">
        <f t="shared" si="161"/>
        <v/>
      </c>
      <c r="GA20" s="251" t="str">
        <f t="shared" si="162"/>
        <v/>
      </c>
      <c r="GB20" s="251" t="str">
        <f t="shared" si="163"/>
        <v/>
      </c>
      <c r="GC20" s="251" t="str">
        <f t="shared" si="164"/>
        <v/>
      </c>
      <c r="GD20" s="251" t="str">
        <f t="shared" si="165"/>
        <v/>
      </c>
      <c r="GE20" s="251">
        <f t="shared" si="166"/>
        <v>2340</v>
      </c>
      <c r="GF20" s="251" t="str">
        <f t="shared" si="167"/>
        <v/>
      </c>
      <c r="GG20" s="251" t="str">
        <f t="shared" si="168"/>
        <v/>
      </c>
      <c r="GH20" s="251" t="str">
        <f t="shared" si="169"/>
        <v/>
      </c>
      <c r="GI20" s="251" t="str">
        <f t="shared" si="170"/>
        <v/>
      </c>
      <c r="GJ20" s="251" t="str">
        <f t="shared" si="171"/>
        <v/>
      </c>
      <c r="GK20" s="251" t="str">
        <f t="shared" si="172"/>
        <v/>
      </c>
      <c r="GL20" s="251" t="str">
        <f t="shared" si="173"/>
        <v/>
      </c>
      <c r="GM20" s="251" t="str">
        <f t="shared" si="174"/>
        <v/>
      </c>
      <c r="GN20" s="251" t="str">
        <f t="shared" si="175"/>
        <v/>
      </c>
      <c r="GO20" s="251" t="str">
        <f t="shared" si="176"/>
        <v/>
      </c>
      <c r="GP20" s="251" t="str">
        <f t="shared" si="177"/>
        <v/>
      </c>
      <c r="GQ20" s="251" t="str">
        <f t="shared" si="178"/>
        <v/>
      </c>
      <c r="GR20" s="251" t="str">
        <f t="shared" si="179"/>
        <v/>
      </c>
      <c r="GS20" s="251" t="str">
        <f t="shared" si="180"/>
        <v/>
      </c>
      <c r="GT20" s="251" t="str">
        <f t="shared" si="181"/>
        <v/>
      </c>
      <c r="GU20" s="251" t="str">
        <f t="shared" si="182"/>
        <v/>
      </c>
      <c r="GV20" s="251" t="str">
        <f t="shared" si="183"/>
        <v/>
      </c>
      <c r="GW20" s="251" t="str">
        <f t="shared" si="184"/>
        <v/>
      </c>
      <c r="GX20" s="251" t="str">
        <f t="shared" si="185"/>
        <v/>
      </c>
      <c r="GY20" s="251" t="str">
        <f t="shared" si="186"/>
        <v/>
      </c>
      <c r="GZ20" s="251" t="str">
        <f t="shared" si="187"/>
        <v/>
      </c>
      <c r="HA20" s="251" t="str">
        <f t="shared" si="188"/>
        <v/>
      </c>
      <c r="HB20" s="251" t="str">
        <f t="shared" si="189"/>
        <v/>
      </c>
      <c r="HC20" s="251" t="str">
        <f t="shared" si="190"/>
        <v/>
      </c>
      <c r="HD20" s="251" t="str">
        <f t="shared" si="191"/>
        <v/>
      </c>
      <c r="HE20" s="251" t="str">
        <f t="shared" si="192"/>
        <v/>
      </c>
      <c r="HF20" s="251" t="str">
        <f t="shared" si="193"/>
        <v/>
      </c>
      <c r="HG20" s="251" t="str">
        <f t="shared" si="194"/>
        <v/>
      </c>
      <c r="HH20" s="251" t="str">
        <f t="shared" si="195"/>
        <v/>
      </c>
      <c r="HI20" s="251" t="str">
        <f t="shared" si="196"/>
        <v/>
      </c>
      <c r="HJ20" s="251" t="str">
        <f t="shared" si="197"/>
        <v/>
      </c>
      <c r="HK20" s="251" t="str">
        <f t="shared" si="198"/>
        <v/>
      </c>
      <c r="HL20" s="251" t="str">
        <f t="shared" si="199"/>
        <v/>
      </c>
      <c r="HM20" s="251" t="str">
        <f t="shared" si="200"/>
        <v/>
      </c>
      <c r="HN20" s="251" t="str">
        <f t="shared" si="201"/>
        <v/>
      </c>
      <c r="HO20" s="251" t="str">
        <f t="shared" si="202"/>
        <v/>
      </c>
      <c r="HP20" s="251" t="str">
        <f t="shared" si="203"/>
        <v/>
      </c>
      <c r="HQ20" s="251" t="str">
        <f t="shared" si="204"/>
        <v/>
      </c>
      <c r="HR20" s="251" t="str">
        <f t="shared" si="205"/>
        <v/>
      </c>
      <c r="HS20" s="251" t="str">
        <f t="shared" si="206"/>
        <v/>
      </c>
      <c r="HT20" s="251" t="str">
        <f t="shared" si="207"/>
        <v/>
      </c>
      <c r="HU20" s="251" t="str">
        <f t="shared" si="208"/>
        <v/>
      </c>
      <c r="HV20" s="251" t="str">
        <f t="shared" si="209"/>
        <v/>
      </c>
      <c r="HW20" s="251" t="str">
        <f t="shared" si="210"/>
        <v/>
      </c>
      <c r="HX20" s="251" t="str">
        <f t="shared" si="211"/>
        <v/>
      </c>
      <c r="HY20" s="251" t="str">
        <f t="shared" si="212"/>
        <v/>
      </c>
      <c r="HZ20" s="251" t="str">
        <f t="shared" si="213"/>
        <v/>
      </c>
      <c r="IA20" s="251" t="str">
        <f t="shared" si="214"/>
        <v/>
      </c>
      <c r="IB20" s="251" t="str">
        <f t="shared" si="215"/>
        <v/>
      </c>
      <c r="IC20" s="251" t="str">
        <f t="shared" si="216"/>
        <v/>
      </c>
      <c r="ID20" s="251" t="str">
        <f t="shared" si="217"/>
        <v/>
      </c>
      <c r="IE20" s="251" t="str">
        <f t="shared" si="218"/>
        <v/>
      </c>
      <c r="IF20" s="251" t="str">
        <f t="shared" si="219"/>
        <v/>
      </c>
      <c r="IG20" s="251" t="str">
        <f t="shared" si="220"/>
        <v/>
      </c>
      <c r="IH20" s="251">
        <f t="shared" si="221"/>
        <v>2</v>
      </c>
      <c r="II20" s="251" t="str">
        <f t="shared" si="222"/>
        <v/>
      </c>
      <c r="IJ20" s="251" t="str">
        <f t="shared" si="223"/>
        <v/>
      </c>
      <c r="IK20" s="251" t="str">
        <f t="shared" si="224"/>
        <v/>
      </c>
      <c r="IL20" s="251" t="str">
        <f t="shared" si="225"/>
        <v/>
      </c>
      <c r="IM20" s="251" t="str">
        <f t="shared" si="226"/>
        <v/>
      </c>
      <c r="IN20" s="251" t="str">
        <f t="shared" si="227"/>
        <v/>
      </c>
      <c r="IO20" s="251" t="str">
        <f t="shared" si="228"/>
        <v/>
      </c>
      <c r="IP20" s="251" t="str">
        <f t="shared" si="229"/>
        <v/>
      </c>
      <c r="IQ20" s="251" t="str">
        <f t="shared" si="230"/>
        <v/>
      </c>
      <c r="IR20" s="251" t="str">
        <f t="shared" si="231"/>
        <v/>
      </c>
      <c r="IS20" s="251" t="str">
        <f t="shared" si="232"/>
        <v/>
      </c>
      <c r="IT20" s="251" t="str">
        <f t="shared" si="233"/>
        <v/>
      </c>
      <c r="IU20" s="251" t="str">
        <f t="shared" si="234"/>
        <v/>
      </c>
      <c r="IV20" s="251" t="str">
        <f t="shared" si="235"/>
        <v/>
      </c>
      <c r="IW20" s="251" t="str">
        <f t="shared" si="236"/>
        <v/>
      </c>
      <c r="IX20" s="251" t="str">
        <f t="shared" si="237"/>
        <v/>
      </c>
      <c r="IY20" s="251" t="str">
        <f t="shared" si="238"/>
        <v/>
      </c>
      <c r="IZ20" s="251" t="str">
        <f t="shared" si="239"/>
        <v/>
      </c>
      <c r="JA20" s="251" t="str">
        <f t="shared" si="240"/>
        <v/>
      </c>
      <c r="JB20" s="251" t="str">
        <f t="shared" si="241"/>
        <v/>
      </c>
      <c r="JC20" s="251" t="str">
        <f t="shared" si="242"/>
        <v/>
      </c>
      <c r="JD20" s="251" t="str">
        <f t="shared" si="243"/>
        <v/>
      </c>
      <c r="JE20" s="251" t="str">
        <f t="shared" si="244"/>
        <v/>
      </c>
      <c r="JF20" s="251" t="str">
        <f t="shared" si="245"/>
        <v/>
      </c>
      <c r="JG20" s="251" t="str">
        <f t="shared" si="246"/>
        <v/>
      </c>
      <c r="JH20" s="251" t="str">
        <f t="shared" si="247"/>
        <v/>
      </c>
      <c r="JI20" s="1297" t="str">
        <f t="shared" si="248"/>
        <v/>
      </c>
      <c r="JJ20" s="1297" t="str">
        <f t="shared" si="249"/>
        <v/>
      </c>
      <c r="JK20" s="1297" t="str">
        <f t="shared" si="250"/>
        <v/>
      </c>
      <c r="JL20" s="1297">
        <f t="shared" si="251"/>
        <v>2</v>
      </c>
      <c r="JM20" s="1297" t="str">
        <f t="shared" si="252"/>
        <v/>
      </c>
      <c r="JN20" s="1297" t="str">
        <f t="shared" si="253"/>
        <v/>
      </c>
      <c r="JO20" s="1297" t="str">
        <f t="shared" si="254"/>
        <v/>
      </c>
      <c r="JP20" s="1297" t="str">
        <f t="shared" si="255"/>
        <v/>
      </c>
      <c r="JQ20" s="1297" t="str">
        <f t="shared" si="256"/>
        <v/>
      </c>
      <c r="JR20" s="1297" t="str">
        <f t="shared" si="257"/>
        <v/>
      </c>
      <c r="JS20" s="1297" t="str">
        <f t="shared" si="258"/>
        <v/>
      </c>
      <c r="JT20" s="1297" t="str">
        <f t="shared" si="259"/>
        <v/>
      </c>
      <c r="JU20" s="1297" t="str">
        <f t="shared" si="260"/>
        <v/>
      </c>
      <c r="JV20" s="1297" t="str">
        <f t="shared" si="261"/>
        <v/>
      </c>
      <c r="JW20" s="1297" t="str">
        <f t="shared" si="262"/>
        <v/>
      </c>
      <c r="JX20" s="1297" t="str">
        <f t="shared" si="263"/>
        <v/>
      </c>
      <c r="JY20" s="1297" t="str">
        <f t="shared" si="264"/>
        <v/>
      </c>
      <c r="JZ20" s="1297" t="str">
        <f t="shared" si="265"/>
        <v/>
      </c>
      <c r="KA20" s="1297" t="str">
        <f t="shared" si="266"/>
        <v/>
      </c>
      <c r="KB20" s="1297" t="str">
        <f t="shared" si="267"/>
        <v/>
      </c>
      <c r="KC20" s="1297" t="str">
        <f t="shared" si="268"/>
        <v/>
      </c>
      <c r="KD20" s="1297" t="str">
        <f t="shared" si="269"/>
        <v/>
      </c>
      <c r="KE20" s="1297" t="str">
        <f t="shared" si="270"/>
        <v/>
      </c>
      <c r="KF20" s="1297" t="str">
        <f t="shared" si="271"/>
        <v/>
      </c>
      <c r="KG20" s="1297" t="str">
        <f t="shared" si="272"/>
        <v/>
      </c>
      <c r="KH20" s="1297" t="str">
        <f t="shared" si="273"/>
        <v/>
      </c>
      <c r="KI20" s="1297" t="str">
        <f t="shared" si="274"/>
        <v/>
      </c>
      <c r="KJ20" s="1297" t="str">
        <f t="shared" si="275"/>
        <v/>
      </c>
      <c r="KK20" s="1297" t="str">
        <f t="shared" si="276"/>
        <v/>
      </c>
      <c r="KL20" s="1297" t="str">
        <f t="shared" si="277"/>
        <v/>
      </c>
      <c r="KM20" s="1297" t="str">
        <f t="shared" si="278"/>
        <v/>
      </c>
      <c r="KN20" s="1297" t="str">
        <f t="shared" si="279"/>
        <v/>
      </c>
      <c r="KO20" s="1297" t="str">
        <f t="shared" si="280"/>
        <v/>
      </c>
      <c r="KP20" s="1297" t="str">
        <f t="shared" si="281"/>
        <v/>
      </c>
      <c r="KQ20" s="1297" t="str">
        <f t="shared" si="282"/>
        <v/>
      </c>
      <c r="KR20" s="1297" t="str">
        <f t="shared" si="283"/>
        <v/>
      </c>
      <c r="KS20" s="1297" t="str">
        <f t="shared" si="284"/>
        <v/>
      </c>
      <c r="KT20" s="1297" t="str">
        <f t="shared" si="285"/>
        <v/>
      </c>
      <c r="KU20" s="1297" t="str">
        <f t="shared" si="286"/>
        <v/>
      </c>
      <c r="KV20" s="1297" t="str">
        <f t="shared" si="287"/>
        <v/>
      </c>
      <c r="KW20" s="1297" t="str">
        <f t="shared" si="288"/>
        <v/>
      </c>
      <c r="KX20" s="1297" t="str">
        <f t="shared" si="289"/>
        <v/>
      </c>
      <c r="KY20" s="1297" t="str">
        <f t="shared" si="290"/>
        <v/>
      </c>
      <c r="KZ20" s="1297" t="str">
        <f t="shared" si="291"/>
        <v/>
      </c>
      <c r="LA20" s="1297" t="str">
        <f t="shared" si="292"/>
        <v/>
      </c>
      <c r="LB20" s="1297" t="str">
        <f t="shared" si="293"/>
        <v/>
      </c>
      <c r="LC20" s="1297" t="str">
        <f t="shared" si="294"/>
        <v/>
      </c>
      <c r="LD20" s="1297" t="str">
        <f t="shared" si="295"/>
        <v/>
      </c>
      <c r="LE20" s="1297">
        <f t="shared" si="296"/>
        <v>2</v>
      </c>
      <c r="LF20" s="1297" t="str">
        <f t="shared" si="297"/>
        <v/>
      </c>
      <c r="LG20" s="1297" t="str">
        <f t="shared" si="298"/>
        <v/>
      </c>
      <c r="LH20" s="1297" t="str">
        <f t="shared" si="299"/>
        <v/>
      </c>
      <c r="LI20" s="1297" t="str">
        <f t="shared" si="300"/>
        <v/>
      </c>
      <c r="LJ20" s="1297" t="str">
        <f t="shared" si="301"/>
        <v/>
      </c>
      <c r="LK20" s="1297" t="str">
        <f t="shared" si="302"/>
        <v/>
      </c>
      <c r="LL20" s="1297" t="str">
        <f t="shared" si="303"/>
        <v/>
      </c>
      <c r="LM20" s="1297" t="str">
        <f t="shared" si="304"/>
        <v/>
      </c>
      <c r="LN20" s="1297" t="str">
        <f t="shared" si="305"/>
        <v/>
      </c>
      <c r="LO20" s="1297" t="str">
        <f t="shared" si="306"/>
        <v/>
      </c>
      <c r="LP20" s="1297" t="str">
        <f t="shared" si="307"/>
        <v/>
      </c>
      <c r="LQ20" s="1297" t="str">
        <f t="shared" si="308"/>
        <v/>
      </c>
      <c r="LR20" s="1297" t="str">
        <f t="shared" si="309"/>
        <v/>
      </c>
      <c r="LS20" s="1297" t="str">
        <f t="shared" si="310"/>
        <v/>
      </c>
      <c r="LT20" s="1297" t="str">
        <f t="shared" si="311"/>
        <v/>
      </c>
      <c r="LU20" s="1297" t="str">
        <f t="shared" si="312"/>
        <v/>
      </c>
      <c r="LV20" s="1297" t="str">
        <f t="shared" si="313"/>
        <v/>
      </c>
      <c r="LW20" s="1297" t="str">
        <f t="shared" si="314"/>
        <v/>
      </c>
      <c r="LX20" s="1297" t="str">
        <f t="shared" si="315"/>
        <v/>
      </c>
      <c r="LY20" s="1297" t="str">
        <f t="shared" si="316"/>
        <v/>
      </c>
      <c r="LZ20" s="1297" t="str">
        <f t="shared" si="317"/>
        <v/>
      </c>
      <c r="MA20" s="1297" t="str">
        <f t="shared" si="318"/>
        <v/>
      </c>
      <c r="MB20" s="1297" t="str">
        <f t="shared" si="319"/>
        <v/>
      </c>
      <c r="MC20" s="1297" t="str">
        <f t="shared" si="320"/>
        <v/>
      </c>
      <c r="MD20" s="1297" t="str">
        <f t="shared" si="321"/>
        <v/>
      </c>
      <c r="ME20" s="1297" t="str">
        <f t="shared" si="322"/>
        <v/>
      </c>
      <c r="MF20" s="1297" t="str">
        <f t="shared" si="323"/>
        <v/>
      </c>
      <c r="MG20" s="1297" t="str">
        <f t="shared" si="324"/>
        <v/>
      </c>
      <c r="MH20" s="1297" t="str">
        <f t="shared" si="325"/>
        <v/>
      </c>
      <c r="MI20" s="1297" t="str">
        <f t="shared" si="326"/>
        <v/>
      </c>
      <c r="MJ20" s="1297" t="str">
        <f t="shared" si="327"/>
        <v/>
      </c>
      <c r="MK20" s="1297" t="str">
        <f t="shared" si="328"/>
        <v/>
      </c>
      <c r="ML20" s="1297" t="str">
        <f t="shared" si="329"/>
        <v/>
      </c>
      <c r="MM20" s="1297" t="str">
        <f t="shared" si="330"/>
        <v/>
      </c>
      <c r="MN20" s="1297" t="str">
        <f t="shared" si="331"/>
        <v/>
      </c>
      <c r="MO20" s="1297" t="str">
        <f t="shared" si="332"/>
        <v/>
      </c>
      <c r="MP20" s="1773" t="str">
        <f t="shared" si="333"/>
        <v/>
      </c>
      <c r="MQ20" s="1773" t="str">
        <f t="shared" si="334"/>
        <v/>
      </c>
      <c r="MR20" s="1773" t="str">
        <f t="shared" si="335"/>
        <v/>
      </c>
      <c r="MS20" s="1773" t="str">
        <f t="shared" si="336"/>
        <v/>
      </c>
      <c r="MT20" s="1773" t="str">
        <f t="shared" si="337"/>
        <v/>
      </c>
      <c r="MU20" s="251" t="str">
        <f t="shared" si="338"/>
        <v/>
      </c>
      <c r="MV20" s="251" t="str">
        <f t="shared" si="339"/>
        <v/>
      </c>
      <c r="MW20" s="251" t="str">
        <f t="shared" si="340"/>
        <v/>
      </c>
      <c r="MX20" s="251" t="str">
        <f t="shared" si="341"/>
        <v/>
      </c>
      <c r="MY20" s="251" t="str">
        <f t="shared" si="342"/>
        <v/>
      </c>
      <c r="MZ20" s="251" t="str">
        <f t="shared" si="343"/>
        <v/>
      </c>
      <c r="NA20" s="251" t="str">
        <f t="shared" si="344"/>
        <v/>
      </c>
      <c r="NB20" s="251" t="str">
        <f t="shared" si="345"/>
        <v/>
      </c>
      <c r="NC20" s="251" t="str">
        <f t="shared" si="346"/>
        <v/>
      </c>
      <c r="ND20" s="251" t="str">
        <f t="shared" si="347"/>
        <v/>
      </c>
      <c r="NE20" s="251" t="str">
        <f t="shared" si="348"/>
        <v/>
      </c>
      <c r="NF20" s="251" t="str">
        <f t="shared" si="349"/>
        <v/>
      </c>
      <c r="NG20" s="251" t="str">
        <f t="shared" si="350"/>
        <v/>
      </c>
      <c r="NH20" s="251" t="str">
        <f t="shared" si="351"/>
        <v/>
      </c>
      <c r="NI20" s="251" t="str">
        <f t="shared" si="352"/>
        <v/>
      </c>
      <c r="NJ20" s="251" t="str">
        <f t="shared" si="353"/>
        <v/>
      </c>
      <c r="NK20" s="251" t="str">
        <f t="shared" si="354"/>
        <v/>
      </c>
      <c r="NL20" s="251" t="str">
        <f t="shared" si="355"/>
        <v/>
      </c>
      <c r="NM20" s="251" t="str">
        <f t="shared" si="356"/>
        <v/>
      </c>
      <c r="NN20" s="251" t="str">
        <f t="shared" si="357"/>
        <v/>
      </c>
      <c r="NO20" s="1185">
        <f t="shared" si="358"/>
        <v>0</v>
      </c>
      <c r="NP20" s="1185">
        <f t="shared" si="359"/>
        <v>0</v>
      </c>
      <c r="NQ20" s="1185">
        <f t="shared" si="360"/>
        <v>0</v>
      </c>
      <c r="NR20" s="1185">
        <f t="shared" si="361"/>
        <v>2</v>
      </c>
      <c r="NS20" s="1185">
        <f t="shared" si="362"/>
        <v>0</v>
      </c>
      <c r="NT20" s="1185">
        <f t="shared" si="368"/>
        <v>0</v>
      </c>
      <c r="NU20" s="1185">
        <f t="shared" si="369"/>
        <v>0</v>
      </c>
      <c r="NV20" s="1185">
        <f t="shared" si="370"/>
        <v>0</v>
      </c>
      <c r="NW20" s="1185">
        <f t="shared" si="371"/>
        <v>0</v>
      </c>
      <c r="NX20" s="1185">
        <f t="shared" si="372"/>
        <v>0</v>
      </c>
      <c r="NY20" s="1185">
        <f t="shared" si="363"/>
        <v>0</v>
      </c>
      <c r="NZ20" s="1185">
        <f t="shared" si="364"/>
        <v>0</v>
      </c>
      <c r="OA20" s="1185">
        <f t="shared" si="365"/>
        <v>0</v>
      </c>
      <c r="OB20" s="1185">
        <f t="shared" si="366"/>
        <v>0</v>
      </c>
      <c r="OC20" s="1185">
        <f t="shared" si="367"/>
        <v>0</v>
      </c>
      <c r="OY20" s="1794" t="s">
        <v>1168</v>
      </c>
      <c r="OZ20" s="1801">
        <v>20</v>
      </c>
    </row>
    <row r="21" spans="1:416" ht="12" customHeight="1">
      <c r="A21" s="53" t="str">
        <f t="shared" si="0"/>
        <v/>
      </c>
      <c r="B21" s="782"/>
      <c r="C21" s="85"/>
      <c r="D21" s="1187"/>
      <c r="E21" s="86"/>
      <c r="F21" s="86"/>
      <c r="G21" s="86"/>
      <c r="H21" s="86"/>
      <c r="I21" s="86"/>
      <c r="J21" s="765">
        <f>IF(C21="",0,HLOOKUP(C21,'Part IV-Utility Allowances'!$I$11:$M$25,15))</f>
        <v>0</v>
      </c>
      <c r="K21" s="473"/>
      <c r="L21" s="330">
        <f t="shared" si="1"/>
        <v>0</v>
      </c>
      <c r="M21" s="330">
        <f t="shared" si="2"/>
        <v>0</v>
      </c>
      <c r="N21" s="506"/>
      <c r="O21" s="1134"/>
      <c r="P21" s="506"/>
      <c r="Q21" s="87"/>
      <c r="R21" s="540"/>
      <c r="S21" s="541"/>
      <c r="T21" s="3758"/>
      <c r="U21" s="3759"/>
      <c r="V21" s="3759"/>
      <c r="W21" s="3760"/>
      <c r="X21" s="251" t="str">
        <f t="shared" si="3"/>
        <v/>
      </c>
      <c r="Y21" s="251" t="str">
        <f t="shared" si="4"/>
        <v/>
      </c>
      <c r="Z21" s="251" t="str">
        <f t="shared" si="5"/>
        <v/>
      </c>
      <c r="AA21" s="251" t="str">
        <f t="shared" si="6"/>
        <v/>
      </c>
      <c r="AB21" s="251" t="str">
        <f t="shared" si="7"/>
        <v/>
      </c>
      <c r="AC21" s="251" t="str">
        <f t="shared" si="8"/>
        <v/>
      </c>
      <c r="AD21" s="251" t="str">
        <f t="shared" si="9"/>
        <v/>
      </c>
      <c r="AE21" s="251" t="str">
        <f t="shared" si="10"/>
        <v/>
      </c>
      <c r="AF21" s="251" t="str">
        <f t="shared" si="11"/>
        <v/>
      </c>
      <c r="AG21" s="251" t="str">
        <f t="shared" si="12"/>
        <v/>
      </c>
      <c r="AH21" s="251" t="str">
        <f t="shared" si="13"/>
        <v/>
      </c>
      <c r="AI21" s="251" t="str">
        <f t="shared" si="14"/>
        <v/>
      </c>
      <c r="AJ21" s="251" t="str">
        <f t="shared" si="15"/>
        <v/>
      </c>
      <c r="AK21" s="251" t="str">
        <f t="shared" si="16"/>
        <v/>
      </c>
      <c r="AL21" s="251" t="str">
        <f t="shared" si="17"/>
        <v/>
      </c>
      <c r="AM21" s="251" t="str">
        <f t="shared" si="18"/>
        <v/>
      </c>
      <c r="AN21" s="251" t="str">
        <f t="shared" si="19"/>
        <v/>
      </c>
      <c r="AO21" s="251" t="str">
        <f t="shared" si="20"/>
        <v/>
      </c>
      <c r="AP21" s="251" t="str">
        <f t="shared" si="21"/>
        <v/>
      </c>
      <c r="AQ21" s="251" t="str">
        <f t="shared" si="22"/>
        <v/>
      </c>
      <c r="AR21" s="251" t="str">
        <f t="shared" si="23"/>
        <v/>
      </c>
      <c r="AS21" s="251" t="str">
        <f t="shared" si="24"/>
        <v/>
      </c>
      <c r="AT21" s="251" t="str">
        <f t="shared" si="25"/>
        <v/>
      </c>
      <c r="AU21" s="251" t="str">
        <f t="shared" si="26"/>
        <v/>
      </c>
      <c r="AV21" s="251" t="str">
        <f t="shared" si="27"/>
        <v/>
      </c>
      <c r="AW21" s="251" t="str">
        <f t="shared" si="28"/>
        <v/>
      </c>
      <c r="AX21" s="251" t="str">
        <f t="shared" si="29"/>
        <v/>
      </c>
      <c r="AY21" s="251" t="str">
        <f t="shared" si="30"/>
        <v/>
      </c>
      <c r="AZ21" s="251" t="str">
        <f t="shared" si="31"/>
        <v/>
      </c>
      <c r="BA21" s="251" t="str">
        <f t="shared" si="32"/>
        <v/>
      </c>
      <c r="BB21" s="251" t="str">
        <f t="shared" si="33"/>
        <v/>
      </c>
      <c r="BC21" s="251" t="str">
        <f t="shared" si="34"/>
        <v/>
      </c>
      <c r="BD21" s="251" t="str">
        <f t="shared" si="35"/>
        <v/>
      </c>
      <c r="BE21" s="251" t="str">
        <f t="shared" si="36"/>
        <v/>
      </c>
      <c r="BF21" s="251" t="str">
        <f t="shared" si="37"/>
        <v/>
      </c>
      <c r="BG21" s="251" t="str">
        <f t="shared" si="38"/>
        <v/>
      </c>
      <c r="BH21" s="251" t="str">
        <f t="shared" si="39"/>
        <v/>
      </c>
      <c r="BI21" s="251" t="str">
        <f t="shared" si="40"/>
        <v/>
      </c>
      <c r="BJ21" s="251" t="str">
        <f t="shared" si="41"/>
        <v/>
      </c>
      <c r="BK21" s="251" t="str">
        <f t="shared" si="42"/>
        <v/>
      </c>
      <c r="BL21" s="251" t="str">
        <f t="shared" si="43"/>
        <v/>
      </c>
      <c r="BM21" s="251" t="str">
        <f t="shared" si="44"/>
        <v/>
      </c>
      <c r="BN21" s="251" t="str">
        <f t="shared" si="45"/>
        <v/>
      </c>
      <c r="BO21" s="251" t="str">
        <f t="shared" si="46"/>
        <v/>
      </c>
      <c r="BP21" s="251" t="str">
        <f t="shared" si="47"/>
        <v/>
      </c>
      <c r="BQ21" s="251" t="str">
        <f t="shared" si="48"/>
        <v/>
      </c>
      <c r="BR21" s="251" t="str">
        <f t="shared" si="49"/>
        <v/>
      </c>
      <c r="BS21" s="251" t="str">
        <f t="shared" si="50"/>
        <v/>
      </c>
      <c r="BT21" s="251" t="str">
        <f t="shared" si="51"/>
        <v/>
      </c>
      <c r="BU21" s="251" t="str">
        <f t="shared" si="52"/>
        <v/>
      </c>
      <c r="BV21" s="251" t="str">
        <f t="shared" si="53"/>
        <v/>
      </c>
      <c r="BW21" s="251" t="str">
        <f t="shared" si="54"/>
        <v/>
      </c>
      <c r="BX21" s="251" t="str">
        <f t="shared" si="55"/>
        <v/>
      </c>
      <c r="BY21" s="251" t="str">
        <f t="shared" si="56"/>
        <v/>
      </c>
      <c r="BZ21" s="251" t="str">
        <f t="shared" si="57"/>
        <v/>
      </c>
      <c r="CA21" s="251" t="str">
        <f t="shared" si="58"/>
        <v/>
      </c>
      <c r="CB21" s="251" t="str">
        <f t="shared" si="59"/>
        <v/>
      </c>
      <c r="CC21" s="251" t="str">
        <f t="shared" si="60"/>
        <v/>
      </c>
      <c r="CD21" s="251" t="str">
        <f t="shared" si="61"/>
        <v/>
      </c>
      <c r="CE21" s="251" t="str">
        <f t="shared" si="62"/>
        <v/>
      </c>
      <c r="CF21" s="251" t="str">
        <f t="shared" si="63"/>
        <v/>
      </c>
      <c r="CG21" s="251" t="str">
        <f t="shared" si="64"/>
        <v/>
      </c>
      <c r="CH21" s="251" t="str">
        <f t="shared" si="65"/>
        <v/>
      </c>
      <c r="CI21" s="251" t="str">
        <f t="shared" si="66"/>
        <v/>
      </c>
      <c r="CJ21" s="251" t="str">
        <f t="shared" si="67"/>
        <v/>
      </c>
      <c r="CK21" s="251" t="str">
        <f t="shared" si="68"/>
        <v/>
      </c>
      <c r="CL21" s="251" t="str">
        <f t="shared" si="69"/>
        <v/>
      </c>
      <c r="CM21" s="251" t="str">
        <f t="shared" si="70"/>
        <v/>
      </c>
      <c r="CN21" s="251" t="str">
        <f t="shared" si="71"/>
        <v/>
      </c>
      <c r="CO21" s="251" t="str">
        <f t="shared" si="72"/>
        <v/>
      </c>
      <c r="CP21" s="251" t="str">
        <f t="shared" si="73"/>
        <v/>
      </c>
      <c r="CQ21" s="251" t="str">
        <f t="shared" si="74"/>
        <v/>
      </c>
      <c r="CR21" s="251" t="str">
        <f t="shared" si="75"/>
        <v/>
      </c>
      <c r="CS21" s="251" t="str">
        <f t="shared" si="76"/>
        <v/>
      </c>
      <c r="CT21" s="251" t="str">
        <f t="shared" si="77"/>
        <v/>
      </c>
      <c r="CU21" s="251" t="str">
        <f t="shared" si="78"/>
        <v/>
      </c>
      <c r="CV21" s="251" t="str">
        <f t="shared" si="79"/>
        <v/>
      </c>
      <c r="CW21" s="251" t="str">
        <f t="shared" si="80"/>
        <v/>
      </c>
      <c r="CX21" s="251" t="str">
        <f t="shared" si="81"/>
        <v/>
      </c>
      <c r="CY21" s="251" t="str">
        <f t="shared" si="82"/>
        <v/>
      </c>
      <c r="CZ21" s="251" t="str">
        <f t="shared" si="83"/>
        <v/>
      </c>
      <c r="DA21" s="251" t="str">
        <f t="shared" si="84"/>
        <v/>
      </c>
      <c r="DB21" s="251" t="str">
        <f t="shared" si="85"/>
        <v/>
      </c>
      <c r="DC21" s="251" t="str">
        <f t="shared" si="86"/>
        <v/>
      </c>
      <c r="DD21" s="251" t="str">
        <f t="shared" si="87"/>
        <v/>
      </c>
      <c r="DE21" s="251" t="str">
        <f t="shared" si="88"/>
        <v/>
      </c>
      <c r="DF21" s="251" t="str">
        <f t="shared" si="89"/>
        <v/>
      </c>
      <c r="DG21" s="251" t="str">
        <f t="shared" si="90"/>
        <v/>
      </c>
      <c r="DH21" s="251" t="str">
        <f t="shared" si="91"/>
        <v/>
      </c>
      <c r="DI21" s="251" t="str">
        <f t="shared" si="92"/>
        <v/>
      </c>
      <c r="DJ21" s="251" t="str">
        <f t="shared" si="93"/>
        <v/>
      </c>
      <c r="DK21" s="251" t="str">
        <f t="shared" si="94"/>
        <v/>
      </c>
      <c r="DL21" s="251" t="str">
        <f t="shared" si="95"/>
        <v/>
      </c>
      <c r="DM21" s="251" t="str">
        <f t="shared" si="96"/>
        <v/>
      </c>
      <c r="DN21" s="251" t="str">
        <f t="shared" si="97"/>
        <v/>
      </c>
      <c r="DO21" s="251" t="str">
        <f t="shared" si="98"/>
        <v/>
      </c>
      <c r="DP21" s="251" t="str">
        <f t="shared" si="99"/>
        <v/>
      </c>
      <c r="DQ21" s="251" t="str">
        <f t="shared" si="100"/>
        <v/>
      </c>
      <c r="DR21" s="251" t="str">
        <f t="shared" si="101"/>
        <v/>
      </c>
      <c r="DS21" s="251" t="str">
        <f t="shared" si="102"/>
        <v/>
      </c>
      <c r="DT21" s="251" t="str">
        <f t="shared" si="103"/>
        <v/>
      </c>
      <c r="DU21" s="251" t="str">
        <f t="shared" si="104"/>
        <v/>
      </c>
      <c r="DV21" s="251" t="str">
        <f t="shared" si="105"/>
        <v/>
      </c>
      <c r="DW21" s="251" t="str">
        <f t="shared" si="106"/>
        <v/>
      </c>
      <c r="DX21" s="251" t="str">
        <f t="shared" si="107"/>
        <v/>
      </c>
      <c r="DY21" s="251" t="str">
        <f t="shared" si="108"/>
        <v/>
      </c>
      <c r="DZ21" s="251" t="str">
        <f t="shared" si="109"/>
        <v/>
      </c>
      <c r="EA21" s="251" t="str">
        <f t="shared" si="110"/>
        <v/>
      </c>
      <c r="EB21" s="251" t="str">
        <f t="shared" si="111"/>
        <v/>
      </c>
      <c r="EC21" s="251" t="str">
        <f t="shared" si="112"/>
        <v/>
      </c>
      <c r="ED21" s="251" t="str">
        <f t="shared" si="113"/>
        <v/>
      </c>
      <c r="EE21" s="251" t="str">
        <f t="shared" si="114"/>
        <v/>
      </c>
      <c r="EF21" s="251" t="str">
        <f t="shared" si="115"/>
        <v/>
      </c>
      <c r="EG21" s="251" t="str">
        <f t="shared" si="116"/>
        <v/>
      </c>
      <c r="EH21" s="251" t="str">
        <f t="shared" si="117"/>
        <v/>
      </c>
      <c r="EI21" s="251" t="str">
        <f t="shared" si="118"/>
        <v/>
      </c>
      <c r="EJ21" s="251" t="str">
        <f t="shared" si="119"/>
        <v/>
      </c>
      <c r="EK21" s="251" t="str">
        <f t="shared" si="120"/>
        <v/>
      </c>
      <c r="EL21" s="251" t="str">
        <f t="shared" si="121"/>
        <v/>
      </c>
      <c r="EM21" s="251" t="str">
        <f t="shared" si="122"/>
        <v/>
      </c>
      <c r="EN21" s="251" t="str">
        <f t="shared" si="123"/>
        <v/>
      </c>
      <c r="EO21" s="251" t="str">
        <f t="shared" si="124"/>
        <v/>
      </c>
      <c r="EP21" s="251" t="str">
        <f t="shared" si="125"/>
        <v/>
      </c>
      <c r="EQ21" s="251" t="str">
        <f t="shared" si="126"/>
        <v/>
      </c>
      <c r="ER21" s="251" t="str">
        <f t="shared" si="127"/>
        <v/>
      </c>
      <c r="ES21" s="251" t="str">
        <f t="shared" si="128"/>
        <v/>
      </c>
      <c r="ET21" s="251" t="str">
        <f t="shared" si="129"/>
        <v/>
      </c>
      <c r="EU21" s="251" t="str">
        <f t="shared" si="130"/>
        <v/>
      </c>
      <c r="EV21" s="251" t="str">
        <f t="shared" si="131"/>
        <v/>
      </c>
      <c r="EW21" s="251" t="str">
        <f t="shared" si="132"/>
        <v/>
      </c>
      <c r="EX21" s="251" t="str">
        <f t="shared" si="133"/>
        <v/>
      </c>
      <c r="EY21" s="251" t="str">
        <f t="shared" si="134"/>
        <v/>
      </c>
      <c r="EZ21" s="251" t="str">
        <f t="shared" si="135"/>
        <v/>
      </c>
      <c r="FA21" s="251" t="str">
        <f t="shared" si="136"/>
        <v/>
      </c>
      <c r="FB21" s="251" t="str">
        <f t="shared" si="137"/>
        <v/>
      </c>
      <c r="FC21" s="251" t="str">
        <f t="shared" si="138"/>
        <v/>
      </c>
      <c r="FD21" s="251" t="str">
        <f t="shared" si="139"/>
        <v/>
      </c>
      <c r="FE21" s="251" t="str">
        <f t="shared" si="140"/>
        <v/>
      </c>
      <c r="FF21" s="251" t="str">
        <f t="shared" si="141"/>
        <v/>
      </c>
      <c r="FG21" s="251" t="str">
        <f t="shared" si="142"/>
        <v/>
      </c>
      <c r="FH21" s="251" t="str">
        <f t="shared" si="143"/>
        <v/>
      </c>
      <c r="FI21" s="251" t="str">
        <f t="shared" si="144"/>
        <v/>
      </c>
      <c r="FJ21" s="251" t="str">
        <f t="shared" si="145"/>
        <v/>
      </c>
      <c r="FK21" s="251" t="str">
        <f t="shared" si="146"/>
        <v/>
      </c>
      <c r="FL21" s="251" t="str">
        <f t="shared" si="147"/>
        <v/>
      </c>
      <c r="FM21" s="251" t="str">
        <f t="shared" si="148"/>
        <v/>
      </c>
      <c r="FN21" s="251" t="str">
        <f t="shared" si="149"/>
        <v/>
      </c>
      <c r="FO21" s="251" t="str">
        <f t="shared" si="150"/>
        <v/>
      </c>
      <c r="FP21" s="251" t="str">
        <f t="shared" si="151"/>
        <v/>
      </c>
      <c r="FQ21" s="251" t="str">
        <f t="shared" si="152"/>
        <v/>
      </c>
      <c r="FR21" s="251" t="str">
        <f t="shared" si="153"/>
        <v/>
      </c>
      <c r="FS21" s="251" t="str">
        <f t="shared" si="154"/>
        <v/>
      </c>
      <c r="FT21" s="251" t="str">
        <f t="shared" si="155"/>
        <v/>
      </c>
      <c r="FU21" s="251" t="str">
        <f t="shared" si="156"/>
        <v/>
      </c>
      <c r="FV21" s="251" t="str">
        <f t="shared" si="157"/>
        <v/>
      </c>
      <c r="FW21" s="251" t="str">
        <f t="shared" si="158"/>
        <v/>
      </c>
      <c r="FX21" s="251" t="str">
        <f t="shared" si="159"/>
        <v/>
      </c>
      <c r="FY21" s="251" t="str">
        <f t="shared" si="160"/>
        <v/>
      </c>
      <c r="FZ21" s="251" t="str">
        <f t="shared" si="161"/>
        <v/>
      </c>
      <c r="GA21" s="251" t="str">
        <f t="shared" si="162"/>
        <v/>
      </c>
      <c r="GB21" s="251" t="str">
        <f t="shared" si="163"/>
        <v/>
      </c>
      <c r="GC21" s="251" t="str">
        <f t="shared" si="164"/>
        <v/>
      </c>
      <c r="GD21" s="251" t="str">
        <f t="shared" si="165"/>
        <v/>
      </c>
      <c r="GE21" s="251" t="str">
        <f t="shared" si="166"/>
        <v/>
      </c>
      <c r="GF21" s="251" t="str">
        <f t="shared" si="167"/>
        <v/>
      </c>
      <c r="GG21" s="251" t="str">
        <f t="shared" si="168"/>
        <v/>
      </c>
      <c r="GH21" s="251" t="str">
        <f t="shared" si="169"/>
        <v/>
      </c>
      <c r="GI21" s="251" t="str">
        <f t="shared" si="170"/>
        <v/>
      </c>
      <c r="GJ21" s="251" t="str">
        <f t="shared" si="171"/>
        <v/>
      </c>
      <c r="GK21" s="251" t="str">
        <f t="shared" si="172"/>
        <v/>
      </c>
      <c r="GL21" s="251" t="str">
        <f t="shared" si="173"/>
        <v/>
      </c>
      <c r="GM21" s="251" t="str">
        <f t="shared" si="174"/>
        <v/>
      </c>
      <c r="GN21" s="251" t="str">
        <f t="shared" si="175"/>
        <v/>
      </c>
      <c r="GO21" s="251" t="str">
        <f t="shared" si="176"/>
        <v/>
      </c>
      <c r="GP21" s="251" t="str">
        <f t="shared" si="177"/>
        <v/>
      </c>
      <c r="GQ21" s="251" t="str">
        <f t="shared" si="178"/>
        <v/>
      </c>
      <c r="GR21" s="251" t="str">
        <f t="shared" si="179"/>
        <v/>
      </c>
      <c r="GS21" s="251" t="str">
        <f t="shared" si="180"/>
        <v/>
      </c>
      <c r="GT21" s="251" t="str">
        <f t="shared" si="181"/>
        <v/>
      </c>
      <c r="GU21" s="251" t="str">
        <f t="shared" si="182"/>
        <v/>
      </c>
      <c r="GV21" s="251" t="str">
        <f t="shared" si="183"/>
        <v/>
      </c>
      <c r="GW21" s="251" t="str">
        <f t="shared" si="184"/>
        <v/>
      </c>
      <c r="GX21" s="251" t="str">
        <f t="shared" si="185"/>
        <v/>
      </c>
      <c r="GY21" s="251" t="str">
        <f t="shared" si="186"/>
        <v/>
      </c>
      <c r="GZ21" s="251" t="str">
        <f t="shared" si="187"/>
        <v/>
      </c>
      <c r="HA21" s="251" t="str">
        <f t="shared" si="188"/>
        <v/>
      </c>
      <c r="HB21" s="251" t="str">
        <f t="shared" si="189"/>
        <v/>
      </c>
      <c r="HC21" s="251" t="str">
        <f t="shared" si="190"/>
        <v/>
      </c>
      <c r="HD21" s="251" t="str">
        <f t="shared" si="191"/>
        <v/>
      </c>
      <c r="HE21" s="251" t="str">
        <f t="shared" si="192"/>
        <v/>
      </c>
      <c r="HF21" s="251" t="str">
        <f t="shared" si="193"/>
        <v/>
      </c>
      <c r="HG21" s="251" t="str">
        <f t="shared" si="194"/>
        <v/>
      </c>
      <c r="HH21" s="251" t="str">
        <f t="shared" si="195"/>
        <v/>
      </c>
      <c r="HI21" s="251" t="str">
        <f t="shared" si="196"/>
        <v/>
      </c>
      <c r="HJ21" s="251" t="str">
        <f t="shared" si="197"/>
        <v/>
      </c>
      <c r="HK21" s="251" t="str">
        <f t="shared" si="198"/>
        <v/>
      </c>
      <c r="HL21" s="251" t="str">
        <f t="shared" si="199"/>
        <v/>
      </c>
      <c r="HM21" s="251" t="str">
        <f t="shared" si="200"/>
        <v/>
      </c>
      <c r="HN21" s="251" t="str">
        <f t="shared" si="201"/>
        <v/>
      </c>
      <c r="HO21" s="251" t="str">
        <f t="shared" si="202"/>
        <v/>
      </c>
      <c r="HP21" s="251" t="str">
        <f t="shared" si="203"/>
        <v/>
      </c>
      <c r="HQ21" s="251" t="str">
        <f t="shared" si="204"/>
        <v/>
      </c>
      <c r="HR21" s="251" t="str">
        <f t="shared" si="205"/>
        <v/>
      </c>
      <c r="HS21" s="251" t="str">
        <f t="shared" si="206"/>
        <v/>
      </c>
      <c r="HT21" s="251" t="str">
        <f t="shared" si="207"/>
        <v/>
      </c>
      <c r="HU21" s="251" t="str">
        <f t="shared" si="208"/>
        <v/>
      </c>
      <c r="HV21" s="251" t="str">
        <f t="shared" si="209"/>
        <v/>
      </c>
      <c r="HW21" s="251" t="str">
        <f t="shared" si="210"/>
        <v/>
      </c>
      <c r="HX21" s="251" t="str">
        <f t="shared" si="211"/>
        <v/>
      </c>
      <c r="HY21" s="251" t="str">
        <f t="shared" si="212"/>
        <v/>
      </c>
      <c r="HZ21" s="251" t="str">
        <f t="shared" si="213"/>
        <v/>
      </c>
      <c r="IA21" s="251" t="str">
        <f t="shared" si="214"/>
        <v/>
      </c>
      <c r="IB21" s="251" t="str">
        <f t="shared" si="215"/>
        <v/>
      </c>
      <c r="IC21" s="251" t="str">
        <f t="shared" si="216"/>
        <v/>
      </c>
      <c r="ID21" s="251" t="str">
        <f t="shared" si="217"/>
        <v/>
      </c>
      <c r="IE21" s="251" t="str">
        <f t="shared" si="218"/>
        <v/>
      </c>
      <c r="IF21" s="251" t="str">
        <f t="shared" si="219"/>
        <v/>
      </c>
      <c r="IG21" s="251" t="str">
        <f t="shared" si="220"/>
        <v/>
      </c>
      <c r="IH21" s="251" t="str">
        <f t="shared" si="221"/>
        <v/>
      </c>
      <c r="II21" s="251" t="str">
        <f t="shared" si="222"/>
        <v/>
      </c>
      <c r="IJ21" s="251" t="str">
        <f t="shared" si="223"/>
        <v/>
      </c>
      <c r="IK21" s="251" t="str">
        <f t="shared" si="224"/>
        <v/>
      </c>
      <c r="IL21" s="251" t="str">
        <f t="shared" si="225"/>
        <v/>
      </c>
      <c r="IM21" s="251" t="str">
        <f t="shared" si="226"/>
        <v/>
      </c>
      <c r="IN21" s="251" t="str">
        <f t="shared" si="227"/>
        <v/>
      </c>
      <c r="IO21" s="251" t="str">
        <f t="shared" si="228"/>
        <v/>
      </c>
      <c r="IP21" s="251" t="str">
        <f t="shared" si="229"/>
        <v/>
      </c>
      <c r="IQ21" s="251" t="str">
        <f t="shared" si="230"/>
        <v/>
      </c>
      <c r="IR21" s="251" t="str">
        <f t="shared" si="231"/>
        <v/>
      </c>
      <c r="IS21" s="251" t="str">
        <f t="shared" si="232"/>
        <v/>
      </c>
      <c r="IT21" s="251" t="str">
        <f t="shared" si="233"/>
        <v/>
      </c>
      <c r="IU21" s="251" t="str">
        <f t="shared" si="234"/>
        <v/>
      </c>
      <c r="IV21" s="251" t="str">
        <f t="shared" si="235"/>
        <v/>
      </c>
      <c r="IW21" s="251" t="str">
        <f t="shared" si="236"/>
        <v/>
      </c>
      <c r="IX21" s="251" t="str">
        <f t="shared" si="237"/>
        <v/>
      </c>
      <c r="IY21" s="251" t="str">
        <f t="shared" si="238"/>
        <v/>
      </c>
      <c r="IZ21" s="251" t="str">
        <f t="shared" si="239"/>
        <v/>
      </c>
      <c r="JA21" s="251" t="str">
        <f t="shared" si="240"/>
        <v/>
      </c>
      <c r="JB21" s="251" t="str">
        <f t="shared" si="241"/>
        <v/>
      </c>
      <c r="JC21" s="251" t="str">
        <f t="shared" si="242"/>
        <v/>
      </c>
      <c r="JD21" s="251" t="str">
        <f t="shared" si="243"/>
        <v/>
      </c>
      <c r="JE21" s="251" t="str">
        <f t="shared" si="244"/>
        <v/>
      </c>
      <c r="JF21" s="251" t="str">
        <f t="shared" si="245"/>
        <v/>
      </c>
      <c r="JG21" s="251" t="str">
        <f t="shared" si="246"/>
        <v/>
      </c>
      <c r="JH21" s="251" t="str">
        <f t="shared" si="247"/>
        <v/>
      </c>
      <c r="JI21" s="1297" t="str">
        <f t="shared" si="248"/>
        <v/>
      </c>
      <c r="JJ21" s="1297" t="str">
        <f t="shared" si="249"/>
        <v/>
      </c>
      <c r="JK21" s="1297" t="str">
        <f t="shared" si="250"/>
        <v/>
      </c>
      <c r="JL21" s="1297" t="str">
        <f t="shared" si="251"/>
        <v/>
      </c>
      <c r="JM21" s="1297" t="str">
        <f t="shared" si="252"/>
        <v/>
      </c>
      <c r="JN21" s="1297" t="str">
        <f t="shared" si="253"/>
        <v/>
      </c>
      <c r="JO21" s="1297" t="str">
        <f t="shared" si="254"/>
        <v/>
      </c>
      <c r="JP21" s="1297" t="str">
        <f t="shared" si="255"/>
        <v/>
      </c>
      <c r="JQ21" s="1297" t="str">
        <f t="shared" si="256"/>
        <v/>
      </c>
      <c r="JR21" s="1297" t="str">
        <f t="shared" si="257"/>
        <v/>
      </c>
      <c r="JS21" s="1297" t="str">
        <f t="shared" si="258"/>
        <v/>
      </c>
      <c r="JT21" s="1297" t="str">
        <f t="shared" si="259"/>
        <v/>
      </c>
      <c r="JU21" s="1297" t="str">
        <f t="shared" si="260"/>
        <v/>
      </c>
      <c r="JV21" s="1297" t="str">
        <f t="shared" si="261"/>
        <v/>
      </c>
      <c r="JW21" s="1297" t="str">
        <f t="shared" si="262"/>
        <v/>
      </c>
      <c r="JX21" s="1297" t="str">
        <f t="shared" si="263"/>
        <v/>
      </c>
      <c r="JY21" s="1297" t="str">
        <f t="shared" si="264"/>
        <v/>
      </c>
      <c r="JZ21" s="1297" t="str">
        <f t="shared" si="265"/>
        <v/>
      </c>
      <c r="KA21" s="1297" t="str">
        <f t="shared" si="266"/>
        <v/>
      </c>
      <c r="KB21" s="1297" t="str">
        <f t="shared" si="267"/>
        <v/>
      </c>
      <c r="KC21" s="1297" t="str">
        <f t="shared" si="268"/>
        <v/>
      </c>
      <c r="KD21" s="1297" t="str">
        <f t="shared" si="269"/>
        <v/>
      </c>
      <c r="KE21" s="1297" t="str">
        <f t="shared" si="270"/>
        <v/>
      </c>
      <c r="KF21" s="1297" t="str">
        <f t="shared" si="271"/>
        <v/>
      </c>
      <c r="KG21" s="1297" t="str">
        <f t="shared" si="272"/>
        <v/>
      </c>
      <c r="KH21" s="1297" t="str">
        <f t="shared" si="273"/>
        <v/>
      </c>
      <c r="KI21" s="1297" t="str">
        <f t="shared" si="274"/>
        <v/>
      </c>
      <c r="KJ21" s="1297" t="str">
        <f t="shared" si="275"/>
        <v/>
      </c>
      <c r="KK21" s="1297" t="str">
        <f t="shared" si="276"/>
        <v/>
      </c>
      <c r="KL21" s="1297" t="str">
        <f t="shared" si="277"/>
        <v/>
      </c>
      <c r="KM21" s="1297" t="str">
        <f t="shared" si="278"/>
        <v/>
      </c>
      <c r="KN21" s="1297" t="str">
        <f t="shared" si="279"/>
        <v/>
      </c>
      <c r="KO21" s="1297" t="str">
        <f t="shared" si="280"/>
        <v/>
      </c>
      <c r="KP21" s="1297" t="str">
        <f t="shared" si="281"/>
        <v/>
      </c>
      <c r="KQ21" s="1297" t="str">
        <f t="shared" si="282"/>
        <v/>
      </c>
      <c r="KR21" s="1297" t="str">
        <f t="shared" si="283"/>
        <v/>
      </c>
      <c r="KS21" s="1297" t="str">
        <f t="shared" si="284"/>
        <v/>
      </c>
      <c r="KT21" s="1297" t="str">
        <f t="shared" si="285"/>
        <v/>
      </c>
      <c r="KU21" s="1297" t="str">
        <f t="shared" si="286"/>
        <v/>
      </c>
      <c r="KV21" s="1297" t="str">
        <f t="shared" si="287"/>
        <v/>
      </c>
      <c r="KW21" s="1297" t="str">
        <f t="shared" si="288"/>
        <v/>
      </c>
      <c r="KX21" s="1297" t="str">
        <f t="shared" si="289"/>
        <v/>
      </c>
      <c r="KY21" s="1297" t="str">
        <f t="shared" si="290"/>
        <v/>
      </c>
      <c r="KZ21" s="1297" t="str">
        <f t="shared" si="291"/>
        <v/>
      </c>
      <c r="LA21" s="1297" t="str">
        <f t="shared" si="292"/>
        <v/>
      </c>
      <c r="LB21" s="1297" t="str">
        <f t="shared" si="293"/>
        <v/>
      </c>
      <c r="LC21" s="1297" t="str">
        <f t="shared" si="294"/>
        <v/>
      </c>
      <c r="LD21" s="1297" t="str">
        <f t="shared" si="295"/>
        <v/>
      </c>
      <c r="LE21" s="1297" t="str">
        <f t="shared" si="296"/>
        <v/>
      </c>
      <c r="LF21" s="1297" t="str">
        <f t="shared" si="297"/>
        <v/>
      </c>
      <c r="LG21" s="1297" t="str">
        <f t="shared" si="298"/>
        <v/>
      </c>
      <c r="LH21" s="1297" t="str">
        <f t="shared" si="299"/>
        <v/>
      </c>
      <c r="LI21" s="1297" t="str">
        <f t="shared" si="300"/>
        <v/>
      </c>
      <c r="LJ21" s="1297" t="str">
        <f t="shared" si="301"/>
        <v/>
      </c>
      <c r="LK21" s="1297" t="str">
        <f t="shared" si="302"/>
        <v/>
      </c>
      <c r="LL21" s="1297" t="str">
        <f t="shared" si="303"/>
        <v/>
      </c>
      <c r="LM21" s="1297" t="str">
        <f t="shared" si="304"/>
        <v/>
      </c>
      <c r="LN21" s="1297" t="str">
        <f t="shared" si="305"/>
        <v/>
      </c>
      <c r="LO21" s="1297" t="str">
        <f t="shared" si="306"/>
        <v/>
      </c>
      <c r="LP21" s="1297" t="str">
        <f t="shared" si="307"/>
        <v/>
      </c>
      <c r="LQ21" s="1297" t="str">
        <f t="shared" si="308"/>
        <v/>
      </c>
      <c r="LR21" s="1297" t="str">
        <f t="shared" si="309"/>
        <v/>
      </c>
      <c r="LS21" s="1297" t="str">
        <f t="shared" si="310"/>
        <v/>
      </c>
      <c r="LT21" s="1297" t="str">
        <f t="shared" si="311"/>
        <v/>
      </c>
      <c r="LU21" s="1297" t="str">
        <f t="shared" si="312"/>
        <v/>
      </c>
      <c r="LV21" s="1297" t="str">
        <f t="shared" si="313"/>
        <v/>
      </c>
      <c r="LW21" s="1297" t="str">
        <f t="shared" si="314"/>
        <v/>
      </c>
      <c r="LX21" s="1297" t="str">
        <f t="shared" si="315"/>
        <v/>
      </c>
      <c r="LY21" s="1297" t="str">
        <f t="shared" si="316"/>
        <v/>
      </c>
      <c r="LZ21" s="1297" t="str">
        <f t="shared" si="317"/>
        <v/>
      </c>
      <c r="MA21" s="1297" t="str">
        <f t="shared" si="318"/>
        <v/>
      </c>
      <c r="MB21" s="1297" t="str">
        <f t="shared" si="319"/>
        <v/>
      </c>
      <c r="MC21" s="1297" t="str">
        <f t="shared" si="320"/>
        <v/>
      </c>
      <c r="MD21" s="1297" t="str">
        <f t="shared" si="321"/>
        <v/>
      </c>
      <c r="ME21" s="1297" t="str">
        <f t="shared" si="322"/>
        <v/>
      </c>
      <c r="MF21" s="1297" t="str">
        <f t="shared" si="323"/>
        <v/>
      </c>
      <c r="MG21" s="1297" t="str">
        <f t="shared" si="324"/>
        <v/>
      </c>
      <c r="MH21" s="1297" t="str">
        <f t="shared" si="325"/>
        <v/>
      </c>
      <c r="MI21" s="1297" t="str">
        <f t="shared" si="326"/>
        <v/>
      </c>
      <c r="MJ21" s="1297" t="str">
        <f t="shared" si="327"/>
        <v/>
      </c>
      <c r="MK21" s="1297" t="str">
        <f t="shared" si="328"/>
        <v/>
      </c>
      <c r="ML21" s="1297" t="str">
        <f t="shared" si="329"/>
        <v/>
      </c>
      <c r="MM21" s="1297" t="str">
        <f t="shared" si="330"/>
        <v/>
      </c>
      <c r="MN21" s="1297" t="str">
        <f t="shared" si="331"/>
        <v/>
      </c>
      <c r="MO21" s="1297" t="str">
        <f t="shared" si="332"/>
        <v/>
      </c>
      <c r="MP21" s="1773" t="str">
        <f t="shared" si="333"/>
        <v/>
      </c>
      <c r="MQ21" s="1773" t="str">
        <f t="shared" si="334"/>
        <v/>
      </c>
      <c r="MR21" s="1773" t="str">
        <f t="shared" si="335"/>
        <v/>
      </c>
      <c r="MS21" s="1773" t="str">
        <f t="shared" si="336"/>
        <v/>
      </c>
      <c r="MT21" s="1773" t="str">
        <f t="shared" si="337"/>
        <v/>
      </c>
      <c r="MU21" s="251" t="str">
        <f t="shared" si="338"/>
        <v/>
      </c>
      <c r="MV21" s="251" t="str">
        <f t="shared" si="339"/>
        <v/>
      </c>
      <c r="MW21" s="251" t="str">
        <f t="shared" si="340"/>
        <v/>
      </c>
      <c r="MX21" s="251" t="str">
        <f t="shared" si="341"/>
        <v/>
      </c>
      <c r="MY21" s="251" t="str">
        <f t="shared" si="342"/>
        <v/>
      </c>
      <c r="MZ21" s="251" t="str">
        <f t="shared" si="343"/>
        <v/>
      </c>
      <c r="NA21" s="251" t="str">
        <f t="shared" si="344"/>
        <v/>
      </c>
      <c r="NB21" s="251" t="str">
        <f t="shared" si="345"/>
        <v/>
      </c>
      <c r="NC21" s="251" t="str">
        <f t="shared" si="346"/>
        <v/>
      </c>
      <c r="ND21" s="251" t="str">
        <f t="shared" si="347"/>
        <v/>
      </c>
      <c r="NE21" s="251" t="str">
        <f t="shared" si="348"/>
        <v/>
      </c>
      <c r="NF21" s="251" t="str">
        <f t="shared" si="349"/>
        <v/>
      </c>
      <c r="NG21" s="251" t="str">
        <f t="shared" si="350"/>
        <v/>
      </c>
      <c r="NH21" s="251" t="str">
        <f t="shared" si="351"/>
        <v/>
      </c>
      <c r="NI21" s="251" t="str">
        <f t="shared" si="352"/>
        <v/>
      </c>
      <c r="NJ21" s="251" t="str">
        <f t="shared" si="353"/>
        <v/>
      </c>
      <c r="NK21" s="251" t="str">
        <f t="shared" si="354"/>
        <v/>
      </c>
      <c r="NL21" s="251" t="str">
        <f t="shared" si="355"/>
        <v/>
      </c>
      <c r="NM21" s="251" t="str">
        <f t="shared" si="356"/>
        <v/>
      </c>
      <c r="NN21" s="251" t="str">
        <f t="shared" si="357"/>
        <v/>
      </c>
      <c r="NO21" s="1185">
        <f t="shared" si="358"/>
        <v>0</v>
      </c>
      <c r="NP21" s="1185">
        <f t="shared" si="359"/>
        <v>0</v>
      </c>
      <c r="NQ21" s="1185">
        <f t="shared" si="360"/>
        <v>0</v>
      </c>
      <c r="NR21" s="1185">
        <f t="shared" si="361"/>
        <v>0</v>
      </c>
      <c r="NS21" s="1185">
        <f t="shared" si="362"/>
        <v>0</v>
      </c>
      <c r="NT21" s="1185">
        <f t="shared" si="368"/>
        <v>0</v>
      </c>
      <c r="NU21" s="1185">
        <f t="shared" si="369"/>
        <v>0</v>
      </c>
      <c r="NV21" s="1185">
        <f t="shared" si="370"/>
        <v>0</v>
      </c>
      <c r="NW21" s="1185">
        <f t="shared" si="371"/>
        <v>0</v>
      </c>
      <c r="NX21" s="1185">
        <f t="shared" si="372"/>
        <v>0</v>
      </c>
      <c r="NY21" s="1185">
        <f t="shared" si="363"/>
        <v>0</v>
      </c>
      <c r="NZ21" s="1185">
        <f t="shared" si="364"/>
        <v>0</v>
      </c>
      <c r="OA21" s="1185">
        <f t="shared" si="365"/>
        <v>0</v>
      </c>
      <c r="OB21" s="1185">
        <f t="shared" si="366"/>
        <v>0</v>
      </c>
      <c r="OC21" s="1185">
        <f t="shared" si="367"/>
        <v>0</v>
      </c>
      <c r="OY21" s="1794" t="s">
        <v>1169</v>
      </c>
      <c r="OZ21" s="1799">
        <v>21</v>
      </c>
    </row>
    <row r="22" spans="1:416" ht="12" customHeight="1">
      <c r="A22" s="53" t="str">
        <f t="shared" si="0"/>
        <v/>
      </c>
      <c r="B22" s="782">
        <v>60</v>
      </c>
      <c r="C22" s="85">
        <v>1</v>
      </c>
      <c r="D22" s="1187">
        <v>1</v>
      </c>
      <c r="E22" s="86">
        <v>10</v>
      </c>
      <c r="F22" s="86">
        <v>769</v>
      </c>
      <c r="G22" s="86">
        <v>772</v>
      </c>
      <c r="H22" s="86">
        <f t="shared" si="373"/>
        <v>762</v>
      </c>
      <c r="I22" s="86">
        <v>0</v>
      </c>
      <c r="J22" s="765">
        <f>IF(C22="",0,HLOOKUP(C22,'Part IV-Utility Allowances'!$I$11:$M$25,15))</f>
        <v>175</v>
      </c>
      <c r="K22" s="473"/>
      <c r="L22" s="330">
        <f t="shared" si="1"/>
        <v>587</v>
      </c>
      <c r="M22" s="330">
        <f t="shared" si="2"/>
        <v>5870</v>
      </c>
      <c r="N22" s="506" t="s">
        <v>7474</v>
      </c>
      <c r="O22" s="1134" t="s">
        <v>1259</v>
      </c>
      <c r="P22" s="506" t="s">
        <v>7678</v>
      </c>
      <c r="Q22" s="87" t="s">
        <v>7474</v>
      </c>
      <c r="R22" s="540"/>
      <c r="S22" s="541"/>
      <c r="T22" s="3758"/>
      <c r="U22" s="3759"/>
      <c r="V22" s="3759"/>
      <c r="W22" s="3760"/>
      <c r="X22" s="251" t="str">
        <f t="shared" si="3"/>
        <v/>
      </c>
      <c r="Y22" s="251" t="str">
        <f t="shared" si="4"/>
        <v/>
      </c>
      <c r="Z22" s="251" t="str">
        <f t="shared" si="5"/>
        <v/>
      </c>
      <c r="AA22" s="251" t="str">
        <f t="shared" si="6"/>
        <v/>
      </c>
      <c r="AB22" s="251" t="str">
        <f t="shared" si="7"/>
        <v/>
      </c>
      <c r="AC22" s="251" t="str">
        <f t="shared" si="8"/>
        <v/>
      </c>
      <c r="AD22" s="251" t="str">
        <f t="shared" si="9"/>
        <v/>
      </c>
      <c r="AE22" s="251" t="str">
        <f t="shared" si="10"/>
        <v/>
      </c>
      <c r="AF22" s="251" t="str">
        <f t="shared" si="11"/>
        <v/>
      </c>
      <c r="AG22" s="251" t="str">
        <f t="shared" si="12"/>
        <v/>
      </c>
      <c r="AH22" s="251" t="str">
        <f t="shared" si="13"/>
        <v/>
      </c>
      <c r="AI22" s="251">
        <f t="shared" si="14"/>
        <v>10</v>
      </c>
      <c r="AJ22" s="251" t="str">
        <f t="shared" si="15"/>
        <v/>
      </c>
      <c r="AK22" s="251" t="str">
        <f t="shared" si="16"/>
        <v/>
      </c>
      <c r="AL22" s="251" t="str">
        <f t="shared" si="17"/>
        <v/>
      </c>
      <c r="AM22" s="251" t="str">
        <f t="shared" si="18"/>
        <v/>
      </c>
      <c r="AN22" s="251" t="str">
        <f t="shared" si="19"/>
        <v/>
      </c>
      <c r="AO22" s="251" t="str">
        <f t="shared" si="20"/>
        <v/>
      </c>
      <c r="AP22" s="251" t="str">
        <f t="shared" si="21"/>
        <v/>
      </c>
      <c r="AQ22" s="251" t="str">
        <f t="shared" si="22"/>
        <v/>
      </c>
      <c r="AR22" s="251" t="str">
        <f t="shared" si="23"/>
        <v/>
      </c>
      <c r="AS22" s="251" t="str">
        <f t="shared" si="24"/>
        <v/>
      </c>
      <c r="AT22" s="251" t="str">
        <f t="shared" si="25"/>
        <v/>
      </c>
      <c r="AU22" s="251" t="str">
        <f t="shared" si="26"/>
        <v/>
      </c>
      <c r="AV22" s="251" t="str">
        <f t="shared" si="27"/>
        <v/>
      </c>
      <c r="AW22" s="251" t="str">
        <f t="shared" si="28"/>
        <v/>
      </c>
      <c r="AX22" s="251" t="str">
        <f t="shared" si="29"/>
        <v/>
      </c>
      <c r="AY22" s="251" t="str">
        <f t="shared" si="30"/>
        <v/>
      </c>
      <c r="AZ22" s="251" t="str">
        <f t="shared" si="31"/>
        <v/>
      </c>
      <c r="BA22" s="251" t="str">
        <f t="shared" si="32"/>
        <v/>
      </c>
      <c r="BB22" s="251" t="str">
        <f t="shared" si="33"/>
        <v/>
      </c>
      <c r="BC22" s="251" t="str">
        <f t="shared" si="34"/>
        <v/>
      </c>
      <c r="BD22" s="251" t="str">
        <f t="shared" si="35"/>
        <v/>
      </c>
      <c r="BE22" s="251" t="str">
        <f t="shared" si="36"/>
        <v/>
      </c>
      <c r="BF22" s="251" t="str">
        <f t="shared" si="37"/>
        <v/>
      </c>
      <c r="BG22" s="251" t="str">
        <f t="shared" si="38"/>
        <v/>
      </c>
      <c r="BH22" s="251" t="str">
        <f t="shared" si="39"/>
        <v/>
      </c>
      <c r="BI22" s="251" t="str">
        <f t="shared" si="40"/>
        <v/>
      </c>
      <c r="BJ22" s="251" t="str">
        <f t="shared" si="41"/>
        <v/>
      </c>
      <c r="BK22" s="251" t="str">
        <f t="shared" si="42"/>
        <v/>
      </c>
      <c r="BL22" s="251" t="str">
        <f t="shared" si="43"/>
        <v/>
      </c>
      <c r="BM22" s="251" t="str">
        <f t="shared" si="44"/>
        <v/>
      </c>
      <c r="BN22" s="251" t="str">
        <f t="shared" si="45"/>
        <v/>
      </c>
      <c r="BO22" s="251" t="str">
        <f t="shared" si="46"/>
        <v/>
      </c>
      <c r="BP22" s="251" t="str">
        <f t="shared" si="47"/>
        <v/>
      </c>
      <c r="BQ22" s="251" t="str">
        <f t="shared" si="48"/>
        <v/>
      </c>
      <c r="BR22" s="251" t="str">
        <f t="shared" si="49"/>
        <v/>
      </c>
      <c r="BS22" s="251" t="str">
        <f t="shared" si="50"/>
        <v/>
      </c>
      <c r="BT22" s="251" t="str">
        <f t="shared" si="51"/>
        <v/>
      </c>
      <c r="BU22" s="251" t="str">
        <f t="shared" si="52"/>
        <v/>
      </c>
      <c r="BV22" s="251" t="str">
        <f t="shared" si="53"/>
        <v/>
      </c>
      <c r="BW22" s="251" t="str">
        <f t="shared" si="54"/>
        <v/>
      </c>
      <c r="BX22" s="251" t="str">
        <f t="shared" si="55"/>
        <v/>
      </c>
      <c r="BY22" s="251" t="str">
        <f t="shared" si="56"/>
        <v/>
      </c>
      <c r="BZ22" s="251" t="str">
        <f t="shared" si="57"/>
        <v/>
      </c>
      <c r="CA22" s="251" t="str">
        <f t="shared" si="58"/>
        <v/>
      </c>
      <c r="CB22" s="251" t="str">
        <f t="shared" si="59"/>
        <v/>
      </c>
      <c r="CC22" s="251" t="str">
        <f t="shared" si="60"/>
        <v/>
      </c>
      <c r="CD22" s="251" t="str">
        <f t="shared" si="61"/>
        <v/>
      </c>
      <c r="CE22" s="251" t="str">
        <f t="shared" si="62"/>
        <v/>
      </c>
      <c r="CF22" s="251" t="str">
        <f t="shared" si="63"/>
        <v/>
      </c>
      <c r="CG22" s="251" t="str">
        <f t="shared" si="64"/>
        <v/>
      </c>
      <c r="CH22" s="251" t="str">
        <f t="shared" si="65"/>
        <v/>
      </c>
      <c r="CI22" s="251" t="str">
        <f t="shared" si="66"/>
        <v/>
      </c>
      <c r="CJ22" s="251" t="str">
        <f t="shared" si="67"/>
        <v/>
      </c>
      <c r="CK22" s="251" t="str">
        <f t="shared" si="68"/>
        <v/>
      </c>
      <c r="CL22" s="251" t="str">
        <f t="shared" si="69"/>
        <v/>
      </c>
      <c r="CM22" s="251" t="str">
        <f t="shared" si="70"/>
        <v/>
      </c>
      <c r="CN22" s="251" t="str">
        <f t="shared" si="71"/>
        <v/>
      </c>
      <c r="CO22" s="251" t="str">
        <f t="shared" si="72"/>
        <v/>
      </c>
      <c r="CP22" s="251" t="str">
        <f t="shared" si="73"/>
        <v/>
      </c>
      <c r="CQ22" s="251" t="str">
        <f t="shared" si="74"/>
        <v/>
      </c>
      <c r="CR22" s="251" t="str">
        <f t="shared" si="75"/>
        <v/>
      </c>
      <c r="CS22" s="251" t="str">
        <f t="shared" si="76"/>
        <v/>
      </c>
      <c r="CT22" s="251" t="str">
        <f t="shared" si="77"/>
        <v/>
      </c>
      <c r="CU22" s="251" t="str">
        <f t="shared" si="78"/>
        <v/>
      </c>
      <c r="CV22" s="251" t="str">
        <f t="shared" si="79"/>
        <v/>
      </c>
      <c r="CW22" s="251" t="str">
        <f t="shared" si="80"/>
        <v/>
      </c>
      <c r="CX22" s="251" t="str">
        <f t="shared" si="81"/>
        <v/>
      </c>
      <c r="CY22" s="251" t="str">
        <f t="shared" si="82"/>
        <v/>
      </c>
      <c r="CZ22" s="251" t="str">
        <f t="shared" si="83"/>
        <v/>
      </c>
      <c r="DA22" s="251" t="str">
        <f t="shared" si="84"/>
        <v/>
      </c>
      <c r="DB22" s="251" t="str">
        <f t="shared" si="85"/>
        <v/>
      </c>
      <c r="DC22" s="251" t="str">
        <f t="shared" si="86"/>
        <v/>
      </c>
      <c r="DD22" s="251" t="str">
        <f t="shared" si="87"/>
        <v/>
      </c>
      <c r="DE22" s="251" t="str">
        <f t="shared" si="88"/>
        <v/>
      </c>
      <c r="DF22" s="251" t="str">
        <f t="shared" si="89"/>
        <v/>
      </c>
      <c r="DG22" s="251" t="str">
        <f t="shared" si="90"/>
        <v/>
      </c>
      <c r="DH22" s="251" t="str">
        <f t="shared" si="91"/>
        <v/>
      </c>
      <c r="DI22" s="251" t="str">
        <f t="shared" si="92"/>
        <v/>
      </c>
      <c r="DJ22" s="251" t="str">
        <f t="shared" si="93"/>
        <v/>
      </c>
      <c r="DK22" s="251" t="str">
        <f t="shared" si="94"/>
        <v/>
      </c>
      <c r="DL22" s="251" t="str">
        <f t="shared" si="95"/>
        <v/>
      </c>
      <c r="DM22" s="251" t="str">
        <f t="shared" si="96"/>
        <v/>
      </c>
      <c r="DN22" s="251" t="str">
        <f t="shared" si="97"/>
        <v/>
      </c>
      <c r="DO22" s="251" t="str">
        <f t="shared" si="98"/>
        <v/>
      </c>
      <c r="DP22" s="251" t="str">
        <f t="shared" si="99"/>
        <v/>
      </c>
      <c r="DQ22" s="251" t="str">
        <f t="shared" si="100"/>
        <v/>
      </c>
      <c r="DR22" s="251" t="str">
        <f t="shared" si="101"/>
        <v/>
      </c>
      <c r="DS22" s="251" t="str">
        <f t="shared" si="102"/>
        <v/>
      </c>
      <c r="DT22" s="251" t="str">
        <f t="shared" si="103"/>
        <v/>
      </c>
      <c r="DU22" s="251" t="str">
        <f t="shared" si="104"/>
        <v/>
      </c>
      <c r="DV22" s="251" t="str">
        <f t="shared" si="105"/>
        <v/>
      </c>
      <c r="DW22" s="251" t="str">
        <f t="shared" si="106"/>
        <v/>
      </c>
      <c r="DX22" s="251" t="str">
        <f t="shared" si="107"/>
        <v/>
      </c>
      <c r="DY22" s="251" t="str">
        <f t="shared" si="108"/>
        <v/>
      </c>
      <c r="DZ22" s="251" t="str">
        <f t="shared" si="109"/>
        <v/>
      </c>
      <c r="EA22" s="251" t="str">
        <f t="shared" si="110"/>
        <v/>
      </c>
      <c r="EB22" s="251" t="str">
        <f t="shared" si="111"/>
        <v/>
      </c>
      <c r="EC22" s="251" t="str">
        <f t="shared" si="112"/>
        <v/>
      </c>
      <c r="ED22" s="251" t="str">
        <f t="shared" si="113"/>
        <v/>
      </c>
      <c r="EE22" s="251" t="str">
        <f t="shared" si="114"/>
        <v/>
      </c>
      <c r="EF22" s="251" t="str">
        <f t="shared" si="115"/>
        <v/>
      </c>
      <c r="EG22" s="251" t="str">
        <f t="shared" si="116"/>
        <v/>
      </c>
      <c r="EH22" s="251" t="str">
        <f t="shared" si="117"/>
        <v/>
      </c>
      <c r="EI22" s="251" t="str">
        <f t="shared" si="118"/>
        <v/>
      </c>
      <c r="EJ22" s="251" t="str">
        <f t="shared" si="119"/>
        <v/>
      </c>
      <c r="EK22" s="251" t="str">
        <f t="shared" si="120"/>
        <v/>
      </c>
      <c r="EL22" s="251" t="str">
        <f t="shared" si="121"/>
        <v/>
      </c>
      <c r="EM22" s="251" t="str">
        <f t="shared" si="122"/>
        <v/>
      </c>
      <c r="EN22" s="251" t="str">
        <f t="shared" si="123"/>
        <v/>
      </c>
      <c r="EO22" s="251" t="str">
        <f t="shared" si="124"/>
        <v/>
      </c>
      <c r="EP22" s="251" t="str">
        <f t="shared" si="125"/>
        <v/>
      </c>
      <c r="EQ22" s="251" t="str">
        <f t="shared" si="126"/>
        <v/>
      </c>
      <c r="ER22" s="251" t="str">
        <f t="shared" si="127"/>
        <v/>
      </c>
      <c r="ES22" s="251" t="str">
        <f t="shared" si="128"/>
        <v/>
      </c>
      <c r="ET22" s="251" t="str">
        <f t="shared" si="129"/>
        <v/>
      </c>
      <c r="EU22" s="251" t="str">
        <f t="shared" si="130"/>
        <v/>
      </c>
      <c r="EV22" s="251" t="str">
        <f t="shared" si="131"/>
        <v/>
      </c>
      <c r="EW22" s="251" t="str">
        <f t="shared" si="132"/>
        <v/>
      </c>
      <c r="EX22" s="251" t="str">
        <f t="shared" si="133"/>
        <v/>
      </c>
      <c r="EY22" s="251" t="str">
        <f t="shared" si="134"/>
        <v/>
      </c>
      <c r="EZ22" s="251" t="str">
        <f t="shared" si="135"/>
        <v/>
      </c>
      <c r="FA22" s="251" t="str">
        <f t="shared" si="136"/>
        <v/>
      </c>
      <c r="FB22" s="251" t="str">
        <f t="shared" si="137"/>
        <v/>
      </c>
      <c r="FC22" s="251" t="str">
        <f t="shared" si="138"/>
        <v/>
      </c>
      <c r="FD22" s="251" t="str">
        <f t="shared" si="139"/>
        <v/>
      </c>
      <c r="FE22" s="251" t="str">
        <f t="shared" si="140"/>
        <v/>
      </c>
      <c r="FF22" s="251" t="str">
        <f t="shared" si="141"/>
        <v/>
      </c>
      <c r="FG22" s="251" t="str">
        <f t="shared" si="142"/>
        <v/>
      </c>
      <c r="FH22" s="251" t="str">
        <f t="shared" si="143"/>
        <v/>
      </c>
      <c r="FI22" s="251" t="str">
        <f t="shared" si="144"/>
        <v/>
      </c>
      <c r="FJ22" s="251" t="str">
        <f t="shared" si="145"/>
        <v/>
      </c>
      <c r="FK22" s="251" t="str">
        <f t="shared" si="146"/>
        <v/>
      </c>
      <c r="FL22" s="251" t="str">
        <f t="shared" si="147"/>
        <v/>
      </c>
      <c r="FM22" s="251" t="str">
        <f t="shared" si="148"/>
        <v/>
      </c>
      <c r="FN22" s="251" t="str">
        <f t="shared" si="149"/>
        <v/>
      </c>
      <c r="FO22" s="251" t="str">
        <f t="shared" si="150"/>
        <v/>
      </c>
      <c r="FP22" s="251" t="str">
        <f t="shared" si="151"/>
        <v/>
      </c>
      <c r="FQ22" s="251" t="str">
        <f t="shared" si="152"/>
        <v/>
      </c>
      <c r="FR22" s="251" t="str">
        <f t="shared" si="153"/>
        <v/>
      </c>
      <c r="FS22" s="251" t="str">
        <f t="shared" si="154"/>
        <v/>
      </c>
      <c r="FT22" s="251" t="str">
        <f t="shared" si="155"/>
        <v/>
      </c>
      <c r="FU22" s="251" t="str">
        <f t="shared" si="156"/>
        <v/>
      </c>
      <c r="FV22" s="251" t="str">
        <f t="shared" si="157"/>
        <v/>
      </c>
      <c r="FW22" s="251" t="str">
        <f t="shared" si="158"/>
        <v/>
      </c>
      <c r="FX22" s="251" t="str">
        <f t="shared" si="159"/>
        <v/>
      </c>
      <c r="FY22" s="251" t="str">
        <f t="shared" si="160"/>
        <v/>
      </c>
      <c r="FZ22" s="251" t="str">
        <f t="shared" si="161"/>
        <v/>
      </c>
      <c r="GA22" s="251" t="str">
        <f t="shared" si="162"/>
        <v/>
      </c>
      <c r="GB22" s="251" t="str">
        <f t="shared" si="163"/>
        <v/>
      </c>
      <c r="GC22" s="251">
        <f t="shared" si="164"/>
        <v>7690</v>
      </c>
      <c r="GD22" s="251" t="str">
        <f t="shared" si="165"/>
        <v/>
      </c>
      <c r="GE22" s="251" t="str">
        <f t="shared" si="166"/>
        <v/>
      </c>
      <c r="GF22" s="251" t="str">
        <f t="shared" si="167"/>
        <v/>
      </c>
      <c r="GG22" s="251" t="str">
        <f t="shared" si="168"/>
        <v/>
      </c>
      <c r="GH22" s="251" t="str">
        <f t="shared" si="169"/>
        <v/>
      </c>
      <c r="GI22" s="251" t="str">
        <f t="shared" si="170"/>
        <v/>
      </c>
      <c r="GJ22" s="251" t="str">
        <f t="shared" si="171"/>
        <v/>
      </c>
      <c r="GK22" s="251" t="str">
        <f t="shared" si="172"/>
        <v/>
      </c>
      <c r="GL22" s="251" t="str">
        <f t="shared" si="173"/>
        <v/>
      </c>
      <c r="GM22" s="251" t="str">
        <f t="shared" si="174"/>
        <v/>
      </c>
      <c r="GN22" s="251" t="str">
        <f t="shared" si="175"/>
        <v/>
      </c>
      <c r="GO22" s="251" t="str">
        <f t="shared" si="176"/>
        <v/>
      </c>
      <c r="GP22" s="251" t="str">
        <f t="shared" si="177"/>
        <v/>
      </c>
      <c r="GQ22" s="251" t="str">
        <f t="shared" si="178"/>
        <v/>
      </c>
      <c r="GR22" s="251" t="str">
        <f t="shared" si="179"/>
        <v/>
      </c>
      <c r="GS22" s="251" t="str">
        <f t="shared" si="180"/>
        <v/>
      </c>
      <c r="GT22" s="251" t="str">
        <f t="shared" si="181"/>
        <v/>
      </c>
      <c r="GU22" s="251" t="str">
        <f t="shared" si="182"/>
        <v/>
      </c>
      <c r="GV22" s="251" t="str">
        <f t="shared" si="183"/>
        <v/>
      </c>
      <c r="GW22" s="251" t="str">
        <f t="shared" si="184"/>
        <v/>
      </c>
      <c r="GX22" s="251" t="str">
        <f t="shared" si="185"/>
        <v/>
      </c>
      <c r="GY22" s="251" t="str">
        <f t="shared" si="186"/>
        <v/>
      </c>
      <c r="GZ22" s="251" t="str">
        <f t="shared" si="187"/>
        <v/>
      </c>
      <c r="HA22" s="251" t="str">
        <f t="shared" si="188"/>
        <v/>
      </c>
      <c r="HB22" s="251" t="str">
        <f t="shared" si="189"/>
        <v/>
      </c>
      <c r="HC22" s="251" t="str">
        <f t="shared" si="190"/>
        <v/>
      </c>
      <c r="HD22" s="251" t="str">
        <f t="shared" si="191"/>
        <v/>
      </c>
      <c r="HE22" s="251" t="str">
        <f t="shared" si="192"/>
        <v/>
      </c>
      <c r="HF22" s="251" t="str">
        <f t="shared" si="193"/>
        <v/>
      </c>
      <c r="HG22" s="251" t="str">
        <f t="shared" si="194"/>
        <v/>
      </c>
      <c r="HH22" s="251" t="str">
        <f t="shared" si="195"/>
        <v/>
      </c>
      <c r="HI22" s="251" t="str">
        <f t="shared" si="196"/>
        <v/>
      </c>
      <c r="HJ22" s="251" t="str">
        <f t="shared" si="197"/>
        <v/>
      </c>
      <c r="HK22" s="251" t="str">
        <f t="shared" si="198"/>
        <v/>
      </c>
      <c r="HL22" s="251" t="str">
        <f t="shared" si="199"/>
        <v/>
      </c>
      <c r="HM22" s="251" t="str">
        <f t="shared" si="200"/>
        <v/>
      </c>
      <c r="HN22" s="251" t="str">
        <f t="shared" si="201"/>
        <v/>
      </c>
      <c r="HO22" s="251" t="str">
        <f t="shared" si="202"/>
        <v/>
      </c>
      <c r="HP22" s="251" t="str">
        <f t="shared" si="203"/>
        <v/>
      </c>
      <c r="HQ22" s="251" t="str">
        <f t="shared" si="204"/>
        <v/>
      </c>
      <c r="HR22" s="251" t="str">
        <f t="shared" si="205"/>
        <v/>
      </c>
      <c r="HS22" s="251" t="str">
        <f t="shared" si="206"/>
        <v/>
      </c>
      <c r="HT22" s="251" t="str">
        <f t="shared" si="207"/>
        <v/>
      </c>
      <c r="HU22" s="251" t="str">
        <f t="shared" si="208"/>
        <v/>
      </c>
      <c r="HV22" s="251" t="str">
        <f t="shared" si="209"/>
        <v/>
      </c>
      <c r="HW22" s="251" t="str">
        <f t="shared" si="210"/>
        <v/>
      </c>
      <c r="HX22" s="251" t="str">
        <f t="shared" si="211"/>
        <v/>
      </c>
      <c r="HY22" s="251" t="str">
        <f t="shared" si="212"/>
        <v/>
      </c>
      <c r="HZ22" s="251" t="str">
        <f t="shared" si="213"/>
        <v/>
      </c>
      <c r="IA22" s="251" t="str">
        <f t="shared" si="214"/>
        <v/>
      </c>
      <c r="IB22" s="251" t="str">
        <f t="shared" si="215"/>
        <v/>
      </c>
      <c r="IC22" s="251" t="str">
        <f t="shared" si="216"/>
        <v/>
      </c>
      <c r="ID22" s="251" t="str">
        <f t="shared" si="217"/>
        <v/>
      </c>
      <c r="IE22" s="251" t="str">
        <f t="shared" si="218"/>
        <v/>
      </c>
      <c r="IF22" s="251">
        <f t="shared" si="219"/>
        <v>10</v>
      </c>
      <c r="IG22" s="251" t="str">
        <f t="shared" si="220"/>
        <v/>
      </c>
      <c r="IH22" s="251" t="str">
        <f t="shared" si="221"/>
        <v/>
      </c>
      <c r="II22" s="251" t="str">
        <f t="shared" si="222"/>
        <v/>
      </c>
      <c r="IJ22" s="251" t="str">
        <f t="shared" si="223"/>
        <v/>
      </c>
      <c r="IK22" s="251" t="str">
        <f t="shared" si="224"/>
        <v/>
      </c>
      <c r="IL22" s="251" t="str">
        <f t="shared" si="225"/>
        <v/>
      </c>
      <c r="IM22" s="251" t="str">
        <f t="shared" si="226"/>
        <v/>
      </c>
      <c r="IN22" s="251" t="str">
        <f t="shared" si="227"/>
        <v/>
      </c>
      <c r="IO22" s="251" t="str">
        <f t="shared" si="228"/>
        <v/>
      </c>
      <c r="IP22" s="251" t="str">
        <f t="shared" si="229"/>
        <v/>
      </c>
      <c r="IQ22" s="251" t="str">
        <f t="shared" si="230"/>
        <v/>
      </c>
      <c r="IR22" s="251" t="str">
        <f t="shared" si="231"/>
        <v/>
      </c>
      <c r="IS22" s="251" t="str">
        <f t="shared" si="232"/>
        <v/>
      </c>
      <c r="IT22" s="251" t="str">
        <f t="shared" si="233"/>
        <v/>
      </c>
      <c r="IU22" s="251" t="str">
        <f t="shared" si="234"/>
        <v/>
      </c>
      <c r="IV22" s="251" t="str">
        <f t="shared" si="235"/>
        <v/>
      </c>
      <c r="IW22" s="251" t="str">
        <f t="shared" si="236"/>
        <v/>
      </c>
      <c r="IX22" s="251" t="str">
        <f t="shared" si="237"/>
        <v/>
      </c>
      <c r="IY22" s="251" t="str">
        <f t="shared" si="238"/>
        <v/>
      </c>
      <c r="IZ22" s="251" t="str">
        <f t="shared" si="239"/>
        <v/>
      </c>
      <c r="JA22" s="251" t="str">
        <f t="shared" si="240"/>
        <v/>
      </c>
      <c r="JB22" s="251" t="str">
        <f t="shared" si="241"/>
        <v/>
      </c>
      <c r="JC22" s="251" t="str">
        <f t="shared" si="242"/>
        <v/>
      </c>
      <c r="JD22" s="251" t="str">
        <f t="shared" si="243"/>
        <v/>
      </c>
      <c r="JE22" s="251" t="str">
        <f t="shared" si="244"/>
        <v/>
      </c>
      <c r="JF22" s="251" t="str">
        <f t="shared" si="245"/>
        <v/>
      </c>
      <c r="JG22" s="251" t="str">
        <f t="shared" si="246"/>
        <v/>
      </c>
      <c r="JH22" s="251" t="str">
        <f t="shared" si="247"/>
        <v/>
      </c>
      <c r="JI22" s="1297" t="str">
        <f t="shared" si="248"/>
        <v/>
      </c>
      <c r="JJ22" s="1297">
        <f t="shared" si="249"/>
        <v>10</v>
      </c>
      <c r="JK22" s="1297" t="str">
        <f t="shared" si="250"/>
        <v/>
      </c>
      <c r="JL22" s="1297" t="str">
        <f t="shared" si="251"/>
        <v/>
      </c>
      <c r="JM22" s="1297" t="str">
        <f t="shared" si="252"/>
        <v/>
      </c>
      <c r="JN22" s="1297" t="str">
        <f t="shared" si="253"/>
        <v/>
      </c>
      <c r="JO22" s="1297" t="str">
        <f t="shared" si="254"/>
        <v/>
      </c>
      <c r="JP22" s="1297" t="str">
        <f t="shared" si="255"/>
        <v/>
      </c>
      <c r="JQ22" s="1297" t="str">
        <f t="shared" si="256"/>
        <v/>
      </c>
      <c r="JR22" s="1297" t="str">
        <f t="shared" si="257"/>
        <v/>
      </c>
      <c r="JS22" s="1297" t="str">
        <f t="shared" si="258"/>
        <v/>
      </c>
      <c r="JT22" s="1297" t="str">
        <f t="shared" si="259"/>
        <v/>
      </c>
      <c r="JU22" s="1297" t="str">
        <f t="shared" si="260"/>
        <v/>
      </c>
      <c r="JV22" s="1297" t="str">
        <f t="shared" si="261"/>
        <v/>
      </c>
      <c r="JW22" s="1297" t="str">
        <f t="shared" si="262"/>
        <v/>
      </c>
      <c r="JX22" s="1297" t="str">
        <f t="shared" si="263"/>
        <v/>
      </c>
      <c r="JY22" s="1297" t="str">
        <f t="shared" si="264"/>
        <v/>
      </c>
      <c r="JZ22" s="1297" t="str">
        <f t="shared" si="265"/>
        <v/>
      </c>
      <c r="KA22" s="1297" t="str">
        <f t="shared" si="266"/>
        <v/>
      </c>
      <c r="KB22" s="1297" t="str">
        <f t="shared" si="267"/>
        <v/>
      </c>
      <c r="KC22" s="1297" t="str">
        <f t="shared" si="268"/>
        <v/>
      </c>
      <c r="KD22" s="1297" t="str">
        <f t="shared" si="269"/>
        <v/>
      </c>
      <c r="KE22" s="1297" t="str">
        <f t="shared" si="270"/>
        <v/>
      </c>
      <c r="KF22" s="1297" t="str">
        <f t="shared" si="271"/>
        <v/>
      </c>
      <c r="KG22" s="1297" t="str">
        <f t="shared" si="272"/>
        <v/>
      </c>
      <c r="KH22" s="1297" t="str">
        <f t="shared" si="273"/>
        <v/>
      </c>
      <c r="KI22" s="1297" t="str">
        <f t="shared" si="274"/>
        <v/>
      </c>
      <c r="KJ22" s="1297" t="str">
        <f t="shared" si="275"/>
        <v/>
      </c>
      <c r="KK22" s="1297" t="str">
        <f t="shared" si="276"/>
        <v/>
      </c>
      <c r="KL22" s="1297" t="str">
        <f t="shared" si="277"/>
        <v/>
      </c>
      <c r="KM22" s="1297" t="str">
        <f t="shared" si="278"/>
        <v/>
      </c>
      <c r="KN22" s="1297" t="str">
        <f t="shared" si="279"/>
        <v/>
      </c>
      <c r="KO22" s="1297" t="str">
        <f t="shared" si="280"/>
        <v/>
      </c>
      <c r="KP22" s="1297" t="str">
        <f t="shared" si="281"/>
        <v/>
      </c>
      <c r="KQ22" s="1297" t="str">
        <f t="shared" si="282"/>
        <v/>
      </c>
      <c r="KR22" s="1297" t="str">
        <f t="shared" si="283"/>
        <v/>
      </c>
      <c r="KS22" s="1297" t="str">
        <f t="shared" si="284"/>
        <v/>
      </c>
      <c r="KT22" s="1297" t="str">
        <f t="shared" si="285"/>
        <v/>
      </c>
      <c r="KU22" s="1297" t="str">
        <f t="shared" si="286"/>
        <v/>
      </c>
      <c r="KV22" s="1297" t="str">
        <f t="shared" si="287"/>
        <v/>
      </c>
      <c r="KW22" s="1297" t="str">
        <f t="shared" si="288"/>
        <v/>
      </c>
      <c r="KX22" s="1297" t="str">
        <f t="shared" si="289"/>
        <v/>
      </c>
      <c r="KY22" s="1297" t="str">
        <f t="shared" si="290"/>
        <v/>
      </c>
      <c r="KZ22" s="1297" t="str">
        <f t="shared" si="291"/>
        <v/>
      </c>
      <c r="LA22" s="1297" t="str">
        <f t="shared" si="292"/>
        <v/>
      </c>
      <c r="LB22" s="1297" t="str">
        <f t="shared" si="293"/>
        <v/>
      </c>
      <c r="LC22" s="1297">
        <f t="shared" si="294"/>
        <v>10</v>
      </c>
      <c r="LD22" s="1297" t="str">
        <f t="shared" si="295"/>
        <v/>
      </c>
      <c r="LE22" s="1297" t="str">
        <f t="shared" si="296"/>
        <v/>
      </c>
      <c r="LF22" s="1297" t="str">
        <f t="shared" si="297"/>
        <v/>
      </c>
      <c r="LG22" s="1297" t="str">
        <f t="shared" si="298"/>
        <v/>
      </c>
      <c r="LH22" s="1297" t="str">
        <f t="shared" si="299"/>
        <v/>
      </c>
      <c r="LI22" s="1297" t="str">
        <f t="shared" si="300"/>
        <v/>
      </c>
      <c r="LJ22" s="1297" t="str">
        <f t="shared" si="301"/>
        <v/>
      </c>
      <c r="LK22" s="1297" t="str">
        <f t="shared" si="302"/>
        <v/>
      </c>
      <c r="LL22" s="1297" t="str">
        <f t="shared" si="303"/>
        <v/>
      </c>
      <c r="LM22" s="1297" t="str">
        <f t="shared" si="304"/>
        <v/>
      </c>
      <c r="LN22" s="1297" t="str">
        <f t="shared" si="305"/>
        <v/>
      </c>
      <c r="LO22" s="1297" t="str">
        <f t="shared" si="306"/>
        <v/>
      </c>
      <c r="LP22" s="1297" t="str">
        <f t="shared" si="307"/>
        <v/>
      </c>
      <c r="LQ22" s="1297" t="str">
        <f t="shared" si="308"/>
        <v/>
      </c>
      <c r="LR22" s="1297" t="str">
        <f t="shared" si="309"/>
        <v/>
      </c>
      <c r="LS22" s="1297" t="str">
        <f t="shared" si="310"/>
        <v/>
      </c>
      <c r="LT22" s="1297" t="str">
        <f t="shared" si="311"/>
        <v/>
      </c>
      <c r="LU22" s="1297" t="str">
        <f t="shared" si="312"/>
        <v/>
      </c>
      <c r="LV22" s="1297" t="str">
        <f t="shared" si="313"/>
        <v/>
      </c>
      <c r="LW22" s="1297" t="str">
        <f t="shared" si="314"/>
        <v/>
      </c>
      <c r="LX22" s="1297" t="str">
        <f t="shared" si="315"/>
        <v/>
      </c>
      <c r="LY22" s="1297" t="str">
        <f t="shared" si="316"/>
        <v/>
      </c>
      <c r="LZ22" s="1297" t="str">
        <f t="shared" si="317"/>
        <v/>
      </c>
      <c r="MA22" s="1297" t="str">
        <f t="shared" si="318"/>
        <v/>
      </c>
      <c r="MB22" s="1297" t="str">
        <f t="shared" si="319"/>
        <v/>
      </c>
      <c r="MC22" s="1297" t="str">
        <f t="shared" si="320"/>
        <v/>
      </c>
      <c r="MD22" s="1297" t="str">
        <f t="shared" si="321"/>
        <v/>
      </c>
      <c r="ME22" s="1297" t="str">
        <f t="shared" si="322"/>
        <v/>
      </c>
      <c r="MF22" s="1297" t="str">
        <f t="shared" si="323"/>
        <v/>
      </c>
      <c r="MG22" s="1297" t="str">
        <f t="shared" si="324"/>
        <v/>
      </c>
      <c r="MH22" s="1297" t="str">
        <f t="shared" si="325"/>
        <v/>
      </c>
      <c r="MI22" s="1297" t="str">
        <f t="shared" si="326"/>
        <v/>
      </c>
      <c r="MJ22" s="1297" t="str">
        <f t="shared" si="327"/>
        <v/>
      </c>
      <c r="MK22" s="1297" t="str">
        <f t="shared" si="328"/>
        <v/>
      </c>
      <c r="ML22" s="1297" t="str">
        <f t="shared" si="329"/>
        <v/>
      </c>
      <c r="MM22" s="1297" t="str">
        <f t="shared" si="330"/>
        <v/>
      </c>
      <c r="MN22" s="1297" t="str">
        <f t="shared" si="331"/>
        <v/>
      </c>
      <c r="MO22" s="1297" t="str">
        <f t="shared" si="332"/>
        <v/>
      </c>
      <c r="MP22" s="1773" t="str">
        <f t="shared" si="333"/>
        <v/>
      </c>
      <c r="MQ22" s="1773" t="str">
        <f t="shared" si="334"/>
        <v/>
      </c>
      <c r="MR22" s="1773" t="str">
        <f t="shared" si="335"/>
        <v/>
      </c>
      <c r="MS22" s="1773" t="str">
        <f t="shared" si="336"/>
        <v/>
      </c>
      <c r="MT22" s="1773" t="str">
        <f t="shared" si="337"/>
        <v/>
      </c>
      <c r="MU22" s="251" t="str">
        <f t="shared" si="338"/>
        <v/>
      </c>
      <c r="MV22" s="251" t="str">
        <f t="shared" si="339"/>
        <v/>
      </c>
      <c r="MW22" s="251" t="str">
        <f t="shared" si="340"/>
        <v/>
      </c>
      <c r="MX22" s="251" t="str">
        <f t="shared" si="341"/>
        <v/>
      </c>
      <c r="MY22" s="251" t="str">
        <f t="shared" si="342"/>
        <v/>
      </c>
      <c r="MZ22" s="251" t="str">
        <f t="shared" si="343"/>
        <v/>
      </c>
      <c r="NA22" s="251" t="str">
        <f t="shared" si="344"/>
        <v/>
      </c>
      <c r="NB22" s="251" t="str">
        <f t="shared" si="345"/>
        <v/>
      </c>
      <c r="NC22" s="251" t="str">
        <f t="shared" si="346"/>
        <v/>
      </c>
      <c r="ND22" s="251" t="str">
        <f t="shared" si="347"/>
        <v/>
      </c>
      <c r="NE22" s="251" t="str">
        <f t="shared" si="348"/>
        <v/>
      </c>
      <c r="NF22" s="251" t="str">
        <f t="shared" si="349"/>
        <v/>
      </c>
      <c r="NG22" s="251" t="str">
        <f t="shared" si="350"/>
        <v/>
      </c>
      <c r="NH22" s="251" t="str">
        <f t="shared" si="351"/>
        <v/>
      </c>
      <c r="NI22" s="251" t="str">
        <f t="shared" si="352"/>
        <v/>
      </c>
      <c r="NJ22" s="251" t="str">
        <f t="shared" si="353"/>
        <v/>
      </c>
      <c r="NK22" s="251" t="str">
        <f t="shared" si="354"/>
        <v/>
      </c>
      <c r="NL22" s="251" t="str">
        <f t="shared" si="355"/>
        <v/>
      </c>
      <c r="NM22" s="251" t="str">
        <f t="shared" si="356"/>
        <v/>
      </c>
      <c r="NN22" s="251" t="str">
        <f t="shared" si="357"/>
        <v/>
      </c>
      <c r="NO22" s="1185">
        <f t="shared" si="358"/>
        <v>0</v>
      </c>
      <c r="NP22" s="1185">
        <f t="shared" si="359"/>
        <v>10</v>
      </c>
      <c r="NQ22" s="1185">
        <f t="shared" si="360"/>
        <v>0</v>
      </c>
      <c r="NR22" s="1185">
        <f t="shared" si="361"/>
        <v>0</v>
      </c>
      <c r="NS22" s="1185">
        <f t="shared" si="362"/>
        <v>0</v>
      </c>
      <c r="NT22" s="1185">
        <f t="shared" si="368"/>
        <v>0</v>
      </c>
      <c r="NU22" s="1185">
        <f t="shared" si="369"/>
        <v>0</v>
      </c>
      <c r="NV22" s="1185">
        <f t="shared" si="370"/>
        <v>0</v>
      </c>
      <c r="NW22" s="1185">
        <f t="shared" si="371"/>
        <v>0</v>
      </c>
      <c r="NX22" s="1185">
        <f t="shared" si="372"/>
        <v>0</v>
      </c>
      <c r="NY22" s="1185">
        <f t="shared" si="363"/>
        <v>0</v>
      </c>
      <c r="NZ22" s="1185">
        <f t="shared" si="364"/>
        <v>0</v>
      </c>
      <c r="OA22" s="1185">
        <f t="shared" si="365"/>
        <v>0</v>
      </c>
      <c r="OB22" s="1185">
        <f t="shared" si="366"/>
        <v>0</v>
      </c>
      <c r="OC22" s="1185">
        <f t="shared" si="367"/>
        <v>0</v>
      </c>
      <c r="OY22" s="1794" t="s">
        <v>1170</v>
      </c>
      <c r="OZ22" s="1798">
        <v>22</v>
      </c>
    </row>
    <row r="23" spans="1:416" ht="12" customHeight="1">
      <c r="A23" s="53" t="str">
        <f t="shared" si="0"/>
        <v/>
      </c>
      <c r="B23" s="782">
        <v>60</v>
      </c>
      <c r="C23" s="85">
        <v>2</v>
      </c>
      <c r="D23" s="1187">
        <v>2</v>
      </c>
      <c r="E23" s="86">
        <v>20</v>
      </c>
      <c r="F23" s="86">
        <v>1041</v>
      </c>
      <c r="G23" s="86">
        <v>926</v>
      </c>
      <c r="H23" s="86">
        <f t="shared" si="373"/>
        <v>916</v>
      </c>
      <c r="I23" s="86">
        <v>0</v>
      </c>
      <c r="J23" s="765">
        <f>IF(C23="",0,HLOOKUP(C23,'Part IV-Utility Allowances'!$I$11:$M$25,15))</f>
        <v>205</v>
      </c>
      <c r="K23" s="473"/>
      <c r="L23" s="330">
        <f t="shared" si="1"/>
        <v>711</v>
      </c>
      <c r="M23" s="330">
        <f t="shared" si="2"/>
        <v>14220</v>
      </c>
      <c r="N23" s="506" t="s">
        <v>7474</v>
      </c>
      <c r="O23" s="1134" t="s">
        <v>1259</v>
      </c>
      <c r="P23" s="506" t="s">
        <v>7678</v>
      </c>
      <c r="Q23" s="87" t="s">
        <v>7474</v>
      </c>
      <c r="R23" s="540"/>
      <c r="S23" s="541"/>
      <c r="T23" s="3758"/>
      <c r="U23" s="3759"/>
      <c r="V23" s="3759"/>
      <c r="W23" s="3760"/>
      <c r="X23" s="251" t="str">
        <f t="shared" si="3"/>
        <v/>
      </c>
      <c r="Y23" s="251" t="str">
        <f t="shared" si="4"/>
        <v/>
      </c>
      <c r="Z23" s="251" t="str">
        <f t="shared" si="5"/>
        <v/>
      </c>
      <c r="AA23" s="251" t="str">
        <f t="shared" si="6"/>
        <v/>
      </c>
      <c r="AB23" s="251" t="str">
        <f t="shared" si="7"/>
        <v/>
      </c>
      <c r="AC23" s="251" t="str">
        <f t="shared" si="8"/>
        <v/>
      </c>
      <c r="AD23" s="251" t="str">
        <f t="shared" si="9"/>
        <v/>
      </c>
      <c r="AE23" s="251" t="str">
        <f t="shared" si="10"/>
        <v/>
      </c>
      <c r="AF23" s="251" t="str">
        <f t="shared" si="11"/>
        <v/>
      </c>
      <c r="AG23" s="251" t="str">
        <f t="shared" si="12"/>
        <v/>
      </c>
      <c r="AH23" s="251" t="str">
        <f t="shared" si="13"/>
        <v/>
      </c>
      <c r="AI23" s="251" t="str">
        <f t="shared" si="14"/>
        <v/>
      </c>
      <c r="AJ23" s="251">
        <f t="shared" si="15"/>
        <v>20</v>
      </c>
      <c r="AK23" s="251" t="str">
        <f t="shared" si="16"/>
        <v/>
      </c>
      <c r="AL23" s="251" t="str">
        <f t="shared" si="17"/>
        <v/>
      </c>
      <c r="AM23" s="251" t="str">
        <f t="shared" si="18"/>
        <v/>
      </c>
      <c r="AN23" s="251" t="str">
        <f t="shared" si="19"/>
        <v/>
      </c>
      <c r="AO23" s="251" t="str">
        <f t="shared" si="20"/>
        <v/>
      </c>
      <c r="AP23" s="251" t="str">
        <f t="shared" si="21"/>
        <v/>
      </c>
      <c r="AQ23" s="251" t="str">
        <f t="shared" si="22"/>
        <v/>
      </c>
      <c r="AR23" s="251" t="str">
        <f t="shared" si="23"/>
        <v/>
      </c>
      <c r="AS23" s="251" t="str">
        <f t="shared" si="24"/>
        <v/>
      </c>
      <c r="AT23" s="251" t="str">
        <f t="shared" si="25"/>
        <v/>
      </c>
      <c r="AU23" s="251" t="str">
        <f t="shared" si="26"/>
        <v/>
      </c>
      <c r="AV23" s="251" t="str">
        <f t="shared" si="27"/>
        <v/>
      </c>
      <c r="AW23" s="251" t="str">
        <f t="shared" si="28"/>
        <v/>
      </c>
      <c r="AX23" s="251" t="str">
        <f t="shared" si="29"/>
        <v/>
      </c>
      <c r="AY23" s="251" t="str">
        <f t="shared" si="30"/>
        <v/>
      </c>
      <c r="AZ23" s="251" t="str">
        <f t="shared" si="31"/>
        <v/>
      </c>
      <c r="BA23" s="251" t="str">
        <f t="shared" si="32"/>
        <v/>
      </c>
      <c r="BB23" s="251" t="str">
        <f t="shared" si="33"/>
        <v/>
      </c>
      <c r="BC23" s="251" t="str">
        <f t="shared" si="34"/>
        <v/>
      </c>
      <c r="BD23" s="251" t="str">
        <f t="shared" si="35"/>
        <v/>
      </c>
      <c r="BE23" s="251" t="str">
        <f t="shared" si="36"/>
        <v/>
      </c>
      <c r="BF23" s="251" t="str">
        <f t="shared" si="37"/>
        <v/>
      </c>
      <c r="BG23" s="251" t="str">
        <f t="shared" si="38"/>
        <v/>
      </c>
      <c r="BH23" s="251" t="str">
        <f t="shared" si="39"/>
        <v/>
      </c>
      <c r="BI23" s="251" t="str">
        <f t="shared" si="40"/>
        <v/>
      </c>
      <c r="BJ23" s="251" t="str">
        <f t="shared" si="41"/>
        <v/>
      </c>
      <c r="BK23" s="251" t="str">
        <f t="shared" si="42"/>
        <v/>
      </c>
      <c r="BL23" s="251" t="str">
        <f t="shared" si="43"/>
        <v/>
      </c>
      <c r="BM23" s="251" t="str">
        <f t="shared" si="44"/>
        <v/>
      </c>
      <c r="BN23" s="251" t="str">
        <f t="shared" si="45"/>
        <v/>
      </c>
      <c r="BO23" s="251" t="str">
        <f t="shared" si="46"/>
        <v/>
      </c>
      <c r="BP23" s="251" t="str">
        <f t="shared" si="47"/>
        <v/>
      </c>
      <c r="BQ23" s="251" t="str">
        <f t="shared" si="48"/>
        <v/>
      </c>
      <c r="BR23" s="251" t="str">
        <f t="shared" si="49"/>
        <v/>
      </c>
      <c r="BS23" s="251" t="str">
        <f t="shared" si="50"/>
        <v/>
      </c>
      <c r="BT23" s="251" t="str">
        <f t="shared" si="51"/>
        <v/>
      </c>
      <c r="BU23" s="251" t="str">
        <f t="shared" si="52"/>
        <v/>
      </c>
      <c r="BV23" s="251" t="str">
        <f t="shared" si="53"/>
        <v/>
      </c>
      <c r="BW23" s="251" t="str">
        <f t="shared" si="54"/>
        <v/>
      </c>
      <c r="BX23" s="251" t="str">
        <f t="shared" si="55"/>
        <v/>
      </c>
      <c r="BY23" s="251" t="str">
        <f t="shared" si="56"/>
        <v/>
      </c>
      <c r="BZ23" s="251" t="str">
        <f t="shared" si="57"/>
        <v/>
      </c>
      <c r="CA23" s="251" t="str">
        <f t="shared" si="58"/>
        <v/>
      </c>
      <c r="CB23" s="251" t="str">
        <f t="shared" si="59"/>
        <v/>
      </c>
      <c r="CC23" s="251" t="str">
        <f t="shared" si="60"/>
        <v/>
      </c>
      <c r="CD23" s="251" t="str">
        <f t="shared" si="61"/>
        <v/>
      </c>
      <c r="CE23" s="251" t="str">
        <f t="shared" si="62"/>
        <v/>
      </c>
      <c r="CF23" s="251" t="str">
        <f t="shared" si="63"/>
        <v/>
      </c>
      <c r="CG23" s="251" t="str">
        <f t="shared" si="64"/>
        <v/>
      </c>
      <c r="CH23" s="251" t="str">
        <f t="shared" si="65"/>
        <v/>
      </c>
      <c r="CI23" s="251" t="str">
        <f t="shared" si="66"/>
        <v/>
      </c>
      <c r="CJ23" s="251" t="str">
        <f t="shared" si="67"/>
        <v/>
      </c>
      <c r="CK23" s="251" t="str">
        <f t="shared" si="68"/>
        <v/>
      </c>
      <c r="CL23" s="251" t="str">
        <f t="shared" si="69"/>
        <v/>
      </c>
      <c r="CM23" s="251" t="str">
        <f t="shared" si="70"/>
        <v/>
      </c>
      <c r="CN23" s="251" t="str">
        <f t="shared" si="71"/>
        <v/>
      </c>
      <c r="CO23" s="251" t="str">
        <f t="shared" si="72"/>
        <v/>
      </c>
      <c r="CP23" s="251" t="str">
        <f t="shared" si="73"/>
        <v/>
      </c>
      <c r="CQ23" s="251" t="str">
        <f t="shared" si="74"/>
        <v/>
      </c>
      <c r="CR23" s="251" t="str">
        <f t="shared" si="75"/>
        <v/>
      </c>
      <c r="CS23" s="251" t="str">
        <f t="shared" si="76"/>
        <v/>
      </c>
      <c r="CT23" s="251" t="str">
        <f t="shared" si="77"/>
        <v/>
      </c>
      <c r="CU23" s="251" t="str">
        <f t="shared" si="78"/>
        <v/>
      </c>
      <c r="CV23" s="251" t="str">
        <f t="shared" si="79"/>
        <v/>
      </c>
      <c r="CW23" s="251" t="str">
        <f t="shared" si="80"/>
        <v/>
      </c>
      <c r="CX23" s="251" t="str">
        <f t="shared" si="81"/>
        <v/>
      </c>
      <c r="CY23" s="251" t="str">
        <f t="shared" si="82"/>
        <v/>
      </c>
      <c r="CZ23" s="251" t="str">
        <f t="shared" si="83"/>
        <v/>
      </c>
      <c r="DA23" s="251" t="str">
        <f t="shared" si="84"/>
        <v/>
      </c>
      <c r="DB23" s="251" t="str">
        <f t="shared" si="85"/>
        <v/>
      </c>
      <c r="DC23" s="251" t="str">
        <f t="shared" si="86"/>
        <v/>
      </c>
      <c r="DD23" s="251" t="str">
        <f t="shared" si="87"/>
        <v/>
      </c>
      <c r="DE23" s="251" t="str">
        <f t="shared" si="88"/>
        <v/>
      </c>
      <c r="DF23" s="251" t="str">
        <f t="shared" si="89"/>
        <v/>
      </c>
      <c r="DG23" s="251" t="str">
        <f t="shared" si="90"/>
        <v/>
      </c>
      <c r="DH23" s="251" t="str">
        <f t="shared" si="91"/>
        <v/>
      </c>
      <c r="DI23" s="251" t="str">
        <f t="shared" si="92"/>
        <v/>
      </c>
      <c r="DJ23" s="251" t="str">
        <f t="shared" si="93"/>
        <v/>
      </c>
      <c r="DK23" s="251" t="str">
        <f t="shared" si="94"/>
        <v/>
      </c>
      <c r="DL23" s="251" t="str">
        <f t="shared" si="95"/>
        <v/>
      </c>
      <c r="DM23" s="251" t="str">
        <f t="shared" si="96"/>
        <v/>
      </c>
      <c r="DN23" s="251" t="str">
        <f t="shared" si="97"/>
        <v/>
      </c>
      <c r="DO23" s="251" t="str">
        <f t="shared" si="98"/>
        <v/>
      </c>
      <c r="DP23" s="251" t="str">
        <f t="shared" si="99"/>
        <v/>
      </c>
      <c r="DQ23" s="251" t="str">
        <f t="shared" si="100"/>
        <v/>
      </c>
      <c r="DR23" s="251" t="str">
        <f t="shared" si="101"/>
        <v/>
      </c>
      <c r="DS23" s="251" t="str">
        <f t="shared" si="102"/>
        <v/>
      </c>
      <c r="DT23" s="251" t="str">
        <f t="shared" si="103"/>
        <v/>
      </c>
      <c r="DU23" s="251" t="str">
        <f t="shared" si="104"/>
        <v/>
      </c>
      <c r="DV23" s="251" t="str">
        <f t="shared" si="105"/>
        <v/>
      </c>
      <c r="DW23" s="251" t="str">
        <f t="shared" si="106"/>
        <v/>
      </c>
      <c r="DX23" s="251" t="str">
        <f t="shared" si="107"/>
        <v/>
      </c>
      <c r="DY23" s="251" t="str">
        <f t="shared" si="108"/>
        <v/>
      </c>
      <c r="DZ23" s="251" t="str">
        <f t="shared" si="109"/>
        <v/>
      </c>
      <c r="EA23" s="251" t="str">
        <f t="shared" si="110"/>
        <v/>
      </c>
      <c r="EB23" s="251" t="str">
        <f t="shared" si="111"/>
        <v/>
      </c>
      <c r="EC23" s="251" t="str">
        <f t="shared" si="112"/>
        <v/>
      </c>
      <c r="ED23" s="251" t="str">
        <f t="shared" si="113"/>
        <v/>
      </c>
      <c r="EE23" s="251" t="str">
        <f t="shared" si="114"/>
        <v/>
      </c>
      <c r="EF23" s="251" t="str">
        <f t="shared" si="115"/>
        <v/>
      </c>
      <c r="EG23" s="251" t="str">
        <f t="shared" si="116"/>
        <v/>
      </c>
      <c r="EH23" s="251" t="str">
        <f t="shared" si="117"/>
        <v/>
      </c>
      <c r="EI23" s="251" t="str">
        <f t="shared" si="118"/>
        <v/>
      </c>
      <c r="EJ23" s="251" t="str">
        <f t="shared" si="119"/>
        <v/>
      </c>
      <c r="EK23" s="251" t="str">
        <f t="shared" si="120"/>
        <v/>
      </c>
      <c r="EL23" s="251" t="str">
        <f t="shared" si="121"/>
        <v/>
      </c>
      <c r="EM23" s="251" t="str">
        <f t="shared" si="122"/>
        <v/>
      </c>
      <c r="EN23" s="251" t="str">
        <f t="shared" si="123"/>
        <v/>
      </c>
      <c r="EO23" s="251" t="str">
        <f t="shared" si="124"/>
        <v/>
      </c>
      <c r="EP23" s="251" t="str">
        <f t="shared" si="125"/>
        <v/>
      </c>
      <c r="EQ23" s="251" t="str">
        <f t="shared" si="126"/>
        <v/>
      </c>
      <c r="ER23" s="251" t="str">
        <f t="shared" si="127"/>
        <v/>
      </c>
      <c r="ES23" s="251" t="str">
        <f t="shared" si="128"/>
        <v/>
      </c>
      <c r="ET23" s="251" t="str">
        <f t="shared" si="129"/>
        <v/>
      </c>
      <c r="EU23" s="251" t="str">
        <f t="shared" si="130"/>
        <v/>
      </c>
      <c r="EV23" s="251" t="str">
        <f t="shared" si="131"/>
        <v/>
      </c>
      <c r="EW23" s="251" t="str">
        <f t="shared" si="132"/>
        <v/>
      </c>
      <c r="EX23" s="251" t="str">
        <f t="shared" si="133"/>
        <v/>
      </c>
      <c r="EY23" s="251" t="str">
        <f t="shared" si="134"/>
        <v/>
      </c>
      <c r="EZ23" s="251" t="str">
        <f t="shared" si="135"/>
        <v/>
      </c>
      <c r="FA23" s="251" t="str">
        <f t="shared" si="136"/>
        <v/>
      </c>
      <c r="FB23" s="251" t="str">
        <f t="shared" si="137"/>
        <v/>
      </c>
      <c r="FC23" s="251" t="str">
        <f t="shared" si="138"/>
        <v/>
      </c>
      <c r="FD23" s="251" t="str">
        <f t="shared" si="139"/>
        <v/>
      </c>
      <c r="FE23" s="251" t="str">
        <f t="shared" si="140"/>
        <v/>
      </c>
      <c r="FF23" s="251" t="str">
        <f t="shared" si="141"/>
        <v/>
      </c>
      <c r="FG23" s="251" t="str">
        <f t="shared" si="142"/>
        <v/>
      </c>
      <c r="FH23" s="251" t="str">
        <f t="shared" si="143"/>
        <v/>
      </c>
      <c r="FI23" s="251" t="str">
        <f t="shared" si="144"/>
        <v/>
      </c>
      <c r="FJ23" s="251" t="str">
        <f t="shared" si="145"/>
        <v/>
      </c>
      <c r="FK23" s="251" t="str">
        <f t="shared" si="146"/>
        <v/>
      </c>
      <c r="FL23" s="251" t="str">
        <f t="shared" si="147"/>
        <v/>
      </c>
      <c r="FM23" s="251" t="str">
        <f t="shared" si="148"/>
        <v/>
      </c>
      <c r="FN23" s="251" t="str">
        <f t="shared" si="149"/>
        <v/>
      </c>
      <c r="FO23" s="251" t="str">
        <f t="shared" si="150"/>
        <v/>
      </c>
      <c r="FP23" s="251" t="str">
        <f t="shared" si="151"/>
        <v/>
      </c>
      <c r="FQ23" s="251" t="str">
        <f t="shared" si="152"/>
        <v/>
      </c>
      <c r="FR23" s="251" t="str">
        <f t="shared" si="153"/>
        <v/>
      </c>
      <c r="FS23" s="251" t="str">
        <f t="shared" si="154"/>
        <v/>
      </c>
      <c r="FT23" s="251" t="str">
        <f t="shared" si="155"/>
        <v/>
      </c>
      <c r="FU23" s="251" t="str">
        <f t="shared" si="156"/>
        <v/>
      </c>
      <c r="FV23" s="251" t="str">
        <f t="shared" si="157"/>
        <v/>
      </c>
      <c r="FW23" s="251" t="str">
        <f t="shared" si="158"/>
        <v/>
      </c>
      <c r="FX23" s="251" t="str">
        <f t="shared" si="159"/>
        <v/>
      </c>
      <c r="FY23" s="251" t="str">
        <f t="shared" si="160"/>
        <v/>
      </c>
      <c r="FZ23" s="251" t="str">
        <f t="shared" si="161"/>
        <v/>
      </c>
      <c r="GA23" s="251" t="str">
        <f t="shared" si="162"/>
        <v/>
      </c>
      <c r="GB23" s="251" t="str">
        <f t="shared" si="163"/>
        <v/>
      </c>
      <c r="GC23" s="251" t="str">
        <f t="shared" si="164"/>
        <v/>
      </c>
      <c r="GD23" s="251">
        <f t="shared" si="165"/>
        <v>20820</v>
      </c>
      <c r="GE23" s="251" t="str">
        <f t="shared" si="166"/>
        <v/>
      </c>
      <c r="GF23" s="251" t="str">
        <f t="shared" si="167"/>
        <v/>
      </c>
      <c r="GG23" s="251" t="str">
        <f t="shared" si="168"/>
        <v/>
      </c>
      <c r="GH23" s="251" t="str">
        <f t="shared" si="169"/>
        <v/>
      </c>
      <c r="GI23" s="251" t="str">
        <f t="shared" si="170"/>
        <v/>
      </c>
      <c r="GJ23" s="251" t="str">
        <f t="shared" si="171"/>
        <v/>
      </c>
      <c r="GK23" s="251" t="str">
        <f t="shared" si="172"/>
        <v/>
      </c>
      <c r="GL23" s="251" t="str">
        <f t="shared" si="173"/>
        <v/>
      </c>
      <c r="GM23" s="251" t="str">
        <f t="shared" si="174"/>
        <v/>
      </c>
      <c r="GN23" s="251" t="str">
        <f t="shared" si="175"/>
        <v/>
      </c>
      <c r="GO23" s="251" t="str">
        <f t="shared" si="176"/>
        <v/>
      </c>
      <c r="GP23" s="251" t="str">
        <f t="shared" si="177"/>
        <v/>
      </c>
      <c r="GQ23" s="251" t="str">
        <f t="shared" si="178"/>
        <v/>
      </c>
      <c r="GR23" s="251" t="str">
        <f t="shared" si="179"/>
        <v/>
      </c>
      <c r="GS23" s="251" t="str">
        <f t="shared" si="180"/>
        <v/>
      </c>
      <c r="GT23" s="251" t="str">
        <f t="shared" si="181"/>
        <v/>
      </c>
      <c r="GU23" s="251" t="str">
        <f t="shared" si="182"/>
        <v/>
      </c>
      <c r="GV23" s="251" t="str">
        <f t="shared" si="183"/>
        <v/>
      </c>
      <c r="GW23" s="251" t="str">
        <f t="shared" si="184"/>
        <v/>
      </c>
      <c r="GX23" s="251" t="str">
        <f t="shared" si="185"/>
        <v/>
      </c>
      <c r="GY23" s="251" t="str">
        <f t="shared" si="186"/>
        <v/>
      </c>
      <c r="GZ23" s="251" t="str">
        <f t="shared" si="187"/>
        <v/>
      </c>
      <c r="HA23" s="251" t="str">
        <f t="shared" si="188"/>
        <v/>
      </c>
      <c r="HB23" s="251" t="str">
        <f t="shared" si="189"/>
        <v/>
      </c>
      <c r="HC23" s="251" t="str">
        <f t="shared" si="190"/>
        <v/>
      </c>
      <c r="HD23" s="251" t="str">
        <f t="shared" si="191"/>
        <v/>
      </c>
      <c r="HE23" s="251" t="str">
        <f t="shared" si="192"/>
        <v/>
      </c>
      <c r="HF23" s="251" t="str">
        <f t="shared" si="193"/>
        <v/>
      </c>
      <c r="HG23" s="251" t="str">
        <f t="shared" si="194"/>
        <v/>
      </c>
      <c r="HH23" s="251" t="str">
        <f t="shared" si="195"/>
        <v/>
      </c>
      <c r="HI23" s="251" t="str">
        <f t="shared" si="196"/>
        <v/>
      </c>
      <c r="HJ23" s="251" t="str">
        <f t="shared" si="197"/>
        <v/>
      </c>
      <c r="HK23" s="251" t="str">
        <f t="shared" si="198"/>
        <v/>
      </c>
      <c r="HL23" s="251" t="str">
        <f t="shared" si="199"/>
        <v/>
      </c>
      <c r="HM23" s="251" t="str">
        <f t="shared" si="200"/>
        <v/>
      </c>
      <c r="HN23" s="251" t="str">
        <f t="shared" si="201"/>
        <v/>
      </c>
      <c r="HO23" s="251" t="str">
        <f t="shared" si="202"/>
        <v/>
      </c>
      <c r="HP23" s="251" t="str">
        <f t="shared" si="203"/>
        <v/>
      </c>
      <c r="HQ23" s="251" t="str">
        <f t="shared" si="204"/>
        <v/>
      </c>
      <c r="HR23" s="251" t="str">
        <f t="shared" si="205"/>
        <v/>
      </c>
      <c r="HS23" s="251" t="str">
        <f t="shared" si="206"/>
        <v/>
      </c>
      <c r="HT23" s="251" t="str">
        <f t="shared" si="207"/>
        <v/>
      </c>
      <c r="HU23" s="251" t="str">
        <f t="shared" si="208"/>
        <v/>
      </c>
      <c r="HV23" s="251" t="str">
        <f t="shared" si="209"/>
        <v/>
      </c>
      <c r="HW23" s="251" t="str">
        <f t="shared" si="210"/>
        <v/>
      </c>
      <c r="HX23" s="251" t="str">
        <f t="shared" si="211"/>
        <v/>
      </c>
      <c r="HY23" s="251" t="str">
        <f t="shared" si="212"/>
        <v/>
      </c>
      <c r="HZ23" s="251" t="str">
        <f t="shared" si="213"/>
        <v/>
      </c>
      <c r="IA23" s="251" t="str">
        <f t="shared" si="214"/>
        <v/>
      </c>
      <c r="IB23" s="251" t="str">
        <f t="shared" si="215"/>
        <v/>
      </c>
      <c r="IC23" s="251" t="str">
        <f t="shared" si="216"/>
        <v/>
      </c>
      <c r="ID23" s="251" t="str">
        <f t="shared" si="217"/>
        <v/>
      </c>
      <c r="IE23" s="251" t="str">
        <f t="shared" si="218"/>
        <v/>
      </c>
      <c r="IF23" s="251" t="str">
        <f t="shared" si="219"/>
        <v/>
      </c>
      <c r="IG23" s="251">
        <f t="shared" si="220"/>
        <v>20</v>
      </c>
      <c r="IH23" s="251" t="str">
        <f t="shared" si="221"/>
        <v/>
      </c>
      <c r="II23" s="251" t="str">
        <f t="shared" si="222"/>
        <v/>
      </c>
      <c r="IJ23" s="251" t="str">
        <f t="shared" si="223"/>
        <v/>
      </c>
      <c r="IK23" s="251" t="str">
        <f t="shared" si="224"/>
        <v/>
      </c>
      <c r="IL23" s="251" t="str">
        <f t="shared" si="225"/>
        <v/>
      </c>
      <c r="IM23" s="251" t="str">
        <f t="shared" si="226"/>
        <v/>
      </c>
      <c r="IN23" s="251" t="str">
        <f t="shared" si="227"/>
        <v/>
      </c>
      <c r="IO23" s="251" t="str">
        <f t="shared" si="228"/>
        <v/>
      </c>
      <c r="IP23" s="251" t="str">
        <f t="shared" si="229"/>
        <v/>
      </c>
      <c r="IQ23" s="251" t="str">
        <f t="shared" si="230"/>
        <v/>
      </c>
      <c r="IR23" s="251" t="str">
        <f t="shared" si="231"/>
        <v/>
      </c>
      <c r="IS23" s="251" t="str">
        <f t="shared" si="232"/>
        <v/>
      </c>
      <c r="IT23" s="251" t="str">
        <f t="shared" si="233"/>
        <v/>
      </c>
      <c r="IU23" s="251" t="str">
        <f t="shared" si="234"/>
        <v/>
      </c>
      <c r="IV23" s="251" t="str">
        <f t="shared" si="235"/>
        <v/>
      </c>
      <c r="IW23" s="251" t="str">
        <f t="shared" si="236"/>
        <v/>
      </c>
      <c r="IX23" s="251" t="str">
        <f t="shared" si="237"/>
        <v/>
      </c>
      <c r="IY23" s="251" t="str">
        <f t="shared" si="238"/>
        <v/>
      </c>
      <c r="IZ23" s="251" t="str">
        <f t="shared" si="239"/>
        <v/>
      </c>
      <c r="JA23" s="251" t="str">
        <f t="shared" si="240"/>
        <v/>
      </c>
      <c r="JB23" s="251" t="str">
        <f t="shared" si="241"/>
        <v/>
      </c>
      <c r="JC23" s="251" t="str">
        <f t="shared" si="242"/>
        <v/>
      </c>
      <c r="JD23" s="251" t="str">
        <f t="shared" si="243"/>
        <v/>
      </c>
      <c r="JE23" s="251" t="str">
        <f t="shared" si="244"/>
        <v/>
      </c>
      <c r="JF23" s="251" t="str">
        <f t="shared" si="245"/>
        <v/>
      </c>
      <c r="JG23" s="251" t="str">
        <f t="shared" si="246"/>
        <v/>
      </c>
      <c r="JH23" s="251" t="str">
        <f t="shared" si="247"/>
        <v/>
      </c>
      <c r="JI23" s="1297" t="str">
        <f t="shared" si="248"/>
        <v/>
      </c>
      <c r="JJ23" s="1297" t="str">
        <f t="shared" si="249"/>
        <v/>
      </c>
      <c r="JK23" s="1297">
        <f t="shared" si="250"/>
        <v>20</v>
      </c>
      <c r="JL23" s="1297" t="str">
        <f t="shared" si="251"/>
        <v/>
      </c>
      <c r="JM23" s="1297" t="str">
        <f t="shared" si="252"/>
        <v/>
      </c>
      <c r="JN23" s="1297" t="str">
        <f t="shared" si="253"/>
        <v/>
      </c>
      <c r="JO23" s="1297" t="str">
        <f t="shared" si="254"/>
        <v/>
      </c>
      <c r="JP23" s="1297" t="str">
        <f t="shared" si="255"/>
        <v/>
      </c>
      <c r="JQ23" s="1297" t="str">
        <f t="shared" si="256"/>
        <v/>
      </c>
      <c r="JR23" s="1297" t="str">
        <f t="shared" si="257"/>
        <v/>
      </c>
      <c r="JS23" s="1297" t="str">
        <f t="shared" si="258"/>
        <v/>
      </c>
      <c r="JT23" s="1297" t="str">
        <f t="shared" si="259"/>
        <v/>
      </c>
      <c r="JU23" s="1297" t="str">
        <f t="shared" si="260"/>
        <v/>
      </c>
      <c r="JV23" s="1297" t="str">
        <f t="shared" si="261"/>
        <v/>
      </c>
      <c r="JW23" s="1297" t="str">
        <f t="shared" si="262"/>
        <v/>
      </c>
      <c r="JX23" s="1297" t="str">
        <f t="shared" si="263"/>
        <v/>
      </c>
      <c r="JY23" s="1297" t="str">
        <f t="shared" si="264"/>
        <v/>
      </c>
      <c r="JZ23" s="1297" t="str">
        <f t="shared" si="265"/>
        <v/>
      </c>
      <c r="KA23" s="1297" t="str">
        <f t="shared" si="266"/>
        <v/>
      </c>
      <c r="KB23" s="1297" t="str">
        <f t="shared" si="267"/>
        <v/>
      </c>
      <c r="KC23" s="1297" t="str">
        <f t="shared" si="268"/>
        <v/>
      </c>
      <c r="KD23" s="1297" t="str">
        <f t="shared" si="269"/>
        <v/>
      </c>
      <c r="KE23" s="1297" t="str">
        <f t="shared" si="270"/>
        <v/>
      </c>
      <c r="KF23" s="1297" t="str">
        <f t="shared" si="271"/>
        <v/>
      </c>
      <c r="KG23" s="1297" t="str">
        <f t="shared" si="272"/>
        <v/>
      </c>
      <c r="KH23" s="1297" t="str">
        <f t="shared" si="273"/>
        <v/>
      </c>
      <c r="KI23" s="1297" t="str">
        <f t="shared" si="274"/>
        <v/>
      </c>
      <c r="KJ23" s="1297" t="str">
        <f t="shared" si="275"/>
        <v/>
      </c>
      <c r="KK23" s="1297" t="str">
        <f t="shared" si="276"/>
        <v/>
      </c>
      <c r="KL23" s="1297" t="str">
        <f t="shared" si="277"/>
        <v/>
      </c>
      <c r="KM23" s="1297" t="str">
        <f t="shared" si="278"/>
        <v/>
      </c>
      <c r="KN23" s="1297" t="str">
        <f t="shared" si="279"/>
        <v/>
      </c>
      <c r="KO23" s="1297" t="str">
        <f t="shared" si="280"/>
        <v/>
      </c>
      <c r="KP23" s="1297" t="str">
        <f t="shared" si="281"/>
        <v/>
      </c>
      <c r="KQ23" s="1297" t="str">
        <f t="shared" si="282"/>
        <v/>
      </c>
      <c r="KR23" s="1297" t="str">
        <f t="shared" si="283"/>
        <v/>
      </c>
      <c r="KS23" s="1297" t="str">
        <f t="shared" si="284"/>
        <v/>
      </c>
      <c r="KT23" s="1297" t="str">
        <f t="shared" si="285"/>
        <v/>
      </c>
      <c r="KU23" s="1297" t="str">
        <f t="shared" si="286"/>
        <v/>
      </c>
      <c r="KV23" s="1297" t="str">
        <f t="shared" si="287"/>
        <v/>
      </c>
      <c r="KW23" s="1297" t="str">
        <f t="shared" si="288"/>
        <v/>
      </c>
      <c r="KX23" s="1297" t="str">
        <f t="shared" si="289"/>
        <v/>
      </c>
      <c r="KY23" s="1297" t="str">
        <f t="shared" si="290"/>
        <v/>
      </c>
      <c r="KZ23" s="1297" t="str">
        <f t="shared" si="291"/>
        <v/>
      </c>
      <c r="LA23" s="1297" t="str">
        <f t="shared" si="292"/>
        <v/>
      </c>
      <c r="LB23" s="1297" t="str">
        <f t="shared" si="293"/>
        <v/>
      </c>
      <c r="LC23" s="1297" t="str">
        <f t="shared" si="294"/>
        <v/>
      </c>
      <c r="LD23" s="1297">
        <f t="shared" si="295"/>
        <v>20</v>
      </c>
      <c r="LE23" s="1297" t="str">
        <f t="shared" si="296"/>
        <v/>
      </c>
      <c r="LF23" s="1297" t="str">
        <f t="shared" si="297"/>
        <v/>
      </c>
      <c r="LG23" s="1297" t="str">
        <f t="shared" si="298"/>
        <v/>
      </c>
      <c r="LH23" s="1297" t="str">
        <f t="shared" si="299"/>
        <v/>
      </c>
      <c r="LI23" s="1297" t="str">
        <f t="shared" si="300"/>
        <v/>
      </c>
      <c r="LJ23" s="1297" t="str">
        <f t="shared" si="301"/>
        <v/>
      </c>
      <c r="LK23" s="1297" t="str">
        <f t="shared" si="302"/>
        <v/>
      </c>
      <c r="LL23" s="1297" t="str">
        <f t="shared" si="303"/>
        <v/>
      </c>
      <c r="LM23" s="1297" t="str">
        <f t="shared" si="304"/>
        <v/>
      </c>
      <c r="LN23" s="1297" t="str">
        <f t="shared" si="305"/>
        <v/>
      </c>
      <c r="LO23" s="1297" t="str">
        <f t="shared" si="306"/>
        <v/>
      </c>
      <c r="LP23" s="1297" t="str">
        <f t="shared" si="307"/>
        <v/>
      </c>
      <c r="LQ23" s="1297" t="str">
        <f t="shared" si="308"/>
        <v/>
      </c>
      <c r="LR23" s="1297" t="str">
        <f t="shared" si="309"/>
        <v/>
      </c>
      <c r="LS23" s="1297" t="str">
        <f t="shared" si="310"/>
        <v/>
      </c>
      <c r="LT23" s="1297" t="str">
        <f t="shared" si="311"/>
        <v/>
      </c>
      <c r="LU23" s="1297" t="str">
        <f t="shared" si="312"/>
        <v/>
      </c>
      <c r="LV23" s="1297" t="str">
        <f t="shared" si="313"/>
        <v/>
      </c>
      <c r="LW23" s="1297" t="str">
        <f t="shared" si="314"/>
        <v/>
      </c>
      <c r="LX23" s="1297" t="str">
        <f t="shared" si="315"/>
        <v/>
      </c>
      <c r="LY23" s="1297" t="str">
        <f t="shared" si="316"/>
        <v/>
      </c>
      <c r="LZ23" s="1297" t="str">
        <f t="shared" si="317"/>
        <v/>
      </c>
      <c r="MA23" s="1297" t="str">
        <f t="shared" si="318"/>
        <v/>
      </c>
      <c r="MB23" s="1297" t="str">
        <f t="shared" si="319"/>
        <v/>
      </c>
      <c r="MC23" s="1297" t="str">
        <f t="shared" si="320"/>
        <v/>
      </c>
      <c r="MD23" s="1297" t="str">
        <f t="shared" si="321"/>
        <v/>
      </c>
      <c r="ME23" s="1297" t="str">
        <f t="shared" si="322"/>
        <v/>
      </c>
      <c r="MF23" s="1297" t="str">
        <f t="shared" si="323"/>
        <v/>
      </c>
      <c r="MG23" s="1297" t="str">
        <f t="shared" si="324"/>
        <v/>
      </c>
      <c r="MH23" s="1297" t="str">
        <f t="shared" si="325"/>
        <v/>
      </c>
      <c r="MI23" s="1297" t="str">
        <f t="shared" si="326"/>
        <v/>
      </c>
      <c r="MJ23" s="1297" t="str">
        <f t="shared" si="327"/>
        <v/>
      </c>
      <c r="MK23" s="1297" t="str">
        <f t="shared" si="328"/>
        <v/>
      </c>
      <c r="ML23" s="1297" t="str">
        <f t="shared" si="329"/>
        <v/>
      </c>
      <c r="MM23" s="1297" t="str">
        <f t="shared" si="330"/>
        <v/>
      </c>
      <c r="MN23" s="1297" t="str">
        <f t="shared" si="331"/>
        <v/>
      </c>
      <c r="MO23" s="1297" t="str">
        <f t="shared" si="332"/>
        <v/>
      </c>
      <c r="MP23" s="1773" t="str">
        <f t="shared" si="333"/>
        <v/>
      </c>
      <c r="MQ23" s="1773" t="str">
        <f t="shared" si="334"/>
        <v/>
      </c>
      <c r="MR23" s="1773" t="str">
        <f t="shared" si="335"/>
        <v/>
      </c>
      <c r="MS23" s="1773" t="str">
        <f t="shared" si="336"/>
        <v/>
      </c>
      <c r="MT23" s="1773" t="str">
        <f t="shared" si="337"/>
        <v/>
      </c>
      <c r="MU23" s="251" t="str">
        <f t="shared" si="338"/>
        <v/>
      </c>
      <c r="MV23" s="251" t="str">
        <f t="shared" si="339"/>
        <v/>
      </c>
      <c r="MW23" s="251" t="str">
        <f t="shared" si="340"/>
        <v/>
      </c>
      <c r="MX23" s="251" t="str">
        <f t="shared" si="341"/>
        <v/>
      </c>
      <c r="MY23" s="251" t="str">
        <f t="shared" si="342"/>
        <v/>
      </c>
      <c r="MZ23" s="251" t="str">
        <f t="shared" si="343"/>
        <v/>
      </c>
      <c r="NA23" s="251" t="str">
        <f t="shared" si="344"/>
        <v/>
      </c>
      <c r="NB23" s="251" t="str">
        <f t="shared" si="345"/>
        <v/>
      </c>
      <c r="NC23" s="251" t="str">
        <f t="shared" si="346"/>
        <v/>
      </c>
      <c r="ND23" s="251" t="str">
        <f t="shared" si="347"/>
        <v/>
      </c>
      <c r="NE23" s="251" t="str">
        <f t="shared" si="348"/>
        <v/>
      </c>
      <c r="NF23" s="251" t="str">
        <f t="shared" si="349"/>
        <v/>
      </c>
      <c r="NG23" s="251" t="str">
        <f t="shared" si="350"/>
        <v/>
      </c>
      <c r="NH23" s="251" t="str">
        <f t="shared" si="351"/>
        <v/>
      </c>
      <c r="NI23" s="251" t="str">
        <f t="shared" si="352"/>
        <v/>
      </c>
      <c r="NJ23" s="251" t="str">
        <f t="shared" si="353"/>
        <v/>
      </c>
      <c r="NK23" s="251" t="str">
        <f t="shared" si="354"/>
        <v/>
      </c>
      <c r="NL23" s="251" t="str">
        <f t="shared" si="355"/>
        <v/>
      </c>
      <c r="NM23" s="251" t="str">
        <f t="shared" si="356"/>
        <v/>
      </c>
      <c r="NN23" s="251" t="str">
        <f t="shared" si="357"/>
        <v/>
      </c>
      <c r="NO23" s="1185">
        <f t="shared" si="358"/>
        <v>0</v>
      </c>
      <c r="NP23" s="1185">
        <f t="shared" si="359"/>
        <v>0</v>
      </c>
      <c r="NQ23" s="1185">
        <f t="shared" si="360"/>
        <v>20</v>
      </c>
      <c r="NR23" s="1185">
        <f t="shared" si="361"/>
        <v>0</v>
      </c>
      <c r="NS23" s="1185">
        <f t="shared" si="362"/>
        <v>0</v>
      </c>
      <c r="NT23" s="1185">
        <f t="shared" si="368"/>
        <v>0</v>
      </c>
      <c r="NU23" s="1185">
        <f t="shared" si="369"/>
        <v>0</v>
      </c>
      <c r="NV23" s="1185">
        <f t="shared" si="370"/>
        <v>0</v>
      </c>
      <c r="NW23" s="1185">
        <f t="shared" si="371"/>
        <v>0</v>
      </c>
      <c r="NX23" s="1185">
        <f t="shared" si="372"/>
        <v>0</v>
      </c>
      <c r="NY23" s="1185">
        <f t="shared" si="363"/>
        <v>0</v>
      </c>
      <c r="NZ23" s="1185">
        <f t="shared" si="364"/>
        <v>0</v>
      </c>
      <c r="OA23" s="1185">
        <f t="shared" si="365"/>
        <v>0</v>
      </c>
      <c r="OB23" s="1185">
        <f t="shared" si="366"/>
        <v>0</v>
      </c>
      <c r="OC23" s="1185">
        <f t="shared" si="367"/>
        <v>0</v>
      </c>
      <c r="OY23" s="1794" t="s">
        <v>1171</v>
      </c>
      <c r="OZ23" s="1799">
        <v>23</v>
      </c>
    </row>
    <row r="24" spans="1:416" ht="12" customHeight="1">
      <c r="A24" s="53" t="str">
        <f t="shared" si="0"/>
        <v/>
      </c>
      <c r="B24" s="782">
        <v>60</v>
      </c>
      <c r="C24" s="85">
        <v>3</v>
      </c>
      <c r="D24" s="1187">
        <v>2</v>
      </c>
      <c r="E24" s="86">
        <v>9</v>
      </c>
      <c r="F24" s="86">
        <v>1170</v>
      </c>
      <c r="G24" s="86">
        <v>1070</v>
      </c>
      <c r="H24" s="86">
        <f t="shared" si="373"/>
        <v>1060</v>
      </c>
      <c r="I24" s="86">
        <v>0</v>
      </c>
      <c r="J24" s="765">
        <f>IF(C24="",0,HLOOKUP(C24,'Part IV-Utility Allowances'!$I$11:$M$25,15))</f>
        <v>238</v>
      </c>
      <c r="K24" s="473"/>
      <c r="L24" s="330">
        <f t="shared" si="1"/>
        <v>822</v>
      </c>
      <c r="M24" s="330">
        <f t="shared" si="2"/>
        <v>7398</v>
      </c>
      <c r="N24" s="506" t="s">
        <v>7474</v>
      </c>
      <c r="O24" s="1134" t="s">
        <v>1259</v>
      </c>
      <c r="P24" s="506" t="s">
        <v>7678</v>
      </c>
      <c r="Q24" s="87" t="s">
        <v>7474</v>
      </c>
      <c r="R24" s="540"/>
      <c r="S24" s="541"/>
      <c r="T24" s="3758"/>
      <c r="U24" s="3759"/>
      <c r="V24" s="3759"/>
      <c r="W24" s="3760"/>
      <c r="X24" s="251" t="str">
        <f t="shared" si="3"/>
        <v/>
      </c>
      <c r="Y24" s="251" t="str">
        <f t="shared" si="4"/>
        <v/>
      </c>
      <c r="Z24" s="251" t="str">
        <f t="shared" si="5"/>
        <v/>
      </c>
      <c r="AA24" s="251" t="str">
        <f t="shared" si="6"/>
        <v/>
      </c>
      <c r="AB24" s="251" t="str">
        <f t="shared" si="7"/>
        <v/>
      </c>
      <c r="AC24" s="251" t="str">
        <f t="shared" si="8"/>
        <v/>
      </c>
      <c r="AD24" s="251" t="str">
        <f t="shared" si="9"/>
        <v/>
      </c>
      <c r="AE24" s="251" t="str">
        <f t="shared" si="10"/>
        <v/>
      </c>
      <c r="AF24" s="251" t="str">
        <f t="shared" si="11"/>
        <v/>
      </c>
      <c r="AG24" s="251" t="str">
        <f t="shared" si="12"/>
        <v/>
      </c>
      <c r="AH24" s="251" t="str">
        <f t="shared" si="13"/>
        <v/>
      </c>
      <c r="AI24" s="251" t="str">
        <f t="shared" si="14"/>
        <v/>
      </c>
      <c r="AJ24" s="251" t="str">
        <f t="shared" si="15"/>
        <v/>
      </c>
      <c r="AK24" s="251">
        <f t="shared" si="16"/>
        <v>9</v>
      </c>
      <c r="AL24" s="251" t="str">
        <f t="shared" si="17"/>
        <v/>
      </c>
      <c r="AM24" s="251" t="str">
        <f t="shared" si="18"/>
        <v/>
      </c>
      <c r="AN24" s="251" t="str">
        <f t="shared" si="19"/>
        <v/>
      </c>
      <c r="AO24" s="251" t="str">
        <f t="shared" si="20"/>
        <v/>
      </c>
      <c r="AP24" s="251" t="str">
        <f t="shared" si="21"/>
        <v/>
      </c>
      <c r="AQ24" s="251" t="str">
        <f t="shared" si="22"/>
        <v/>
      </c>
      <c r="AR24" s="251" t="str">
        <f t="shared" si="23"/>
        <v/>
      </c>
      <c r="AS24" s="251" t="str">
        <f t="shared" si="24"/>
        <v/>
      </c>
      <c r="AT24" s="251" t="str">
        <f t="shared" si="25"/>
        <v/>
      </c>
      <c r="AU24" s="251" t="str">
        <f t="shared" si="26"/>
        <v/>
      </c>
      <c r="AV24" s="251" t="str">
        <f t="shared" si="27"/>
        <v/>
      </c>
      <c r="AW24" s="251" t="str">
        <f t="shared" si="28"/>
        <v/>
      </c>
      <c r="AX24" s="251" t="str">
        <f t="shared" si="29"/>
        <v/>
      </c>
      <c r="AY24" s="251" t="str">
        <f t="shared" si="30"/>
        <v/>
      </c>
      <c r="AZ24" s="251" t="str">
        <f t="shared" si="31"/>
        <v/>
      </c>
      <c r="BA24" s="251" t="str">
        <f t="shared" si="32"/>
        <v/>
      </c>
      <c r="BB24" s="251" t="str">
        <f t="shared" si="33"/>
        <v/>
      </c>
      <c r="BC24" s="251" t="str">
        <f t="shared" si="34"/>
        <v/>
      </c>
      <c r="BD24" s="251" t="str">
        <f t="shared" si="35"/>
        <v/>
      </c>
      <c r="BE24" s="251" t="str">
        <f t="shared" si="36"/>
        <v/>
      </c>
      <c r="BF24" s="251" t="str">
        <f t="shared" si="37"/>
        <v/>
      </c>
      <c r="BG24" s="251" t="str">
        <f t="shared" si="38"/>
        <v/>
      </c>
      <c r="BH24" s="251" t="str">
        <f t="shared" si="39"/>
        <v/>
      </c>
      <c r="BI24" s="251" t="str">
        <f t="shared" si="40"/>
        <v/>
      </c>
      <c r="BJ24" s="251" t="str">
        <f t="shared" si="41"/>
        <v/>
      </c>
      <c r="BK24" s="251" t="str">
        <f t="shared" si="42"/>
        <v/>
      </c>
      <c r="BL24" s="251" t="str">
        <f t="shared" si="43"/>
        <v/>
      </c>
      <c r="BM24" s="251" t="str">
        <f t="shared" si="44"/>
        <v/>
      </c>
      <c r="BN24" s="251" t="str">
        <f t="shared" si="45"/>
        <v/>
      </c>
      <c r="BO24" s="251" t="str">
        <f t="shared" si="46"/>
        <v/>
      </c>
      <c r="BP24" s="251" t="str">
        <f t="shared" si="47"/>
        <v/>
      </c>
      <c r="BQ24" s="251" t="str">
        <f t="shared" si="48"/>
        <v/>
      </c>
      <c r="BR24" s="251" t="str">
        <f t="shared" si="49"/>
        <v/>
      </c>
      <c r="BS24" s="251" t="str">
        <f t="shared" si="50"/>
        <v/>
      </c>
      <c r="BT24" s="251" t="str">
        <f t="shared" si="51"/>
        <v/>
      </c>
      <c r="BU24" s="251" t="str">
        <f t="shared" si="52"/>
        <v/>
      </c>
      <c r="BV24" s="251" t="str">
        <f t="shared" si="53"/>
        <v/>
      </c>
      <c r="BW24" s="251" t="str">
        <f t="shared" si="54"/>
        <v/>
      </c>
      <c r="BX24" s="251" t="str">
        <f t="shared" si="55"/>
        <v/>
      </c>
      <c r="BY24" s="251" t="str">
        <f t="shared" si="56"/>
        <v/>
      </c>
      <c r="BZ24" s="251" t="str">
        <f t="shared" si="57"/>
        <v/>
      </c>
      <c r="CA24" s="251" t="str">
        <f t="shared" si="58"/>
        <v/>
      </c>
      <c r="CB24" s="251" t="str">
        <f t="shared" si="59"/>
        <v/>
      </c>
      <c r="CC24" s="251" t="str">
        <f t="shared" si="60"/>
        <v/>
      </c>
      <c r="CD24" s="251" t="str">
        <f t="shared" si="61"/>
        <v/>
      </c>
      <c r="CE24" s="251" t="str">
        <f t="shared" si="62"/>
        <v/>
      </c>
      <c r="CF24" s="251" t="str">
        <f t="shared" si="63"/>
        <v/>
      </c>
      <c r="CG24" s="251" t="str">
        <f t="shared" si="64"/>
        <v/>
      </c>
      <c r="CH24" s="251" t="str">
        <f t="shared" si="65"/>
        <v/>
      </c>
      <c r="CI24" s="251" t="str">
        <f t="shared" si="66"/>
        <v/>
      </c>
      <c r="CJ24" s="251" t="str">
        <f t="shared" si="67"/>
        <v/>
      </c>
      <c r="CK24" s="251" t="str">
        <f t="shared" si="68"/>
        <v/>
      </c>
      <c r="CL24" s="251" t="str">
        <f t="shared" si="69"/>
        <v/>
      </c>
      <c r="CM24" s="251" t="str">
        <f t="shared" si="70"/>
        <v/>
      </c>
      <c r="CN24" s="251" t="str">
        <f t="shared" si="71"/>
        <v/>
      </c>
      <c r="CO24" s="251" t="str">
        <f t="shared" si="72"/>
        <v/>
      </c>
      <c r="CP24" s="251" t="str">
        <f t="shared" si="73"/>
        <v/>
      </c>
      <c r="CQ24" s="251" t="str">
        <f t="shared" si="74"/>
        <v/>
      </c>
      <c r="CR24" s="251" t="str">
        <f t="shared" si="75"/>
        <v/>
      </c>
      <c r="CS24" s="251" t="str">
        <f t="shared" si="76"/>
        <v/>
      </c>
      <c r="CT24" s="251" t="str">
        <f t="shared" si="77"/>
        <v/>
      </c>
      <c r="CU24" s="251" t="str">
        <f t="shared" si="78"/>
        <v/>
      </c>
      <c r="CV24" s="251" t="str">
        <f t="shared" si="79"/>
        <v/>
      </c>
      <c r="CW24" s="251" t="str">
        <f t="shared" si="80"/>
        <v/>
      </c>
      <c r="CX24" s="251" t="str">
        <f t="shared" si="81"/>
        <v/>
      </c>
      <c r="CY24" s="251" t="str">
        <f t="shared" si="82"/>
        <v/>
      </c>
      <c r="CZ24" s="251" t="str">
        <f t="shared" si="83"/>
        <v/>
      </c>
      <c r="DA24" s="251" t="str">
        <f t="shared" si="84"/>
        <v/>
      </c>
      <c r="DB24" s="251" t="str">
        <f t="shared" si="85"/>
        <v/>
      </c>
      <c r="DC24" s="251" t="str">
        <f t="shared" si="86"/>
        <v/>
      </c>
      <c r="DD24" s="251" t="str">
        <f t="shared" si="87"/>
        <v/>
      </c>
      <c r="DE24" s="251" t="str">
        <f t="shared" si="88"/>
        <v/>
      </c>
      <c r="DF24" s="251" t="str">
        <f t="shared" si="89"/>
        <v/>
      </c>
      <c r="DG24" s="251" t="str">
        <f t="shared" si="90"/>
        <v/>
      </c>
      <c r="DH24" s="251" t="str">
        <f t="shared" si="91"/>
        <v/>
      </c>
      <c r="DI24" s="251" t="str">
        <f t="shared" si="92"/>
        <v/>
      </c>
      <c r="DJ24" s="251" t="str">
        <f t="shared" si="93"/>
        <v/>
      </c>
      <c r="DK24" s="251" t="str">
        <f t="shared" si="94"/>
        <v/>
      </c>
      <c r="DL24" s="251" t="str">
        <f t="shared" si="95"/>
        <v/>
      </c>
      <c r="DM24" s="251" t="str">
        <f t="shared" si="96"/>
        <v/>
      </c>
      <c r="DN24" s="251" t="str">
        <f t="shared" si="97"/>
        <v/>
      </c>
      <c r="DO24" s="251" t="str">
        <f t="shared" si="98"/>
        <v/>
      </c>
      <c r="DP24" s="251" t="str">
        <f t="shared" si="99"/>
        <v/>
      </c>
      <c r="DQ24" s="251" t="str">
        <f t="shared" si="100"/>
        <v/>
      </c>
      <c r="DR24" s="251" t="str">
        <f t="shared" si="101"/>
        <v/>
      </c>
      <c r="DS24" s="251" t="str">
        <f t="shared" si="102"/>
        <v/>
      </c>
      <c r="DT24" s="251" t="str">
        <f t="shared" si="103"/>
        <v/>
      </c>
      <c r="DU24" s="251" t="str">
        <f t="shared" si="104"/>
        <v/>
      </c>
      <c r="DV24" s="251" t="str">
        <f t="shared" si="105"/>
        <v/>
      </c>
      <c r="DW24" s="251" t="str">
        <f t="shared" si="106"/>
        <v/>
      </c>
      <c r="DX24" s="251" t="str">
        <f t="shared" si="107"/>
        <v/>
      </c>
      <c r="DY24" s="251" t="str">
        <f t="shared" si="108"/>
        <v/>
      </c>
      <c r="DZ24" s="251" t="str">
        <f t="shared" si="109"/>
        <v/>
      </c>
      <c r="EA24" s="251" t="str">
        <f t="shared" si="110"/>
        <v/>
      </c>
      <c r="EB24" s="251" t="str">
        <f t="shared" si="111"/>
        <v/>
      </c>
      <c r="EC24" s="251" t="str">
        <f t="shared" si="112"/>
        <v/>
      </c>
      <c r="ED24" s="251" t="str">
        <f t="shared" si="113"/>
        <v/>
      </c>
      <c r="EE24" s="251" t="str">
        <f t="shared" si="114"/>
        <v/>
      </c>
      <c r="EF24" s="251" t="str">
        <f t="shared" si="115"/>
        <v/>
      </c>
      <c r="EG24" s="251" t="str">
        <f t="shared" si="116"/>
        <v/>
      </c>
      <c r="EH24" s="251" t="str">
        <f t="shared" si="117"/>
        <v/>
      </c>
      <c r="EI24" s="251" t="str">
        <f t="shared" si="118"/>
        <v/>
      </c>
      <c r="EJ24" s="251" t="str">
        <f t="shared" si="119"/>
        <v/>
      </c>
      <c r="EK24" s="251" t="str">
        <f t="shared" si="120"/>
        <v/>
      </c>
      <c r="EL24" s="251" t="str">
        <f t="shared" si="121"/>
        <v/>
      </c>
      <c r="EM24" s="251" t="str">
        <f t="shared" si="122"/>
        <v/>
      </c>
      <c r="EN24" s="251" t="str">
        <f t="shared" si="123"/>
        <v/>
      </c>
      <c r="EO24" s="251" t="str">
        <f t="shared" si="124"/>
        <v/>
      </c>
      <c r="EP24" s="251" t="str">
        <f t="shared" si="125"/>
        <v/>
      </c>
      <c r="EQ24" s="251" t="str">
        <f t="shared" si="126"/>
        <v/>
      </c>
      <c r="ER24" s="251" t="str">
        <f t="shared" si="127"/>
        <v/>
      </c>
      <c r="ES24" s="251" t="str">
        <f t="shared" si="128"/>
        <v/>
      </c>
      <c r="ET24" s="251" t="str">
        <f t="shared" si="129"/>
        <v/>
      </c>
      <c r="EU24" s="251" t="str">
        <f t="shared" si="130"/>
        <v/>
      </c>
      <c r="EV24" s="251" t="str">
        <f t="shared" si="131"/>
        <v/>
      </c>
      <c r="EW24" s="251" t="str">
        <f t="shared" si="132"/>
        <v/>
      </c>
      <c r="EX24" s="251" t="str">
        <f t="shared" si="133"/>
        <v/>
      </c>
      <c r="EY24" s="251" t="str">
        <f t="shared" si="134"/>
        <v/>
      </c>
      <c r="EZ24" s="251" t="str">
        <f t="shared" si="135"/>
        <v/>
      </c>
      <c r="FA24" s="251" t="str">
        <f t="shared" si="136"/>
        <v/>
      </c>
      <c r="FB24" s="251" t="str">
        <f t="shared" si="137"/>
        <v/>
      </c>
      <c r="FC24" s="251" t="str">
        <f t="shared" si="138"/>
        <v/>
      </c>
      <c r="FD24" s="251" t="str">
        <f t="shared" si="139"/>
        <v/>
      </c>
      <c r="FE24" s="251" t="str">
        <f t="shared" si="140"/>
        <v/>
      </c>
      <c r="FF24" s="251" t="str">
        <f t="shared" si="141"/>
        <v/>
      </c>
      <c r="FG24" s="251" t="str">
        <f t="shared" si="142"/>
        <v/>
      </c>
      <c r="FH24" s="251" t="str">
        <f t="shared" si="143"/>
        <v/>
      </c>
      <c r="FI24" s="251" t="str">
        <f t="shared" si="144"/>
        <v/>
      </c>
      <c r="FJ24" s="251" t="str">
        <f t="shared" si="145"/>
        <v/>
      </c>
      <c r="FK24" s="251" t="str">
        <f t="shared" si="146"/>
        <v/>
      </c>
      <c r="FL24" s="251" t="str">
        <f t="shared" si="147"/>
        <v/>
      </c>
      <c r="FM24" s="251" t="str">
        <f t="shared" si="148"/>
        <v/>
      </c>
      <c r="FN24" s="251" t="str">
        <f t="shared" si="149"/>
        <v/>
      </c>
      <c r="FO24" s="251" t="str">
        <f t="shared" si="150"/>
        <v/>
      </c>
      <c r="FP24" s="251" t="str">
        <f t="shared" si="151"/>
        <v/>
      </c>
      <c r="FQ24" s="251" t="str">
        <f t="shared" si="152"/>
        <v/>
      </c>
      <c r="FR24" s="251" t="str">
        <f t="shared" si="153"/>
        <v/>
      </c>
      <c r="FS24" s="251" t="str">
        <f t="shared" si="154"/>
        <v/>
      </c>
      <c r="FT24" s="251" t="str">
        <f t="shared" si="155"/>
        <v/>
      </c>
      <c r="FU24" s="251" t="str">
        <f t="shared" si="156"/>
        <v/>
      </c>
      <c r="FV24" s="251" t="str">
        <f t="shared" si="157"/>
        <v/>
      </c>
      <c r="FW24" s="251" t="str">
        <f t="shared" si="158"/>
        <v/>
      </c>
      <c r="FX24" s="251" t="str">
        <f t="shared" si="159"/>
        <v/>
      </c>
      <c r="FY24" s="251" t="str">
        <f t="shared" si="160"/>
        <v/>
      </c>
      <c r="FZ24" s="251" t="str">
        <f t="shared" si="161"/>
        <v/>
      </c>
      <c r="GA24" s="251" t="str">
        <f t="shared" si="162"/>
        <v/>
      </c>
      <c r="GB24" s="251" t="str">
        <f t="shared" si="163"/>
        <v/>
      </c>
      <c r="GC24" s="251" t="str">
        <f t="shared" si="164"/>
        <v/>
      </c>
      <c r="GD24" s="251" t="str">
        <f t="shared" si="165"/>
        <v/>
      </c>
      <c r="GE24" s="251">
        <f t="shared" si="166"/>
        <v>10530</v>
      </c>
      <c r="GF24" s="251" t="str">
        <f t="shared" si="167"/>
        <v/>
      </c>
      <c r="GG24" s="251" t="str">
        <f t="shared" si="168"/>
        <v/>
      </c>
      <c r="GH24" s="251" t="str">
        <f t="shared" si="169"/>
        <v/>
      </c>
      <c r="GI24" s="251" t="str">
        <f t="shared" si="170"/>
        <v/>
      </c>
      <c r="GJ24" s="251" t="str">
        <f t="shared" si="171"/>
        <v/>
      </c>
      <c r="GK24" s="251" t="str">
        <f t="shared" si="172"/>
        <v/>
      </c>
      <c r="GL24" s="251" t="str">
        <f t="shared" si="173"/>
        <v/>
      </c>
      <c r="GM24" s="251" t="str">
        <f t="shared" si="174"/>
        <v/>
      </c>
      <c r="GN24" s="251" t="str">
        <f t="shared" si="175"/>
        <v/>
      </c>
      <c r="GO24" s="251" t="str">
        <f t="shared" si="176"/>
        <v/>
      </c>
      <c r="GP24" s="251" t="str">
        <f t="shared" si="177"/>
        <v/>
      </c>
      <c r="GQ24" s="251" t="str">
        <f t="shared" si="178"/>
        <v/>
      </c>
      <c r="GR24" s="251" t="str">
        <f t="shared" si="179"/>
        <v/>
      </c>
      <c r="GS24" s="251" t="str">
        <f t="shared" si="180"/>
        <v/>
      </c>
      <c r="GT24" s="251" t="str">
        <f t="shared" si="181"/>
        <v/>
      </c>
      <c r="GU24" s="251" t="str">
        <f t="shared" si="182"/>
        <v/>
      </c>
      <c r="GV24" s="251" t="str">
        <f t="shared" si="183"/>
        <v/>
      </c>
      <c r="GW24" s="251" t="str">
        <f t="shared" si="184"/>
        <v/>
      </c>
      <c r="GX24" s="251" t="str">
        <f t="shared" si="185"/>
        <v/>
      </c>
      <c r="GY24" s="251" t="str">
        <f t="shared" si="186"/>
        <v/>
      </c>
      <c r="GZ24" s="251" t="str">
        <f t="shared" si="187"/>
        <v/>
      </c>
      <c r="HA24" s="251" t="str">
        <f t="shared" si="188"/>
        <v/>
      </c>
      <c r="HB24" s="251" t="str">
        <f t="shared" si="189"/>
        <v/>
      </c>
      <c r="HC24" s="251" t="str">
        <f t="shared" si="190"/>
        <v/>
      </c>
      <c r="HD24" s="251" t="str">
        <f t="shared" si="191"/>
        <v/>
      </c>
      <c r="HE24" s="251" t="str">
        <f t="shared" si="192"/>
        <v/>
      </c>
      <c r="HF24" s="251" t="str">
        <f t="shared" si="193"/>
        <v/>
      </c>
      <c r="HG24" s="251" t="str">
        <f t="shared" si="194"/>
        <v/>
      </c>
      <c r="HH24" s="251" t="str">
        <f t="shared" si="195"/>
        <v/>
      </c>
      <c r="HI24" s="251" t="str">
        <f t="shared" si="196"/>
        <v/>
      </c>
      <c r="HJ24" s="251" t="str">
        <f t="shared" si="197"/>
        <v/>
      </c>
      <c r="HK24" s="251" t="str">
        <f t="shared" si="198"/>
        <v/>
      </c>
      <c r="HL24" s="251" t="str">
        <f t="shared" si="199"/>
        <v/>
      </c>
      <c r="HM24" s="251" t="str">
        <f t="shared" si="200"/>
        <v/>
      </c>
      <c r="HN24" s="251" t="str">
        <f t="shared" si="201"/>
        <v/>
      </c>
      <c r="HO24" s="251" t="str">
        <f t="shared" si="202"/>
        <v/>
      </c>
      <c r="HP24" s="251" t="str">
        <f t="shared" si="203"/>
        <v/>
      </c>
      <c r="HQ24" s="251" t="str">
        <f t="shared" si="204"/>
        <v/>
      </c>
      <c r="HR24" s="251" t="str">
        <f t="shared" si="205"/>
        <v/>
      </c>
      <c r="HS24" s="251" t="str">
        <f t="shared" si="206"/>
        <v/>
      </c>
      <c r="HT24" s="251" t="str">
        <f t="shared" si="207"/>
        <v/>
      </c>
      <c r="HU24" s="251" t="str">
        <f t="shared" si="208"/>
        <v/>
      </c>
      <c r="HV24" s="251" t="str">
        <f t="shared" si="209"/>
        <v/>
      </c>
      <c r="HW24" s="251" t="str">
        <f t="shared" si="210"/>
        <v/>
      </c>
      <c r="HX24" s="251" t="str">
        <f t="shared" si="211"/>
        <v/>
      </c>
      <c r="HY24" s="251" t="str">
        <f t="shared" si="212"/>
        <v/>
      </c>
      <c r="HZ24" s="251" t="str">
        <f t="shared" si="213"/>
        <v/>
      </c>
      <c r="IA24" s="251" t="str">
        <f t="shared" si="214"/>
        <v/>
      </c>
      <c r="IB24" s="251" t="str">
        <f t="shared" si="215"/>
        <v/>
      </c>
      <c r="IC24" s="251" t="str">
        <f t="shared" si="216"/>
        <v/>
      </c>
      <c r="ID24" s="251" t="str">
        <f t="shared" si="217"/>
        <v/>
      </c>
      <c r="IE24" s="251" t="str">
        <f t="shared" si="218"/>
        <v/>
      </c>
      <c r="IF24" s="251" t="str">
        <f t="shared" si="219"/>
        <v/>
      </c>
      <c r="IG24" s="251" t="str">
        <f t="shared" si="220"/>
        <v/>
      </c>
      <c r="IH24" s="251">
        <f t="shared" si="221"/>
        <v>9</v>
      </c>
      <c r="II24" s="251" t="str">
        <f t="shared" si="222"/>
        <v/>
      </c>
      <c r="IJ24" s="251" t="str">
        <f t="shared" si="223"/>
        <v/>
      </c>
      <c r="IK24" s="251" t="str">
        <f t="shared" si="224"/>
        <v/>
      </c>
      <c r="IL24" s="251" t="str">
        <f t="shared" si="225"/>
        <v/>
      </c>
      <c r="IM24" s="251" t="str">
        <f t="shared" si="226"/>
        <v/>
      </c>
      <c r="IN24" s="251" t="str">
        <f t="shared" si="227"/>
        <v/>
      </c>
      <c r="IO24" s="251" t="str">
        <f t="shared" si="228"/>
        <v/>
      </c>
      <c r="IP24" s="251" t="str">
        <f t="shared" si="229"/>
        <v/>
      </c>
      <c r="IQ24" s="251" t="str">
        <f t="shared" si="230"/>
        <v/>
      </c>
      <c r="IR24" s="251" t="str">
        <f t="shared" si="231"/>
        <v/>
      </c>
      <c r="IS24" s="251" t="str">
        <f t="shared" si="232"/>
        <v/>
      </c>
      <c r="IT24" s="251" t="str">
        <f t="shared" si="233"/>
        <v/>
      </c>
      <c r="IU24" s="251" t="str">
        <f t="shared" si="234"/>
        <v/>
      </c>
      <c r="IV24" s="251" t="str">
        <f t="shared" si="235"/>
        <v/>
      </c>
      <c r="IW24" s="251" t="str">
        <f t="shared" si="236"/>
        <v/>
      </c>
      <c r="IX24" s="251" t="str">
        <f t="shared" si="237"/>
        <v/>
      </c>
      <c r="IY24" s="251" t="str">
        <f t="shared" si="238"/>
        <v/>
      </c>
      <c r="IZ24" s="251" t="str">
        <f t="shared" si="239"/>
        <v/>
      </c>
      <c r="JA24" s="251" t="str">
        <f t="shared" si="240"/>
        <v/>
      </c>
      <c r="JB24" s="251" t="str">
        <f t="shared" si="241"/>
        <v/>
      </c>
      <c r="JC24" s="251" t="str">
        <f t="shared" si="242"/>
        <v/>
      </c>
      <c r="JD24" s="251" t="str">
        <f t="shared" si="243"/>
        <v/>
      </c>
      <c r="JE24" s="251" t="str">
        <f t="shared" si="244"/>
        <v/>
      </c>
      <c r="JF24" s="251" t="str">
        <f t="shared" si="245"/>
        <v/>
      </c>
      <c r="JG24" s="251" t="str">
        <f t="shared" si="246"/>
        <v/>
      </c>
      <c r="JH24" s="251" t="str">
        <f t="shared" si="247"/>
        <v/>
      </c>
      <c r="JI24" s="1297" t="str">
        <f t="shared" si="248"/>
        <v/>
      </c>
      <c r="JJ24" s="1297" t="str">
        <f t="shared" si="249"/>
        <v/>
      </c>
      <c r="JK24" s="1297" t="str">
        <f t="shared" si="250"/>
        <v/>
      </c>
      <c r="JL24" s="1297">
        <f t="shared" si="251"/>
        <v>9</v>
      </c>
      <c r="JM24" s="1297" t="str">
        <f t="shared" si="252"/>
        <v/>
      </c>
      <c r="JN24" s="1297" t="str">
        <f t="shared" si="253"/>
        <v/>
      </c>
      <c r="JO24" s="1297" t="str">
        <f t="shared" si="254"/>
        <v/>
      </c>
      <c r="JP24" s="1297" t="str">
        <f t="shared" si="255"/>
        <v/>
      </c>
      <c r="JQ24" s="1297" t="str">
        <f t="shared" si="256"/>
        <v/>
      </c>
      <c r="JR24" s="1297" t="str">
        <f t="shared" si="257"/>
        <v/>
      </c>
      <c r="JS24" s="1297" t="str">
        <f t="shared" si="258"/>
        <v/>
      </c>
      <c r="JT24" s="1297" t="str">
        <f t="shared" si="259"/>
        <v/>
      </c>
      <c r="JU24" s="1297" t="str">
        <f t="shared" si="260"/>
        <v/>
      </c>
      <c r="JV24" s="1297" t="str">
        <f t="shared" si="261"/>
        <v/>
      </c>
      <c r="JW24" s="1297" t="str">
        <f t="shared" si="262"/>
        <v/>
      </c>
      <c r="JX24" s="1297" t="str">
        <f t="shared" si="263"/>
        <v/>
      </c>
      <c r="JY24" s="1297" t="str">
        <f t="shared" si="264"/>
        <v/>
      </c>
      <c r="JZ24" s="1297" t="str">
        <f t="shared" si="265"/>
        <v/>
      </c>
      <c r="KA24" s="1297" t="str">
        <f t="shared" si="266"/>
        <v/>
      </c>
      <c r="KB24" s="1297" t="str">
        <f t="shared" si="267"/>
        <v/>
      </c>
      <c r="KC24" s="1297" t="str">
        <f t="shared" si="268"/>
        <v/>
      </c>
      <c r="KD24" s="1297" t="str">
        <f t="shared" si="269"/>
        <v/>
      </c>
      <c r="KE24" s="1297" t="str">
        <f t="shared" si="270"/>
        <v/>
      </c>
      <c r="KF24" s="1297" t="str">
        <f t="shared" si="271"/>
        <v/>
      </c>
      <c r="KG24" s="1297" t="str">
        <f t="shared" si="272"/>
        <v/>
      </c>
      <c r="KH24" s="1297" t="str">
        <f t="shared" si="273"/>
        <v/>
      </c>
      <c r="KI24" s="1297" t="str">
        <f t="shared" si="274"/>
        <v/>
      </c>
      <c r="KJ24" s="1297" t="str">
        <f t="shared" si="275"/>
        <v/>
      </c>
      <c r="KK24" s="1297" t="str">
        <f t="shared" si="276"/>
        <v/>
      </c>
      <c r="KL24" s="1297" t="str">
        <f t="shared" si="277"/>
        <v/>
      </c>
      <c r="KM24" s="1297" t="str">
        <f t="shared" si="278"/>
        <v/>
      </c>
      <c r="KN24" s="1297" t="str">
        <f t="shared" si="279"/>
        <v/>
      </c>
      <c r="KO24" s="1297" t="str">
        <f t="shared" si="280"/>
        <v/>
      </c>
      <c r="KP24" s="1297" t="str">
        <f t="shared" si="281"/>
        <v/>
      </c>
      <c r="KQ24" s="1297" t="str">
        <f t="shared" si="282"/>
        <v/>
      </c>
      <c r="KR24" s="1297" t="str">
        <f t="shared" si="283"/>
        <v/>
      </c>
      <c r="KS24" s="1297" t="str">
        <f t="shared" si="284"/>
        <v/>
      </c>
      <c r="KT24" s="1297" t="str">
        <f t="shared" si="285"/>
        <v/>
      </c>
      <c r="KU24" s="1297" t="str">
        <f t="shared" si="286"/>
        <v/>
      </c>
      <c r="KV24" s="1297" t="str">
        <f t="shared" si="287"/>
        <v/>
      </c>
      <c r="KW24" s="1297" t="str">
        <f t="shared" si="288"/>
        <v/>
      </c>
      <c r="KX24" s="1297" t="str">
        <f t="shared" si="289"/>
        <v/>
      </c>
      <c r="KY24" s="1297" t="str">
        <f t="shared" si="290"/>
        <v/>
      </c>
      <c r="KZ24" s="1297" t="str">
        <f t="shared" si="291"/>
        <v/>
      </c>
      <c r="LA24" s="1297" t="str">
        <f t="shared" si="292"/>
        <v/>
      </c>
      <c r="LB24" s="1297" t="str">
        <f t="shared" si="293"/>
        <v/>
      </c>
      <c r="LC24" s="1297" t="str">
        <f t="shared" si="294"/>
        <v/>
      </c>
      <c r="LD24" s="1297" t="str">
        <f t="shared" si="295"/>
        <v/>
      </c>
      <c r="LE24" s="1297">
        <f t="shared" si="296"/>
        <v>9</v>
      </c>
      <c r="LF24" s="1297" t="str">
        <f t="shared" si="297"/>
        <v/>
      </c>
      <c r="LG24" s="1297" t="str">
        <f t="shared" si="298"/>
        <v/>
      </c>
      <c r="LH24" s="1297" t="str">
        <f t="shared" si="299"/>
        <v/>
      </c>
      <c r="LI24" s="1297" t="str">
        <f t="shared" si="300"/>
        <v/>
      </c>
      <c r="LJ24" s="1297" t="str">
        <f t="shared" si="301"/>
        <v/>
      </c>
      <c r="LK24" s="1297" t="str">
        <f t="shared" si="302"/>
        <v/>
      </c>
      <c r="LL24" s="1297" t="str">
        <f t="shared" si="303"/>
        <v/>
      </c>
      <c r="LM24" s="1297" t="str">
        <f t="shared" si="304"/>
        <v/>
      </c>
      <c r="LN24" s="1297" t="str">
        <f t="shared" si="305"/>
        <v/>
      </c>
      <c r="LO24" s="1297" t="str">
        <f t="shared" si="306"/>
        <v/>
      </c>
      <c r="LP24" s="1297" t="str">
        <f t="shared" si="307"/>
        <v/>
      </c>
      <c r="LQ24" s="1297" t="str">
        <f t="shared" si="308"/>
        <v/>
      </c>
      <c r="LR24" s="1297" t="str">
        <f t="shared" si="309"/>
        <v/>
      </c>
      <c r="LS24" s="1297" t="str">
        <f t="shared" si="310"/>
        <v/>
      </c>
      <c r="LT24" s="1297" t="str">
        <f t="shared" si="311"/>
        <v/>
      </c>
      <c r="LU24" s="1297" t="str">
        <f t="shared" si="312"/>
        <v/>
      </c>
      <c r="LV24" s="1297" t="str">
        <f t="shared" si="313"/>
        <v/>
      </c>
      <c r="LW24" s="1297" t="str">
        <f t="shared" si="314"/>
        <v/>
      </c>
      <c r="LX24" s="1297" t="str">
        <f t="shared" si="315"/>
        <v/>
      </c>
      <c r="LY24" s="1297" t="str">
        <f t="shared" si="316"/>
        <v/>
      </c>
      <c r="LZ24" s="1297" t="str">
        <f t="shared" si="317"/>
        <v/>
      </c>
      <c r="MA24" s="1297" t="str">
        <f t="shared" si="318"/>
        <v/>
      </c>
      <c r="MB24" s="1297" t="str">
        <f t="shared" si="319"/>
        <v/>
      </c>
      <c r="MC24" s="1297" t="str">
        <f t="shared" si="320"/>
        <v/>
      </c>
      <c r="MD24" s="1297" t="str">
        <f t="shared" si="321"/>
        <v/>
      </c>
      <c r="ME24" s="1297" t="str">
        <f t="shared" si="322"/>
        <v/>
      </c>
      <c r="MF24" s="1297" t="str">
        <f t="shared" si="323"/>
        <v/>
      </c>
      <c r="MG24" s="1297" t="str">
        <f t="shared" si="324"/>
        <v/>
      </c>
      <c r="MH24" s="1297" t="str">
        <f t="shared" si="325"/>
        <v/>
      </c>
      <c r="MI24" s="1297" t="str">
        <f t="shared" si="326"/>
        <v/>
      </c>
      <c r="MJ24" s="1297" t="str">
        <f t="shared" si="327"/>
        <v/>
      </c>
      <c r="MK24" s="1297" t="str">
        <f t="shared" si="328"/>
        <v/>
      </c>
      <c r="ML24" s="1297" t="str">
        <f t="shared" si="329"/>
        <v/>
      </c>
      <c r="MM24" s="1297" t="str">
        <f t="shared" si="330"/>
        <v/>
      </c>
      <c r="MN24" s="1297" t="str">
        <f t="shared" si="331"/>
        <v/>
      </c>
      <c r="MO24" s="1297" t="str">
        <f t="shared" si="332"/>
        <v/>
      </c>
      <c r="MP24" s="1773" t="str">
        <f t="shared" si="333"/>
        <v/>
      </c>
      <c r="MQ24" s="1773" t="str">
        <f t="shared" si="334"/>
        <v/>
      </c>
      <c r="MR24" s="1773" t="str">
        <f t="shared" si="335"/>
        <v/>
      </c>
      <c r="MS24" s="1773" t="str">
        <f t="shared" si="336"/>
        <v/>
      </c>
      <c r="MT24" s="1773" t="str">
        <f t="shared" si="337"/>
        <v/>
      </c>
      <c r="MU24" s="251" t="str">
        <f t="shared" si="338"/>
        <v/>
      </c>
      <c r="MV24" s="251" t="str">
        <f t="shared" si="339"/>
        <v/>
      </c>
      <c r="MW24" s="251" t="str">
        <f t="shared" si="340"/>
        <v/>
      </c>
      <c r="MX24" s="251" t="str">
        <f t="shared" si="341"/>
        <v/>
      </c>
      <c r="MY24" s="251" t="str">
        <f t="shared" si="342"/>
        <v/>
      </c>
      <c r="MZ24" s="251" t="str">
        <f t="shared" si="343"/>
        <v/>
      </c>
      <c r="NA24" s="251" t="str">
        <f t="shared" si="344"/>
        <v/>
      </c>
      <c r="NB24" s="251" t="str">
        <f t="shared" si="345"/>
        <v/>
      </c>
      <c r="NC24" s="251" t="str">
        <f t="shared" si="346"/>
        <v/>
      </c>
      <c r="ND24" s="251" t="str">
        <f t="shared" si="347"/>
        <v/>
      </c>
      <c r="NE24" s="251" t="str">
        <f t="shared" si="348"/>
        <v/>
      </c>
      <c r="NF24" s="251" t="str">
        <f t="shared" si="349"/>
        <v/>
      </c>
      <c r="NG24" s="251" t="str">
        <f t="shared" si="350"/>
        <v/>
      </c>
      <c r="NH24" s="251" t="str">
        <f t="shared" si="351"/>
        <v/>
      </c>
      <c r="NI24" s="251" t="str">
        <f t="shared" si="352"/>
        <v/>
      </c>
      <c r="NJ24" s="251" t="str">
        <f t="shared" si="353"/>
        <v/>
      </c>
      <c r="NK24" s="251" t="str">
        <f t="shared" si="354"/>
        <v/>
      </c>
      <c r="NL24" s="251" t="str">
        <f t="shared" si="355"/>
        <v/>
      </c>
      <c r="NM24" s="251" t="str">
        <f t="shared" si="356"/>
        <v/>
      </c>
      <c r="NN24" s="251" t="str">
        <f t="shared" si="357"/>
        <v/>
      </c>
      <c r="NO24" s="1185">
        <f t="shared" si="358"/>
        <v>0</v>
      </c>
      <c r="NP24" s="1185">
        <f t="shared" si="359"/>
        <v>0</v>
      </c>
      <c r="NQ24" s="1185">
        <f t="shared" si="360"/>
        <v>0</v>
      </c>
      <c r="NR24" s="1185">
        <f t="shared" si="361"/>
        <v>9</v>
      </c>
      <c r="NS24" s="1185">
        <f t="shared" si="362"/>
        <v>0</v>
      </c>
      <c r="NT24" s="1185">
        <f t="shared" si="368"/>
        <v>0</v>
      </c>
      <c r="NU24" s="1185">
        <f t="shared" si="369"/>
        <v>0</v>
      </c>
      <c r="NV24" s="1185">
        <f t="shared" si="370"/>
        <v>0</v>
      </c>
      <c r="NW24" s="1185">
        <f t="shared" si="371"/>
        <v>0</v>
      </c>
      <c r="NX24" s="1185">
        <f t="shared" si="372"/>
        <v>0</v>
      </c>
      <c r="NY24" s="1185">
        <f t="shared" si="363"/>
        <v>0</v>
      </c>
      <c r="NZ24" s="1185">
        <f t="shared" si="364"/>
        <v>0</v>
      </c>
      <c r="OA24" s="1185">
        <f t="shared" si="365"/>
        <v>0</v>
      </c>
      <c r="OB24" s="1185">
        <f t="shared" si="366"/>
        <v>0</v>
      </c>
      <c r="OC24" s="1185">
        <f t="shared" si="367"/>
        <v>0</v>
      </c>
      <c r="OY24" s="1794" t="s">
        <v>1172</v>
      </c>
      <c r="OZ24" s="1799">
        <v>24</v>
      </c>
    </row>
    <row r="25" spans="1:416" ht="12" customHeight="1">
      <c r="A25" s="53" t="str">
        <f t="shared" si="0"/>
        <v/>
      </c>
      <c r="B25" s="782"/>
      <c r="C25" s="85"/>
      <c r="D25" s="1187"/>
      <c r="E25" s="86"/>
      <c r="F25" s="86"/>
      <c r="G25" s="86"/>
      <c r="H25" s="86"/>
      <c r="I25" s="86"/>
      <c r="J25" s="765">
        <f>IF(C25="",0,HLOOKUP(C25,'Part IV-Utility Allowances'!$I$11:$M$25,15))</f>
        <v>0</v>
      </c>
      <c r="K25" s="473"/>
      <c r="L25" s="330">
        <f t="shared" si="1"/>
        <v>0</v>
      </c>
      <c r="M25" s="330">
        <f t="shared" si="2"/>
        <v>0</v>
      </c>
      <c r="N25" s="506"/>
      <c r="O25" s="1134"/>
      <c r="P25" s="506"/>
      <c r="Q25" s="87"/>
      <c r="R25" s="540"/>
      <c r="S25" s="541"/>
      <c r="T25" s="3758"/>
      <c r="U25" s="3759"/>
      <c r="V25" s="3759"/>
      <c r="W25" s="3760"/>
      <c r="X25" s="251" t="str">
        <f t="shared" si="3"/>
        <v/>
      </c>
      <c r="Y25" s="251" t="str">
        <f t="shared" si="4"/>
        <v/>
      </c>
      <c r="Z25" s="251" t="str">
        <f t="shared" si="5"/>
        <v/>
      </c>
      <c r="AA25" s="251" t="str">
        <f t="shared" si="6"/>
        <v/>
      </c>
      <c r="AB25" s="251" t="str">
        <f t="shared" si="7"/>
        <v/>
      </c>
      <c r="AC25" s="251" t="str">
        <f t="shared" si="8"/>
        <v/>
      </c>
      <c r="AD25" s="251" t="str">
        <f t="shared" si="9"/>
        <v/>
      </c>
      <c r="AE25" s="251" t="str">
        <f t="shared" si="10"/>
        <v/>
      </c>
      <c r="AF25" s="251" t="str">
        <f t="shared" si="11"/>
        <v/>
      </c>
      <c r="AG25" s="251" t="str">
        <f t="shared" si="12"/>
        <v/>
      </c>
      <c r="AH25" s="251" t="str">
        <f t="shared" si="13"/>
        <v/>
      </c>
      <c r="AI25" s="251" t="str">
        <f t="shared" si="14"/>
        <v/>
      </c>
      <c r="AJ25" s="251" t="str">
        <f t="shared" si="15"/>
        <v/>
      </c>
      <c r="AK25" s="251" t="str">
        <f t="shared" si="16"/>
        <v/>
      </c>
      <c r="AL25" s="251" t="str">
        <f t="shared" si="17"/>
        <v/>
      </c>
      <c r="AM25" s="251" t="str">
        <f t="shared" si="18"/>
        <v/>
      </c>
      <c r="AN25" s="251" t="str">
        <f t="shared" si="19"/>
        <v/>
      </c>
      <c r="AO25" s="251" t="str">
        <f t="shared" si="20"/>
        <v/>
      </c>
      <c r="AP25" s="251" t="str">
        <f t="shared" si="21"/>
        <v/>
      </c>
      <c r="AQ25" s="251" t="str">
        <f t="shared" si="22"/>
        <v/>
      </c>
      <c r="AR25" s="251" t="str">
        <f t="shared" si="23"/>
        <v/>
      </c>
      <c r="AS25" s="251" t="str">
        <f t="shared" si="24"/>
        <v/>
      </c>
      <c r="AT25" s="251" t="str">
        <f t="shared" si="25"/>
        <v/>
      </c>
      <c r="AU25" s="251" t="str">
        <f t="shared" si="26"/>
        <v/>
      </c>
      <c r="AV25" s="251" t="str">
        <f t="shared" si="27"/>
        <v/>
      </c>
      <c r="AW25" s="251" t="str">
        <f t="shared" si="28"/>
        <v/>
      </c>
      <c r="AX25" s="251" t="str">
        <f t="shared" si="29"/>
        <v/>
      </c>
      <c r="AY25" s="251" t="str">
        <f t="shared" si="30"/>
        <v/>
      </c>
      <c r="AZ25" s="251" t="str">
        <f t="shared" si="31"/>
        <v/>
      </c>
      <c r="BA25" s="251" t="str">
        <f t="shared" si="32"/>
        <v/>
      </c>
      <c r="BB25" s="251" t="str">
        <f t="shared" si="33"/>
        <v/>
      </c>
      <c r="BC25" s="251" t="str">
        <f t="shared" si="34"/>
        <v/>
      </c>
      <c r="BD25" s="251" t="str">
        <f t="shared" si="35"/>
        <v/>
      </c>
      <c r="BE25" s="251" t="str">
        <f t="shared" si="36"/>
        <v/>
      </c>
      <c r="BF25" s="251" t="str">
        <f t="shared" si="37"/>
        <v/>
      </c>
      <c r="BG25" s="251" t="str">
        <f t="shared" si="38"/>
        <v/>
      </c>
      <c r="BH25" s="251" t="str">
        <f t="shared" si="39"/>
        <v/>
      </c>
      <c r="BI25" s="251" t="str">
        <f t="shared" si="40"/>
        <v/>
      </c>
      <c r="BJ25" s="251" t="str">
        <f t="shared" si="41"/>
        <v/>
      </c>
      <c r="BK25" s="251" t="str">
        <f t="shared" si="42"/>
        <v/>
      </c>
      <c r="BL25" s="251" t="str">
        <f t="shared" si="43"/>
        <v/>
      </c>
      <c r="BM25" s="251" t="str">
        <f t="shared" si="44"/>
        <v/>
      </c>
      <c r="BN25" s="251" t="str">
        <f t="shared" si="45"/>
        <v/>
      </c>
      <c r="BO25" s="251" t="str">
        <f t="shared" si="46"/>
        <v/>
      </c>
      <c r="BP25" s="251" t="str">
        <f t="shared" si="47"/>
        <v/>
      </c>
      <c r="BQ25" s="251" t="str">
        <f t="shared" si="48"/>
        <v/>
      </c>
      <c r="BR25" s="251" t="str">
        <f t="shared" si="49"/>
        <v/>
      </c>
      <c r="BS25" s="251" t="str">
        <f t="shared" si="50"/>
        <v/>
      </c>
      <c r="BT25" s="251" t="str">
        <f t="shared" si="51"/>
        <v/>
      </c>
      <c r="BU25" s="251" t="str">
        <f t="shared" si="52"/>
        <v/>
      </c>
      <c r="BV25" s="251" t="str">
        <f t="shared" si="53"/>
        <v/>
      </c>
      <c r="BW25" s="251" t="str">
        <f t="shared" si="54"/>
        <v/>
      </c>
      <c r="BX25" s="251" t="str">
        <f t="shared" si="55"/>
        <v/>
      </c>
      <c r="BY25" s="251" t="str">
        <f t="shared" si="56"/>
        <v/>
      </c>
      <c r="BZ25" s="251" t="str">
        <f t="shared" si="57"/>
        <v/>
      </c>
      <c r="CA25" s="251" t="str">
        <f t="shared" si="58"/>
        <v/>
      </c>
      <c r="CB25" s="251" t="str">
        <f t="shared" si="59"/>
        <v/>
      </c>
      <c r="CC25" s="251" t="str">
        <f t="shared" si="60"/>
        <v/>
      </c>
      <c r="CD25" s="251" t="str">
        <f t="shared" si="61"/>
        <v/>
      </c>
      <c r="CE25" s="251" t="str">
        <f t="shared" si="62"/>
        <v/>
      </c>
      <c r="CF25" s="251" t="str">
        <f t="shared" si="63"/>
        <v/>
      </c>
      <c r="CG25" s="251" t="str">
        <f t="shared" si="64"/>
        <v/>
      </c>
      <c r="CH25" s="251" t="str">
        <f t="shared" si="65"/>
        <v/>
      </c>
      <c r="CI25" s="251" t="str">
        <f t="shared" si="66"/>
        <v/>
      </c>
      <c r="CJ25" s="251" t="str">
        <f t="shared" si="67"/>
        <v/>
      </c>
      <c r="CK25" s="251" t="str">
        <f t="shared" si="68"/>
        <v/>
      </c>
      <c r="CL25" s="251" t="str">
        <f t="shared" si="69"/>
        <v/>
      </c>
      <c r="CM25" s="251" t="str">
        <f t="shared" si="70"/>
        <v/>
      </c>
      <c r="CN25" s="251" t="str">
        <f t="shared" si="71"/>
        <v/>
      </c>
      <c r="CO25" s="251" t="str">
        <f t="shared" si="72"/>
        <v/>
      </c>
      <c r="CP25" s="251" t="str">
        <f t="shared" si="73"/>
        <v/>
      </c>
      <c r="CQ25" s="251" t="str">
        <f t="shared" si="74"/>
        <v/>
      </c>
      <c r="CR25" s="251" t="str">
        <f t="shared" si="75"/>
        <v/>
      </c>
      <c r="CS25" s="251" t="str">
        <f t="shared" si="76"/>
        <v/>
      </c>
      <c r="CT25" s="251" t="str">
        <f t="shared" si="77"/>
        <v/>
      </c>
      <c r="CU25" s="251" t="str">
        <f t="shared" si="78"/>
        <v/>
      </c>
      <c r="CV25" s="251" t="str">
        <f t="shared" si="79"/>
        <v/>
      </c>
      <c r="CW25" s="251" t="str">
        <f t="shared" si="80"/>
        <v/>
      </c>
      <c r="CX25" s="251" t="str">
        <f t="shared" si="81"/>
        <v/>
      </c>
      <c r="CY25" s="251" t="str">
        <f t="shared" si="82"/>
        <v/>
      </c>
      <c r="CZ25" s="251" t="str">
        <f t="shared" si="83"/>
        <v/>
      </c>
      <c r="DA25" s="251" t="str">
        <f t="shared" si="84"/>
        <v/>
      </c>
      <c r="DB25" s="251" t="str">
        <f t="shared" si="85"/>
        <v/>
      </c>
      <c r="DC25" s="251" t="str">
        <f t="shared" si="86"/>
        <v/>
      </c>
      <c r="DD25" s="251" t="str">
        <f t="shared" si="87"/>
        <v/>
      </c>
      <c r="DE25" s="251" t="str">
        <f t="shared" si="88"/>
        <v/>
      </c>
      <c r="DF25" s="251" t="str">
        <f t="shared" si="89"/>
        <v/>
      </c>
      <c r="DG25" s="251" t="str">
        <f t="shared" si="90"/>
        <v/>
      </c>
      <c r="DH25" s="251" t="str">
        <f t="shared" si="91"/>
        <v/>
      </c>
      <c r="DI25" s="251" t="str">
        <f t="shared" si="92"/>
        <v/>
      </c>
      <c r="DJ25" s="251" t="str">
        <f t="shared" si="93"/>
        <v/>
      </c>
      <c r="DK25" s="251" t="str">
        <f t="shared" si="94"/>
        <v/>
      </c>
      <c r="DL25" s="251" t="str">
        <f t="shared" si="95"/>
        <v/>
      </c>
      <c r="DM25" s="251" t="str">
        <f t="shared" si="96"/>
        <v/>
      </c>
      <c r="DN25" s="251" t="str">
        <f t="shared" si="97"/>
        <v/>
      </c>
      <c r="DO25" s="251" t="str">
        <f t="shared" si="98"/>
        <v/>
      </c>
      <c r="DP25" s="251" t="str">
        <f t="shared" si="99"/>
        <v/>
      </c>
      <c r="DQ25" s="251" t="str">
        <f t="shared" si="100"/>
        <v/>
      </c>
      <c r="DR25" s="251" t="str">
        <f t="shared" si="101"/>
        <v/>
      </c>
      <c r="DS25" s="251" t="str">
        <f t="shared" si="102"/>
        <v/>
      </c>
      <c r="DT25" s="251" t="str">
        <f t="shared" si="103"/>
        <v/>
      </c>
      <c r="DU25" s="251" t="str">
        <f t="shared" si="104"/>
        <v/>
      </c>
      <c r="DV25" s="251" t="str">
        <f t="shared" si="105"/>
        <v/>
      </c>
      <c r="DW25" s="251" t="str">
        <f t="shared" si="106"/>
        <v/>
      </c>
      <c r="DX25" s="251" t="str">
        <f t="shared" si="107"/>
        <v/>
      </c>
      <c r="DY25" s="251" t="str">
        <f t="shared" si="108"/>
        <v/>
      </c>
      <c r="DZ25" s="251" t="str">
        <f t="shared" si="109"/>
        <v/>
      </c>
      <c r="EA25" s="251" t="str">
        <f t="shared" si="110"/>
        <v/>
      </c>
      <c r="EB25" s="251" t="str">
        <f t="shared" si="111"/>
        <v/>
      </c>
      <c r="EC25" s="251" t="str">
        <f t="shared" si="112"/>
        <v/>
      </c>
      <c r="ED25" s="251" t="str">
        <f t="shared" si="113"/>
        <v/>
      </c>
      <c r="EE25" s="251" t="str">
        <f t="shared" si="114"/>
        <v/>
      </c>
      <c r="EF25" s="251" t="str">
        <f t="shared" si="115"/>
        <v/>
      </c>
      <c r="EG25" s="251" t="str">
        <f t="shared" si="116"/>
        <v/>
      </c>
      <c r="EH25" s="251" t="str">
        <f t="shared" si="117"/>
        <v/>
      </c>
      <c r="EI25" s="251" t="str">
        <f t="shared" si="118"/>
        <v/>
      </c>
      <c r="EJ25" s="251" t="str">
        <f t="shared" si="119"/>
        <v/>
      </c>
      <c r="EK25" s="251" t="str">
        <f t="shared" si="120"/>
        <v/>
      </c>
      <c r="EL25" s="251" t="str">
        <f t="shared" si="121"/>
        <v/>
      </c>
      <c r="EM25" s="251" t="str">
        <f t="shared" si="122"/>
        <v/>
      </c>
      <c r="EN25" s="251" t="str">
        <f t="shared" si="123"/>
        <v/>
      </c>
      <c r="EO25" s="251" t="str">
        <f t="shared" si="124"/>
        <v/>
      </c>
      <c r="EP25" s="251" t="str">
        <f t="shared" si="125"/>
        <v/>
      </c>
      <c r="EQ25" s="251" t="str">
        <f t="shared" si="126"/>
        <v/>
      </c>
      <c r="ER25" s="251" t="str">
        <f t="shared" si="127"/>
        <v/>
      </c>
      <c r="ES25" s="251" t="str">
        <f t="shared" si="128"/>
        <v/>
      </c>
      <c r="ET25" s="251" t="str">
        <f t="shared" si="129"/>
        <v/>
      </c>
      <c r="EU25" s="251" t="str">
        <f t="shared" si="130"/>
        <v/>
      </c>
      <c r="EV25" s="251" t="str">
        <f t="shared" si="131"/>
        <v/>
      </c>
      <c r="EW25" s="251" t="str">
        <f t="shared" si="132"/>
        <v/>
      </c>
      <c r="EX25" s="251" t="str">
        <f t="shared" si="133"/>
        <v/>
      </c>
      <c r="EY25" s="251" t="str">
        <f t="shared" si="134"/>
        <v/>
      </c>
      <c r="EZ25" s="251" t="str">
        <f t="shared" si="135"/>
        <v/>
      </c>
      <c r="FA25" s="251" t="str">
        <f t="shared" si="136"/>
        <v/>
      </c>
      <c r="FB25" s="251" t="str">
        <f t="shared" si="137"/>
        <v/>
      </c>
      <c r="FC25" s="251" t="str">
        <f t="shared" si="138"/>
        <v/>
      </c>
      <c r="FD25" s="251" t="str">
        <f t="shared" si="139"/>
        <v/>
      </c>
      <c r="FE25" s="251" t="str">
        <f t="shared" si="140"/>
        <v/>
      </c>
      <c r="FF25" s="251" t="str">
        <f t="shared" si="141"/>
        <v/>
      </c>
      <c r="FG25" s="251" t="str">
        <f t="shared" si="142"/>
        <v/>
      </c>
      <c r="FH25" s="251" t="str">
        <f t="shared" si="143"/>
        <v/>
      </c>
      <c r="FI25" s="251" t="str">
        <f t="shared" si="144"/>
        <v/>
      </c>
      <c r="FJ25" s="251" t="str">
        <f t="shared" si="145"/>
        <v/>
      </c>
      <c r="FK25" s="251" t="str">
        <f t="shared" si="146"/>
        <v/>
      </c>
      <c r="FL25" s="251" t="str">
        <f t="shared" si="147"/>
        <v/>
      </c>
      <c r="FM25" s="251" t="str">
        <f t="shared" si="148"/>
        <v/>
      </c>
      <c r="FN25" s="251" t="str">
        <f t="shared" si="149"/>
        <v/>
      </c>
      <c r="FO25" s="251" t="str">
        <f t="shared" si="150"/>
        <v/>
      </c>
      <c r="FP25" s="251" t="str">
        <f t="shared" si="151"/>
        <v/>
      </c>
      <c r="FQ25" s="251" t="str">
        <f t="shared" si="152"/>
        <v/>
      </c>
      <c r="FR25" s="251" t="str">
        <f t="shared" si="153"/>
        <v/>
      </c>
      <c r="FS25" s="251" t="str">
        <f t="shared" si="154"/>
        <v/>
      </c>
      <c r="FT25" s="251" t="str">
        <f t="shared" si="155"/>
        <v/>
      </c>
      <c r="FU25" s="251" t="str">
        <f t="shared" si="156"/>
        <v/>
      </c>
      <c r="FV25" s="251" t="str">
        <f t="shared" si="157"/>
        <v/>
      </c>
      <c r="FW25" s="251" t="str">
        <f t="shared" si="158"/>
        <v/>
      </c>
      <c r="FX25" s="251" t="str">
        <f t="shared" si="159"/>
        <v/>
      </c>
      <c r="FY25" s="251" t="str">
        <f t="shared" si="160"/>
        <v/>
      </c>
      <c r="FZ25" s="251" t="str">
        <f t="shared" si="161"/>
        <v/>
      </c>
      <c r="GA25" s="251" t="str">
        <f t="shared" si="162"/>
        <v/>
      </c>
      <c r="GB25" s="251" t="str">
        <f t="shared" si="163"/>
        <v/>
      </c>
      <c r="GC25" s="251" t="str">
        <f t="shared" si="164"/>
        <v/>
      </c>
      <c r="GD25" s="251" t="str">
        <f t="shared" si="165"/>
        <v/>
      </c>
      <c r="GE25" s="251" t="str">
        <f t="shared" si="166"/>
        <v/>
      </c>
      <c r="GF25" s="251" t="str">
        <f t="shared" si="167"/>
        <v/>
      </c>
      <c r="GG25" s="251" t="str">
        <f t="shared" si="168"/>
        <v/>
      </c>
      <c r="GH25" s="251" t="str">
        <f t="shared" si="169"/>
        <v/>
      </c>
      <c r="GI25" s="251" t="str">
        <f t="shared" si="170"/>
        <v/>
      </c>
      <c r="GJ25" s="251" t="str">
        <f t="shared" si="171"/>
        <v/>
      </c>
      <c r="GK25" s="251" t="str">
        <f t="shared" si="172"/>
        <v/>
      </c>
      <c r="GL25" s="251" t="str">
        <f t="shared" si="173"/>
        <v/>
      </c>
      <c r="GM25" s="251" t="str">
        <f t="shared" si="174"/>
        <v/>
      </c>
      <c r="GN25" s="251" t="str">
        <f t="shared" si="175"/>
        <v/>
      </c>
      <c r="GO25" s="251" t="str">
        <f t="shared" si="176"/>
        <v/>
      </c>
      <c r="GP25" s="251" t="str">
        <f t="shared" si="177"/>
        <v/>
      </c>
      <c r="GQ25" s="251" t="str">
        <f t="shared" si="178"/>
        <v/>
      </c>
      <c r="GR25" s="251" t="str">
        <f t="shared" si="179"/>
        <v/>
      </c>
      <c r="GS25" s="251" t="str">
        <f t="shared" si="180"/>
        <v/>
      </c>
      <c r="GT25" s="251" t="str">
        <f t="shared" si="181"/>
        <v/>
      </c>
      <c r="GU25" s="251" t="str">
        <f t="shared" si="182"/>
        <v/>
      </c>
      <c r="GV25" s="251" t="str">
        <f t="shared" si="183"/>
        <v/>
      </c>
      <c r="GW25" s="251" t="str">
        <f t="shared" si="184"/>
        <v/>
      </c>
      <c r="GX25" s="251" t="str">
        <f t="shared" si="185"/>
        <v/>
      </c>
      <c r="GY25" s="251" t="str">
        <f t="shared" si="186"/>
        <v/>
      </c>
      <c r="GZ25" s="251" t="str">
        <f t="shared" si="187"/>
        <v/>
      </c>
      <c r="HA25" s="251" t="str">
        <f t="shared" si="188"/>
        <v/>
      </c>
      <c r="HB25" s="251" t="str">
        <f t="shared" si="189"/>
        <v/>
      </c>
      <c r="HC25" s="251" t="str">
        <f t="shared" si="190"/>
        <v/>
      </c>
      <c r="HD25" s="251" t="str">
        <f t="shared" si="191"/>
        <v/>
      </c>
      <c r="HE25" s="251" t="str">
        <f t="shared" si="192"/>
        <v/>
      </c>
      <c r="HF25" s="251" t="str">
        <f t="shared" si="193"/>
        <v/>
      </c>
      <c r="HG25" s="251" t="str">
        <f t="shared" si="194"/>
        <v/>
      </c>
      <c r="HH25" s="251" t="str">
        <f t="shared" si="195"/>
        <v/>
      </c>
      <c r="HI25" s="251" t="str">
        <f t="shared" si="196"/>
        <v/>
      </c>
      <c r="HJ25" s="251" t="str">
        <f t="shared" si="197"/>
        <v/>
      </c>
      <c r="HK25" s="251" t="str">
        <f t="shared" si="198"/>
        <v/>
      </c>
      <c r="HL25" s="251" t="str">
        <f t="shared" si="199"/>
        <v/>
      </c>
      <c r="HM25" s="251" t="str">
        <f t="shared" si="200"/>
        <v/>
      </c>
      <c r="HN25" s="251" t="str">
        <f t="shared" si="201"/>
        <v/>
      </c>
      <c r="HO25" s="251" t="str">
        <f t="shared" si="202"/>
        <v/>
      </c>
      <c r="HP25" s="251" t="str">
        <f t="shared" si="203"/>
        <v/>
      </c>
      <c r="HQ25" s="251" t="str">
        <f t="shared" si="204"/>
        <v/>
      </c>
      <c r="HR25" s="251" t="str">
        <f t="shared" si="205"/>
        <v/>
      </c>
      <c r="HS25" s="251" t="str">
        <f t="shared" si="206"/>
        <v/>
      </c>
      <c r="HT25" s="251" t="str">
        <f t="shared" si="207"/>
        <v/>
      </c>
      <c r="HU25" s="251" t="str">
        <f t="shared" si="208"/>
        <v/>
      </c>
      <c r="HV25" s="251" t="str">
        <f t="shared" si="209"/>
        <v/>
      </c>
      <c r="HW25" s="251" t="str">
        <f t="shared" si="210"/>
        <v/>
      </c>
      <c r="HX25" s="251" t="str">
        <f t="shared" si="211"/>
        <v/>
      </c>
      <c r="HY25" s="251" t="str">
        <f t="shared" si="212"/>
        <v/>
      </c>
      <c r="HZ25" s="251" t="str">
        <f t="shared" si="213"/>
        <v/>
      </c>
      <c r="IA25" s="251" t="str">
        <f t="shared" si="214"/>
        <v/>
      </c>
      <c r="IB25" s="251" t="str">
        <f t="shared" si="215"/>
        <v/>
      </c>
      <c r="IC25" s="251" t="str">
        <f t="shared" si="216"/>
        <v/>
      </c>
      <c r="ID25" s="251" t="str">
        <f t="shared" si="217"/>
        <v/>
      </c>
      <c r="IE25" s="251" t="str">
        <f t="shared" si="218"/>
        <v/>
      </c>
      <c r="IF25" s="251" t="str">
        <f t="shared" si="219"/>
        <v/>
      </c>
      <c r="IG25" s="251" t="str">
        <f t="shared" si="220"/>
        <v/>
      </c>
      <c r="IH25" s="251" t="str">
        <f t="shared" si="221"/>
        <v/>
      </c>
      <c r="II25" s="251" t="str">
        <f t="shared" si="222"/>
        <v/>
      </c>
      <c r="IJ25" s="251" t="str">
        <f t="shared" si="223"/>
        <v/>
      </c>
      <c r="IK25" s="251" t="str">
        <f t="shared" si="224"/>
        <v/>
      </c>
      <c r="IL25" s="251" t="str">
        <f t="shared" si="225"/>
        <v/>
      </c>
      <c r="IM25" s="251" t="str">
        <f t="shared" si="226"/>
        <v/>
      </c>
      <c r="IN25" s="251" t="str">
        <f t="shared" si="227"/>
        <v/>
      </c>
      <c r="IO25" s="251" t="str">
        <f t="shared" si="228"/>
        <v/>
      </c>
      <c r="IP25" s="251" t="str">
        <f t="shared" si="229"/>
        <v/>
      </c>
      <c r="IQ25" s="251" t="str">
        <f t="shared" si="230"/>
        <v/>
      </c>
      <c r="IR25" s="251" t="str">
        <f t="shared" si="231"/>
        <v/>
      </c>
      <c r="IS25" s="251" t="str">
        <f t="shared" si="232"/>
        <v/>
      </c>
      <c r="IT25" s="251" t="str">
        <f t="shared" si="233"/>
        <v/>
      </c>
      <c r="IU25" s="251" t="str">
        <f t="shared" si="234"/>
        <v/>
      </c>
      <c r="IV25" s="251" t="str">
        <f t="shared" si="235"/>
        <v/>
      </c>
      <c r="IW25" s="251" t="str">
        <f t="shared" si="236"/>
        <v/>
      </c>
      <c r="IX25" s="251" t="str">
        <f t="shared" si="237"/>
        <v/>
      </c>
      <c r="IY25" s="251" t="str">
        <f t="shared" si="238"/>
        <v/>
      </c>
      <c r="IZ25" s="251" t="str">
        <f t="shared" si="239"/>
        <v/>
      </c>
      <c r="JA25" s="251" t="str">
        <f t="shared" si="240"/>
        <v/>
      </c>
      <c r="JB25" s="251" t="str">
        <f t="shared" si="241"/>
        <v/>
      </c>
      <c r="JC25" s="251" t="str">
        <f t="shared" si="242"/>
        <v/>
      </c>
      <c r="JD25" s="251" t="str">
        <f t="shared" si="243"/>
        <v/>
      </c>
      <c r="JE25" s="251" t="str">
        <f t="shared" si="244"/>
        <v/>
      </c>
      <c r="JF25" s="251" t="str">
        <f t="shared" si="245"/>
        <v/>
      </c>
      <c r="JG25" s="251" t="str">
        <f t="shared" si="246"/>
        <v/>
      </c>
      <c r="JH25" s="251" t="str">
        <f t="shared" si="247"/>
        <v/>
      </c>
      <c r="JI25" s="1297" t="str">
        <f t="shared" si="248"/>
        <v/>
      </c>
      <c r="JJ25" s="1297" t="str">
        <f t="shared" si="249"/>
        <v/>
      </c>
      <c r="JK25" s="1297" t="str">
        <f t="shared" si="250"/>
        <v/>
      </c>
      <c r="JL25" s="1297" t="str">
        <f t="shared" si="251"/>
        <v/>
      </c>
      <c r="JM25" s="1297" t="str">
        <f t="shared" si="252"/>
        <v/>
      </c>
      <c r="JN25" s="1297" t="str">
        <f t="shared" si="253"/>
        <v/>
      </c>
      <c r="JO25" s="1297" t="str">
        <f t="shared" si="254"/>
        <v/>
      </c>
      <c r="JP25" s="1297" t="str">
        <f t="shared" si="255"/>
        <v/>
      </c>
      <c r="JQ25" s="1297" t="str">
        <f t="shared" si="256"/>
        <v/>
      </c>
      <c r="JR25" s="1297" t="str">
        <f t="shared" si="257"/>
        <v/>
      </c>
      <c r="JS25" s="1297" t="str">
        <f t="shared" si="258"/>
        <v/>
      </c>
      <c r="JT25" s="1297" t="str">
        <f t="shared" si="259"/>
        <v/>
      </c>
      <c r="JU25" s="1297" t="str">
        <f t="shared" si="260"/>
        <v/>
      </c>
      <c r="JV25" s="1297" t="str">
        <f t="shared" si="261"/>
        <v/>
      </c>
      <c r="JW25" s="1297" t="str">
        <f t="shared" si="262"/>
        <v/>
      </c>
      <c r="JX25" s="1297" t="str">
        <f t="shared" si="263"/>
        <v/>
      </c>
      <c r="JY25" s="1297" t="str">
        <f t="shared" si="264"/>
        <v/>
      </c>
      <c r="JZ25" s="1297" t="str">
        <f t="shared" si="265"/>
        <v/>
      </c>
      <c r="KA25" s="1297" t="str">
        <f t="shared" si="266"/>
        <v/>
      </c>
      <c r="KB25" s="1297" t="str">
        <f t="shared" si="267"/>
        <v/>
      </c>
      <c r="KC25" s="1297" t="str">
        <f t="shared" si="268"/>
        <v/>
      </c>
      <c r="KD25" s="1297" t="str">
        <f t="shared" si="269"/>
        <v/>
      </c>
      <c r="KE25" s="1297" t="str">
        <f t="shared" si="270"/>
        <v/>
      </c>
      <c r="KF25" s="1297" t="str">
        <f t="shared" si="271"/>
        <v/>
      </c>
      <c r="KG25" s="1297" t="str">
        <f t="shared" si="272"/>
        <v/>
      </c>
      <c r="KH25" s="1297" t="str">
        <f t="shared" si="273"/>
        <v/>
      </c>
      <c r="KI25" s="1297" t="str">
        <f t="shared" si="274"/>
        <v/>
      </c>
      <c r="KJ25" s="1297" t="str">
        <f t="shared" si="275"/>
        <v/>
      </c>
      <c r="KK25" s="1297" t="str">
        <f t="shared" si="276"/>
        <v/>
      </c>
      <c r="KL25" s="1297" t="str">
        <f t="shared" si="277"/>
        <v/>
      </c>
      <c r="KM25" s="1297" t="str">
        <f t="shared" si="278"/>
        <v/>
      </c>
      <c r="KN25" s="1297" t="str">
        <f t="shared" si="279"/>
        <v/>
      </c>
      <c r="KO25" s="1297" t="str">
        <f t="shared" si="280"/>
        <v/>
      </c>
      <c r="KP25" s="1297" t="str">
        <f t="shared" si="281"/>
        <v/>
      </c>
      <c r="KQ25" s="1297" t="str">
        <f t="shared" si="282"/>
        <v/>
      </c>
      <c r="KR25" s="1297" t="str">
        <f t="shared" si="283"/>
        <v/>
      </c>
      <c r="KS25" s="1297" t="str">
        <f t="shared" si="284"/>
        <v/>
      </c>
      <c r="KT25" s="1297" t="str">
        <f t="shared" si="285"/>
        <v/>
      </c>
      <c r="KU25" s="1297" t="str">
        <f t="shared" si="286"/>
        <v/>
      </c>
      <c r="KV25" s="1297" t="str">
        <f t="shared" si="287"/>
        <v/>
      </c>
      <c r="KW25" s="1297" t="str">
        <f t="shared" si="288"/>
        <v/>
      </c>
      <c r="KX25" s="1297" t="str">
        <f t="shared" si="289"/>
        <v/>
      </c>
      <c r="KY25" s="1297" t="str">
        <f t="shared" si="290"/>
        <v/>
      </c>
      <c r="KZ25" s="1297" t="str">
        <f t="shared" si="291"/>
        <v/>
      </c>
      <c r="LA25" s="1297" t="str">
        <f t="shared" si="292"/>
        <v/>
      </c>
      <c r="LB25" s="1297" t="str">
        <f t="shared" si="293"/>
        <v/>
      </c>
      <c r="LC25" s="1297" t="str">
        <f t="shared" si="294"/>
        <v/>
      </c>
      <c r="LD25" s="1297" t="str">
        <f t="shared" si="295"/>
        <v/>
      </c>
      <c r="LE25" s="1297" t="str">
        <f t="shared" si="296"/>
        <v/>
      </c>
      <c r="LF25" s="1297" t="str">
        <f t="shared" si="297"/>
        <v/>
      </c>
      <c r="LG25" s="1297" t="str">
        <f t="shared" si="298"/>
        <v/>
      </c>
      <c r="LH25" s="1297" t="str">
        <f t="shared" si="299"/>
        <v/>
      </c>
      <c r="LI25" s="1297" t="str">
        <f t="shared" si="300"/>
        <v/>
      </c>
      <c r="LJ25" s="1297" t="str">
        <f t="shared" si="301"/>
        <v/>
      </c>
      <c r="LK25" s="1297" t="str">
        <f t="shared" si="302"/>
        <v/>
      </c>
      <c r="LL25" s="1297" t="str">
        <f t="shared" si="303"/>
        <v/>
      </c>
      <c r="LM25" s="1297" t="str">
        <f t="shared" si="304"/>
        <v/>
      </c>
      <c r="LN25" s="1297" t="str">
        <f t="shared" si="305"/>
        <v/>
      </c>
      <c r="LO25" s="1297" t="str">
        <f t="shared" si="306"/>
        <v/>
      </c>
      <c r="LP25" s="1297" t="str">
        <f t="shared" si="307"/>
        <v/>
      </c>
      <c r="LQ25" s="1297" t="str">
        <f t="shared" si="308"/>
        <v/>
      </c>
      <c r="LR25" s="1297" t="str">
        <f t="shared" si="309"/>
        <v/>
      </c>
      <c r="LS25" s="1297" t="str">
        <f t="shared" si="310"/>
        <v/>
      </c>
      <c r="LT25" s="1297" t="str">
        <f t="shared" si="311"/>
        <v/>
      </c>
      <c r="LU25" s="1297" t="str">
        <f t="shared" si="312"/>
        <v/>
      </c>
      <c r="LV25" s="1297" t="str">
        <f t="shared" si="313"/>
        <v/>
      </c>
      <c r="LW25" s="1297" t="str">
        <f t="shared" si="314"/>
        <v/>
      </c>
      <c r="LX25" s="1297" t="str">
        <f t="shared" si="315"/>
        <v/>
      </c>
      <c r="LY25" s="1297" t="str">
        <f t="shared" si="316"/>
        <v/>
      </c>
      <c r="LZ25" s="1297" t="str">
        <f t="shared" si="317"/>
        <v/>
      </c>
      <c r="MA25" s="1297" t="str">
        <f t="shared" si="318"/>
        <v/>
      </c>
      <c r="MB25" s="1297" t="str">
        <f t="shared" si="319"/>
        <v/>
      </c>
      <c r="MC25" s="1297" t="str">
        <f t="shared" si="320"/>
        <v/>
      </c>
      <c r="MD25" s="1297" t="str">
        <f t="shared" si="321"/>
        <v/>
      </c>
      <c r="ME25" s="1297" t="str">
        <f t="shared" si="322"/>
        <v/>
      </c>
      <c r="MF25" s="1297" t="str">
        <f t="shared" si="323"/>
        <v/>
      </c>
      <c r="MG25" s="1297" t="str">
        <f t="shared" si="324"/>
        <v/>
      </c>
      <c r="MH25" s="1297" t="str">
        <f t="shared" si="325"/>
        <v/>
      </c>
      <c r="MI25" s="1297" t="str">
        <f t="shared" si="326"/>
        <v/>
      </c>
      <c r="MJ25" s="1297" t="str">
        <f t="shared" si="327"/>
        <v/>
      </c>
      <c r="MK25" s="1297" t="str">
        <f t="shared" si="328"/>
        <v/>
      </c>
      <c r="ML25" s="1297" t="str">
        <f t="shared" si="329"/>
        <v/>
      </c>
      <c r="MM25" s="1297" t="str">
        <f t="shared" si="330"/>
        <v/>
      </c>
      <c r="MN25" s="1297" t="str">
        <f t="shared" si="331"/>
        <v/>
      </c>
      <c r="MO25" s="1297" t="str">
        <f t="shared" si="332"/>
        <v/>
      </c>
      <c r="MP25" s="1773" t="str">
        <f t="shared" si="333"/>
        <v/>
      </c>
      <c r="MQ25" s="1773" t="str">
        <f t="shared" si="334"/>
        <v/>
      </c>
      <c r="MR25" s="1773" t="str">
        <f t="shared" si="335"/>
        <v/>
      </c>
      <c r="MS25" s="1773" t="str">
        <f t="shared" si="336"/>
        <v/>
      </c>
      <c r="MT25" s="1773" t="str">
        <f t="shared" si="337"/>
        <v/>
      </c>
      <c r="MU25" s="251" t="str">
        <f t="shared" si="338"/>
        <v/>
      </c>
      <c r="MV25" s="251" t="str">
        <f t="shared" si="339"/>
        <v/>
      </c>
      <c r="MW25" s="251" t="str">
        <f t="shared" si="340"/>
        <v/>
      </c>
      <c r="MX25" s="251" t="str">
        <f t="shared" si="341"/>
        <v/>
      </c>
      <c r="MY25" s="251" t="str">
        <f t="shared" si="342"/>
        <v/>
      </c>
      <c r="MZ25" s="251" t="str">
        <f t="shared" si="343"/>
        <v/>
      </c>
      <c r="NA25" s="251" t="str">
        <f t="shared" si="344"/>
        <v/>
      </c>
      <c r="NB25" s="251" t="str">
        <f t="shared" si="345"/>
        <v/>
      </c>
      <c r="NC25" s="251" t="str">
        <f t="shared" si="346"/>
        <v/>
      </c>
      <c r="ND25" s="251" t="str">
        <f t="shared" si="347"/>
        <v/>
      </c>
      <c r="NE25" s="251" t="str">
        <f t="shared" si="348"/>
        <v/>
      </c>
      <c r="NF25" s="251" t="str">
        <f t="shared" si="349"/>
        <v/>
      </c>
      <c r="NG25" s="251" t="str">
        <f t="shared" si="350"/>
        <v/>
      </c>
      <c r="NH25" s="251" t="str">
        <f t="shared" si="351"/>
        <v/>
      </c>
      <c r="NI25" s="251" t="str">
        <f t="shared" si="352"/>
        <v/>
      </c>
      <c r="NJ25" s="251" t="str">
        <f t="shared" si="353"/>
        <v/>
      </c>
      <c r="NK25" s="251" t="str">
        <f t="shared" si="354"/>
        <v/>
      </c>
      <c r="NL25" s="251" t="str">
        <f t="shared" si="355"/>
        <v/>
      </c>
      <c r="NM25" s="251" t="str">
        <f t="shared" si="356"/>
        <v/>
      </c>
      <c r="NN25" s="251" t="str">
        <f t="shared" si="357"/>
        <v/>
      </c>
      <c r="NO25" s="1185">
        <f t="shared" si="358"/>
        <v>0</v>
      </c>
      <c r="NP25" s="1185">
        <f t="shared" si="359"/>
        <v>0</v>
      </c>
      <c r="NQ25" s="1185">
        <f t="shared" si="360"/>
        <v>0</v>
      </c>
      <c r="NR25" s="1185">
        <f t="shared" si="361"/>
        <v>0</v>
      </c>
      <c r="NS25" s="1185">
        <f t="shared" si="362"/>
        <v>0</v>
      </c>
      <c r="NT25" s="1185">
        <f t="shared" si="368"/>
        <v>0</v>
      </c>
      <c r="NU25" s="1185">
        <f t="shared" si="369"/>
        <v>0</v>
      </c>
      <c r="NV25" s="1185">
        <f t="shared" si="370"/>
        <v>0</v>
      </c>
      <c r="NW25" s="1185">
        <f t="shared" si="371"/>
        <v>0</v>
      </c>
      <c r="NX25" s="1185">
        <f t="shared" si="372"/>
        <v>0</v>
      </c>
      <c r="NY25" s="1185">
        <f t="shared" si="363"/>
        <v>0</v>
      </c>
      <c r="NZ25" s="1185">
        <f t="shared" si="364"/>
        <v>0</v>
      </c>
      <c r="OA25" s="1185">
        <f t="shared" si="365"/>
        <v>0</v>
      </c>
      <c r="OB25" s="1185">
        <f t="shared" si="366"/>
        <v>0</v>
      </c>
      <c r="OC25" s="1185">
        <f t="shared" si="367"/>
        <v>0</v>
      </c>
      <c r="OY25" s="1794" t="s">
        <v>1173</v>
      </c>
      <c r="OZ25" s="1798">
        <v>25</v>
      </c>
    </row>
    <row r="26" spans="1:416" ht="12" customHeight="1">
      <c r="A26" s="53" t="str">
        <f t="shared" si="0"/>
        <v/>
      </c>
      <c r="B26" s="782">
        <v>50</v>
      </c>
      <c r="C26" s="85">
        <v>1</v>
      </c>
      <c r="D26" s="1187">
        <v>1</v>
      </c>
      <c r="E26" s="86">
        <v>5</v>
      </c>
      <c r="F26" s="86">
        <v>769</v>
      </c>
      <c r="G26" s="86">
        <v>772</v>
      </c>
      <c r="H26" s="86">
        <f t="shared" ref="H26:H28" si="374">G26-10</f>
        <v>762</v>
      </c>
      <c r="I26" s="86">
        <v>0</v>
      </c>
      <c r="J26" s="765">
        <f>IF(C26="",0,HLOOKUP(C26,'Part IV-Utility Allowances'!$I$11:$M$25,15))</f>
        <v>175</v>
      </c>
      <c r="K26" s="473"/>
      <c r="L26" s="330">
        <f t="shared" si="1"/>
        <v>587</v>
      </c>
      <c r="M26" s="330">
        <f t="shared" si="2"/>
        <v>2935</v>
      </c>
      <c r="N26" s="506" t="s">
        <v>7474</v>
      </c>
      <c r="O26" s="1134" t="s">
        <v>1259</v>
      </c>
      <c r="P26" s="506" t="s">
        <v>7678</v>
      </c>
      <c r="Q26" s="87" t="s">
        <v>7474</v>
      </c>
      <c r="R26" s="540"/>
      <c r="S26" s="541"/>
      <c r="T26" s="3758"/>
      <c r="U26" s="3759"/>
      <c r="V26" s="3759"/>
      <c r="W26" s="3760"/>
      <c r="X26" s="251" t="str">
        <f t="shared" si="3"/>
        <v/>
      </c>
      <c r="Y26" s="251" t="str">
        <f t="shared" si="4"/>
        <v/>
      </c>
      <c r="Z26" s="251" t="str">
        <f t="shared" si="5"/>
        <v/>
      </c>
      <c r="AA26" s="251" t="str">
        <f t="shared" si="6"/>
        <v/>
      </c>
      <c r="AB26" s="251" t="str">
        <f t="shared" si="7"/>
        <v/>
      </c>
      <c r="AC26" s="251" t="str">
        <f t="shared" si="8"/>
        <v/>
      </c>
      <c r="AD26" s="251" t="str">
        <f t="shared" si="9"/>
        <v/>
      </c>
      <c r="AE26" s="251" t="str">
        <f t="shared" si="10"/>
        <v/>
      </c>
      <c r="AF26" s="251" t="str">
        <f t="shared" si="11"/>
        <v/>
      </c>
      <c r="AG26" s="251" t="str">
        <f t="shared" si="12"/>
        <v/>
      </c>
      <c r="AH26" s="251" t="str">
        <f t="shared" si="13"/>
        <v/>
      </c>
      <c r="AI26" s="251" t="str">
        <f t="shared" si="14"/>
        <v/>
      </c>
      <c r="AJ26" s="251" t="str">
        <f t="shared" si="15"/>
        <v/>
      </c>
      <c r="AK26" s="251" t="str">
        <f t="shared" si="16"/>
        <v/>
      </c>
      <c r="AL26" s="251" t="str">
        <f t="shared" si="17"/>
        <v/>
      </c>
      <c r="AM26" s="251" t="str">
        <f t="shared" si="18"/>
        <v/>
      </c>
      <c r="AN26" s="251">
        <f t="shared" si="19"/>
        <v>5</v>
      </c>
      <c r="AO26" s="251" t="str">
        <f t="shared" si="20"/>
        <v/>
      </c>
      <c r="AP26" s="251" t="str">
        <f t="shared" si="21"/>
        <v/>
      </c>
      <c r="AQ26" s="251" t="str">
        <f t="shared" si="22"/>
        <v/>
      </c>
      <c r="AR26" s="251" t="str">
        <f t="shared" si="23"/>
        <v/>
      </c>
      <c r="AS26" s="251" t="str">
        <f t="shared" si="24"/>
        <v/>
      </c>
      <c r="AT26" s="251" t="str">
        <f t="shared" si="25"/>
        <v/>
      </c>
      <c r="AU26" s="251" t="str">
        <f t="shared" si="26"/>
        <v/>
      </c>
      <c r="AV26" s="251" t="str">
        <f t="shared" si="27"/>
        <v/>
      </c>
      <c r="AW26" s="251" t="str">
        <f t="shared" si="28"/>
        <v/>
      </c>
      <c r="AX26" s="251" t="str">
        <f t="shared" si="29"/>
        <v/>
      </c>
      <c r="AY26" s="251" t="str">
        <f t="shared" si="30"/>
        <v/>
      </c>
      <c r="AZ26" s="251" t="str">
        <f t="shared" si="31"/>
        <v/>
      </c>
      <c r="BA26" s="251" t="str">
        <f t="shared" si="32"/>
        <v/>
      </c>
      <c r="BB26" s="251" t="str">
        <f t="shared" si="33"/>
        <v/>
      </c>
      <c r="BC26" s="251" t="str">
        <f t="shared" si="34"/>
        <v/>
      </c>
      <c r="BD26" s="251" t="str">
        <f t="shared" si="35"/>
        <v/>
      </c>
      <c r="BE26" s="251" t="str">
        <f t="shared" si="36"/>
        <v/>
      </c>
      <c r="BF26" s="251" t="str">
        <f t="shared" si="37"/>
        <v/>
      </c>
      <c r="BG26" s="251" t="str">
        <f t="shared" si="38"/>
        <v/>
      </c>
      <c r="BH26" s="251" t="str">
        <f t="shared" si="39"/>
        <v/>
      </c>
      <c r="BI26" s="251" t="str">
        <f t="shared" si="40"/>
        <v/>
      </c>
      <c r="BJ26" s="251" t="str">
        <f t="shared" si="41"/>
        <v/>
      </c>
      <c r="BK26" s="251" t="str">
        <f t="shared" si="42"/>
        <v/>
      </c>
      <c r="BL26" s="251" t="str">
        <f t="shared" si="43"/>
        <v/>
      </c>
      <c r="BM26" s="251" t="str">
        <f t="shared" si="44"/>
        <v/>
      </c>
      <c r="BN26" s="251" t="str">
        <f t="shared" si="45"/>
        <v/>
      </c>
      <c r="BO26" s="251" t="str">
        <f t="shared" si="46"/>
        <v/>
      </c>
      <c r="BP26" s="251" t="str">
        <f t="shared" si="47"/>
        <v/>
      </c>
      <c r="BQ26" s="251" t="str">
        <f t="shared" si="48"/>
        <v/>
      </c>
      <c r="BR26" s="251" t="str">
        <f t="shared" si="49"/>
        <v/>
      </c>
      <c r="BS26" s="251" t="str">
        <f t="shared" si="50"/>
        <v/>
      </c>
      <c r="BT26" s="251" t="str">
        <f t="shared" si="51"/>
        <v/>
      </c>
      <c r="BU26" s="251" t="str">
        <f t="shared" si="52"/>
        <v/>
      </c>
      <c r="BV26" s="251" t="str">
        <f t="shared" si="53"/>
        <v/>
      </c>
      <c r="BW26" s="251" t="str">
        <f t="shared" si="54"/>
        <v/>
      </c>
      <c r="BX26" s="251" t="str">
        <f t="shared" si="55"/>
        <v/>
      </c>
      <c r="BY26" s="251" t="str">
        <f t="shared" si="56"/>
        <v/>
      </c>
      <c r="BZ26" s="251" t="str">
        <f t="shared" si="57"/>
        <v/>
      </c>
      <c r="CA26" s="251" t="str">
        <f t="shared" si="58"/>
        <v/>
      </c>
      <c r="CB26" s="251" t="str">
        <f t="shared" si="59"/>
        <v/>
      </c>
      <c r="CC26" s="251" t="str">
        <f t="shared" si="60"/>
        <v/>
      </c>
      <c r="CD26" s="251" t="str">
        <f t="shared" si="61"/>
        <v/>
      </c>
      <c r="CE26" s="251" t="str">
        <f t="shared" si="62"/>
        <v/>
      </c>
      <c r="CF26" s="251" t="str">
        <f t="shared" si="63"/>
        <v/>
      </c>
      <c r="CG26" s="251" t="str">
        <f t="shared" si="64"/>
        <v/>
      </c>
      <c r="CH26" s="251" t="str">
        <f t="shared" si="65"/>
        <v/>
      </c>
      <c r="CI26" s="251" t="str">
        <f t="shared" si="66"/>
        <v/>
      </c>
      <c r="CJ26" s="251" t="str">
        <f t="shared" si="67"/>
        <v/>
      </c>
      <c r="CK26" s="251" t="str">
        <f t="shared" si="68"/>
        <v/>
      </c>
      <c r="CL26" s="251" t="str">
        <f t="shared" si="69"/>
        <v/>
      </c>
      <c r="CM26" s="251" t="str">
        <f t="shared" si="70"/>
        <v/>
      </c>
      <c r="CN26" s="251" t="str">
        <f t="shared" si="71"/>
        <v/>
      </c>
      <c r="CO26" s="251" t="str">
        <f t="shared" si="72"/>
        <v/>
      </c>
      <c r="CP26" s="251" t="str">
        <f t="shared" si="73"/>
        <v/>
      </c>
      <c r="CQ26" s="251" t="str">
        <f t="shared" si="74"/>
        <v/>
      </c>
      <c r="CR26" s="251" t="str">
        <f t="shared" si="75"/>
        <v/>
      </c>
      <c r="CS26" s="251" t="str">
        <f t="shared" si="76"/>
        <v/>
      </c>
      <c r="CT26" s="251" t="str">
        <f t="shared" si="77"/>
        <v/>
      </c>
      <c r="CU26" s="251" t="str">
        <f t="shared" si="78"/>
        <v/>
      </c>
      <c r="CV26" s="251" t="str">
        <f t="shared" si="79"/>
        <v/>
      </c>
      <c r="CW26" s="251" t="str">
        <f t="shared" si="80"/>
        <v/>
      </c>
      <c r="CX26" s="251" t="str">
        <f t="shared" si="81"/>
        <v/>
      </c>
      <c r="CY26" s="251" t="str">
        <f t="shared" si="82"/>
        <v/>
      </c>
      <c r="CZ26" s="251" t="str">
        <f t="shared" si="83"/>
        <v/>
      </c>
      <c r="DA26" s="251" t="str">
        <f t="shared" si="84"/>
        <v/>
      </c>
      <c r="DB26" s="251" t="str">
        <f t="shared" si="85"/>
        <v/>
      </c>
      <c r="DC26" s="251" t="str">
        <f t="shared" si="86"/>
        <v/>
      </c>
      <c r="DD26" s="251" t="str">
        <f t="shared" si="87"/>
        <v/>
      </c>
      <c r="DE26" s="251" t="str">
        <f t="shared" si="88"/>
        <v/>
      </c>
      <c r="DF26" s="251" t="str">
        <f t="shared" si="89"/>
        <v/>
      </c>
      <c r="DG26" s="251" t="str">
        <f t="shared" si="90"/>
        <v/>
      </c>
      <c r="DH26" s="251" t="str">
        <f t="shared" si="91"/>
        <v/>
      </c>
      <c r="DI26" s="251" t="str">
        <f t="shared" si="92"/>
        <v/>
      </c>
      <c r="DJ26" s="251" t="str">
        <f t="shared" si="93"/>
        <v/>
      </c>
      <c r="DK26" s="251" t="str">
        <f t="shared" si="94"/>
        <v/>
      </c>
      <c r="DL26" s="251" t="str">
        <f t="shared" si="95"/>
        <v/>
      </c>
      <c r="DM26" s="251" t="str">
        <f t="shared" si="96"/>
        <v/>
      </c>
      <c r="DN26" s="251" t="str">
        <f t="shared" si="97"/>
        <v/>
      </c>
      <c r="DO26" s="251" t="str">
        <f t="shared" si="98"/>
        <v/>
      </c>
      <c r="DP26" s="251" t="str">
        <f t="shared" si="99"/>
        <v/>
      </c>
      <c r="DQ26" s="251" t="str">
        <f t="shared" si="100"/>
        <v/>
      </c>
      <c r="DR26" s="251" t="str">
        <f t="shared" si="101"/>
        <v/>
      </c>
      <c r="DS26" s="251" t="str">
        <f t="shared" si="102"/>
        <v/>
      </c>
      <c r="DT26" s="251" t="str">
        <f t="shared" si="103"/>
        <v/>
      </c>
      <c r="DU26" s="251" t="str">
        <f t="shared" si="104"/>
        <v/>
      </c>
      <c r="DV26" s="251" t="str">
        <f t="shared" si="105"/>
        <v/>
      </c>
      <c r="DW26" s="251" t="str">
        <f t="shared" si="106"/>
        <v/>
      </c>
      <c r="DX26" s="251" t="str">
        <f t="shared" si="107"/>
        <v/>
      </c>
      <c r="DY26" s="251" t="str">
        <f t="shared" si="108"/>
        <v/>
      </c>
      <c r="DZ26" s="251" t="str">
        <f t="shared" si="109"/>
        <v/>
      </c>
      <c r="EA26" s="251" t="str">
        <f t="shared" si="110"/>
        <v/>
      </c>
      <c r="EB26" s="251" t="str">
        <f t="shared" si="111"/>
        <v/>
      </c>
      <c r="EC26" s="251" t="str">
        <f t="shared" si="112"/>
        <v/>
      </c>
      <c r="ED26" s="251" t="str">
        <f t="shared" si="113"/>
        <v/>
      </c>
      <c r="EE26" s="251" t="str">
        <f t="shared" si="114"/>
        <v/>
      </c>
      <c r="EF26" s="251" t="str">
        <f t="shared" si="115"/>
        <v/>
      </c>
      <c r="EG26" s="251" t="str">
        <f t="shared" si="116"/>
        <v/>
      </c>
      <c r="EH26" s="251" t="str">
        <f t="shared" si="117"/>
        <v/>
      </c>
      <c r="EI26" s="251" t="str">
        <f t="shared" si="118"/>
        <v/>
      </c>
      <c r="EJ26" s="251" t="str">
        <f t="shared" si="119"/>
        <v/>
      </c>
      <c r="EK26" s="251" t="str">
        <f t="shared" si="120"/>
        <v/>
      </c>
      <c r="EL26" s="251" t="str">
        <f t="shared" si="121"/>
        <v/>
      </c>
      <c r="EM26" s="251" t="str">
        <f t="shared" si="122"/>
        <v/>
      </c>
      <c r="EN26" s="251" t="str">
        <f t="shared" si="123"/>
        <v/>
      </c>
      <c r="EO26" s="251" t="str">
        <f t="shared" si="124"/>
        <v/>
      </c>
      <c r="EP26" s="251" t="str">
        <f t="shared" si="125"/>
        <v/>
      </c>
      <c r="EQ26" s="251" t="str">
        <f t="shared" si="126"/>
        <v/>
      </c>
      <c r="ER26" s="251" t="str">
        <f t="shared" si="127"/>
        <v/>
      </c>
      <c r="ES26" s="251" t="str">
        <f t="shared" si="128"/>
        <v/>
      </c>
      <c r="ET26" s="251" t="str">
        <f t="shared" si="129"/>
        <v/>
      </c>
      <c r="EU26" s="251" t="str">
        <f t="shared" si="130"/>
        <v/>
      </c>
      <c r="EV26" s="251" t="str">
        <f t="shared" si="131"/>
        <v/>
      </c>
      <c r="EW26" s="251" t="str">
        <f t="shared" si="132"/>
        <v/>
      </c>
      <c r="EX26" s="251" t="str">
        <f t="shared" si="133"/>
        <v/>
      </c>
      <c r="EY26" s="251" t="str">
        <f t="shared" si="134"/>
        <v/>
      </c>
      <c r="EZ26" s="251" t="str">
        <f t="shared" si="135"/>
        <v/>
      </c>
      <c r="FA26" s="251" t="str">
        <f t="shared" si="136"/>
        <v/>
      </c>
      <c r="FB26" s="251" t="str">
        <f t="shared" si="137"/>
        <v/>
      </c>
      <c r="FC26" s="251" t="str">
        <f t="shared" si="138"/>
        <v/>
      </c>
      <c r="FD26" s="251" t="str">
        <f t="shared" si="139"/>
        <v/>
      </c>
      <c r="FE26" s="251" t="str">
        <f t="shared" si="140"/>
        <v/>
      </c>
      <c r="FF26" s="251" t="str">
        <f t="shared" si="141"/>
        <v/>
      </c>
      <c r="FG26" s="251" t="str">
        <f t="shared" si="142"/>
        <v/>
      </c>
      <c r="FH26" s="251" t="str">
        <f t="shared" si="143"/>
        <v/>
      </c>
      <c r="FI26" s="251" t="str">
        <f t="shared" si="144"/>
        <v/>
      </c>
      <c r="FJ26" s="251" t="str">
        <f t="shared" si="145"/>
        <v/>
      </c>
      <c r="FK26" s="251" t="str">
        <f t="shared" si="146"/>
        <v/>
      </c>
      <c r="FL26" s="251" t="str">
        <f t="shared" si="147"/>
        <v/>
      </c>
      <c r="FM26" s="251" t="str">
        <f t="shared" si="148"/>
        <v/>
      </c>
      <c r="FN26" s="251" t="str">
        <f t="shared" si="149"/>
        <v/>
      </c>
      <c r="FO26" s="251" t="str">
        <f t="shared" si="150"/>
        <v/>
      </c>
      <c r="FP26" s="251" t="str">
        <f t="shared" si="151"/>
        <v/>
      </c>
      <c r="FQ26" s="251" t="str">
        <f t="shared" si="152"/>
        <v/>
      </c>
      <c r="FR26" s="251" t="str">
        <f t="shared" si="153"/>
        <v/>
      </c>
      <c r="FS26" s="251" t="str">
        <f t="shared" si="154"/>
        <v/>
      </c>
      <c r="FT26" s="251" t="str">
        <f t="shared" si="155"/>
        <v/>
      </c>
      <c r="FU26" s="251" t="str">
        <f t="shared" si="156"/>
        <v/>
      </c>
      <c r="FV26" s="251" t="str">
        <f t="shared" si="157"/>
        <v/>
      </c>
      <c r="FW26" s="251" t="str">
        <f t="shared" si="158"/>
        <v/>
      </c>
      <c r="FX26" s="251" t="str">
        <f t="shared" si="159"/>
        <v/>
      </c>
      <c r="FY26" s="251" t="str">
        <f t="shared" si="160"/>
        <v/>
      </c>
      <c r="FZ26" s="251" t="str">
        <f t="shared" si="161"/>
        <v/>
      </c>
      <c r="GA26" s="251" t="str">
        <f t="shared" si="162"/>
        <v/>
      </c>
      <c r="GB26" s="251" t="str">
        <f t="shared" si="163"/>
        <v/>
      </c>
      <c r="GC26" s="251" t="str">
        <f t="shared" si="164"/>
        <v/>
      </c>
      <c r="GD26" s="251" t="str">
        <f t="shared" si="165"/>
        <v/>
      </c>
      <c r="GE26" s="251" t="str">
        <f t="shared" si="166"/>
        <v/>
      </c>
      <c r="GF26" s="251" t="str">
        <f t="shared" si="167"/>
        <v/>
      </c>
      <c r="GG26" s="251" t="str">
        <f t="shared" si="168"/>
        <v/>
      </c>
      <c r="GH26" s="251">
        <f t="shared" si="169"/>
        <v>3845</v>
      </c>
      <c r="GI26" s="251" t="str">
        <f t="shared" si="170"/>
        <v/>
      </c>
      <c r="GJ26" s="251" t="str">
        <f t="shared" si="171"/>
        <v/>
      </c>
      <c r="GK26" s="251" t="str">
        <f t="shared" si="172"/>
        <v/>
      </c>
      <c r="GL26" s="251" t="str">
        <f t="shared" si="173"/>
        <v/>
      </c>
      <c r="GM26" s="251" t="str">
        <f t="shared" si="174"/>
        <v/>
      </c>
      <c r="GN26" s="251" t="str">
        <f t="shared" si="175"/>
        <v/>
      </c>
      <c r="GO26" s="251" t="str">
        <f t="shared" si="176"/>
        <v/>
      </c>
      <c r="GP26" s="251" t="str">
        <f t="shared" si="177"/>
        <v/>
      </c>
      <c r="GQ26" s="251" t="str">
        <f t="shared" si="178"/>
        <v/>
      </c>
      <c r="GR26" s="251" t="str">
        <f t="shared" si="179"/>
        <v/>
      </c>
      <c r="GS26" s="251" t="str">
        <f t="shared" si="180"/>
        <v/>
      </c>
      <c r="GT26" s="251" t="str">
        <f t="shared" si="181"/>
        <v/>
      </c>
      <c r="GU26" s="251" t="str">
        <f t="shared" si="182"/>
        <v/>
      </c>
      <c r="GV26" s="251" t="str">
        <f t="shared" si="183"/>
        <v/>
      </c>
      <c r="GW26" s="251" t="str">
        <f t="shared" si="184"/>
        <v/>
      </c>
      <c r="GX26" s="251" t="str">
        <f t="shared" si="185"/>
        <v/>
      </c>
      <c r="GY26" s="251" t="str">
        <f t="shared" si="186"/>
        <v/>
      </c>
      <c r="GZ26" s="251" t="str">
        <f t="shared" si="187"/>
        <v/>
      </c>
      <c r="HA26" s="251" t="str">
        <f t="shared" si="188"/>
        <v/>
      </c>
      <c r="HB26" s="251" t="str">
        <f t="shared" si="189"/>
        <v/>
      </c>
      <c r="HC26" s="251" t="str">
        <f t="shared" si="190"/>
        <v/>
      </c>
      <c r="HD26" s="251" t="str">
        <f t="shared" si="191"/>
        <v/>
      </c>
      <c r="HE26" s="251" t="str">
        <f t="shared" si="192"/>
        <v/>
      </c>
      <c r="HF26" s="251" t="str">
        <f t="shared" si="193"/>
        <v/>
      </c>
      <c r="HG26" s="251" t="str">
        <f t="shared" si="194"/>
        <v/>
      </c>
      <c r="HH26" s="251" t="str">
        <f t="shared" si="195"/>
        <v/>
      </c>
      <c r="HI26" s="251" t="str">
        <f t="shared" si="196"/>
        <v/>
      </c>
      <c r="HJ26" s="251" t="str">
        <f t="shared" si="197"/>
        <v/>
      </c>
      <c r="HK26" s="251" t="str">
        <f t="shared" si="198"/>
        <v/>
      </c>
      <c r="HL26" s="251" t="str">
        <f t="shared" si="199"/>
        <v/>
      </c>
      <c r="HM26" s="251" t="str">
        <f t="shared" si="200"/>
        <v/>
      </c>
      <c r="HN26" s="251" t="str">
        <f t="shared" si="201"/>
        <v/>
      </c>
      <c r="HO26" s="251" t="str">
        <f t="shared" si="202"/>
        <v/>
      </c>
      <c r="HP26" s="251" t="str">
        <f t="shared" si="203"/>
        <v/>
      </c>
      <c r="HQ26" s="251" t="str">
        <f t="shared" si="204"/>
        <v/>
      </c>
      <c r="HR26" s="251" t="str">
        <f t="shared" si="205"/>
        <v/>
      </c>
      <c r="HS26" s="251" t="str">
        <f t="shared" si="206"/>
        <v/>
      </c>
      <c r="HT26" s="251" t="str">
        <f t="shared" si="207"/>
        <v/>
      </c>
      <c r="HU26" s="251" t="str">
        <f t="shared" si="208"/>
        <v/>
      </c>
      <c r="HV26" s="251" t="str">
        <f t="shared" si="209"/>
        <v/>
      </c>
      <c r="HW26" s="251" t="str">
        <f t="shared" si="210"/>
        <v/>
      </c>
      <c r="HX26" s="251" t="str">
        <f t="shared" si="211"/>
        <v/>
      </c>
      <c r="HY26" s="251" t="str">
        <f t="shared" si="212"/>
        <v/>
      </c>
      <c r="HZ26" s="251" t="str">
        <f t="shared" si="213"/>
        <v/>
      </c>
      <c r="IA26" s="251" t="str">
        <f t="shared" si="214"/>
        <v/>
      </c>
      <c r="IB26" s="251" t="str">
        <f t="shared" si="215"/>
        <v/>
      </c>
      <c r="IC26" s="251" t="str">
        <f t="shared" si="216"/>
        <v/>
      </c>
      <c r="ID26" s="251" t="str">
        <f t="shared" si="217"/>
        <v/>
      </c>
      <c r="IE26" s="251" t="str">
        <f t="shared" si="218"/>
        <v/>
      </c>
      <c r="IF26" s="251">
        <f t="shared" si="219"/>
        <v>5</v>
      </c>
      <c r="IG26" s="251" t="str">
        <f t="shared" si="220"/>
        <v/>
      </c>
      <c r="IH26" s="251" t="str">
        <f t="shared" si="221"/>
        <v/>
      </c>
      <c r="II26" s="251" t="str">
        <f t="shared" si="222"/>
        <v/>
      </c>
      <c r="IJ26" s="251" t="str">
        <f t="shared" si="223"/>
        <v/>
      </c>
      <c r="IK26" s="251" t="str">
        <f t="shared" si="224"/>
        <v/>
      </c>
      <c r="IL26" s="251" t="str">
        <f t="shared" si="225"/>
        <v/>
      </c>
      <c r="IM26" s="251" t="str">
        <f t="shared" si="226"/>
        <v/>
      </c>
      <c r="IN26" s="251" t="str">
        <f t="shared" si="227"/>
        <v/>
      </c>
      <c r="IO26" s="251" t="str">
        <f t="shared" si="228"/>
        <v/>
      </c>
      <c r="IP26" s="251" t="str">
        <f t="shared" si="229"/>
        <v/>
      </c>
      <c r="IQ26" s="251" t="str">
        <f t="shared" si="230"/>
        <v/>
      </c>
      <c r="IR26" s="251" t="str">
        <f t="shared" si="231"/>
        <v/>
      </c>
      <c r="IS26" s="251" t="str">
        <f t="shared" si="232"/>
        <v/>
      </c>
      <c r="IT26" s="251" t="str">
        <f t="shared" si="233"/>
        <v/>
      </c>
      <c r="IU26" s="251" t="str">
        <f t="shared" si="234"/>
        <v/>
      </c>
      <c r="IV26" s="251" t="str">
        <f t="shared" si="235"/>
        <v/>
      </c>
      <c r="IW26" s="251" t="str">
        <f t="shared" si="236"/>
        <v/>
      </c>
      <c r="IX26" s="251" t="str">
        <f t="shared" si="237"/>
        <v/>
      </c>
      <c r="IY26" s="251" t="str">
        <f t="shared" si="238"/>
        <v/>
      </c>
      <c r="IZ26" s="251" t="str">
        <f t="shared" si="239"/>
        <v/>
      </c>
      <c r="JA26" s="251" t="str">
        <f t="shared" si="240"/>
        <v/>
      </c>
      <c r="JB26" s="251" t="str">
        <f t="shared" si="241"/>
        <v/>
      </c>
      <c r="JC26" s="251" t="str">
        <f t="shared" si="242"/>
        <v/>
      </c>
      <c r="JD26" s="251" t="str">
        <f t="shared" si="243"/>
        <v/>
      </c>
      <c r="JE26" s="251" t="str">
        <f t="shared" si="244"/>
        <v/>
      </c>
      <c r="JF26" s="251" t="str">
        <f t="shared" si="245"/>
        <v/>
      </c>
      <c r="JG26" s="251" t="str">
        <f t="shared" si="246"/>
        <v/>
      </c>
      <c r="JH26" s="251" t="str">
        <f t="shared" si="247"/>
        <v/>
      </c>
      <c r="JI26" s="1297" t="str">
        <f t="shared" si="248"/>
        <v/>
      </c>
      <c r="JJ26" s="1297">
        <f t="shared" si="249"/>
        <v>5</v>
      </c>
      <c r="JK26" s="1297" t="str">
        <f t="shared" si="250"/>
        <v/>
      </c>
      <c r="JL26" s="1297" t="str">
        <f t="shared" si="251"/>
        <v/>
      </c>
      <c r="JM26" s="1297" t="str">
        <f t="shared" si="252"/>
        <v/>
      </c>
      <c r="JN26" s="1297" t="str">
        <f t="shared" si="253"/>
        <v/>
      </c>
      <c r="JO26" s="1297" t="str">
        <f t="shared" si="254"/>
        <v/>
      </c>
      <c r="JP26" s="1297" t="str">
        <f t="shared" si="255"/>
        <v/>
      </c>
      <c r="JQ26" s="1297" t="str">
        <f t="shared" si="256"/>
        <v/>
      </c>
      <c r="JR26" s="1297" t="str">
        <f t="shared" si="257"/>
        <v/>
      </c>
      <c r="JS26" s="1297" t="str">
        <f t="shared" si="258"/>
        <v/>
      </c>
      <c r="JT26" s="1297" t="str">
        <f t="shared" si="259"/>
        <v/>
      </c>
      <c r="JU26" s="1297" t="str">
        <f t="shared" si="260"/>
        <v/>
      </c>
      <c r="JV26" s="1297" t="str">
        <f t="shared" si="261"/>
        <v/>
      </c>
      <c r="JW26" s="1297" t="str">
        <f t="shared" si="262"/>
        <v/>
      </c>
      <c r="JX26" s="1297" t="str">
        <f t="shared" si="263"/>
        <v/>
      </c>
      <c r="JY26" s="1297" t="str">
        <f t="shared" si="264"/>
        <v/>
      </c>
      <c r="JZ26" s="1297" t="str">
        <f t="shared" si="265"/>
        <v/>
      </c>
      <c r="KA26" s="1297" t="str">
        <f t="shared" si="266"/>
        <v/>
      </c>
      <c r="KB26" s="1297" t="str">
        <f t="shared" si="267"/>
        <v/>
      </c>
      <c r="KC26" s="1297" t="str">
        <f t="shared" si="268"/>
        <v/>
      </c>
      <c r="KD26" s="1297" t="str">
        <f t="shared" si="269"/>
        <v/>
      </c>
      <c r="KE26" s="1297" t="str">
        <f t="shared" si="270"/>
        <v/>
      </c>
      <c r="KF26" s="1297" t="str">
        <f t="shared" si="271"/>
        <v/>
      </c>
      <c r="KG26" s="1297" t="str">
        <f t="shared" si="272"/>
        <v/>
      </c>
      <c r="KH26" s="1297" t="str">
        <f t="shared" si="273"/>
        <v/>
      </c>
      <c r="KI26" s="1297" t="str">
        <f t="shared" si="274"/>
        <v/>
      </c>
      <c r="KJ26" s="1297" t="str">
        <f t="shared" si="275"/>
        <v/>
      </c>
      <c r="KK26" s="1297" t="str">
        <f t="shared" si="276"/>
        <v/>
      </c>
      <c r="KL26" s="1297" t="str">
        <f t="shared" si="277"/>
        <v/>
      </c>
      <c r="KM26" s="1297" t="str">
        <f t="shared" si="278"/>
        <v/>
      </c>
      <c r="KN26" s="1297" t="str">
        <f t="shared" si="279"/>
        <v/>
      </c>
      <c r="KO26" s="1297" t="str">
        <f t="shared" si="280"/>
        <v/>
      </c>
      <c r="KP26" s="1297" t="str">
        <f t="shared" si="281"/>
        <v/>
      </c>
      <c r="KQ26" s="1297" t="str">
        <f t="shared" si="282"/>
        <v/>
      </c>
      <c r="KR26" s="1297" t="str">
        <f t="shared" si="283"/>
        <v/>
      </c>
      <c r="KS26" s="1297" t="str">
        <f t="shared" si="284"/>
        <v/>
      </c>
      <c r="KT26" s="1297" t="str">
        <f t="shared" si="285"/>
        <v/>
      </c>
      <c r="KU26" s="1297" t="str">
        <f t="shared" si="286"/>
        <v/>
      </c>
      <c r="KV26" s="1297" t="str">
        <f t="shared" si="287"/>
        <v/>
      </c>
      <c r="KW26" s="1297" t="str">
        <f t="shared" si="288"/>
        <v/>
      </c>
      <c r="KX26" s="1297" t="str">
        <f t="shared" si="289"/>
        <v/>
      </c>
      <c r="KY26" s="1297" t="str">
        <f t="shared" si="290"/>
        <v/>
      </c>
      <c r="KZ26" s="1297" t="str">
        <f t="shared" si="291"/>
        <v/>
      </c>
      <c r="LA26" s="1297" t="str">
        <f t="shared" si="292"/>
        <v/>
      </c>
      <c r="LB26" s="1297" t="str">
        <f t="shared" si="293"/>
        <v/>
      </c>
      <c r="LC26" s="1297">
        <f t="shared" si="294"/>
        <v>5</v>
      </c>
      <c r="LD26" s="1297" t="str">
        <f t="shared" si="295"/>
        <v/>
      </c>
      <c r="LE26" s="1297" t="str">
        <f t="shared" si="296"/>
        <v/>
      </c>
      <c r="LF26" s="1297" t="str">
        <f t="shared" si="297"/>
        <v/>
      </c>
      <c r="LG26" s="1297" t="str">
        <f t="shared" si="298"/>
        <v/>
      </c>
      <c r="LH26" s="1297" t="str">
        <f t="shared" si="299"/>
        <v/>
      </c>
      <c r="LI26" s="1297" t="str">
        <f t="shared" si="300"/>
        <v/>
      </c>
      <c r="LJ26" s="1297" t="str">
        <f t="shared" si="301"/>
        <v/>
      </c>
      <c r="LK26" s="1297" t="str">
        <f t="shared" si="302"/>
        <v/>
      </c>
      <c r="LL26" s="1297" t="str">
        <f t="shared" si="303"/>
        <v/>
      </c>
      <c r="LM26" s="1297" t="str">
        <f t="shared" si="304"/>
        <v/>
      </c>
      <c r="LN26" s="1297" t="str">
        <f t="shared" si="305"/>
        <v/>
      </c>
      <c r="LO26" s="1297" t="str">
        <f t="shared" si="306"/>
        <v/>
      </c>
      <c r="LP26" s="1297" t="str">
        <f t="shared" si="307"/>
        <v/>
      </c>
      <c r="LQ26" s="1297" t="str">
        <f t="shared" si="308"/>
        <v/>
      </c>
      <c r="LR26" s="1297" t="str">
        <f t="shared" si="309"/>
        <v/>
      </c>
      <c r="LS26" s="1297" t="str">
        <f t="shared" si="310"/>
        <v/>
      </c>
      <c r="LT26" s="1297" t="str">
        <f t="shared" si="311"/>
        <v/>
      </c>
      <c r="LU26" s="1297" t="str">
        <f t="shared" si="312"/>
        <v/>
      </c>
      <c r="LV26" s="1297" t="str">
        <f t="shared" si="313"/>
        <v/>
      </c>
      <c r="LW26" s="1297" t="str">
        <f t="shared" si="314"/>
        <v/>
      </c>
      <c r="LX26" s="1297" t="str">
        <f t="shared" si="315"/>
        <v/>
      </c>
      <c r="LY26" s="1297" t="str">
        <f t="shared" si="316"/>
        <v/>
      </c>
      <c r="LZ26" s="1297" t="str">
        <f t="shared" si="317"/>
        <v/>
      </c>
      <c r="MA26" s="1297" t="str">
        <f t="shared" si="318"/>
        <v/>
      </c>
      <c r="MB26" s="1297" t="str">
        <f t="shared" si="319"/>
        <v/>
      </c>
      <c r="MC26" s="1297" t="str">
        <f t="shared" si="320"/>
        <v/>
      </c>
      <c r="MD26" s="1297" t="str">
        <f t="shared" si="321"/>
        <v/>
      </c>
      <c r="ME26" s="1297" t="str">
        <f t="shared" si="322"/>
        <v/>
      </c>
      <c r="MF26" s="1297" t="str">
        <f t="shared" si="323"/>
        <v/>
      </c>
      <c r="MG26" s="1297" t="str">
        <f t="shared" si="324"/>
        <v/>
      </c>
      <c r="MH26" s="1297" t="str">
        <f t="shared" si="325"/>
        <v/>
      </c>
      <c r="MI26" s="1297" t="str">
        <f t="shared" si="326"/>
        <v/>
      </c>
      <c r="MJ26" s="1297" t="str">
        <f t="shared" si="327"/>
        <v/>
      </c>
      <c r="MK26" s="1297" t="str">
        <f t="shared" si="328"/>
        <v/>
      </c>
      <c r="ML26" s="1297" t="str">
        <f t="shared" si="329"/>
        <v/>
      </c>
      <c r="MM26" s="1297" t="str">
        <f t="shared" si="330"/>
        <v/>
      </c>
      <c r="MN26" s="1297" t="str">
        <f t="shared" si="331"/>
        <v/>
      </c>
      <c r="MO26" s="1297" t="str">
        <f t="shared" si="332"/>
        <v/>
      </c>
      <c r="MP26" s="1773" t="str">
        <f t="shared" si="333"/>
        <v/>
      </c>
      <c r="MQ26" s="1773" t="str">
        <f t="shared" si="334"/>
        <v/>
      </c>
      <c r="MR26" s="1773" t="str">
        <f t="shared" si="335"/>
        <v/>
      </c>
      <c r="MS26" s="1773" t="str">
        <f t="shared" si="336"/>
        <v/>
      </c>
      <c r="MT26" s="1773" t="str">
        <f t="shared" si="337"/>
        <v/>
      </c>
      <c r="MU26" s="251" t="str">
        <f t="shared" si="338"/>
        <v/>
      </c>
      <c r="MV26" s="251" t="str">
        <f t="shared" si="339"/>
        <v/>
      </c>
      <c r="MW26" s="251" t="str">
        <f t="shared" si="340"/>
        <v/>
      </c>
      <c r="MX26" s="251" t="str">
        <f t="shared" si="341"/>
        <v/>
      </c>
      <c r="MY26" s="251" t="str">
        <f t="shared" si="342"/>
        <v/>
      </c>
      <c r="MZ26" s="251" t="str">
        <f t="shared" si="343"/>
        <v/>
      </c>
      <c r="NA26" s="251" t="str">
        <f t="shared" si="344"/>
        <v/>
      </c>
      <c r="NB26" s="251" t="str">
        <f t="shared" si="345"/>
        <v/>
      </c>
      <c r="NC26" s="251" t="str">
        <f t="shared" si="346"/>
        <v/>
      </c>
      <c r="ND26" s="251" t="str">
        <f t="shared" si="347"/>
        <v/>
      </c>
      <c r="NE26" s="251" t="str">
        <f t="shared" si="348"/>
        <v/>
      </c>
      <c r="NF26" s="251" t="str">
        <f t="shared" si="349"/>
        <v/>
      </c>
      <c r="NG26" s="251" t="str">
        <f t="shared" si="350"/>
        <v/>
      </c>
      <c r="NH26" s="251" t="str">
        <f t="shared" si="351"/>
        <v/>
      </c>
      <c r="NI26" s="251" t="str">
        <f t="shared" si="352"/>
        <v/>
      </c>
      <c r="NJ26" s="251" t="str">
        <f t="shared" si="353"/>
        <v/>
      </c>
      <c r="NK26" s="251" t="str">
        <f t="shared" si="354"/>
        <v/>
      </c>
      <c r="NL26" s="251" t="str">
        <f t="shared" si="355"/>
        <v/>
      </c>
      <c r="NM26" s="251" t="str">
        <f t="shared" si="356"/>
        <v/>
      </c>
      <c r="NN26" s="251" t="str">
        <f t="shared" si="357"/>
        <v/>
      </c>
      <c r="NO26" s="1185">
        <f t="shared" si="358"/>
        <v>0</v>
      </c>
      <c r="NP26" s="1185">
        <f t="shared" si="359"/>
        <v>5</v>
      </c>
      <c r="NQ26" s="1185">
        <f t="shared" si="360"/>
        <v>0</v>
      </c>
      <c r="NR26" s="1185">
        <f t="shared" si="361"/>
        <v>0</v>
      </c>
      <c r="NS26" s="1185">
        <f t="shared" si="362"/>
        <v>0</v>
      </c>
      <c r="NT26" s="1185">
        <f t="shared" si="368"/>
        <v>0</v>
      </c>
      <c r="NU26" s="1185">
        <f t="shared" si="369"/>
        <v>0</v>
      </c>
      <c r="NV26" s="1185">
        <f t="shared" si="370"/>
        <v>0</v>
      </c>
      <c r="NW26" s="1185">
        <f t="shared" si="371"/>
        <v>0</v>
      </c>
      <c r="NX26" s="1185">
        <f t="shared" si="372"/>
        <v>0</v>
      </c>
      <c r="NY26" s="1185">
        <f t="shared" si="363"/>
        <v>0</v>
      </c>
      <c r="NZ26" s="1185">
        <f t="shared" si="364"/>
        <v>0</v>
      </c>
      <c r="OA26" s="1185">
        <f t="shared" si="365"/>
        <v>0</v>
      </c>
      <c r="OB26" s="1185">
        <f t="shared" si="366"/>
        <v>0</v>
      </c>
      <c r="OC26" s="1185">
        <f t="shared" si="367"/>
        <v>0</v>
      </c>
      <c r="OY26" s="1794" t="s">
        <v>1174</v>
      </c>
      <c r="OZ26" s="1799">
        <v>26</v>
      </c>
    </row>
    <row r="27" spans="1:416" ht="12" customHeight="1">
      <c r="A27" s="53" t="str">
        <f t="shared" si="0"/>
        <v/>
      </c>
      <c r="B27" s="782">
        <v>50</v>
      </c>
      <c r="C27" s="85">
        <v>2</v>
      </c>
      <c r="D27" s="1187">
        <v>2</v>
      </c>
      <c r="E27" s="86">
        <v>10</v>
      </c>
      <c r="F27" s="86">
        <v>1041</v>
      </c>
      <c r="G27" s="86">
        <v>926</v>
      </c>
      <c r="H27" s="86">
        <f t="shared" si="374"/>
        <v>916</v>
      </c>
      <c r="I27" s="86">
        <v>0</v>
      </c>
      <c r="J27" s="765">
        <f>IF(C27="",0,HLOOKUP(C27,'Part IV-Utility Allowances'!$I$11:$M$25,15))</f>
        <v>205</v>
      </c>
      <c r="K27" s="473"/>
      <c r="L27" s="330">
        <f t="shared" si="1"/>
        <v>711</v>
      </c>
      <c r="M27" s="330">
        <f t="shared" si="2"/>
        <v>7110</v>
      </c>
      <c r="N27" s="506" t="s">
        <v>7474</v>
      </c>
      <c r="O27" s="1134" t="s">
        <v>1259</v>
      </c>
      <c r="P27" s="506" t="s">
        <v>7678</v>
      </c>
      <c r="Q27" s="87" t="s">
        <v>7474</v>
      </c>
      <c r="R27" s="540"/>
      <c r="S27" s="541"/>
      <c r="T27" s="3758"/>
      <c r="U27" s="3759"/>
      <c r="V27" s="3759"/>
      <c r="W27" s="3760"/>
      <c r="X27" s="251" t="str">
        <f t="shared" si="3"/>
        <v/>
      </c>
      <c r="Y27" s="251" t="str">
        <f t="shared" si="4"/>
        <v/>
      </c>
      <c r="Z27" s="251" t="str">
        <f t="shared" si="5"/>
        <v/>
      </c>
      <c r="AA27" s="251" t="str">
        <f t="shared" si="6"/>
        <v/>
      </c>
      <c r="AB27" s="251" t="str">
        <f t="shared" si="7"/>
        <v/>
      </c>
      <c r="AC27" s="251" t="str">
        <f t="shared" si="8"/>
        <v/>
      </c>
      <c r="AD27" s="251" t="str">
        <f t="shared" si="9"/>
        <v/>
      </c>
      <c r="AE27" s="251" t="str">
        <f t="shared" si="10"/>
        <v/>
      </c>
      <c r="AF27" s="251" t="str">
        <f t="shared" si="11"/>
        <v/>
      </c>
      <c r="AG27" s="251" t="str">
        <f t="shared" si="12"/>
        <v/>
      </c>
      <c r="AH27" s="251" t="str">
        <f t="shared" si="13"/>
        <v/>
      </c>
      <c r="AI27" s="251" t="str">
        <f t="shared" si="14"/>
        <v/>
      </c>
      <c r="AJ27" s="251" t="str">
        <f t="shared" si="15"/>
        <v/>
      </c>
      <c r="AK27" s="251" t="str">
        <f t="shared" si="16"/>
        <v/>
      </c>
      <c r="AL27" s="251" t="str">
        <f t="shared" si="17"/>
        <v/>
      </c>
      <c r="AM27" s="251" t="str">
        <f t="shared" si="18"/>
        <v/>
      </c>
      <c r="AN27" s="251" t="str">
        <f t="shared" si="19"/>
        <v/>
      </c>
      <c r="AO27" s="251">
        <f t="shared" si="20"/>
        <v>10</v>
      </c>
      <c r="AP27" s="251" t="str">
        <f t="shared" si="21"/>
        <v/>
      </c>
      <c r="AQ27" s="251" t="str">
        <f t="shared" si="22"/>
        <v/>
      </c>
      <c r="AR27" s="251" t="str">
        <f t="shared" si="23"/>
        <v/>
      </c>
      <c r="AS27" s="251" t="str">
        <f t="shared" si="24"/>
        <v/>
      </c>
      <c r="AT27" s="251" t="str">
        <f t="shared" si="25"/>
        <v/>
      </c>
      <c r="AU27" s="251" t="str">
        <f t="shared" si="26"/>
        <v/>
      </c>
      <c r="AV27" s="251" t="str">
        <f t="shared" si="27"/>
        <v/>
      </c>
      <c r="AW27" s="251" t="str">
        <f t="shared" si="28"/>
        <v/>
      </c>
      <c r="AX27" s="251" t="str">
        <f t="shared" si="29"/>
        <v/>
      </c>
      <c r="AY27" s="251" t="str">
        <f t="shared" si="30"/>
        <v/>
      </c>
      <c r="AZ27" s="251" t="str">
        <f t="shared" si="31"/>
        <v/>
      </c>
      <c r="BA27" s="251" t="str">
        <f t="shared" si="32"/>
        <v/>
      </c>
      <c r="BB27" s="251" t="str">
        <f t="shared" si="33"/>
        <v/>
      </c>
      <c r="BC27" s="251" t="str">
        <f t="shared" si="34"/>
        <v/>
      </c>
      <c r="BD27" s="251" t="str">
        <f t="shared" si="35"/>
        <v/>
      </c>
      <c r="BE27" s="251" t="str">
        <f t="shared" si="36"/>
        <v/>
      </c>
      <c r="BF27" s="251" t="str">
        <f t="shared" si="37"/>
        <v/>
      </c>
      <c r="BG27" s="251" t="str">
        <f t="shared" si="38"/>
        <v/>
      </c>
      <c r="BH27" s="251" t="str">
        <f t="shared" si="39"/>
        <v/>
      </c>
      <c r="BI27" s="251" t="str">
        <f t="shared" si="40"/>
        <v/>
      </c>
      <c r="BJ27" s="251" t="str">
        <f t="shared" si="41"/>
        <v/>
      </c>
      <c r="BK27" s="251" t="str">
        <f t="shared" si="42"/>
        <v/>
      </c>
      <c r="BL27" s="251" t="str">
        <f t="shared" si="43"/>
        <v/>
      </c>
      <c r="BM27" s="251" t="str">
        <f t="shared" si="44"/>
        <v/>
      </c>
      <c r="BN27" s="251" t="str">
        <f t="shared" si="45"/>
        <v/>
      </c>
      <c r="BO27" s="251" t="str">
        <f t="shared" si="46"/>
        <v/>
      </c>
      <c r="BP27" s="251" t="str">
        <f t="shared" si="47"/>
        <v/>
      </c>
      <c r="BQ27" s="251" t="str">
        <f t="shared" si="48"/>
        <v/>
      </c>
      <c r="BR27" s="251" t="str">
        <f t="shared" si="49"/>
        <v/>
      </c>
      <c r="BS27" s="251" t="str">
        <f t="shared" si="50"/>
        <v/>
      </c>
      <c r="BT27" s="251" t="str">
        <f t="shared" si="51"/>
        <v/>
      </c>
      <c r="BU27" s="251" t="str">
        <f t="shared" si="52"/>
        <v/>
      </c>
      <c r="BV27" s="251" t="str">
        <f t="shared" si="53"/>
        <v/>
      </c>
      <c r="BW27" s="251" t="str">
        <f t="shared" si="54"/>
        <v/>
      </c>
      <c r="BX27" s="251" t="str">
        <f t="shared" si="55"/>
        <v/>
      </c>
      <c r="BY27" s="251" t="str">
        <f t="shared" si="56"/>
        <v/>
      </c>
      <c r="BZ27" s="251" t="str">
        <f t="shared" si="57"/>
        <v/>
      </c>
      <c r="CA27" s="251" t="str">
        <f t="shared" si="58"/>
        <v/>
      </c>
      <c r="CB27" s="251" t="str">
        <f t="shared" si="59"/>
        <v/>
      </c>
      <c r="CC27" s="251" t="str">
        <f t="shared" si="60"/>
        <v/>
      </c>
      <c r="CD27" s="251" t="str">
        <f t="shared" si="61"/>
        <v/>
      </c>
      <c r="CE27" s="251" t="str">
        <f t="shared" si="62"/>
        <v/>
      </c>
      <c r="CF27" s="251" t="str">
        <f t="shared" si="63"/>
        <v/>
      </c>
      <c r="CG27" s="251" t="str">
        <f t="shared" si="64"/>
        <v/>
      </c>
      <c r="CH27" s="251" t="str">
        <f t="shared" si="65"/>
        <v/>
      </c>
      <c r="CI27" s="251" t="str">
        <f t="shared" si="66"/>
        <v/>
      </c>
      <c r="CJ27" s="251" t="str">
        <f t="shared" si="67"/>
        <v/>
      </c>
      <c r="CK27" s="251" t="str">
        <f t="shared" si="68"/>
        <v/>
      </c>
      <c r="CL27" s="251" t="str">
        <f t="shared" si="69"/>
        <v/>
      </c>
      <c r="CM27" s="251" t="str">
        <f t="shared" si="70"/>
        <v/>
      </c>
      <c r="CN27" s="251" t="str">
        <f t="shared" si="71"/>
        <v/>
      </c>
      <c r="CO27" s="251" t="str">
        <f t="shared" si="72"/>
        <v/>
      </c>
      <c r="CP27" s="251" t="str">
        <f t="shared" si="73"/>
        <v/>
      </c>
      <c r="CQ27" s="251" t="str">
        <f t="shared" si="74"/>
        <v/>
      </c>
      <c r="CR27" s="251" t="str">
        <f t="shared" si="75"/>
        <v/>
      </c>
      <c r="CS27" s="251" t="str">
        <f t="shared" si="76"/>
        <v/>
      </c>
      <c r="CT27" s="251" t="str">
        <f t="shared" si="77"/>
        <v/>
      </c>
      <c r="CU27" s="251" t="str">
        <f t="shared" si="78"/>
        <v/>
      </c>
      <c r="CV27" s="251" t="str">
        <f t="shared" si="79"/>
        <v/>
      </c>
      <c r="CW27" s="251" t="str">
        <f t="shared" si="80"/>
        <v/>
      </c>
      <c r="CX27" s="251" t="str">
        <f t="shared" si="81"/>
        <v/>
      </c>
      <c r="CY27" s="251" t="str">
        <f t="shared" si="82"/>
        <v/>
      </c>
      <c r="CZ27" s="251" t="str">
        <f t="shared" si="83"/>
        <v/>
      </c>
      <c r="DA27" s="251" t="str">
        <f t="shared" si="84"/>
        <v/>
      </c>
      <c r="DB27" s="251" t="str">
        <f t="shared" si="85"/>
        <v/>
      </c>
      <c r="DC27" s="251" t="str">
        <f t="shared" si="86"/>
        <v/>
      </c>
      <c r="DD27" s="251" t="str">
        <f t="shared" si="87"/>
        <v/>
      </c>
      <c r="DE27" s="251" t="str">
        <f t="shared" si="88"/>
        <v/>
      </c>
      <c r="DF27" s="251" t="str">
        <f t="shared" si="89"/>
        <v/>
      </c>
      <c r="DG27" s="251" t="str">
        <f t="shared" si="90"/>
        <v/>
      </c>
      <c r="DH27" s="251" t="str">
        <f t="shared" si="91"/>
        <v/>
      </c>
      <c r="DI27" s="251" t="str">
        <f t="shared" si="92"/>
        <v/>
      </c>
      <c r="DJ27" s="251" t="str">
        <f t="shared" si="93"/>
        <v/>
      </c>
      <c r="DK27" s="251" t="str">
        <f t="shared" si="94"/>
        <v/>
      </c>
      <c r="DL27" s="251" t="str">
        <f t="shared" si="95"/>
        <v/>
      </c>
      <c r="DM27" s="251" t="str">
        <f t="shared" si="96"/>
        <v/>
      </c>
      <c r="DN27" s="251" t="str">
        <f t="shared" si="97"/>
        <v/>
      </c>
      <c r="DO27" s="251" t="str">
        <f t="shared" si="98"/>
        <v/>
      </c>
      <c r="DP27" s="251" t="str">
        <f t="shared" si="99"/>
        <v/>
      </c>
      <c r="DQ27" s="251" t="str">
        <f t="shared" si="100"/>
        <v/>
      </c>
      <c r="DR27" s="251" t="str">
        <f t="shared" si="101"/>
        <v/>
      </c>
      <c r="DS27" s="251" t="str">
        <f t="shared" si="102"/>
        <v/>
      </c>
      <c r="DT27" s="251" t="str">
        <f t="shared" si="103"/>
        <v/>
      </c>
      <c r="DU27" s="251" t="str">
        <f t="shared" si="104"/>
        <v/>
      </c>
      <c r="DV27" s="251" t="str">
        <f t="shared" si="105"/>
        <v/>
      </c>
      <c r="DW27" s="251" t="str">
        <f t="shared" si="106"/>
        <v/>
      </c>
      <c r="DX27" s="251" t="str">
        <f t="shared" si="107"/>
        <v/>
      </c>
      <c r="DY27" s="251" t="str">
        <f t="shared" si="108"/>
        <v/>
      </c>
      <c r="DZ27" s="251" t="str">
        <f t="shared" si="109"/>
        <v/>
      </c>
      <c r="EA27" s="251" t="str">
        <f t="shared" si="110"/>
        <v/>
      </c>
      <c r="EB27" s="251" t="str">
        <f t="shared" si="111"/>
        <v/>
      </c>
      <c r="EC27" s="251" t="str">
        <f t="shared" si="112"/>
        <v/>
      </c>
      <c r="ED27" s="251" t="str">
        <f t="shared" si="113"/>
        <v/>
      </c>
      <c r="EE27" s="251" t="str">
        <f t="shared" si="114"/>
        <v/>
      </c>
      <c r="EF27" s="251" t="str">
        <f t="shared" si="115"/>
        <v/>
      </c>
      <c r="EG27" s="251" t="str">
        <f t="shared" si="116"/>
        <v/>
      </c>
      <c r="EH27" s="251" t="str">
        <f t="shared" si="117"/>
        <v/>
      </c>
      <c r="EI27" s="251" t="str">
        <f t="shared" si="118"/>
        <v/>
      </c>
      <c r="EJ27" s="251" t="str">
        <f t="shared" si="119"/>
        <v/>
      </c>
      <c r="EK27" s="251" t="str">
        <f t="shared" si="120"/>
        <v/>
      </c>
      <c r="EL27" s="251" t="str">
        <f t="shared" si="121"/>
        <v/>
      </c>
      <c r="EM27" s="251" t="str">
        <f t="shared" si="122"/>
        <v/>
      </c>
      <c r="EN27" s="251" t="str">
        <f t="shared" si="123"/>
        <v/>
      </c>
      <c r="EO27" s="251" t="str">
        <f t="shared" si="124"/>
        <v/>
      </c>
      <c r="EP27" s="251" t="str">
        <f t="shared" si="125"/>
        <v/>
      </c>
      <c r="EQ27" s="251" t="str">
        <f t="shared" si="126"/>
        <v/>
      </c>
      <c r="ER27" s="251" t="str">
        <f t="shared" si="127"/>
        <v/>
      </c>
      <c r="ES27" s="251" t="str">
        <f t="shared" si="128"/>
        <v/>
      </c>
      <c r="ET27" s="251" t="str">
        <f t="shared" si="129"/>
        <v/>
      </c>
      <c r="EU27" s="251" t="str">
        <f t="shared" si="130"/>
        <v/>
      </c>
      <c r="EV27" s="251" t="str">
        <f t="shared" si="131"/>
        <v/>
      </c>
      <c r="EW27" s="251" t="str">
        <f t="shared" si="132"/>
        <v/>
      </c>
      <c r="EX27" s="251" t="str">
        <f t="shared" si="133"/>
        <v/>
      </c>
      <c r="EY27" s="251" t="str">
        <f t="shared" si="134"/>
        <v/>
      </c>
      <c r="EZ27" s="251" t="str">
        <f t="shared" si="135"/>
        <v/>
      </c>
      <c r="FA27" s="251" t="str">
        <f t="shared" si="136"/>
        <v/>
      </c>
      <c r="FB27" s="251" t="str">
        <f t="shared" si="137"/>
        <v/>
      </c>
      <c r="FC27" s="251" t="str">
        <f t="shared" si="138"/>
        <v/>
      </c>
      <c r="FD27" s="251" t="str">
        <f t="shared" si="139"/>
        <v/>
      </c>
      <c r="FE27" s="251" t="str">
        <f t="shared" si="140"/>
        <v/>
      </c>
      <c r="FF27" s="251" t="str">
        <f t="shared" si="141"/>
        <v/>
      </c>
      <c r="FG27" s="251" t="str">
        <f t="shared" si="142"/>
        <v/>
      </c>
      <c r="FH27" s="251" t="str">
        <f t="shared" si="143"/>
        <v/>
      </c>
      <c r="FI27" s="251" t="str">
        <f t="shared" si="144"/>
        <v/>
      </c>
      <c r="FJ27" s="251" t="str">
        <f t="shared" si="145"/>
        <v/>
      </c>
      <c r="FK27" s="251" t="str">
        <f t="shared" si="146"/>
        <v/>
      </c>
      <c r="FL27" s="251" t="str">
        <f t="shared" si="147"/>
        <v/>
      </c>
      <c r="FM27" s="251" t="str">
        <f t="shared" si="148"/>
        <v/>
      </c>
      <c r="FN27" s="251" t="str">
        <f t="shared" si="149"/>
        <v/>
      </c>
      <c r="FO27" s="251" t="str">
        <f t="shared" si="150"/>
        <v/>
      </c>
      <c r="FP27" s="251" t="str">
        <f t="shared" si="151"/>
        <v/>
      </c>
      <c r="FQ27" s="251" t="str">
        <f t="shared" si="152"/>
        <v/>
      </c>
      <c r="FR27" s="251" t="str">
        <f t="shared" si="153"/>
        <v/>
      </c>
      <c r="FS27" s="251" t="str">
        <f t="shared" si="154"/>
        <v/>
      </c>
      <c r="FT27" s="251" t="str">
        <f t="shared" si="155"/>
        <v/>
      </c>
      <c r="FU27" s="251" t="str">
        <f t="shared" si="156"/>
        <v/>
      </c>
      <c r="FV27" s="251" t="str">
        <f t="shared" si="157"/>
        <v/>
      </c>
      <c r="FW27" s="251" t="str">
        <f t="shared" si="158"/>
        <v/>
      </c>
      <c r="FX27" s="251" t="str">
        <f t="shared" si="159"/>
        <v/>
      </c>
      <c r="FY27" s="251" t="str">
        <f t="shared" si="160"/>
        <v/>
      </c>
      <c r="FZ27" s="251" t="str">
        <f t="shared" si="161"/>
        <v/>
      </c>
      <c r="GA27" s="251" t="str">
        <f t="shared" si="162"/>
        <v/>
      </c>
      <c r="GB27" s="251" t="str">
        <f t="shared" si="163"/>
        <v/>
      </c>
      <c r="GC27" s="251" t="str">
        <f t="shared" si="164"/>
        <v/>
      </c>
      <c r="GD27" s="251" t="str">
        <f t="shared" si="165"/>
        <v/>
      </c>
      <c r="GE27" s="251" t="str">
        <f t="shared" si="166"/>
        <v/>
      </c>
      <c r="GF27" s="251" t="str">
        <f t="shared" si="167"/>
        <v/>
      </c>
      <c r="GG27" s="251" t="str">
        <f t="shared" si="168"/>
        <v/>
      </c>
      <c r="GH27" s="251" t="str">
        <f t="shared" si="169"/>
        <v/>
      </c>
      <c r="GI27" s="251">
        <f t="shared" si="170"/>
        <v>10410</v>
      </c>
      <c r="GJ27" s="251" t="str">
        <f t="shared" si="171"/>
        <v/>
      </c>
      <c r="GK27" s="251" t="str">
        <f t="shared" si="172"/>
        <v/>
      </c>
      <c r="GL27" s="251" t="str">
        <f t="shared" si="173"/>
        <v/>
      </c>
      <c r="GM27" s="251" t="str">
        <f t="shared" si="174"/>
        <v/>
      </c>
      <c r="GN27" s="251" t="str">
        <f t="shared" si="175"/>
        <v/>
      </c>
      <c r="GO27" s="251" t="str">
        <f t="shared" si="176"/>
        <v/>
      </c>
      <c r="GP27" s="251" t="str">
        <f t="shared" si="177"/>
        <v/>
      </c>
      <c r="GQ27" s="251" t="str">
        <f t="shared" si="178"/>
        <v/>
      </c>
      <c r="GR27" s="251" t="str">
        <f t="shared" si="179"/>
        <v/>
      </c>
      <c r="GS27" s="251" t="str">
        <f t="shared" si="180"/>
        <v/>
      </c>
      <c r="GT27" s="251" t="str">
        <f t="shared" si="181"/>
        <v/>
      </c>
      <c r="GU27" s="251" t="str">
        <f t="shared" si="182"/>
        <v/>
      </c>
      <c r="GV27" s="251" t="str">
        <f t="shared" si="183"/>
        <v/>
      </c>
      <c r="GW27" s="251" t="str">
        <f t="shared" si="184"/>
        <v/>
      </c>
      <c r="GX27" s="251" t="str">
        <f t="shared" si="185"/>
        <v/>
      </c>
      <c r="GY27" s="251" t="str">
        <f t="shared" si="186"/>
        <v/>
      </c>
      <c r="GZ27" s="251" t="str">
        <f t="shared" si="187"/>
        <v/>
      </c>
      <c r="HA27" s="251" t="str">
        <f t="shared" si="188"/>
        <v/>
      </c>
      <c r="HB27" s="251" t="str">
        <f t="shared" si="189"/>
        <v/>
      </c>
      <c r="HC27" s="251" t="str">
        <f t="shared" si="190"/>
        <v/>
      </c>
      <c r="HD27" s="251" t="str">
        <f t="shared" si="191"/>
        <v/>
      </c>
      <c r="HE27" s="251" t="str">
        <f t="shared" si="192"/>
        <v/>
      </c>
      <c r="HF27" s="251" t="str">
        <f t="shared" si="193"/>
        <v/>
      </c>
      <c r="HG27" s="251" t="str">
        <f t="shared" si="194"/>
        <v/>
      </c>
      <c r="HH27" s="251" t="str">
        <f t="shared" si="195"/>
        <v/>
      </c>
      <c r="HI27" s="251" t="str">
        <f t="shared" si="196"/>
        <v/>
      </c>
      <c r="HJ27" s="251" t="str">
        <f t="shared" si="197"/>
        <v/>
      </c>
      <c r="HK27" s="251" t="str">
        <f t="shared" si="198"/>
        <v/>
      </c>
      <c r="HL27" s="251" t="str">
        <f t="shared" si="199"/>
        <v/>
      </c>
      <c r="HM27" s="251" t="str">
        <f t="shared" si="200"/>
        <v/>
      </c>
      <c r="HN27" s="251" t="str">
        <f t="shared" si="201"/>
        <v/>
      </c>
      <c r="HO27" s="251" t="str">
        <f t="shared" si="202"/>
        <v/>
      </c>
      <c r="HP27" s="251" t="str">
        <f t="shared" si="203"/>
        <v/>
      </c>
      <c r="HQ27" s="251" t="str">
        <f t="shared" si="204"/>
        <v/>
      </c>
      <c r="HR27" s="251" t="str">
        <f t="shared" si="205"/>
        <v/>
      </c>
      <c r="HS27" s="251" t="str">
        <f t="shared" si="206"/>
        <v/>
      </c>
      <c r="HT27" s="251" t="str">
        <f t="shared" si="207"/>
        <v/>
      </c>
      <c r="HU27" s="251" t="str">
        <f t="shared" si="208"/>
        <v/>
      </c>
      <c r="HV27" s="251" t="str">
        <f t="shared" si="209"/>
        <v/>
      </c>
      <c r="HW27" s="251" t="str">
        <f t="shared" si="210"/>
        <v/>
      </c>
      <c r="HX27" s="251" t="str">
        <f t="shared" si="211"/>
        <v/>
      </c>
      <c r="HY27" s="251" t="str">
        <f t="shared" si="212"/>
        <v/>
      </c>
      <c r="HZ27" s="251" t="str">
        <f t="shared" si="213"/>
        <v/>
      </c>
      <c r="IA27" s="251" t="str">
        <f t="shared" si="214"/>
        <v/>
      </c>
      <c r="IB27" s="251" t="str">
        <f t="shared" si="215"/>
        <v/>
      </c>
      <c r="IC27" s="251" t="str">
        <f t="shared" si="216"/>
        <v/>
      </c>
      <c r="ID27" s="251" t="str">
        <f t="shared" si="217"/>
        <v/>
      </c>
      <c r="IE27" s="251" t="str">
        <f t="shared" si="218"/>
        <v/>
      </c>
      <c r="IF27" s="251" t="str">
        <f t="shared" si="219"/>
        <v/>
      </c>
      <c r="IG27" s="251">
        <f t="shared" si="220"/>
        <v>10</v>
      </c>
      <c r="IH27" s="251" t="str">
        <f t="shared" si="221"/>
        <v/>
      </c>
      <c r="II27" s="251" t="str">
        <f t="shared" si="222"/>
        <v/>
      </c>
      <c r="IJ27" s="251" t="str">
        <f t="shared" si="223"/>
        <v/>
      </c>
      <c r="IK27" s="251" t="str">
        <f t="shared" si="224"/>
        <v/>
      </c>
      <c r="IL27" s="251" t="str">
        <f t="shared" si="225"/>
        <v/>
      </c>
      <c r="IM27" s="251" t="str">
        <f t="shared" si="226"/>
        <v/>
      </c>
      <c r="IN27" s="251" t="str">
        <f t="shared" si="227"/>
        <v/>
      </c>
      <c r="IO27" s="251" t="str">
        <f t="shared" si="228"/>
        <v/>
      </c>
      <c r="IP27" s="251" t="str">
        <f t="shared" si="229"/>
        <v/>
      </c>
      <c r="IQ27" s="251" t="str">
        <f t="shared" si="230"/>
        <v/>
      </c>
      <c r="IR27" s="251" t="str">
        <f t="shared" si="231"/>
        <v/>
      </c>
      <c r="IS27" s="251" t="str">
        <f t="shared" si="232"/>
        <v/>
      </c>
      <c r="IT27" s="251" t="str">
        <f t="shared" si="233"/>
        <v/>
      </c>
      <c r="IU27" s="251" t="str">
        <f t="shared" si="234"/>
        <v/>
      </c>
      <c r="IV27" s="251" t="str">
        <f t="shared" si="235"/>
        <v/>
      </c>
      <c r="IW27" s="251" t="str">
        <f t="shared" si="236"/>
        <v/>
      </c>
      <c r="IX27" s="251" t="str">
        <f t="shared" si="237"/>
        <v/>
      </c>
      <c r="IY27" s="251" t="str">
        <f t="shared" si="238"/>
        <v/>
      </c>
      <c r="IZ27" s="251" t="str">
        <f t="shared" si="239"/>
        <v/>
      </c>
      <c r="JA27" s="251" t="str">
        <f t="shared" si="240"/>
        <v/>
      </c>
      <c r="JB27" s="251" t="str">
        <f t="shared" si="241"/>
        <v/>
      </c>
      <c r="JC27" s="251" t="str">
        <f t="shared" si="242"/>
        <v/>
      </c>
      <c r="JD27" s="251" t="str">
        <f t="shared" si="243"/>
        <v/>
      </c>
      <c r="JE27" s="251" t="str">
        <f t="shared" si="244"/>
        <v/>
      </c>
      <c r="JF27" s="251" t="str">
        <f t="shared" si="245"/>
        <v/>
      </c>
      <c r="JG27" s="251" t="str">
        <f t="shared" si="246"/>
        <v/>
      </c>
      <c r="JH27" s="251" t="str">
        <f t="shared" si="247"/>
        <v/>
      </c>
      <c r="JI27" s="1297" t="str">
        <f t="shared" si="248"/>
        <v/>
      </c>
      <c r="JJ27" s="1297" t="str">
        <f t="shared" si="249"/>
        <v/>
      </c>
      <c r="JK27" s="1297">
        <f t="shared" si="250"/>
        <v>10</v>
      </c>
      <c r="JL27" s="1297" t="str">
        <f t="shared" si="251"/>
        <v/>
      </c>
      <c r="JM27" s="1297" t="str">
        <f t="shared" si="252"/>
        <v/>
      </c>
      <c r="JN27" s="1297" t="str">
        <f t="shared" si="253"/>
        <v/>
      </c>
      <c r="JO27" s="1297" t="str">
        <f t="shared" si="254"/>
        <v/>
      </c>
      <c r="JP27" s="1297" t="str">
        <f t="shared" si="255"/>
        <v/>
      </c>
      <c r="JQ27" s="1297" t="str">
        <f t="shared" si="256"/>
        <v/>
      </c>
      <c r="JR27" s="1297" t="str">
        <f t="shared" si="257"/>
        <v/>
      </c>
      <c r="JS27" s="1297" t="str">
        <f t="shared" si="258"/>
        <v/>
      </c>
      <c r="JT27" s="1297" t="str">
        <f t="shared" si="259"/>
        <v/>
      </c>
      <c r="JU27" s="1297" t="str">
        <f t="shared" si="260"/>
        <v/>
      </c>
      <c r="JV27" s="1297" t="str">
        <f t="shared" si="261"/>
        <v/>
      </c>
      <c r="JW27" s="1297" t="str">
        <f t="shared" si="262"/>
        <v/>
      </c>
      <c r="JX27" s="1297" t="str">
        <f t="shared" si="263"/>
        <v/>
      </c>
      <c r="JY27" s="1297" t="str">
        <f t="shared" si="264"/>
        <v/>
      </c>
      <c r="JZ27" s="1297" t="str">
        <f t="shared" si="265"/>
        <v/>
      </c>
      <c r="KA27" s="1297" t="str">
        <f t="shared" si="266"/>
        <v/>
      </c>
      <c r="KB27" s="1297" t="str">
        <f t="shared" si="267"/>
        <v/>
      </c>
      <c r="KC27" s="1297" t="str">
        <f t="shared" si="268"/>
        <v/>
      </c>
      <c r="KD27" s="1297" t="str">
        <f t="shared" si="269"/>
        <v/>
      </c>
      <c r="KE27" s="1297" t="str">
        <f t="shared" si="270"/>
        <v/>
      </c>
      <c r="KF27" s="1297" t="str">
        <f t="shared" si="271"/>
        <v/>
      </c>
      <c r="KG27" s="1297" t="str">
        <f t="shared" si="272"/>
        <v/>
      </c>
      <c r="KH27" s="1297" t="str">
        <f t="shared" si="273"/>
        <v/>
      </c>
      <c r="KI27" s="1297" t="str">
        <f t="shared" si="274"/>
        <v/>
      </c>
      <c r="KJ27" s="1297" t="str">
        <f t="shared" si="275"/>
        <v/>
      </c>
      <c r="KK27" s="1297" t="str">
        <f t="shared" si="276"/>
        <v/>
      </c>
      <c r="KL27" s="1297" t="str">
        <f t="shared" si="277"/>
        <v/>
      </c>
      <c r="KM27" s="1297" t="str">
        <f t="shared" si="278"/>
        <v/>
      </c>
      <c r="KN27" s="1297" t="str">
        <f t="shared" si="279"/>
        <v/>
      </c>
      <c r="KO27" s="1297" t="str">
        <f t="shared" si="280"/>
        <v/>
      </c>
      <c r="KP27" s="1297" t="str">
        <f t="shared" si="281"/>
        <v/>
      </c>
      <c r="KQ27" s="1297" t="str">
        <f t="shared" si="282"/>
        <v/>
      </c>
      <c r="KR27" s="1297" t="str">
        <f t="shared" si="283"/>
        <v/>
      </c>
      <c r="KS27" s="1297" t="str">
        <f t="shared" si="284"/>
        <v/>
      </c>
      <c r="KT27" s="1297" t="str">
        <f t="shared" si="285"/>
        <v/>
      </c>
      <c r="KU27" s="1297" t="str">
        <f t="shared" si="286"/>
        <v/>
      </c>
      <c r="KV27" s="1297" t="str">
        <f t="shared" si="287"/>
        <v/>
      </c>
      <c r="KW27" s="1297" t="str">
        <f t="shared" si="288"/>
        <v/>
      </c>
      <c r="KX27" s="1297" t="str">
        <f t="shared" si="289"/>
        <v/>
      </c>
      <c r="KY27" s="1297" t="str">
        <f t="shared" si="290"/>
        <v/>
      </c>
      <c r="KZ27" s="1297" t="str">
        <f t="shared" si="291"/>
        <v/>
      </c>
      <c r="LA27" s="1297" t="str">
        <f t="shared" si="292"/>
        <v/>
      </c>
      <c r="LB27" s="1297" t="str">
        <f t="shared" si="293"/>
        <v/>
      </c>
      <c r="LC27" s="1297" t="str">
        <f t="shared" si="294"/>
        <v/>
      </c>
      <c r="LD27" s="1297">
        <f t="shared" si="295"/>
        <v>10</v>
      </c>
      <c r="LE27" s="1297" t="str">
        <f t="shared" si="296"/>
        <v/>
      </c>
      <c r="LF27" s="1297" t="str">
        <f t="shared" si="297"/>
        <v/>
      </c>
      <c r="LG27" s="1297" t="str">
        <f t="shared" si="298"/>
        <v/>
      </c>
      <c r="LH27" s="1297" t="str">
        <f t="shared" si="299"/>
        <v/>
      </c>
      <c r="LI27" s="1297" t="str">
        <f t="shared" si="300"/>
        <v/>
      </c>
      <c r="LJ27" s="1297" t="str">
        <f t="shared" si="301"/>
        <v/>
      </c>
      <c r="LK27" s="1297" t="str">
        <f t="shared" si="302"/>
        <v/>
      </c>
      <c r="LL27" s="1297" t="str">
        <f t="shared" si="303"/>
        <v/>
      </c>
      <c r="LM27" s="1297" t="str">
        <f t="shared" si="304"/>
        <v/>
      </c>
      <c r="LN27" s="1297" t="str">
        <f t="shared" si="305"/>
        <v/>
      </c>
      <c r="LO27" s="1297" t="str">
        <f t="shared" si="306"/>
        <v/>
      </c>
      <c r="LP27" s="1297" t="str">
        <f t="shared" si="307"/>
        <v/>
      </c>
      <c r="LQ27" s="1297" t="str">
        <f t="shared" si="308"/>
        <v/>
      </c>
      <c r="LR27" s="1297" t="str">
        <f t="shared" si="309"/>
        <v/>
      </c>
      <c r="LS27" s="1297" t="str">
        <f t="shared" si="310"/>
        <v/>
      </c>
      <c r="LT27" s="1297" t="str">
        <f t="shared" si="311"/>
        <v/>
      </c>
      <c r="LU27" s="1297" t="str">
        <f t="shared" si="312"/>
        <v/>
      </c>
      <c r="LV27" s="1297" t="str">
        <f t="shared" si="313"/>
        <v/>
      </c>
      <c r="LW27" s="1297" t="str">
        <f t="shared" si="314"/>
        <v/>
      </c>
      <c r="LX27" s="1297" t="str">
        <f t="shared" si="315"/>
        <v/>
      </c>
      <c r="LY27" s="1297" t="str">
        <f t="shared" si="316"/>
        <v/>
      </c>
      <c r="LZ27" s="1297" t="str">
        <f t="shared" si="317"/>
        <v/>
      </c>
      <c r="MA27" s="1297" t="str">
        <f t="shared" si="318"/>
        <v/>
      </c>
      <c r="MB27" s="1297" t="str">
        <f t="shared" si="319"/>
        <v/>
      </c>
      <c r="MC27" s="1297" t="str">
        <f t="shared" si="320"/>
        <v/>
      </c>
      <c r="MD27" s="1297" t="str">
        <f t="shared" si="321"/>
        <v/>
      </c>
      <c r="ME27" s="1297" t="str">
        <f t="shared" si="322"/>
        <v/>
      </c>
      <c r="MF27" s="1297" t="str">
        <f t="shared" si="323"/>
        <v/>
      </c>
      <c r="MG27" s="1297" t="str">
        <f t="shared" si="324"/>
        <v/>
      </c>
      <c r="MH27" s="1297" t="str">
        <f t="shared" si="325"/>
        <v/>
      </c>
      <c r="MI27" s="1297" t="str">
        <f t="shared" si="326"/>
        <v/>
      </c>
      <c r="MJ27" s="1297" t="str">
        <f t="shared" si="327"/>
        <v/>
      </c>
      <c r="MK27" s="1297" t="str">
        <f t="shared" si="328"/>
        <v/>
      </c>
      <c r="ML27" s="1297" t="str">
        <f t="shared" si="329"/>
        <v/>
      </c>
      <c r="MM27" s="1297" t="str">
        <f t="shared" si="330"/>
        <v/>
      </c>
      <c r="MN27" s="1297" t="str">
        <f t="shared" si="331"/>
        <v/>
      </c>
      <c r="MO27" s="1297" t="str">
        <f t="shared" si="332"/>
        <v/>
      </c>
      <c r="MP27" s="1773" t="str">
        <f t="shared" si="333"/>
        <v/>
      </c>
      <c r="MQ27" s="1773" t="str">
        <f t="shared" si="334"/>
        <v/>
      </c>
      <c r="MR27" s="1773" t="str">
        <f t="shared" si="335"/>
        <v/>
      </c>
      <c r="MS27" s="1773" t="str">
        <f t="shared" si="336"/>
        <v/>
      </c>
      <c r="MT27" s="1773" t="str">
        <f t="shared" si="337"/>
        <v/>
      </c>
      <c r="MU27" s="251" t="str">
        <f t="shared" si="338"/>
        <v/>
      </c>
      <c r="MV27" s="251" t="str">
        <f t="shared" si="339"/>
        <v/>
      </c>
      <c r="MW27" s="251" t="str">
        <f t="shared" si="340"/>
        <v/>
      </c>
      <c r="MX27" s="251" t="str">
        <f t="shared" si="341"/>
        <v/>
      </c>
      <c r="MY27" s="251" t="str">
        <f t="shared" si="342"/>
        <v/>
      </c>
      <c r="MZ27" s="251" t="str">
        <f t="shared" si="343"/>
        <v/>
      </c>
      <c r="NA27" s="251" t="str">
        <f t="shared" si="344"/>
        <v/>
      </c>
      <c r="NB27" s="251" t="str">
        <f t="shared" si="345"/>
        <v/>
      </c>
      <c r="NC27" s="251" t="str">
        <f t="shared" si="346"/>
        <v/>
      </c>
      <c r="ND27" s="251" t="str">
        <f t="shared" si="347"/>
        <v/>
      </c>
      <c r="NE27" s="251" t="str">
        <f t="shared" si="348"/>
        <v/>
      </c>
      <c r="NF27" s="251" t="str">
        <f t="shared" si="349"/>
        <v/>
      </c>
      <c r="NG27" s="251" t="str">
        <f t="shared" si="350"/>
        <v/>
      </c>
      <c r="NH27" s="251" t="str">
        <f t="shared" si="351"/>
        <v/>
      </c>
      <c r="NI27" s="251" t="str">
        <f t="shared" si="352"/>
        <v/>
      </c>
      <c r="NJ27" s="251" t="str">
        <f t="shared" si="353"/>
        <v/>
      </c>
      <c r="NK27" s="251" t="str">
        <f t="shared" si="354"/>
        <v/>
      </c>
      <c r="NL27" s="251" t="str">
        <f t="shared" si="355"/>
        <v/>
      </c>
      <c r="NM27" s="251" t="str">
        <f t="shared" si="356"/>
        <v/>
      </c>
      <c r="NN27" s="251" t="str">
        <f t="shared" si="357"/>
        <v/>
      </c>
      <c r="NO27" s="1185">
        <f t="shared" si="358"/>
        <v>0</v>
      </c>
      <c r="NP27" s="1185">
        <f t="shared" si="359"/>
        <v>0</v>
      </c>
      <c r="NQ27" s="1185">
        <f t="shared" si="360"/>
        <v>10</v>
      </c>
      <c r="NR27" s="1185">
        <f t="shared" si="361"/>
        <v>0</v>
      </c>
      <c r="NS27" s="1185">
        <f t="shared" si="362"/>
        <v>0</v>
      </c>
      <c r="NT27" s="1185">
        <f t="shared" si="368"/>
        <v>0</v>
      </c>
      <c r="NU27" s="1185">
        <f t="shared" si="369"/>
        <v>0</v>
      </c>
      <c r="NV27" s="1185">
        <f t="shared" si="370"/>
        <v>0</v>
      </c>
      <c r="NW27" s="1185">
        <f t="shared" si="371"/>
        <v>0</v>
      </c>
      <c r="NX27" s="1185">
        <f t="shared" si="372"/>
        <v>0</v>
      </c>
      <c r="NY27" s="1185">
        <f t="shared" si="363"/>
        <v>0</v>
      </c>
      <c r="NZ27" s="1185">
        <f t="shared" si="364"/>
        <v>0</v>
      </c>
      <c r="OA27" s="1185">
        <f t="shared" si="365"/>
        <v>0</v>
      </c>
      <c r="OB27" s="1185">
        <f t="shared" si="366"/>
        <v>0</v>
      </c>
      <c r="OC27" s="1185">
        <f t="shared" si="367"/>
        <v>0</v>
      </c>
      <c r="OY27" s="1794" t="s">
        <v>1175</v>
      </c>
      <c r="OZ27" s="1799">
        <v>27</v>
      </c>
    </row>
    <row r="28" spans="1:416" ht="12" customHeight="1">
      <c r="A28" s="53" t="str">
        <f t="shared" si="0"/>
        <v/>
      </c>
      <c r="B28" s="782">
        <v>50</v>
      </c>
      <c r="C28" s="85">
        <v>3</v>
      </c>
      <c r="D28" s="1187">
        <v>2</v>
      </c>
      <c r="E28" s="86">
        <v>5</v>
      </c>
      <c r="F28" s="86">
        <v>1170</v>
      </c>
      <c r="G28" s="86">
        <v>1070</v>
      </c>
      <c r="H28" s="86">
        <f t="shared" si="374"/>
        <v>1060</v>
      </c>
      <c r="I28" s="86">
        <v>0</v>
      </c>
      <c r="J28" s="765">
        <f>IF(C28="",0,HLOOKUP(C28,'Part IV-Utility Allowances'!$I$11:$M$25,15))</f>
        <v>238</v>
      </c>
      <c r="K28" s="473"/>
      <c r="L28" s="330">
        <f t="shared" si="1"/>
        <v>822</v>
      </c>
      <c r="M28" s="330">
        <f t="shared" si="2"/>
        <v>4110</v>
      </c>
      <c r="N28" s="506" t="s">
        <v>7474</v>
      </c>
      <c r="O28" s="1134" t="s">
        <v>1259</v>
      </c>
      <c r="P28" s="506" t="s">
        <v>7678</v>
      </c>
      <c r="Q28" s="87" t="s">
        <v>7474</v>
      </c>
      <c r="R28" s="540"/>
      <c r="S28" s="541"/>
      <c r="T28" s="3758"/>
      <c r="U28" s="3759"/>
      <c r="V28" s="3759"/>
      <c r="W28" s="3760"/>
      <c r="X28" s="251" t="str">
        <f t="shared" si="3"/>
        <v/>
      </c>
      <c r="Y28" s="251" t="str">
        <f t="shared" si="4"/>
        <v/>
      </c>
      <c r="Z28" s="251" t="str">
        <f t="shared" si="5"/>
        <v/>
      </c>
      <c r="AA28" s="251" t="str">
        <f t="shared" si="6"/>
        <v/>
      </c>
      <c r="AB28" s="251" t="str">
        <f t="shared" si="7"/>
        <v/>
      </c>
      <c r="AC28" s="251" t="str">
        <f t="shared" si="8"/>
        <v/>
      </c>
      <c r="AD28" s="251" t="str">
        <f t="shared" si="9"/>
        <v/>
      </c>
      <c r="AE28" s="251" t="str">
        <f t="shared" si="10"/>
        <v/>
      </c>
      <c r="AF28" s="251" t="str">
        <f t="shared" si="11"/>
        <v/>
      </c>
      <c r="AG28" s="251" t="str">
        <f t="shared" si="12"/>
        <v/>
      </c>
      <c r="AH28" s="251" t="str">
        <f t="shared" si="13"/>
        <v/>
      </c>
      <c r="AI28" s="251" t="str">
        <f t="shared" si="14"/>
        <v/>
      </c>
      <c r="AJ28" s="251" t="str">
        <f t="shared" si="15"/>
        <v/>
      </c>
      <c r="AK28" s="251" t="str">
        <f t="shared" si="16"/>
        <v/>
      </c>
      <c r="AL28" s="251" t="str">
        <f t="shared" si="17"/>
        <v/>
      </c>
      <c r="AM28" s="251" t="str">
        <f t="shared" si="18"/>
        <v/>
      </c>
      <c r="AN28" s="251" t="str">
        <f t="shared" si="19"/>
        <v/>
      </c>
      <c r="AO28" s="251" t="str">
        <f t="shared" si="20"/>
        <v/>
      </c>
      <c r="AP28" s="251">
        <f t="shared" si="21"/>
        <v>5</v>
      </c>
      <c r="AQ28" s="251" t="str">
        <f t="shared" si="22"/>
        <v/>
      </c>
      <c r="AR28" s="251" t="str">
        <f t="shared" si="23"/>
        <v/>
      </c>
      <c r="AS28" s="251" t="str">
        <f t="shared" si="24"/>
        <v/>
      </c>
      <c r="AT28" s="251" t="str">
        <f t="shared" si="25"/>
        <v/>
      </c>
      <c r="AU28" s="251" t="str">
        <f t="shared" si="26"/>
        <v/>
      </c>
      <c r="AV28" s="251" t="str">
        <f t="shared" si="27"/>
        <v/>
      </c>
      <c r="AW28" s="251" t="str">
        <f t="shared" si="28"/>
        <v/>
      </c>
      <c r="AX28" s="251" t="str">
        <f t="shared" si="29"/>
        <v/>
      </c>
      <c r="AY28" s="251" t="str">
        <f t="shared" si="30"/>
        <v/>
      </c>
      <c r="AZ28" s="251" t="str">
        <f t="shared" si="31"/>
        <v/>
      </c>
      <c r="BA28" s="251" t="str">
        <f t="shared" si="32"/>
        <v/>
      </c>
      <c r="BB28" s="251" t="str">
        <f t="shared" si="33"/>
        <v/>
      </c>
      <c r="BC28" s="251" t="str">
        <f t="shared" si="34"/>
        <v/>
      </c>
      <c r="BD28" s="251" t="str">
        <f t="shared" si="35"/>
        <v/>
      </c>
      <c r="BE28" s="251" t="str">
        <f t="shared" si="36"/>
        <v/>
      </c>
      <c r="BF28" s="251" t="str">
        <f t="shared" si="37"/>
        <v/>
      </c>
      <c r="BG28" s="251" t="str">
        <f t="shared" si="38"/>
        <v/>
      </c>
      <c r="BH28" s="251" t="str">
        <f t="shared" si="39"/>
        <v/>
      </c>
      <c r="BI28" s="251" t="str">
        <f t="shared" si="40"/>
        <v/>
      </c>
      <c r="BJ28" s="251" t="str">
        <f t="shared" si="41"/>
        <v/>
      </c>
      <c r="BK28" s="251" t="str">
        <f t="shared" si="42"/>
        <v/>
      </c>
      <c r="BL28" s="251" t="str">
        <f t="shared" si="43"/>
        <v/>
      </c>
      <c r="BM28" s="251" t="str">
        <f t="shared" si="44"/>
        <v/>
      </c>
      <c r="BN28" s="251" t="str">
        <f t="shared" si="45"/>
        <v/>
      </c>
      <c r="BO28" s="251" t="str">
        <f t="shared" si="46"/>
        <v/>
      </c>
      <c r="BP28" s="251" t="str">
        <f t="shared" si="47"/>
        <v/>
      </c>
      <c r="BQ28" s="251" t="str">
        <f t="shared" si="48"/>
        <v/>
      </c>
      <c r="BR28" s="251" t="str">
        <f t="shared" si="49"/>
        <v/>
      </c>
      <c r="BS28" s="251" t="str">
        <f t="shared" si="50"/>
        <v/>
      </c>
      <c r="BT28" s="251" t="str">
        <f t="shared" si="51"/>
        <v/>
      </c>
      <c r="BU28" s="251" t="str">
        <f t="shared" si="52"/>
        <v/>
      </c>
      <c r="BV28" s="251" t="str">
        <f t="shared" si="53"/>
        <v/>
      </c>
      <c r="BW28" s="251" t="str">
        <f t="shared" si="54"/>
        <v/>
      </c>
      <c r="BX28" s="251" t="str">
        <f t="shared" si="55"/>
        <v/>
      </c>
      <c r="BY28" s="251" t="str">
        <f t="shared" si="56"/>
        <v/>
      </c>
      <c r="BZ28" s="251" t="str">
        <f t="shared" si="57"/>
        <v/>
      </c>
      <c r="CA28" s="251" t="str">
        <f t="shared" si="58"/>
        <v/>
      </c>
      <c r="CB28" s="251" t="str">
        <f t="shared" si="59"/>
        <v/>
      </c>
      <c r="CC28" s="251" t="str">
        <f t="shared" si="60"/>
        <v/>
      </c>
      <c r="CD28" s="251" t="str">
        <f t="shared" si="61"/>
        <v/>
      </c>
      <c r="CE28" s="251" t="str">
        <f t="shared" si="62"/>
        <v/>
      </c>
      <c r="CF28" s="251" t="str">
        <f t="shared" si="63"/>
        <v/>
      </c>
      <c r="CG28" s="251" t="str">
        <f t="shared" si="64"/>
        <v/>
      </c>
      <c r="CH28" s="251" t="str">
        <f t="shared" si="65"/>
        <v/>
      </c>
      <c r="CI28" s="251" t="str">
        <f t="shared" si="66"/>
        <v/>
      </c>
      <c r="CJ28" s="251" t="str">
        <f t="shared" si="67"/>
        <v/>
      </c>
      <c r="CK28" s="251" t="str">
        <f t="shared" si="68"/>
        <v/>
      </c>
      <c r="CL28" s="251" t="str">
        <f t="shared" si="69"/>
        <v/>
      </c>
      <c r="CM28" s="251" t="str">
        <f t="shared" si="70"/>
        <v/>
      </c>
      <c r="CN28" s="251" t="str">
        <f t="shared" si="71"/>
        <v/>
      </c>
      <c r="CO28" s="251" t="str">
        <f t="shared" si="72"/>
        <v/>
      </c>
      <c r="CP28" s="251" t="str">
        <f t="shared" si="73"/>
        <v/>
      </c>
      <c r="CQ28" s="251" t="str">
        <f t="shared" si="74"/>
        <v/>
      </c>
      <c r="CR28" s="251" t="str">
        <f t="shared" si="75"/>
        <v/>
      </c>
      <c r="CS28" s="251" t="str">
        <f t="shared" si="76"/>
        <v/>
      </c>
      <c r="CT28" s="251" t="str">
        <f t="shared" si="77"/>
        <v/>
      </c>
      <c r="CU28" s="251" t="str">
        <f t="shared" si="78"/>
        <v/>
      </c>
      <c r="CV28" s="251" t="str">
        <f t="shared" si="79"/>
        <v/>
      </c>
      <c r="CW28" s="251" t="str">
        <f t="shared" si="80"/>
        <v/>
      </c>
      <c r="CX28" s="251" t="str">
        <f t="shared" si="81"/>
        <v/>
      </c>
      <c r="CY28" s="251" t="str">
        <f t="shared" si="82"/>
        <v/>
      </c>
      <c r="CZ28" s="251" t="str">
        <f t="shared" si="83"/>
        <v/>
      </c>
      <c r="DA28" s="251" t="str">
        <f t="shared" si="84"/>
        <v/>
      </c>
      <c r="DB28" s="251" t="str">
        <f t="shared" si="85"/>
        <v/>
      </c>
      <c r="DC28" s="251" t="str">
        <f t="shared" si="86"/>
        <v/>
      </c>
      <c r="DD28" s="251" t="str">
        <f t="shared" si="87"/>
        <v/>
      </c>
      <c r="DE28" s="251" t="str">
        <f t="shared" si="88"/>
        <v/>
      </c>
      <c r="DF28" s="251" t="str">
        <f t="shared" si="89"/>
        <v/>
      </c>
      <c r="DG28" s="251" t="str">
        <f t="shared" si="90"/>
        <v/>
      </c>
      <c r="DH28" s="251" t="str">
        <f t="shared" si="91"/>
        <v/>
      </c>
      <c r="DI28" s="251" t="str">
        <f t="shared" si="92"/>
        <v/>
      </c>
      <c r="DJ28" s="251" t="str">
        <f t="shared" si="93"/>
        <v/>
      </c>
      <c r="DK28" s="251" t="str">
        <f t="shared" si="94"/>
        <v/>
      </c>
      <c r="DL28" s="251" t="str">
        <f t="shared" si="95"/>
        <v/>
      </c>
      <c r="DM28" s="251" t="str">
        <f t="shared" si="96"/>
        <v/>
      </c>
      <c r="DN28" s="251" t="str">
        <f t="shared" si="97"/>
        <v/>
      </c>
      <c r="DO28" s="251" t="str">
        <f t="shared" si="98"/>
        <v/>
      </c>
      <c r="DP28" s="251" t="str">
        <f t="shared" si="99"/>
        <v/>
      </c>
      <c r="DQ28" s="251" t="str">
        <f t="shared" si="100"/>
        <v/>
      </c>
      <c r="DR28" s="251" t="str">
        <f t="shared" si="101"/>
        <v/>
      </c>
      <c r="DS28" s="251" t="str">
        <f t="shared" si="102"/>
        <v/>
      </c>
      <c r="DT28" s="251" t="str">
        <f t="shared" si="103"/>
        <v/>
      </c>
      <c r="DU28" s="251" t="str">
        <f t="shared" si="104"/>
        <v/>
      </c>
      <c r="DV28" s="251" t="str">
        <f t="shared" si="105"/>
        <v/>
      </c>
      <c r="DW28" s="251" t="str">
        <f t="shared" si="106"/>
        <v/>
      </c>
      <c r="DX28" s="251" t="str">
        <f t="shared" si="107"/>
        <v/>
      </c>
      <c r="DY28" s="251" t="str">
        <f t="shared" si="108"/>
        <v/>
      </c>
      <c r="DZ28" s="251" t="str">
        <f t="shared" si="109"/>
        <v/>
      </c>
      <c r="EA28" s="251" t="str">
        <f t="shared" si="110"/>
        <v/>
      </c>
      <c r="EB28" s="251" t="str">
        <f t="shared" si="111"/>
        <v/>
      </c>
      <c r="EC28" s="251" t="str">
        <f t="shared" si="112"/>
        <v/>
      </c>
      <c r="ED28" s="251" t="str">
        <f t="shared" si="113"/>
        <v/>
      </c>
      <c r="EE28" s="251" t="str">
        <f t="shared" si="114"/>
        <v/>
      </c>
      <c r="EF28" s="251" t="str">
        <f t="shared" si="115"/>
        <v/>
      </c>
      <c r="EG28" s="251" t="str">
        <f t="shared" si="116"/>
        <v/>
      </c>
      <c r="EH28" s="251" t="str">
        <f t="shared" si="117"/>
        <v/>
      </c>
      <c r="EI28" s="251" t="str">
        <f t="shared" si="118"/>
        <v/>
      </c>
      <c r="EJ28" s="251" t="str">
        <f t="shared" si="119"/>
        <v/>
      </c>
      <c r="EK28" s="251" t="str">
        <f t="shared" si="120"/>
        <v/>
      </c>
      <c r="EL28" s="251" t="str">
        <f t="shared" si="121"/>
        <v/>
      </c>
      <c r="EM28" s="251" t="str">
        <f t="shared" si="122"/>
        <v/>
      </c>
      <c r="EN28" s="251" t="str">
        <f t="shared" si="123"/>
        <v/>
      </c>
      <c r="EO28" s="251" t="str">
        <f t="shared" si="124"/>
        <v/>
      </c>
      <c r="EP28" s="251" t="str">
        <f t="shared" si="125"/>
        <v/>
      </c>
      <c r="EQ28" s="251" t="str">
        <f t="shared" si="126"/>
        <v/>
      </c>
      <c r="ER28" s="251" t="str">
        <f t="shared" si="127"/>
        <v/>
      </c>
      <c r="ES28" s="251" t="str">
        <f t="shared" si="128"/>
        <v/>
      </c>
      <c r="ET28" s="251" t="str">
        <f t="shared" si="129"/>
        <v/>
      </c>
      <c r="EU28" s="251" t="str">
        <f t="shared" si="130"/>
        <v/>
      </c>
      <c r="EV28" s="251" t="str">
        <f t="shared" si="131"/>
        <v/>
      </c>
      <c r="EW28" s="251" t="str">
        <f t="shared" si="132"/>
        <v/>
      </c>
      <c r="EX28" s="251" t="str">
        <f t="shared" si="133"/>
        <v/>
      </c>
      <c r="EY28" s="251" t="str">
        <f t="shared" si="134"/>
        <v/>
      </c>
      <c r="EZ28" s="251" t="str">
        <f t="shared" si="135"/>
        <v/>
      </c>
      <c r="FA28" s="251" t="str">
        <f t="shared" si="136"/>
        <v/>
      </c>
      <c r="FB28" s="251" t="str">
        <f t="shared" si="137"/>
        <v/>
      </c>
      <c r="FC28" s="251" t="str">
        <f t="shared" si="138"/>
        <v/>
      </c>
      <c r="FD28" s="251" t="str">
        <f t="shared" si="139"/>
        <v/>
      </c>
      <c r="FE28" s="251" t="str">
        <f t="shared" si="140"/>
        <v/>
      </c>
      <c r="FF28" s="251" t="str">
        <f t="shared" si="141"/>
        <v/>
      </c>
      <c r="FG28" s="251" t="str">
        <f t="shared" si="142"/>
        <v/>
      </c>
      <c r="FH28" s="251" t="str">
        <f t="shared" si="143"/>
        <v/>
      </c>
      <c r="FI28" s="251" t="str">
        <f t="shared" si="144"/>
        <v/>
      </c>
      <c r="FJ28" s="251" t="str">
        <f t="shared" si="145"/>
        <v/>
      </c>
      <c r="FK28" s="251" t="str">
        <f t="shared" si="146"/>
        <v/>
      </c>
      <c r="FL28" s="251" t="str">
        <f t="shared" si="147"/>
        <v/>
      </c>
      <c r="FM28" s="251" t="str">
        <f t="shared" si="148"/>
        <v/>
      </c>
      <c r="FN28" s="251" t="str">
        <f t="shared" si="149"/>
        <v/>
      </c>
      <c r="FO28" s="251" t="str">
        <f t="shared" si="150"/>
        <v/>
      </c>
      <c r="FP28" s="251" t="str">
        <f t="shared" si="151"/>
        <v/>
      </c>
      <c r="FQ28" s="251" t="str">
        <f t="shared" si="152"/>
        <v/>
      </c>
      <c r="FR28" s="251" t="str">
        <f t="shared" si="153"/>
        <v/>
      </c>
      <c r="FS28" s="251" t="str">
        <f t="shared" si="154"/>
        <v/>
      </c>
      <c r="FT28" s="251" t="str">
        <f t="shared" si="155"/>
        <v/>
      </c>
      <c r="FU28" s="251" t="str">
        <f t="shared" si="156"/>
        <v/>
      </c>
      <c r="FV28" s="251" t="str">
        <f t="shared" si="157"/>
        <v/>
      </c>
      <c r="FW28" s="251" t="str">
        <f t="shared" si="158"/>
        <v/>
      </c>
      <c r="FX28" s="251" t="str">
        <f t="shared" si="159"/>
        <v/>
      </c>
      <c r="FY28" s="251" t="str">
        <f t="shared" si="160"/>
        <v/>
      </c>
      <c r="FZ28" s="251" t="str">
        <f t="shared" si="161"/>
        <v/>
      </c>
      <c r="GA28" s="251" t="str">
        <f t="shared" si="162"/>
        <v/>
      </c>
      <c r="GB28" s="251" t="str">
        <f t="shared" si="163"/>
        <v/>
      </c>
      <c r="GC28" s="251" t="str">
        <f t="shared" si="164"/>
        <v/>
      </c>
      <c r="GD28" s="251" t="str">
        <f t="shared" si="165"/>
        <v/>
      </c>
      <c r="GE28" s="251" t="str">
        <f t="shared" si="166"/>
        <v/>
      </c>
      <c r="GF28" s="251" t="str">
        <f t="shared" si="167"/>
        <v/>
      </c>
      <c r="GG28" s="251" t="str">
        <f t="shared" si="168"/>
        <v/>
      </c>
      <c r="GH28" s="251" t="str">
        <f t="shared" si="169"/>
        <v/>
      </c>
      <c r="GI28" s="251" t="str">
        <f t="shared" si="170"/>
        <v/>
      </c>
      <c r="GJ28" s="251">
        <f t="shared" si="171"/>
        <v>5850</v>
      </c>
      <c r="GK28" s="251" t="str">
        <f t="shared" si="172"/>
        <v/>
      </c>
      <c r="GL28" s="251" t="str">
        <f t="shared" si="173"/>
        <v/>
      </c>
      <c r="GM28" s="251" t="str">
        <f t="shared" si="174"/>
        <v/>
      </c>
      <c r="GN28" s="251" t="str">
        <f t="shared" si="175"/>
        <v/>
      </c>
      <c r="GO28" s="251" t="str">
        <f t="shared" si="176"/>
        <v/>
      </c>
      <c r="GP28" s="251" t="str">
        <f t="shared" si="177"/>
        <v/>
      </c>
      <c r="GQ28" s="251" t="str">
        <f t="shared" si="178"/>
        <v/>
      </c>
      <c r="GR28" s="251" t="str">
        <f t="shared" si="179"/>
        <v/>
      </c>
      <c r="GS28" s="251" t="str">
        <f t="shared" si="180"/>
        <v/>
      </c>
      <c r="GT28" s="251" t="str">
        <f t="shared" si="181"/>
        <v/>
      </c>
      <c r="GU28" s="251" t="str">
        <f t="shared" si="182"/>
        <v/>
      </c>
      <c r="GV28" s="251" t="str">
        <f t="shared" si="183"/>
        <v/>
      </c>
      <c r="GW28" s="251" t="str">
        <f t="shared" si="184"/>
        <v/>
      </c>
      <c r="GX28" s="251" t="str">
        <f t="shared" si="185"/>
        <v/>
      </c>
      <c r="GY28" s="251" t="str">
        <f t="shared" si="186"/>
        <v/>
      </c>
      <c r="GZ28" s="251" t="str">
        <f t="shared" si="187"/>
        <v/>
      </c>
      <c r="HA28" s="251" t="str">
        <f t="shared" si="188"/>
        <v/>
      </c>
      <c r="HB28" s="251" t="str">
        <f t="shared" si="189"/>
        <v/>
      </c>
      <c r="HC28" s="251" t="str">
        <f t="shared" si="190"/>
        <v/>
      </c>
      <c r="HD28" s="251" t="str">
        <f t="shared" si="191"/>
        <v/>
      </c>
      <c r="HE28" s="251" t="str">
        <f t="shared" si="192"/>
        <v/>
      </c>
      <c r="HF28" s="251" t="str">
        <f t="shared" si="193"/>
        <v/>
      </c>
      <c r="HG28" s="251" t="str">
        <f t="shared" si="194"/>
        <v/>
      </c>
      <c r="HH28" s="251" t="str">
        <f t="shared" si="195"/>
        <v/>
      </c>
      <c r="HI28" s="251" t="str">
        <f t="shared" si="196"/>
        <v/>
      </c>
      <c r="HJ28" s="251" t="str">
        <f t="shared" si="197"/>
        <v/>
      </c>
      <c r="HK28" s="251" t="str">
        <f t="shared" si="198"/>
        <v/>
      </c>
      <c r="HL28" s="251" t="str">
        <f t="shared" si="199"/>
        <v/>
      </c>
      <c r="HM28" s="251" t="str">
        <f t="shared" si="200"/>
        <v/>
      </c>
      <c r="HN28" s="251" t="str">
        <f t="shared" si="201"/>
        <v/>
      </c>
      <c r="HO28" s="251" t="str">
        <f t="shared" si="202"/>
        <v/>
      </c>
      <c r="HP28" s="251" t="str">
        <f t="shared" si="203"/>
        <v/>
      </c>
      <c r="HQ28" s="251" t="str">
        <f t="shared" si="204"/>
        <v/>
      </c>
      <c r="HR28" s="251" t="str">
        <f t="shared" si="205"/>
        <v/>
      </c>
      <c r="HS28" s="251" t="str">
        <f t="shared" si="206"/>
        <v/>
      </c>
      <c r="HT28" s="251" t="str">
        <f t="shared" si="207"/>
        <v/>
      </c>
      <c r="HU28" s="251" t="str">
        <f t="shared" si="208"/>
        <v/>
      </c>
      <c r="HV28" s="251" t="str">
        <f t="shared" si="209"/>
        <v/>
      </c>
      <c r="HW28" s="251" t="str">
        <f t="shared" si="210"/>
        <v/>
      </c>
      <c r="HX28" s="251" t="str">
        <f t="shared" si="211"/>
        <v/>
      </c>
      <c r="HY28" s="251" t="str">
        <f t="shared" si="212"/>
        <v/>
      </c>
      <c r="HZ28" s="251" t="str">
        <f t="shared" si="213"/>
        <v/>
      </c>
      <c r="IA28" s="251" t="str">
        <f t="shared" si="214"/>
        <v/>
      </c>
      <c r="IB28" s="251" t="str">
        <f t="shared" si="215"/>
        <v/>
      </c>
      <c r="IC28" s="251" t="str">
        <f t="shared" si="216"/>
        <v/>
      </c>
      <c r="ID28" s="251" t="str">
        <f t="shared" si="217"/>
        <v/>
      </c>
      <c r="IE28" s="251" t="str">
        <f t="shared" si="218"/>
        <v/>
      </c>
      <c r="IF28" s="251" t="str">
        <f t="shared" si="219"/>
        <v/>
      </c>
      <c r="IG28" s="251" t="str">
        <f t="shared" si="220"/>
        <v/>
      </c>
      <c r="IH28" s="251">
        <f t="shared" si="221"/>
        <v>5</v>
      </c>
      <c r="II28" s="251" t="str">
        <f t="shared" si="222"/>
        <v/>
      </c>
      <c r="IJ28" s="251" t="str">
        <f t="shared" si="223"/>
        <v/>
      </c>
      <c r="IK28" s="251" t="str">
        <f t="shared" si="224"/>
        <v/>
      </c>
      <c r="IL28" s="251" t="str">
        <f t="shared" si="225"/>
        <v/>
      </c>
      <c r="IM28" s="251" t="str">
        <f t="shared" si="226"/>
        <v/>
      </c>
      <c r="IN28" s="251" t="str">
        <f t="shared" si="227"/>
        <v/>
      </c>
      <c r="IO28" s="251" t="str">
        <f t="shared" si="228"/>
        <v/>
      </c>
      <c r="IP28" s="251" t="str">
        <f t="shared" si="229"/>
        <v/>
      </c>
      <c r="IQ28" s="251" t="str">
        <f t="shared" si="230"/>
        <v/>
      </c>
      <c r="IR28" s="251" t="str">
        <f t="shared" si="231"/>
        <v/>
      </c>
      <c r="IS28" s="251" t="str">
        <f t="shared" si="232"/>
        <v/>
      </c>
      <c r="IT28" s="251" t="str">
        <f t="shared" si="233"/>
        <v/>
      </c>
      <c r="IU28" s="251" t="str">
        <f t="shared" si="234"/>
        <v/>
      </c>
      <c r="IV28" s="251" t="str">
        <f t="shared" si="235"/>
        <v/>
      </c>
      <c r="IW28" s="251" t="str">
        <f t="shared" si="236"/>
        <v/>
      </c>
      <c r="IX28" s="251" t="str">
        <f t="shared" si="237"/>
        <v/>
      </c>
      <c r="IY28" s="251" t="str">
        <f t="shared" si="238"/>
        <v/>
      </c>
      <c r="IZ28" s="251" t="str">
        <f t="shared" si="239"/>
        <v/>
      </c>
      <c r="JA28" s="251" t="str">
        <f t="shared" si="240"/>
        <v/>
      </c>
      <c r="JB28" s="251" t="str">
        <f t="shared" si="241"/>
        <v/>
      </c>
      <c r="JC28" s="251" t="str">
        <f t="shared" si="242"/>
        <v/>
      </c>
      <c r="JD28" s="251" t="str">
        <f t="shared" si="243"/>
        <v/>
      </c>
      <c r="JE28" s="251" t="str">
        <f t="shared" si="244"/>
        <v/>
      </c>
      <c r="JF28" s="251" t="str">
        <f t="shared" si="245"/>
        <v/>
      </c>
      <c r="JG28" s="251" t="str">
        <f t="shared" si="246"/>
        <v/>
      </c>
      <c r="JH28" s="251" t="str">
        <f t="shared" si="247"/>
        <v/>
      </c>
      <c r="JI28" s="1297" t="str">
        <f t="shared" si="248"/>
        <v/>
      </c>
      <c r="JJ28" s="1297" t="str">
        <f t="shared" si="249"/>
        <v/>
      </c>
      <c r="JK28" s="1297" t="str">
        <f t="shared" si="250"/>
        <v/>
      </c>
      <c r="JL28" s="1297">
        <f t="shared" si="251"/>
        <v>5</v>
      </c>
      <c r="JM28" s="1297" t="str">
        <f t="shared" si="252"/>
        <v/>
      </c>
      <c r="JN28" s="1297" t="str">
        <f t="shared" si="253"/>
        <v/>
      </c>
      <c r="JO28" s="1297" t="str">
        <f t="shared" si="254"/>
        <v/>
      </c>
      <c r="JP28" s="1297" t="str">
        <f t="shared" si="255"/>
        <v/>
      </c>
      <c r="JQ28" s="1297" t="str">
        <f t="shared" si="256"/>
        <v/>
      </c>
      <c r="JR28" s="1297" t="str">
        <f t="shared" si="257"/>
        <v/>
      </c>
      <c r="JS28" s="1297" t="str">
        <f t="shared" si="258"/>
        <v/>
      </c>
      <c r="JT28" s="1297" t="str">
        <f t="shared" si="259"/>
        <v/>
      </c>
      <c r="JU28" s="1297" t="str">
        <f t="shared" si="260"/>
        <v/>
      </c>
      <c r="JV28" s="1297" t="str">
        <f t="shared" si="261"/>
        <v/>
      </c>
      <c r="JW28" s="1297" t="str">
        <f t="shared" si="262"/>
        <v/>
      </c>
      <c r="JX28" s="1297" t="str">
        <f t="shared" si="263"/>
        <v/>
      </c>
      <c r="JY28" s="1297" t="str">
        <f t="shared" si="264"/>
        <v/>
      </c>
      <c r="JZ28" s="1297" t="str">
        <f t="shared" si="265"/>
        <v/>
      </c>
      <c r="KA28" s="1297" t="str">
        <f t="shared" si="266"/>
        <v/>
      </c>
      <c r="KB28" s="1297" t="str">
        <f t="shared" si="267"/>
        <v/>
      </c>
      <c r="KC28" s="1297" t="str">
        <f t="shared" si="268"/>
        <v/>
      </c>
      <c r="KD28" s="1297" t="str">
        <f t="shared" si="269"/>
        <v/>
      </c>
      <c r="KE28" s="1297" t="str">
        <f t="shared" si="270"/>
        <v/>
      </c>
      <c r="KF28" s="1297" t="str">
        <f t="shared" si="271"/>
        <v/>
      </c>
      <c r="KG28" s="1297" t="str">
        <f t="shared" si="272"/>
        <v/>
      </c>
      <c r="KH28" s="1297" t="str">
        <f t="shared" si="273"/>
        <v/>
      </c>
      <c r="KI28" s="1297" t="str">
        <f t="shared" si="274"/>
        <v/>
      </c>
      <c r="KJ28" s="1297" t="str">
        <f t="shared" si="275"/>
        <v/>
      </c>
      <c r="KK28" s="1297" t="str">
        <f t="shared" si="276"/>
        <v/>
      </c>
      <c r="KL28" s="1297" t="str">
        <f t="shared" si="277"/>
        <v/>
      </c>
      <c r="KM28" s="1297" t="str">
        <f t="shared" si="278"/>
        <v/>
      </c>
      <c r="KN28" s="1297" t="str">
        <f t="shared" si="279"/>
        <v/>
      </c>
      <c r="KO28" s="1297" t="str">
        <f t="shared" si="280"/>
        <v/>
      </c>
      <c r="KP28" s="1297" t="str">
        <f t="shared" si="281"/>
        <v/>
      </c>
      <c r="KQ28" s="1297" t="str">
        <f t="shared" si="282"/>
        <v/>
      </c>
      <c r="KR28" s="1297" t="str">
        <f t="shared" si="283"/>
        <v/>
      </c>
      <c r="KS28" s="1297" t="str">
        <f t="shared" si="284"/>
        <v/>
      </c>
      <c r="KT28" s="1297" t="str">
        <f t="shared" si="285"/>
        <v/>
      </c>
      <c r="KU28" s="1297" t="str">
        <f t="shared" si="286"/>
        <v/>
      </c>
      <c r="KV28" s="1297" t="str">
        <f t="shared" si="287"/>
        <v/>
      </c>
      <c r="KW28" s="1297" t="str">
        <f t="shared" si="288"/>
        <v/>
      </c>
      <c r="KX28" s="1297" t="str">
        <f t="shared" si="289"/>
        <v/>
      </c>
      <c r="KY28" s="1297" t="str">
        <f t="shared" si="290"/>
        <v/>
      </c>
      <c r="KZ28" s="1297" t="str">
        <f t="shared" si="291"/>
        <v/>
      </c>
      <c r="LA28" s="1297" t="str">
        <f t="shared" si="292"/>
        <v/>
      </c>
      <c r="LB28" s="1297" t="str">
        <f t="shared" si="293"/>
        <v/>
      </c>
      <c r="LC28" s="1297" t="str">
        <f t="shared" si="294"/>
        <v/>
      </c>
      <c r="LD28" s="1297" t="str">
        <f t="shared" si="295"/>
        <v/>
      </c>
      <c r="LE28" s="1297">
        <f t="shared" si="296"/>
        <v>5</v>
      </c>
      <c r="LF28" s="1297" t="str">
        <f t="shared" si="297"/>
        <v/>
      </c>
      <c r="LG28" s="1297" t="str">
        <f t="shared" si="298"/>
        <v/>
      </c>
      <c r="LH28" s="1297" t="str">
        <f t="shared" si="299"/>
        <v/>
      </c>
      <c r="LI28" s="1297" t="str">
        <f t="shared" si="300"/>
        <v/>
      </c>
      <c r="LJ28" s="1297" t="str">
        <f t="shared" si="301"/>
        <v/>
      </c>
      <c r="LK28" s="1297" t="str">
        <f t="shared" si="302"/>
        <v/>
      </c>
      <c r="LL28" s="1297" t="str">
        <f t="shared" si="303"/>
        <v/>
      </c>
      <c r="LM28" s="1297" t="str">
        <f t="shared" si="304"/>
        <v/>
      </c>
      <c r="LN28" s="1297" t="str">
        <f t="shared" si="305"/>
        <v/>
      </c>
      <c r="LO28" s="1297" t="str">
        <f t="shared" si="306"/>
        <v/>
      </c>
      <c r="LP28" s="1297" t="str">
        <f t="shared" si="307"/>
        <v/>
      </c>
      <c r="LQ28" s="1297" t="str">
        <f t="shared" si="308"/>
        <v/>
      </c>
      <c r="LR28" s="1297" t="str">
        <f t="shared" si="309"/>
        <v/>
      </c>
      <c r="LS28" s="1297" t="str">
        <f t="shared" si="310"/>
        <v/>
      </c>
      <c r="LT28" s="1297" t="str">
        <f t="shared" si="311"/>
        <v/>
      </c>
      <c r="LU28" s="1297" t="str">
        <f t="shared" si="312"/>
        <v/>
      </c>
      <c r="LV28" s="1297" t="str">
        <f t="shared" si="313"/>
        <v/>
      </c>
      <c r="LW28" s="1297" t="str">
        <f t="shared" si="314"/>
        <v/>
      </c>
      <c r="LX28" s="1297" t="str">
        <f t="shared" si="315"/>
        <v/>
      </c>
      <c r="LY28" s="1297" t="str">
        <f t="shared" si="316"/>
        <v/>
      </c>
      <c r="LZ28" s="1297" t="str">
        <f t="shared" si="317"/>
        <v/>
      </c>
      <c r="MA28" s="1297" t="str">
        <f t="shared" si="318"/>
        <v/>
      </c>
      <c r="MB28" s="1297" t="str">
        <f t="shared" si="319"/>
        <v/>
      </c>
      <c r="MC28" s="1297" t="str">
        <f t="shared" si="320"/>
        <v/>
      </c>
      <c r="MD28" s="1297" t="str">
        <f t="shared" si="321"/>
        <v/>
      </c>
      <c r="ME28" s="1297" t="str">
        <f t="shared" si="322"/>
        <v/>
      </c>
      <c r="MF28" s="1297" t="str">
        <f t="shared" si="323"/>
        <v/>
      </c>
      <c r="MG28" s="1297" t="str">
        <f t="shared" si="324"/>
        <v/>
      </c>
      <c r="MH28" s="1297" t="str">
        <f t="shared" si="325"/>
        <v/>
      </c>
      <c r="MI28" s="1297" t="str">
        <f t="shared" si="326"/>
        <v/>
      </c>
      <c r="MJ28" s="1297" t="str">
        <f t="shared" si="327"/>
        <v/>
      </c>
      <c r="MK28" s="1297" t="str">
        <f t="shared" si="328"/>
        <v/>
      </c>
      <c r="ML28" s="1297" t="str">
        <f t="shared" si="329"/>
        <v/>
      </c>
      <c r="MM28" s="1297" t="str">
        <f t="shared" si="330"/>
        <v/>
      </c>
      <c r="MN28" s="1297" t="str">
        <f t="shared" si="331"/>
        <v/>
      </c>
      <c r="MO28" s="1297" t="str">
        <f t="shared" si="332"/>
        <v/>
      </c>
      <c r="MP28" s="1773" t="str">
        <f t="shared" si="333"/>
        <v/>
      </c>
      <c r="MQ28" s="1773" t="str">
        <f t="shared" si="334"/>
        <v/>
      </c>
      <c r="MR28" s="1773" t="str">
        <f t="shared" si="335"/>
        <v/>
      </c>
      <c r="MS28" s="1773" t="str">
        <f t="shared" si="336"/>
        <v/>
      </c>
      <c r="MT28" s="1773" t="str">
        <f t="shared" si="337"/>
        <v/>
      </c>
      <c r="MU28" s="251" t="str">
        <f t="shared" si="338"/>
        <v/>
      </c>
      <c r="MV28" s="251" t="str">
        <f t="shared" si="339"/>
        <v/>
      </c>
      <c r="MW28" s="251" t="str">
        <f t="shared" si="340"/>
        <v/>
      </c>
      <c r="MX28" s="251" t="str">
        <f t="shared" si="341"/>
        <v/>
      </c>
      <c r="MY28" s="251" t="str">
        <f t="shared" si="342"/>
        <v/>
      </c>
      <c r="MZ28" s="251" t="str">
        <f t="shared" si="343"/>
        <v/>
      </c>
      <c r="NA28" s="251" t="str">
        <f t="shared" si="344"/>
        <v/>
      </c>
      <c r="NB28" s="251" t="str">
        <f t="shared" si="345"/>
        <v/>
      </c>
      <c r="NC28" s="251" t="str">
        <f t="shared" si="346"/>
        <v/>
      </c>
      <c r="ND28" s="251" t="str">
        <f t="shared" si="347"/>
        <v/>
      </c>
      <c r="NE28" s="251" t="str">
        <f t="shared" si="348"/>
        <v/>
      </c>
      <c r="NF28" s="251" t="str">
        <f t="shared" si="349"/>
        <v/>
      </c>
      <c r="NG28" s="251" t="str">
        <f t="shared" si="350"/>
        <v/>
      </c>
      <c r="NH28" s="251" t="str">
        <f t="shared" si="351"/>
        <v/>
      </c>
      <c r="NI28" s="251" t="str">
        <f t="shared" si="352"/>
        <v/>
      </c>
      <c r="NJ28" s="251" t="str">
        <f t="shared" si="353"/>
        <v/>
      </c>
      <c r="NK28" s="251" t="str">
        <f t="shared" si="354"/>
        <v/>
      </c>
      <c r="NL28" s="251" t="str">
        <f t="shared" si="355"/>
        <v/>
      </c>
      <c r="NM28" s="251" t="str">
        <f t="shared" si="356"/>
        <v/>
      </c>
      <c r="NN28" s="251" t="str">
        <f t="shared" si="357"/>
        <v/>
      </c>
      <c r="NO28" s="1185">
        <f t="shared" si="358"/>
        <v>0</v>
      </c>
      <c r="NP28" s="1185">
        <f t="shared" si="359"/>
        <v>0</v>
      </c>
      <c r="NQ28" s="1185">
        <f t="shared" si="360"/>
        <v>0</v>
      </c>
      <c r="NR28" s="1185">
        <f t="shared" si="361"/>
        <v>5</v>
      </c>
      <c r="NS28" s="1185">
        <f t="shared" si="362"/>
        <v>0</v>
      </c>
      <c r="NT28" s="1185">
        <f t="shared" si="368"/>
        <v>0</v>
      </c>
      <c r="NU28" s="1185">
        <f t="shared" si="369"/>
        <v>0</v>
      </c>
      <c r="NV28" s="1185">
        <f t="shared" si="370"/>
        <v>0</v>
      </c>
      <c r="NW28" s="1185">
        <f t="shared" si="371"/>
        <v>0</v>
      </c>
      <c r="NX28" s="1185">
        <f t="shared" si="372"/>
        <v>0</v>
      </c>
      <c r="NY28" s="1185">
        <f t="shared" si="363"/>
        <v>0</v>
      </c>
      <c r="NZ28" s="1185">
        <f t="shared" si="364"/>
        <v>0</v>
      </c>
      <c r="OA28" s="1185">
        <f t="shared" si="365"/>
        <v>0</v>
      </c>
      <c r="OB28" s="1185">
        <f t="shared" si="366"/>
        <v>0</v>
      </c>
      <c r="OC28" s="1185">
        <f t="shared" si="367"/>
        <v>0</v>
      </c>
      <c r="OY28" s="1794" t="s">
        <v>1176</v>
      </c>
      <c r="OZ28" s="1799">
        <v>28</v>
      </c>
    </row>
    <row r="29" spans="1:416" ht="12" customHeight="1">
      <c r="A29" s="53" t="str">
        <f t="shared" si="0"/>
        <v/>
      </c>
      <c r="B29" s="782"/>
      <c r="C29" s="85"/>
      <c r="D29" s="1187"/>
      <c r="E29" s="86"/>
      <c r="F29" s="86"/>
      <c r="G29" s="86"/>
      <c r="H29" s="86"/>
      <c r="I29" s="86"/>
      <c r="J29" s="765">
        <f>IF(C29="",0,HLOOKUP(C29,'Part IV-Utility Allowances'!$I$11:$M$25,15))</f>
        <v>0</v>
      </c>
      <c r="K29" s="473"/>
      <c r="L29" s="330">
        <f t="shared" si="1"/>
        <v>0</v>
      </c>
      <c r="M29" s="330">
        <f t="shared" si="2"/>
        <v>0</v>
      </c>
      <c r="N29" s="506"/>
      <c r="O29" s="1134"/>
      <c r="P29" s="506"/>
      <c r="Q29" s="87"/>
      <c r="R29" s="540"/>
      <c r="S29" s="541"/>
      <c r="T29" s="3758"/>
      <c r="U29" s="3759"/>
      <c r="V29" s="3759"/>
      <c r="W29" s="3760"/>
      <c r="X29" s="251" t="str">
        <f t="shared" si="3"/>
        <v/>
      </c>
      <c r="Y29" s="251" t="str">
        <f t="shared" si="4"/>
        <v/>
      </c>
      <c r="Z29" s="251" t="str">
        <f t="shared" si="5"/>
        <v/>
      </c>
      <c r="AA29" s="251" t="str">
        <f t="shared" si="6"/>
        <v/>
      </c>
      <c r="AB29" s="251" t="str">
        <f t="shared" si="7"/>
        <v/>
      </c>
      <c r="AC29" s="251" t="str">
        <f t="shared" si="8"/>
        <v/>
      </c>
      <c r="AD29" s="251" t="str">
        <f t="shared" si="9"/>
        <v/>
      </c>
      <c r="AE29" s="251" t="str">
        <f t="shared" si="10"/>
        <v/>
      </c>
      <c r="AF29" s="251" t="str">
        <f t="shared" si="11"/>
        <v/>
      </c>
      <c r="AG29" s="251" t="str">
        <f t="shared" si="12"/>
        <v/>
      </c>
      <c r="AH29" s="251" t="str">
        <f t="shared" si="13"/>
        <v/>
      </c>
      <c r="AI29" s="251" t="str">
        <f t="shared" si="14"/>
        <v/>
      </c>
      <c r="AJ29" s="251" t="str">
        <f t="shared" si="15"/>
        <v/>
      </c>
      <c r="AK29" s="251" t="str">
        <f t="shared" si="16"/>
        <v/>
      </c>
      <c r="AL29" s="251" t="str">
        <f t="shared" si="17"/>
        <v/>
      </c>
      <c r="AM29" s="251" t="str">
        <f t="shared" si="18"/>
        <v/>
      </c>
      <c r="AN29" s="251" t="str">
        <f t="shared" si="19"/>
        <v/>
      </c>
      <c r="AO29" s="251" t="str">
        <f t="shared" si="20"/>
        <v/>
      </c>
      <c r="AP29" s="251" t="str">
        <f t="shared" si="21"/>
        <v/>
      </c>
      <c r="AQ29" s="251" t="str">
        <f t="shared" si="22"/>
        <v/>
      </c>
      <c r="AR29" s="251" t="str">
        <f t="shared" si="23"/>
        <v/>
      </c>
      <c r="AS29" s="251" t="str">
        <f t="shared" si="24"/>
        <v/>
      </c>
      <c r="AT29" s="251" t="str">
        <f t="shared" si="25"/>
        <v/>
      </c>
      <c r="AU29" s="251" t="str">
        <f t="shared" si="26"/>
        <v/>
      </c>
      <c r="AV29" s="251" t="str">
        <f t="shared" si="27"/>
        <v/>
      </c>
      <c r="AW29" s="251" t="str">
        <f t="shared" si="28"/>
        <v/>
      </c>
      <c r="AX29" s="251" t="str">
        <f t="shared" si="29"/>
        <v/>
      </c>
      <c r="AY29" s="251" t="str">
        <f t="shared" si="30"/>
        <v/>
      </c>
      <c r="AZ29" s="251" t="str">
        <f t="shared" si="31"/>
        <v/>
      </c>
      <c r="BA29" s="251" t="str">
        <f t="shared" si="32"/>
        <v/>
      </c>
      <c r="BB29" s="251" t="str">
        <f t="shared" si="33"/>
        <v/>
      </c>
      <c r="BC29" s="251" t="str">
        <f t="shared" si="34"/>
        <v/>
      </c>
      <c r="BD29" s="251" t="str">
        <f t="shared" si="35"/>
        <v/>
      </c>
      <c r="BE29" s="251" t="str">
        <f t="shared" si="36"/>
        <v/>
      </c>
      <c r="BF29" s="251" t="str">
        <f t="shared" si="37"/>
        <v/>
      </c>
      <c r="BG29" s="251" t="str">
        <f t="shared" si="38"/>
        <v/>
      </c>
      <c r="BH29" s="251" t="str">
        <f t="shared" si="39"/>
        <v/>
      </c>
      <c r="BI29" s="251" t="str">
        <f t="shared" si="40"/>
        <v/>
      </c>
      <c r="BJ29" s="251" t="str">
        <f t="shared" si="41"/>
        <v/>
      </c>
      <c r="BK29" s="251" t="str">
        <f t="shared" si="42"/>
        <v/>
      </c>
      <c r="BL29" s="251" t="str">
        <f t="shared" si="43"/>
        <v/>
      </c>
      <c r="BM29" s="251" t="str">
        <f t="shared" si="44"/>
        <v/>
      </c>
      <c r="BN29" s="251" t="str">
        <f t="shared" si="45"/>
        <v/>
      </c>
      <c r="BO29" s="251" t="str">
        <f t="shared" si="46"/>
        <v/>
      </c>
      <c r="BP29" s="251" t="str">
        <f t="shared" si="47"/>
        <v/>
      </c>
      <c r="BQ29" s="251" t="str">
        <f t="shared" si="48"/>
        <v/>
      </c>
      <c r="BR29" s="251" t="str">
        <f t="shared" si="49"/>
        <v/>
      </c>
      <c r="BS29" s="251" t="str">
        <f t="shared" si="50"/>
        <v/>
      </c>
      <c r="BT29" s="251" t="str">
        <f t="shared" si="51"/>
        <v/>
      </c>
      <c r="BU29" s="251" t="str">
        <f t="shared" si="52"/>
        <v/>
      </c>
      <c r="BV29" s="251" t="str">
        <f t="shared" si="53"/>
        <v/>
      </c>
      <c r="BW29" s="251" t="str">
        <f t="shared" si="54"/>
        <v/>
      </c>
      <c r="BX29" s="251" t="str">
        <f t="shared" si="55"/>
        <v/>
      </c>
      <c r="BY29" s="251" t="str">
        <f t="shared" si="56"/>
        <v/>
      </c>
      <c r="BZ29" s="251" t="str">
        <f t="shared" si="57"/>
        <v/>
      </c>
      <c r="CA29" s="251" t="str">
        <f t="shared" si="58"/>
        <v/>
      </c>
      <c r="CB29" s="251" t="str">
        <f t="shared" si="59"/>
        <v/>
      </c>
      <c r="CC29" s="251" t="str">
        <f t="shared" si="60"/>
        <v/>
      </c>
      <c r="CD29" s="251" t="str">
        <f t="shared" si="61"/>
        <v/>
      </c>
      <c r="CE29" s="251" t="str">
        <f t="shared" si="62"/>
        <v/>
      </c>
      <c r="CF29" s="251" t="str">
        <f t="shared" si="63"/>
        <v/>
      </c>
      <c r="CG29" s="251" t="str">
        <f t="shared" si="64"/>
        <v/>
      </c>
      <c r="CH29" s="251" t="str">
        <f t="shared" si="65"/>
        <v/>
      </c>
      <c r="CI29" s="251" t="str">
        <f t="shared" si="66"/>
        <v/>
      </c>
      <c r="CJ29" s="251" t="str">
        <f t="shared" si="67"/>
        <v/>
      </c>
      <c r="CK29" s="251" t="str">
        <f t="shared" si="68"/>
        <v/>
      </c>
      <c r="CL29" s="251" t="str">
        <f t="shared" si="69"/>
        <v/>
      </c>
      <c r="CM29" s="251" t="str">
        <f t="shared" si="70"/>
        <v/>
      </c>
      <c r="CN29" s="251" t="str">
        <f t="shared" si="71"/>
        <v/>
      </c>
      <c r="CO29" s="251" t="str">
        <f t="shared" si="72"/>
        <v/>
      </c>
      <c r="CP29" s="251" t="str">
        <f t="shared" si="73"/>
        <v/>
      </c>
      <c r="CQ29" s="251" t="str">
        <f t="shared" si="74"/>
        <v/>
      </c>
      <c r="CR29" s="251" t="str">
        <f t="shared" si="75"/>
        <v/>
      </c>
      <c r="CS29" s="251" t="str">
        <f t="shared" si="76"/>
        <v/>
      </c>
      <c r="CT29" s="251" t="str">
        <f t="shared" si="77"/>
        <v/>
      </c>
      <c r="CU29" s="251" t="str">
        <f t="shared" si="78"/>
        <v/>
      </c>
      <c r="CV29" s="251" t="str">
        <f t="shared" si="79"/>
        <v/>
      </c>
      <c r="CW29" s="251" t="str">
        <f t="shared" si="80"/>
        <v/>
      </c>
      <c r="CX29" s="251" t="str">
        <f t="shared" si="81"/>
        <v/>
      </c>
      <c r="CY29" s="251" t="str">
        <f t="shared" si="82"/>
        <v/>
      </c>
      <c r="CZ29" s="251" t="str">
        <f t="shared" si="83"/>
        <v/>
      </c>
      <c r="DA29" s="251" t="str">
        <f t="shared" si="84"/>
        <v/>
      </c>
      <c r="DB29" s="251" t="str">
        <f t="shared" si="85"/>
        <v/>
      </c>
      <c r="DC29" s="251" t="str">
        <f t="shared" si="86"/>
        <v/>
      </c>
      <c r="DD29" s="251" t="str">
        <f t="shared" si="87"/>
        <v/>
      </c>
      <c r="DE29" s="251" t="str">
        <f t="shared" si="88"/>
        <v/>
      </c>
      <c r="DF29" s="251" t="str">
        <f t="shared" si="89"/>
        <v/>
      </c>
      <c r="DG29" s="251" t="str">
        <f t="shared" si="90"/>
        <v/>
      </c>
      <c r="DH29" s="251" t="str">
        <f t="shared" si="91"/>
        <v/>
      </c>
      <c r="DI29" s="251" t="str">
        <f t="shared" si="92"/>
        <v/>
      </c>
      <c r="DJ29" s="251" t="str">
        <f t="shared" si="93"/>
        <v/>
      </c>
      <c r="DK29" s="251" t="str">
        <f t="shared" si="94"/>
        <v/>
      </c>
      <c r="DL29" s="251" t="str">
        <f t="shared" si="95"/>
        <v/>
      </c>
      <c r="DM29" s="251" t="str">
        <f t="shared" si="96"/>
        <v/>
      </c>
      <c r="DN29" s="251" t="str">
        <f t="shared" si="97"/>
        <v/>
      </c>
      <c r="DO29" s="251" t="str">
        <f t="shared" si="98"/>
        <v/>
      </c>
      <c r="DP29" s="251" t="str">
        <f t="shared" si="99"/>
        <v/>
      </c>
      <c r="DQ29" s="251" t="str">
        <f t="shared" si="100"/>
        <v/>
      </c>
      <c r="DR29" s="251" t="str">
        <f t="shared" si="101"/>
        <v/>
      </c>
      <c r="DS29" s="251" t="str">
        <f t="shared" si="102"/>
        <v/>
      </c>
      <c r="DT29" s="251" t="str">
        <f t="shared" si="103"/>
        <v/>
      </c>
      <c r="DU29" s="251" t="str">
        <f t="shared" si="104"/>
        <v/>
      </c>
      <c r="DV29" s="251" t="str">
        <f t="shared" si="105"/>
        <v/>
      </c>
      <c r="DW29" s="251" t="str">
        <f t="shared" si="106"/>
        <v/>
      </c>
      <c r="DX29" s="251" t="str">
        <f t="shared" si="107"/>
        <v/>
      </c>
      <c r="DY29" s="251" t="str">
        <f t="shared" si="108"/>
        <v/>
      </c>
      <c r="DZ29" s="251" t="str">
        <f t="shared" si="109"/>
        <v/>
      </c>
      <c r="EA29" s="251" t="str">
        <f t="shared" si="110"/>
        <v/>
      </c>
      <c r="EB29" s="251" t="str">
        <f t="shared" si="111"/>
        <v/>
      </c>
      <c r="EC29" s="251" t="str">
        <f t="shared" si="112"/>
        <v/>
      </c>
      <c r="ED29" s="251" t="str">
        <f t="shared" si="113"/>
        <v/>
      </c>
      <c r="EE29" s="251" t="str">
        <f t="shared" si="114"/>
        <v/>
      </c>
      <c r="EF29" s="251" t="str">
        <f t="shared" si="115"/>
        <v/>
      </c>
      <c r="EG29" s="251" t="str">
        <f t="shared" si="116"/>
        <v/>
      </c>
      <c r="EH29" s="251" t="str">
        <f t="shared" si="117"/>
        <v/>
      </c>
      <c r="EI29" s="251" t="str">
        <f t="shared" si="118"/>
        <v/>
      </c>
      <c r="EJ29" s="251" t="str">
        <f t="shared" si="119"/>
        <v/>
      </c>
      <c r="EK29" s="251" t="str">
        <f t="shared" si="120"/>
        <v/>
      </c>
      <c r="EL29" s="251" t="str">
        <f t="shared" si="121"/>
        <v/>
      </c>
      <c r="EM29" s="251" t="str">
        <f t="shared" si="122"/>
        <v/>
      </c>
      <c r="EN29" s="251" t="str">
        <f t="shared" si="123"/>
        <v/>
      </c>
      <c r="EO29" s="251" t="str">
        <f t="shared" si="124"/>
        <v/>
      </c>
      <c r="EP29" s="251" t="str">
        <f t="shared" si="125"/>
        <v/>
      </c>
      <c r="EQ29" s="251" t="str">
        <f t="shared" si="126"/>
        <v/>
      </c>
      <c r="ER29" s="251" t="str">
        <f t="shared" si="127"/>
        <v/>
      </c>
      <c r="ES29" s="251" t="str">
        <f t="shared" si="128"/>
        <v/>
      </c>
      <c r="ET29" s="251" t="str">
        <f t="shared" si="129"/>
        <v/>
      </c>
      <c r="EU29" s="251" t="str">
        <f t="shared" si="130"/>
        <v/>
      </c>
      <c r="EV29" s="251" t="str">
        <f t="shared" si="131"/>
        <v/>
      </c>
      <c r="EW29" s="251" t="str">
        <f t="shared" si="132"/>
        <v/>
      </c>
      <c r="EX29" s="251" t="str">
        <f t="shared" si="133"/>
        <v/>
      </c>
      <c r="EY29" s="251" t="str">
        <f t="shared" si="134"/>
        <v/>
      </c>
      <c r="EZ29" s="251" t="str">
        <f t="shared" si="135"/>
        <v/>
      </c>
      <c r="FA29" s="251" t="str">
        <f t="shared" si="136"/>
        <v/>
      </c>
      <c r="FB29" s="251" t="str">
        <f t="shared" si="137"/>
        <v/>
      </c>
      <c r="FC29" s="251" t="str">
        <f t="shared" si="138"/>
        <v/>
      </c>
      <c r="FD29" s="251" t="str">
        <f t="shared" si="139"/>
        <v/>
      </c>
      <c r="FE29" s="251" t="str">
        <f t="shared" si="140"/>
        <v/>
      </c>
      <c r="FF29" s="251" t="str">
        <f t="shared" si="141"/>
        <v/>
      </c>
      <c r="FG29" s="251" t="str">
        <f t="shared" si="142"/>
        <v/>
      </c>
      <c r="FH29" s="251" t="str">
        <f t="shared" si="143"/>
        <v/>
      </c>
      <c r="FI29" s="251" t="str">
        <f t="shared" si="144"/>
        <v/>
      </c>
      <c r="FJ29" s="251" t="str">
        <f t="shared" si="145"/>
        <v/>
      </c>
      <c r="FK29" s="251" t="str">
        <f t="shared" si="146"/>
        <v/>
      </c>
      <c r="FL29" s="251" t="str">
        <f t="shared" si="147"/>
        <v/>
      </c>
      <c r="FM29" s="251" t="str">
        <f t="shared" si="148"/>
        <v/>
      </c>
      <c r="FN29" s="251" t="str">
        <f t="shared" si="149"/>
        <v/>
      </c>
      <c r="FO29" s="251" t="str">
        <f t="shared" si="150"/>
        <v/>
      </c>
      <c r="FP29" s="251" t="str">
        <f t="shared" si="151"/>
        <v/>
      </c>
      <c r="FQ29" s="251" t="str">
        <f t="shared" si="152"/>
        <v/>
      </c>
      <c r="FR29" s="251" t="str">
        <f t="shared" si="153"/>
        <v/>
      </c>
      <c r="FS29" s="251" t="str">
        <f t="shared" si="154"/>
        <v/>
      </c>
      <c r="FT29" s="251" t="str">
        <f t="shared" si="155"/>
        <v/>
      </c>
      <c r="FU29" s="251" t="str">
        <f t="shared" si="156"/>
        <v/>
      </c>
      <c r="FV29" s="251" t="str">
        <f t="shared" si="157"/>
        <v/>
      </c>
      <c r="FW29" s="251" t="str">
        <f t="shared" si="158"/>
        <v/>
      </c>
      <c r="FX29" s="251" t="str">
        <f t="shared" si="159"/>
        <v/>
      </c>
      <c r="FY29" s="251" t="str">
        <f t="shared" si="160"/>
        <v/>
      </c>
      <c r="FZ29" s="251" t="str">
        <f t="shared" si="161"/>
        <v/>
      </c>
      <c r="GA29" s="251" t="str">
        <f t="shared" si="162"/>
        <v/>
      </c>
      <c r="GB29" s="251" t="str">
        <f t="shared" si="163"/>
        <v/>
      </c>
      <c r="GC29" s="251" t="str">
        <f t="shared" si="164"/>
        <v/>
      </c>
      <c r="GD29" s="251" t="str">
        <f t="shared" si="165"/>
        <v/>
      </c>
      <c r="GE29" s="251" t="str">
        <f t="shared" si="166"/>
        <v/>
      </c>
      <c r="GF29" s="251" t="str">
        <f t="shared" si="167"/>
        <v/>
      </c>
      <c r="GG29" s="251" t="str">
        <f t="shared" si="168"/>
        <v/>
      </c>
      <c r="GH29" s="251" t="str">
        <f t="shared" si="169"/>
        <v/>
      </c>
      <c r="GI29" s="251" t="str">
        <f t="shared" si="170"/>
        <v/>
      </c>
      <c r="GJ29" s="251" t="str">
        <f t="shared" si="171"/>
        <v/>
      </c>
      <c r="GK29" s="251" t="str">
        <f t="shared" si="172"/>
        <v/>
      </c>
      <c r="GL29" s="251" t="str">
        <f t="shared" si="173"/>
        <v/>
      </c>
      <c r="GM29" s="251" t="str">
        <f t="shared" si="174"/>
        <v/>
      </c>
      <c r="GN29" s="251" t="str">
        <f t="shared" si="175"/>
        <v/>
      </c>
      <c r="GO29" s="251" t="str">
        <f t="shared" si="176"/>
        <v/>
      </c>
      <c r="GP29" s="251" t="str">
        <f t="shared" si="177"/>
        <v/>
      </c>
      <c r="GQ29" s="251" t="str">
        <f t="shared" si="178"/>
        <v/>
      </c>
      <c r="GR29" s="251" t="str">
        <f t="shared" si="179"/>
        <v/>
      </c>
      <c r="GS29" s="251" t="str">
        <f t="shared" si="180"/>
        <v/>
      </c>
      <c r="GT29" s="251" t="str">
        <f t="shared" si="181"/>
        <v/>
      </c>
      <c r="GU29" s="251" t="str">
        <f t="shared" si="182"/>
        <v/>
      </c>
      <c r="GV29" s="251" t="str">
        <f t="shared" si="183"/>
        <v/>
      </c>
      <c r="GW29" s="251" t="str">
        <f t="shared" si="184"/>
        <v/>
      </c>
      <c r="GX29" s="251" t="str">
        <f t="shared" si="185"/>
        <v/>
      </c>
      <c r="GY29" s="251" t="str">
        <f t="shared" si="186"/>
        <v/>
      </c>
      <c r="GZ29" s="251" t="str">
        <f t="shared" si="187"/>
        <v/>
      </c>
      <c r="HA29" s="251" t="str">
        <f t="shared" si="188"/>
        <v/>
      </c>
      <c r="HB29" s="251" t="str">
        <f t="shared" si="189"/>
        <v/>
      </c>
      <c r="HC29" s="251" t="str">
        <f t="shared" si="190"/>
        <v/>
      </c>
      <c r="HD29" s="251" t="str">
        <f t="shared" si="191"/>
        <v/>
      </c>
      <c r="HE29" s="251" t="str">
        <f t="shared" si="192"/>
        <v/>
      </c>
      <c r="HF29" s="251" t="str">
        <f t="shared" si="193"/>
        <v/>
      </c>
      <c r="HG29" s="251" t="str">
        <f t="shared" si="194"/>
        <v/>
      </c>
      <c r="HH29" s="251" t="str">
        <f t="shared" si="195"/>
        <v/>
      </c>
      <c r="HI29" s="251" t="str">
        <f t="shared" si="196"/>
        <v/>
      </c>
      <c r="HJ29" s="251" t="str">
        <f t="shared" si="197"/>
        <v/>
      </c>
      <c r="HK29" s="251" t="str">
        <f t="shared" si="198"/>
        <v/>
      </c>
      <c r="HL29" s="251" t="str">
        <f t="shared" si="199"/>
        <v/>
      </c>
      <c r="HM29" s="251" t="str">
        <f t="shared" si="200"/>
        <v/>
      </c>
      <c r="HN29" s="251" t="str">
        <f t="shared" si="201"/>
        <v/>
      </c>
      <c r="HO29" s="251" t="str">
        <f t="shared" si="202"/>
        <v/>
      </c>
      <c r="HP29" s="251" t="str">
        <f t="shared" si="203"/>
        <v/>
      </c>
      <c r="HQ29" s="251" t="str">
        <f t="shared" si="204"/>
        <v/>
      </c>
      <c r="HR29" s="251" t="str">
        <f t="shared" si="205"/>
        <v/>
      </c>
      <c r="HS29" s="251" t="str">
        <f t="shared" si="206"/>
        <v/>
      </c>
      <c r="HT29" s="251" t="str">
        <f t="shared" si="207"/>
        <v/>
      </c>
      <c r="HU29" s="251" t="str">
        <f t="shared" si="208"/>
        <v/>
      </c>
      <c r="HV29" s="251" t="str">
        <f t="shared" si="209"/>
        <v/>
      </c>
      <c r="HW29" s="251" t="str">
        <f t="shared" si="210"/>
        <v/>
      </c>
      <c r="HX29" s="251" t="str">
        <f t="shared" si="211"/>
        <v/>
      </c>
      <c r="HY29" s="251" t="str">
        <f t="shared" si="212"/>
        <v/>
      </c>
      <c r="HZ29" s="251" t="str">
        <f t="shared" si="213"/>
        <v/>
      </c>
      <c r="IA29" s="251" t="str">
        <f t="shared" si="214"/>
        <v/>
      </c>
      <c r="IB29" s="251" t="str">
        <f t="shared" si="215"/>
        <v/>
      </c>
      <c r="IC29" s="251" t="str">
        <f t="shared" si="216"/>
        <v/>
      </c>
      <c r="ID29" s="251" t="str">
        <f t="shared" si="217"/>
        <v/>
      </c>
      <c r="IE29" s="251" t="str">
        <f t="shared" si="218"/>
        <v/>
      </c>
      <c r="IF29" s="251" t="str">
        <f t="shared" si="219"/>
        <v/>
      </c>
      <c r="IG29" s="251" t="str">
        <f t="shared" si="220"/>
        <v/>
      </c>
      <c r="IH29" s="251" t="str">
        <f t="shared" si="221"/>
        <v/>
      </c>
      <c r="II29" s="251" t="str">
        <f t="shared" si="222"/>
        <v/>
      </c>
      <c r="IJ29" s="251" t="str">
        <f t="shared" si="223"/>
        <v/>
      </c>
      <c r="IK29" s="251" t="str">
        <f t="shared" si="224"/>
        <v/>
      </c>
      <c r="IL29" s="251" t="str">
        <f t="shared" si="225"/>
        <v/>
      </c>
      <c r="IM29" s="251" t="str">
        <f t="shared" si="226"/>
        <v/>
      </c>
      <c r="IN29" s="251" t="str">
        <f t="shared" si="227"/>
        <v/>
      </c>
      <c r="IO29" s="251" t="str">
        <f t="shared" si="228"/>
        <v/>
      </c>
      <c r="IP29" s="251" t="str">
        <f t="shared" si="229"/>
        <v/>
      </c>
      <c r="IQ29" s="251" t="str">
        <f t="shared" si="230"/>
        <v/>
      </c>
      <c r="IR29" s="251" t="str">
        <f t="shared" si="231"/>
        <v/>
      </c>
      <c r="IS29" s="251" t="str">
        <f t="shared" si="232"/>
        <v/>
      </c>
      <c r="IT29" s="251" t="str">
        <f t="shared" si="233"/>
        <v/>
      </c>
      <c r="IU29" s="251" t="str">
        <f t="shared" si="234"/>
        <v/>
      </c>
      <c r="IV29" s="251" t="str">
        <f t="shared" si="235"/>
        <v/>
      </c>
      <c r="IW29" s="251" t="str">
        <f t="shared" si="236"/>
        <v/>
      </c>
      <c r="IX29" s="251" t="str">
        <f t="shared" si="237"/>
        <v/>
      </c>
      <c r="IY29" s="251" t="str">
        <f t="shared" si="238"/>
        <v/>
      </c>
      <c r="IZ29" s="251" t="str">
        <f t="shared" si="239"/>
        <v/>
      </c>
      <c r="JA29" s="251" t="str">
        <f t="shared" si="240"/>
        <v/>
      </c>
      <c r="JB29" s="251" t="str">
        <f t="shared" si="241"/>
        <v/>
      </c>
      <c r="JC29" s="251" t="str">
        <f t="shared" si="242"/>
        <v/>
      </c>
      <c r="JD29" s="251" t="str">
        <f t="shared" si="243"/>
        <v/>
      </c>
      <c r="JE29" s="251" t="str">
        <f t="shared" si="244"/>
        <v/>
      </c>
      <c r="JF29" s="251" t="str">
        <f t="shared" si="245"/>
        <v/>
      </c>
      <c r="JG29" s="251" t="str">
        <f t="shared" si="246"/>
        <v/>
      </c>
      <c r="JH29" s="251" t="str">
        <f t="shared" si="247"/>
        <v/>
      </c>
      <c r="JI29" s="1297" t="str">
        <f t="shared" si="248"/>
        <v/>
      </c>
      <c r="JJ29" s="1297" t="str">
        <f t="shared" si="249"/>
        <v/>
      </c>
      <c r="JK29" s="1297" t="str">
        <f t="shared" si="250"/>
        <v/>
      </c>
      <c r="JL29" s="1297" t="str">
        <f t="shared" si="251"/>
        <v/>
      </c>
      <c r="JM29" s="1297" t="str">
        <f t="shared" si="252"/>
        <v/>
      </c>
      <c r="JN29" s="1297" t="str">
        <f t="shared" si="253"/>
        <v/>
      </c>
      <c r="JO29" s="1297" t="str">
        <f t="shared" si="254"/>
        <v/>
      </c>
      <c r="JP29" s="1297" t="str">
        <f t="shared" si="255"/>
        <v/>
      </c>
      <c r="JQ29" s="1297" t="str">
        <f t="shared" si="256"/>
        <v/>
      </c>
      <c r="JR29" s="1297" t="str">
        <f t="shared" si="257"/>
        <v/>
      </c>
      <c r="JS29" s="1297" t="str">
        <f t="shared" si="258"/>
        <v/>
      </c>
      <c r="JT29" s="1297" t="str">
        <f t="shared" si="259"/>
        <v/>
      </c>
      <c r="JU29" s="1297" t="str">
        <f t="shared" si="260"/>
        <v/>
      </c>
      <c r="JV29" s="1297" t="str">
        <f t="shared" si="261"/>
        <v/>
      </c>
      <c r="JW29" s="1297" t="str">
        <f t="shared" si="262"/>
        <v/>
      </c>
      <c r="JX29" s="1297" t="str">
        <f t="shared" si="263"/>
        <v/>
      </c>
      <c r="JY29" s="1297" t="str">
        <f t="shared" si="264"/>
        <v/>
      </c>
      <c r="JZ29" s="1297" t="str">
        <f t="shared" si="265"/>
        <v/>
      </c>
      <c r="KA29" s="1297" t="str">
        <f t="shared" si="266"/>
        <v/>
      </c>
      <c r="KB29" s="1297" t="str">
        <f t="shared" si="267"/>
        <v/>
      </c>
      <c r="KC29" s="1297" t="str">
        <f t="shared" si="268"/>
        <v/>
      </c>
      <c r="KD29" s="1297" t="str">
        <f t="shared" si="269"/>
        <v/>
      </c>
      <c r="KE29" s="1297" t="str">
        <f t="shared" si="270"/>
        <v/>
      </c>
      <c r="KF29" s="1297" t="str">
        <f t="shared" si="271"/>
        <v/>
      </c>
      <c r="KG29" s="1297" t="str">
        <f t="shared" si="272"/>
        <v/>
      </c>
      <c r="KH29" s="1297" t="str">
        <f t="shared" si="273"/>
        <v/>
      </c>
      <c r="KI29" s="1297" t="str">
        <f t="shared" si="274"/>
        <v/>
      </c>
      <c r="KJ29" s="1297" t="str">
        <f t="shared" si="275"/>
        <v/>
      </c>
      <c r="KK29" s="1297" t="str">
        <f t="shared" si="276"/>
        <v/>
      </c>
      <c r="KL29" s="1297" t="str">
        <f t="shared" si="277"/>
        <v/>
      </c>
      <c r="KM29" s="1297" t="str">
        <f t="shared" si="278"/>
        <v/>
      </c>
      <c r="KN29" s="1297" t="str">
        <f t="shared" si="279"/>
        <v/>
      </c>
      <c r="KO29" s="1297" t="str">
        <f t="shared" si="280"/>
        <v/>
      </c>
      <c r="KP29" s="1297" t="str">
        <f t="shared" si="281"/>
        <v/>
      </c>
      <c r="KQ29" s="1297" t="str">
        <f t="shared" si="282"/>
        <v/>
      </c>
      <c r="KR29" s="1297" t="str">
        <f t="shared" si="283"/>
        <v/>
      </c>
      <c r="KS29" s="1297" t="str">
        <f t="shared" si="284"/>
        <v/>
      </c>
      <c r="KT29" s="1297" t="str">
        <f t="shared" si="285"/>
        <v/>
      </c>
      <c r="KU29" s="1297" t="str">
        <f t="shared" si="286"/>
        <v/>
      </c>
      <c r="KV29" s="1297" t="str">
        <f t="shared" si="287"/>
        <v/>
      </c>
      <c r="KW29" s="1297" t="str">
        <f t="shared" si="288"/>
        <v/>
      </c>
      <c r="KX29" s="1297" t="str">
        <f t="shared" si="289"/>
        <v/>
      </c>
      <c r="KY29" s="1297" t="str">
        <f t="shared" si="290"/>
        <v/>
      </c>
      <c r="KZ29" s="1297" t="str">
        <f t="shared" si="291"/>
        <v/>
      </c>
      <c r="LA29" s="1297" t="str">
        <f t="shared" si="292"/>
        <v/>
      </c>
      <c r="LB29" s="1297" t="str">
        <f t="shared" si="293"/>
        <v/>
      </c>
      <c r="LC29" s="1297" t="str">
        <f t="shared" si="294"/>
        <v/>
      </c>
      <c r="LD29" s="1297" t="str">
        <f t="shared" si="295"/>
        <v/>
      </c>
      <c r="LE29" s="1297" t="str">
        <f t="shared" si="296"/>
        <v/>
      </c>
      <c r="LF29" s="1297" t="str">
        <f t="shared" si="297"/>
        <v/>
      </c>
      <c r="LG29" s="1297" t="str">
        <f t="shared" si="298"/>
        <v/>
      </c>
      <c r="LH29" s="1297" t="str">
        <f t="shared" si="299"/>
        <v/>
      </c>
      <c r="LI29" s="1297" t="str">
        <f t="shared" si="300"/>
        <v/>
      </c>
      <c r="LJ29" s="1297" t="str">
        <f t="shared" si="301"/>
        <v/>
      </c>
      <c r="LK29" s="1297" t="str">
        <f t="shared" si="302"/>
        <v/>
      </c>
      <c r="LL29" s="1297" t="str">
        <f t="shared" si="303"/>
        <v/>
      </c>
      <c r="LM29" s="1297" t="str">
        <f t="shared" si="304"/>
        <v/>
      </c>
      <c r="LN29" s="1297" t="str">
        <f t="shared" si="305"/>
        <v/>
      </c>
      <c r="LO29" s="1297" t="str">
        <f t="shared" si="306"/>
        <v/>
      </c>
      <c r="LP29" s="1297" t="str">
        <f t="shared" si="307"/>
        <v/>
      </c>
      <c r="LQ29" s="1297" t="str">
        <f t="shared" si="308"/>
        <v/>
      </c>
      <c r="LR29" s="1297" t="str">
        <f t="shared" si="309"/>
        <v/>
      </c>
      <c r="LS29" s="1297" t="str">
        <f t="shared" si="310"/>
        <v/>
      </c>
      <c r="LT29" s="1297" t="str">
        <f t="shared" si="311"/>
        <v/>
      </c>
      <c r="LU29" s="1297" t="str">
        <f t="shared" si="312"/>
        <v/>
      </c>
      <c r="LV29" s="1297" t="str">
        <f t="shared" si="313"/>
        <v/>
      </c>
      <c r="LW29" s="1297" t="str">
        <f t="shared" si="314"/>
        <v/>
      </c>
      <c r="LX29" s="1297" t="str">
        <f t="shared" si="315"/>
        <v/>
      </c>
      <c r="LY29" s="1297" t="str">
        <f t="shared" si="316"/>
        <v/>
      </c>
      <c r="LZ29" s="1297" t="str">
        <f t="shared" si="317"/>
        <v/>
      </c>
      <c r="MA29" s="1297" t="str">
        <f t="shared" si="318"/>
        <v/>
      </c>
      <c r="MB29" s="1297" t="str">
        <f t="shared" si="319"/>
        <v/>
      </c>
      <c r="MC29" s="1297" t="str">
        <f t="shared" si="320"/>
        <v/>
      </c>
      <c r="MD29" s="1297" t="str">
        <f t="shared" si="321"/>
        <v/>
      </c>
      <c r="ME29" s="1297" t="str">
        <f t="shared" si="322"/>
        <v/>
      </c>
      <c r="MF29" s="1297" t="str">
        <f t="shared" si="323"/>
        <v/>
      </c>
      <c r="MG29" s="1297" t="str">
        <f t="shared" si="324"/>
        <v/>
      </c>
      <c r="MH29" s="1297" t="str">
        <f t="shared" si="325"/>
        <v/>
      </c>
      <c r="MI29" s="1297" t="str">
        <f t="shared" si="326"/>
        <v/>
      </c>
      <c r="MJ29" s="1297" t="str">
        <f t="shared" si="327"/>
        <v/>
      </c>
      <c r="MK29" s="1297" t="str">
        <f t="shared" si="328"/>
        <v/>
      </c>
      <c r="ML29" s="1297" t="str">
        <f t="shared" si="329"/>
        <v/>
      </c>
      <c r="MM29" s="1297" t="str">
        <f t="shared" si="330"/>
        <v/>
      </c>
      <c r="MN29" s="1297" t="str">
        <f t="shared" si="331"/>
        <v/>
      </c>
      <c r="MO29" s="1297" t="str">
        <f t="shared" si="332"/>
        <v/>
      </c>
      <c r="MP29" s="1773" t="str">
        <f t="shared" si="333"/>
        <v/>
      </c>
      <c r="MQ29" s="1773" t="str">
        <f t="shared" si="334"/>
        <v/>
      </c>
      <c r="MR29" s="1773" t="str">
        <f t="shared" si="335"/>
        <v/>
      </c>
      <c r="MS29" s="1773" t="str">
        <f t="shared" si="336"/>
        <v/>
      </c>
      <c r="MT29" s="1773" t="str">
        <f t="shared" si="337"/>
        <v/>
      </c>
      <c r="MU29" s="251" t="str">
        <f t="shared" si="338"/>
        <v/>
      </c>
      <c r="MV29" s="251" t="str">
        <f t="shared" si="339"/>
        <v/>
      </c>
      <c r="MW29" s="251" t="str">
        <f t="shared" si="340"/>
        <v/>
      </c>
      <c r="MX29" s="251" t="str">
        <f t="shared" si="341"/>
        <v/>
      </c>
      <c r="MY29" s="251" t="str">
        <f t="shared" si="342"/>
        <v/>
      </c>
      <c r="MZ29" s="251" t="str">
        <f t="shared" si="343"/>
        <v/>
      </c>
      <c r="NA29" s="251" t="str">
        <f t="shared" si="344"/>
        <v/>
      </c>
      <c r="NB29" s="251" t="str">
        <f t="shared" si="345"/>
        <v/>
      </c>
      <c r="NC29" s="251" t="str">
        <f t="shared" si="346"/>
        <v/>
      </c>
      <c r="ND29" s="251" t="str">
        <f t="shared" si="347"/>
        <v/>
      </c>
      <c r="NE29" s="251" t="str">
        <f t="shared" si="348"/>
        <v/>
      </c>
      <c r="NF29" s="251" t="str">
        <f t="shared" si="349"/>
        <v/>
      </c>
      <c r="NG29" s="251" t="str">
        <f t="shared" si="350"/>
        <v/>
      </c>
      <c r="NH29" s="251" t="str">
        <f t="shared" si="351"/>
        <v/>
      </c>
      <c r="NI29" s="251" t="str">
        <f t="shared" si="352"/>
        <v/>
      </c>
      <c r="NJ29" s="251" t="str">
        <f t="shared" si="353"/>
        <v/>
      </c>
      <c r="NK29" s="251" t="str">
        <f t="shared" si="354"/>
        <v/>
      </c>
      <c r="NL29" s="251" t="str">
        <f t="shared" si="355"/>
        <v/>
      </c>
      <c r="NM29" s="251" t="str">
        <f t="shared" si="356"/>
        <v/>
      </c>
      <c r="NN29" s="251" t="str">
        <f t="shared" si="357"/>
        <v/>
      </c>
      <c r="NO29" s="1185">
        <f t="shared" si="358"/>
        <v>0</v>
      </c>
      <c r="NP29" s="1185">
        <f t="shared" si="359"/>
        <v>0</v>
      </c>
      <c r="NQ29" s="1185">
        <f t="shared" si="360"/>
        <v>0</v>
      </c>
      <c r="NR29" s="1185">
        <f t="shared" si="361"/>
        <v>0</v>
      </c>
      <c r="NS29" s="1185">
        <f t="shared" si="362"/>
        <v>0</v>
      </c>
      <c r="NT29" s="1185">
        <f t="shared" si="368"/>
        <v>0</v>
      </c>
      <c r="NU29" s="1185">
        <f t="shared" si="369"/>
        <v>0</v>
      </c>
      <c r="NV29" s="1185">
        <f t="shared" si="370"/>
        <v>0</v>
      </c>
      <c r="NW29" s="1185">
        <f t="shared" si="371"/>
        <v>0</v>
      </c>
      <c r="NX29" s="1185">
        <f t="shared" si="372"/>
        <v>0</v>
      </c>
      <c r="NY29" s="1185">
        <f t="shared" si="363"/>
        <v>0</v>
      </c>
      <c r="NZ29" s="1185">
        <f t="shared" si="364"/>
        <v>0</v>
      </c>
      <c r="OA29" s="1185">
        <f t="shared" si="365"/>
        <v>0</v>
      </c>
      <c r="OB29" s="1185">
        <f t="shared" si="366"/>
        <v>0</v>
      </c>
      <c r="OC29" s="1185">
        <f t="shared" si="367"/>
        <v>0</v>
      </c>
      <c r="OY29" s="1794" t="s">
        <v>1177</v>
      </c>
      <c r="OZ29" s="1799">
        <v>29</v>
      </c>
    </row>
    <row r="30" spans="1:416" ht="12" customHeight="1">
      <c r="A30" s="53" t="str">
        <f t="shared" si="0"/>
        <v/>
      </c>
      <c r="B30" s="782">
        <v>60</v>
      </c>
      <c r="C30" s="85">
        <v>1</v>
      </c>
      <c r="D30" s="1187">
        <v>1</v>
      </c>
      <c r="E30" s="86">
        <v>6</v>
      </c>
      <c r="F30" s="86">
        <v>769</v>
      </c>
      <c r="G30" s="86">
        <v>927</v>
      </c>
      <c r="H30" s="86">
        <f t="shared" ref="H30:H32" si="375">G30-10</f>
        <v>917</v>
      </c>
      <c r="I30" s="86">
        <v>0</v>
      </c>
      <c r="J30" s="765">
        <f>IF(C30="",0,HLOOKUP(C30,'Part IV-Utility Allowances'!$I$11:$M$25,15))</f>
        <v>175</v>
      </c>
      <c r="K30" s="473"/>
      <c r="L30" s="330">
        <f t="shared" si="1"/>
        <v>742</v>
      </c>
      <c r="M30" s="330">
        <f t="shared" si="2"/>
        <v>4452</v>
      </c>
      <c r="N30" s="506" t="s">
        <v>7474</v>
      </c>
      <c r="O30" s="1134" t="s">
        <v>1259</v>
      </c>
      <c r="P30" s="506" t="s">
        <v>7678</v>
      </c>
      <c r="Q30" s="87" t="s">
        <v>7474</v>
      </c>
      <c r="R30" s="540"/>
      <c r="S30" s="541"/>
      <c r="T30" s="3758"/>
      <c r="U30" s="3759"/>
      <c r="V30" s="3759"/>
      <c r="W30" s="3760"/>
      <c r="X30" s="251" t="str">
        <f t="shared" si="3"/>
        <v/>
      </c>
      <c r="Y30" s="251" t="str">
        <f t="shared" si="4"/>
        <v/>
      </c>
      <c r="Z30" s="251" t="str">
        <f t="shared" si="5"/>
        <v/>
      </c>
      <c r="AA30" s="251" t="str">
        <f t="shared" si="6"/>
        <v/>
      </c>
      <c r="AB30" s="251" t="str">
        <f t="shared" si="7"/>
        <v/>
      </c>
      <c r="AC30" s="251" t="str">
        <f t="shared" si="8"/>
        <v/>
      </c>
      <c r="AD30" s="251" t="str">
        <f t="shared" si="9"/>
        <v/>
      </c>
      <c r="AE30" s="251" t="str">
        <f t="shared" si="10"/>
        <v/>
      </c>
      <c r="AF30" s="251" t="str">
        <f t="shared" si="11"/>
        <v/>
      </c>
      <c r="AG30" s="251" t="str">
        <f t="shared" si="12"/>
        <v/>
      </c>
      <c r="AH30" s="251" t="str">
        <f t="shared" si="13"/>
        <v/>
      </c>
      <c r="AI30" s="251">
        <f t="shared" si="14"/>
        <v>6</v>
      </c>
      <c r="AJ30" s="251" t="str">
        <f t="shared" si="15"/>
        <v/>
      </c>
      <c r="AK30" s="251" t="str">
        <f t="shared" si="16"/>
        <v/>
      </c>
      <c r="AL30" s="251" t="str">
        <f t="shared" si="17"/>
        <v/>
      </c>
      <c r="AM30" s="251" t="str">
        <f t="shared" si="18"/>
        <v/>
      </c>
      <c r="AN30" s="251" t="str">
        <f t="shared" si="19"/>
        <v/>
      </c>
      <c r="AO30" s="251" t="str">
        <f t="shared" si="20"/>
        <v/>
      </c>
      <c r="AP30" s="251" t="str">
        <f t="shared" si="21"/>
        <v/>
      </c>
      <c r="AQ30" s="251" t="str">
        <f t="shared" si="22"/>
        <v/>
      </c>
      <c r="AR30" s="251" t="str">
        <f t="shared" si="23"/>
        <v/>
      </c>
      <c r="AS30" s="251" t="str">
        <f t="shared" si="24"/>
        <v/>
      </c>
      <c r="AT30" s="251" t="str">
        <f t="shared" si="25"/>
        <v/>
      </c>
      <c r="AU30" s="251" t="str">
        <f t="shared" si="26"/>
        <v/>
      </c>
      <c r="AV30" s="251" t="str">
        <f t="shared" si="27"/>
        <v/>
      </c>
      <c r="AW30" s="251" t="str">
        <f t="shared" si="28"/>
        <v/>
      </c>
      <c r="AX30" s="251" t="str">
        <f t="shared" si="29"/>
        <v/>
      </c>
      <c r="AY30" s="251" t="str">
        <f t="shared" si="30"/>
        <v/>
      </c>
      <c r="AZ30" s="251" t="str">
        <f t="shared" si="31"/>
        <v/>
      </c>
      <c r="BA30" s="251" t="str">
        <f t="shared" si="32"/>
        <v/>
      </c>
      <c r="BB30" s="251" t="str">
        <f t="shared" si="33"/>
        <v/>
      </c>
      <c r="BC30" s="251" t="str">
        <f t="shared" si="34"/>
        <v/>
      </c>
      <c r="BD30" s="251" t="str">
        <f t="shared" si="35"/>
        <v/>
      </c>
      <c r="BE30" s="251" t="str">
        <f t="shared" si="36"/>
        <v/>
      </c>
      <c r="BF30" s="251" t="str">
        <f t="shared" si="37"/>
        <v/>
      </c>
      <c r="BG30" s="251" t="str">
        <f t="shared" si="38"/>
        <v/>
      </c>
      <c r="BH30" s="251" t="str">
        <f t="shared" si="39"/>
        <v/>
      </c>
      <c r="BI30" s="251" t="str">
        <f t="shared" si="40"/>
        <v/>
      </c>
      <c r="BJ30" s="251" t="str">
        <f t="shared" si="41"/>
        <v/>
      </c>
      <c r="BK30" s="251" t="str">
        <f t="shared" si="42"/>
        <v/>
      </c>
      <c r="BL30" s="251" t="str">
        <f t="shared" si="43"/>
        <v/>
      </c>
      <c r="BM30" s="251" t="str">
        <f t="shared" si="44"/>
        <v/>
      </c>
      <c r="BN30" s="251" t="str">
        <f t="shared" si="45"/>
        <v/>
      </c>
      <c r="BO30" s="251" t="str">
        <f t="shared" si="46"/>
        <v/>
      </c>
      <c r="BP30" s="251" t="str">
        <f t="shared" si="47"/>
        <v/>
      </c>
      <c r="BQ30" s="251" t="str">
        <f t="shared" si="48"/>
        <v/>
      </c>
      <c r="BR30" s="251" t="str">
        <f t="shared" si="49"/>
        <v/>
      </c>
      <c r="BS30" s="251" t="str">
        <f t="shared" si="50"/>
        <v/>
      </c>
      <c r="BT30" s="251" t="str">
        <f t="shared" si="51"/>
        <v/>
      </c>
      <c r="BU30" s="251" t="str">
        <f t="shared" si="52"/>
        <v/>
      </c>
      <c r="BV30" s="251" t="str">
        <f t="shared" si="53"/>
        <v/>
      </c>
      <c r="BW30" s="251" t="str">
        <f t="shared" si="54"/>
        <v/>
      </c>
      <c r="BX30" s="251" t="str">
        <f t="shared" si="55"/>
        <v/>
      </c>
      <c r="BY30" s="251" t="str">
        <f t="shared" si="56"/>
        <v/>
      </c>
      <c r="BZ30" s="251" t="str">
        <f t="shared" si="57"/>
        <v/>
      </c>
      <c r="CA30" s="251" t="str">
        <f t="shared" si="58"/>
        <v/>
      </c>
      <c r="CB30" s="251" t="str">
        <f t="shared" si="59"/>
        <v/>
      </c>
      <c r="CC30" s="251" t="str">
        <f t="shared" si="60"/>
        <v/>
      </c>
      <c r="CD30" s="251" t="str">
        <f t="shared" si="61"/>
        <v/>
      </c>
      <c r="CE30" s="251" t="str">
        <f t="shared" si="62"/>
        <v/>
      </c>
      <c r="CF30" s="251" t="str">
        <f t="shared" si="63"/>
        <v/>
      </c>
      <c r="CG30" s="251" t="str">
        <f t="shared" si="64"/>
        <v/>
      </c>
      <c r="CH30" s="251" t="str">
        <f t="shared" si="65"/>
        <v/>
      </c>
      <c r="CI30" s="251" t="str">
        <f t="shared" si="66"/>
        <v/>
      </c>
      <c r="CJ30" s="251" t="str">
        <f t="shared" si="67"/>
        <v/>
      </c>
      <c r="CK30" s="251" t="str">
        <f t="shared" si="68"/>
        <v/>
      </c>
      <c r="CL30" s="251" t="str">
        <f t="shared" si="69"/>
        <v/>
      </c>
      <c r="CM30" s="251" t="str">
        <f t="shared" si="70"/>
        <v/>
      </c>
      <c r="CN30" s="251" t="str">
        <f t="shared" si="71"/>
        <v/>
      </c>
      <c r="CO30" s="251" t="str">
        <f t="shared" si="72"/>
        <v/>
      </c>
      <c r="CP30" s="251" t="str">
        <f t="shared" si="73"/>
        <v/>
      </c>
      <c r="CQ30" s="251" t="str">
        <f t="shared" si="74"/>
        <v/>
      </c>
      <c r="CR30" s="251" t="str">
        <f t="shared" si="75"/>
        <v/>
      </c>
      <c r="CS30" s="251" t="str">
        <f t="shared" si="76"/>
        <v/>
      </c>
      <c r="CT30" s="251" t="str">
        <f t="shared" si="77"/>
        <v/>
      </c>
      <c r="CU30" s="251" t="str">
        <f t="shared" si="78"/>
        <v/>
      </c>
      <c r="CV30" s="251" t="str">
        <f t="shared" si="79"/>
        <v/>
      </c>
      <c r="CW30" s="251" t="str">
        <f t="shared" si="80"/>
        <v/>
      </c>
      <c r="CX30" s="251" t="str">
        <f t="shared" si="81"/>
        <v/>
      </c>
      <c r="CY30" s="251" t="str">
        <f t="shared" si="82"/>
        <v/>
      </c>
      <c r="CZ30" s="251" t="str">
        <f t="shared" si="83"/>
        <v/>
      </c>
      <c r="DA30" s="251" t="str">
        <f t="shared" si="84"/>
        <v/>
      </c>
      <c r="DB30" s="251" t="str">
        <f t="shared" si="85"/>
        <v/>
      </c>
      <c r="DC30" s="251" t="str">
        <f t="shared" si="86"/>
        <v/>
      </c>
      <c r="DD30" s="251" t="str">
        <f t="shared" si="87"/>
        <v/>
      </c>
      <c r="DE30" s="251" t="str">
        <f t="shared" si="88"/>
        <v/>
      </c>
      <c r="DF30" s="251" t="str">
        <f t="shared" si="89"/>
        <v/>
      </c>
      <c r="DG30" s="251" t="str">
        <f t="shared" si="90"/>
        <v/>
      </c>
      <c r="DH30" s="251" t="str">
        <f t="shared" si="91"/>
        <v/>
      </c>
      <c r="DI30" s="251" t="str">
        <f t="shared" si="92"/>
        <v/>
      </c>
      <c r="DJ30" s="251" t="str">
        <f t="shared" si="93"/>
        <v/>
      </c>
      <c r="DK30" s="251" t="str">
        <f t="shared" si="94"/>
        <v/>
      </c>
      <c r="DL30" s="251" t="str">
        <f t="shared" si="95"/>
        <v/>
      </c>
      <c r="DM30" s="251" t="str">
        <f t="shared" si="96"/>
        <v/>
      </c>
      <c r="DN30" s="251" t="str">
        <f t="shared" si="97"/>
        <v/>
      </c>
      <c r="DO30" s="251" t="str">
        <f t="shared" si="98"/>
        <v/>
      </c>
      <c r="DP30" s="251" t="str">
        <f t="shared" si="99"/>
        <v/>
      </c>
      <c r="DQ30" s="251" t="str">
        <f t="shared" si="100"/>
        <v/>
      </c>
      <c r="DR30" s="251" t="str">
        <f t="shared" si="101"/>
        <v/>
      </c>
      <c r="DS30" s="251" t="str">
        <f t="shared" si="102"/>
        <v/>
      </c>
      <c r="DT30" s="251" t="str">
        <f t="shared" si="103"/>
        <v/>
      </c>
      <c r="DU30" s="251" t="str">
        <f t="shared" si="104"/>
        <v/>
      </c>
      <c r="DV30" s="251" t="str">
        <f t="shared" si="105"/>
        <v/>
      </c>
      <c r="DW30" s="251" t="str">
        <f t="shared" si="106"/>
        <v/>
      </c>
      <c r="DX30" s="251" t="str">
        <f t="shared" si="107"/>
        <v/>
      </c>
      <c r="DY30" s="251" t="str">
        <f t="shared" si="108"/>
        <v/>
      </c>
      <c r="DZ30" s="251" t="str">
        <f t="shared" si="109"/>
        <v/>
      </c>
      <c r="EA30" s="251" t="str">
        <f t="shared" si="110"/>
        <v/>
      </c>
      <c r="EB30" s="251" t="str">
        <f t="shared" si="111"/>
        <v/>
      </c>
      <c r="EC30" s="251" t="str">
        <f t="shared" si="112"/>
        <v/>
      </c>
      <c r="ED30" s="251" t="str">
        <f t="shared" si="113"/>
        <v/>
      </c>
      <c r="EE30" s="251" t="str">
        <f t="shared" si="114"/>
        <v/>
      </c>
      <c r="EF30" s="251" t="str">
        <f t="shared" si="115"/>
        <v/>
      </c>
      <c r="EG30" s="251" t="str">
        <f t="shared" si="116"/>
        <v/>
      </c>
      <c r="EH30" s="251" t="str">
        <f t="shared" si="117"/>
        <v/>
      </c>
      <c r="EI30" s="251" t="str">
        <f t="shared" si="118"/>
        <v/>
      </c>
      <c r="EJ30" s="251" t="str">
        <f t="shared" si="119"/>
        <v/>
      </c>
      <c r="EK30" s="251" t="str">
        <f t="shared" si="120"/>
        <v/>
      </c>
      <c r="EL30" s="251" t="str">
        <f t="shared" si="121"/>
        <v/>
      </c>
      <c r="EM30" s="251" t="str">
        <f t="shared" si="122"/>
        <v/>
      </c>
      <c r="EN30" s="251" t="str">
        <f t="shared" si="123"/>
        <v/>
      </c>
      <c r="EO30" s="251" t="str">
        <f t="shared" si="124"/>
        <v/>
      </c>
      <c r="EP30" s="251" t="str">
        <f t="shared" si="125"/>
        <v/>
      </c>
      <c r="EQ30" s="251" t="str">
        <f t="shared" si="126"/>
        <v/>
      </c>
      <c r="ER30" s="251" t="str">
        <f t="shared" si="127"/>
        <v/>
      </c>
      <c r="ES30" s="251" t="str">
        <f t="shared" si="128"/>
        <v/>
      </c>
      <c r="ET30" s="251" t="str">
        <f t="shared" si="129"/>
        <v/>
      </c>
      <c r="EU30" s="251" t="str">
        <f t="shared" si="130"/>
        <v/>
      </c>
      <c r="EV30" s="251" t="str">
        <f t="shared" si="131"/>
        <v/>
      </c>
      <c r="EW30" s="251" t="str">
        <f t="shared" si="132"/>
        <v/>
      </c>
      <c r="EX30" s="251" t="str">
        <f t="shared" si="133"/>
        <v/>
      </c>
      <c r="EY30" s="251" t="str">
        <f t="shared" si="134"/>
        <v/>
      </c>
      <c r="EZ30" s="251" t="str">
        <f t="shared" si="135"/>
        <v/>
      </c>
      <c r="FA30" s="251" t="str">
        <f t="shared" si="136"/>
        <v/>
      </c>
      <c r="FB30" s="251" t="str">
        <f t="shared" si="137"/>
        <v/>
      </c>
      <c r="FC30" s="251" t="str">
        <f t="shared" si="138"/>
        <v/>
      </c>
      <c r="FD30" s="251" t="str">
        <f t="shared" si="139"/>
        <v/>
      </c>
      <c r="FE30" s="251" t="str">
        <f t="shared" si="140"/>
        <v/>
      </c>
      <c r="FF30" s="251" t="str">
        <f t="shared" si="141"/>
        <v/>
      </c>
      <c r="FG30" s="251" t="str">
        <f t="shared" si="142"/>
        <v/>
      </c>
      <c r="FH30" s="251" t="str">
        <f t="shared" si="143"/>
        <v/>
      </c>
      <c r="FI30" s="251" t="str">
        <f t="shared" si="144"/>
        <v/>
      </c>
      <c r="FJ30" s="251" t="str">
        <f t="shared" si="145"/>
        <v/>
      </c>
      <c r="FK30" s="251" t="str">
        <f t="shared" si="146"/>
        <v/>
      </c>
      <c r="FL30" s="251" t="str">
        <f t="shared" si="147"/>
        <v/>
      </c>
      <c r="FM30" s="251" t="str">
        <f t="shared" si="148"/>
        <v/>
      </c>
      <c r="FN30" s="251" t="str">
        <f t="shared" si="149"/>
        <v/>
      </c>
      <c r="FO30" s="251" t="str">
        <f t="shared" si="150"/>
        <v/>
      </c>
      <c r="FP30" s="251" t="str">
        <f t="shared" si="151"/>
        <v/>
      </c>
      <c r="FQ30" s="251" t="str">
        <f t="shared" si="152"/>
        <v/>
      </c>
      <c r="FR30" s="251" t="str">
        <f t="shared" si="153"/>
        <v/>
      </c>
      <c r="FS30" s="251" t="str">
        <f t="shared" si="154"/>
        <v/>
      </c>
      <c r="FT30" s="251" t="str">
        <f t="shared" si="155"/>
        <v/>
      </c>
      <c r="FU30" s="251" t="str">
        <f t="shared" si="156"/>
        <v/>
      </c>
      <c r="FV30" s="251" t="str">
        <f t="shared" si="157"/>
        <v/>
      </c>
      <c r="FW30" s="251" t="str">
        <f t="shared" si="158"/>
        <v/>
      </c>
      <c r="FX30" s="251" t="str">
        <f t="shared" si="159"/>
        <v/>
      </c>
      <c r="FY30" s="251" t="str">
        <f t="shared" si="160"/>
        <v/>
      </c>
      <c r="FZ30" s="251" t="str">
        <f t="shared" si="161"/>
        <v/>
      </c>
      <c r="GA30" s="251" t="str">
        <f t="shared" si="162"/>
        <v/>
      </c>
      <c r="GB30" s="251" t="str">
        <f t="shared" si="163"/>
        <v/>
      </c>
      <c r="GC30" s="251">
        <f t="shared" si="164"/>
        <v>4614</v>
      </c>
      <c r="GD30" s="251" t="str">
        <f t="shared" si="165"/>
        <v/>
      </c>
      <c r="GE30" s="251" t="str">
        <f t="shared" si="166"/>
        <v/>
      </c>
      <c r="GF30" s="251" t="str">
        <f t="shared" si="167"/>
        <v/>
      </c>
      <c r="GG30" s="251" t="str">
        <f t="shared" si="168"/>
        <v/>
      </c>
      <c r="GH30" s="251" t="str">
        <f t="shared" si="169"/>
        <v/>
      </c>
      <c r="GI30" s="251" t="str">
        <f t="shared" si="170"/>
        <v/>
      </c>
      <c r="GJ30" s="251" t="str">
        <f t="shared" si="171"/>
        <v/>
      </c>
      <c r="GK30" s="251" t="str">
        <f t="shared" si="172"/>
        <v/>
      </c>
      <c r="GL30" s="251" t="str">
        <f t="shared" si="173"/>
        <v/>
      </c>
      <c r="GM30" s="251" t="str">
        <f t="shared" si="174"/>
        <v/>
      </c>
      <c r="GN30" s="251" t="str">
        <f t="shared" si="175"/>
        <v/>
      </c>
      <c r="GO30" s="251" t="str">
        <f t="shared" si="176"/>
        <v/>
      </c>
      <c r="GP30" s="251" t="str">
        <f t="shared" si="177"/>
        <v/>
      </c>
      <c r="GQ30" s="251" t="str">
        <f t="shared" si="178"/>
        <v/>
      </c>
      <c r="GR30" s="251" t="str">
        <f t="shared" si="179"/>
        <v/>
      </c>
      <c r="GS30" s="251" t="str">
        <f t="shared" si="180"/>
        <v/>
      </c>
      <c r="GT30" s="251" t="str">
        <f t="shared" si="181"/>
        <v/>
      </c>
      <c r="GU30" s="251" t="str">
        <f t="shared" si="182"/>
        <v/>
      </c>
      <c r="GV30" s="251" t="str">
        <f t="shared" si="183"/>
        <v/>
      </c>
      <c r="GW30" s="251" t="str">
        <f t="shared" si="184"/>
        <v/>
      </c>
      <c r="GX30" s="251" t="str">
        <f t="shared" si="185"/>
        <v/>
      </c>
      <c r="GY30" s="251" t="str">
        <f t="shared" si="186"/>
        <v/>
      </c>
      <c r="GZ30" s="251" t="str">
        <f t="shared" si="187"/>
        <v/>
      </c>
      <c r="HA30" s="251" t="str">
        <f t="shared" si="188"/>
        <v/>
      </c>
      <c r="HB30" s="251" t="str">
        <f t="shared" si="189"/>
        <v/>
      </c>
      <c r="HC30" s="251" t="str">
        <f t="shared" si="190"/>
        <v/>
      </c>
      <c r="HD30" s="251" t="str">
        <f t="shared" si="191"/>
        <v/>
      </c>
      <c r="HE30" s="251" t="str">
        <f t="shared" si="192"/>
        <v/>
      </c>
      <c r="HF30" s="251" t="str">
        <f t="shared" si="193"/>
        <v/>
      </c>
      <c r="HG30" s="251" t="str">
        <f t="shared" si="194"/>
        <v/>
      </c>
      <c r="HH30" s="251" t="str">
        <f t="shared" si="195"/>
        <v/>
      </c>
      <c r="HI30" s="251" t="str">
        <f t="shared" si="196"/>
        <v/>
      </c>
      <c r="HJ30" s="251" t="str">
        <f t="shared" si="197"/>
        <v/>
      </c>
      <c r="HK30" s="251" t="str">
        <f t="shared" si="198"/>
        <v/>
      </c>
      <c r="HL30" s="251" t="str">
        <f t="shared" si="199"/>
        <v/>
      </c>
      <c r="HM30" s="251" t="str">
        <f t="shared" si="200"/>
        <v/>
      </c>
      <c r="HN30" s="251" t="str">
        <f t="shared" si="201"/>
        <v/>
      </c>
      <c r="HO30" s="251" t="str">
        <f t="shared" si="202"/>
        <v/>
      </c>
      <c r="HP30" s="251" t="str">
        <f t="shared" si="203"/>
        <v/>
      </c>
      <c r="HQ30" s="251" t="str">
        <f t="shared" si="204"/>
        <v/>
      </c>
      <c r="HR30" s="251" t="str">
        <f t="shared" si="205"/>
        <v/>
      </c>
      <c r="HS30" s="251" t="str">
        <f t="shared" si="206"/>
        <v/>
      </c>
      <c r="HT30" s="251" t="str">
        <f t="shared" si="207"/>
        <v/>
      </c>
      <c r="HU30" s="251" t="str">
        <f t="shared" si="208"/>
        <v/>
      </c>
      <c r="HV30" s="251" t="str">
        <f t="shared" si="209"/>
        <v/>
      </c>
      <c r="HW30" s="251" t="str">
        <f t="shared" si="210"/>
        <v/>
      </c>
      <c r="HX30" s="251" t="str">
        <f t="shared" si="211"/>
        <v/>
      </c>
      <c r="HY30" s="251" t="str">
        <f t="shared" si="212"/>
        <v/>
      </c>
      <c r="HZ30" s="251" t="str">
        <f t="shared" si="213"/>
        <v/>
      </c>
      <c r="IA30" s="251" t="str">
        <f t="shared" si="214"/>
        <v/>
      </c>
      <c r="IB30" s="251" t="str">
        <f t="shared" si="215"/>
        <v/>
      </c>
      <c r="IC30" s="251" t="str">
        <f t="shared" si="216"/>
        <v/>
      </c>
      <c r="ID30" s="251" t="str">
        <f t="shared" si="217"/>
        <v/>
      </c>
      <c r="IE30" s="251" t="str">
        <f t="shared" si="218"/>
        <v/>
      </c>
      <c r="IF30" s="251">
        <f t="shared" si="219"/>
        <v>6</v>
      </c>
      <c r="IG30" s="251" t="str">
        <f t="shared" si="220"/>
        <v/>
      </c>
      <c r="IH30" s="251" t="str">
        <f t="shared" si="221"/>
        <v/>
      </c>
      <c r="II30" s="251" t="str">
        <f t="shared" si="222"/>
        <v/>
      </c>
      <c r="IJ30" s="251" t="str">
        <f t="shared" si="223"/>
        <v/>
      </c>
      <c r="IK30" s="251" t="str">
        <f t="shared" si="224"/>
        <v/>
      </c>
      <c r="IL30" s="251" t="str">
        <f t="shared" si="225"/>
        <v/>
      </c>
      <c r="IM30" s="251" t="str">
        <f t="shared" si="226"/>
        <v/>
      </c>
      <c r="IN30" s="251" t="str">
        <f t="shared" si="227"/>
        <v/>
      </c>
      <c r="IO30" s="251" t="str">
        <f t="shared" si="228"/>
        <v/>
      </c>
      <c r="IP30" s="251" t="str">
        <f t="shared" si="229"/>
        <v/>
      </c>
      <c r="IQ30" s="251" t="str">
        <f t="shared" si="230"/>
        <v/>
      </c>
      <c r="IR30" s="251" t="str">
        <f t="shared" si="231"/>
        <v/>
      </c>
      <c r="IS30" s="251" t="str">
        <f t="shared" si="232"/>
        <v/>
      </c>
      <c r="IT30" s="251" t="str">
        <f t="shared" si="233"/>
        <v/>
      </c>
      <c r="IU30" s="251" t="str">
        <f t="shared" si="234"/>
        <v/>
      </c>
      <c r="IV30" s="251" t="str">
        <f t="shared" si="235"/>
        <v/>
      </c>
      <c r="IW30" s="251" t="str">
        <f t="shared" si="236"/>
        <v/>
      </c>
      <c r="IX30" s="251" t="str">
        <f t="shared" si="237"/>
        <v/>
      </c>
      <c r="IY30" s="251" t="str">
        <f t="shared" si="238"/>
        <v/>
      </c>
      <c r="IZ30" s="251" t="str">
        <f t="shared" si="239"/>
        <v/>
      </c>
      <c r="JA30" s="251" t="str">
        <f t="shared" si="240"/>
        <v/>
      </c>
      <c r="JB30" s="251" t="str">
        <f t="shared" si="241"/>
        <v/>
      </c>
      <c r="JC30" s="251" t="str">
        <f t="shared" si="242"/>
        <v/>
      </c>
      <c r="JD30" s="251" t="str">
        <f t="shared" si="243"/>
        <v/>
      </c>
      <c r="JE30" s="251" t="str">
        <f t="shared" si="244"/>
        <v/>
      </c>
      <c r="JF30" s="251" t="str">
        <f t="shared" si="245"/>
        <v/>
      </c>
      <c r="JG30" s="251" t="str">
        <f t="shared" si="246"/>
        <v/>
      </c>
      <c r="JH30" s="251" t="str">
        <f t="shared" si="247"/>
        <v/>
      </c>
      <c r="JI30" s="1297" t="str">
        <f t="shared" si="248"/>
        <v/>
      </c>
      <c r="JJ30" s="1297">
        <f t="shared" si="249"/>
        <v>6</v>
      </c>
      <c r="JK30" s="1297" t="str">
        <f t="shared" si="250"/>
        <v/>
      </c>
      <c r="JL30" s="1297" t="str">
        <f t="shared" si="251"/>
        <v/>
      </c>
      <c r="JM30" s="1297" t="str">
        <f t="shared" si="252"/>
        <v/>
      </c>
      <c r="JN30" s="1297" t="str">
        <f t="shared" si="253"/>
        <v/>
      </c>
      <c r="JO30" s="1297" t="str">
        <f t="shared" si="254"/>
        <v/>
      </c>
      <c r="JP30" s="1297" t="str">
        <f t="shared" si="255"/>
        <v/>
      </c>
      <c r="JQ30" s="1297" t="str">
        <f t="shared" si="256"/>
        <v/>
      </c>
      <c r="JR30" s="1297" t="str">
        <f t="shared" si="257"/>
        <v/>
      </c>
      <c r="JS30" s="1297" t="str">
        <f t="shared" si="258"/>
        <v/>
      </c>
      <c r="JT30" s="1297" t="str">
        <f t="shared" si="259"/>
        <v/>
      </c>
      <c r="JU30" s="1297" t="str">
        <f t="shared" si="260"/>
        <v/>
      </c>
      <c r="JV30" s="1297" t="str">
        <f t="shared" si="261"/>
        <v/>
      </c>
      <c r="JW30" s="1297" t="str">
        <f t="shared" si="262"/>
        <v/>
      </c>
      <c r="JX30" s="1297" t="str">
        <f t="shared" si="263"/>
        <v/>
      </c>
      <c r="JY30" s="1297" t="str">
        <f t="shared" si="264"/>
        <v/>
      </c>
      <c r="JZ30" s="1297" t="str">
        <f t="shared" si="265"/>
        <v/>
      </c>
      <c r="KA30" s="1297" t="str">
        <f t="shared" si="266"/>
        <v/>
      </c>
      <c r="KB30" s="1297" t="str">
        <f t="shared" si="267"/>
        <v/>
      </c>
      <c r="KC30" s="1297" t="str">
        <f t="shared" si="268"/>
        <v/>
      </c>
      <c r="KD30" s="1297" t="str">
        <f t="shared" si="269"/>
        <v/>
      </c>
      <c r="KE30" s="1297" t="str">
        <f t="shared" si="270"/>
        <v/>
      </c>
      <c r="KF30" s="1297" t="str">
        <f t="shared" si="271"/>
        <v/>
      </c>
      <c r="KG30" s="1297" t="str">
        <f t="shared" si="272"/>
        <v/>
      </c>
      <c r="KH30" s="1297" t="str">
        <f t="shared" si="273"/>
        <v/>
      </c>
      <c r="KI30" s="1297" t="str">
        <f t="shared" si="274"/>
        <v/>
      </c>
      <c r="KJ30" s="1297" t="str">
        <f t="shared" si="275"/>
        <v/>
      </c>
      <c r="KK30" s="1297" t="str">
        <f t="shared" si="276"/>
        <v/>
      </c>
      <c r="KL30" s="1297" t="str">
        <f t="shared" si="277"/>
        <v/>
      </c>
      <c r="KM30" s="1297" t="str">
        <f t="shared" si="278"/>
        <v/>
      </c>
      <c r="KN30" s="1297" t="str">
        <f t="shared" si="279"/>
        <v/>
      </c>
      <c r="KO30" s="1297" t="str">
        <f t="shared" si="280"/>
        <v/>
      </c>
      <c r="KP30" s="1297" t="str">
        <f t="shared" si="281"/>
        <v/>
      </c>
      <c r="KQ30" s="1297" t="str">
        <f t="shared" si="282"/>
        <v/>
      </c>
      <c r="KR30" s="1297" t="str">
        <f t="shared" si="283"/>
        <v/>
      </c>
      <c r="KS30" s="1297" t="str">
        <f t="shared" si="284"/>
        <v/>
      </c>
      <c r="KT30" s="1297" t="str">
        <f t="shared" si="285"/>
        <v/>
      </c>
      <c r="KU30" s="1297" t="str">
        <f t="shared" si="286"/>
        <v/>
      </c>
      <c r="KV30" s="1297" t="str">
        <f t="shared" si="287"/>
        <v/>
      </c>
      <c r="KW30" s="1297" t="str">
        <f t="shared" si="288"/>
        <v/>
      </c>
      <c r="KX30" s="1297" t="str">
        <f t="shared" si="289"/>
        <v/>
      </c>
      <c r="KY30" s="1297" t="str">
        <f t="shared" si="290"/>
        <v/>
      </c>
      <c r="KZ30" s="1297" t="str">
        <f t="shared" si="291"/>
        <v/>
      </c>
      <c r="LA30" s="1297" t="str">
        <f t="shared" si="292"/>
        <v/>
      </c>
      <c r="LB30" s="1297" t="str">
        <f t="shared" si="293"/>
        <v/>
      </c>
      <c r="LC30" s="1297">
        <f t="shared" si="294"/>
        <v>6</v>
      </c>
      <c r="LD30" s="1297" t="str">
        <f t="shared" si="295"/>
        <v/>
      </c>
      <c r="LE30" s="1297" t="str">
        <f t="shared" si="296"/>
        <v/>
      </c>
      <c r="LF30" s="1297" t="str">
        <f t="shared" si="297"/>
        <v/>
      </c>
      <c r="LG30" s="1297" t="str">
        <f t="shared" si="298"/>
        <v/>
      </c>
      <c r="LH30" s="1297" t="str">
        <f t="shared" si="299"/>
        <v/>
      </c>
      <c r="LI30" s="1297" t="str">
        <f t="shared" si="300"/>
        <v/>
      </c>
      <c r="LJ30" s="1297" t="str">
        <f t="shared" si="301"/>
        <v/>
      </c>
      <c r="LK30" s="1297" t="str">
        <f t="shared" si="302"/>
        <v/>
      </c>
      <c r="LL30" s="1297" t="str">
        <f t="shared" si="303"/>
        <v/>
      </c>
      <c r="LM30" s="1297" t="str">
        <f t="shared" si="304"/>
        <v/>
      </c>
      <c r="LN30" s="1297" t="str">
        <f t="shared" si="305"/>
        <v/>
      </c>
      <c r="LO30" s="1297" t="str">
        <f t="shared" si="306"/>
        <v/>
      </c>
      <c r="LP30" s="1297" t="str">
        <f t="shared" si="307"/>
        <v/>
      </c>
      <c r="LQ30" s="1297" t="str">
        <f t="shared" si="308"/>
        <v/>
      </c>
      <c r="LR30" s="1297" t="str">
        <f t="shared" si="309"/>
        <v/>
      </c>
      <c r="LS30" s="1297" t="str">
        <f t="shared" si="310"/>
        <v/>
      </c>
      <c r="LT30" s="1297" t="str">
        <f t="shared" si="311"/>
        <v/>
      </c>
      <c r="LU30" s="1297" t="str">
        <f t="shared" si="312"/>
        <v/>
      </c>
      <c r="LV30" s="1297" t="str">
        <f t="shared" si="313"/>
        <v/>
      </c>
      <c r="LW30" s="1297" t="str">
        <f t="shared" si="314"/>
        <v/>
      </c>
      <c r="LX30" s="1297" t="str">
        <f t="shared" si="315"/>
        <v/>
      </c>
      <c r="LY30" s="1297" t="str">
        <f t="shared" si="316"/>
        <v/>
      </c>
      <c r="LZ30" s="1297" t="str">
        <f t="shared" si="317"/>
        <v/>
      </c>
      <c r="MA30" s="1297" t="str">
        <f t="shared" si="318"/>
        <v/>
      </c>
      <c r="MB30" s="1297" t="str">
        <f t="shared" si="319"/>
        <v/>
      </c>
      <c r="MC30" s="1297" t="str">
        <f t="shared" si="320"/>
        <v/>
      </c>
      <c r="MD30" s="1297" t="str">
        <f t="shared" si="321"/>
        <v/>
      </c>
      <c r="ME30" s="1297" t="str">
        <f t="shared" si="322"/>
        <v/>
      </c>
      <c r="MF30" s="1297" t="str">
        <f t="shared" si="323"/>
        <v/>
      </c>
      <c r="MG30" s="1297" t="str">
        <f t="shared" si="324"/>
        <v/>
      </c>
      <c r="MH30" s="1297" t="str">
        <f t="shared" si="325"/>
        <v/>
      </c>
      <c r="MI30" s="1297" t="str">
        <f t="shared" si="326"/>
        <v/>
      </c>
      <c r="MJ30" s="1297" t="str">
        <f t="shared" si="327"/>
        <v/>
      </c>
      <c r="MK30" s="1297" t="str">
        <f t="shared" si="328"/>
        <v/>
      </c>
      <c r="ML30" s="1297" t="str">
        <f t="shared" si="329"/>
        <v/>
      </c>
      <c r="MM30" s="1297" t="str">
        <f t="shared" si="330"/>
        <v/>
      </c>
      <c r="MN30" s="1297" t="str">
        <f t="shared" si="331"/>
        <v/>
      </c>
      <c r="MO30" s="1297" t="str">
        <f t="shared" si="332"/>
        <v/>
      </c>
      <c r="MP30" s="1773" t="str">
        <f t="shared" si="333"/>
        <v/>
      </c>
      <c r="MQ30" s="1773" t="str">
        <f t="shared" si="334"/>
        <v/>
      </c>
      <c r="MR30" s="1773" t="str">
        <f t="shared" si="335"/>
        <v/>
      </c>
      <c r="MS30" s="1773" t="str">
        <f t="shared" si="336"/>
        <v/>
      </c>
      <c r="MT30" s="1773" t="str">
        <f t="shared" si="337"/>
        <v/>
      </c>
      <c r="MU30" s="251" t="str">
        <f t="shared" si="338"/>
        <v/>
      </c>
      <c r="MV30" s="251" t="str">
        <f t="shared" si="339"/>
        <v/>
      </c>
      <c r="MW30" s="251" t="str">
        <f t="shared" si="340"/>
        <v/>
      </c>
      <c r="MX30" s="251" t="str">
        <f t="shared" si="341"/>
        <v/>
      </c>
      <c r="MY30" s="251" t="str">
        <f t="shared" si="342"/>
        <v/>
      </c>
      <c r="MZ30" s="251" t="str">
        <f t="shared" si="343"/>
        <v/>
      </c>
      <c r="NA30" s="251" t="str">
        <f t="shared" si="344"/>
        <v/>
      </c>
      <c r="NB30" s="251" t="str">
        <f t="shared" si="345"/>
        <v/>
      </c>
      <c r="NC30" s="251" t="str">
        <f t="shared" si="346"/>
        <v/>
      </c>
      <c r="ND30" s="251" t="str">
        <f t="shared" si="347"/>
        <v/>
      </c>
      <c r="NE30" s="251" t="str">
        <f t="shared" si="348"/>
        <v/>
      </c>
      <c r="NF30" s="251" t="str">
        <f t="shared" si="349"/>
        <v/>
      </c>
      <c r="NG30" s="251" t="str">
        <f t="shared" si="350"/>
        <v/>
      </c>
      <c r="NH30" s="251" t="str">
        <f t="shared" si="351"/>
        <v/>
      </c>
      <c r="NI30" s="251" t="str">
        <f t="shared" si="352"/>
        <v/>
      </c>
      <c r="NJ30" s="251" t="str">
        <f t="shared" si="353"/>
        <v/>
      </c>
      <c r="NK30" s="251" t="str">
        <f t="shared" si="354"/>
        <v/>
      </c>
      <c r="NL30" s="251" t="str">
        <f t="shared" si="355"/>
        <v/>
      </c>
      <c r="NM30" s="251" t="str">
        <f t="shared" si="356"/>
        <v/>
      </c>
      <c r="NN30" s="251" t="str">
        <f t="shared" si="357"/>
        <v/>
      </c>
      <c r="NO30" s="1185">
        <f t="shared" si="358"/>
        <v>0</v>
      </c>
      <c r="NP30" s="1185">
        <f t="shared" si="359"/>
        <v>6</v>
      </c>
      <c r="NQ30" s="1185">
        <f t="shared" si="360"/>
        <v>0</v>
      </c>
      <c r="NR30" s="1185">
        <f t="shared" si="361"/>
        <v>0</v>
      </c>
      <c r="NS30" s="1185">
        <f t="shared" si="362"/>
        <v>0</v>
      </c>
      <c r="NT30" s="1185">
        <f t="shared" si="368"/>
        <v>0</v>
      </c>
      <c r="NU30" s="1185">
        <f t="shared" si="369"/>
        <v>0</v>
      </c>
      <c r="NV30" s="1185">
        <f t="shared" si="370"/>
        <v>0</v>
      </c>
      <c r="NW30" s="1185">
        <f t="shared" si="371"/>
        <v>0</v>
      </c>
      <c r="NX30" s="1185">
        <f t="shared" si="372"/>
        <v>0</v>
      </c>
      <c r="NY30" s="1185">
        <f t="shared" si="363"/>
        <v>0</v>
      </c>
      <c r="NZ30" s="1185">
        <f t="shared" si="364"/>
        <v>0</v>
      </c>
      <c r="OA30" s="1185">
        <f t="shared" si="365"/>
        <v>0</v>
      </c>
      <c r="OB30" s="1185">
        <f t="shared" si="366"/>
        <v>0</v>
      </c>
      <c r="OC30" s="1185">
        <f t="shared" si="367"/>
        <v>0</v>
      </c>
      <c r="OY30" s="1794" t="s">
        <v>1178</v>
      </c>
      <c r="OZ30" s="1799">
        <v>30</v>
      </c>
    </row>
    <row r="31" spans="1:416" ht="12" customHeight="1">
      <c r="A31" s="53" t="str">
        <f t="shared" si="0"/>
        <v/>
      </c>
      <c r="B31" s="782">
        <v>60</v>
      </c>
      <c r="C31" s="85">
        <v>2</v>
      </c>
      <c r="D31" s="1187">
        <v>2</v>
      </c>
      <c r="E31" s="86">
        <v>13</v>
      </c>
      <c r="F31" s="86">
        <v>1041</v>
      </c>
      <c r="G31" s="86">
        <v>1111</v>
      </c>
      <c r="H31" s="86">
        <f t="shared" si="375"/>
        <v>1101</v>
      </c>
      <c r="I31" s="86">
        <v>0</v>
      </c>
      <c r="J31" s="765">
        <f>IF(C31="",0,HLOOKUP(C31,'Part IV-Utility Allowances'!$I$11:$M$25,15))</f>
        <v>205</v>
      </c>
      <c r="K31" s="473"/>
      <c r="L31" s="330">
        <f t="shared" si="1"/>
        <v>896</v>
      </c>
      <c r="M31" s="330">
        <f t="shared" si="2"/>
        <v>11648</v>
      </c>
      <c r="N31" s="506" t="s">
        <v>7474</v>
      </c>
      <c r="O31" s="1134" t="s">
        <v>1259</v>
      </c>
      <c r="P31" s="506" t="s">
        <v>7678</v>
      </c>
      <c r="Q31" s="87" t="s">
        <v>7474</v>
      </c>
      <c r="R31" s="540"/>
      <c r="S31" s="541"/>
      <c r="T31" s="3758"/>
      <c r="U31" s="3759"/>
      <c r="V31" s="3759"/>
      <c r="W31" s="3760"/>
      <c r="X31" s="251" t="str">
        <f t="shared" si="3"/>
        <v/>
      </c>
      <c r="Y31" s="251" t="str">
        <f t="shared" si="4"/>
        <v/>
      </c>
      <c r="Z31" s="251" t="str">
        <f t="shared" si="5"/>
        <v/>
      </c>
      <c r="AA31" s="251" t="str">
        <f t="shared" si="6"/>
        <v/>
      </c>
      <c r="AB31" s="251" t="str">
        <f t="shared" si="7"/>
        <v/>
      </c>
      <c r="AC31" s="251" t="str">
        <f t="shared" si="8"/>
        <v/>
      </c>
      <c r="AD31" s="251" t="str">
        <f t="shared" si="9"/>
        <v/>
      </c>
      <c r="AE31" s="251" t="str">
        <f t="shared" si="10"/>
        <v/>
      </c>
      <c r="AF31" s="251" t="str">
        <f t="shared" si="11"/>
        <v/>
      </c>
      <c r="AG31" s="251" t="str">
        <f t="shared" si="12"/>
        <v/>
      </c>
      <c r="AH31" s="251" t="str">
        <f t="shared" si="13"/>
        <v/>
      </c>
      <c r="AI31" s="251" t="str">
        <f t="shared" si="14"/>
        <v/>
      </c>
      <c r="AJ31" s="251">
        <f t="shared" si="15"/>
        <v>13</v>
      </c>
      <c r="AK31" s="251" t="str">
        <f t="shared" si="16"/>
        <v/>
      </c>
      <c r="AL31" s="251" t="str">
        <f t="shared" si="17"/>
        <v/>
      </c>
      <c r="AM31" s="251" t="str">
        <f t="shared" si="18"/>
        <v/>
      </c>
      <c r="AN31" s="251" t="str">
        <f t="shared" si="19"/>
        <v/>
      </c>
      <c r="AO31" s="251" t="str">
        <f t="shared" si="20"/>
        <v/>
      </c>
      <c r="AP31" s="251" t="str">
        <f t="shared" si="21"/>
        <v/>
      </c>
      <c r="AQ31" s="251" t="str">
        <f t="shared" si="22"/>
        <v/>
      </c>
      <c r="AR31" s="251" t="str">
        <f t="shared" si="23"/>
        <v/>
      </c>
      <c r="AS31" s="251" t="str">
        <f t="shared" si="24"/>
        <v/>
      </c>
      <c r="AT31" s="251" t="str">
        <f t="shared" si="25"/>
        <v/>
      </c>
      <c r="AU31" s="251" t="str">
        <f t="shared" si="26"/>
        <v/>
      </c>
      <c r="AV31" s="251" t="str">
        <f t="shared" si="27"/>
        <v/>
      </c>
      <c r="AW31" s="251" t="str">
        <f t="shared" si="28"/>
        <v/>
      </c>
      <c r="AX31" s="251" t="str">
        <f t="shared" si="29"/>
        <v/>
      </c>
      <c r="AY31" s="251" t="str">
        <f t="shared" si="30"/>
        <v/>
      </c>
      <c r="AZ31" s="251" t="str">
        <f t="shared" si="31"/>
        <v/>
      </c>
      <c r="BA31" s="251" t="str">
        <f t="shared" si="32"/>
        <v/>
      </c>
      <c r="BB31" s="251" t="str">
        <f t="shared" si="33"/>
        <v/>
      </c>
      <c r="BC31" s="251" t="str">
        <f t="shared" si="34"/>
        <v/>
      </c>
      <c r="BD31" s="251" t="str">
        <f t="shared" si="35"/>
        <v/>
      </c>
      <c r="BE31" s="251" t="str">
        <f t="shared" si="36"/>
        <v/>
      </c>
      <c r="BF31" s="251" t="str">
        <f t="shared" si="37"/>
        <v/>
      </c>
      <c r="BG31" s="251" t="str">
        <f t="shared" si="38"/>
        <v/>
      </c>
      <c r="BH31" s="251" t="str">
        <f t="shared" si="39"/>
        <v/>
      </c>
      <c r="BI31" s="251" t="str">
        <f t="shared" si="40"/>
        <v/>
      </c>
      <c r="BJ31" s="251" t="str">
        <f t="shared" si="41"/>
        <v/>
      </c>
      <c r="BK31" s="251" t="str">
        <f t="shared" si="42"/>
        <v/>
      </c>
      <c r="BL31" s="251" t="str">
        <f t="shared" si="43"/>
        <v/>
      </c>
      <c r="BM31" s="251" t="str">
        <f t="shared" si="44"/>
        <v/>
      </c>
      <c r="BN31" s="251" t="str">
        <f t="shared" si="45"/>
        <v/>
      </c>
      <c r="BO31" s="251" t="str">
        <f t="shared" si="46"/>
        <v/>
      </c>
      <c r="BP31" s="251" t="str">
        <f t="shared" si="47"/>
        <v/>
      </c>
      <c r="BQ31" s="251" t="str">
        <f t="shared" si="48"/>
        <v/>
      </c>
      <c r="BR31" s="251" t="str">
        <f t="shared" si="49"/>
        <v/>
      </c>
      <c r="BS31" s="251" t="str">
        <f t="shared" si="50"/>
        <v/>
      </c>
      <c r="BT31" s="251" t="str">
        <f t="shared" si="51"/>
        <v/>
      </c>
      <c r="BU31" s="251" t="str">
        <f t="shared" si="52"/>
        <v/>
      </c>
      <c r="BV31" s="251" t="str">
        <f t="shared" si="53"/>
        <v/>
      </c>
      <c r="BW31" s="251" t="str">
        <f t="shared" si="54"/>
        <v/>
      </c>
      <c r="BX31" s="251" t="str">
        <f t="shared" si="55"/>
        <v/>
      </c>
      <c r="BY31" s="251" t="str">
        <f t="shared" si="56"/>
        <v/>
      </c>
      <c r="BZ31" s="251" t="str">
        <f t="shared" si="57"/>
        <v/>
      </c>
      <c r="CA31" s="251" t="str">
        <f t="shared" si="58"/>
        <v/>
      </c>
      <c r="CB31" s="251" t="str">
        <f t="shared" si="59"/>
        <v/>
      </c>
      <c r="CC31" s="251" t="str">
        <f t="shared" si="60"/>
        <v/>
      </c>
      <c r="CD31" s="251" t="str">
        <f t="shared" si="61"/>
        <v/>
      </c>
      <c r="CE31" s="251" t="str">
        <f t="shared" si="62"/>
        <v/>
      </c>
      <c r="CF31" s="251" t="str">
        <f t="shared" si="63"/>
        <v/>
      </c>
      <c r="CG31" s="251" t="str">
        <f t="shared" si="64"/>
        <v/>
      </c>
      <c r="CH31" s="251" t="str">
        <f t="shared" si="65"/>
        <v/>
      </c>
      <c r="CI31" s="251" t="str">
        <f t="shared" si="66"/>
        <v/>
      </c>
      <c r="CJ31" s="251" t="str">
        <f t="shared" si="67"/>
        <v/>
      </c>
      <c r="CK31" s="251" t="str">
        <f t="shared" si="68"/>
        <v/>
      </c>
      <c r="CL31" s="251" t="str">
        <f t="shared" si="69"/>
        <v/>
      </c>
      <c r="CM31" s="251" t="str">
        <f t="shared" si="70"/>
        <v/>
      </c>
      <c r="CN31" s="251" t="str">
        <f t="shared" si="71"/>
        <v/>
      </c>
      <c r="CO31" s="251" t="str">
        <f t="shared" si="72"/>
        <v/>
      </c>
      <c r="CP31" s="251" t="str">
        <f t="shared" si="73"/>
        <v/>
      </c>
      <c r="CQ31" s="251" t="str">
        <f t="shared" si="74"/>
        <v/>
      </c>
      <c r="CR31" s="251" t="str">
        <f t="shared" si="75"/>
        <v/>
      </c>
      <c r="CS31" s="251" t="str">
        <f t="shared" si="76"/>
        <v/>
      </c>
      <c r="CT31" s="251" t="str">
        <f t="shared" si="77"/>
        <v/>
      </c>
      <c r="CU31" s="251" t="str">
        <f t="shared" si="78"/>
        <v/>
      </c>
      <c r="CV31" s="251" t="str">
        <f t="shared" si="79"/>
        <v/>
      </c>
      <c r="CW31" s="251" t="str">
        <f t="shared" si="80"/>
        <v/>
      </c>
      <c r="CX31" s="251" t="str">
        <f t="shared" si="81"/>
        <v/>
      </c>
      <c r="CY31" s="251" t="str">
        <f t="shared" si="82"/>
        <v/>
      </c>
      <c r="CZ31" s="251" t="str">
        <f t="shared" si="83"/>
        <v/>
      </c>
      <c r="DA31" s="251" t="str">
        <f t="shared" si="84"/>
        <v/>
      </c>
      <c r="DB31" s="251" t="str">
        <f t="shared" si="85"/>
        <v/>
      </c>
      <c r="DC31" s="251" t="str">
        <f t="shared" si="86"/>
        <v/>
      </c>
      <c r="DD31" s="251" t="str">
        <f t="shared" si="87"/>
        <v/>
      </c>
      <c r="DE31" s="251" t="str">
        <f t="shared" si="88"/>
        <v/>
      </c>
      <c r="DF31" s="251" t="str">
        <f t="shared" si="89"/>
        <v/>
      </c>
      <c r="DG31" s="251" t="str">
        <f t="shared" si="90"/>
        <v/>
      </c>
      <c r="DH31" s="251" t="str">
        <f t="shared" si="91"/>
        <v/>
      </c>
      <c r="DI31" s="251" t="str">
        <f t="shared" si="92"/>
        <v/>
      </c>
      <c r="DJ31" s="251" t="str">
        <f t="shared" si="93"/>
        <v/>
      </c>
      <c r="DK31" s="251" t="str">
        <f t="shared" si="94"/>
        <v/>
      </c>
      <c r="DL31" s="251" t="str">
        <f t="shared" si="95"/>
        <v/>
      </c>
      <c r="DM31" s="251" t="str">
        <f t="shared" si="96"/>
        <v/>
      </c>
      <c r="DN31" s="251" t="str">
        <f t="shared" si="97"/>
        <v/>
      </c>
      <c r="DO31" s="251" t="str">
        <f t="shared" si="98"/>
        <v/>
      </c>
      <c r="DP31" s="251" t="str">
        <f t="shared" si="99"/>
        <v/>
      </c>
      <c r="DQ31" s="251" t="str">
        <f t="shared" si="100"/>
        <v/>
      </c>
      <c r="DR31" s="251" t="str">
        <f t="shared" si="101"/>
        <v/>
      </c>
      <c r="DS31" s="251" t="str">
        <f t="shared" si="102"/>
        <v/>
      </c>
      <c r="DT31" s="251" t="str">
        <f t="shared" si="103"/>
        <v/>
      </c>
      <c r="DU31" s="251" t="str">
        <f t="shared" si="104"/>
        <v/>
      </c>
      <c r="DV31" s="251" t="str">
        <f t="shared" si="105"/>
        <v/>
      </c>
      <c r="DW31" s="251" t="str">
        <f t="shared" si="106"/>
        <v/>
      </c>
      <c r="DX31" s="251" t="str">
        <f t="shared" si="107"/>
        <v/>
      </c>
      <c r="DY31" s="251" t="str">
        <f t="shared" si="108"/>
        <v/>
      </c>
      <c r="DZ31" s="251" t="str">
        <f t="shared" si="109"/>
        <v/>
      </c>
      <c r="EA31" s="251" t="str">
        <f t="shared" si="110"/>
        <v/>
      </c>
      <c r="EB31" s="251" t="str">
        <f t="shared" si="111"/>
        <v/>
      </c>
      <c r="EC31" s="251" t="str">
        <f t="shared" si="112"/>
        <v/>
      </c>
      <c r="ED31" s="251" t="str">
        <f t="shared" si="113"/>
        <v/>
      </c>
      <c r="EE31" s="251" t="str">
        <f t="shared" si="114"/>
        <v/>
      </c>
      <c r="EF31" s="251" t="str">
        <f t="shared" si="115"/>
        <v/>
      </c>
      <c r="EG31" s="251" t="str">
        <f t="shared" si="116"/>
        <v/>
      </c>
      <c r="EH31" s="251" t="str">
        <f t="shared" si="117"/>
        <v/>
      </c>
      <c r="EI31" s="251" t="str">
        <f t="shared" si="118"/>
        <v/>
      </c>
      <c r="EJ31" s="251" t="str">
        <f t="shared" si="119"/>
        <v/>
      </c>
      <c r="EK31" s="251" t="str">
        <f t="shared" si="120"/>
        <v/>
      </c>
      <c r="EL31" s="251" t="str">
        <f t="shared" si="121"/>
        <v/>
      </c>
      <c r="EM31" s="251" t="str">
        <f t="shared" si="122"/>
        <v/>
      </c>
      <c r="EN31" s="251" t="str">
        <f t="shared" si="123"/>
        <v/>
      </c>
      <c r="EO31" s="251" t="str">
        <f t="shared" si="124"/>
        <v/>
      </c>
      <c r="EP31" s="251" t="str">
        <f t="shared" si="125"/>
        <v/>
      </c>
      <c r="EQ31" s="251" t="str">
        <f t="shared" si="126"/>
        <v/>
      </c>
      <c r="ER31" s="251" t="str">
        <f t="shared" si="127"/>
        <v/>
      </c>
      <c r="ES31" s="251" t="str">
        <f t="shared" si="128"/>
        <v/>
      </c>
      <c r="ET31" s="251" t="str">
        <f t="shared" si="129"/>
        <v/>
      </c>
      <c r="EU31" s="251" t="str">
        <f t="shared" si="130"/>
        <v/>
      </c>
      <c r="EV31" s="251" t="str">
        <f t="shared" si="131"/>
        <v/>
      </c>
      <c r="EW31" s="251" t="str">
        <f t="shared" si="132"/>
        <v/>
      </c>
      <c r="EX31" s="251" t="str">
        <f t="shared" si="133"/>
        <v/>
      </c>
      <c r="EY31" s="251" t="str">
        <f t="shared" si="134"/>
        <v/>
      </c>
      <c r="EZ31" s="251" t="str">
        <f t="shared" si="135"/>
        <v/>
      </c>
      <c r="FA31" s="251" t="str">
        <f t="shared" si="136"/>
        <v/>
      </c>
      <c r="FB31" s="251" t="str">
        <f t="shared" si="137"/>
        <v/>
      </c>
      <c r="FC31" s="251" t="str">
        <f t="shared" si="138"/>
        <v/>
      </c>
      <c r="FD31" s="251" t="str">
        <f t="shared" si="139"/>
        <v/>
      </c>
      <c r="FE31" s="251" t="str">
        <f t="shared" si="140"/>
        <v/>
      </c>
      <c r="FF31" s="251" t="str">
        <f t="shared" si="141"/>
        <v/>
      </c>
      <c r="FG31" s="251" t="str">
        <f t="shared" si="142"/>
        <v/>
      </c>
      <c r="FH31" s="251" t="str">
        <f t="shared" si="143"/>
        <v/>
      </c>
      <c r="FI31" s="251" t="str">
        <f t="shared" si="144"/>
        <v/>
      </c>
      <c r="FJ31" s="251" t="str">
        <f t="shared" si="145"/>
        <v/>
      </c>
      <c r="FK31" s="251" t="str">
        <f t="shared" si="146"/>
        <v/>
      </c>
      <c r="FL31" s="251" t="str">
        <f t="shared" si="147"/>
        <v/>
      </c>
      <c r="FM31" s="251" t="str">
        <f t="shared" si="148"/>
        <v/>
      </c>
      <c r="FN31" s="251" t="str">
        <f t="shared" si="149"/>
        <v/>
      </c>
      <c r="FO31" s="251" t="str">
        <f t="shared" si="150"/>
        <v/>
      </c>
      <c r="FP31" s="251" t="str">
        <f t="shared" si="151"/>
        <v/>
      </c>
      <c r="FQ31" s="251" t="str">
        <f t="shared" si="152"/>
        <v/>
      </c>
      <c r="FR31" s="251" t="str">
        <f t="shared" si="153"/>
        <v/>
      </c>
      <c r="FS31" s="251" t="str">
        <f t="shared" si="154"/>
        <v/>
      </c>
      <c r="FT31" s="251" t="str">
        <f t="shared" si="155"/>
        <v/>
      </c>
      <c r="FU31" s="251" t="str">
        <f t="shared" si="156"/>
        <v/>
      </c>
      <c r="FV31" s="251" t="str">
        <f t="shared" si="157"/>
        <v/>
      </c>
      <c r="FW31" s="251" t="str">
        <f t="shared" si="158"/>
        <v/>
      </c>
      <c r="FX31" s="251" t="str">
        <f t="shared" si="159"/>
        <v/>
      </c>
      <c r="FY31" s="251" t="str">
        <f t="shared" si="160"/>
        <v/>
      </c>
      <c r="FZ31" s="251" t="str">
        <f t="shared" si="161"/>
        <v/>
      </c>
      <c r="GA31" s="251" t="str">
        <f t="shared" si="162"/>
        <v/>
      </c>
      <c r="GB31" s="251" t="str">
        <f t="shared" si="163"/>
        <v/>
      </c>
      <c r="GC31" s="251" t="str">
        <f t="shared" si="164"/>
        <v/>
      </c>
      <c r="GD31" s="251">
        <f t="shared" si="165"/>
        <v>13533</v>
      </c>
      <c r="GE31" s="251" t="str">
        <f t="shared" si="166"/>
        <v/>
      </c>
      <c r="GF31" s="251" t="str">
        <f t="shared" si="167"/>
        <v/>
      </c>
      <c r="GG31" s="251" t="str">
        <f t="shared" si="168"/>
        <v/>
      </c>
      <c r="GH31" s="251" t="str">
        <f t="shared" si="169"/>
        <v/>
      </c>
      <c r="GI31" s="251" t="str">
        <f t="shared" si="170"/>
        <v/>
      </c>
      <c r="GJ31" s="251" t="str">
        <f t="shared" si="171"/>
        <v/>
      </c>
      <c r="GK31" s="251" t="str">
        <f t="shared" si="172"/>
        <v/>
      </c>
      <c r="GL31" s="251" t="str">
        <f t="shared" si="173"/>
        <v/>
      </c>
      <c r="GM31" s="251" t="str">
        <f t="shared" si="174"/>
        <v/>
      </c>
      <c r="GN31" s="251" t="str">
        <f t="shared" si="175"/>
        <v/>
      </c>
      <c r="GO31" s="251" t="str">
        <f t="shared" si="176"/>
        <v/>
      </c>
      <c r="GP31" s="251" t="str">
        <f t="shared" si="177"/>
        <v/>
      </c>
      <c r="GQ31" s="251" t="str">
        <f t="shared" si="178"/>
        <v/>
      </c>
      <c r="GR31" s="251" t="str">
        <f t="shared" si="179"/>
        <v/>
      </c>
      <c r="GS31" s="251" t="str">
        <f t="shared" si="180"/>
        <v/>
      </c>
      <c r="GT31" s="251" t="str">
        <f t="shared" si="181"/>
        <v/>
      </c>
      <c r="GU31" s="251" t="str">
        <f t="shared" si="182"/>
        <v/>
      </c>
      <c r="GV31" s="251" t="str">
        <f t="shared" si="183"/>
        <v/>
      </c>
      <c r="GW31" s="251" t="str">
        <f t="shared" si="184"/>
        <v/>
      </c>
      <c r="GX31" s="251" t="str">
        <f t="shared" si="185"/>
        <v/>
      </c>
      <c r="GY31" s="251" t="str">
        <f t="shared" si="186"/>
        <v/>
      </c>
      <c r="GZ31" s="251" t="str">
        <f t="shared" si="187"/>
        <v/>
      </c>
      <c r="HA31" s="251" t="str">
        <f t="shared" si="188"/>
        <v/>
      </c>
      <c r="HB31" s="251" t="str">
        <f t="shared" si="189"/>
        <v/>
      </c>
      <c r="HC31" s="251" t="str">
        <f t="shared" si="190"/>
        <v/>
      </c>
      <c r="HD31" s="251" t="str">
        <f t="shared" si="191"/>
        <v/>
      </c>
      <c r="HE31" s="251" t="str">
        <f t="shared" si="192"/>
        <v/>
      </c>
      <c r="HF31" s="251" t="str">
        <f t="shared" si="193"/>
        <v/>
      </c>
      <c r="HG31" s="251" t="str">
        <f t="shared" si="194"/>
        <v/>
      </c>
      <c r="HH31" s="251" t="str">
        <f t="shared" si="195"/>
        <v/>
      </c>
      <c r="HI31" s="251" t="str">
        <f t="shared" si="196"/>
        <v/>
      </c>
      <c r="HJ31" s="251" t="str">
        <f t="shared" si="197"/>
        <v/>
      </c>
      <c r="HK31" s="251" t="str">
        <f t="shared" si="198"/>
        <v/>
      </c>
      <c r="HL31" s="251" t="str">
        <f t="shared" si="199"/>
        <v/>
      </c>
      <c r="HM31" s="251" t="str">
        <f t="shared" si="200"/>
        <v/>
      </c>
      <c r="HN31" s="251" t="str">
        <f t="shared" si="201"/>
        <v/>
      </c>
      <c r="HO31" s="251" t="str">
        <f t="shared" si="202"/>
        <v/>
      </c>
      <c r="HP31" s="251" t="str">
        <f t="shared" si="203"/>
        <v/>
      </c>
      <c r="HQ31" s="251" t="str">
        <f t="shared" si="204"/>
        <v/>
      </c>
      <c r="HR31" s="251" t="str">
        <f t="shared" si="205"/>
        <v/>
      </c>
      <c r="HS31" s="251" t="str">
        <f t="shared" si="206"/>
        <v/>
      </c>
      <c r="HT31" s="251" t="str">
        <f t="shared" si="207"/>
        <v/>
      </c>
      <c r="HU31" s="251" t="str">
        <f t="shared" si="208"/>
        <v/>
      </c>
      <c r="HV31" s="251" t="str">
        <f t="shared" si="209"/>
        <v/>
      </c>
      <c r="HW31" s="251" t="str">
        <f t="shared" si="210"/>
        <v/>
      </c>
      <c r="HX31" s="251" t="str">
        <f t="shared" si="211"/>
        <v/>
      </c>
      <c r="HY31" s="251" t="str">
        <f t="shared" si="212"/>
        <v/>
      </c>
      <c r="HZ31" s="251" t="str">
        <f t="shared" si="213"/>
        <v/>
      </c>
      <c r="IA31" s="251" t="str">
        <f t="shared" si="214"/>
        <v/>
      </c>
      <c r="IB31" s="251" t="str">
        <f t="shared" si="215"/>
        <v/>
      </c>
      <c r="IC31" s="251" t="str">
        <f t="shared" si="216"/>
        <v/>
      </c>
      <c r="ID31" s="251" t="str">
        <f t="shared" si="217"/>
        <v/>
      </c>
      <c r="IE31" s="251" t="str">
        <f t="shared" si="218"/>
        <v/>
      </c>
      <c r="IF31" s="251" t="str">
        <f t="shared" si="219"/>
        <v/>
      </c>
      <c r="IG31" s="251">
        <f t="shared" si="220"/>
        <v>13</v>
      </c>
      <c r="IH31" s="251" t="str">
        <f t="shared" si="221"/>
        <v/>
      </c>
      <c r="II31" s="251" t="str">
        <f t="shared" si="222"/>
        <v/>
      </c>
      <c r="IJ31" s="251" t="str">
        <f t="shared" si="223"/>
        <v/>
      </c>
      <c r="IK31" s="251" t="str">
        <f t="shared" si="224"/>
        <v/>
      </c>
      <c r="IL31" s="251" t="str">
        <f t="shared" si="225"/>
        <v/>
      </c>
      <c r="IM31" s="251" t="str">
        <f t="shared" si="226"/>
        <v/>
      </c>
      <c r="IN31" s="251" t="str">
        <f t="shared" si="227"/>
        <v/>
      </c>
      <c r="IO31" s="251" t="str">
        <f t="shared" si="228"/>
        <v/>
      </c>
      <c r="IP31" s="251" t="str">
        <f t="shared" si="229"/>
        <v/>
      </c>
      <c r="IQ31" s="251" t="str">
        <f t="shared" si="230"/>
        <v/>
      </c>
      <c r="IR31" s="251" t="str">
        <f t="shared" si="231"/>
        <v/>
      </c>
      <c r="IS31" s="251" t="str">
        <f t="shared" si="232"/>
        <v/>
      </c>
      <c r="IT31" s="251" t="str">
        <f t="shared" si="233"/>
        <v/>
      </c>
      <c r="IU31" s="251" t="str">
        <f t="shared" si="234"/>
        <v/>
      </c>
      <c r="IV31" s="251" t="str">
        <f t="shared" si="235"/>
        <v/>
      </c>
      <c r="IW31" s="251" t="str">
        <f t="shared" si="236"/>
        <v/>
      </c>
      <c r="IX31" s="251" t="str">
        <f t="shared" si="237"/>
        <v/>
      </c>
      <c r="IY31" s="251" t="str">
        <f t="shared" si="238"/>
        <v/>
      </c>
      <c r="IZ31" s="251" t="str">
        <f t="shared" si="239"/>
        <v/>
      </c>
      <c r="JA31" s="251" t="str">
        <f t="shared" si="240"/>
        <v/>
      </c>
      <c r="JB31" s="251" t="str">
        <f t="shared" si="241"/>
        <v/>
      </c>
      <c r="JC31" s="251" t="str">
        <f t="shared" si="242"/>
        <v/>
      </c>
      <c r="JD31" s="251" t="str">
        <f t="shared" si="243"/>
        <v/>
      </c>
      <c r="JE31" s="251" t="str">
        <f t="shared" si="244"/>
        <v/>
      </c>
      <c r="JF31" s="251" t="str">
        <f t="shared" si="245"/>
        <v/>
      </c>
      <c r="JG31" s="251" t="str">
        <f t="shared" si="246"/>
        <v/>
      </c>
      <c r="JH31" s="251" t="str">
        <f t="shared" si="247"/>
        <v/>
      </c>
      <c r="JI31" s="1297" t="str">
        <f t="shared" si="248"/>
        <v/>
      </c>
      <c r="JJ31" s="1297" t="str">
        <f t="shared" si="249"/>
        <v/>
      </c>
      <c r="JK31" s="1297">
        <f t="shared" si="250"/>
        <v>13</v>
      </c>
      <c r="JL31" s="1297" t="str">
        <f t="shared" si="251"/>
        <v/>
      </c>
      <c r="JM31" s="1297" t="str">
        <f t="shared" si="252"/>
        <v/>
      </c>
      <c r="JN31" s="1297" t="str">
        <f t="shared" si="253"/>
        <v/>
      </c>
      <c r="JO31" s="1297" t="str">
        <f t="shared" si="254"/>
        <v/>
      </c>
      <c r="JP31" s="1297" t="str">
        <f t="shared" si="255"/>
        <v/>
      </c>
      <c r="JQ31" s="1297" t="str">
        <f t="shared" si="256"/>
        <v/>
      </c>
      <c r="JR31" s="1297" t="str">
        <f t="shared" si="257"/>
        <v/>
      </c>
      <c r="JS31" s="1297" t="str">
        <f t="shared" si="258"/>
        <v/>
      </c>
      <c r="JT31" s="1297" t="str">
        <f t="shared" si="259"/>
        <v/>
      </c>
      <c r="JU31" s="1297" t="str">
        <f t="shared" si="260"/>
        <v/>
      </c>
      <c r="JV31" s="1297" t="str">
        <f t="shared" si="261"/>
        <v/>
      </c>
      <c r="JW31" s="1297" t="str">
        <f t="shared" si="262"/>
        <v/>
      </c>
      <c r="JX31" s="1297" t="str">
        <f t="shared" si="263"/>
        <v/>
      </c>
      <c r="JY31" s="1297" t="str">
        <f t="shared" si="264"/>
        <v/>
      </c>
      <c r="JZ31" s="1297" t="str">
        <f t="shared" si="265"/>
        <v/>
      </c>
      <c r="KA31" s="1297" t="str">
        <f t="shared" si="266"/>
        <v/>
      </c>
      <c r="KB31" s="1297" t="str">
        <f t="shared" si="267"/>
        <v/>
      </c>
      <c r="KC31" s="1297" t="str">
        <f t="shared" si="268"/>
        <v/>
      </c>
      <c r="KD31" s="1297" t="str">
        <f t="shared" si="269"/>
        <v/>
      </c>
      <c r="KE31" s="1297" t="str">
        <f t="shared" si="270"/>
        <v/>
      </c>
      <c r="KF31" s="1297" t="str">
        <f t="shared" si="271"/>
        <v/>
      </c>
      <c r="KG31" s="1297" t="str">
        <f t="shared" si="272"/>
        <v/>
      </c>
      <c r="KH31" s="1297" t="str">
        <f t="shared" si="273"/>
        <v/>
      </c>
      <c r="KI31" s="1297" t="str">
        <f t="shared" si="274"/>
        <v/>
      </c>
      <c r="KJ31" s="1297" t="str">
        <f t="shared" si="275"/>
        <v/>
      </c>
      <c r="KK31" s="1297" t="str">
        <f t="shared" si="276"/>
        <v/>
      </c>
      <c r="KL31" s="1297" t="str">
        <f t="shared" si="277"/>
        <v/>
      </c>
      <c r="KM31" s="1297" t="str">
        <f t="shared" si="278"/>
        <v/>
      </c>
      <c r="KN31" s="1297" t="str">
        <f t="shared" si="279"/>
        <v/>
      </c>
      <c r="KO31" s="1297" t="str">
        <f t="shared" si="280"/>
        <v/>
      </c>
      <c r="KP31" s="1297" t="str">
        <f t="shared" si="281"/>
        <v/>
      </c>
      <c r="KQ31" s="1297" t="str">
        <f t="shared" si="282"/>
        <v/>
      </c>
      <c r="KR31" s="1297" t="str">
        <f t="shared" si="283"/>
        <v/>
      </c>
      <c r="KS31" s="1297" t="str">
        <f t="shared" si="284"/>
        <v/>
      </c>
      <c r="KT31" s="1297" t="str">
        <f t="shared" si="285"/>
        <v/>
      </c>
      <c r="KU31" s="1297" t="str">
        <f t="shared" si="286"/>
        <v/>
      </c>
      <c r="KV31" s="1297" t="str">
        <f t="shared" si="287"/>
        <v/>
      </c>
      <c r="KW31" s="1297" t="str">
        <f t="shared" si="288"/>
        <v/>
      </c>
      <c r="KX31" s="1297" t="str">
        <f t="shared" si="289"/>
        <v/>
      </c>
      <c r="KY31" s="1297" t="str">
        <f t="shared" si="290"/>
        <v/>
      </c>
      <c r="KZ31" s="1297" t="str">
        <f t="shared" si="291"/>
        <v/>
      </c>
      <c r="LA31" s="1297" t="str">
        <f t="shared" si="292"/>
        <v/>
      </c>
      <c r="LB31" s="1297" t="str">
        <f t="shared" si="293"/>
        <v/>
      </c>
      <c r="LC31" s="1297" t="str">
        <f t="shared" si="294"/>
        <v/>
      </c>
      <c r="LD31" s="1297">
        <f t="shared" si="295"/>
        <v>13</v>
      </c>
      <c r="LE31" s="1297" t="str">
        <f t="shared" si="296"/>
        <v/>
      </c>
      <c r="LF31" s="1297" t="str">
        <f t="shared" si="297"/>
        <v/>
      </c>
      <c r="LG31" s="1297" t="str">
        <f t="shared" si="298"/>
        <v/>
      </c>
      <c r="LH31" s="1297" t="str">
        <f t="shared" si="299"/>
        <v/>
      </c>
      <c r="LI31" s="1297" t="str">
        <f t="shared" si="300"/>
        <v/>
      </c>
      <c r="LJ31" s="1297" t="str">
        <f t="shared" si="301"/>
        <v/>
      </c>
      <c r="LK31" s="1297" t="str">
        <f t="shared" si="302"/>
        <v/>
      </c>
      <c r="LL31" s="1297" t="str">
        <f t="shared" si="303"/>
        <v/>
      </c>
      <c r="LM31" s="1297" t="str">
        <f t="shared" si="304"/>
        <v/>
      </c>
      <c r="LN31" s="1297" t="str">
        <f t="shared" si="305"/>
        <v/>
      </c>
      <c r="LO31" s="1297" t="str">
        <f t="shared" si="306"/>
        <v/>
      </c>
      <c r="LP31" s="1297" t="str">
        <f t="shared" si="307"/>
        <v/>
      </c>
      <c r="LQ31" s="1297" t="str">
        <f t="shared" si="308"/>
        <v/>
      </c>
      <c r="LR31" s="1297" t="str">
        <f t="shared" si="309"/>
        <v/>
      </c>
      <c r="LS31" s="1297" t="str">
        <f t="shared" si="310"/>
        <v/>
      </c>
      <c r="LT31" s="1297" t="str">
        <f t="shared" si="311"/>
        <v/>
      </c>
      <c r="LU31" s="1297" t="str">
        <f t="shared" si="312"/>
        <v/>
      </c>
      <c r="LV31" s="1297" t="str">
        <f t="shared" si="313"/>
        <v/>
      </c>
      <c r="LW31" s="1297" t="str">
        <f t="shared" si="314"/>
        <v/>
      </c>
      <c r="LX31" s="1297" t="str">
        <f t="shared" si="315"/>
        <v/>
      </c>
      <c r="LY31" s="1297" t="str">
        <f t="shared" si="316"/>
        <v/>
      </c>
      <c r="LZ31" s="1297" t="str">
        <f t="shared" si="317"/>
        <v/>
      </c>
      <c r="MA31" s="1297" t="str">
        <f t="shared" si="318"/>
        <v/>
      </c>
      <c r="MB31" s="1297" t="str">
        <f t="shared" si="319"/>
        <v/>
      </c>
      <c r="MC31" s="1297" t="str">
        <f t="shared" si="320"/>
        <v/>
      </c>
      <c r="MD31" s="1297" t="str">
        <f t="shared" si="321"/>
        <v/>
      </c>
      <c r="ME31" s="1297" t="str">
        <f t="shared" si="322"/>
        <v/>
      </c>
      <c r="MF31" s="1297" t="str">
        <f t="shared" si="323"/>
        <v/>
      </c>
      <c r="MG31" s="1297" t="str">
        <f t="shared" si="324"/>
        <v/>
      </c>
      <c r="MH31" s="1297" t="str">
        <f t="shared" si="325"/>
        <v/>
      </c>
      <c r="MI31" s="1297" t="str">
        <f t="shared" si="326"/>
        <v/>
      </c>
      <c r="MJ31" s="1297" t="str">
        <f t="shared" si="327"/>
        <v/>
      </c>
      <c r="MK31" s="1297" t="str">
        <f t="shared" si="328"/>
        <v/>
      </c>
      <c r="ML31" s="1297" t="str">
        <f t="shared" si="329"/>
        <v/>
      </c>
      <c r="MM31" s="1297" t="str">
        <f t="shared" si="330"/>
        <v/>
      </c>
      <c r="MN31" s="1297" t="str">
        <f t="shared" si="331"/>
        <v/>
      </c>
      <c r="MO31" s="1297" t="str">
        <f t="shared" si="332"/>
        <v/>
      </c>
      <c r="MP31" s="1773" t="str">
        <f t="shared" si="333"/>
        <v/>
      </c>
      <c r="MQ31" s="1773" t="str">
        <f t="shared" si="334"/>
        <v/>
      </c>
      <c r="MR31" s="1773" t="str">
        <f t="shared" si="335"/>
        <v/>
      </c>
      <c r="MS31" s="1773" t="str">
        <f t="shared" si="336"/>
        <v/>
      </c>
      <c r="MT31" s="1773" t="str">
        <f t="shared" si="337"/>
        <v/>
      </c>
      <c r="MU31" s="251" t="str">
        <f t="shared" si="338"/>
        <v/>
      </c>
      <c r="MV31" s="251" t="str">
        <f t="shared" si="339"/>
        <v/>
      </c>
      <c r="MW31" s="251" t="str">
        <f t="shared" si="340"/>
        <v/>
      </c>
      <c r="MX31" s="251" t="str">
        <f t="shared" si="341"/>
        <v/>
      </c>
      <c r="MY31" s="251" t="str">
        <f t="shared" si="342"/>
        <v/>
      </c>
      <c r="MZ31" s="251" t="str">
        <f t="shared" si="343"/>
        <v/>
      </c>
      <c r="NA31" s="251" t="str">
        <f t="shared" si="344"/>
        <v/>
      </c>
      <c r="NB31" s="251" t="str">
        <f t="shared" si="345"/>
        <v/>
      </c>
      <c r="NC31" s="251" t="str">
        <f t="shared" si="346"/>
        <v/>
      </c>
      <c r="ND31" s="251" t="str">
        <f t="shared" si="347"/>
        <v/>
      </c>
      <c r="NE31" s="251" t="str">
        <f t="shared" si="348"/>
        <v/>
      </c>
      <c r="NF31" s="251" t="str">
        <f t="shared" si="349"/>
        <v/>
      </c>
      <c r="NG31" s="251" t="str">
        <f t="shared" si="350"/>
        <v/>
      </c>
      <c r="NH31" s="251" t="str">
        <f t="shared" si="351"/>
        <v/>
      </c>
      <c r="NI31" s="251" t="str">
        <f t="shared" si="352"/>
        <v/>
      </c>
      <c r="NJ31" s="251" t="str">
        <f t="shared" si="353"/>
        <v/>
      </c>
      <c r="NK31" s="251" t="str">
        <f t="shared" si="354"/>
        <v/>
      </c>
      <c r="NL31" s="251" t="str">
        <f t="shared" si="355"/>
        <v/>
      </c>
      <c r="NM31" s="251" t="str">
        <f t="shared" si="356"/>
        <v/>
      </c>
      <c r="NN31" s="251" t="str">
        <f t="shared" si="357"/>
        <v/>
      </c>
      <c r="NO31" s="1185">
        <f t="shared" si="358"/>
        <v>0</v>
      </c>
      <c r="NP31" s="1185">
        <f t="shared" si="359"/>
        <v>0</v>
      </c>
      <c r="NQ31" s="1185">
        <f t="shared" si="360"/>
        <v>13</v>
      </c>
      <c r="NR31" s="1185">
        <f t="shared" si="361"/>
        <v>0</v>
      </c>
      <c r="NS31" s="1185">
        <f t="shared" si="362"/>
        <v>0</v>
      </c>
      <c r="NT31" s="1185">
        <f t="shared" si="368"/>
        <v>0</v>
      </c>
      <c r="NU31" s="1185">
        <f t="shared" si="369"/>
        <v>0</v>
      </c>
      <c r="NV31" s="1185">
        <f t="shared" si="370"/>
        <v>0</v>
      </c>
      <c r="NW31" s="1185">
        <f t="shared" si="371"/>
        <v>0</v>
      </c>
      <c r="NX31" s="1185">
        <f t="shared" si="372"/>
        <v>0</v>
      </c>
      <c r="NY31" s="1185">
        <f t="shared" si="363"/>
        <v>0</v>
      </c>
      <c r="NZ31" s="1185">
        <f t="shared" si="364"/>
        <v>0</v>
      </c>
      <c r="OA31" s="1185">
        <f t="shared" si="365"/>
        <v>0</v>
      </c>
      <c r="OB31" s="1185">
        <f t="shared" si="366"/>
        <v>0</v>
      </c>
      <c r="OC31" s="1185">
        <f t="shared" si="367"/>
        <v>0</v>
      </c>
      <c r="OY31" s="1794" t="s">
        <v>1179</v>
      </c>
      <c r="OZ31" s="1801">
        <v>31</v>
      </c>
    </row>
    <row r="32" spans="1:416" ht="12" customHeight="1">
      <c r="A32" s="53" t="str">
        <f t="shared" si="0"/>
        <v/>
      </c>
      <c r="B32" s="782">
        <v>60</v>
      </c>
      <c r="C32" s="85">
        <v>3</v>
      </c>
      <c r="D32" s="1187">
        <v>2</v>
      </c>
      <c r="E32" s="86">
        <v>8</v>
      </c>
      <c r="F32" s="86">
        <v>1170</v>
      </c>
      <c r="G32" s="86">
        <v>1284</v>
      </c>
      <c r="H32" s="86">
        <f t="shared" si="375"/>
        <v>1274</v>
      </c>
      <c r="I32" s="86">
        <v>0</v>
      </c>
      <c r="J32" s="765">
        <f>IF(C32="",0,HLOOKUP(C32,'Part IV-Utility Allowances'!$I$11:$M$25,15))</f>
        <v>238</v>
      </c>
      <c r="K32" s="473"/>
      <c r="L32" s="330">
        <f t="shared" si="1"/>
        <v>1036</v>
      </c>
      <c r="M32" s="330">
        <f t="shared" si="2"/>
        <v>8288</v>
      </c>
      <c r="N32" s="506" t="s">
        <v>7474</v>
      </c>
      <c r="O32" s="1134" t="s">
        <v>1259</v>
      </c>
      <c r="P32" s="506" t="s">
        <v>7678</v>
      </c>
      <c r="Q32" s="87" t="s">
        <v>7474</v>
      </c>
      <c r="R32" s="540"/>
      <c r="S32" s="541"/>
      <c r="T32" s="3758"/>
      <c r="U32" s="3759"/>
      <c r="V32" s="3759"/>
      <c r="W32" s="3760"/>
      <c r="X32" s="251" t="str">
        <f t="shared" si="3"/>
        <v/>
      </c>
      <c r="Y32" s="251" t="str">
        <f t="shared" si="4"/>
        <v/>
      </c>
      <c r="Z32" s="251" t="str">
        <f t="shared" si="5"/>
        <v/>
      </c>
      <c r="AA32" s="251" t="str">
        <f t="shared" si="6"/>
        <v/>
      </c>
      <c r="AB32" s="251" t="str">
        <f t="shared" si="7"/>
        <v/>
      </c>
      <c r="AC32" s="251" t="str">
        <f t="shared" si="8"/>
        <v/>
      </c>
      <c r="AD32" s="251" t="str">
        <f t="shared" si="9"/>
        <v/>
      </c>
      <c r="AE32" s="251" t="str">
        <f t="shared" si="10"/>
        <v/>
      </c>
      <c r="AF32" s="251" t="str">
        <f t="shared" si="11"/>
        <v/>
      </c>
      <c r="AG32" s="251" t="str">
        <f t="shared" si="12"/>
        <v/>
      </c>
      <c r="AH32" s="251" t="str">
        <f t="shared" si="13"/>
        <v/>
      </c>
      <c r="AI32" s="251" t="str">
        <f t="shared" si="14"/>
        <v/>
      </c>
      <c r="AJ32" s="251" t="str">
        <f t="shared" si="15"/>
        <v/>
      </c>
      <c r="AK32" s="251">
        <f t="shared" si="16"/>
        <v>8</v>
      </c>
      <c r="AL32" s="251" t="str">
        <f t="shared" si="17"/>
        <v/>
      </c>
      <c r="AM32" s="251" t="str">
        <f t="shared" si="18"/>
        <v/>
      </c>
      <c r="AN32" s="251" t="str">
        <f t="shared" si="19"/>
        <v/>
      </c>
      <c r="AO32" s="251" t="str">
        <f t="shared" si="20"/>
        <v/>
      </c>
      <c r="AP32" s="251" t="str">
        <f t="shared" si="21"/>
        <v/>
      </c>
      <c r="AQ32" s="251" t="str">
        <f t="shared" si="22"/>
        <v/>
      </c>
      <c r="AR32" s="251" t="str">
        <f t="shared" si="23"/>
        <v/>
      </c>
      <c r="AS32" s="251" t="str">
        <f t="shared" si="24"/>
        <v/>
      </c>
      <c r="AT32" s="251" t="str">
        <f t="shared" si="25"/>
        <v/>
      </c>
      <c r="AU32" s="251" t="str">
        <f t="shared" si="26"/>
        <v/>
      </c>
      <c r="AV32" s="251" t="str">
        <f t="shared" si="27"/>
        <v/>
      </c>
      <c r="AW32" s="251" t="str">
        <f t="shared" si="28"/>
        <v/>
      </c>
      <c r="AX32" s="251" t="str">
        <f t="shared" si="29"/>
        <v/>
      </c>
      <c r="AY32" s="251" t="str">
        <f t="shared" si="30"/>
        <v/>
      </c>
      <c r="AZ32" s="251" t="str">
        <f t="shared" si="31"/>
        <v/>
      </c>
      <c r="BA32" s="251" t="str">
        <f t="shared" si="32"/>
        <v/>
      </c>
      <c r="BB32" s="251" t="str">
        <f t="shared" si="33"/>
        <v/>
      </c>
      <c r="BC32" s="251" t="str">
        <f t="shared" si="34"/>
        <v/>
      </c>
      <c r="BD32" s="251" t="str">
        <f t="shared" si="35"/>
        <v/>
      </c>
      <c r="BE32" s="251" t="str">
        <f t="shared" si="36"/>
        <v/>
      </c>
      <c r="BF32" s="251" t="str">
        <f t="shared" si="37"/>
        <v/>
      </c>
      <c r="BG32" s="251" t="str">
        <f t="shared" si="38"/>
        <v/>
      </c>
      <c r="BH32" s="251" t="str">
        <f t="shared" si="39"/>
        <v/>
      </c>
      <c r="BI32" s="251" t="str">
        <f t="shared" si="40"/>
        <v/>
      </c>
      <c r="BJ32" s="251" t="str">
        <f t="shared" si="41"/>
        <v/>
      </c>
      <c r="BK32" s="251" t="str">
        <f t="shared" si="42"/>
        <v/>
      </c>
      <c r="BL32" s="251" t="str">
        <f t="shared" si="43"/>
        <v/>
      </c>
      <c r="BM32" s="251" t="str">
        <f t="shared" si="44"/>
        <v/>
      </c>
      <c r="BN32" s="251" t="str">
        <f t="shared" si="45"/>
        <v/>
      </c>
      <c r="BO32" s="251" t="str">
        <f t="shared" si="46"/>
        <v/>
      </c>
      <c r="BP32" s="251" t="str">
        <f t="shared" si="47"/>
        <v/>
      </c>
      <c r="BQ32" s="251" t="str">
        <f t="shared" si="48"/>
        <v/>
      </c>
      <c r="BR32" s="251" t="str">
        <f t="shared" si="49"/>
        <v/>
      </c>
      <c r="BS32" s="251" t="str">
        <f t="shared" si="50"/>
        <v/>
      </c>
      <c r="BT32" s="251" t="str">
        <f t="shared" si="51"/>
        <v/>
      </c>
      <c r="BU32" s="251" t="str">
        <f t="shared" si="52"/>
        <v/>
      </c>
      <c r="BV32" s="251" t="str">
        <f t="shared" si="53"/>
        <v/>
      </c>
      <c r="BW32" s="251" t="str">
        <f t="shared" si="54"/>
        <v/>
      </c>
      <c r="BX32" s="251" t="str">
        <f t="shared" si="55"/>
        <v/>
      </c>
      <c r="BY32" s="251" t="str">
        <f t="shared" si="56"/>
        <v/>
      </c>
      <c r="BZ32" s="251" t="str">
        <f t="shared" si="57"/>
        <v/>
      </c>
      <c r="CA32" s="251" t="str">
        <f t="shared" si="58"/>
        <v/>
      </c>
      <c r="CB32" s="251" t="str">
        <f t="shared" si="59"/>
        <v/>
      </c>
      <c r="CC32" s="251" t="str">
        <f t="shared" si="60"/>
        <v/>
      </c>
      <c r="CD32" s="251" t="str">
        <f t="shared" si="61"/>
        <v/>
      </c>
      <c r="CE32" s="251" t="str">
        <f t="shared" si="62"/>
        <v/>
      </c>
      <c r="CF32" s="251" t="str">
        <f t="shared" si="63"/>
        <v/>
      </c>
      <c r="CG32" s="251" t="str">
        <f t="shared" si="64"/>
        <v/>
      </c>
      <c r="CH32" s="251" t="str">
        <f t="shared" si="65"/>
        <v/>
      </c>
      <c r="CI32" s="251" t="str">
        <f t="shared" si="66"/>
        <v/>
      </c>
      <c r="CJ32" s="251" t="str">
        <f t="shared" si="67"/>
        <v/>
      </c>
      <c r="CK32" s="251" t="str">
        <f t="shared" si="68"/>
        <v/>
      </c>
      <c r="CL32" s="251" t="str">
        <f t="shared" si="69"/>
        <v/>
      </c>
      <c r="CM32" s="251" t="str">
        <f t="shared" si="70"/>
        <v/>
      </c>
      <c r="CN32" s="251" t="str">
        <f t="shared" si="71"/>
        <v/>
      </c>
      <c r="CO32" s="251" t="str">
        <f t="shared" si="72"/>
        <v/>
      </c>
      <c r="CP32" s="251" t="str">
        <f t="shared" si="73"/>
        <v/>
      </c>
      <c r="CQ32" s="251" t="str">
        <f t="shared" si="74"/>
        <v/>
      </c>
      <c r="CR32" s="251" t="str">
        <f t="shared" si="75"/>
        <v/>
      </c>
      <c r="CS32" s="251" t="str">
        <f t="shared" si="76"/>
        <v/>
      </c>
      <c r="CT32" s="251" t="str">
        <f t="shared" si="77"/>
        <v/>
      </c>
      <c r="CU32" s="251" t="str">
        <f t="shared" si="78"/>
        <v/>
      </c>
      <c r="CV32" s="251" t="str">
        <f t="shared" si="79"/>
        <v/>
      </c>
      <c r="CW32" s="251" t="str">
        <f t="shared" si="80"/>
        <v/>
      </c>
      <c r="CX32" s="251" t="str">
        <f t="shared" si="81"/>
        <v/>
      </c>
      <c r="CY32" s="251" t="str">
        <f t="shared" si="82"/>
        <v/>
      </c>
      <c r="CZ32" s="251" t="str">
        <f t="shared" si="83"/>
        <v/>
      </c>
      <c r="DA32" s="251" t="str">
        <f t="shared" si="84"/>
        <v/>
      </c>
      <c r="DB32" s="251" t="str">
        <f t="shared" si="85"/>
        <v/>
      </c>
      <c r="DC32" s="251" t="str">
        <f t="shared" si="86"/>
        <v/>
      </c>
      <c r="DD32" s="251" t="str">
        <f t="shared" si="87"/>
        <v/>
      </c>
      <c r="DE32" s="251" t="str">
        <f t="shared" si="88"/>
        <v/>
      </c>
      <c r="DF32" s="251" t="str">
        <f t="shared" si="89"/>
        <v/>
      </c>
      <c r="DG32" s="251" t="str">
        <f t="shared" si="90"/>
        <v/>
      </c>
      <c r="DH32" s="251" t="str">
        <f t="shared" si="91"/>
        <v/>
      </c>
      <c r="DI32" s="251" t="str">
        <f t="shared" si="92"/>
        <v/>
      </c>
      <c r="DJ32" s="251" t="str">
        <f t="shared" si="93"/>
        <v/>
      </c>
      <c r="DK32" s="251" t="str">
        <f t="shared" si="94"/>
        <v/>
      </c>
      <c r="DL32" s="251" t="str">
        <f t="shared" si="95"/>
        <v/>
      </c>
      <c r="DM32" s="251" t="str">
        <f t="shared" si="96"/>
        <v/>
      </c>
      <c r="DN32" s="251" t="str">
        <f t="shared" si="97"/>
        <v/>
      </c>
      <c r="DO32" s="251" t="str">
        <f t="shared" si="98"/>
        <v/>
      </c>
      <c r="DP32" s="251" t="str">
        <f t="shared" si="99"/>
        <v/>
      </c>
      <c r="DQ32" s="251" t="str">
        <f t="shared" si="100"/>
        <v/>
      </c>
      <c r="DR32" s="251" t="str">
        <f t="shared" si="101"/>
        <v/>
      </c>
      <c r="DS32" s="251" t="str">
        <f t="shared" si="102"/>
        <v/>
      </c>
      <c r="DT32" s="251" t="str">
        <f t="shared" si="103"/>
        <v/>
      </c>
      <c r="DU32" s="251" t="str">
        <f t="shared" si="104"/>
        <v/>
      </c>
      <c r="DV32" s="251" t="str">
        <f t="shared" si="105"/>
        <v/>
      </c>
      <c r="DW32" s="251" t="str">
        <f t="shared" si="106"/>
        <v/>
      </c>
      <c r="DX32" s="251" t="str">
        <f t="shared" si="107"/>
        <v/>
      </c>
      <c r="DY32" s="251" t="str">
        <f t="shared" si="108"/>
        <v/>
      </c>
      <c r="DZ32" s="251" t="str">
        <f t="shared" si="109"/>
        <v/>
      </c>
      <c r="EA32" s="251" t="str">
        <f t="shared" si="110"/>
        <v/>
      </c>
      <c r="EB32" s="251" t="str">
        <f t="shared" si="111"/>
        <v/>
      </c>
      <c r="EC32" s="251" t="str">
        <f t="shared" si="112"/>
        <v/>
      </c>
      <c r="ED32" s="251" t="str">
        <f t="shared" si="113"/>
        <v/>
      </c>
      <c r="EE32" s="251" t="str">
        <f t="shared" si="114"/>
        <v/>
      </c>
      <c r="EF32" s="251" t="str">
        <f t="shared" si="115"/>
        <v/>
      </c>
      <c r="EG32" s="251" t="str">
        <f t="shared" si="116"/>
        <v/>
      </c>
      <c r="EH32" s="251" t="str">
        <f t="shared" si="117"/>
        <v/>
      </c>
      <c r="EI32" s="251" t="str">
        <f t="shared" si="118"/>
        <v/>
      </c>
      <c r="EJ32" s="251" t="str">
        <f t="shared" si="119"/>
        <v/>
      </c>
      <c r="EK32" s="251" t="str">
        <f t="shared" si="120"/>
        <v/>
      </c>
      <c r="EL32" s="251" t="str">
        <f t="shared" si="121"/>
        <v/>
      </c>
      <c r="EM32" s="251" t="str">
        <f t="shared" si="122"/>
        <v/>
      </c>
      <c r="EN32" s="251" t="str">
        <f t="shared" si="123"/>
        <v/>
      </c>
      <c r="EO32" s="251" t="str">
        <f t="shared" si="124"/>
        <v/>
      </c>
      <c r="EP32" s="251" t="str">
        <f t="shared" si="125"/>
        <v/>
      </c>
      <c r="EQ32" s="251" t="str">
        <f t="shared" si="126"/>
        <v/>
      </c>
      <c r="ER32" s="251" t="str">
        <f t="shared" si="127"/>
        <v/>
      </c>
      <c r="ES32" s="251" t="str">
        <f t="shared" si="128"/>
        <v/>
      </c>
      <c r="ET32" s="251" t="str">
        <f t="shared" si="129"/>
        <v/>
      </c>
      <c r="EU32" s="251" t="str">
        <f t="shared" si="130"/>
        <v/>
      </c>
      <c r="EV32" s="251" t="str">
        <f t="shared" si="131"/>
        <v/>
      </c>
      <c r="EW32" s="251" t="str">
        <f t="shared" si="132"/>
        <v/>
      </c>
      <c r="EX32" s="251" t="str">
        <f t="shared" si="133"/>
        <v/>
      </c>
      <c r="EY32" s="251" t="str">
        <f t="shared" si="134"/>
        <v/>
      </c>
      <c r="EZ32" s="251" t="str">
        <f t="shared" si="135"/>
        <v/>
      </c>
      <c r="FA32" s="251" t="str">
        <f t="shared" si="136"/>
        <v/>
      </c>
      <c r="FB32" s="251" t="str">
        <f t="shared" si="137"/>
        <v/>
      </c>
      <c r="FC32" s="251" t="str">
        <f t="shared" si="138"/>
        <v/>
      </c>
      <c r="FD32" s="251" t="str">
        <f t="shared" si="139"/>
        <v/>
      </c>
      <c r="FE32" s="251" t="str">
        <f t="shared" si="140"/>
        <v/>
      </c>
      <c r="FF32" s="251" t="str">
        <f t="shared" si="141"/>
        <v/>
      </c>
      <c r="FG32" s="251" t="str">
        <f t="shared" si="142"/>
        <v/>
      </c>
      <c r="FH32" s="251" t="str">
        <f t="shared" si="143"/>
        <v/>
      </c>
      <c r="FI32" s="251" t="str">
        <f t="shared" si="144"/>
        <v/>
      </c>
      <c r="FJ32" s="251" t="str">
        <f t="shared" si="145"/>
        <v/>
      </c>
      <c r="FK32" s="251" t="str">
        <f t="shared" si="146"/>
        <v/>
      </c>
      <c r="FL32" s="251" t="str">
        <f t="shared" si="147"/>
        <v/>
      </c>
      <c r="FM32" s="251" t="str">
        <f t="shared" si="148"/>
        <v/>
      </c>
      <c r="FN32" s="251" t="str">
        <f t="shared" si="149"/>
        <v/>
      </c>
      <c r="FO32" s="251" t="str">
        <f t="shared" si="150"/>
        <v/>
      </c>
      <c r="FP32" s="251" t="str">
        <f t="shared" si="151"/>
        <v/>
      </c>
      <c r="FQ32" s="251" t="str">
        <f t="shared" si="152"/>
        <v/>
      </c>
      <c r="FR32" s="251" t="str">
        <f t="shared" si="153"/>
        <v/>
      </c>
      <c r="FS32" s="251" t="str">
        <f t="shared" si="154"/>
        <v/>
      </c>
      <c r="FT32" s="251" t="str">
        <f t="shared" si="155"/>
        <v/>
      </c>
      <c r="FU32" s="251" t="str">
        <f t="shared" si="156"/>
        <v/>
      </c>
      <c r="FV32" s="251" t="str">
        <f t="shared" si="157"/>
        <v/>
      </c>
      <c r="FW32" s="251" t="str">
        <f t="shared" si="158"/>
        <v/>
      </c>
      <c r="FX32" s="251" t="str">
        <f t="shared" si="159"/>
        <v/>
      </c>
      <c r="FY32" s="251" t="str">
        <f t="shared" si="160"/>
        <v/>
      </c>
      <c r="FZ32" s="251" t="str">
        <f t="shared" si="161"/>
        <v/>
      </c>
      <c r="GA32" s="251" t="str">
        <f t="shared" si="162"/>
        <v/>
      </c>
      <c r="GB32" s="251" t="str">
        <f t="shared" si="163"/>
        <v/>
      </c>
      <c r="GC32" s="251" t="str">
        <f t="shared" si="164"/>
        <v/>
      </c>
      <c r="GD32" s="251" t="str">
        <f t="shared" si="165"/>
        <v/>
      </c>
      <c r="GE32" s="251">
        <f t="shared" si="166"/>
        <v>9360</v>
      </c>
      <c r="GF32" s="251" t="str">
        <f t="shared" si="167"/>
        <v/>
      </c>
      <c r="GG32" s="251" t="str">
        <f t="shared" si="168"/>
        <v/>
      </c>
      <c r="GH32" s="251" t="str">
        <f t="shared" si="169"/>
        <v/>
      </c>
      <c r="GI32" s="251" t="str">
        <f t="shared" si="170"/>
        <v/>
      </c>
      <c r="GJ32" s="251" t="str">
        <f t="shared" si="171"/>
        <v/>
      </c>
      <c r="GK32" s="251" t="str">
        <f t="shared" si="172"/>
        <v/>
      </c>
      <c r="GL32" s="251" t="str">
        <f t="shared" si="173"/>
        <v/>
      </c>
      <c r="GM32" s="251" t="str">
        <f t="shared" si="174"/>
        <v/>
      </c>
      <c r="GN32" s="251" t="str">
        <f t="shared" si="175"/>
        <v/>
      </c>
      <c r="GO32" s="251" t="str">
        <f t="shared" si="176"/>
        <v/>
      </c>
      <c r="GP32" s="251" t="str">
        <f t="shared" si="177"/>
        <v/>
      </c>
      <c r="GQ32" s="251" t="str">
        <f t="shared" si="178"/>
        <v/>
      </c>
      <c r="GR32" s="251" t="str">
        <f t="shared" si="179"/>
        <v/>
      </c>
      <c r="GS32" s="251" t="str">
        <f t="shared" si="180"/>
        <v/>
      </c>
      <c r="GT32" s="251" t="str">
        <f t="shared" si="181"/>
        <v/>
      </c>
      <c r="GU32" s="251" t="str">
        <f t="shared" si="182"/>
        <v/>
      </c>
      <c r="GV32" s="251" t="str">
        <f t="shared" si="183"/>
        <v/>
      </c>
      <c r="GW32" s="251" t="str">
        <f t="shared" si="184"/>
        <v/>
      </c>
      <c r="GX32" s="251" t="str">
        <f t="shared" si="185"/>
        <v/>
      </c>
      <c r="GY32" s="251" t="str">
        <f t="shared" si="186"/>
        <v/>
      </c>
      <c r="GZ32" s="251" t="str">
        <f t="shared" si="187"/>
        <v/>
      </c>
      <c r="HA32" s="251" t="str">
        <f t="shared" si="188"/>
        <v/>
      </c>
      <c r="HB32" s="251" t="str">
        <f t="shared" si="189"/>
        <v/>
      </c>
      <c r="HC32" s="251" t="str">
        <f t="shared" si="190"/>
        <v/>
      </c>
      <c r="HD32" s="251" t="str">
        <f t="shared" si="191"/>
        <v/>
      </c>
      <c r="HE32" s="251" t="str">
        <f t="shared" si="192"/>
        <v/>
      </c>
      <c r="HF32" s="251" t="str">
        <f t="shared" si="193"/>
        <v/>
      </c>
      <c r="HG32" s="251" t="str">
        <f t="shared" si="194"/>
        <v/>
      </c>
      <c r="HH32" s="251" t="str">
        <f t="shared" si="195"/>
        <v/>
      </c>
      <c r="HI32" s="251" t="str">
        <f t="shared" si="196"/>
        <v/>
      </c>
      <c r="HJ32" s="251" t="str">
        <f t="shared" si="197"/>
        <v/>
      </c>
      <c r="HK32" s="251" t="str">
        <f t="shared" si="198"/>
        <v/>
      </c>
      <c r="HL32" s="251" t="str">
        <f t="shared" si="199"/>
        <v/>
      </c>
      <c r="HM32" s="251" t="str">
        <f t="shared" si="200"/>
        <v/>
      </c>
      <c r="HN32" s="251" t="str">
        <f t="shared" si="201"/>
        <v/>
      </c>
      <c r="HO32" s="251" t="str">
        <f t="shared" si="202"/>
        <v/>
      </c>
      <c r="HP32" s="251" t="str">
        <f t="shared" si="203"/>
        <v/>
      </c>
      <c r="HQ32" s="251" t="str">
        <f t="shared" si="204"/>
        <v/>
      </c>
      <c r="HR32" s="251" t="str">
        <f t="shared" si="205"/>
        <v/>
      </c>
      <c r="HS32" s="251" t="str">
        <f t="shared" si="206"/>
        <v/>
      </c>
      <c r="HT32" s="251" t="str">
        <f t="shared" si="207"/>
        <v/>
      </c>
      <c r="HU32" s="251" t="str">
        <f t="shared" si="208"/>
        <v/>
      </c>
      <c r="HV32" s="251" t="str">
        <f t="shared" si="209"/>
        <v/>
      </c>
      <c r="HW32" s="251" t="str">
        <f t="shared" si="210"/>
        <v/>
      </c>
      <c r="HX32" s="251" t="str">
        <f t="shared" si="211"/>
        <v/>
      </c>
      <c r="HY32" s="251" t="str">
        <f t="shared" si="212"/>
        <v/>
      </c>
      <c r="HZ32" s="251" t="str">
        <f t="shared" si="213"/>
        <v/>
      </c>
      <c r="IA32" s="251" t="str">
        <f t="shared" si="214"/>
        <v/>
      </c>
      <c r="IB32" s="251" t="str">
        <f t="shared" si="215"/>
        <v/>
      </c>
      <c r="IC32" s="251" t="str">
        <f t="shared" si="216"/>
        <v/>
      </c>
      <c r="ID32" s="251" t="str">
        <f t="shared" si="217"/>
        <v/>
      </c>
      <c r="IE32" s="251" t="str">
        <f t="shared" si="218"/>
        <v/>
      </c>
      <c r="IF32" s="251" t="str">
        <f t="shared" si="219"/>
        <v/>
      </c>
      <c r="IG32" s="251" t="str">
        <f t="shared" si="220"/>
        <v/>
      </c>
      <c r="IH32" s="251">
        <f t="shared" si="221"/>
        <v>8</v>
      </c>
      <c r="II32" s="251" t="str">
        <f t="shared" si="222"/>
        <v/>
      </c>
      <c r="IJ32" s="251" t="str">
        <f t="shared" si="223"/>
        <v/>
      </c>
      <c r="IK32" s="251" t="str">
        <f t="shared" si="224"/>
        <v/>
      </c>
      <c r="IL32" s="251" t="str">
        <f t="shared" si="225"/>
        <v/>
      </c>
      <c r="IM32" s="251" t="str">
        <f t="shared" si="226"/>
        <v/>
      </c>
      <c r="IN32" s="251" t="str">
        <f t="shared" si="227"/>
        <v/>
      </c>
      <c r="IO32" s="251" t="str">
        <f t="shared" si="228"/>
        <v/>
      </c>
      <c r="IP32" s="251" t="str">
        <f t="shared" si="229"/>
        <v/>
      </c>
      <c r="IQ32" s="251" t="str">
        <f t="shared" si="230"/>
        <v/>
      </c>
      <c r="IR32" s="251" t="str">
        <f t="shared" si="231"/>
        <v/>
      </c>
      <c r="IS32" s="251" t="str">
        <f t="shared" si="232"/>
        <v/>
      </c>
      <c r="IT32" s="251" t="str">
        <f t="shared" si="233"/>
        <v/>
      </c>
      <c r="IU32" s="251" t="str">
        <f t="shared" si="234"/>
        <v/>
      </c>
      <c r="IV32" s="251" t="str">
        <f t="shared" si="235"/>
        <v/>
      </c>
      <c r="IW32" s="251" t="str">
        <f t="shared" si="236"/>
        <v/>
      </c>
      <c r="IX32" s="251" t="str">
        <f t="shared" si="237"/>
        <v/>
      </c>
      <c r="IY32" s="251" t="str">
        <f t="shared" si="238"/>
        <v/>
      </c>
      <c r="IZ32" s="251" t="str">
        <f t="shared" si="239"/>
        <v/>
      </c>
      <c r="JA32" s="251" t="str">
        <f t="shared" si="240"/>
        <v/>
      </c>
      <c r="JB32" s="251" t="str">
        <f t="shared" si="241"/>
        <v/>
      </c>
      <c r="JC32" s="251" t="str">
        <f t="shared" si="242"/>
        <v/>
      </c>
      <c r="JD32" s="251" t="str">
        <f t="shared" si="243"/>
        <v/>
      </c>
      <c r="JE32" s="251" t="str">
        <f t="shared" si="244"/>
        <v/>
      </c>
      <c r="JF32" s="251" t="str">
        <f t="shared" si="245"/>
        <v/>
      </c>
      <c r="JG32" s="251" t="str">
        <f t="shared" si="246"/>
        <v/>
      </c>
      <c r="JH32" s="251" t="str">
        <f t="shared" si="247"/>
        <v/>
      </c>
      <c r="JI32" s="1297" t="str">
        <f t="shared" si="248"/>
        <v/>
      </c>
      <c r="JJ32" s="1297" t="str">
        <f t="shared" si="249"/>
        <v/>
      </c>
      <c r="JK32" s="1297" t="str">
        <f t="shared" si="250"/>
        <v/>
      </c>
      <c r="JL32" s="1297">
        <f t="shared" si="251"/>
        <v>8</v>
      </c>
      <c r="JM32" s="1297" t="str">
        <f t="shared" si="252"/>
        <v/>
      </c>
      <c r="JN32" s="1297" t="str">
        <f t="shared" si="253"/>
        <v/>
      </c>
      <c r="JO32" s="1297" t="str">
        <f t="shared" si="254"/>
        <v/>
      </c>
      <c r="JP32" s="1297" t="str">
        <f t="shared" si="255"/>
        <v/>
      </c>
      <c r="JQ32" s="1297" t="str">
        <f t="shared" si="256"/>
        <v/>
      </c>
      <c r="JR32" s="1297" t="str">
        <f t="shared" si="257"/>
        <v/>
      </c>
      <c r="JS32" s="1297" t="str">
        <f t="shared" si="258"/>
        <v/>
      </c>
      <c r="JT32" s="1297" t="str">
        <f t="shared" si="259"/>
        <v/>
      </c>
      <c r="JU32" s="1297" t="str">
        <f t="shared" si="260"/>
        <v/>
      </c>
      <c r="JV32" s="1297" t="str">
        <f t="shared" si="261"/>
        <v/>
      </c>
      <c r="JW32" s="1297" t="str">
        <f t="shared" si="262"/>
        <v/>
      </c>
      <c r="JX32" s="1297" t="str">
        <f t="shared" si="263"/>
        <v/>
      </c>
      <c r="JY32" s="1297" t="str">
        <f t="shared" si="264"/>
        <v/>
      </c>
      <c r="JZ32" s="1297" t="str">
        <f t="shared" si="265"/>
        <v/>
      </c>
      <c r="KA32" s="1297" t="str">
        <f t="shared" si="266"/>
        <v/>
      </c>
      <c r="KB32" s="1297" t="str">
        <f t="shared" si="267"/>
        <v/>
      </c>
      <c r="KC32" s="1297" t="str">
        <f t="shared" si="268"/>
        <v/>
      </c>
      <c r="KD32" s="1297" t="str">
        <f t="shared" si="269"/>
        <v/>
      </c>
      <c r="KE32" s="1297" t="str">
        <f t="shared" si="270"/>
        <v/>
      </c>
      <c r="KF32" s="1297" t="str">
        <f t="shared" si="271"/>
        <v/>
      </c>
      <c r="KG32" s="1297" t="str">
        <f t="shared" si="272"/>
        <v/>
      </c>
      <c r="KH32" s="1297" t="str">
        <f t="shared" si="273"/>
        <v/>
      </c>
      <c r="KI32" s="1297" t="str">
        <f t="shared" si="274"/>
        <v/>
      </c>
      <c r="KJ32" s="1297" t="str">
        <f t="shared" si="275"/>
        <v/>
      </c>
      <c r="KK32" s="1297" t="str">
        <f t="shared" si="276"/>
        <v/>
      </c>
      <c r="KL32" s="1297" t="str">
        <f t="shared" si="277"/>
        <v/>
      </c>
      <c r="KM32" s="1297" t="str">
        <f t="shared" si="278"/>
        <v/>
      </c>
      <c r="KN32" s="1297" t="str">
        <f t="shared" si="279"/>
        <v/>
      </c>
      <c r="KO32" s="1297" t="str">
        <f t="shared" si="280"/>
        <v/>
      </c>
      <c r="KP32" s="1297" t="str">
        <f t="shared" si="281"/>
        <v/>
      </c>
      <c r="KQ32" s="1297" t="str">
        <f t="shared" si="282"/>
        <v/>
      </c>
      <c r="KR32" s="1297" t="str">
        <f t="shared" si="283"/>
        <v/>
      </c>
      <c r="KS32" s="1297" t="str">
        <f t="shared" si="284"/>
        <v/>
      </c>
      <c r="KT32" s="1297" t="str">
        <f t="shared" si="285"/>
        <v/>
      </c>
      <c r="KU32" s="1297" t="str">
        <f t="shared" si="286"/>
        <v/>
      </c>
      <c r="KV32" s="1297" t="str">
        <f t="shared" si="287"/>
        <v/>
      </c>
      <c r="KW32" s="1297" t="str">
        <f t="shared" si="288"/>
        <v/>
      </c>
      <c r="KX32" s="1297" t="str">
        <f t="shared" si="289"/>
        <v/>
      </c>
      <c r="KY32" s="1297" t="str">
        <f t="shared" si="290"/>
        <v/>
      </c>
      <c r="KZ32" s="1297" t="str">
        <f t="shared" si="291"/>
        <v/>
      </c>
      <c r="LA32" s="1297" t="str">
        <f t="shared" si="292"/>
        <v/>
      </c>
      <c r="LB32" s="1297" t="str">
        <f t="shared" si="293"/>
        <v/>
      </c>
      <c r="LC32" s="1297" t="str">
        <f t="shared" si="294"/>
        <v/>
      </c>
      <c r="LD32" s="1297" t="str">
        <f t="shared" si="295"/>
        <v/>
      </c>
      <c r="LE32" s="1297">
        <f t="shared" si="296"/>
        <v>8</v>
      </c>
      <c r="LF32" s="1297" t="str">
        <f t="shared" si="297"/>
        <v/>
      </c>
      <c r="LG32" s="1297" t="str">
        <f t="shared" si="298"/>
        <v/>
      </c>
      <c r="LH32" s="1297" t="str">
        <f t="shared" si="299"/>
        <v/>
      </c>
      <c r="LI32" s="1297" t="str">
        <f t="shared" si="300"/>
        <v/>
      </c>
      <c r="LJ32" s="1297" t="str">
        <f t="shared" si="301"/>
        <v/>
      </c>
      <c r="LK32" s="1297" t="str">
        <f t="shared" si="302"/>
        <v/>
      </c>
      <c r="LL32" s="1297" t="str">
        <f t="shared" si="303"/>
        <v/>
      </c>
      <c r="LM32" s="1297" t="str">
        <f t="shared" si="304"/>
        <v/>
      </c>
      <c r="LN32" s="1297" t="str">
        <f t="shared" si="305"/>
        <v/>
      </c>
      <c r="LO32" s="1297" t="str">
        <f t="shared" si="306"/>
        <v/>
      </c>
      <c r="LP32" s="1297" t="str">
        <f t="shared" si="307"/>
        <v/>
      </c>
      <c r="LQ32" s="1297" t="str">
        <f t="shared" si="308"/>
        <v/>
      </c>
      <c r="LR32" s="1297" t="str">
        <f t="shared" si="309"/>
        <v/>
      </c>
      <c r="LS32" s="1297" t="str">
        <f t="shared" si="310"/>
        <v/>
      </c>
      <c r="LT32" s="1297" t="str">
        <f t="shared" si="311"/>
        <v/>
      </c>
      <c r="LU32" s="1297" t="str">
        <f t="shared" si="312"/>
        <v/>
      </c>
      <c r="LV32" s="1297" t="str">
        <f t="shared" si="313"/>
        <v/>
      </c>
      <c r="LW32" s="1297" t="str">
        <f t="shared" si="314"/>
        <v/>
      </c>
      <c r="LX32" s="1297" t="str">
        <f t="shared" si="315"/>
        <v/>
      </c>
      <c r="LY32" s="1297" t="str">
        <f t="shared" si="316"/>
        <v/>
      </c>
      <c r="LZ32" s="1297" t="str">
        <f t="shared" si="317"/>
        <v/>
      </c>
      <c r="MA32" s="1297" t="str">
        <f t="shared" si="318"/>
        <v/>
      </c>
      <c r="MB32" s="1297" t="str">
        <f t="shared" si="319"/>
        <v/>
      </c>
      <c r="MC32" s="1297" t="str">
        <f t="shared" si="320"/>
        <v/>
      </c>
      <c r="MD32" s="1297" t="str">
        <f t="shared" si="321"/>
        <v/>
      </c>
      <c r="ME32" s="1297" t="str">
        <f t="shared" si="322"/>
        <v/>
      </c>
      <c r="MF32" s="1297" t="str">
        <f t="shared" si="323"/>
        <v/>
      </c>
      <c r="MG32" s="1297" t="str">
        <f t="shared" si="324"/>
        <v/>
      </c>
      <c r="MH32" s="1297" t="str">
        <f t="shared" si="325"/>
        <v/>
      </c>
      <c r="MI32" s="1297" t="str">
        <f t="shared" si="326"/>
        <v/>
      </c>
      <c r="MJ32" s="1297" t="str">
        <f t="shared" si="327"/>
        <v/>
      </c>
      <c r="MK32" s="1297" t="str">
        <f t="shared" si="328"/>
        <v/>
      </c>
      <c r="ML32" s="1297" t="str">
        <f t="shared" si="329"/>
        <v/>
      </c>
      <c r="MM32" s="1297" t="str">
        <f t="shared" si="330"/>
        <v/>
      </c>
      <c r="MN32" s="1297" t="str">
        <f t="shared" si="331"/>
        <v/>
      </c>
      <c r="MO32" s="1297" t="str">
        <f t="shared" si="332"/>
        <v/>
      </c>
      <c r="MP32" s="1773" t="str">
        <f t="shared" si="333"/>
        <v/>
      </c>
      <c r="MQ32" s="1773" t="str">
        <f t="shared" si="334"/>
        <v/>
      </c>
      <c r="MR32" s="1773" t="str">
        <f t="shared" si="335"/>
        <v/>
      </c>
      <c r="MS32" s="1773" t="str">
        <f t="shared" si="336"/>
        <v/>
      </c>
      <c r="MT32" s="1773" t="str">
        <f t="shared" si="337"/>
        <v/>
      </c>
      <c r="MU32" s="251" t="str">
        <f t="shared" si="338"/>
        <v/>
      </c>
      <c r="MV32" s="251" t="str">
        <f t="shared" si="339"/>
        <v/>
      </c>
      <c r="MW32" s="251" t="str">
        <f t="shared" si="340"/>
        <v/>
      </c>
      <c r="MX32" s="251" t="str">
        <f t="shared" si="341"/>
        <v/>
      </c>
      <c r="MY32" s="251" t="str">
        <f t="shared" si="342"/>
        <v/>
      </c>
      <c r="MZ32" s="251" t="str">
        <f t="shared" si="343"/>
        <v/>
      </c>
      <c r="NA32" s="251" t="str">
        <f t="shared" si="344"/>
        <v/>
      </c>
      <c r="NB32" s="251" t="str">
        <f t="shared" si="345"/>
        <v/>
      </c>
      <c r="NC32" s="251" t="str">
        <f t="shared" si="346"/>
        <v/>
      </c>
      <c r="ND32" s="251" t="str">
        <f t="shared" si="347"/>
        <v/>
      </c>
      <c r="NE32" s="251" t="str">
        <f t="shared" si="348"/>
        <v/>
      </c>
      <c r="NF32" s="251" t="str">
        <f t="shared" si="349"/>
        <v/>
      </c>
      <c r="NG32" s="251" t="str">
        <f t="shared" si="350"/>
        <v/>
      </c>
      <c r="NH32" s="251" t="str">
        <f t="shared" si="351"/>
        <v/>
      </c>
      <c r="NI32" s="251" t="str">
        <f t="shared" si="352"/>
        <v/>
      </c>
      <c r="NJ32" s="251" t="str">
        <f t="shared" si="353"/>
        <v/>
      </c>
      <c r="NK32" s="251" t="str">
        <f t="shared" si="354"/>
        <v/>
      </c>
      <c r="NL32" s="251" t="str">
        <f t="shared" si="355"/>
        <v/>
      </c>
      <c r="NM32" s="251" t="str">
        <f t="shared" si="356"/>
        <v/>
      </c>
      <c r="NN32" s="251" t="str">
        <f t="shared" si="357"/>
        <v/>
      </c>
      <c r="NO32" s="1185">
        <f t="shared" si="358"/>
        <v>0</v>
      </c>
      <c r="NP32" s="1185">
        <f t="shared" si="359"/>
        <v>0</v>
      </c>
      <c r="NQ32" s="1185">
        <f t="shared" si="360"/>
        <v>0</v>
      </c>
      <c r="NR32" s="1185">
        <f t="shared" si="361"/>
        <v>8</v>
      </c>
      <c r="NS32" s="1185">
        <f t="shared" si="362"/>
        <v>0</v>
      </c>
      <c r="NT32" s="1185">
        <f t="shared" si="368"/>
        <v>0</v>
      </c>
      <c r="NU32" s="1185">
        <f t="shared" si="369"/>
        <v>0</v>
      </c>
      <c r="NV32" s="1185">
        <f t="shared" si="370"/>
        <v>0</v>
      </c>
      <c r="NW32" s="1185">
        <f t="shared" si="371"/>
        <v>0</v>
      </c>
      <c r="NX32" s="1185">
        <f t="shared" si="372"/>
        <v>0</v>
      </c>
      <c r="NY32" s="1185">
        <f t="shared" si="363"/>
        <v>0</v>
      </c>
      <c r="NZ32" s="1185">
        <f t="shared" si="364"/>
        <v>0</v>
      </c>
      <c r="OA32" s="1185">
        <f t="shared" si="365"/>
        <v>0</v>
      </c>
      <c r="OB32" s="1185">
        <f t="shared" si="366"/>
        <v>0</v>
      </c>
      <c r="OC32" s="1185">
        <f t="shared" si="367"/>
        <v>0</v>
      </c>
      <c r="OY32" s="1794" t="s">
        <v>1180</v>
      </c>
      <c r="OZ32" s="1799">
        <v>32</v>
      </c>
    </row>
    <row r="33" spans="1:416" ht="12" customHeight="1">
      <c r="A33" s="53" t="str">
        <f t="shared" si="0"/>
        <v/>
      </c>
      <c r="B33" s="782"/>
      <c r="C33" s="85"/>
      <c r="D33" s="1187"/>
      <c r="E33" s="86"/>
      <c r="F33" s="86"/>
      <c r="G33" s="86"/>
      <c r="H33" s="86"/>
      <c r="I33" s="86"/>
      <c r="J33" s="765">
        <f>IF(C33="",0,HLOOKUP(C33,'Part IV-Utility Allowances'!$I$11:$M$25,15))</f>
        <v>0</v>
      </c>
      <c r="K33" s="473"/>
      <c r="L33" s="330">
        <f t="shared" si="1"/>
        <v>0</v>
      </c>
      <c r="M33" s="330">
        <f t="shared" si="2"/>
        <v>0</v>
      </c>
      <c r="N33" s="506"/>
      <c r="O33" s="1134"/>
      <c r="P33" s="506"/>
      <c r="Q33" s="87"/>
      <c r="R33" s="540"/>
      <c r="S33" s="541"/>
      <c r="T33" s="3758"/>
      <c r="U33" s="3759"/>
      <c r="V33" s="3759"/>
      <c r="W33" s="3760"/>
      <c r="X33" s="251" t="str">
        <f t="shared" si="3"/>
        <v/>
      </c>
      <c r="Y33" s="251" t="str">
        <f t="shared" si="4"/>
        <v/>
      </c>
      <c r="Z33" s="251" t="str">
        <f t="shared" si="5"/>
        <v/>
      </c>
      <c r="AA33" s="251" t="str">
        <f t="shared" si="6"/>
        <v/>
      </c>
      <c r="AB33" s="251" t="str">
        <f t="shared" si="7"/>
        <v/>
      </c>
      <c r="AC33" s="251" t="str">
        <f t="shared" si="8"/>
        <v/>
      </c>
      <c r="AD33" s="251" t="str">
        <f t="shared" si="9"/>
        <v/>
      </c>
      <c r="AE33" s="251" t="str">
        <f t="shared" si="10"/>
        <v/>
      </c>
      <c r="AF33" s="251" t="str">
        <f t="shared" si="11"/>
        <v/>
      </c>
      <c r="AG33" s="251" t="str">
        <f t="shared" si="12"/>
        <v/>
      </c>
      <c r="AH33" s="251" t="str">
        <f t="shared" si="13"/>
        <v/>
      </c>
      <c r="AI33" s="251" t="str">
        <f t="shared" si="14"/>
        <v/>
      </c>
      <c r="AJ33" s="251" t="str">
        <f t="shared" si="15"/>
        <v/>
      </c>
      <c r="AK33" s="251" t="str">
        <f t="shared" si="16"/>
        <v/>
      </c>
      <c r="AL33" s="251" t="str">
        <f t="shared" si="17"/>
        <v/>
      </c>
      <c r="AM33" s="251" t="str">
        <f t="shared" si="18"/>
        <v/>
      </c>
      <c r="AN33" s="251" t="str">
        <f t="shared" si="19"/>
        <v/>
      </c>
      <c r="AO33" s="251" t="str">
        <f t="shared" si="20"/>
        <v/>
      </c>
      <c r="AP33" s="251" t="str">
        <f t="shared" si="21"/>
        <v/>
      </c>
      <c r="AQ33" s="251" t="str">
        <f t="shared" si="22"/>
        <v/>
      </c>
      <c r="AR33" s="251" t="str">
        <f t="shared" si="23"/>
        <v/>
      </c>
      <c r="AS33" s="251" t="str">
        <f t="shared" si="24"/>
        <v/>
      </c>
      <c r="AT33" s="251" t="str">
        <f t="shared" si="25"/>
        <v/>
      </c>
      <c r="AU33" s="251" t="str">
        <f t="shared" si="26"/>
        <v/>
      </c>
      <c r="AV33" s="251" t="str">
        <f t="shared" si="27"/>
        <v/>
      </c>
      <c r="AW33" s="251" t="str">
        <f t="shared" si="28"/>
        <v/>
      </c>
      <c r="AX33" s="251" t="str">
        <f t="shared" si="29"/>
        <v/>
      </c>
      <c r="AY33" s="251" t="str">
        <f t="shared" si="30"/>
        <v/>
      </c>
      <c r="AZ33" s="251" t="str">
        <f t="shared" si="31"/>
        <v/>
      </c>
      <c r="BA33" s="251" t="str">
        <f t="shared" si="32"/>
        <v/>
      </c>
      <c r="BB33" s="251" t="str">
        <f t="shared" si="33"/>
        <v/>
      </c>
      <c r="BC33" s="251" t="str">
        <f t="shared" si="34"/>
        <v/>
      </c>
      <c r="BD33" s="251" t="str">
        <f t="shared" si="35"/>
        <v/>
      </c>
      <c r="BE33" s="251" t="str">
        <f t="shared" si="36"/>
        <v/>
      </c>
      <c r="BF33" s="251" t="str">
        <f t="shared" si="37"/>
        <v/>
      </c>
      <c r="BG33" s="251" t="str">
        <f t="shared" si="38"/>
        <v/>
      </c>
      <c r="BH33" s="251" t="str">
        <f t="shared" si="39"/>
        <v/>
      </c>
      <c r="BI33" s="251" t="str">
        <f t="shared" si="40"/>
        <v/>
      </c>
      <c r="BJ33" s="251" t="str">
        <f t="shared" si="41"/>
        <v/>
      </c>
      <c r="BK33" s="251" t="str">
        <f t="shared" si="42"/>
        <v/>
      </c>
      <c r="BL33" s="251" t="str">
        <f t="shared" si="43"/>
        <v/>
      </c>
      <c r="BM33" s="251" t="str">
        <f t="shared" si="44"/>
        <v/>
      </c>
      <c r="BN33" s="251" t="str">
        <f t="shared" si="45"/>
        <v/>
      </c>
      <c r="BO33" s="251" t="str">
        <f t="shared" si="46"/>
        <v/>
      </c>
      <c r="BP33" s="251" t="str">
        <f t="shared" si="47"/>
        <v/>
      </c>
      <c r="BQ33" s="251" t="str">
        <f t="shared" si="48"/>
        <v/>
      </c>
      <c r="BR33" s="251" t="str">
        <f t="shared" si="49"/>
        <v/>
      </c>
      <c r="BS33" s="251" t="str">
        <f t="shared" si="50"/>
        <v/>
      </c>
      <c r="BT33" s="251" t="str">
        <f t="shared" si="51"/>
        <v/>
      </c>
      <c r="BU33" s="251" t="str">
        <f t="shared" si="52"/>
        <v/>
      </c>
      <c r="BV33" s="251" t="str">
        <f t="shared" si="53"/>
        <v/>
      </c>
      <c r="BW33" s="251" t="str">
        <f t="shared" si="54"/>
        <v/>
      </c>
      <c r="BX33" s="251" t="str">
        <f t="shared" si="55"/>
        <v/>
      </c>
      <c r="BY33" s="251" t="str">
        <f t="shared" si="56"/>
        <v/>
      </c>
      <c r="BZ33" s="251" t="str">
        <f t="shared" si="57"/>
        <v/>
      </c>
      <c r="CA33" s="251" t="str">
        <f t="shared" si="58"/>
        <v/>
      </c>
      <c r="CB33" s="251" t="str">
        <f t="shared" si="59"/>
        <v/>
      </c>
      <c r="CC33" s="251" t="str">
        <f t="shared" si="60"/>
        <v/>
      </c>
      <c r="CD33" s="251" t="str">
        <f t="shared" si="61"/>
        <v/>
      </c>
      <c r="CE33" s="251" t="str">
        <f t="shared" si="62"/>
        <v/>
      </c>
      <c r="CF33" s="251" t="str">
        <f t="shared" si="63"/>
        <v/>
      </c>
      <c r="CG33" s="251" t="str">
        <f t="shared" si="64"/>
        <v/>
      </c>
      <c r="CH33" s="251" t="str">
        <f t="shared" si="65"/>
        <v/>
      </c>
      <c r="CI33" s="251" t="str">
        <f t="shared" si="66"/>
        <v/>
      </c>
      <c r="CJ33" s="251" t="str">
        <f t="shared" si="67"/>
        <v/>
      </c>
      <c r="CK33" s="251" t="str">
        <f t="shared" si="68"/>
        <v/>
      </c>
      <c r="CL33" s="251" t="str">
        <f t="shared" si="69"/>
        <v/>
      </c>
      <c r="CM33" s="251" t="str">
        <f t="shared" si="70"/>
        <v/>
      </c>
      <c r="CN33" s="251" t="str">
        <f t="shared" si="71"/>
        <v/>
      </c>
      <c r="CO33" s="251" t="str">
        <f t="shared" si="72"/>
        <v/>
      </c>
      <c r="CP33" s="251" t="str">
        <f t="shared" si="73"/>
        <v/>
      </c>
      <c r="CQ33" s="251" t="str">
        <f t="shared" si="74"/>
        <v/>
      </c>
      <c r="CR33" s="251" t="str">
        <f t="shared" si="75"/>
        <v/>
      </c>
      <c r="CS33" s="251" t="str">
        <f t="shared" si="76"/>
        <v/>
      </c>
      <c r="CT33" s="251" t="str">
        <f t="shared" si="77"/>
        <v/>
      </c>
      <c r="CU33" s="251" t="str">
        <f t="shared" si="78"/>
        <v/>
      </c>
      <c r="CV33" s="251" t="str">
        <f t="shared" si="79"/>
        <v/>
      </c>
      <c r="CW33" s="251" t="str">
        <f t="shared" si="80"/>
        <v/>
      </c>
      <c r="CX33" s="251" t="str">
        <f t="shared" si="81"/>
        <v/>
      </c>
      <c r="CY33" s="251" t="str">
        <f t="shared" si="82"/>
        <v/>
      </c>
      <c r="CZ33" s="251" t="str">
        <f t="shared" si="83"/>
        <v/>
      </c>
      <c r="DA33" s="251" t="str">
        <f t="shared" si="84"/>
        <v/>
      </c>
      <c r="DB33" s="251" t="str">
        <f t="shared" si="85"/>
        <v/>
      </c>
      <c r="DC33" s="251" t="str">
        <f t="shared" si="86"/>
        <v/>
      </c>
      <c r="DD33" s="251" t="str">
        <f t="shared" si="87"/>
        <v/>
      </c>
      <c r="DE33" s="251" t="str">
        <f t="shared" si="88"/>
        <v/>
      </c>
      <c r="DF33" s="251" t="str">
        <f t="shared" si="89"/>
        <v/>
      </c>
      <c r="DG33" s="251" t="str">
        <f t="shared" si="90"/>
        <v/>
      </c>
      <c r="DH33" s="251" t="str">
        <f t="shared" si="91"/>
        <v/>
      </c>
      <c r="DI33" s="251" t="str">
        <f t="shared" si="92"/>
        <v/>
      </c>
      <c r="DJ33" s="251" t="str">
        <f t="shared" si="93"/>
        <v/>
      </c>
      <c r="DK33" s="251" t="str">
        <f t="shared" si="94"/>
        <v/>
      </c>
      <c r="DL33" s="251" t="str">
        <f t="shared" si="95"/>
        <v/>
      </c>
      <c r="DM33" s="251" t="str">
        <f t="shared" si="96"/>
        <v/>
      </c>
      <c r="DN33" s="251" t="str">
        <f t="shared" si="97"/>
        <v/>
      </c>
      <c r="DO33" s="251" t="str">
        <f t="shared" si="98"/>
        <v/>
      </c>
      <c r="DP33" s="251" t="str">
        <f t="shared" si="99"/>
        <v/>
      </c>
      <c r="DQ33" s="251" t="str">
        <f t="shared" si="100"/>
        <v/>
      </c>
      <c r="DR33" s="251" t="str">
        <f t="shared" si="101"/>
        <v/>
      </c>
      <c r="DS33" s="251" t="str">
        <f t="shared" si="102"/>
        <v/>
      </c>
      <c r="DT33" s="251" t="str">
        <f t="shared" si="103"/>
        <v/>
      </c>
      <c r="DU33" s="251" t="str">
        <f t="shared" si="104"/>
        <v/>
      </c>
      <c r="DV33" s="251" t="str">
        <f t="shared" si="105"/>
        <v/>
      </c>
      <c r="DW33" s="251" t="str">
        <f t="shared" si="106"/>
        <v/>
      </c>
      <c r="DX33" s="251" t="str">
        <f t="shared" si="107"/>
        <v/>
      </c>
      <c r="DY33" s="251" t="str">
        <f t="shared" si="108"/>
        <v/>
      </c>
      <c r="DZ33" s="251" t="str">
        <f t="shared" si="109"/>
        <v/>
      </c>
      <c r="EA33" s="251" t="str">
        <f t="shared" si="110"/>
        <v/>
      </c>
      <c r="EB33" s="251" t="str">
        <f t="shared" si="111"/>
        <v/>
      </c>
      <c r="EC33" s="251" t="str">
        <f t="shared" si="112"/>
        <v/>
      </c>
      <c r="ED33" s="251" t="str">
        <f t="shared" si="113"/>
        <v/>
      </c>
      <c r="EE33" s="251" t="str">
        <f t="shared" si="114"/>
        <v/>
      </c>
      <c r="EF33" s="251" t="str">
        <f t="shared" si="115"/>
        <v/>
      </c>
      <c r="EG33" s="251" t="str">
        <f t="shared" si="116"/>
        <v/>
      </c>
      <c r="EH33" s="251" t="str">
        <f t="shared" si="117"/>
        <v/>
      </c>
      <c r="EI33" s="251" t="str">
        <f t="shared" si="118"/>
        <v/>
      </c>
      <c r="EJ33" s="251" t="str">
        <f t="shared" si="119"/>
        <v/>
      </c>
      <c r="EK33" s="251" t="str">
        <f t="shared" si="120"/>
        <v/>
      </c>
      <c r="EL33" s="251" t="str">
        <f t="shared" si="121"/>
        <v/>
      </c>
      <c r="EM33" s="251" t="str">
        <f t="shared" si="122"/>
        <v/>
      </c>
      <c r="EN33" s="251" t="str">
        <f t="shared" si="123"/>
        <v/>
      </c>
      <c r="EO33" s="251" t="str">
        <f t="shared" si="124"/>
        <v/>
      </c>
      <c r="EP33" s="251" t="str">
        <f t="shared" si="125"/>
        <v/>
      </c>
      <c r="EQ33" s="251" t="str">
        <f t="shared" si="126"/>
        <v/>
      </c>
      <c r="ER33" s="251" t="str">
        <f t="shared" si="127"/>
        <v/>
      </c>
      <c r="ES33" s="251" t="str">
        <f t="shared" si="128"/>
        <v/>
      </c>
      <c r="ET33" s="251" t="str">
        <f t="shared" si="129"/>
        <v/>
      </c>
      <c r="EU33" s="251" t="str">
        <f t="shared" si="130"/>
        <v/>
      </c>
      <c r="EV33" s="251" t="str">
        <f t="shared" si="131"/>
        <v/>
      </c>
      <c r="EW33" s="251" t="str">
        <f t="shared" si="132"/>
        <v/>
      </c>
      <c r="EX33" s="251" t="str">
        <f t="shared" si="133"/>
        <v/>
      </c>
      <c r="EY33" s="251" t="str">
        <f t="shared" si="134"/>
        <v/>
      </c>
      <c r="EZ33" s="251" t="str">
        <f t="shared" si="135"/>
        <v/>
      </c>
      <c r="FA33" s="251" t="str">
        <f t="shared" si="136"/>
        <v/>
      </c>
      <c r="FB33" s="251" t="str">
        <f t="shared" si="137"/>
        <v/>
      </c>
      <c r="FC33" s="251" t="str">
        <f t="shared" si="138"/>
        <v/>
      </c>
      <c r="FD33" s="251" t="str">
        <f t="shared" si="139"/>
        <v/>
      </c>
      <c r="FE33" s="251" t="str">
        <f t="shared" si="140"/>
        <v/>
      </c>
      <c r="FF33" s="251" t="str">
        <f t="shared" si="141"/>
        <v/>
      </c>
      <c r="FG33" s="251" t="str">
        <f t="shared" si="142"/>
        <v/>
      </c>
      <c r="FH33" s="251" t="str">
        <f t="shared" si="143"/>
        <v/>
      </c>
      <c r="FI33" s="251" t="str">
        <f t="shared" si="144"/>
        <v/>
      </c>
      <c r="FJ33" s="251" t="str">
        <f t="shared" si="145"/>
        <v/>
      </c>
      <c r="FK33" s="251" t="str">
        <f t="shared" si="146"/>
        <v/>
      </c>
      <c r="FL33" s="251" t="str">
        <f t="shared" si="147"/>
        <v/>
      </c>
      <c r="FM33" s="251" t="str">
        <f t="shared" si="148"/>
        <v/>
      </c>
      <c r="FN33" s="251" t="str">
        <f t="shared" si="149"/>
        <v/>
      </c>
      <c r="FO33" s="251" t="str">
        <f t="shared" si="150"/>
        <v/>
      </c>
      <c r="FP33" s="251" t="str">
        <f t="shared" si="151"/>
        <v/>
      </c>
      <c r="FQ33" s="251" t="str">
        <f t="shared" si="152"/>
        <v/>
      </c>
      <c r="FR33" s="251" t="str">
        <f t="shared" si="153"/>
        <v/>
      </c>
      <c r="FS33" s="251" t="str">
        <f t="shared" si="154"/>
        <v/>
      </c>
      <c r="FT33" s="251" t="str">
        <f t="shared" si="155"/>
        <v/>
      </c>
      <c r="FU33" s="251" t="str">
        <f t="shared" si="156"/>
        <v/>
      </c>
      <c r="FV33" s="251" t="str">
        <f t="shared" si="157"/>
        <v/>
      </c>
      <c r="FW33" s="251" t="str">
        <f t="shared" si="158"/>
        <v/>
      </c>
      <c r="FX33" s="251" t="str">
        <f t="shared" si="159"/>
        <v/>
      </c>
      <c r="FY33" s="251" t="str">
        <f t="shared" si="160"/>
        <v/>
      </c>
      <c r="FZ33" s="251" t="str">
        <f t="shared" si="161"/>
        <v/>
      </c>
      <c r="GA33" s="251" t="str">
        <f t="shared" si="162"/>
        <v/>
      </c>
      <c r="GB33" s="251" t="str">
        <f t="shared" si="163"/>
        <v/>
      </c>
      <c r="GC33" s="251" t="str">
        <f t="shared" si="164"/>
        <v/>
      </c>
      <c r="GD33" s="251" t="str">
        <f t="shared" si="165"/>
        <v/>
      </c>
      <c r="GE33" s="251" t="str">
        <f t="shared" si="166"/>
        <v/>
      </c>
      <c r="GF33" s="251" t="str">
        <f t="shared" si="167"/>
        <v/>
      </c>
      <c r="GG33" s="251" t="str">
        <f t="shared" si="168"/>
        <v/>
      </c>
      <c r="GH33" s="251" t="str">
        <f t="shared" si="169"/>
        <v/>
      </c>
      <c r="GI33" s="251" t="str">
        <f t="shared" si="170"/>
        <v/>
      </c>
      <c r="GJ33" s="251" t="str">
        <f t="shared" si="171"/>
        <v/>
      </c>
      <c r="GK33" s="251" t="str">
        <f t="shared" si="172"/>
        <v/>
      </c>
      <c r="GL33" s="251" t="str">
        <f t="shared" si="173"/>
        <v/>
      </c>
      <c r="GM33" s="251" t="str">
        <f t="shared" si="174"/>
        <v/>
      </c>
      <c r="GN33" s="251" t="str">
        <f t="shared" si="175"/>
        <v/>
      </c>
      <c r="GO33" s="251" t="str">
        <f t="shared" si="176"/>
        <v/>
      </c>
      <c r="GP33" s="251" t="str">
        <f t="shared" si="177"/>
        <v/>
      </c>
      <c r="GQ33" s="251" t="str">
        <f t="shared" si="178"/>
        <v/>
      </c>
      <c r="GR33" s="251" t="str">
        <f t="shared" si="179"/>
        <v/>
      </c>
      <c r="GS33" s="251" t="str">
        <f t="shared" si="180"/>
        <v/>
      </c>
      <c r="GT33" s="251" t="str">
        <f t="shared" si="181"/>
        <v/>
      </c>
      <c r="GU33" s="251" t="str">
        <f t="shared" si="182"/>
        <v/>
      </c>
      <c r="GV33" s="251" t="str">
        <f t="shared" si="183"/>
        <v/>
      </c>
      <c r="GW33" s="251" t="str">
        <f t="shared" si="184"/>
        <v/>
      </c>
      <c r="GX33" s="251" t="str">
        <f t="shared" si="185"/>
        <v/>
      </c>
      <c r="GY33" s="251" t="str">
        <f t="shared" si="186"/>
        <v/>
      </c>
      <c r="GZ33" s="251" t="str">
        <f t="shared" si="187"/>
        <v/>
      </c>
      <c r="HA33" s="251" t="str">
        <f t="shared" si="188"/>
        <v/>
      </c>
      <c r="HB33" s="251" t="str">
        <f t="shared" si="189"/>
        <v/>
      </c>
      <c r="HC33" s="251" t="str">
        <f t="shared" si="190"/>
        <v/>
      </c>
      <c r="HD33" s="251" t="str">
        <f t="shared" si="191"/>
        <v/>
      </c>
      <c r="HE33" s="251" t="str">
        <f t="shared" si="192"/>
        <v/>
      </c>
      <c r="HF33" s="251" t="str">
        <f t="shared" si="193"/>
        <v/>
      </c>
      <c r="HG33" s="251" t="str">
        <f t="shared" si="194"/>
        <v/>
      </c>
      <c r="HH33" s="251" t="str">
        <f t="shared" si="195"/>
        <v/>
      </c>
      <c r="HI33" s="251" t="str">
        <f t="shared" si="196"/>
        <v/>
      </c>
      <c r="HJ33" s="251" t="str">
        <f t="shared" si="197"/>
        <v/>
      </c>
      <c r="HK33" s="251" t="str">
        <f t="shared" si="198"/>
        <v/>
      </c>
      <c r="HL33" s="251" t="str">
        <f t="shared" si="199"/>
        <v/>
      </c>
      <c r="HM33" s="251" t="str">
        <f t="shared" si="200"/>
        <v/>
      </c>
      <c r="HN33" s="251" t="str">
        <f t="shared" si="201"/>
        <v/>
      </c>
      <c r="HO33" s="251" t="str">
        <f t="shared" si="202"/>
        <v/>
      </c>
      <c r="HP33" s="251" t="str">
        <f t="shared" si="203"/>
        <v/>
      </c>
      <c r="HQ33" s="251" t="str">
        <f t="shared" si="204"/>
        <v/>
      </c>
      <c r="HR33" s="251" t="str">
        <f t="shared" si="205"/>
        <v/>
      </c>
      <c r="HS33" s="251" t="str">
        <f t="shared" si="206"/>
        <v/>
      </c>
      <c r="HT33" s="251" t="str">
        <f t="shared" si="207"/>
        <v/>
      </c>
      <c r="HU33" s="251" t="str">
        <f t="shared" si="208"/>
        <v/>
      </c>
      <c r="HV33" s="251" t="str">
        <f t="shared" si="209"/>
        <v/>
      </c>
      <c r="HW33" s="251" t="str">
        <f t="shared" si="210"/>
        <v/>
      </c>
      <c r="HX33" s="251" t="str">
        <f t="shared" si="211"/>
        <v/>
      </c>
      <c r="HY33" s="251" t="str">
        <f t="shared" si="212"/>
        <v/>
      </c>
      <c r="HZ33" s="251" t="str">
        <f t="shared" si="213"/>
        <v/>
      </c>
      <c r="IA33" s="251" t="str">
        <f t="shared" si="214"/>
        <v/>
      </c>
      <c r="IB33" s="251" t="str">
        <f t="shared" si="215"/>
        <v/>
      </c>
      <c r="IC33" s="251" t="str">
        <f t="shared" si="216"/>
        <v/>
      </c>
      <c r="ID33" s="251" t="str">
        <f t="shared" si="217"/>
        <v/>
      </c>
      <c r="IE33" s="251" t="str">
        <f t="shared" si="218"/>
        <v/>
      </c>
      <c r="IF33" s="251" t="str">
        <f t="shared" si="219"/>
        <v/>
      </c>
      <c r="IG33" s="251" t="str">
        <f t="shared" si="220"/>
        <v/>
      </c>
      <c r="IH33" s="251" t="str">
        <f t="shared" si="221"/>
        <v/>
      </c>
      <c r="II33" s="251" t="str">
        <f t="shared" si="222"/>
        <v/>
      </c>
      <c r="IJ33" s="251" t="str">
        <f t="shared" si="223"/>
        <v/>
      </c>
      <c r="IK33" s="251" t="str">
        <f t="shared" si="224"/>
        <v/>
      </c>
      <c r="IL33" s="251" t="str">
        <f t="shared" si="225"/>
        <v/>
      </c>
      <c r="IM33" s="251" t="str">
        <f t="shared" si="226"/>
        <v/>
      </c>
      <c r="IN33" s="251" t="str">
        <f t="shared" si="227"/>
        <v/>
      </c>
      <c r="IO33" s="251" t="str">
        <f t="shared" si="228"/>
        <v/>
      </c>
      <c r="IP33" s="251" t="str">
        <f t="shared" si="229"/>
        <v/>
      </c>
      <c r="IQ33" s="251" t="str">
        <f t="shared" si="230"/>
        <v/>
      </c>
      <c r="IR33" s="251" t="str">
        <f t="shared" si="231"/>
        <v/>
      </c>
      <c r="IS33" s="251" t="str">
        <f t="shared" si="232"/>
        <v/>
      </c>
      <c r="IT33" s="251" t="str">
        <f t="shared" si="233"/>
        <v/>
      </c>
      <c r="IU33" s="251" t="str">
        <f t="shared" si="234"/>
        <v/>
      </c>
      <c r="IV33" s="251" t="str">
        <f t="shared" si="235"/>
        <v/>
      </c>
      <c r="IW33" s="251" t="str">
        <f t="shared" si="236"/>
        <v/>
      </c>
      <c r="IX33" s="251" t="str">
        <f t="shared" si="237"/>
        <v/>
      </c>
      <c r="IY33" s="251" t="str">
        <f t="shared" si="238"/>
        <v/>
      </c>
      <c r="IZ33" s="251" t="str">
        <f t="shared" si="239"/>
        <v/>
      </c>
      <c r="JA33" s="251" t="str">
        <f t="shared" si="240"/>
        <v/>
      </c>
      <c r="JB33" s="251" t="str">
        <f t="shared" si="241"/>
        <v/>
      </c>
      <c r="JC33" s="251" t="str">
        <f t="shared" si="242"/>
        <v/>
      </c>
      <c r="JD33" s="251" t="str">
        <f t="shared" si="243"/>
        <v/>
      </c>
      <c r="JE33" s="251" t="str">
        <f t="shared" si="244"/>
        <v/>
      </c>
      <c r="JF33" s="251" t="str">
        <f t="shared" si="245"/>
        <v/>
      </c>
      <c r="JG33" s="251" t="str">
        <f t="shared" si="246"/>
        <v/>
      </c>
      <c r="JH33" s="251" t="str">
        <f t="shared" si="247"/>
        <v/>
      </c>
      <c r="JI33" s="1297" t="str">
        <f t="shared" si="248"/>
        <v/>
      </c>
      <c r="JJ33" s="1297" t="str">
        <f t="shared" si="249"/>
        <v/>
      </c>
      <c r="JK33" s="1297" t="str">
        <f t="shared" si="250"/>
        <v/>
      </c>
      <c r="JL33" s="1297" t="str">
        <f t="shared" si="251"/>
        <v/>
      </c>
      <c r="JM33" s="1297" t="str">
        <f t="shared" si="252"/>
        <v/>
      </c>
      <c r="JN33" s="1297" t="str">
        <f t="shared" si="253"/>
        <v/>
      </c>
      <c r="JO33" s="1297" t="str">
        <f t="shared" si="254"/>
        <v/>
      </c>
      <c r="JP33" s="1297" t="str">
        <f t="shared" si="255"/>
        <v/>
      </c>
      <c r="JQ33" s="1297" t="str">
        <f t="shared" si="256"/>
        <v/>
      </c>
      <c r="JR33" s="1297" t="str">
        <f t="shared" si="257"/>
        <v/>
      </c>
      <c r="JS33" s="1297" t="str">
        <f t="shared" si="258"/>
        <v/>
      </c>
      <c r="JT33" s="1297" t="str">
        <f t="shared" si="259"/>
        <v/>
      </c>
      <c r="JU33" s="1297" t="str">
        <f t="shared" si="260"/>
        <v/>
      </c>
      <c r="JV33" s="1297" t="str">
        <f t="shared" si="261"/>
        <v/>
      </c>
      <c r="JW33" s="1297" t="str">
        <f t="shared" si="262"/>
        <v/>
      </c>
      <c r="JX33" s="1297" t="str">
        <f t="shared" si="263"/>
        <v/>
      </c>
      <c r="JY33" s="1297" t="str">
        <f t="shared" si="264"/>
        <v/>
      </c>
      <c r="JZ33" s="1297" t="str">
        <f t="shared" si="265"/>
        <v/>
      </c>
      <c r="KA33" s="1297" t="str">
        <f t="shared" si="266"/>
        <v/>
      </c>
      <c r="KB33" s="1297" t="str">
        <f t="shared" si="267"/>
        <v/>
      </c>
      <c r="KC33" s="1297" t="str">
        <f t="shared" si="268"/>
        <v/>
      </c>
      <c r="KD33" s="1297" t="str">
        <f t="shared" si="269"/>
        <v/>
      </c>
      <c r="KE33" s="1297" t="str">
        <f t="shared" si="270"/>
        <v/>
      </c>
      <c r="KF33" s="1297" t="str">
        <f t="shared" si="271"/>
        <v/>
      </c>
      <c r="KG33" s="1297" t="str">
        <f t="shared" si="272"/>
        <v/>
      </c>
      <c r="KH33" s="1297" t="str">
        <f t="shared" si="273"/>
        <v/>
      </c>
      <c r="KI33" s="1297" t="str">
        <f t="shared" si="274"/>
        <v/>
      </c>
      <c r="KJ33" s="1297" t="str">
        <f t="shared" si="275"/>
        <v/>
      </c>
      <c r="KK33" s="1297" t="str">
        <f t="shared" si="276"/>
        <v/>
      </c>
      <c r="KL33" s="1297" t="str">
        <f t="shared" si="277"/>
        <v/>
      </c>
      <c r="KM33" s="1297" t="str">
        <f t="shared" si="278"/>
        <v/>
      </c>
      <c r="KN33" s="1297" t="str">
        <f t="shared" si="279"/>
        <v/>
      </c>
      <c r="KO33" s="1297" t="str">
        <f t="shared" si="280"/>
        <v/>
      </c>
      <c r="KP33" s="1297" t="str">
        <f t="shared" si="281"/>
        <v/>
      </c>
      <c r="KQ33" s="1297" t="str">
        <f t="shared" si="282"/>
        <v/>
      </c>
      <c r="KR33" s="1297" t="str">
        <f t="shared" si="283"/>
        <v/>
      </c>
      <c r="KS33" s="1297" t="str">
        <f t="shared" si="284"/>
        <v/>
      </c>
      <c r="KT33" s="1297" t="str">
        <f t="shared" si="285"/>
        <v/>
      </c>
      <c r="KU33" s="1297" t="str">
        <f t="shared" si="286"/>
        <v/>
      </c>
      <c r="KV33" s="1297" t="str">
        <f t="shared" si="287"/>
        <v/>
      </c>
      <c r="KW33" s="1297" t="str">
        <f t="shared" si="288"/>
        <v/>
      </c>
      <c r="KX33" s="1297" t="str">
        <f t="shared" si="289"/>
        <v/>
      </c>
      <c r="KY33" s="1297" t="str">
        <f t="shared" si="290"/>
        <v/>
      </c>
      <c r="KZ33" s="1297" t="str">
        <f t="shared" si="291"/>
        <v/>
      </c>
      <c r="LA33" s="1297" t="str">
        <f t="shared" si="292"/>
        <v/>
      </c>
      <c r="LB33" s="1297" t="str">
        <f t="shared" si="293"/>
        <v/>
      </c>
      <c r="LC33" s="1297" t="str">
        <f t="shared" si="294"/>
        <v/>
      </c>
      <c r="LD33" s="1297" t="str">
        <f t="shared" si="295"/>
        <v/>
      </c>
      <c r="LE33" s="1297" t="str">
        <f t="shared" si="296"/>
        <v/>
      </c>
      <c r="LF33" s="1297" t="str">
        <f t="shared" si="297"/>
        <v/>
      </c>
      <c r="LG33" s="1297" t="str">
        <f t="shared" si="298"/>
        <v/>
      </c>
      <c r="LH33" s="1297" t="str">
        <f t="shared" si="299"/>
        <v/>
      </c>
      <c r="LI33" s="1297" t="str">
        <f t="shared" si="300"/>
        <v/>
      </c>
      <c r="LJ33" s="1297" t="str">
        <f t="shared" si="301"/>
        <v/>
      </c>
      <c r="LK33" s="1297" t="str">
        <f t="shared" si="302"/>
        <v/>
      </c>
      <c r="LL33" s="1297" t="str">
        <f t="shared" si="303"/>
        <v/>
      </c>
      <c r="LM33" s="1297" t="str">
        <f t="shared" si="304"/>
        <v/>
      </c>
      <c r="LN33" s="1297" t="str">
        <f t="shared" si="305"/>
        <v/>
      </c>
      <c r="LO33" s="1297" t="str">
        <f t="shared" si="306"/>
        <v/>
      </c>
      <c r="LP33" s="1297" t="str">
        <f t="shared" si="307"/>
        <v/>
      </c>
      <c r="LQ33" s="1297" t="str">
        <f t="shared" si="308"/>
        <v/>
      </c>
      <c r="LR33" s="1297" t="str">
        <f t="shared" si="309"/>
        <v/>
      </c>
      <c r="LS33" s="1297" t="str">
        <f t="shared" si="310"/>
        <v/>
      </c>
      <c r="LT33" s="1297" t="str">
        <f t="shared" si="311"/>
        <v/>
      </c>
      <c r="LU33" s="1297" t="str">
        <f t="shared" si="312"/>
        <v/>
      </c>
      <c r="LV33" s="1297" t="str">
        <f t="shared" si="313"/>
        <v/>
      </c>
      <c r="LW33" s="1297" t="str">
        <f t="shared" si="314"/>
        <v/>
      </c>
      <c r="LX33" s="1297" t="str">
        <f t="shared" si="315"/>
        <v/>
      </c>
      <c r="LY33" s="1297" t="str">
        <f t="shared" si="316"/>
        <v/>
      </c>
      <c r="LZ33" s="1297" t="str">
        <f t="shared" si="317"/>
        <v/>
      </c>
      <c r="MA33" s="1297" t="str">
        <f t="shared" si="318"/>
        <v/>
      </c>
      <c r="MB33" s="1297" t="str">
        <f t="shared" si="319"/>
        <v/>
      </c>
      <c r="MC33" s="1297" t="str">
        <f t="shared" si="320"/>
        <v/>
      </c>
      <c r="MD33" s="1297" t="str">
        <f t="shared" si="321"/>
        <v/>
      </c>
      <c r="ME33" s="1297" t="str">
        <f t="shared" si="322"/>
        <v/>
      </c>
      <c r="MF33" s="1297" t="str">
        <f t="shared" si="323"/>
        <v/>
      </c>
      <c r="MG33" s="1297" t="str">
        <f t="shared" si="324"/>
        <v/>
      </c>
      <c r="MH33" s="1297" t="str">
        <f t="shared" si="325"/>
        <v/>
      </c>
      <c r="MI33" s="1297" t="str">
        <f t="shared" si="326"/>
        <v/>
      </c>
      <c r="MJ33" s="1297" t="str">
        <f t="shared" si="327"/>
        <v/>
      </c>
      <c r="MK33" s="1297" t="str">
        <f t="shared" si="328"/>
        <v/>
      </c>
      <c r="ML33" s="1297" t="str">
        <f t="shared" si="329"/>
        <v/>
      </c>
      <c r="MM33" s="1297" t="str">
        <f t="shared" si="330"/>
        <v/>
      </c>
      <c r="MN33" s="1297" t="str">
        <f t="shared" si="331"/>
        <v/>
      </c>
      <c r="MO33" s="1297" t="str">
        <f t="shared" si="332"/>
        <v/>
      </c>
      <c r="MP33" s="1773" t="str">
        <f t="shared" si="333"/>
        <v/>
      </c>
      <c r="MQ33" s="1773" t="str">
        <f t="shared" si="334"/>
        <v/>
      </c>
      <c r="MR33" s="1773" t="str">
        <f t="shared" si="335"/>
        <v/>
      </c>
      <c r="MS33" s="1773" t="str">
        <f t="shared" si="336"/>
        <v/>
      </c>
      <c r="MT33" s="1773" t="str">
        <f t="shared" si="337"/>
        <v/>
      </c>
      <c r="MU33" s="251" t="str">
        <f t="shared" si="338"/>
        <v/>
      </c>
      <c r="MV33" s="251" t="str">
        <f t="shared" si="339"/>
        <v/>
      </c>
      <c r="MW33" s="251" t="str">
        <f t="shared" si="340"/>
        <v/>
      </c>
      <c r="MX33" s="251" t="str">
        <f t="shared" si="341"/>
        <v/>
      </c>
      <c r="MY33" s="251" t="str">
        <f t="shared" si="342"/>
        <v/>
      </c>
      <c r="MZ33" s="251" t="str">
        <f t="shared" si="343"/>
        <v/>
      </c>
      <c r="NA33" s="251" t="str">
        <f t="shared" si="344"/>
        <v/>
      </c>
      <c r="NB33" s="251" t="str">
        <f t="shared" si="345"/>
        <v/>
      </c>
      <c r="NC33" s="251" t="str">
        <f t="shared" si="346"/>
        <v/>
      </c>
      <c r="ND33" s="251" t="str">
        <f t="shared" si="347"/>
        <v/>
      </c>
      <c r="NE33" s="251" t="str">
        <f t="shared" si="348"/>
        <v/>
      </c>
      <c r="NF33" s="251" t="str">
        <f t="shared" si="349"/>
        <v/>
      </c>
      <c r="NG33" s="251" t="str">
        <f t="shared" si="350"/>
        <v/>
      </c>
      <c r="NH33" s="251" t="str">
        <f t="shared" si="351"/>
        <v/>
      </c>
      <c r="NI33" s="251" t="str">
        <f t="shared" si="352"/>
        <v/>
      </c>
      <c r="NJ33" s="251" t="str">
        <f t="shared" si="353"/>
        <v/>
      </c>
      <c r="NK33" s="251" t="str">
        <f t="shared" si="354"/>
        <v/>
      </c>
      <c r="NL33" s="251" t="str">
        <f t="shared" si="355"/>
        <v/>
      </c>
      <c r="NM33" s="251" t="str">
        <f t="shared" si="356"/>
        <v/>
      </c>
      <c r="NN33" s="251" t="str">
        <f t="shared" si="357"/>
        <v/>
      </c>
      <c r="NO33" s="1185">
        <f t="shared" si="358"/>
        <v>0</v>
      </c>
      <c r="NP33" s="1185">
        <f t="shared" si="359"/>
        <v>0</v>
      </c>
      <c r="NQ33" s="1185">
        <f t="shared" si="360"/>
        <v>0</v>
      </c>
      <c r="NR33" s="1185">
        <f t="shared" si="361"/>
        <v>0</v>
      </c>
      <c r="NS33" s="1185">
        <f t="shared" si="362"/>
        <v>0</v>
      </c>
      <c r="NT33" s="1185">
        <f t="shared" si="368"/>
        <v>0</v>
      </c>
      <c r="NU33" s="1185">
        <f t="shared" si="369"/>
        <v>0</v>
      </c>
      <c r="NV33" s="1185">
        <f t="shared" si="370"/>
        <v>0</v>
      </c>
      <c r="NW33" s="1185">
        <f t="shared" si="371"/>
        <v>0</v>
      </c>
      <c r="NX33" s="1185">
        <f t="shared" si="372"/>
        <v>0</v>
      </c>
      <c r="NY33" s="1185">
        <f t="shared" si="363"/>
        <v>0</v>
      </c>
      <c r="NZ33" s="1185">
        <f t="shared" si="364"/>
        <v>0</v>
      </c>
      <c r="OA33" s="1185">
        <f t="shared" si="365"/>
        <v>0</v>
      </c>
      <c r="OB33" s="1185">
        <f t="shared" si="366"/>
        <v>0</v>
      </c>
      <c r="OC33" s="1185">
        <f t="shared" si="367"/>
        <v>0</v>
      </c>
      <c r="OY33" s="1794" t="s">
        <v>1181</v>
      </c>
      <c r="OZ33" s="1798">
        <v>33</v>
      </c>
    </row>
    <row r="34" spans="1:416" ht="12" customHeight="1">
      <c r="A34" s="53" t="str">
        <f t="shared" si="0"/>
        <v/>
      </c>
      <c r="B34" s="782"/>
      <c r="C34" s="85"/>
      <c r="D34" s="1187"/>
      <c r="E34" s="86"/>
      <c r="F34" s="86"/>
      <c r="G34" s="86"/>
      <c r="H34" s="86"/>
      <c r="I34" s="86"/>
      <c r="J34" s="765">
        <f>IF(C34="",0,HLOOKUP(C34,'Part IV-Utility Allowances'!$I$11:$M$25,15))</f>
        <v>0</v>
      </c>
      <c r="K34" s="473"/>
      <c r="L34" s="330">
        <f t="shared" si="1"/>
        <v>0</v>
      </c>
      <c r="M34" s="330">
        <f t="shared" si="2"/>
        <v>0</v>
      </c>
      <c r="N34" s="506"/>
      <c r="O34" s="1134"/>
      <c r="P34" s="506"/>
      <c r="Q34" s="87"/>
      <c r="R34" s="540"/>
      <c r="S34" s="541"/>
      <c r="T34" s="3758"/>
      <c r="U34" s="3759"/>
      <c r="V34" s="3759"/>
      <c r="W34" s="3760"/>
      <c r="X34" s="251" t="str">
        <f t="shared" si="3"/>
        <v/>
      </c>
      <c r="Y34" s="251" t="str">
        <f t="shared" si="4"/>
        <v/>
      </c>
      <c r="Z34" s="251" t="str">
        <f t="shared" si="5"/>
        <v/>
      </c>
      <c r="AA34" s="251" t="str">
        <f t="shared" si="6"/>
        <v/>
      </c>
      <c r="AB34" s="251" t="str">
        <f t="shared" si="7"/>
        <v/>
      </c>
      <c r="AC34" s="251" t="str">
        <f t="shared" si="8"/>
        <v/>
      </c>
      <c r="AD34" s="251" t="str">
        <f t="shared" si="9"/>
        <v/>
      </c>
      <c r="AE34" s="251" t="str">
        <f t="shared" si="10"/>
        <v/>
      </c>
      <c r="AF34" s="251" t="str">
        <f t="shared" si="11"/>
        <v/>
      </c>
      <c r="AG34" s="251" t="str">
        <f t="shared" si="12"/>
        <v/>
      </c>
      <c r="AH34" s="251" t="str">
        <f t="shared" si="13"/>
        <v/>
      </c>
      <c r="AI34" s="251" t="str">
        <f t="shared" si="14"/>
        <v/>
      </c>
      <c r="AJ34" s="251" t="str">
        <f t="shared" si="15"/>
        <v/>
      </c>
      <c r="AK34" s="251" t="str">
        <f t="shared" si="16"/>
        <v/>
      </c>
      <c r="AL34" s="251" t="str">
        <f t="shared" si="17"/>
        <v/>
      </c>
      <c r="AM34" s="251" t="str">
        <f t="shared" si="18"/>
        <v/>
      </c>
      <c r="AN34" s="251" t="str">
        <f t="shared" si="19"/>
        <v/>
      </c>
      <c r="AO34" s="251" t="str">
        <f t="shared" si="20"/>
        <v/>
      </c>
      <c r="AP34" s="251" t="str">
        <f t="shared" si="21"/>
        <v/>
      </c>
      <c r="AQ34" s="251" t="str">
        <f t="shared" si="22"/>
        <v/>
      </c>
      <c r="AR34" s="251" t="str">
        <f t="shared" si="23"/>
        <v/>
      </c>
      <c r="AS34" s="251" t="str">
        <f t="shared" si="24"/>
        <v/>
      </c>
      <c r="AT34" s="251" t="str">
        <f t="shared" si="25"/>
        <v/>
      </c>
      <c r="AU34" s="251" t="str">
        <f t="shared" si="26"/>
        <v/>
      </c>
      <c r="AV34" s="251" t="str">
        <f t="shared" si="27"/>
        <v/>
      </c>
      <c r="AW34" s="251" t="str">
        <f t="shared" si="28"/>
        <v/>
      </c>
      <c r="AX34" s="251" t="str">
        <f t="shared" si="29"/>
        <v/>
      </c>
      <c r="AY34" s="251" t="str">
        <f t="shared" si="30"/>
        <v/>
      </c>
      <c r="AZ34" s="251" t="str">
        <f t="shared" si="31"/>
        <v/>
      </c>
      <c r="BA34" s="251" t="str">
        <f t="shared" si="32"/>
        <v/>
      </c>
      <c r="BB34" s="251" t="str">
        <f t="shared" si="33"/>
        <v/>
      </c>
      <c r="BC34" s="251" t="str">
        <f t="shared" si="34"/>
        <v/>
      </c>
      <c r="BD34" s="251" t="str">
        <f t="shared" si="35"/>
        <v/>
      </c>
      <c r="BE34" s="251" t="str">
        <f t="shared" si="36"/>
        <v/>
      </c>
      <c r="BF34" s="251" t="str">
        <f t="shared" si="37"/>
        <v/>
      </c>
      <c r="BG34" s="251" t="str">
        <f t="shared" si="38"/>
        <v/>
      </c>
      <c r="BH34" s="251" t="str">
        <f t="shared" si="39"/>
        <v/>
      </c>
      <c r="BI34" s="251" t="str">
        <f t="shared" si="40"/>
        <v/>
      </c>
      <c r="BJ34" s="251" t="str">
        <f t="shared" si="41"/>
        <v/>
      </c>
      <c r="BK34" s="251" t="str">
        <f t="shared" si="42"/>
        <v/>
      </c>
      <c r="BL34" s="251" t="str">
        <f t="shared" si="43"/>
        <v/>
      </c>
      <c r="BM34" s="251" t="str">
        <f t="shared" si="44"/>
        <v/>
      </c>
      <c r="BN34" s="251" t="str">
        <f t="shared" si="45"/>
        <v/>
      </c>
      <c r="BO34" s="251" t="str">
        <f t="shared" si="46"/>
        <v/>
      </c>
      <c r="BP34" s="251" t="str">
        <f t="shared" si="47"/>
        <v/>
      </c>
      <c r="BQ34" s="251" t="str">
        <f t="shared" si="48"/>
        <v/>
      </c>
      <c r="BR34" s="251" t="str">
        <f t="shared" si="49"/>
        <v/>
      </c>
      <c r="BS34" s="251" t="str">
        <f t="shared" si="50"/>
        <v/>
      </c>
      <c r="BT34" s="251" t="str">
        <f t="shared" si="51"/>
        <v/>
      </c>
      <c r="BU34" s="251" t="str">
        <f t="shared" si="52"/>
        <v/>
      </c>
      <c r="BV34" s="251" t="str">
        <f t="shared" si="53"/>
        <v/>
      </c>
      <c r="BW34" s="251" t="str">
        <f t="shared" si="54"/>
        <v/>
      </c>
      <c r="BX34" s="251" t="str">
        <f t="shared" si="55"/>
        <v/>
      </c>
      <c r="BY34" s="251" t="str">
        <f t="shared" si="56"/>
        <v/>
      </c>
      <c r="BZ34" s="251" t="str">
        <f t="shared" si="57"/>
        <v/>
      </c>
      <c r="CA34" s="251" t="str">
        <f t="shared" si="58"/>
        <v/>
      </c>
      <c r="CB34" s="251" t="str">
        <f t="shared" si="59"/>
        <v/>
      </c>
      <c r="CC34" s="251" t="str">
        <f t="shared" si="60"/>
        <v/>
      </c>
      <c r="CD34" s="251" t="str">
        <f t="shared" si="61"/>
        <v/>
      </c>
      <c r="CE34" s="251" t="str">
        <f t="shared" si="62"/>
        <v/>
      </c>
      <c r="CF34" s="251" t="str">
        <f t="shared" si="63"/>
        <v/>
      </c>
      <c r="CG34" s="251" t="str">
        <f t="shared" si="64"/>
        <v/>
      </c>
      <c r="CH34" s="251" t="str">
        <f t="shared" si="65"/>
        <v/>
      </c>
      <c r="CI34" s="251" t="str">
        <f t="shared" si="66"/>
        <v/>
      </c>
      <c r="CJ34" s="251" t="str">
        <f t="shared" si="67"/>
        <v/>
      </c>
      <c r="CK34" s="251" t="str">
        <f t="shared" si="68"/>
        <v/>
      </c>
      <c r="CL34" s="251" t="str">
        <f t="shared" si="69"/>
        <v/>
      </c>
      <c r="CM34" s="251" t="str">
        <f t="shared" si="70"/>
        <v/>
      </c>
      <c r="CN34" s="251" t="str">
        <f t="shared" si="71"/>
        <v/>
      </c>
      <c r="CO34" s="251" t="str">
        <f t="shared" si="72"/>
        <v/>
      </c>
      <c r="CP34" s="251" t="str">
        <f t="shared" si="73"/>
        <v/>
      </c>
      <c r="CQ34" s="251" t="str">
        <f t="shared" si="74"/>
        <v/>
      </c>
      <c r="CR34" s="251" t="str">
        <f t="shared" si="75"/>
        <v/>
      </c>
      <c r="CS34" s="251" t="str">
        <f t="shared" si="76"/>
        <v/>
      </c>
      <c r="CT34" s="251" t="str">
        <f t="shared" si="77"/>
        <v/>
      </c>
      <c r="CU34" s="251" t="str">
        <f t="shared" si="78"/>
        <v/>
      </c>
      <c r="CV34" s="251" t="str">
        <f t="shared" si="79"/>
        <v/>
      </c>
      <c r="CW34" s="251" t="str">
        <f t="shared" si="80"/>
        <v/>
      </c>
      <c r="CX34" s="251" t="str">
        <f t="shared" si="81"/>
        <v/>
      </c>
      <c r="CY34" s="251" t="str">
        <f t="shared" si="82"/>
        <v/>
      </c>
      <c r="CZ34" s="251" t="str">
        <f t="shared" si="83"/>
        <v/>
      </c>
      <c r="DA34" s="251" t="str">
        <f t="shared" si="84"/>
        <v/>
      </c>
      <c r="DB34" s="251" t="str">
        <f t="shared" si="85"/>
        <v/>
      </c>
      <c r="DC34" s="251" t="str">
        <f t="shared" si="86"/>
        <v/>
      </c>
      <c r="DD34" s="251" t="str">
        <f t="shared" si="87"/>
        <v/>
      </c>
      <c r="DE34" s="251" t="str">
        <f t="shared" si="88"/>
        <v/>
      </c>
      <c r="DF34" s="251" t="str">
        <f t="shared" si="89"/>
        <v/>
      </c>
      <c r="DG34" s="251" t="str">
        <f t="shared" si="90"/>
        <v/>
      </c>
      <c r="DH34" s="251" t="str">
        <f t="shared" si="91"/>
        <v/>
      </c>
      <c r="DI34" s="251" t="str">
        <f t="shared" si="92"/>
        <v/>
      </c>
      <c r="DJ34" s="251" t="str">
        <f t="shared" si="93"/>
        <v/>
      </c>
      <c r="DK34" s="251" t="str">
        <f t="shared" si="94"/>
        <v/>
      </c>
      <c r="DL34" s="251" t="str">
        <f t="shared" si="95"/>
        <v/>
      </c>
      <c r="DM34" s="251" t="str">
        <f t="shared" si="96"/>
        <v/>
      </c>
      <c r="DN34" s="251" t="str">
        <f t="shared" si="97"/>
        <v/>
      </c>
      <c r="DO34" s="251" t="str">
        <f t="shared" si="98"/>
        <v/>
      </c>
      <c r="DP34" s="251" t="str">
        <f t="shared" si="99"/>
        <v/>
      </c>
      <c r="DQ34" s="251" t="str">
        <f t="shared" si="100"/>
        <v/>
      </c>
      <c r="DR34" s="251" t="str">
        <f t="shared" si="101"/>
        <v/>
      </c>
      <c r="DS34" s="251" t="str">
        <f t="shared" si="102"/>
        <v/>
      </c>
      <c r="DT34" s="251" t="str">
        <f t="shared" si="103"/>
        <v/>
      </c>
      <c r="DU34" s="251" t="str">
        <f t="shared" si="104"/>
        <v/>
      </c>
      <c r="DV34" s="251" t="str">
        <f t="shared" si="105"/>
        <v/>
      </c>
      <c r="DW34" s="251" t="str">
        <f t="shared" si="106"/>
        <v/>
      </c>
      <c r="DX34" s="251" t="str">
        <f t="shared" si="107"/>
        <v/>
      </c>
      <c r="DY34" s="251" t="str">
        <f t="shared" si="108"/>
        <v/>
      </c>
      <c r="DZ34" s="251" t="str">
        <f t="shared" si="109"/>
        <v/>
      </c>
      <c r="EA34" s="251" t="str">
        <f t="shared" si="110"/>
        <v/>
      </c>
      <c r="EB34" s="251" t="str">
        <f t="shared" si="111"/>
        <v/>
      </c>
      <c r="EC34" s="251" t="str">
        <f t="shared" si="112"/>
        <v/>
      </c>
      <c r="ED34" s="251" t="str">
        <f t="shared" si="113"/>
        <v/>
      </c>
      <c r="EE34" s="251" t="str">
        <f t="shared" si="114"/>
        <v/>
      </c>
      <c r="EF34" s="251" t="str">
        <f t="shared" si="115"/>
        <v/>
      </c>
      <c r="EG34" s="251" t="str">
        <f t="shared" si="116"/>
        <v/>
      </c>
      <c r="EH34" s="251" t="str">
        <f t="shared" si="117"/>
        <v/>
      </c>
      <c r="EI34" s="251" t="str">
        <f t="shared" si="118"/>
        <v/>
      </c>
      <c r="EJ34" s="251" t="str">
        <f t="shared" si="119"/>
        <v/>
      </c>
      <c r="EK34" s="251" t="str">
        <f t="shared" si="120"/>
        <v/>
      </c>
      <c r="EL34" s="251" t="str">
        <f t="shared" si="121"/>
        <v/>
      </c>
      <c r="EM34" s="251" t="str">
        <f t="shared" si="122"/>
        <v/>
      </c>
      <c r="EN34" s="251" t="str">
        <f t="shared" si="123"/>
        <v/>
      </c>
      <c r="EO34" s="251" t="str">
        <f t="shared" si="124"/>
        <v/>
      </c>
      <c r="EP34" s="251" t="str">
        <f t="shared" si="125"/>
        <v/>
      </c>
      <c r="EQ34" s="251" t="str">
        <f t="shared" si="126"/>
        <v/>
      </c>
      <c r="ER34" s="251" t="str">
        <f t="shared" si="127"/>
        <v/>
      </c>
      <c r="ES34" s="251" t="str">
        <f t="shared" si="128"/>
        <v/>
      </c>
      <c r="ET34" s="251" t="str">
        <f t="shared" si="129"/>
        <v/>
      </c>
      <c r="EU34" s="251" t="str">
        <f t="shared" si="130"/>
        <v/>
      </c>
      <c r="EV34" s="251" t="str">
        <f t="shared" si="131"/>
        <v/>
      </c>
      <c r="EW34" s="251" t="str">
        <f t="shared" si="132"/>
        <v/>
      </c>
      <c r="EX34" s="251" t="str">
        <f t="shared" si="133"/>
        <v/>
      </c>
      <c r="EY34" s="251" t="str">
        <f t="shared" si="134"/>
        <v/>
      </c>
      <c r="EZ34" s="251" t="str">
        <f t="shared" si="135"/>
        <v/>
      </c>
      <c r="FA34" s="251" t="str">
        <f t="shared" si="136"/>
        <v/>
      </c>
      <c r="FB34" s="251" t="str">
        <f t="shared" si="137"/>
        <v/>
      </c>
      <c r="FC34" s="251" t="str">
        <f t="shared" si="138"/>
        <v/>
      </c>
      <c r="FD34" s="251" t="str">
        <f t="shared" si="139"/>
        <v/>
      </c>
      <c r="FE34" s="251" t="str">
        <f t="shared" si="140"/>
        <v/>
      </c>
      <c r="FF34" s="251" t="str">
        <f t="shared" si="141"/>
        <v/>
      </c>
      <c r="FG34" s="251" t="str">
        <f t="shared" si="142"/>
        <v/>
      </c>
      <c r="FH34" s="251" t="str">
        <f t="shared" si="143"/>
        <v/>
      </c>
      <c r="FI34" s="251" t="str">
        <f t="shared" si="144"/>
        <v/>
      </c>
      <c r="FJ34" s="251" t="str">
        <f t="shared" si="145"/>
        <v/>
      </c>
      <c r="FK34" s="251" t="str">
        <f t="shared" si="146"/>
        <v/>
      </c>
      <c r="FL34" s="251" t="str">
        <f t="shared" si="147"/>
        <v/>
      </c>
      <c r="FM34" s="251" t="str">
        <f t="shared" si="148"/>
        <v/>
      </c>
      <c r="FN34" s="251" t="str">
        <f t="shared" si="149"/>
        <v/>
      </c>
      <c r="FO34" s="251" t="str">
        <f t="shared" si="150"/>
        <v/>
      </c>
      <c r="FP34" s="251" t="str">
        <f t="shared" si="151"/>
        <v/>
      </c>
      <c r="FQ34" s="251" t="str">
        <f t="shared" si="152"/>
        <v/>
      </c>
      <c r="FR34" s="251" t="str">
        <f t="shared" si="153"/>
        <v/>
      </c>
      <c r="FS34" s="251" t="str">
        <f t="shared" si="154"/>
        <v/>
      </c>
      <c r="FT34" s="251" t="str">
        <f t="shared" si="155"/>
        <v/>
      </c>
      <c r="FU34" s="251" t="str">
        <f t="shared" si="156"/>
        <v/>
      </c>
      <c r="FV34" s="251" t="str">
        <f t="shared" si="157"/>
        <v/>
      </c>
      <c r="FW34" s="251" t="str">
        <f t="shared" si="158"/>
        <v/>
      </c>
      <c r="FX34" s="251" t="str">
        <f t="shared" si="159"/>
        <v/>
      </c>
      <c r="FY34" s="251" t="str">
        <f t="shared" si="160"/>
        <v/>
      </c>
      <c r="FZ34" s="251" t="str">
        <f t="shared" si="161"/>
        <v/>
      </c>
      <c r="GA34" s="251" t="str">
        <f t="shared" si="162"/>
        <v/>
      </c>
      <c r="GB34" s="251" t="str">
        <f t="shared" si="163"/>
        <v/>
      </c>
      <c r="GC34" s="251" t="str">
        <f t="shared" si="164"/>
        <v/>
      </c>
      <c r="GD34" s="251" t="str">
        <f t="shared" si="165"/>
        <v/>
      </c>
      <c r="GE34" s="251" t="str">
        <f t="shared" si="166"/>
        <v/>
      </c>
      <c r="GF34" s="251" t="str">
        <f t="shared" si="167"/>
        <v/>
      </c>
      <c r="GG34" s="251" t="str">
        <f t="shared" si="168"/>
        <v/>
      </c>
      <c r="GH34" s="251" t="str">
        <f t="shared" si="169"/>
        <v/>
      </c>
      <c r="GI34" s="251" t="str">
        <f t="shared" si="170"/>
        <v/>
      </c>
      <c r="GJ34" s="251" t="str">
        <f t="shared" si="171"/>
        <v/>
      </c>
      <c r="GK34" s="251" t="str">
        <f t="shared" si="172"/>
        <v/>
      </c>
      <c r="GL34" s="251" t="str">
        <f t="shared" si="173"/>
        <v/>
      </c>
      <c r="GM34" s="251" t="str">
        <f t="shared" si="174"/>
        <v/>
      </c>
      <c r="GN34" s="251" t="str">
        <f t="shared" si="175"/>
        <v/>
      </c>
      <c r="GO34" s="251" t="str">
        <f t="shared" si="176"/>
        <v/>
      </c>
      <c r="GP34" s="251" t="str">
        <f t="shared" si="177"/>
        <v/>
      </c>
      <c r="GQ34" s="251" t="str">
        <f t="shared" si="178"/>
        <v/>
      </c>
      <c r="GR34" s="251" t="str">
        <f t="shared" si="179"/>
        <v/>
      </c>
      <c r="GS34" s="251" t="str">
        <f t="shared" si="180"/>
        <v/>
      </c>
      <c r="GT34" s="251" t="str">
        <f t="shared" si="181"/>
        <v/>
      </c>
      <c r="GU34" s="251" t="str">
        <f t="shared" si="182"/>
        <v/>
      </c>
      <c r="GV34" s="251" t="str">
        <f t="shared" si="183"/>
        <v/>
      </c>
      <c r="GW34" s="251" t="str">
        <f t="shared" si="184"/>
        <v/>
      </c>
      <c r="GX34" s="251" t="str">
        <f t="shared" si="185"/>
        <v/>
      </c>
      <c r="GY34" s="251" t="str">
        <f t="shared" si="186"/>
        <v/>
      </c>
      <c r="GZ34" s="251" t="str">
        <f t="shared" si="187"/>
        <v/>
      </c>
      <c r="HA34" s="251" t="str">
        <f t="shared" si="188"/>
        <v/>
      </c>
      <c r="HB34" s="251" t="str">
        <f t="shared" si="189"/>
        <v/>
      </c>
      <c r="HC34" s="251" t="str">
        <f t="shared" si="190"/>
        <v/>
      </c>
      <c r="HD34" s="251" t="str">
        <f t="shared" si="191"/>
        <v/>
      </c>
      <c r="HE34" s="251" t="str">
        <f t="shared" si="192"/>
        <v/>
      </c>
      <c r="HF34" s="251" t="str">
        <f t="shared" si="193"/>
        <v/>
      </c>
      <c r="HG34" s="251" t="str">
        <f t="shared" si="194"/>
        <v/>
      </c>
      <c r="HH34" s="251" t="str">
        <f t="shared" si="195"/>
        <v/>
      </c>
      <c r="HI34" s="251" t="str">
        <f t="shared" si="196"/>
        <v/>
      </c>
      <c r="HJ34" s="251" t="str">
        <f t="shared" si="197"/>
        <v/>
      </c>
      <c r="HK34" s="251" t="str">
        <f t="shared" si="198"/>
        <v/>
      </c>
      <c r="HL34" s="251" t="str">
        <f t="shared" si="199"/>
        <v/>
      </c>
      <c r="HM34" s="251" t="str">
        <f t="shared" si="200"/>
        <v/>
      </c>
      <c r="HN34" s="251" t="str">
        <f t="shared" si="201"/>
        <v/>
      </c>
      <c r="HO34" s="251" t="str">
        <f t="shared" si="202"/>
        <v/>
      </c>
      <c r="HP34" s="251" t="str">
        <f t="shared" si="203"/>
        <v/>
      </c>
      <c r="HQ34" s="251" t="str">
        <f t="shared" si="204"/>
        <v/>
      </c>
      <c r="HR34" s="251" t="str">
        <f t="shared" si="205"/>
        <v/>
      </c>
      <c r="HS34" s="251" t="str">
        <f t="shared" si="206"/>
        <v/>
      </c>
      <c r="HT34" s="251" t="str">
        <f t="shared" si="207"/>
        <v/>
      </c>
      <c r="HU34" s="251" t="str">
        <f t="shared" si="208"/>
        <v/>
      </c>
      <c r="HV34" s="251" t="str">
        <f t="shared" si="209"/>
        <v/>
      </c>
      <c r="HW34" s="251" t="str">
        <f t="shared" si="210"/>
        <v/>
      </c>
      <c r="HX34" s="251" t="str">
        <f t="shared" si="211"/>
        <v/>
      </c>
      <c r="HY34" s="251" t="str">
        <f t="shared" si="212"/>
        <v/>
      </c>
      <c r="HZ34" s="251" t="str">
        <f t="shared" si="213"/>
        <v/>
      </c>
      <c r="IA34" s="251" t="str">
        <f t="shared" si="214"/>
        <v/>
      </c>
      <c r="IB34" s="251" t="str">
        <f t="shared" si="215"/>
        <v/>
      </c>
      <c r="IC34" s="251" t="str">
        <f t="shared" si="216"/>
        <v/>
      </c>
      <c r="ID34" s="251" t="str">
        <f t="shared" si="217"/>
        <v/>
      </c>
      <c r="IE34" s="251" t="str">
        <f t="shared" si="218"/>
        <v/>
      </c>
      <c r="IF34" s="251" t="str">
        <f t="shared" si="219"/>
        <v/>
      </c>
      <c r="IG34" s="251" t="str">
        <f t="shared" si="220"/>
        <v/>
      </c>
      <c r="IH34" s="251" t="str">
        <f t="shared" si="221"/>
        <v/>
      </c>
      <c r="II34" s="251" t="str">
        <f t="shared" si="222"/>
        <v/>
      </c>
      <c r="IJ34" s="251" t="str">
        <f t="shared" si="223"/>
        <v/>
      </c>
      <c r="IK34" s="251" t="str">
        <f t="shared" si="224"/>
        <v/>
      </c>
      <c r="IL34" s="251" t="str">
        <f t="shared" si="225"/>
        <v/>
      </c>
      <c r="IM34" s="251" t="str">
        <f t="shared" si="226"/>
        <v/>
      </c>
      <c r="IN34" s="251" t="str">
        <f t="shared" si="227"/>
        <v/>
      </c>
      <c r="IO34" s="251" t="str">
        <f t="shared" si="228"/>
        <v/>
      </c>
      <c r="IP34" s="251" t="str">
        <f t="shared" si="229"/>
        <v/>
      </c>
      <c r="IQ34" s="251" t="str">
        <f t="shared" si="230"/>
        <v/>
      </c>
      <c r="IR34" s="251" t="str">
        <f t="shared" si="231"/>
        <v/>
      </c>
      <c r="IS34" s="251" t="str">
        <f t="shared" si="232"/>
        <v/>
      </c>
      <c r="IT34" s="251" t="str">
        <f t="shared" si="233"/>
        <v/>
      </c>
      <c r="IU34" s="251" t="str">
        <f t="shared" si="234"/>
        <v/>
      </c>
      <c r="IV34" s="251" t="str">
        <f t="shared" si="235"/>
        <v/>
      </c>
      <c r="IW34" s="251" t="str">
        <f t="shared" si="236"/>
        <v/>
      </c>
      <c r="IX34" s="251" t="str">
        <f t="shared" si="237"/>
        <v/>
      </c>
      <c r="IY34" s="251" t="str">
        <f t="shared" si="238"/>
        <v/>
      </c>
      <c r="IZ34" s="251" t="str">
        <f t="shared" si="239"/>
        <v/>
      </c>
      <c r="JA34" s="251" t="str">
        <f t="shared" si="240"/>
        <v/>
      </c>
      <c r="JB34" s="251" t="str">
        <f t="shared" si="241"/>
        <v/>
      </c>
      <c r="JC34" s="251" t="str">
        <f t="shared" si="242"/>
        <v/>
      </c>
      <c r="JD34" s="251" t="str">
        <f t="shared" si="243"/>
        <v/>
      </c>
      <c r="JE34" s="251" t="str">
        <f t="shared" si="244"/>
        <v/>
      </c>
      <c r="JF34" s="251" t="str">
        <f t="shared" si="245"/>
        <v/>
      </c>
      <c r="JG34" s="251" t="str">
        <f t="shared" si="246"/>
        <v/>
      </c>
      <c r="JH34" s="251" t="str">
        <f t="shared" si="247"/>
        <v/>
      </c>
      <c r="JI34" s="1297" t="str">
        <f t="shared" si="248"/>
        <v/>
      </c>
      <c r="JJ34" s="1297" t="str">
        <f t="shared" si="249"/>
        <v/>
      </c>
      <c r="JK34" s="1297" t="str">
        <f t="shared" si="250"/>
        <v/>
      </c>
      <c r="JL34" s="1297" t="str">
        <f t="shared" si="251"/>
        <v/>
      </c>
      <c r="JM34" s="1297" t="str">
        <f t="shared" si="252"/>
        <v/>
      </c>
      <c r="JN34" s="1297" t="str">
        <f t="shared" si="253"/>
        <v/>
      </c>
      <c r="JO34" s="1297" t="str">
        <f t="shared" si="254"/>
        <v/>
      </c>
      <c r="JP34" s="1297" t="str">
        <f t="shared" si="255"/>
        <v/>
      </c>
      <c r="JQ34" s="1297" t="str">
        <f t="shared" si="256"/>
        <v/>
      </c>
      <c r="JR34" s="1297" t="str">
        <f t="shared" si="257"/>
        <v/>
      </c>
      <c r="JS34" s="1297" t="str">
        <f t="shared" si="258"/>
        <v/>
      </c>
      <c r="JT34" s="1297" t="str">
        <f t="shared" si="259"/>
        <v/>
      </c>
      <c r="JU34" s="1297" t="str">
        <f t="shared" si="260"/>
        <v/>
      </c>
      <c r="JV34" s="1297" t="str">
        <f t="shared" si="261"/>
        <v/>
      </c>
      <c r="JW34" s="1297" t="str">
        <f t="shared" si="262"/>
        <v/>
      </c>
      <c r="JX34" s="1297" t="str">
        <f t="shared" si="263"/>
        <v/>
      </c>
      <c r="JY34" s="1297" t="str">
        <f t="shared" si="264"/>
        <v/>
      </c>
      <c r="JZ34" s="1297" t="str">
        <f t="shared" si="265"/>
        <v/>
      </c>
      <c r="KA34" s="1297" t="str">
        <f t="shared" si="266"/>
        <v/>
      </c>
      <c r="KB34" s="1297" t="str">
        <f t="shared" si="267"/>
        <v/>
      </c>
      <c r="KC34" s="1297" t="str">
        <f t="shared" si="268"/>
        <v/>
      </c>
      <c r="KD34" s="1297" t="str">
        <f t="shared" si="269"/>
        <v/>
      </c>
      <c r="KE34" s="1297" t="str">
        <f t="shared" si="270"/>
        <v/>
      </c>
      <c r="KF34" s="1297" t="str">
        <f t="shared" si="271"/>
        <v/>
      </c>
      <c r="KG34" s="1297" t="str">
        <f t="shared" si="272"/>
        <v/>
      </c>
      <c r="KH34" s="1297" t="str">
        <f t="shared" si="273"/>
        <v/>
      </c>
      <c r="KI34" s="1297" t="str">
        <f t="shared" si="274"/>
        <v/>
      </c>
      <c r="KJ34" s="1297" t="str">
        <f t="shared" si="275"/>
        <v/>
      </c>
      <c r="KK34" s="1297" t="str">
        <f t="shared" si="276"/>
        <v/>
      </c>
      <c r="KL34" s="1297" t="str">
        <f t="shared" si="277"/>
        <v/>
      </c>
      <c r="KM34" s="1297" t="str">
        <f t="shared" si="278"/>
        <v/>
      </c>
      <c r="KN34" s="1297" t="str">
        <f t="shared" si="279"/>
        <v/>
      </c>
      <c r="KO34" s="1297" t="str">
        <f t="shared" si="280"/>
        <v/>
      </c>
      <c r="KP34" s="1297" t="str">
        <f t="shared" si="281"/>
        <v/>
      </c>
      <c r="KQ34" s="1297" t="str">
        <f t="shared" si="282"/>
        <v/>
      </c>
      <c r="KR34" s="1297" t="str">
        <f t="shared" si="283"/>
        <v/>
      </c>
      <c r="KS34" s="1297" t="str">
        <f t="shared" si="284"/>
        <v/>
      </c>
      <c r="KT34" s="1297" t="str">
        <f t="shared" si="285"/>
        <v/>
      </c>
      <c r="KU34" s="1297" t="str">
        <f t="shared" si="286"/>
        <v/>
      </c>
      <c r="KV34" s="1297" t="str">
        <f t="shared" si="287"/>
        <v/>
      </c>
      <c r="KW34" s="1297" t="str">
        <f t="shared" si="288"/>
        <v/>
      </c>
      <c r="KX34" s="1297" t="str">
        <f t="shared" si="289"/>
        <v/>
      </c>
      <c r="KY34" s="1297" t="str">
        <f t="shared" si="290"/>
        <v/>
      </c>
      <c r="KZ34" s="1297" t="str">
        <f t="shared" si="291"/>
        <v/>
      </c>
      <c r="LA34" s="1297" t="str">
        <f t="shared" si="292"/>
        <v/>
      </c>
      <c r="LB34" s="1297" t="str">
        <f t="shared" si="293"/>
        <v/>
      </c>
      <c r="LC34" s="1297" t="str">
        <f t="shared" si="294"/>
        <v/>
      </c>
      <c r="LD34" s="1297" t="str">
        <f t="shared" si="295"/>
        <v/>
      </c>
      <c r="LE34" s="1297" t="str">
        <f t="shared" si="296"/>
        <v/>
      </c>
      <c r="LF34" s="1297" t="str">
        <f t="shared" si="297"/>
        <v/>
      </c>
      <c r="LG34" s="1297" t="str">
        <f t="shared" si="298"/>
        <v/>
      </c>
      <c r="LH34" s="1297" t="str">
        <f t="shared" si="299"/>
        <v/>
      </c>
      <c r="LI34" s="1297" t="str">
        <f t="shared" si="300"/>
        <v/>
      </c>
      <c r="LJ34" s="1297" t="str">
        <f t="shared" si="301"/>
        <v/>
      </c>
      <c r="LK34" s="1297" t="str">
        <f t="shared" si="302"/>
        <v/>
      </c>
      <c r="LL34" s="1297" t="str">
        <f t="shared" si="303"/>
        <v/>
      </c>
      <c r="LM34" s="1297" t="str">
        <f t="shared" si="304"/>
        <v/>
      </c>
      <c r="LN34" s="1297" t="str">
        <f t="shared" si="305"/>
        <v/>
      </c>
      <c r="LO34" s="1297" t="str">
        <f t="shared" si="306"/>
        <v/>
      </c>
      <c r="LP34" s="1297" t="str">
        <f t="shared" si="307"/>
        <v/>
      </c>
      <c r="LQ34" s="1297" t="str">
        <f t="shared" si="308"/>
        <v/>
      </c>
      <c r="LR34" s="1297" t="str">
        <f t="shared" si="309"/>
        <v/>
      </c>
      <c r="LS34" s="1297" t="str">
        <f t="shared" si="310"/>
        <v/>
      </c>
      <c r="LT34" s="1297" t="str">
        <f t="shared" si="311"/>
        <v/>
      </c>
      <c r="LU34" s="1297" t="str">
        <f t="shared" si="312"/>
        <v/>
      </c>
      <c r="LV34" s="1297" t="str">
        <f t="shared" si="313"/>
        <v/>
      </c>
      <c r="LW34" s="1297" t="str">
        <f t="shared" si="314"/>
        <v/>
      </c>
      <c r="LX34" s="1297" t="str">
        <f t="shared" si="315"/>
        <v/>
      </c>
      <c r="LY34" s="1297" t="str">
        <f t="shared" si="316"/>
        <v/>
      </c>
      <c r="LZ34" s="1297" t="str">
        <f t="shared" si="317"/>
        <v/>
      </c>
      <c r="MA34" s="1297" t="str">
        <f t="shared" si="318"/>
        <v/>
      </c>
      <c r="MB34" s="1297" t="str">
        <f t="shared" si="319"/>
        <v/>
      </c>
      <c r="MC34" s="1297" t="str">
        <f t="shared" si="320"/>
        <v/>
      </c>
      <c r="MD34" s="1297" t="str">
        <f t="shared" si="321"/>
        <v/>
      </c>
      <c r="ME34" s="1297" t="str">
        <f t="shared" si="322"/>
        <v/>
      </c>
      <c r="MF34" s="1297" t="str">
        <f t="shared" si="323"/>
        <v/>
      </c>
      <c r="MG34" s="1297" t="str">
        <f t="shared" si="324"/>
        <v/>
      </c>
      <c r="MH34" s="1297" t="str">
        <f t="shared" si="325"/>
        <v/>
      </c>
      <c r="MI34" s="1297" t="str">
        <f t="shared" si="326"/>
        <v/>
      </c>
      <c r="MJ34" s="1297" t="str">
        <f t="shared" si="327"/>
        <v/>
      </c>
      <c r="MK34" s="1297" t="str">
        <f t="shared" si="328"/>
        <v/>
      </c>
      <c r="ML34" s="1297" t="str">
        <f t="shared" si="329"/>
        <v/>
      </c>
      <c r="MM34" s="1297" t="str">
        <f t="shared" si="330"/>
        <v/>
      </c>
      <c r="MN34" s="1297" t="str">
        <f t="shared" si="331"/>
        <v/>
      </c>
      <c r="MO34" s="1297" t="str">
        <f t="shared" si="332"/>
        <v/>
      </c>
      <c r="MP34" s="1773" t="str">
        <f t="shared" si="333"/>
        <v/>
      </c>
      <c r="MQ34" s="1773" t="str">
        <f t="shared" si="334"/>
        <v/>
      </c>
      <c r="MR34" s="1773" t="str">
        <f t="shared" si="335"/>
        <v/>
      </c>
      <c r="MS34" s="1773" t="str">
        <f t="shared" si="336"/>
        <v/>
      </c>
      <c r="MT34" s="1773" t="str">
        <f t="shared" si="337"/>
        <v/>
      </c>
      <c r="MU34" s="251" t="str">
        <f t="shared" si="338"/>
        <v/>
      </c>
      <c r="MV34" s="251" t="str">
        <f t="shared" si="339"/>
        <v/>
      </c>
      <c r="MW34" s="251" t="str">
        <f t="shared" si="340"/>
        <v/>
      </c>
      <c r="MX34" s="251" t="str">
        <f t="shared" si="341"/>
        <v/>
      </c>
      <c r="MY34" s="251" t="str">
        <f t="shared" si="342"/>
        <v/>
      </c>
      <c r="MZ34" s="251" t="str">
        <f t="shared" si="343"/>
        <v/>
      </c>
      <c r="NA34" s="251" t="str">
        <f t="shared" si="344"/>
        <v/>
      </c>
      <c r="NB34" s="251" t="str">
        <f t="shared" si="345"/>
        <v/>
      </c>
      <c r="NC34" s="251" t="str">
        <f t="shared" si="346"/>
        <v/>
      </c>
      <c r="ND34" s="251" t="str">
        <f t="shared" si="347"/>
        <v/>
      </c>
      <c r="NE34" s="251" t="str">
        <f t="shared" si="348"/>
        <v/>
      </c>
      <c r="NF34" s="251" t="str">
        <f t="shared" si="349"/>
        <v/>
      </c>
      <c r="NG34" s="251" t="str">
        <f t="shared" si="350"/>
        <v/>
      </c>
      <c r="NH34" s="251" t="str">
        <f t="shared" si="351"/>
        <v/>
      </c>
      <c r="NI34" s="251" t="str">
        <f t="shared" si="352"/>
        <v/>
      </c>
      <c r="NJ34" s="251" t="str">
        <f t="shared" si="353"/>
        <v/>
      </c>
      <c r="NK34" s="251" t="str">
        <f t="shared" si="354"/>
        <v/>
      </c>
      <c r="NL34" s="251" t="str">
        <f t="shared" si="355"/>
        <v/>
      </c>
      <c r="NM34" s="251" t="str">
        <f t="shared" si="356"/>
        <v/>
      </c>
      <c r="NN34" s="251" t="str">
        <f t="shared" si="357"/>
        <v/>
      </c>
      <c r="NO34" s="1185">
        <f t="shared" si="358"/>
        <v>0</v>
      </c>
      <c r="NP34" s="1185">
        <f t="shared" si="359"/>
        <v>0</v>
      </c>
      <c r="NQ34" s="1185">
        <f t="shared" si="360"/>
        <v>0</v>
      </c>
      <c r="NR34" s="1185">
        <f t="shared" si="361"/>
        <v>0</v>
      </c>
      <c r="NS34" s="1185">
        <f t="shared" si="362"/>
        <v>0</v>
      </c>
      <c r="NT34" s="1185">
        <f t="shared" si="368"/>
        <v>0</v>
      </c>
      <c r="NU34" s="1185">
        <f t="shared" si="369"/>
        <v>0</v>
      </c>
      <c r="NV34" s="1185">
        <f t="shared" si="370"/>
        <v>0</v>
      </c>
      <c r="NW34" s="1185">
        <f t="shared" si="371"/>
        <v>0</v>
      </c>
      <c r="NX34" s="1185">
        <f t="shared" si="372"/>
        <v>0</v>
      </c>
      <c r="NY34" s="1185">
        <f t="shared" si="363"/>
        <v>0</v>
      </c>
      <c r="NZ34" s="1185">
        <f t="shared" si="364"/>
        <v>0</v>
      </c>
      <c r="OA34" s="1185">
        <f t="shared" si="365"/>
        <v>0</v>
      </c>
      <c r="OB34" s="1185">
        <f t="shared" si="366"/>
        <v>0</v>
      </c>
      <c r="OC34" s="1185">
        <f t="shared" si="367"/>
        <v>0</v>
      </c>
      <c r="OY34" s="1794" t="s">
        <v>1182</v>
      </c>
      <c r="OZ34" s="1799">
        <v>34</v>
      </c>
    </row>
    <row r="35" spans="1:416" ht="12" customHeight="1">
      <c r="A35" s="53" t="str">
        <f t="shared" si="0"/>
        <v/>
      </c>
      <c r="B35" s="782"/>
      <c r="C35" s="85"/>
      <c r="D35" s="1187"/>
      <c r="E35" s="86"/>
      <c r="F35" s="86"/>
      <c r="G35" s="86"/>
      <c r="H35" s="86"/>
      <c r="I35" s="86"/>
      <c r="J35" s="765">
        <f>IF(C35="",0,HLOOKUP(C35,'Part IV-Utility Allowances'!$I$11:$M$25,15))</f>
        <v>0</v>
      </c>
      <c r="K35" s="473"/>
      <c r="L35" s="330">
        <f t="shared" si="1"/>
        <v>0</v>
      </c>
      <c r="M35" s="330">
        <f t="shared" si="2"/>
        <v>0</v>
      </c>
      <c r="N35" s="506"/>
      <c r="O35" s="1134"/>
      <c r="P35" s="506"/>
      <c r="Q35" s="87"/>
      <c r="R35" s="540"/>
      <c r="S35" s="541"/>
      <c r="T35" s="3758"/>
      <c r="U35" s="3759"/>
      <c r="V35" s="3759"/>
      <c r="W35" s="3760"/>
      <c r="X35" s="251" t="str">
        <f t="shared" si="3"/>
        <v/>
      </c>
      <c r="Y35" s="251" t="str">
        <f t="shared" si="4"/>
        <v/>
      </c>
      <c r="Z35" s="251" t="str">
        <f t="shared" si="5"/>
        <v/>
      </c>
      <c r="AA35" s="251" t="str">
        <f t="shared" si="6"/>
        <v/>
      </c>
      <c r="AB35" s="251" t="str">
        <f t="shared" si="7"/>
        <v/>
      </c>
      <c r="AC35" s="251" t="str">
        <f t="shared" si="8"/>
        <v/>
      </c>
      <c r="AD35" s="251" t="str">
        <f t="shared" si="9"/>
        <v/>
      </c>
      <c r="AE35" s="251" t="str">
        <f t="shared" si="10"/>
        <v/>
      </c>
      <c r="AF35" s="251" t="str">
        <f t="shared" si="11"/>
        <v/>
      </c>
      <c r="AG35" s="251" t="str">
        <f t="shared" si="12"/>
        <v/>
      </c>
      <c r="AH35" s="251" t="str">
        <f t="shared" si="13"/>
        <v/>
      </c>
      <c r="AI35" s="251" t="str">
        <f t="shared" si="14"/>
        <v/>
      </c>
      <c r="AJ35" s="251" t="str">
        <f t="shared" si="15"/>
        <v/>
      </c>
      <c r="AK35" s="251" t="str">
        <f t="shared" si="16"/>
        <v/>
      </c>
      <c r="AL35" s="251" t="str">
        <f t="shared" si="17"/>
        <v/>
      </c>
      <c r="AM35" s="251" t="str">
        <f t="shared" si="18"/>
        <v/>
      </c>
      <c r="AN35" s="251" t="str">
        <f t="shared" si="19"/>
        <v/>
      </c>
      <c r="AO35" s="251" t="str">
        <f t="shared" si="20"/>
        <v/>
      </c>
      <c r="AP35" s="251" t="str">
        <f t="shared" si="21"/>
        <v/>
      </c>
      <c r="AQ35" s="251" t="str">
        <f t="shared" si="22"/>
        <v/>
      </c>
      <c r="AR35" s="251" t="str">
        <f t="shared" si="23"/>
        <v/>
      </c>
      <c r="AS35" s="251" t="str">
        <f t="shared" si="24"/>
        <v/>
      </c>
      <c r="AT35" s="251" t="str">
        <f t="shared" si="25"/>
        <v/>
      </c>
      <c r="AU35" s="251" t="str">
        <f t="shared" si="26"/>
        <v/>
      </c>
      <c r="AV35" s="251" t="str">
        <f t="shared" si="27"/>
        <v/>
      </c>
      <c r="AW35" s="251" t="str">
        <f t="shared" si="28"/>
        <v/>
      </c>
      <c r="AX35" s="251" t="str">
        <f t="shared" si="29"/>
        <v/>
      </c>
      <c r="AY35" s="251" t="str">
        <f t="shared" si="30"/>
        <v/>
      </c>
      <c r="AZ35" s="251" t="str">
        <f t="shared" si="31"/>
        <v/>
      </c>
      <c r="BA35" s="251" t="str">
        <f t="shared" si="32"/>
        <v/>
      </c>
      <c r="BB35" s="251" t="str">
        <f t="shared" si="33"/>
        <v/>
      </c>
      <c r="BC35" s="251" t="str">
        <f t="shared" si="34"/>
        <v/>
      </c>
      <c r="BD35" s="251" t="str">
        <f t="shared" si="35"/>
        <v/>
      </c>
      <c r="BE35" s="251" t="str">
        <f t="shared" si="36"/>
        <v/>
      </c>
      <c r="BF35" s="251" t="str">
        <f t="shared" si="37"/>
        <v/>
      </c>
      <c r="BG35" s="251" t="str">
        <f t="shared" si="38"/>
        <v/>
      </c>
      <c r="BH35" s="251" t="str">
        <f t="shared" si="39"/>
        <v/>
      </c>
      <c r="BI35" s="251" t="str">
        <f t="shared" si="40"/>
        <v/>
      </c>
      <c r="BJ35" s="251" t="str">
        <f t="shared" si="41"/>
        <v/>
      </c>
      <c r="BK35" s="251" t="str">
        <f t="shared" si="42"/>
        <v/>
      </c>
      <c r="BL35" s="251" t="str">
        <f t="shared" si="43"/>
        <v/>
      </c>
      <c r="BM35" s="251" t="str">
        <f t="shared" si="44"/>
        <v/>
      </c>
      <c r="BN35" s="251" t="str">
        <f t="shared" si="45"/>
        <v/>
      </c>
      <c r="BO35" s="251" t="str">
        <f t="shared" si="46"/>
        <v/>
      </c>
      <c r="BP35" s="251" t="str">
        <f t="shared" si="47"/>
        <v/>
      </c>
      <c r="BQ35" s="251" t="str">
        <f t="shared" si="48"/>
        <v/>
      </c>
      <c r="BR35" s="251" t="str">
        <f t="shared" si="49"/>
        <v/>
      </c>
      <c r="BS35" s="251" t="str">
        <f t="shared" si="50"/>
        <v/>
      </c>
      <c r="BT35" s="251" t="str">
        <f t="shared" si="51"/>
        <v/>
      </c>
      <c r="BU35" s="251" t="str">
        <f t="shared" si="52"/>
        <v/>
      </c>
      <c r="BV35" s="251" t="str">
        <f t="shared" si="53"/>
        <v/>
      </c>
      <c r="BW35" s="251" t="str">
        <f t="shared" si="54"/>
        <v/>
      </c>
      <c r="BX35" s="251" t="str">
        <f t="shared" si="55"/>
        <v/>
      </c>
      <c r="BY35" s="251" t="str">
        <f t="shared" si="56"/>
        <v/>
      </c>
      <c r="BZ35" s="251" t="str">
        <f t="shared" si="57"/>
        <v/>
      </c>
      <c r="CA35" s="251" t="str">
        <f t="shared" si="58"/>
        <v/>
      </c>
      <c r="CB35" s="251" t="str">
        <f t="shared" si="59"/>
        <v/>
      </c>
      <c r="CC35" s="251" t="str">
        <f t="shared" si="60"/>
        <v/>
      </c>
      <c r="CD35" s="251" t="str">
        <f t="shared" si="61"/>
        <v/>
      </c>
      <c r="CE35" s="251" t="str">
        <f t="shared" si="62"/>
        <v/>
      </c>
      <c r="CF35" s="251" t="str">
        <f t="shared" si="63"/>
        <v/>
      </c>
      <c r="CG35" s="251" t="str">
        <f t="shared" si="64"/>
        <v/>
      </c>
      <c r="CH35" s="251" t="str">
        <f t="shared" si="65"/>
        <v/>
      </c>
      <c r="CI35" s="251" t="str">
        <f t="shared" si="66"/>
        <v/>
      </c>
      <c r="CJ35" s="251" t="str">
        <f t="shared" si="67"/>
        <v/>
      </c>
      <c r="CK35" s="251" t="str">
        <f t="shared" si="68"/>
        <v/>
      </c>
      <c r="CL35" s="251" t="str">
        <f t="shared" si="69"/>
        <v/>
      </c>
      <c r="CM35" s="251" t="str">
        <f t="shared" si="70"/>
        <v/>
      </c>
      <c r="CN35" s="251" t="str">
        <f t="shared" si="71"/>
        <v/>
      </c>
      <c r="CO35" s="251" t="str">
        <f t="shared" si="72"/>
        <v/>
      </c>
      <c r="CP35" s="251" t="str">
        <f t="shared" si="73"/>
        <v/>
      </c>
      <c r="CQ35" s="251" t="str">
        <f t="shared" si="74"/>
        <v/>
      </c>
      <c r="CR35" s="251" t="str">
        <f t="shared" si="75"/>
        <v/>
      </c>
      <c r="CS35" s="251" t="str">
        <f t="shared" si="76"/>
        <v/>
      </c>
      <c r="CT35" s="251" t="str">
        <f t="shared" si="77"/>
        <v/>
      </c>
      <c r="CU35" s="251" t="str">
        <f t="shared" si="78"/>
        <v/>
      </c>
      <c r="CV35" s="251" t="str">
        <f t="shared" si="79"/>
        <v/>
      </c>
      <c r="CW35" s="251" t="str">
        <f t="shared" si="80"/>
        <v/>
      </c>
      <c r="CX35" s="251" t="str">
        <f t="shared" si="81"/>
        <v/>
      </c>
      <c r="CY35" s="251" t="str">
        <f t="shared" si="82"/>
        <v/>
      </c>
      <c r="CZ35" s="251" t="str">
        <f t="shared" si="83"/>
        <v/>
      </c>
      <c r="DA35" s="251" t="str">
        <f t="shared" si="84"/>
        <v/>
      </c>
      <c r="DB35" s="251" t="str">
        <f t="shared" si="85"/>
        <v/>
      </c>
      <c r="DC35" s="251" t="str">
        <f t="shared" si="86"/>
        <v/>
      </c>
      <c r="DD35" s="251" t="str">
        <f t="shared" si="87"/>
        <v/>
      </c>
      <c r="DE35" s="251" t="str">
        <f t="shared" si="88"/>
        <v/>
      </c>
      <c r="DF35" s="251" t="str">
        <f t="shared" si="89"/>
        <v/>
      </c>
      <c r="DG35" s="251" t="str">
        <f t="shared" si="90"/>
        <v/>
      </c>
      <c r="DH35" s="251" t="str">
        <f t="shared" si="91"/>
        <v/>
      </c>
      <c r="DI35" s="251" t="str">
        <f t="shared" si="92"/>
        <v/>
      </c>
      <c r="DJ35" s="251" t="str">
        <f t="shared" si="93"/>
        <v/>
      </c>
      <c r="DK35" s="251" t="str">
        <f t="shared" si="94"/>
        <v/>
      </c>
      <c r="DL35" s="251" t="str">
        <f t="shared" si="95"/>
        <v/>
      </c>
      <c r="DM35" s="251" t="str">
        <f t="shared" si="96"/>
        <v/>
      </c>
      <c r="DN35" s="251" t="str">
        <f t="shared" si="97"/>
        <v/>
      </c>
      <c r="DO35" s="251" t="str">
        <f t="shared" si="98"/>
        <v/>
      </c>
      <c r="DP35" s="251" t="str">
        <f t="shared" si="99"/>
        <v/>
      </c>
      <c r="DQ35" s="251" t="str">
        <f t="shared" si="100"/>
        <v/>
      </c>
      <c r="DR35" s="251" t="str">
        <f t="shared" si="101"/>
        <v/>
      </c>
      <c r="DS35" s="251" t="str">
        <f t="shared" si="102"/>
        <v/>
      </c>
      <c r="DT35" s="251" t="str">
        <f t="shared" si="103"/>
        <v/>
      </c>
      <c r="DU35" s="251" t="str">
        <f t="shared" si="104"/>
        <v/>
      </c>
      <c r="DV35" s="251" t="str">
        <f t="shared" si="105"/>
        <v/>
      </c>
      <c r="DW35" s="251" t="str">
        <f t="shared" si="106"/>
        <v/>
      </c>
      <c r="DX35" s="251" t="str">
        <f t="shared" si="107"/>
        <v/>
      </c>
      <c r="DY35" s="251" t="str">
        <f t="shared" si="108"/>
        <v/>
      </c>
      <c r="DZ35" s="251" t="str">
        <f t="shared" si="109"/>
        <v/>
      </c>
      <c r="EA35" s="251" t="str">
        <f t="shared" si="110"/>
        <v/>
      </c>
      <c r="EB35" s="251" t="str">
        <f t="shared" si="111"/>
        <v/>
      </c>
      <c r="EC35" s="251" t="str">
        <f t="shared" si="112"/>
        <v/>
      </c>
      <c r="ED35" s="251" t="str">
        <f t="shared" si="113"/>
        <v/>
      </c>
      <c r="EE35" s="251" t="str">
        <f t="shared" si="114"/>
        <v/>
      </c>
      <c r="EF35" s="251" t="str">
        <f t="shared" si="115"/>
        <v/>
      </c>
      <c r="EG35" s="251" t="str">
        <f t="shared" si="116"/>
        <v/>
      </c>
      <c r="EH35" s="251" t="str">
        <f t="shared" si="117"/>
        <v/>
      </c>
      <c r="EI35" s="251" t="str">
        <f t="shared" si="118"/>
        <v/>
      </c>
      <c r="EJ35" s="251" t="str">
        <f t="shared" si="119"/>
        <v/>
      </c>
      <c r="EK35" s="251" t="str">
        <f t="shared" si="120"/>
        <v/>
      </c>
      <c r="EL35" s="251" t="str">
        <f t="shared" si="121"/>
        <v/>
      </c>
      <c r="EM35" s="251" t="str">
        <f t="shared" si="122"/>
        <v/>
      </c>
      <c r="EN35" s="251" t="str">
        <f t="shared" si="123"/>
        <v/>
      </c>
      <c r="EO35" s="251" t="str">
        <f t="shared" si="124"/>
        <v/>
      </c>
      <c r="EP35" s="251" t="str">
        <f t="shared" si="125"/>
        <v/>
      </c>
      <c r="EQ35" s="251" t="str">
        <f t="shared" si="126"/>
        <v/>
      </c>
      <c r="ER35" s="251" t="str">
        <f t="shared" si="127"/>
        <v/>
      </c>
      <c r="ES35" s="251" t="str">
        <f t="shared" si="128"/>
        <v/>
      </c>
      <c r="ET35" s="251" t="str">
        <f t="shared" si="129"/>
        <v/>
      </c>
      <c r="EU35" s="251" t="str">
        <f t="shared" si="130"/>
        <v/>
      </c>
      <c r="EV35" s="251" t="str">
        <f t="shared" si="131"/>
        <v/>
      </c>
      <c r="EW35" s="251" t="str">
        <f t="shared" si="132"/>
        <v/>
      </c>
      <c r="EX35" s="251" t="str">
        <f t="shared" si="133"/>
        <v/>
      </c>
      <c r="EY35" s="251" t="str">
        <f t="shared" si="134"/>
        <v/>
      </c>
      <c r="EZ35" s="251" t="str">
        <f t="shared" si="135"/>
        <v/>
      </c>
      <c r="FA35" s="251" t="str">
        <f t="shared" si="136"/>
        <v/>
      </c>
      <c r="FB35" s="251" t="str">
        <f t="shared" si="137"/>
        <v/>
      </c>
      <c r="FC35" s="251" t="str">
        <f t="shared" si="138"/>
        <v/>
      </c>
      <c r="FD35" s="251" t="str">
        <f t="shared" si="139"/>
        <v/>
      </c>
      <c r="FE35" s="251" t="str">
        <f t="shared" si="140"/>
        <v/>
      </c>
      <c r="FF35" s="251" t="str">
        <f t="shared" si="141"/>
        <v/>
      </c>
      <c r="FG35" s="251" t="str">
        <f t="shared" si="142"/>
        <v/>
      </c>
      <c r="FH35" s="251" t="str">
        <f t="shared" si="143"/>
        <v/>
      </c>
      <c r="FI35" s="251" t="str">
        <f t="shared" si="144"/>
        <v/>
      </c>
      <c r="FJ35" s="251" t="str">
        <f t="shared" si="145"/>
        <v/>
      </c>
      <c r="FK35" s="251" t="str">
        <f t="shared" si="146"/>
        <v/>
      </c>
      <c r="FL35" s="251" t="str">
        <f t="shared" si="147"/>
        <v/>
      </c>
      <c r="FM35" s="251" t="str">
        <f t="shared" si="148"/>
        <v/>
      </c>
      <c r="FN35" s="251" t="str">
        <f t="shared" si="149"/>
        <v/>
      </c>
      <c r="FO35" s="251" t="str">
        <f t="shared" si="150"/>
        <v/>
      </c>
      <c r="FP35" s="251" t="str">
        <f t="shared" si="151"/>
        <v/>
      </c>
      <c r="FQ35" s="251" t="str">
        <f t="shared" si="152"/>
        <v/>
      </c>
      <c r="FR35" s="251" t="str">
        <f t="shared" si="153"/>
        <v/>
      </c>
      <c r="FS35" s="251" t="str">
        <f t="shared" si="154"/>
        <v/>
      </c>
      <c r="FT35" s="251" t="str">
        <f t="shared" si="155"/>
        <v/>
      </c>
      <c r="FU35" s="251" t="str">
        <f t="shared" si="156"/>
        <v/>
      </c>
      <c r="FV35" s="251" t="str">
        <f t="shared" si="157"/>
        <v/>
      </c>
      <c r="FW35" s="251" t="str">
        <f t="shared" si="158"/>
        <v/>
      </c>
      <c r="FX35" s="251" t="str">
        <f t="shared" si="159"/>
        <v/>
      </c>
      <c r="FY35" s="251" t="str">
        <f t="shared" si="160"/>
        <v/>
      </c>
      <c r="FZ35" s="251" t="str">
        <f t="shared" si="161"/>
        <v/>
      </c>
      <c r="GA35" s="251" t="str">
        <f t="shared" si="162"/>
        <v/>
      </c>
      <c r="GB35" s="251" t="str">
        <f t="shared" si="163"/>
        <v/>
      </c>
      <c r="GC35" s="251" t="str">
        <f t="shared" si="164"/>
        <v/>
      </c>
      <c r="GD35" s="251" t="str">
        <f t="shared" si="165"/>
        <v/>
      </c>
      <c r="GE35" s="251" t="str">
        <f t="shared" si="166"/>
        <v/>
      </c>
      <c r="GF35" s="251" t="str">
        <f t="shared" si="167"/>
        <v/>
      </c>
      <c r="GG35" s="251" t="str">
        <f t="shared" si="168"/>
        <v/>
      </c>
      <c r="GH35" s="251" t="str">
        <f t="shared" si="169"/>
        <v/>
      </c>
      <c r="GI35" s="251" t="str">
        <f t="shared" si="170"/>
        <v/>
      </c>
      <c r="GJ35" s="251" t="str">
        <f t="shared" si="171"/>
        <v/>
      </c>
      <c r="GK35" s="251" t="str">
        <f t="shared" si="172"/>
        <v/>
      </c>
      <c r="GL35" s="251" t="str">
        <f t="shared" si="173"/>
        <v/>
      </c>
      <c r="GM35" s="251" t="str">
        <f t="shared" si="174"/>
        <v/>
      </c>
      <c r="GN35" s="251" t="str">
        <f t="shared" si="175"/>
        <v/>
      </c>
      <c r="GO35" s="251" t="str">
        <f t="shared" si="176"/>
        <v/>
      </c>
      <c r="GP35" s="251" t="str">
        <f t="shared" si="177"/>
        <v/>
      </c>
      <c r="GQ35" s="251" t="str">
        <f t="shared" si="178"/>
        <v/>
      </c>
      <c r="GR35" s="251" t="str">
        <f t="shared" si="179"/>
        <v/>
      </c>
      <c r="GS35" s="251" t="str">
        <f t="shared" si="180"/>
        <v/>
      </c>
      <c r="GT35" s="251" t="str">
        <f t="shared" si="181"/>
        <v/>
      </c>
      <c r="GU35" s="251" t="str">
        <f t="shared" si="182"/>
        <v/>
      </c>
      <c r="GV35" s="251" t="str">
        <f t="shared" si="183"/>
        <v/>
      </c>
      <c r="GW35" s="251" t="str">
        <f t="shared" si="184"/>
        <v/>
      </c>
      <c r="GX35" s="251" t="str">
        <f t="shared" si="185"/>
        <v/>
      </c>
      <c r="GY35" s="251" t="str">
        <f t="shared" si="186"/>
        <v/>
      </c>
      <c r="GZ35" s="251" t="str">
        <f t="shared" si="187"/>
        <v/>
      </c>
      <c r="HA35" s="251" t="str">
        <f t="shared" si="188"/>
        <v/>
      </c>
      <c r="HB35" s="251" t="str">
        <f t="shared" si="189"/>
        <v/>
      </c>
      <c r="HC35" s="251" t="str">
        <f t="shared" si="190"/>
        <v/>
      </c>
      <c r="HD35" s="251" t="str">
        <f t="shared" si="191"/>
        <v/>
      </c>
      <c r="HE35" s="251" t="str">
        <f t="shared" si="192"/>
        <v/>
      </c>
      <c r="HF35" s="251" t="str">
        <f t="shared" si="193"/>
        <v/>
      </c>
      <c r="HG35" s="251" t="str">
        <f t="shared" si="194"/>
        <v/>
      </c>
      <c r="HH35" s="251" t="str">
        <f t="shared" si="195"/>
        <v/>
      </c>
      <c r="HI35" s="251" t="str">
        <f t="shared" si="196"/>
        <v/>
      </c>
      <c r="HJ35" s="251" t="str">
        <f t="shared" si="197"/>
        <v/>
      </c>
      <c r="HK35" s="251" t="str">
        <f t="shared" si="198"/>
        <v/>
      </c>
      <c r="HL35" s="251" t="str">
        <f t="shared" si="199"/>
        <v/>
      </c>
      <c r="HM35" s="251" t="str">
        <f t="shared" si="200"/>
        <v/>
      </c>
      <c r="HN35" s="251" t="str">
        <f t="shared" si="201"/>
        <v/>
      </c>
      <c r="HO35" s="251" t="str">
        <f t="shared" si="202"/>
        <v/>
      </c>
      <c r="HP35" s="251" t="str">
        <f t="shared" si="203"/>
        <v/>
      </c>
      <c r="HQ35" s="251" t="str">
        <f t="shared" si="204"/>
        <v/>
      </c>
      <c r="HR35" s="251" t="str">
        <f t="shared" si="205"/>
        <v/>
      </c>
      <c r="HS35" s="251" t="str">
        <f t="shared" si="206"/>
        <v/>
      </c>
      <c r="HT35" s="251" t="str">
        <f t="shared" si="207"/>
        <v/>
      </c>
      <c r="HU35" s="251" t="str">
        <f t="shared" si="208"/>
        <v/>
      </c>
      <c r="HV35" s="251" t="str">
        <f t="shared" si="209"/>
        <v/>
      </c>
      <c r="HW35" s="251" t="str">
        <f t="shared" si="210"/>
        <v/>
      </c>
      <c r="HX35" s="251" t="str">
        <f t="shared" si="211"/>
        <v/>
      </c>
      <c r="HY35" s="251" t="str">
        <f t="shared" si="212"/>
        <v/>
      </c>
      <c r="HZ35" s="251" t="str">
        <f t="shared" si="213"/>
        <v/>
      </c>
      <c r="IA35" s="251" t="str">
        <f t="shared" si="214"/>
        <v/>
      </c>
      <c r="IB35" s="251" t="str">
        <f t="shared" si="215"/>
        <v/>
      </c>
      <c r="IC35" s="251" t="str">
        <f t="shared" si="216"/>
        <v/>
      </c>
      <c r="ID35" s="251" t="str">
        <f t="shared" si="217"/>
        <v/>
      </c>
      <c r="IE35" s="251" t="str">
        <f t="shared" si="218"/>
        <v/>
      </c>
      <c r="IF35" s="251" t="str">
        <f t="shared" si="219"/>
        <v/>
      </c>
      <c r="IG35" s="251" t="str">
        <f t="shared" si="220"/>
        <v/>
      </c>
      <c r="IH35" s="251" t="str">
        <f t="shared" si="221"/>
        <v/>
      </c>
      <c r="II35" s="251" t="str">
        <f t="shared" si="222"/>
        <v/>
      </c>
      <c r="IJ35" s="251" t="str">
        <f t="shared" si="223"/>
        <v/>
      </c>
      <c r="IK35" s="251" t="str">
        <f t="shared" si="224"/>
        <v/>
      </c>
      <c r="IL35" s="251" t="str">
        <f t="shared" si="225"/>
        <v/>
      </c>
      <c r="IM35" s="251" t="str">
        <f t="shared" si="226"/>
        <v/>
      </c>
      <c r="IN35" s="251" t="str">
        <f t="shared" si="227"/>
        <v/>
      </c>
      <c r="IO35" s="251" t="str">
        <f t="shared" si="228"/>
        <v/>
      </c>
      <c r="IP35" s="251" t="str">
        <f t="shared" si="229"/>
        <v/>
      </c>
      <c r="IQ35" s="251" t="str">
        <f t="shared" si="230"/>
        <v/>
      </c>
      <c r="IR35" s="251" t="str">
        <f t="shared" si="231"/>
        <v/>
      </c>
      <c r="IS35" s="251" t="str">
        <f t="shared" si="232"/>
        <v/>
      </c>
      <c r="IT35" s="251" t="str">
        <f t="shared" si="233"/>
        <v/>
      </c>
      <c r="IU35" s="251" t="str">
        <f t="shared" si="234"/>
        <v/>
      </c>
      <c r="IV35" s="251" t="str">
        <f t="shared" si="235"/>
        <v/>
      </c>
      <c r="IW35" s="251" t="str">
        <f t="shared" si="236"/>
        <v/>
      </c>
      <c r="IX35" s="251" t="str">
        <f t="shared" si="237"/>
        <v/>
      </c>
      <c r="IY35" s="251" t="str">
        <f t="shared" si="238"/>
        <v/>
      </c>
      <c r="IZ35" s="251" t="str">
        <f t="shared" si="239"/>
        <v/>
      </c>
      <c r="JA35" s="251" t="str">
        <f t="shared" si="240"/>
        <v/>
      </c>
      <c r="JB35" s="251" t="str">
        <f t="shared" si="241"/>
        <v/>
      </c>
      <c r="JC35" s="251" t="str">
        <f t="shared" si="242"/>
        <v/>
      </c>
      <c r="JD35" s="251" t="str">
        <f t="shared" si="243"/>
        <v/>
      </c>
      <c r="JE35" s="251" t="str">
        <f t="shared" si="244"/>
        <v/>
      </c>
      <c r="JF35" s="251" t="str">
        <f t="shared" si="245"/>
        <v/>
      </c>
      <c r="JG35" s="251" t="str">
        <f t="shared" si="246"/>
        <v/>
      </c>
      <c r="JH35" s="251" t="str">
        <f t="shared" si="247"/>
        <v/>
      </c>
      <c r="JI35" s="1297" t="str">
        <f t="shared" si="248"/>
        <v/>
      </c>
      <c r="JJ35" s="1297" t="str">
        <f t="shared" si="249"/>
        <v/>
      </c>
      <c r="JK35" s="1297" t="str">
        <f t="shared" si="250"/>
        <v/>
      </c>
      <c r="JL35" s="1297" t="str">
        <f t="shared" si="251"/>
        <v/>
      </c>
      <c r="JM35" s="1297" t="str">
        <f t="shared" si="252"/>
        <v/>
      </c>
      <c r="JN35" s="1297" t="str">
        <f t="shared" si="253"/>
        <v/>
      </c>
      <c r="JO35" s="1297" t="str">
        <f t="shared" si="254"/>
        <v/>
      </c>
      <c r="JP35" s="1297" t="str">
        <f t="shared" si="255"/>
        <v/>
      </c>
      <c r="JQ35" s="1297" t="str">
        <f t="shared" si="256"/>
        <v/>
      </c>
      <c r="JR35" s="1297" t="str">
        <f t="shared" si="257"/>
        <v/>
      </c>
      <c r="JS35" s="1297" t="str">
        <f t="shared" si="258"/>
        <v/>
      </c>
      <c r="JT35" s="1297" t="str">
        <f t="shared" si="259"/>
        <v/>
      </c>
      <c r="JU35" s="1297" t="str">
        <f t="shared" si="260"/>
        <v/>
      </c>
      <c r="JV35" s="1297" t="str">
        <f t="shared" si="261"/>
        <v/>
      </c>
      <c r="JW35" s="1297" t="str">
        <f t="shared" si="262"/>
        <v/>
      </c>
      <c r="JX35" s="1297" t="str">
        <f t="shared" si="263"/>
        <v/>
      </c>
      <c r="JY35" s="1297" t="str">
        <f t="shared" si="264"/>
        <v/>
      </c>
      <c r="JZ35" s="1297" t="str">
        <f t="shared" si="265"/>
        <v/>
      </c>
      <c r="KA35" s="1297" t="str">
        <f t="shared" si="266"/>
        <v/>
      </c>
      <c r="KB35" s="1297" t="str">
        <f t="shared" si="267"/>
        <v/>
      </c>
      <c r="KC35" s="1297" t="str">
        <f t="shared" si="268"/>
        <v/>
      </c>
      <c r="KD35" s="1297" t="str">
        <f t="shared" si="269"/>
        <v/>
      </c>
      <c r="KE35" s="1297" t="str">
        <f t="shared" si="270"/>
        <v/>
      </c>
      <c r="KF35" s="1297" t="str">
        <f t="shared" si="271"/>
        <v/>
      </c>
      <c r="KG35" s="1297" t="str">
        <f t="shared" si="272"/>
        <v/>
      </c>
      <c r="KH35" s="1297" t="str">
        <f t="shared" si="273"/>
        <v/>
      </c>
      <c r="KI35" s="1297" t="str">
        <f t="shared" si="274"/>
        <v/>
      </c>
      <c r="KJ35" s="1297" t="str">
        <f t="shared" si="275"/>
        <v/>
      </c>
      <c r="KK35" s="1297" t="str">
        <f t="shared" si="276"/>
        <v/>
      </c>
      <c r="KL35" s="1297" t="str">
        <f t="shared" si="277"/>
        <v/>
      </c>
      <c r="KM35" s="1297" t="str">
        <f t="shared" si="278"/>
        <v/>
      </c>
      <c r="KN35" s="1297" t="str">
        <f t="shared" si="279"/>
        <v/>
      </c>
      <c r="KO35" s="1297" t="str">
        <f t="shared" si="280"/>
        <v/>
      </c>
      <c r="KP35" s="1297" t="str">
        <f t="shared" si="281"/>
        <v/>
      </c>
      <c r="KQ35" s="1297" t="str">
        <f t="shared" si="282"/>
        <v/>
      </c>
      <c r="KR35" s="1297" t="str">
        <f t="shared" si="283"/>
        <v/>
      </c>
      <c r="KS35" s="1297" t="str">
        <f t="shared" si="284"/>
        <v/>
      </c>
      <c r="KT35" s="1297" t="str">
        <f t="shared" si="285"/>
        <v/>
      </c>
      <c r="KU35" s="1297" t="str">
        <f t="shared" si="286"/>
        <v/>
      </c>
      <c r="KV35" s="1297" t="str">
        <f t="shared" si="287"/>
        <v/>
      </c>
      <c r="KW35" s="1297" t="str">
        <f t="shared" si="288"/>
        <v/>
      </c>
      <c r="KX35" s="1297" t="str">
        <f t="shared" si="289"/>
        <v/>
      </c>
      <c r="KY35" s="1297" t="str">
        <f t="shared" si="290"/>
        <v/>
      </c>
      <c r="KZ35" s="1297" t="str">
        <f t="shared" si="291"/>
        <v/>
      </c>
      <c r="LA35" s="1297" t="str">
        <f t="shared" si="292"/>
        <v/>
      </c>
      <c r="LB35" s="1297" t="str">
        <f t="shared" si="293"/>
        <v/>
      </c>
      <c r="LC35" s="1297" t="str">
        <f t="shared" si="294"/>
        <v/>
      </c>
      <c r="LD35" s="1297" t="str">
        <f t="shared" si="295"/>
        <v/>
      </c>
      <c r="LE35" s="1297" t="str">
        <f t="shared" si="296"/>
        <v/>
      </c>
      <c r="LF35" s="1297" t="str">
        <f t="shared" si="297"/>
        <v/>
      </c>
      <c r="LG35" s="1297" t="str">
        <f t="shared" si="298"/>
        <v/>
      </c>
      <c r="LH35" s="1297" t="str">
        <f t="shared" si="299"/>
        <v/>
      </c>
      <c r="LI35" s="1297" t="str">
        <f t="shared" si="300"/>
        <v/>
      </c>
      <c r="LJ35" s="1297" t="str">
        <f t="shared" si="301"/>
        <v/>
      </c>
      <c r="LK35" s="1297" t="str">
        <f t="shared" si="302"/>
        <v/>
      </c>
      <c r="LL35" s="1297" t="str">
        <f t="shared" si="303"/>
        <v/>
      </c>
      <c r="LM35" s="1297" t="str">
        <f t="shared" si="304"/>
        <v/>
      </c>
      <c r="LN35" s="1297" t="str">
        <f t="shared" si="305"/>
        <v/>
      </c>
      <c r="LO35" s="1297" t="str">
        <f t="shared" si="306"/>
        <v/>
      </c>
      <c r="LP35" s="1297" t="str">
        <f t="shared" si="307"/>
        <v/>
      </c>
      <c r="LQ35" s="1297" t="str">
        <f t="shared" si="308"/>
        <v/>
      </c>
      <c r="LR35" s="1297" t="str">
        <f t="shared" si="309"/>
        <v/>
      </c>
      <c r="LS35" s="1297" t="str">
        <f t="shared" si="310"/>
        <v/>
      </c>
      <c r="LT35" s="1297" t="str">
        <f t="shared" si="311"/>
        <v/>
      </c>
      <c r="LU35" s="1297" t="str">
        <f t="shared" si="312"/>
        <v/>
      </c>
      <c r="LV35" s="1297" t="str">
        <f t="shared" si="313"/>
        <v/>
      </c>
      <c r="LW35" s="1297" t="str">
        <f t="shared" si="314"/>
        <v/>
      </c>
      <c r="LX35" s="1297" t="str">
        <f t="shared" si="315"/>
        <v/>
      </c>
      <c r="LY35" s="1297" t="str">
        <f t="shared" si="316"/>
        <v/>
      </c>
      <c r="LZ35" s="1297" t="str">
        <f t="shared" si="317"/>
        <v/>
      </c>
      <c r="MA35" s="1297" t="str">
        <f t="shared" si="318"/>
        <v/>
      </c>
      <c r="MB35" s="1297" t="str">
        <f t="shared" si="319"/>
        <v/>
      </c>
      <c r="MC35" s="1297" t="str">
        <f t="shared" si="320"/>
        <v/>
      </c>
      <c r="MD35" s="1297" t="str">
        <f t="shared" si="321"/>
        <v/>
      </c>
      <c r="ME35" s="1297" t="str">
        <f t="shared" si="322"/>
        <v/>
      </c>
      <c r="MF35" s="1297" t="str">
        <f t="shared" si="323"/>
        <v/>
      </c>
      <c r="MG35" s="1297" t="str">
        <f t="shared" si="324"/>
        <v/>
      </c>
      <c r="MH35" s="1297" t="str">
        <f t="shared" si="325"/>
        <v/>
      </c>
      <c r="MI35" s="1297" t="str">
        <f t="shared" si="326"/>
        <v/>
      </c>
      <c r="MJ35" s="1297" t="str">
        <f t="shared" si="327"/>
        <v/>
      </c>
      <c r="MK35" s="1297" t="str">
        <f t="shared" si="328"/>
        <v/>
      </c>
      <c r="ML35" s="1297" t="str">
        <f t="shared" si="329"/>
        <v/>
      </c>
      <c r="MM35" s="1297" t="str">
        <f t="shared" si="330"/>
        <v/>
      </c>
      <c r="MN35" s="1297" t="str">
        <f t="shared" si="331"/>
        <v/>
      </c>
      <c r="MO35" s="1297" t="str">
        <f t="shared" si="332"/>
        <v/>
      </c>
      <c r="MP35" s="1773" t="str">
        <f t="shared" si="333"/>
        <v/>
      </c>
      <c r="MQ35" s="1773" t="str">
        <f t="shared" si="334"/>
        <v/>
      </c>
      <c r="MR35" s="1773" t="str">
        <f t="shared" si="335"/>
        <v/>
      </c>
      <c r="MS35" s="1773" t="str">
        <f t="shared" si="336"/>
        <v/>
      </c>
      <c r="MT35" s="1773" t="str">
        <f t="shared" si="337"/>
        <v/>
      </c>
      <c r="MU35" s="251" t="str">
        <f t="shared" si="338"/>
        <v/>
      </c>
      <c r="MV35" s="251" t="str">
        <f t="shared" si="339"/>
        <v/>
      </c>
      <c r="MW35" s="251" t="str">
        <f t="shared" si="340"/>
        <v/>
      </c>
      <c r="MX35" s="251" t="str">
        <f t="shared" si="341"/>
        <v/>
      </c>
      <c r="MY35" s="251" t="str">
        <f t="shared" si="342"/>
        <v/>
      </c>
      <c r="MZ35" s="251" t="str">
        <f t="shared" si="343"/>
        <v/>
      </c>
      <c r="NA35" s="251" t="str">
        <f t="shared" si="344"/>
        <v/>
      </c>
      <c r="NB35" s="251" t="str">
        <f t="shared" si="345"/>
        <v/>
      </c>
      <c r="NC35" s="251" t="str">
        <f t="shared" si="346"/>
        <v/>
      </c>
      <c r="ND35" s="251" t="str">
        <f t="shared" si="347"/>
        <v/>
      </c>
      <c r="NE35" s="251" t="str">
        <f t="shared" si="348"/>
        <v/>
      </c>
      <c r="NF35" s="251" t="str">
        <f t="shared" si="349"/>
        <v/>
      </c>
      <c r="NG35" s="251" t="str">
        <f t="shared" si="350"/>
        <v/>
      </c>
      <c r="NH35" s="251" t="str">
        <f t="shared" si="351"/>
        <v/>
      </c>
      <c r="NI35" s="251" t="str">
        <f t="shared" si="352"/>
        <v/>
      </c>
      <c r="NJ35" s="251" t="str">
        <f t="shared" si="353"/>
        <v/>
      </c>
      <c r="NK35" s="251" t="str">
        <f t="shared" si="354"/>
        <v/>
      </c>
      <c r="NL35" s="251" t="str">
        <f t="shared" si="355"/>
        <v/>
      </c>
      <c r="NM35" s="251" t="str">
        <f t="shared" si="356"/>
        <v/>
      </c>
      <c r="NN35" s="251" t="str">
        <f t="shared" si="357"/>
        <v/>
      </c>
      <c r="NO35" s="1185">
        <f t="shared" si="358"/>
        <v>0</v>
      </c>
      <c r="NP35" s="1185">
        <f t="shared" si="359"/>
        <v>0</v>
      </c>
      <c r="NQ35" s="1185">
        <f t="shared" si="360"/>
        <v>0</v>
      </c>
      <c r="NR35" s="1185">
        <f t="shared" si="361"/>
        <v>0</v>
      </c>
      <c r="NS35" s="1185">
        <f t="shared" si="362"/>
        <v>0</v>
      </c>
      <c r="NT35" s="1185">
        <f t="shared" si="368"/>
        <v>0</v>
      </c>
      <c r="NU35" s="1185">
        <f t="shared" si="369"/>
        <v>0</v>
      </c>
      <c r="NV35" s="1185">
        <f t="shared" si="370"/>
        <v>0</v>
      </c>
      <c r="NW35" s="1185">
        <f t="shared" si="371"/>
        <v>0</v>
      </c>
      <c r="NX35" s="1185">
        <f t="shared" si="372"/>
        <v>0</v>
      </c>
      <c r="NY35" s="1185">
        <f t="shared" si="363"/>
        <v>0</v>
      </c>
      <c r="NZ35" s="1185">
        <f t="shared" si="364"/>
        <v>0</v>
      </c>
      <c r="OA35" s="1185">
        <f t="shared" si="365"/>
        <v>0</v>
      </c>
      <c r="OB35" s="1185">
        <f t="shared" si="366"/>
        <v>0</v>
      </c>
      <c r="OC35" s="1185">
        <f t="shared" si="367"/>
        <v>0</v>
      </c>
      <c r="OY35" s="1794" t="s">
        <v>1183</v>
      </c>
      <c r="OZ35" s="1799">
        <v>35</v>
      </c>
    </row>
    <row r="36" spans="1:416" ht="12" customHeight="1">
      <c r="A36" s="53" t="str">
        <f t="shared" si="0"/>
        <v/>
      </c>
      <c r="B36" s="782"/>
      <c r="C36" s="85"/>
      <c r="D36" s="1187"/>
      <c r="E36" s="86"/>
      <c r="F36" s="86"/>
      <c r="G36" s="86"/>
      <c r="H36" s="86"/>
      <c r="I36" s="86"/>
      <c r="J36" s="765">
        <f>IF(C36="",0,HLOOKUP(C36,'Part IV-Utility Allowances'!$I$11:$M$25,15))</f>
        <v>0</v>
      </c>
      <c r="K36" s="473"/>
      <c r="L36" s="330">
        <f t="shared" si="1"/>
        <v>0</v>
      </c>
      <c r="M36" s="330">
        <f t="shared" si="2"/>
        <v>0</v>
      </c>
      <c r="N36" s="506"/>
      <c r="O36" s="1134"/>
      <c r="P36" s="506"/>
      <c r="Q36" s="87"/>
      <c r="R36" s="540"/>
      <c r="S36" s="541"/>
      <c r="T36" s="3758"/>
      <c r="U36" s="3759"/>
      <c r="V36" s="3759"/>
      <c r="W36" s="3760"/>
      <c r="X36" s="251" t="str">
        <f t="shared" si="3"/>
        <v/>
      </c>
      <c r="Y36" s="251" t="str">
        <f t="shared" si="4"/>
        <v/>
      </c>
      <c r="Z36" s="251" t="str">
        <f t="shared" si="5"/>
        <v/>
      </c>
      <c r="AA36" s="251" t="str">
        <f t="shared" si="6"/>
        <v/>
      </c>
      <c r="AB36" s="251" t="str">
        <f t="shared" si="7"/>
        <v/>
      </c>
      <c r="AC36" s="251" t="str">
        <f t="shared" si="8"/>
        <v/>
      </c>
      <c r="AD36" s="251" t="str">
        <f t="shared" si="9"/>
        <v/>
      </c>
      <c r="AE36" s="251" t="str">
        <f t="shared" si="10"/>
        <v/>
      </c>
      <c r="AF36" s="251" t="str">
        <f t="shared" si="11"/>
        <v/>
      </c>
      <c r="AG36" s="251" t="str">
        <f t="shared" si="12"/>
        <v/>
      </c>
      <c r="AH36" s="251" t="str">
        <f t="shared" si="13"/>
        <v/>
      </c>
      <c r="AI36" s="251" t="str">
        <f t="shared" si="14"/>
        <v/>
      </c>
      <c r="AJ36" s="251" t="str">
        <f t="shared" si="15"/>
        <v/>
      </c>
      <c r="AK36" s="251" t="str">
        <f t="shared" si="16"/>
        <v/>
      </c>
      <c r="AL36" s="251" t="str">
        <f t="shared" si="17"/>
        <v/>
      </c>
      <c r="AM36" s="251" t="str">
        <f t="shared" si="18"/>
        <v/>
      </c>
      <c r="AN36" s="251" t="str">
        <f t="shared" si="19"/>
        <v/>
      </c>
      <c r="AO36" s="251" t="str">
        <f t="shared" si="20"/>
        <v/>
      </c>
      <c r="AP36" s="251" t="str">
        <f t="shared" si="21"/>
        <v/>
      </c>
      <c r="AQ36" s="251" t="str">
        <f t="shared" si="22"/>
        <v/>
      </c>
      <c r="AR36" s="251" t="str">
        <f t="shared" si="23"/>
        <v/>
      </c>
      <c r="AS36" s="251" t="str">
        <f t="shared" si="24"/>
        <v/>
      </c>
      <c r="AT36" s="251" t="str">
        <f t="shared" si="25"/>
        <v/>
      </c>
      <c r="AU36" s="251" t="str">
        <f t="shared" si="26"/>
        <v/>
      </c>
      <c r="AV36" s="251" t="str">
        <f t="shared" si="27"/>
        <v/>
      </c>
      <c r="AW36" s="251" t="str">
        <f t="shared" si="28"/>
        <v/>
      </c>
      <c r="AX36" s="251" t="str">
        <f t="shared" si="29"/>
        <v/>
      </c>
      <c r="AY36" s="251" t="str">
        <f t="shared" si="30"/>
        <v/>
      </c>
      <c r="AZ36" s="251" t="str">
        <f t="shared" si="31"/>
        <v/>
      </c>
      <c r="BA36" s="251" t="str">
        <f t="shared" si="32"/>
        <v/>
      </c>
      <c r="BB36" s="251" t="str">
        <f t="shared" si="33"/>
        <v/>
      </c>
      <c r="BC36" s="251" t="str">
        <f t="shared" si="34"/>
        <v/>
      </c>
      <c r="BD36" s="251" t="str">
        <f t="shared" si="35"/>
        <v/>
      </c>
      <c r="BE36" s="251" t="str">
        <f t="shared" si="36"/>
        <v/>
      </c>
      <c r="BF36" s="251" t="str">
        <f t="shared" si="37"/>
        <v/>
      </c>
      <c r="BG36" s="251" t="str">
        <f t="shared" si="38"/>
        <v/>
      </c>
      <c r="BH36" s="251" t="str">
        <f t="shared" si="39"/>
        <v/>
      </c>
      <c r="BI36" s="251" t="str">
        <f t="shared" si="40"/>
        <v/>
      </c>
      <c r="BJ36" s="251" t="str">
        <f t="shared" si="41"/>
        <v/>
      </c>
      <c r="BK36" s="251" t="str">
        <f t="shared" si="42"/>
        <v/>
      </c>
      <c r="BL36" s="251" t="str">
        <f t="shared" si="43"/>
        <v/>
      </c>
      <c r="BM36" s="251" t="str">
        <f t="shared" si="44"/>
        <v/>
      </c>
      <c r="BN36" s="251" t="str">
        <f t="shared" si="45"/>
        <v/>
      </c>
      <c r="BO36" s="251" t="str">
        <f t="shared" si="46"/>
        <v/>
      </c>
      <c r="BP36" s="251" t="str">
        <f t="shared" si="47"/>
        <v/>
      </c>
      <c r="BQ36" s="251" t="str">
        <f t="shared" si="48"/>
        <v/>
      </c>
      <c r="BR36" s="251" t="str">
        <f t="shared" si="49"/>
        <v/>
      </c>
      <c r="BS36" s="251" t="str">
        <f t="shared" si="50"/>
        <v/>
      </c>
      <c r="BT36" s="251" t="str">
        <f t="shared" si="51"/>
        <v/>
      </c>
      <c r="BU36" s="251" t="str">
        <f t="shared" si="52"/>
        <v/>
      </c>
      <c r="BV36" s="251" t="str">
        <f t="shared" si="53"/>
        <v/>
      </c>
      <c r="BW36" s="251" t="str">
        <f t="shared" si="54"/>
        <v/>
      </c>
      <c r="BX36" s="251" t="str">
        <f t="shared" si="55"/>
        <v/>
      </c>
      <c r="BY36" s="251" t="str">
        <f t="shared" si="56"/>
        <v/>
      </c>
      <c r="BZ36" s="251" t="str">
        <f t="shared" si="57"/>
        <v/>
      </c>
      <c r="CA36" s="251" t="str">
        <f t="shared" si="58"/>
        <v/>
      </c>
      <c r="CB36" s="251" t="str">
        <f t="shared" si="59"/>
        <v/>
      </c>
      <c r="CC36" s="251" t="str">
        <f t="shared" si="60"/>
        <v/>
      </c>
      <c r="CD36" s="251" t="str">
        <f t="shared" si="61"/>
        <v/>
      </c>
      <c r="CE36" s="251" t="str">
        <f t="shared" si="62"/>
        <v/>
      </c>
      <c r="CF36" s="251" t="str">
        <f t="shared" si="63"/>
        <v/>
      </c>
      <c r="CG36" s="251" t="str">
        <f t="shared" si="64"/>
        <v/>
      </c>
      <c r="CH36" s="251" t="str">
        <f t="shared" si="65"/>
        <v/>
      </c>
      <c r="CI36" s="251" t="str">
        <f t="shared" si="66"/>
        <v/>
      </c>
      <c r="CJ36" s="251" t="str">
        <f t="shared" si="67"/>
        <v/>
      </c>
      <c r="CK36" s="251" t="str">
        <f t="shared" si="68"/>
        <v/>
      </c>
      <c r="CL36" s="251" t="str">
        <f t="shared" si="69"/>
        <v/>
      </c>
      <c r="CM36" s="251" t="str">
        <f t="shared" si="70"/>
        <v/>
      </c>
      <c r="CN36" s="251" t="str">
        <f t="shared" si="71"/>
        <v/>
      </c>
      <c r="CO36" s="251" t="str">
        <f t="shared" si="72"/>
        <v/>
      </c>
      <c r="CP36" s="251" t="str">
        <f t="shared" si="73"/>
        <v/>
      </c>
      <c r="CQ36" s="251" t="str">
        <f t="shared" si="74"/>
        <v/>
      </c>
      <c r="CR36" s="251" t="str">
        <f t="shared" si="75"/>
        <v/>
      </c>
      <c r="CS36" s="251" t="str">
        <f t="shared" si="76"/>
        <v/>
      </c>
      <c r="CT36" s="251" t="str">
        <f t="shared" si="77"/>
        <v/>
      </c>
      <c r="CU36" s="251" t="str">
        <f t="shared" si="78"/>
        <v/>
      </c>
      <c r="CV36" s="251" t="str">
        <f t="shared" si="79"/>
        <v/>
      </c>
      <c r="CW36" s="251" t="str">
        <f t="shared" si="80"/>
        <v/>
      </c>
      <c r="CX36" s="251" t="str">
        <f t="shared" si="81"/>
        <v/>
      </c>
      <c r="CY36" s="251" t="str">
        <f t="shared" si="82"/>
        <v/>
      </c>
      <c r="CZ36" s="251" t="str">
        <f t="shared" si="83"/>
        <v/>
      </c>
      <c r="DA36" s="251" t="str">
        <f t="shared" si="84"/>
        <v/>
      </c>
      <c r="DB36" s="251" t="str">
        <f t="shared" si="85"/>
        <v/>
      </c>
      <c r="DC36" s="251" t="str">
        <f t="shared" si="86"/>
        <v/>
      </c>
      <c r="DD36" s="251" t="str">
        <f t="shared" si="87"/>
        <v/>
      </c>
      <c r="DE36" s="251" t="str">
        <f t="shared" si="88"/>
        <v/>
      </c>
      <c r="DF36" s="251" t="str">
        <f t="shared" si="89"/>
        <v/>
      </c>
      <c r="DG36" s="251" t="str">
        <f t="shared" si="90"/>
        <v/>
      </c>
      <c r="DH36" s="251" t="str">
        <f t="shared" si="91"/>
        <v/>
      </c>
      <c r="DI36" s="251" t="str">
        <f t="shared" si="92"/>
        <v/>
      </c>
      <c r="DJ36" s="251" t="str">
        <f t="shared" si="93"/>
        <v/>
      </c>
      <c r="DK36" s="251" t="str">
        <f t="shared" si="94"/>
        <v/>
      </c>
      <c r="DL36" s="251" t="str">
        <f t="shared" si="95"/>
        <v/>
      </c>
      <c r="DM36" s="251" t="str">
        <f t="shared" si="96"/>
        <v/>
      </c>
      <c r="DN36" s="251" t="str">
        <f t="shared" si="97"/>
        <v/>
      </c>
      <c r="DO36" s="251" t="str">
        <f t="shared" si="98"/>
        <v/>
      </c>
      <c r="DP36" s="251" t="str">
        <f t="shared" si="99"/>
        <v/>
      </c>
      <c r="DQ36" s="251" t="str">
        <f t="shared" si="100"/>
        <v/>
      </c>
      <c r="DR36" s="251" t="str">
        <f t="shared" si="101"/>
        <v/>
      </c>
      <c r="DS36" s="251" t="str">
        <f t="shared" si="102"/>
        <v/>
      </c>
      <c r="DT36" s="251" t="str">
        <f t="shared" si="103"/>
        <v/>
      </c>
      <c r="DU36" s="251" t="str">
        <f t="shared" si="104"/>
        <v/>
      </c>
      <c r="DV36" s="251" t="str">
        <f t="shared" si="105"/>
        <v/>
      </c>
      <c r="DW36" s="251" t="str">
        <f t="shared" si="106"/>
        <v/>
      </c>
      <c r="DX36" s="251" t="str">
        <f t="shared" si="107"/>
        <v/>
      </c>
      <c r="DY36" s="251" t="str">
        <f t="shared" si="108"/>
        <v/>
      </c>
      <c r="DZ36" s="251" t="str">
        <f t="shared" si="109"/>
        <v/>
      </c>
      <c r="EA36" s="251" t="str">
        <f t="shared" si="110"/>
        <v/>
      </c>
      <c r="EB36" s="251" t="str">
        <f t="shared" si="111"/>
        <v/>
      </c>
      <c r="EC36" s="251" t="str">
        <f t="shared" si="112"/>
        <v/>
      </c>
      <c r="ED36" s="251" t="str">
        <f t="shared" si="113"/>
        <v/>
      </c>
      <c r="EE36" s="251" t="str">
        <f t="shared" si="114"/>
        <v/>
      </c>
      <c r="EF36" s="251" t="str">
        <f t="shared" si="115"/>
        <v/>
      </c>
      <c r="EG36" s="251" t="str">
        <f t="shared" si="116"/>
        <v/>
      </c>
      <c r="EH36" s="251" t="str">
        <f t="shared" si="117"/>
        <v/>
      </c>
      <c r="EI36" s="251" t="str">
        <f t="shared" si="118"/>
        <v/>
      </c>
      <c r="EJ36" s="251" t="str">
        <f t="shared" si="119"/>
        <v/>
      </c>
      <c r="EK36" s="251" t="str">
        <f t="shared" si="120"/>
        <v/>
      </c>
      <c r="EL36" s="251" t="str">
        <f t="shared" si="121"/>
        <v/>
      </c>
      <c r="EM36" s="251" t="str">
        <f t="shared" si="122"/>
        <v/>
      </c>
      <c r="EN36" s="251" t="str">
        <f t="shared" si="123"/>
        <v/>
      </c>
      <c r="EO36" s="251" t="str">
        <f t="shared" si="124"/>
        <v/>
      </c>
      <c r="EP36" s="251" t="str">
        <f t="shared" si="125"/>
        <v/>
      </c>
      <c r="EQ36" s="251" t="str">
        <f t="shared" si="126"/>
        <v/>
      </c>
      <c r="ER36" s="251" t="str">
        <f t="shared" si="127"/>
        <v/>
      </c>
      <c r="ES36" s="251" t="str">
        <f t="shared" si="128"/>
        <v/>
      </c>
      <c r="ET36" s="251" t="str">
        <f t="shared" si="129"/>
        <v/>
      </c>
      <c r="EU36" s="251" t="str">
        <f t="shared" si="130"/>
        <v/>
      </c>
      <c r="EV36" s="251" t="str">
        <f t="shared" si="131"/>
        <v/>
      </c>
      <c r="EW36" s="251" t="str">
        <f t="shared" si="132"/>
        <v/>
      </c>
      <c r="EX36" s="251" t="str">
        <f t="shared" si="133"/>
        <v/>
      </c>
      <c r="EY36" s="251" t="str">
        <f t="shared" si="134"/>
        <v/>
      </c>
      <c r="EZ36" s="251" t="str">
        <f t="shared" si="135"/>
        <v/>
      </c>
      <c r="FA36" s="251" t="str">
        <f t="shared" si="136"/>
        <v/>
      </c>
      <c r="FB36" s="251" t="str">
        <f t="shared" si="137"/>
        <v/>
      </c>
      <c r="FC36" s="251" t="str">
        <f t="shared" si="138"/>
        <v/>
      </c>
      <c r="FD36" s="251" t="str">
        <f t="shared" si="139"/>
        <v/>
      </c>
      <c r="FE36" s="251" t="str">
        <f t="shared" si="140"/>
        <v/>
      </c>
      <c r="FF36" s="251" t="str">
        <f t="shared" si="141"/>
        <v/>
      </c>
      <c r="FG36" s="251" t="str">
        <f t="shared" si="142"/>
        <v/>
      </c>
      <c r="FH36" s="251" t="str">
        <f t="shared" si="143"/>
        <v/>
      </c>
      <c r="FI36" s="251" t="str">
        <f t="shared" si="144"/>
        <v/>
      </c>
      <c r="FJ36" s="251" t="str">
        <f t="shared" si="145"/>
        <v/>
      </c>
      <c r="FK36" s="251" t="str">
        <f t="shared" si="146"/>
        <v/>
      </c>
      <c r="FL36" s="251" t="str">
        <f t="shared" si="147"/>
        <v/>
      </c>
      <c r="FM36" s="251" t="str">
        <f t="shared" si="148"/>
        <v/>
      </c>
      <c r="FN36" s="251" t="str">
        <f t="shared" si="149"/>
        <v/>
      </c>
      <c r="FO36" s="251" t="str">
        <f t="shared" si="150"/>
        <v/>
      </c>
      <c r="FP36" s="251" t="str">
        <f t="shared" si="151"/>
        <v/>
      </c>
      <c r="FQ36" s="251" t="str">
        <f t="shared" si="152"/>
        <v/>
      </c>
      <c r="FR36" s="251" t="str">
        <f t="shared" si="153"/>
        <v/>
      </c>
      <c r="FS36" s="251" t="str">
        <f t="shared" si="154"/>
        <v/>
      </c>
      <c r="FT36" s="251" t="str">
        <f t="shared" si="155"/>
        <v/>
      </c>
      <c r="FU36" s="251" t="str">
        <f t="shared" si="156"/>
        <v/>
      </c>
      <c r="FV36" s="251" t="str">
        <f t="shared" si="157"/>
        <v/>
      </c>
      <c r="FW36" s="251" t="str">
        <f t="shared" si="158"/>
        <v/>
      </c>
      <c r="FX36" s="251" t="str">
        <f t="shared" si="159"/>
        <v/>
      </c>
      <c r="FY36" s="251" t="str">
        <f t="shared" si="160"/>
        <v/>
      </c>
      <c r="FZ36" s="251" t="str">
        <f t="shared" si="161"/>
        <v/>
      </c>
      <c r="GA36" s="251" t="str">
        <f t="shared" si="162"/>
        <v/>
      </c>
      <c r="GB36" s="251" t="str">
        <f t="shared" si="163"/>
        <v/>
      </c>
      <c r="GC36" s="251" t="str">
        <f t="shared" si="164"/>
        <v/>
      </c>
      <c r="GD36" s="251" t="str">
        <f t="shared" si="165"/>
        <v/>
      </c>
      <c r="GE36" s="251" t="str">
        <f t="shared" si="166"/>
        <v/>
      </c>
      <c r="GF36" s="251" t="str">
        <f t="shared" si="167"/>
        <v/>
      </c>
      <c r="GG36" s="251" t="str">
        <f t="shared" si="168"/>
        <v/>
      </c>
      <c r="GH36" s="251" t="str">
        <f t="shared" si="169"/>
        <v/>
      </c>
      <c r="GI36" s="251" t="str">
        <f t="shared" si="170"/>
        <v/>
      </c>
      <c r="GJ36" s="251" t="str">
        <f t="shared" si="171"/>
        <v/>
      </c>
      <c r="GK36" s="251" t="str">
        <f t="shared" si="172"/>
        <v/>
      </c>
      <c r="GL36" s="251" t="str">
        <f t="shared" si="173"/>
        <v/>
      </c>
      <c r="GM36" s="251" t="str">
        <f t="shared" si="174"/>
        <v/>
      </c>
      <c r="GN36" s="251" t="str">
        <f t="shared" si="175"/>
        <v/>
      </c>
      <c r="GO36" s="251" t="str">
        <f t="shared" si="176"/>
        <v/>
      </c>
      <c r="GP36" s="251" t="str">
        <f t="shared" si="177"/>
        <v/>
      </c>
      <c r="GQ36" s="251" t="str">
        <f t="shared" si="178"/>
        <v/>
      </c>
      <c r="GR36" s="251" t="str">
        <f t="shared" si="179"/>
        <v/>
      </c>
      <c r="GS36" s="251" t="str">
        <f t="shared" si="180"/>
        <v/>
      </c>
      <c r="GT36" s="251" t="str">
        <f t="shared" si="181"/>
        <v/>
      </c>
      <c r="GU36" s="251" t="str">
        <f t="shared" si="182"/>
        <v/>
      </c>
      <c r="GV36" s="251" t="str">
        <f t="shared" si="183"/>
        <v/>
      </c>
      <c r="GW36" s="251" t="str">
        <f t="shared" si="184"/>
        <v/>
      </c>
      <c r="GX36" s="251" t="str">
        <f t="shared" si="185"/>
        <v/>
      </c>
      <c r="GY36" s="251" t="str">
        <f t="shared" si="186"/>
        <v/>
      </c>
      <c r="GZ36" s="251" t="str">
        <f t="shared" si="187"/>
        <v/>
      </c>
      <c r="HA36" s="251" t="str">
        <f t="shared" si="188"/>
        <v/>
      </c>
      <c r="HB36" s="251" t="str">
        <f t="shared" si="189"/>
        <v/>
      </c>
      <c r="HC36" s="251" t="str">
        <f t="shared" si="190"/>
        <v/>
      </c>
      <c r="HD36" s="251" t="str">
        <f t="shared" si="191"/>
        <v/>
      </c>
      <c r="HE36" s="251" t="str">
        <f t="shared" si="192"/>
        <v/>
      </c>
      <c r="HF36" s="251" t="str">
        <f t="shared" si="193"/>
        <v/>
      </c>
      <c r="HG36" s="251" t="str">
        <f t="shared" si="194"/>
        <v/>
      </c>
      <c r="HH36" s="251" t="str">
        <f t="shared" si="195"/>
        <v/>
      </c>
      <c r="HI36" s="251" t="str">
        <f t="shared" si="196"/>
        <v/>
      </c>
      <c r="HJ36" s="251" t="str">
        <f t="shared" si="197"/>
        <v/>
      </c>
      <c r="HK36" s="251" t="str">
        <f t="shared" si="198"/>
        <v/>
      </c>
      <c r="HL36" s="251" t="str">
        <f t="shared" si="199"/>
        <v/>
      </c>
      <c r="HM36" s="251" t="str">
        <f t="shared" si="200"/>
        <v/>
      </c>
      <c r="HN36" s="251" t="str">
        <f t="shared" si="201"/>
        <v/>
      </c>
      <c r="HO36" s="251" t="str">
        <f t="shared" si="202"/>
        <v/>
      </c>
      <c r="HP36" s="251" t="str">
        <f t="shared" si="203"/>
        <v/>
      </c>
      <c r="HQ36" s="251" t="str">
        <f t="shared" si="204"/>
        <v/>
      </c>
      <c r="HR36" s="251" t="str">
        <f t="shared" si="205"/>
        <v/>
      </c>
      <c r="HS36" s="251" t="str">
        <f t="shared" si="206"/>
        <v/>
      </c>
      <c r="HT36" s="251" t="str">
        <f t="shared" si="207"/>
        <v/>
      </c>
      <c r="HU36" s="251" t="str">
        <f t="shared" si="208"/>
        <v/>
      </c>
      <c r="HV36" s="251" t="str">
        <f t="shared" si="209"/>
        <v/>
      </c>
      <c r="HW36" s="251" t="str">
        <f t="shared" si="210"/>
        <v/>
      </c>
      <c r="HX36" s="251" t="str">
        <f t="shared" si="211"/>
        <v/>
      </c>
      <c r="HY36" s="251" t="str">
        <f t="shared" si="212"/>
        <v/>
      </c>
      <c r="HZ36" s="251" t="str">
        <f t="shared" si="213"/>
        <v/>
      </c>
      <c r="IA36" s="251" t="str">
        <f t="shared" si="214"/>
        <v/>
      </c>
      <c r="IB36" s="251" t="str">
        <f t="shared" si="215"/>
        <v/>
      </c>
      <c r="IC36" s="251" t="str">
        <f t="shared" si="216"/>
        <v/>
      </c>
      <c r="ID36" s="251" t="str">
        <f t="shared" si="217"/>
        <v/>
      </c>
      <c r="IE36" s="251" t="str">
        <f t="shared" si="218"/>
        <v/>
      </c>
      <c r="IF36" s="251" t="str">
        <f t="shared" si="219"/>
        <v/>
      </c>
      <c r="IG36" s="251" t="str">
        <f t="shared" si="220"/>
        <v/>
      </c>
      <c r="IH36" s="251" t="str">
        <f t="shared" si="221"/>
        <v/>
      </c>
      <c r="II36" s="251" t="str">
        <f t="shared" si="222"/>
        <v/>
      </c>
      <c r="IJ36" s="251" t="str">
        <f t="shared" si="223"/>
        <v/>
      </c>
      <c r="IK36" s="251" t="str">
        <f t="shared" si="224"/>
        <v/>
      </c>
      <c r="IL36" s="251" t="str">
        <f t="shared" si="225"/>
        <v/>
      </c>
      <c r="IM36" s="251" t="str">
        <f t="shared" si="226"/>
        <v/>
      </c>
      <c r="IN36" s="251" t="str">
        <f t="shared" si="227"/>
        <v/>
      </c>
      <c r="IO36" s="251" t="str">
        <f t="shared" si="228"/>
        <v/>
      </c>
      <c r="IP36" s="251" t="str">
        <f t="shared" si="229"/>
        <v/>
      </c>
      <c r="IQ36" s="251" t="str">
        <f t="shared" si="230"/>
        <v/>
      </c>
      <c r="IR36" s="251" t="str">
        <f t="shared" si="231"/>
        <v/>
      </c>
      <c r="IS36" s="251" t="str">
        <f t="shared" si="232"/>
        <v/>
      </c>
      <c r="IT36" s="251" t="str">
        <f t="shared" si="233"/>
        <v/>
      </c>
      <c r="IU36" s="251" t="str">
        <f t="shared" si="234"/>
        <v/>
      </c>
      <c r="IV36" s="251" t="str">
        <f t="shared" si="235"/>
        <v/>
      </c>
      <c r="IW36" s="251" t="str">
        <f t="shared" si="236"/>
        <v/>
      </c>
      <c r="IX36" s="251" t="str">
        <f t="shared" si="237"/>
        <v/>
      </c>
      <c r="IY36" s="251" t="str">
        <f t="shared" si="238"/>
        <v/>
      </c>
      <c r="IZ36" s="251" t="str">
        <f t="shared" si="239"/>
        <v/>
      </c>
      <c r="JA36" s="251" t="str">
        <f t="shared" si="240"/>
        <v/>
      </c>
      <c r="JB36" s="251" t="str">
        <f t="shared" si="241"/>
        <v/>
      </c>
      <c r="JC36" s="251" t="str">
        <f t="shared" si="242"/>
        <v/>
      </c>
      <c r="JD36" s="251" t="str">
        <f t="shared" si="243"/>
        <v/>
      </c>
      <c r="JE36" s="251" t="str">
        <f t="shared" si="244"/>
        <v/>
      </c>
      <c r="JF36" s="251" t="str">
        <f t="shared" si="245"/>
        <v/>
      </c>
      <c r="JG36" s="251" t="str">
        <f t="shared" si="246"/>
        <v/>
      </c>
      <c r="JH36" s="251" t="str">
        <f t="shared" si="247"/>
        <v/>
      </c>
      <c r="JI36" s="1297" t="str">
        <f t="shared" si="248"/>
        <v/>
      </c>
      <c r="JJ36" s="1297" t="str">
        <f t="shared" si="249"/>
        <v/>
      </c>
      <c r="JK36" s="1297" t="str">
        <f t="shared" si="250"/>
        <v/>
      </c>
      <c r="JL36" s="1297" t="str">
        <f t="shared" si="251"/>
        <v/>
      </c>
      <c r="JM36" s="1297" t="str">
        <f t="shared" si="252"/>
        <v/>
      </c>
      <c r="JN36" s="1297" t="str">
        <f t="shared" si="253"/>
        <v/>
      </c>
      <c r="JO36" s="1297" t="str">
        <f t="shared" si="254"/>
        <v/>
      </c>
      <c r="JP36" s="1297" t="str">
        <f t="shared" si="255"/>
        <v/>
      </c>
      <c r="JQ36" s="1297" t="str">
        <f t="shared" si="256"/>
        <v/>
      </c>
      <c r="JR36" s="1297" t="str">
        <f t="shared" si="257"/>
        <v/>
      </c>
      <c r="JS36" s="1297" t="str">
        <f t="shared" si="258"/>
        <v/>
      </c>
      <c r="JT36" s="1297" t="str">
        <f t="shared" si="259"/>
        <v/>
      </c>
      <c r="JU36" s="1297" t="str">
        <f t="shared" si="260"/>
        <v/>
      </c>
      <c r="JV36" s="1297" t="str">
        <f t="shared" si="261"/>
        <v/>
      </c>
      <c r="JW36" s="1297" t="str">
        <f t="shared" si="262"/>
        <v/>
      </c>
      <c r="JX36" s="1297" t="str">
        <f t="shared" si="263"/>
        <v/>
      </c>
      <c r="JY36" s="1297" t="str">
        <f t="shared" si="264"/>
        <v/>
      </c>
      <c r="JZ36" s="1297" t="str">
        <f t="shared" si="265"/>
        <v/>
      </c>
      <c r="KA36" s="1297" t="str">
        <f t="shared" si="266"/>
        <v/>
      </c>
      <c r="KB36" s="1297" t="str">
        <f t="shared" si="267"/>
        <v/>
      </c>
      <c r="KC36" s="1297" t="str">
        <f t="shared" si="268"/>
        <v/>
      </c>
      <c r="KD36" s="1297" t="str">
        <f t="shared" si="269"/>
        <v/>
      </c>
      <c r="KE36" s="1297" t="str">
        <f t="shared" si="270"/>
        <v/>
      </c>
      <c r="KF36" s="1297" t="str">
        <f t="shared" si="271"/>
        <v/>
      </c>
      <c r="KG36" s="1297" t="str">
        <f t="shared" si="272"/>
        <v/>
      </c>
      <c r="KH36" s="1297" t="str">
        <f t="shared" si="273"/>
        <v/>
      </c>
      <c r="KI36" s="1297" t="str">
        <f t="shared" si="274"/>
        <v/>
      </c>
      <c r="KJ36" s="1297" t="str">
        <f t="shared" si="275"/>
        <v/>
      </c>
      <c r="KK36" s="1297" t="str">
        <f t="shared" si="276"/>
        <v/>
      </c>
      <c r="KL36" s="1297" t="str">
        <f t="shared" si="277"/>
        <v/>
      </c>
      <c r="KM36" s="1297" t="str">
        <f t="shared" si="278"/>
        <v/>
      </c>
      <c r="KN36" s="1297" t="str">
        <f t="shared" si="279"/>
        <v/>
      </c>
      <c r="KO36" s="1297" t="str">
        <f t="shared" si="280"/>
        <v/>
      </c>
      <c r="KP36" s="1297" t="str">
        <f t="shared" si="281"/>
        <v/>
      </c>
      <c r="KQ36" s="1297" t="str">
        <f t="shared" si="282"/>
        <v/>
      </c>
      <c r="KR36" s="1297" t="str">
        <f t="shared" si="283"/>
        <v/>
      </c>
      <c r="KS36" s="1297" t="str">
        <f t="shared" si="284"/>
        <v/>
      </c>
      <c r="KT36" s="1297" t="str">
        <f t="shared" si="285"/>
        <v/>
      </c>
      <c r="KU36" s="1297" t="str">
        <f t="shared" si="286"/>
        <v/>
      </c>
      <c r="KV36" s="1297" t="str">
        <f t="shared" si="287"/>
        <v/>
      </c>
      <c r="KW36" s="1297" t="str">
        <f t="shared" si="288"/>
        <v/>
      </c>
      <c r="KX36" s="1297" t="str">
        <f t="shared" si="289"/>
        <v/>
      </c>
      <c r="KY36" s="1297" t="str">
        <f t="shared" si="290"/>
        <v/>
      </c>
      <c r="KZ36" s="1297" t="str">
        <f t="shared" si="291"/>
        <v/>
      </c>
      <c r="LA36" s="1297" t="str">
        <f t="shared" si="292"/>
        <v/>
      </c>
      <c r="LB36" s="1297" t="str">
        <f t="shared" si="293"/>
        <v/>
      </c>
      <c r="LC36" s="1297" t="str">
        <f t="shared" si="294"/>
        <v/>
      </c>
      <c r="LD36" s="1297" t="str">
        <f t="shared" si="295"/>
        <v/>
      </c>
      <c r="LE36" s="1297" t="str">
        <f t="shared" si="296"/>
        <v/>
      </c>
      <c r="LF36" s="1297" t="str">
        <f t="shared" si="297"/>
        <v/>
      </c>
      <c r="LG36" s="1297" t="str">
        <f t="shared" si="298"/>
        <v/>
      </c>
      <c r="LH36" s="1297" t="str">
        <f t="shared" si="299"/>
        <v/>
      </c>
      <c r="LI36" s="1297" t="str">
        <f t="shared" si="300"/>
        <v/>
      </c>
      <c r="LJ36" s="1297" t="str">
        <f t="shared" si="301"/>
        <v/>
      </c>
      <c r="LK36" s="1297" t="str">
        <f t="shared" si="302"/>
        <v/>
      </c>
      <c r="LL36" s="1297" t="str">
        <f t="shared" si="303"/>
        <v/>
      </c>
      <c r="LM36" s="1297" t="str">
        <f t="shared" si="304"/>
        <v/>
      </c>
      <c r="LN36" s="1297" t="str">
        <f t="shared" si="305"/>
        <v/>
      </c>
      <c r="LO36" s="1297" t="str">
        <f t="shared" si="306"/>
        <v/>
      </c>
      <c r="LP36" s="1297" t="str">
        <f t="shared" si="307"/>
        <v/>
      </c>
      <c r="LQ36" s="1297" t="str">
        <f t="shared" si="308"/>
        <v/>
      </c>
      <c r="LR36" s="1297" t="str">
        <f t="shared" si="309"/>
        <v/>
      </c>
      <c r="LS36" s="1297" t="str">
        <f t="shared" si="310"/>
        <v/>
      </c>
      <c r="LT36" s="1297" t="str">
        <f t="shared" si="311"/>
        <v/>
      </c>
      <c r="LU36" s="1297" t="str">
        <f t="shared" si="312"/>
        <v/>
      </c>
      <c r="LV36" s="1297" t="str">
        <f t="shared" si="313"/>
        <v/>
      </c>
      <c r="LW36" s="1297" t="str">
        <f t="shared" si="314"/>
        <v/>
      </c>
      <c r="LX36" s="1297" t="str">
        <f t="shared" si="315"/>
        <v/>
      </c>
      <c r="LY36" s="1297" t="str">
        <f t="shared" si="316"/>
        <v/>
      </c>
      <c r="LZ36" s="1297" t="str">
        <f t="shared" si="317"/>
        <v/>
      </c>
      <c r="MA36" s="1297" t="str">
        <f t="shared" si="318"/>
        <v/>
      </c>
      <c r="MB36" s="1297" t="str">
        <f t="shared" si="319"/>
        <v/>
      </c>
      <c r="MC36" s="1297" t="str">
        <f t="shared" si="320"/>
        <v/>
      </c>
      <c r="MD36" s="1297" t="str">
        <f t="shared" si="321"/>
        <v/>
      </c>
      <c r="ME36" s="1297" t="str">
        <f t="shared" si="322"/>
        <v/>
      </c>
      <c r="MF36" s="1297" t="str">
        <f t="shared" si="323"/>
        <v/>
      </c>
      <c r="MG36" s="1297" t="str">
        <f t="shared" si="324"/>
        <v/>
      </c>
      <c r="MH36" s="1297" t="str">
        <f t="shared" si="325"/>
        <v/>
      </c>
      <c r="MI36" s="1297" t="str">
        <f t="shared" si="326"/>
        <v/>
      </c>
      <c r="MJ36" s="1297" t="str">
        <f t="shared" si="327"/>
        <v/>
      </c>
      <c r="MK36" s="1297" t="str">
        <f t="shared" si="328"/>
        <v/>
      </c>
      <c r="ML36" s="1297" t="str">
        <f t="shared" si="329"/>
        <v/>
      </c>
      <c r="MM36" s="1297" t="str">
        <f t="shared" si="330"/>
        <v/>
      </c>
      <c r="MN36" s="1297" t="str">
        <f t="shared" si="331"/>
        <v/>
      </c>
      <c r="MO36" s="1297" t="str">
        <f t="shared" si="332"/>
        <v/>
      </c>
      <c r="MP36" s="1773" t="str">
        <f t="shared" si="333"/>
        <v/>
      </c>
      <c r="MQ36" s="1773" t="str">
        <f t="shared" si="334"/>
        <v/>
      </c>
      <c r="MR36" s="1773" t="str">
        <f t="shared" si="335"/>
        <v/>
      </c>
      <c r="MS36" s="1773" t="str">
        <f t="shared" si="336"/>
        <v/>
      </c>
      <c r="MT36" s="1773" t="str">
        <f t="shared" si="337"/>
        <v/>
      </c>
      <c r="MU36" s="251" t="str">
        <f t="shared" si="338"/>
        <v/>
      </c>
      <c r="MV36" s="251" t="str">
        <f t="shared" si="339"/>
        <v/>
      </c>
      <c r="MW36" s="251" t="str">
        <f t="shared" si="340"/>
        <v/>
      </c>
      <c r="MX36" s="251" t="str">
        <f t="shared" si="341"/>
        <v/>
      </c>
      <c r="MY36" s="251" t="str">
        <f t="shared" si="342"/>
        <v/>
      </c>
      <c r="MZ36" s="251" t="str">
        <f t="shared" si="343"/>
        <v/>
      </c>
      <c r="NA36" s="251" t="str">
        <f t="shared" si="344"/>
        <v/>
      </c>
      <c r="NB36" s="251" t="str">
        <f t="shared" si="345"/>
        <v/>
      </c>
      <c r="NC36" s="251" t="str">
        <f t="shared" si="346"/>
        <v/>
      </c>
      <c r="ND36" s="251" t="str">
        <f t="shared" si="347"/>
        <v/>
      </c>
      <c r="NE36" s="251" t="str">
        <f t="shared" si="348"/>
        <v/>
      </c>
      <c r="NF36" s="251" t="str">
        <f t="shared" si="349"/>
        <v/>
      </c>
      <c r="NG36" s="251" t="str">
        <f t="shared" si="350"/>
        <v/>
      </c>
      <c r="NH36" s="251" t="str">
        <f t="shared" si="351"/>
        <v/>
      </c>
      <c r="NI36" s="251" t="str">
        <f t="shared" si="352"/>
        <v/>
      </c>
      <c r="NJ36" s="251" t="str">
        <f t="shared" si="353"/>
        <v/>
      </c>
      <c r="NK36" s="251" t="str">
        <f t="shared" si="354"/>
        <v/>
      </c>
      <c r="NL36" s="251" t="str">
        <f t="shared" si="355"/>
        <v/>
      </c>
      <c r="NM36" s="251" t="str">
        <f t="shared" si="356"/>
        <v/>
      </c>
      <c r="NN36" s="251" t="str">
        <f t="shared" si="357"/>
        <v/>
      </c>
      <c r="NO36" s="1185">
        <f t="shared" si="358"/>
        <v>0</v>
      </c>
      <c r="NP36" s="1185">
        <f t="shared" si="359"/>
        <v>0</v>
      </c>
      <c r="NQ36" s="1185">
        <f t="shared" si="360"/>
        <v>0</v>
      </c>
      <c r="NR36" s="1185">
        <f t="shared" si="361"/>
        <v>0</v>
      </c>
      <c r="NS36" s="1185">
        <f t="shared" si="362"/>
        <v>0</v>
      </c>
      <c r="NT36" s="1185">
        <f t="shared" si="368"/>
        <v>0</v>
      </c>
      <c r="NU36" s="1185">
        <f t="shared" si="369"/>
        <v>0</v>
      </c>
      <c r="NV36" s="1185">
        <f t="shared" si="370"/>
        <v>0</v>
      </c>
      <c r="NW36" s="1185">
        <f t="shared" si="371"/>
        <v>0</v>
      </c>
      <c r="NX36" s="1185">
        <f t="shared" si="372"/>
        <v>0</v>
      </c>
      <c r="NY36" s="1185">
        <f t="shared" si="363"/>
        <v>0</v>
      </c>
      <c r="NZ36" s="1185">
        <f t="shared" si="364"/>
        <v>0</v>
      </c>
      <c r="OA36" s="1185">
        <f t="shared" si="365"/>
        <v>0</v>
      </c>
      <c r="OB36" s="1185">
        <f t="shared" si="366"/>
        <v>0</v>
      </c>
      <c r="OC36" s="1185">
        <f t="shared" si="367"/>
        <v>0</v>
      </c>
      <c r="OY36" s="1794" t="s">
        <v>1184</v>
      </c>
      <c r="OZ36" s="1798">
        <v>36</v>
      </c>
    </row>
    <row r="37" spans="1:416" ht="12" customHeight="1">
      <c r="A37" s="53" t="str">
        <f t="shared" si="0"/>
        <v/>
      </c>
      <c r="B37" s="782"/>
      <c r="C37" s="85"/>
      <c r="D37" s="1187"/>
      <c r="E37" s="86"/>
      <c r="F37" s="86"/>
      <c r="G37" s="86"/>
      <c r="H37" s="86"/>
      <c r="I37" s="86"/>
      <c r="J37" s="765">
        <f>IF(C37="",0,HLOOKUP(C37,'Part IV-Utility Allowances'!$I$11:$M$25,15))</f>
        <v>0</v>
      </c>
      <c r="K37" s="473"/>
      <c r="L37" s="330">
        <f t="shared" si="1"/>
        <v>0</v>
      </c>
      <c r="M37" s="330">
        <f t="shared" si="2"/>
        <v>0</v>
      </c>
      <c r="N37" s="506"/>
      <c r="O37" s="1134"/>
      <c r="P37" s="506"/>
      <c r="Q37" s="87"/>
      <c r="R37" s="540"/>
      <c r="S37" s="541"/>
      <c r="T37" s="3758"/>
      <c r="U37" s="3759"/>
      <c r="V37" s="3759"/>
      <c r="W37" s="3760"/>
      <c r="X37" s="251" t="str">
        <f t="shared" si="3"/>
        <v/>
      </c>
      <c r="Y37" s="251" t="str">
        <f t="shared" si="4"/>
        <v/>
      </c>
      <c r="Z37" s="251" t="str">
        <f t="shared" si="5"/>
        <v/>
      </c>
      <c r="AA37" s="251" t="str">
        <f t="shared" si="6"/>
        <v/>
      </c>
      <c r="AB37" s="251" t="str">
        <f t="shared" si="7"/>
        <v/>
      </c>
      <c r="AC37" s="251" t="str">
        <f t="shared" si="8"/>
        <v/>
      </c>
      <c r="AD37" s="251" t="str">
        <f t="shared" si="9"/>
        <v/>
      </c>
      <c r="AE37" s="251" t="str">
        <f t="shared" si="10"/>
        <v/>
      </c>
      <c r="AF37" s="251" t="str">
        <f t="shared" si="11"/>
        <v/>
      </c>
      <c r="AG37" s="251" t="str">
        <f t="shared" si="12"/>
        <v/>
      </c>
      <c r="AH37" s="251" t="str">
        <f t="shared" si="13"/>
        <v/>
      </c>
      <c r="AI37" s="251" t="str">
        <f t="shared" si="14"/>
        <v/>
      </c>
      <c r="AJ37" s="251" t="str">
        <f t="shared" si="15"/>
        <v/>
      </c>
      <c r="AK37" s="251" t="str">
        <f t="shared" si="16"/>
        <v/>
      </c>
      <c r="AL37" s="251" t="str">
        <f t="shared" si="17"/>
        <v/>
      </c>
      <c r="AM37" s="251" t="str">
        <f t="shared" si="18"/>
        <v/>
      </c>
      <c r="AN37" s="251" t="str">
        <f t="shared" si="19"/>
        <v/>
      </c>
      <c r="AO37" s="251" t="str">
        <f t="shared" si="20"/>
        <v/>
      </c>
      <c r="AP37" s="251" t="str">
        <f t="shared" si="21"/>
        <v/>
      </c>
      <c r="AQ37" s="251" t="str">
        <f t="shared" si="22"/>
        <v/>
      </c>
      <c r="AR37" s="251" t="str">
        <f t="shared" si="23"/>
        <v/>
      </c>
      <c r="AS37" s="251" t="str">
        <f t="shared" si="24"/>
        <v/>
      </c>
      <c r="AT37" s="251" t="str">
        <f t="shared" si="25"/>
        <v/>
      </c>
      <c r="AU37" s="251" t="str">
        <f t="shared" si="26"/>
        <v/>
      </c>
      <c r="AV37" s="251" t="str">
        <f t="shared" si="27"/>
        <v/>
      </c>
      <c r="AW37" s="251" t="str">
        <f t="shared" si="28"/>
        <v/>
      </c>
      <c r="AX37" s="251" t="str">
        <f t="shared" si="29"/>
        <v/>
      </c>
      <c r="AY37" s="251" t="str">
        <f t="shared" si="30"/>
        <v/>
      </c>
      <c r="AZ37" s="251" t="str">
        <f t="shared" si="31"/>
        <v/>
      </c>
      <c r="BA37" s="251" t="str">
        <f t="shared" si="32"/>
        <v/>
      </c>
      <c r="BB37" s="251" t="str">
        <f t="shared" si="33"/>
        <v/>
      </c>
      <c r="BC37" s="251" t="str">
        <f t="shared" si="34"/>
        <v/>
      </c>
      <c r="BD37" s="251" t="str">
        <f t="shared" si="35"/>
        <v/>
      </c>
      <c r="BE37" s="251" t="str">
        <f t="shared" si="36"/>
        <v/>
      </c>
      <c r="BF37" s="251" t="str">
        <f t="shared" si="37"/>
        <v/>
      </c>
      <c r="BG37" s="251" t="str">
        <f t="shared" si="38"/>
        <v/>
      </c>
      <c r="BH37" s="251" t="str">
        <f t="shared" si="39"/>
        <v/>
      </c>
      <c r="BI37" s="251" t="str">
        <f t="shared" si="40"/>
        <v/>
      </c>
      <c r="BJ37" s="251" t="str">
        <f t="shared" si="41"/>
        <v/>
      </c>
      <c r="BK37" s="251" t="str">
        <f t="shared" si="42"/>
        <v/>
      </c>
      <c r="BL37" s="251" t="str">
        <f t="shared" si="43"/>
        <v/>
      </c>
      <c r="BM37" s="251" t="str">
        <f t="shared" si="44"/>
        <v/>
      </c>
      <c r="BN37" s="251" t="str">
        <f t="shared" si="45"/>
        <v/>
      </c>
      <c r="BO37" s="251" t="str">
        <f t="shared" si="46"/>
        <v/>
      </c>
      <c r="BP37" s="251" t="str">
        <f t="shared" si="47"/>
        <v/>
      </c>
      <c r="BQ37" s="251" t="str">
        <f t="shared" si="48"/>
        <v/>
      </c>
      <c r="BR37" s="251" t="str">
        <f t="shared" si="49"/>
        <v/>
      </c>
      <c r="BS37" s="251" t="str">
        <f t="shared" si="50"/>
        <v/>
      </c>
      <c r="BT37" s="251" t="str">
        <f t="shared" si="51"/>
        <v/>
      </c>
      <c r="BU37" s="251" t="str">
        <f t="shared" si="52"/>
        <v/>
      </c>
      <c r="BV37" s="251" t="str">
        <f t="shared" si="53"/>
        <v/>
      </c>
      <c r="BW37" s="251" t="str">
        <f t="shared" si="54"/>
        <v/>
      </c>
      <c r="BX37" s="251" t="str">
        <f t="shared" si="55"/>
        <v/>
      </c>
      <c r="BY37" s="251" t="str">
        <f t="shared" si="56"/>
        <v/>
      </c>
      <c r="BZ37" s="251" t="str">
        <f t="shared" si="57"/>
        <v/>
      </c>
      <c r="CA37" s="251" t="str">
        <f t="shared" si="58"/>
        <v/>
      </c>
      <c r="CB37" s="251" t="str">
        <f t="shared" si="59"/>
        <v/>
      </c>
      <c r="CC37" s="251" t="str">
        <f t="shared" si="60"/>
        <v/>
      </c>
      <c r="CD37" s="251" t="str">
        <f t="shared" si="61"/>
        <v/>
      </c>
      <c r="CE37" s="251" t="str">
        <f t="shared" si="62"/>
        <v/>
      </c>
      <c r="CF37" s="251" t="str">
        <f t="shared" si="63"/>
        <v/>
      </c>
      <c r="CG37" s="251" t="str">
        <f t="shared" si="64"/>
        <v/>
      </c>
      <c r="CH37" s="251" t="str">
        <f t="shared" si="65"/>
        <v/>
      </c>
      <c r="CI37" s="251" t="str">
        <f t="shared" si="66"/>
        <v/>
      </c>
      <c r="CJ37" s="251" t="str">
        <f t="shared" si="67"/>
        <v/>
      </c>
      <c r="CK37" s="251" t="str">
        <f t="shared" si="68"/>
        <v/>
      </c>
      <c r="CL37" s="251" t="str">
        <f t="shared" si="69"/>
        <v/>
      </c>
      <c r="CM37" s="251" t="str">
        <f t="shared" si="70"/>
        <v/>
      </c>
      <c r="CN37" s="251" t="str">
        <f t="shared" si="71"/>
        <v/>
      </c>
      <c r="CO37" s="251" t="str">
        <f t="shared" si="72"/>
        <v/>
      </c>
      <c r="CP37" s="251" t="str">
        <f t="shared" si="73"/>
        <v/>
      </c>
      <c r="CQ37" s="251" t="str">
        <f t="shared" si="74"/>
        <v/>
      </c>
      <c r="CR37" s="251" t="str">
        <f t="shared" si="75"/>
        <v/>
      </c>
      <c r="CS37" s="251" t="str">
        <f t="shared" si="76"/>
        <v/>
      </c>
      <c r="CT37" s="251" t="str">
        <f t="shared" si="77"/>
        <v/>
      </c>
      <c r="CU37" s="251" t="str">
        <f t="shared" si="78"/>
        <v/>
      </c>
      <c r="CV37" s="251" t="str">
        <f t="shared" si="79"/>
        <v/>
      </c>
      <c r="CW37" s="251" t="str">
        <f t="shared" si="80"/>
        <v/>
      </c>
      <c r="CX37" s="251" t="str">
        <f t="shared" si="81"/>
        <v/>
      </c>
      <c r="CY37" s="251" t="str">
        <f t="shared" si="82"/>
        <v/>
      </c>
      <c r="CZ37" s="251" t="str">
        <f t="shared" si="83"/>
        <v/>
      </c>
      <c r="DA37" s="251" t="str">
        <f t="shared" si="84"/>
        <v/>
      </c>
      <c r="DB37" s="251" t="str">
        <f t="shared" si="85"/>
        <v/>
      </c>
      <c r="DC37" s="251" t="str">
        <f t="shared" si="86"/>
        <v/>
      </c>
      <c r="DD37" s="251" t="str">
        <f t="shared" si="87"/>
        <v/>
      </c>
      <c r="DE37" s="251" t="str">
        <f t="shared" si="88"/>
        <v/>
      </c>
      <c r="DF37" s="251" t="str">
        <f t="shared" si="89"/>
        <v/>
      </c>
      <c r="DG37" s="251" t="str">
        <f t="shared" si="90"/>
        <v/>
      </c>
      <c r="DH37" s="251" t="str">
        <f t="shared" si="91"/>
        <v/>
      </c>
      <c r="DI37" s="251" t="str">
        <f t="shared" si="92"/>
        <v/>
      </c>
      <c r="DJ37" s="251" t="str">
        <f t="shared" si="93"/>
        <v/>
      </c>
      <c r="DK37" s="251" t="str">
        <f t="shared" si="94"/>
        <v/>
      </c>
      <c r="DL37" s="251" t="str">
        <f t="shared" si="95"/>
        <v/>
      </c>
      <c r="DM37" s="251" t="str">
        <f t="shared" si="96"/>
        <v/>
      </c>
      <c r="DN37" s="251" t="str">
        <f t="shared" si="97"/>
        <v/>
      </c>
      <c r="DO37" s="251" t="str">
        <f t="shared" si="98"/>
        <v/>
      </c>
      <c r="DP37" s="251" t="str">
        <f t="shared" si="99"/>
        <v/>
      </c>
      <c r="DQ37" s="251" t="str">
        <f t="shared" si="100"/>
        <v/>
      </c>
      <c r="DR37" s="251" t="str">
        <f t="shared" si="101"/>
        <v/>
      </c>
      <c r="DS37" s="251" t="str">
        <f t="shared" si="102"/>
        <v/>
      </c>
      <c r="DT37" s="251" t="str">
        <f t="shared" si="103"/>
        <v/>
      </c>
      <c r="DU37" s="251" t="str">
        <f t="shared" si="104"/>
        <v/>
      </c>
      <c r="DV37" s="251" t="str">
        <f t="shared" si="105"/>
        <v/>
      </c>
      <c r="DW37" s="251" t="str">
        <f t="shared" si="106"/>
        <v/>
      </c>
      <c r="DX37" s="251" t="str">
        <f t="shared" si="107"/>
        <v/>
      </c>
      <c r="DY37" s="251" t="str">
        <f t="shared" si="108"/>
        <v/>
      </c>
      <c r="DZ37" s="251" t="str">
        <f t="shared" si="109"/>
        <v/>
      </c>
      <c r="EA37" s="251" t="str">
        <f t="shared" si="110"/>
        <v/>
      </c>
      <c r="EB37" s="251" t="str">
        <f t="shared" si="111"/>
        <v/>
      </c>
      <c r="EC37" s="251" t="str">
        <f t="shared" si="112"/>
        <v/>
      </c>
      <c r="ED37" s="251" t="str">
        <f t="shared" si="113"/>
        <v/>
      </c>
      <c r="EE37" s="251" t="str">
        <f t="shared" si="114"/>
        <v/>
      </c>
      <c r="EF37" s="251" t="str">
        <f t="shared" si="115"/>
        <v/>
      </c>
      <c r="EG37" s="251" t="str">
        <f t="shared" si="116"/>
        <v/>
      </c>
      <c r="EH37" s="251" t="str">
        <f t="shared" si="117"/>
        <v/>
      </c>
      <c r="EI37" s="251" t="str">
        <f t="shared" si="118"/>
        <v/>
      </c>
      <c r="EJ37" s="251" t="str">
        <f t="shared" si="119"/>
        <v/>
      </c>
      <c r="EK37" s="251" t="str">
        <f t="shared" si="120"/>
        <v/>
      </c>
      <c r="EL37" s="251" t="str">
        <f t="shared" si="121"/>
        <v/>
      </c>
      <c r="EM37" s="251" t="str">
        <f t="shared" si="122"/>
        <v/>
      </c>
      <c r="EN37" s="251" t="str">
        <f t="shared" si="123"/>
        <v/>
      </c>
      <c r="EO37" s="251" t="str">
        <f t="shared" si="124"/>
        <v/>
      </c>
      <c r="EP37" s="251" t="str">
        <f t="shared" si="125"/>
        <v/>
      </c>
      <c r="EQ37" s="251" t="str">
        <f t="shared" si="126"/>
        <v/>
      </c>
      <c r="ER37" s="251" t="str">
        <f t="shared" si="127"/>
        <v/>
      </c>
      <c r="ES37" s="251" t="str">
        <f t="shared" si="128"/>
        <v/>
      </c>
      <c r="ET37" s="251" t="str">
        <f t="shared" si="129"/>
        <v/>
      </c>
      <c r="EU37" s="251" t="str">
        <f t="shared" si="130"/>
        <v/>
      </c>
      <c r="EV37" s="251" t="str">
        <f t="shared" si="131"/>
        <v/>
      </c>
      <c r="EW37" s="251" t="str">
        <f t="shared" si="132"/>
        <v/>
      </c>
      <c r="EX37" s="251" t="str">
        <f t="shared" si="133"/>
        <v/>
      </c>
      <c r="EY37" s="251" t="str">
        <f t="shared" si="134"/>
        <v/>
      </c>
      <c r="EZ37" s="251" t="str">
        <f t="shared" si="135"/>
        <v/>
      </c>
      <c r="FA37" s="251" t="str">
        <f t="shared" si="136"/>
        <v/>
      </c>
      <c r="FB37" s="251" t="str">
        <f t="shared" si="137"/>
        <v/>
      </c>
      <c r="FC37" s="251" t="str">
        <f t="shared" si="138"/>
        <v/>
      </c>
      <c r="FD37" s="251" t="str">
        <f t="shared" si="139"/>
        <v/>
      </c>
      <c r="FE37" s="251" t="str">
        <f t="shared" si="140"/>
        <v/>
      </c>
      <c r="FF37" s="251" t="str">
        <f t="shared" si="141"/>
        <v/>
      </c>
      <c r="FG37" s="251" t="str">
        <f t="shared" si="142"/>
        <v/>
      </c>
      <c r="FH37" s="251" t="str">
        <f t="shared" si="143"/>
        <v/>
      </c>
      <c r="FI37" s="251" t="str">
        <f t="shared" si="144"/>
        <v/>
      </c>
      <c r="FJ37" s="251" t="str">
        <f t="shared" si="145"/>
        <v/>
      </c>
      <c r="FK37" s="251" t="str">
        <f t="shared" si="146"/>
        <v/>
      </c>
      <c r="FL37" s="251" t="str">
        <f t="shared" si="147"/>
        <v/>
      </c>
      <c r="FM37" s="251" t="str">
        <f t="shared" si="148"/>
        <v/>
      </c>
      <c r="FN37" s="251" t="str">
        <f t="shared" si="149"/>
        <v/>
      </c>
      <c r="FO37" s="251" t="str">
        <f t="shared" si="150"/>
        <v/>
      </c>
      <c r="FP37" s="251" t="str">
        <f t="shared" si="151"/>
        <v/>
      </c>
      <c r="FQ37" s="251" t="str">
        <f t="shared" si="152"/>
        <v/>
      </c>
      <c r="FR37" s="251" t="str">
        <f t="shared" si="153"/>
        <v/>
      </c>
      <c r="FS37" s="251" t="str">
        <f t="shared" si="154"/>
        <v/>
      </c>
      <c r="FT37" s="251" t="str">
        <f t="shared" si="155"/>
        <v/>
      </c>
      <c r="FU37" s="251" t="str">
        <f t="shared" si="156"/>
        <v/>
      </c>
      <c r="FV37" s="251" t="str">
        <f t="shared" si="157"/>
        <v/>
      </c>
      <c r="FW37" s="251" t="str">
        <f t="shared" si="158"/>
        <v/>
      </c>
      <c r="FX37" s="251" t="str">
        <f t="shared" si="159"/>
        <v/>
      </c>
      <c r="FY37" s="251" t="str">
        <f t="shared" si="160"/>
        <v/>
      </c>
      <c r="FZ37" s="251" t="str">
        <f t="shared" si="161"/>
        <v/>
      </c>
      <c r="GA37" s="251" t="str">
        <f t="shared" si="162"/>
        <v/>
      </c>
      <c r="GB37" s="251" t="str">
        <f t="shared" si="163"/>
        <v/>
      </c>
      <c r="GC37" s="251" t="str">
        <f t="shared" si="164"/>
        <v/>
      </c>
      <c r="GD37" s="251" t="str">
        <f t="shared" si="165"/>
        <v/>
      </c>
      <c r="GE37" s="251" t="str">
        <f t="shared" si="166"/>
        <v/>
      </c>
      <c r="GF37" s="251" t="str">
        <f t="shared" si="167"/>
        <v/>
      </c>
      <c r="GG37" s="251" t="str">
        <f t="shared" si="168"/>
        <v/>
      </c>
      <c r="GH37" s="251" t="str">
        <f t="shared" si="169"/>
        <v/>
      </c>
      <c r="GI37" s="251" t="str">
        <f t="shared" si="170"/>
        <v/>
      </c>
      <c r="GJ37" s="251" t="str">
        <f t="shared" si="171"/>
        <v/>
      </c>
      <c r="GK37" s="251" t="str">
        <f t="shared" si="172"/>
        <v/>
      </c>
      <c r="GL37" s="251" t="str">
        <f t="shared" si="173"/>
        <v/>
      </c>
      <c r="GM37" s="251" t="str">
        <f t="shared" si="174"/>
        <v/>
      </c>
      <c r="GN37" s="251" t="str">
        <f t="shared" si="175"/>
        <v/>
      </c>
      <c r="GO37" s="251" t="str">
        <f t="shared" si="176"/>
        <v/>
      </c>
      <c r="GP37" s="251" t="str">
        <f t="shared" si="177"/>
        <v/>
      </c>
      <c r="GQ37" s="251" t="str">
        <f t="shared" si="178"/>
        <v/>
      </c>
      <c r="GR37" s="251" t="str">
        <f t="shared" si="179"/>
        <v/>
      </c>
      <c r="GS37" s="251" t="str">
        <f t="shared" si="180"/>
        <v/>
      </c>
      <c r="GT37" s="251" t="str">
        <f t="shared" si="181"/>
        <v/>
      </c>
      <c r="GU37" s="251" t="str">
        <f t="shared" si="182"/>
        <v/>
      </c>
      <c r="GV37" s="251" t="str">
        <f t="shared" si="183"/>
        <v/>
      </c>
      <c r="GW37" s="251" t="str">
        <f t="shared" si="184"/>
        <v/>
      </c>
      <c r="GX37" s="251" t="str">
        <f t="shared" si="185"/>
        <v/>
      </c>
      <c r="GY37" s="251" t="str">
        <f t="shared" si="186"/>
        <v/>
      </c>
      <c r="GZ37" s="251" t="str">
        <f t="shared" si="187"/>
        <v/>
      </c>
      <c r="HA37" s="251" t="str">
        <f t="shared" si="188"/>
        <v/>
      </c>
      <c r="HB37" s="251" t="str">
        <f t="shared" si="189"/>
        <v/>
      </c>
      <c r="HC37" s="251" t="str">
        <f t="shared" si="190"/>
        <v/>
      </c>
      <c r="HD37" s="251" t="str">
        <f t="shared" si="191"/>
        <v/>
      </c>
      <c r="HE37" s="251" t="str">
        <f t="shared" si="192"/>
        <v/>
      </c>
      <c r="HF37" s="251" t="str">
        <f t="shared" si="193"/>
        <v/>
      </c>
      <c r="HG37" s="251" t="str">
        <f t="shared" si="194"/>
        <v/>
      </c>
      <c r="HH37" s="251" t="str">
        <f t="shared" si="195"/>
        <v/>
      </c>
      <c r="HI37" s="251" t="str">
        <f t="shared" si="196"/>
        <v/>
      </c>
      <c r="HJ37" s="251" t="str">
        <f t="shared" si="197"/>
        <v/>
      </c>
      <c r="HK37" s="251" t="str">
        <f t="shared" si="198"/>
        <v/>
      </c>
      <c r="HL37" s="251" t="str">
        <f t="shared" si="199"/>
        <v/>
      </c>
      <c r="HM37" s="251" t="str">
        <f t="shared" si="200"/>
        <v/>
      </c>
      <c r="HN37" s="251" t="str">
        <f t="shared" si="201"/>
        <v/>
      </c>
      <c r="HO37" s="251" t="str">
        <f t="shared" si="202"/>
        <v/>
      </c>
      <c r="HP37" s="251" t="str">
        <f t="shared" si="203"/>
        <v/>
      </c>
      <c r="HQ37" s="251" t="str">
        <f t="shared" si="204"/>
        <v/>
      </c>
      <c r="HR37" s="251" t="str">
        <f t="shared" si="205"/>
        <v/>
      </c>
      <c r="HS37" s="251" t="str">
        <f t="shared" si="206"/>
        <v/>
      </c>
      <c r="HT37" s="251" t="str">
        <f t="shared" si="207"/>
        <v/>
      </c>
      <c r="HU37" s="251" t="str">
        <f t="shared" si="208"/>
        <v/>
      </c>
      <c r="HV37" s="251" t="str">
        <f t="shared" si="209"/>
        <v/>
      </c>
      <c r="HW37" s="251" t="str">
        <f t="shared" si="210"/>
        <v/>
      </c>
      <c r="HX37" s="251" t="str">
        <f t="shared" si="211"/>
        <v/>
      </c>
      <c r="HY37" s="251" t="str">
        <f t="shared" si="212"/>
        <v/>
      </c>
      <c r="HZ37" s="251" t="str">
        <f t="shared" si="213"/>
        <v/>
      </c>
      <c r="IA37" s="251" t="str">
        <f t="shared" si="214"/>
        <v/>
      </c>
      <c r="IB37" s="251" t="str">
        <f t="shared" si="215"/>
        <v/>
      </c>
      <c r="IC37" s="251" t="str">
        <f t="shared" si="216"/>
        <v/>
      </c>
      <c r="ID37" s="251" t="str">
        <f t="shared" si="217"/>
        <v/>
      </c>
      <c r="IE37" s="251" t="str">
        <f t="shared" si="218"/>
        <v/>
      </c>
      <c r="IF37" s="251" t="str">
        <f t="shared" si="219"/>
        <v/>
      </c>
      <c r="IG37" s="251" t="str">
        <f t="shared" si="220"/>
        <v/>
      </c>
      <c r="IH37" s="251" t="str">
        <f t="shared" si="221"/>
        <v/>
      </c>
      <c r="II37" s="251" t="str">
        <f t="shared" si="222"/>
        <v/>
      </c>
      <c r="IJ37" s="251" t="str">
        <f t="shared" si="223"/>
        <v/>
      </c>
      <c r="IK37" s="251" t="str">
        <f t="shared" si="224"/>
        <v/>
      </c>
      <c r="IL37" s="251" t="str">
        <f t="shared" si="225"/>
        <v/>
      </c>
      <c r="IM37" s="251" t="str">
        <f t="shared" si="226"/>
        <v/>
      </c>
      <c r="IN37" s="251" t="str">
        <f t="shared" si="227"/>
        <v/>
      </c>
      <c r="IO37" s="251" t="str">
        <f t="shared" si="228"/>
        <v/>
      </c>
      <c r="IP37" s="251" t="str">
        <f t="shared" si="229"/>
        <v/>
      </c>
      <c r="IQ37" s="251" t="str">
        <f t="shared" si="230"/>
        <v/>
      </c>
      <c r="IR37" s="251" t="str">
        <f t="shared" si="231"/>
        <v/>
      </c>
      <c r="IS37" s="251" t="str">
        <f t="shared" si="232"/>
        <v/>
      </c>
      <c r="IT37" s="251" t="str">
        <f t="shared" si="233"/>
        <v/>
      </c>
      <c r="IU37" s="251" t="str">
        <f t="shared" si="234"/>
        <v/>
      </c>
      <c r="IV37" s="251" t="str">
        <f t="shared" si="235"/>
        <v/>
      </c>
      <c r="IW37" s="251" t="str">
        <f t="shared" si="236"/>
        <v/>
      </c>
      <c r="IX37" s="251" t="str">
        <f t="shared" si="237"/>
        <v/>
      </c>
      <c r="IY37" s="251" t="str">
        <f t="shared" si="238"/>
        <v/>
      </c>
      <c r="IZ37" s="251" t="str">
        <f t="shared" si="239"/>
        <v/>
      </c>
      <c r="JA37" s="251" t="str">
        <f t="shared" si="240"/>
        <v/>
      </c>
      <c r="JB37" s="251" t="str">
        <f t="shared" si="241"/>
        <v/>
      </c>
      <c r="JC37" s="251" t="str">
        <f t="shared" si="242"/>
        <v/>
      </c>
      <c r="JD37" s="251" t="str">
        <f t="shared" si="243"/>
        <v/>
      </c>
      <c r="JE37" s="251" t="str">
        <f t="shared" si="244"/>
        <v/>
      </c>
      <c r="JF37" s="251" t="str">
        <f t="shared" si="245"/>
        <v/>
      </c>
      <c r="JG37" s="251" t="str">
        <f t="shared" si="246"/>
        <v/>
      </c>
      <c r="JH37" s="251" t="str">
        <f t="shared" si="247"/>
        <v/>
      </c>
      <c r="JI37" s="1297" t="str">
        <f t="shared" si="248"/>
        <v/>
      </c>
      <c r="JJ37" s="1297" t="str">
        <f t="shared" si="249"/>
        <v/>
      </c>
      <c r="JK37" s="1297" t="str">
        <f t="shared" si="250"/>
        <v/>
      </c>
      <c r="JL37" s="1297" t="str">
        <f t="shared" si="251"/>
        <v/>
      </c>
      <c r="JM37" s="1297" t="str">
        <f t="shared" si="252"/>
        <v/>
      </c>
      <c r="JN37" s="1297" t="str">
        <f t="shared" si="253"/>
        <v/>
      </c>
      <c r="JO37" s="1297" t="str">
        <f t="shared" si="254"/>
        <v/>
      </c>
      <c r="JP37" s="1297" t="str">
        <f t="shared" si="255"/>
        <v/>
      </c>
      <c r="JQ37" s="1297" t="str">
        <f t="shared" si="256"/>
        <v/>
      </c>
      <c r="JR37" s="1297" t="str">
        <f t="shared" si="257"/>
        <v/>
      </c>
      <c r="JS37" s="1297" t="str">
        <f t="shared" si="258"/>
        <v/>
      </c>
      <c r="JT37" s="1297" t="str">
        <f t="shared" si="259"/>
        <v/>
      </c>
      <c r="JU37" s="1297" t="str">
        <f t="shared" si="260"/>
        <v/>
      </c>
      <c r="JV37" s="1297" t="str">
        <f t="shared" si="261"/>
        <v/>
      </c>
      <c r="JW37" s="1297" t="str">
        <f t="shared" si="262"/>
        <v/>
      </c>
      <c r="JX37" s="1297" t="str">
        <f t="shared" si="263"/>
        <v/>
      </c>
      <c r="JY37" s="1297" t="str">
        <f t="shared" si="264"/>
        <v/>
      </c>
      <c r="JZ37" s="1297" t="str">
        <f t="shared" si="265"/>
        <v/>
      </c>
      <c r="KA37" s="1297" t="str">
        <f t="shared" si="266"/>
        <v/>
      </c>
      <c r="KB37" s="1297" t="str">
        <f t="shared" si="267"/>
        <v/>
      </c>
      <c r="KC37" s="1297" t="str">
        <f t="shared" si="268"/>
        <v/>
      </c>
      <c r="KD37" s="1297" t="str">
        <f t="shared" si="269"/>
        <v/>
      </c>
      <c r="KE37" s="1297" t="str">
        <f t="shared" si="270"/>
        <v/>
      </c>
      <c r="KF37" s="1297" t="str">
        <f t="shared" si="271"/>
        <v/>
      </c>
      <c r="KG37" s="1297" t="str">
        <f t="shared" si="272"/>
        <v/>
      </c>
      <c r="KH37" s="1297" t="str">
        <f t="shared" si="273"/>
        <v/>
      </c>
      <c r="KI37" s="1297" t="str">
        <f t="shared" si="274"/>
        <v/>
      </c>
      <c r="KJ37" s="1297" t="str">
        <f t="shared" si="275"/>
        <v/>
      </c>
      <c r="KK37" s="1297" t="str">
        <f t="shared" si="276"/>
        <v/>
      </c>
      <c r="KL37" s="1297" t="str">
        <f t="shared" si="277"/>
        <v/>
      </c>
      <c r="KM37" s="1297" t="str">
        <f t="shared" si="278"/>
        <v/>
      </c>
      <c r="KN37" s="1297" t="str">
        <f t="shared" si="279"/>
        <v/>
      </c>
      <c r="KO37" s="1297" t="str">
        <f t="shared" si="280"/>
        <v/>
      </c>
      <c r="KP37" s="1297" t="str">
        <f t="shared" si="281"/>
        <v/>
      </c>
      <c r="KQ37" s="1297" t="str">
        <f t="shared" si="282"/>
        <v/>
      </c>
      <c r="KR37" s="1297" t="str">
        <f t="shared" si="283"/>
        <v/>
      </c>
      <c r="KS37" s="1297" t="str">
        <f t="shared" si="284"/>
        <v/>
      </c>
      <c r="KT37" s="1297" t="str">
        <f t="shared" si="285"/>
        <v/>
      </c>
      <c r="KU37" s="1297" t="str">
        <f t="shared" si="286"/>
        <v/>
      </c>
      <c r="KV37" s="1297" t="str">
        <f t="shared" si="287"/>
        <v/>
      </c>
      <c r="KW37" s="1297" t="str">
        <f t="shared" si="288"/>
        <v/>
      </c>
      <c r="KX37" s="1297" t="str">
        <f t="shared" si="289"/>
        <v/>
      </c>
      <c r="KY37" s="1297" t="str">
        <f t="shared" si="290"/>
        <v/>
      </c>
      <c r="KZ37" s="1297" t="str">
        <f t="shared" si="291"/>
        <v/>
      </c>
      <c r="LA37" s="1297" t="str">
        <f t="shared" si="292"/>
        <v/>
      </c>
      <c r="LB37" s="1297" t="str">
        <f t="shared" si="293"/>
        <v/>
      </c>
      <c r="LC37" s="1297" t="str">
        <f t="shared" si="294"/>
        <v/>
      </c>
      <c r="LD37" s="1297" t="str">
        <f t="shared" si="295"/>
        <v/>
      </c>
      <c r="LE37" s="1297" t="str">
        <f t="shared" si="296"/>
        <v/>
      </c>
      <c r="LF37" s="1297" t="str">
        <f t="shared" si="297"/>
        <v/>
      </c>
      <c r="LG37" s="1297" t="str">
        <f t="shared" si="298"/>
        <v/>
      </c>
      <c r="LH37" s="1297" t="str">
        <f t="shared" si="299"/>
        <v/>
      </c>
      <c r="LI37" s="1297" t="str">
        <f t="shared" si="300"/>
        <v/>
      </c>
      <c r="LJ37" s="1297" t="str">
        <f t="shared" si="301"/>
        <v/>
      </c>
      <c r="LK37" s="1297" t="str">
        <f t="shared" si="302"/>
        <v/>
      </c>
      <c r="LL37" s="1297" t="str">
        <f t="shared" si="303"/>
        <v/>
      </c>
      <c r="LM37" s="1297" t="str">
        <f t="shared" si="304"/>
        <v/>
      </c>
      <c r="LN37" s="1297" t="str">
        <f t="shared" si="305"/>
        <v/>
      </c>
      <c r="LO37" s="1297" t="str">
        <f t="shared" si="306"/>
        <v/>
      </c>
      <c r="LP37" s="1297" t="str">
        <f t="shared" si="307"/>
        <v/>
      </c>
      <c r="LQ37" s="1297" t="str">
        <f t="shared" si="308"/>
        <v/>
      </c>
      <c r="LR37" s="1297" t="str">
        <f t="shared" si="309"/>
        <v/>
      </c>
      <c r="LS37" s="1297" t="str">
        <f t="shared" si="310"/>
        <v/>
      </c>
      <c r="LT37" s="1297" t="str">
        <f t="shared" si="311"/>
        <v/>
      </c>
      <c r="LU37" s="1297" t="str">
        <f t="shared" si="312"/>
        <v/>
      </c>
      <c r="LV37" s="1297" t="str">
        <f t="shared" si="313"/>
        <v/>
      </c>
      <c r="LW37" s="1297" t="str">
        <f t="shared" si="314"/>
        <v/>
      </c>
      <c r="LX37" s="1297" t="str">
        <f t="shared" si="315"/>
        <v/>
      </c>
      <c r="LY37" s="1297" t="str">
        <f t="shared" si="316"/>
        <v/>
      </c>
      <c r="LZ37" s="1297" t="str">
        <f t="shared" si="317"/>
        <v/>
      </c>
      <c r="MA37" s="1297" t="str">
        <f t="shared" si="318"/>
        <v/>
      </c>
      <c r="MB37" s="1297" t="str">
        <f t="shared" si="319"/>
        <v/>
      </c>
      <c r="MC37" s="1297" t="str">
        <f t="shared" si="320"/>
        <v/>
      </c>
      <c r="MD37" s="1297" t="str">
        <f t="shared" si="321"/>
        <v/>
      </c>
      <c r="ME37" s="1297" t="str">
        <f t="shared" si="322"/>
        <v/>
      </c>
      <c r="MF37" s="1297" t="str">
        <f t="shared" si="323"/>
        <v/>
      </c>
      <c r="MG37" s="1297" t="str">
        <f t="shared" si="324"/>
        <v/>
      </c>
      <c r="MH37" s="1297" t="str">
        <f t="shared" si="325"/>
        <v/>
      </c>
      <c r="MI37" s="1297" t="str">
        <f t="shared" si="326"/>
        <v/>
      </c>
      <c r="MJ37" s="1297" t="str">
        <f t="shared" si="327"/>
        <v/>
      </c>
      <c r="MK37" s="1297" t="str">
        <f t="shared" si="328"/>
        <v/>
      </c>
      <c r="ML37" s="1297" t="str">
        <f t="shared" si="329"/>
        <v/>
      </c>
      <c r="MM37" s="1297" t="str">
        <f t="shared" si="330"/>
        <v/>
      </c>
      <c r="MN37" s="1297" t="str">
        <f t="shared" si="331"/>
        <v/>
      </c>
      <c r="MO37" s="1297" t="str">
        <f t="shared" si="332"/>
        <v/>
      </c>
      <c r="MP37" s="1773" t="str">
        <f t="shared" si="333"/>
        <v/>
      </c>
      <c r="MQ37" s="1773" t="str">
        <f t="shared" si="334"/>
        <v/>
      </c>
      <c r="MR37" s="1773" t="str">
        <f t="shared" si="335"/>
        <v/>
      </c>
      <c r="MS37" s="1773" t="str">
        <f t="shared" si="336"/>
        <v/>
      </c>
      <c r="MT37" s="1773" t="str">
        <f t="shared" si="337"/>
        <v/>
      </c>
      <c r="MU37" s="251" t="str">
        <f t="shared" si="338"/>
        <v/>
      </c>
      <c r="MV37" s="251" t="str">
        <f t="shared" si="339"/>
        <v/>
      </c>
      <c r="MW37" s="251" t="str">
        <f t="shared" si="340"/>
        <v/>
      </c>
      <c r="MX37" s="251" t="str">
        <f t="shared" si="341"/>
        <v/>
      </c>
      <c r="MY37" s="251" t="str">
        <f t="shared" si="342"/>
        <v/>
      </c>
      <c r="MZ37" s="251" t="str">
        <f t="shared" si="343"/>
        <v/>
      </c>
      <c r="NA37" s="251" t="str">
        <f t="shared" si="344"/>
        <v/>
      </c>
      <c r="NB37" s="251" t="str">
        <f t="shared" si="345"/>
        <v/>
      </c>
      <c r="NC37" s="251" t="str">
        <f t="shared" si="346"/>
        <v/>
      </c>
      <c r="ND37" s="251" t="str">
        <f t="shared" si="347"/>
        <v/>
      </c>
      <c r="NE37" s="251" t="str">
        <f t="shared" si="348"/>
        <v/>
      </c>
      <c r="NF37" s="251" t="str">
        <f t="shared" si="349"/>
        <v/>
      </c>
      <c r="NG37" s="251" t="str">
        <f t="shared" si="350"/>
        <v/>
      </c>
      <c r="NH37" s="251" t="str">
        <f t="shared" si="351"/>
        <v/>
      </c>
      <c r="NI37" s="251" t="str">
        <f t="shared" si="352"/>
        <v/>
      </c>
      <c r="NJ37" s="251" t="str">
        <f t="shared" si="353"/>
        <v/>
      </c>
      <c r="NK37" s="251" t="str">
        <f t="shared" si="354"/>
        <v/>
      </c>
      <c r="NL37" s="251" t="str">
        <f t="shared" si="355"/>
        <v/>
      </c>
      <c r="NM37" s="251" t="str">
        <f t="shared" si="356"/>
        <v/>
      </c>
      <c r="NN37" s="251" t="str">
        <f t="shared" si="357"/>
        <v/>
      </c>
      <c r="NO37" s="1185">
        <f t="shared" si="358"/>
        <v>0</v>
      </c>
      <c r="NP37" s="1185">
        <f t="shared" si="359"/>
        <v>0</v>
      </c>
      <c r="NQ37" s="1185">
        <f t="shared" si="360"/>
        <v>0</v>
      </c>
      <c r="NR37" s="1185">
        <f t="shared" si="361"/>
        <v>0</v>
      </c>
      <c r="NS37" s="1185">
        <f t="shared" si="362"/>
        <v>0</v>
      </c>
      <c r="NT37" s="1185">
        <f t="shared" si="368"/>
        <v>0</v>
      </c>
      <c r="NU37" s="1185">
        <f t="shared" si="369"/>
        <v>0</v>
      </c>
      <c r="NV37" s="1185">
        <f t="shared" si="370"/>
        <v>0</v>
      </c>
      <c r="NW37" s="1185">
        <f t="shared" si="371"/>
        <v>0</v>
      </c>
      <c r="NX37" s="1185">
        <f t="shared" si="372"/>
        <v>0</v>
      </c>
      <c r="NY37" s="1185">
        <f t="shared" si="363"/>
        <v>0</v>
      </c>
      <c r="NZ37" s="1185">
        <f t="shared" si="364"/>
        <v>0</v>
      </c>
      <c r="OA37" s="1185">
        <f t="shared" si="365"/>
        <v>0</v>
      </c>
      <c r="OB37" s="1185">
        <f t="shared" si="366"/>
        <v>0</v>
      </c>
      <c r="OC37" s="1185">
        <f t="shared" si="367"/>
        <v>0</v>
      </c>
      <c r="OY37" s="1794" t="s">
        <v>1185</v>
      </c>
      <c r="OZ37" s="1799">
        <v>37</v>
      </c>
    </row>
    <row r="38" spans="1:416" ht="12" customHeight="1">
      <c r="A38" s="53" t="str">
        <f t="shared" si="0"/>
        <v/>
      </c>
      <c r="B38" s="782"/>
      <c r="C38" s="85"/>
      <c r="D38" s="1187"/>
      <c r="E38" s="86"/>
      <c r="F38" s="86"/>
      <c r="G38" s="86"/>
      <c r="H38" s="86"/>
      <c r="I38" s="86"/>
      <c r="J38" s="765">
        <f>IF(C38="",0,HLOOKUP(C38,'Part IV-Utility Allowances'!$I$11:$M$25,15))</f>
        <v>0</v>
      </c>
      <c r="K38" s="473"/>
      <c r="L38" s="330">
        <f t="shared" si="1"/>
        <v>0</v>
      </c>
      <c r="M38" s="330">
        <f t="shared" si="2"/>
        <v>0</v>
      </c>
      <c r="N38" s="506"/>
      <c r="O38" s="1134"/>
      <c r="P38" s="506"/>
      <c r="Q38" s="87"/>
      <c r="R38" s="540"/>
      <c r="S38" s="541"/>
      <c r="T38" s="3758"/>
      <c r="U38" s="3759"/>
      <c r="V38" s="3759"/>
      <c r="W38" s="3760"/>
      <c r="X38" s="251" t="str">
        <f t="shared" si="3"/>
        <v/>
      </c>
      <c r="Y38" s="251" t="str">
        <f t="shared" si="4"/>
        <v/>
      </c>
      <c r="Z38" s="251" t="str">
        <f t="shared" si="5"/>
        <v/>
      </c>
      <c r="AA38" s="251" t="str">
        <f t="shared" si="6"/>
        <v/>
      </c>
      <c r="AB38" s="251" t="str">
        <f t="shared" si="7"/>
        <v/>
      </c>
      <c r="AC38" s="251" t="str">
        <f t="shared" si="8"/>
        <v/>
      </c>
      <c r="AD38" s="251" t="str">
        <f t="shared" si="9"/>
        <v/>
      </c>
      <c r="AE38" s="251" t="str">
        <f t="shared" si="10"/>
        <v/>
      </c>
      <c r="AF38" s="251" t="str">
        <f t="shared" si="11"/>
        <v/>
      </c>
      <c r="AG38" s="251" t="str">
        <f t="shared" si="12"/>
        <v/>
      </c>
      <c r="AH38" s="251" t="str">
        <f t="shared" si="13"/>
        <v/>
      </c>
      <c r="AI38" s="251" t="str">
        <f t="shared" si="14"/>
        <v/>
      </c>
      <c r="AJ38" s="251" t="str">
        <f t="shared" si="15"/>
        <v/>
      </c>
      <c r="AK38" s="251" t="str">
        <f t="shared" si="16"/>
        <v/>
      </c>
      <c r="AL38" s="251" t="str">
        <f t="shared" si="17"/>
        <v/>
      </c>
      <c r="AM38" s="251" t="str">
        <f t="shared" si="18"/>
        <v/>
      </c>
      <c r="AN38" s="251" t="str">
        <f t="shared" si="19"/>
        <v/>
      </c>
      <c r="AO38" s="251" t="str">
        <f t="shared" si="20"/>
        <v/>
      </c>
      <c r="AP38" s="251" t="str">
        <f t="shared" si="21"/>
        <v/>
      </c>
      <c r="AQ38" s="251" t="str">
        <f t="shared" si="22"/>
        <v/>
      </c>
      <c r="AR38" s="251" t="str">
        <f t="shared" si="23"/>
        <v/>
      </c>
      <c r="AS38" s="251" t="str">
        <f t="shared" si="24"/>
        <v/>
      </c>
      <c r="AT38" s="251" t="str">
        <f t="shared" si="25"/>
        <v/>
      </c>
      <c r="AU38" s="251" t="str">
        <f t="shared" si="26"/>
        <v/>
      </c>
      <c r="AV38" s="251" t="str">
        <f t="shared" si="27"/>
        <v/>
      </c>
      <c r="AW38" s="251" t="str">
        <f t="shared" si="28"/>
        <v/>
      </c>
      <c r="AX38" s="251" t="str">
        <f t="shared" si="29"/>
        <v/>
      </c>
      <c r="AY38" s="251" t="str">
        <f t="shared" si="30"/>
        <v/>
      </c>
      <c r="AZ38" s="251" t="str">
        <f t="shared" si="31"/>
        <v/>
      </c>
      <c r="BA38" s="251" t="str">
        <f t="shared" si="32"/>
        <v/>
      </c>
      <c r="BB38" s="251" t="str">
        <f t="shared" si="33"/>
        <v/>
      </c>
      <c r="BC38" s="251" t="str">
        <f t="shared" si="34"/>
        <v/>
      </c>
      <c r="BD38" s="251" t="str">
        <f t="shared" si="35"/>
        <v/>
      </c>
      <c r="BE38" s="251" t="str">
        <f t="shared" si="36"/>
        <v/>
      </c>
      <c r="BF38" s="251" t="str">
        <f t="shared" si="37"/>
        <v/>
      </c>
      <c r="BG38" s="251" t="str">
        <f t="shared" si="38"/>
        <v/>
      </c>
      <c r="BH38" s="251" t="str">
        <f t="shared" si="39"/>
        <v/>
      </c>
      <c r="BI38" s="251" t="str">
        <f t="shared" si="40"/>
        <v/>
      </c>
      <c r="BJ38" s="251" t="str">
        <f t="shared" si="41"/>
        <v/>
      </c>
      <c r="BK38" s="251" t="str">
        <f t="shared" si="42"/>
        <v/>
      </c>
      <c r="BL38" s="251" t="str">
        <f t="shared" si="43"/>
        <v/>
      </c>
      <c r="BM38" s="251" t="str">
        <f t="shared" si="44"/>
        <v/>
      </c>
      <c r="BN38" s="251" t="str">
        <f t="shared" si="45"/>
        <v/>
      </c>
      <c r="BO38" s="251" t="str">
        <f t="shared" si="46"/>
        <v/>
      </c>
      <c r="BP38" s="251" t="str">
        <f t="shared" si="47"/>
        <v/>
      </c>
      <c r="BQ38" s="251" t="str">
        <f t="shared" si="48"/>
        <v/>
      </c>
      <c r="BR38" s="251" t="str">
        <f t="shared" si="49"/>
        <v/>
      </c>
      <c r="BS38" s="251" t="str">
        <f t="shared" si="50"/>
        <v/>
      </c>
      <c r="BT38" s="251" t="str">
        <f t="shared" si="51"/>
        <v/>
      </c>
      <c r="BU38" s="251" t="str">
        <f t="shared" si="52"/>
        <v/>
      </c>
      <c r="BV38" s="251" t="str">
        <f t="shared" si="53"/>
        <v/>
      </c>
      <c r="BW38" s="251" t="str">
        <f t="shared" si="54"/>
        <v/>
      </c>
      <c r="BX38" s="251" t="str">
        <f t="shared" si="55"/>
        <v/>
      </c>
      <c r="BY38" s="251" t="str">
        <f t="shared" si="56"/>
        <v/>
      </c>
      <c r="BZ38" s="251" t="str">
        <f t="shared" si="57"/>
        <v/>
      </c>
      <c r="CA38" s="251" t="str">
        <f t="shared" si="58"/>
        <v/>
      </c>
      <c r="CB38" s="251" t="str">
        <f t="shared" si="59"/>
        <v/>
      </c>
      <c r="CC38" s="251" t="str">
        <f t="shared" si="60"/>
        <v/>
      </c>
      <c r="CD38" s="251" t="str">
        <f t="shared" si="61"/>
        <v/>
      </c>
      <c r="CE38" s="251" t="str">
        <f t="shared" si="62"/>
        <v/>
      </c>
      <c r="CF38" s="251" t="str">
        <f t="shared" si="63"/>
        <v/>
      </c>
      <c r="CG38" s="251" t="str">
        <f t="shared" si="64"/>
        <v/>
      </c>
      <c r="CH38" s="251" t="str">
        <f t="shared" si="65"/>
        <v/>
      </c>
      <c r="CI38" s="251" t="str">
        <f t="shared" si="66"/>
        <v/>
      </c>
      <c r="CJ38" s="251" t="str">
        <f t="shared" si="67"/>
        <v/>
      </c>
      <c r="CK38" s="251" t="str">
        <f t="shared" si="68"/>
        <v/>
      </c>
      <c r="CL38" s="251" t="str">
        <f t="shared" si="69"/>
        <v/>
      </c>
      <c r="CM38" s="251" t="str">
        <f t="shared" si="70"/>
        <v/>
      </c>
      <c r="CN38" s="251" t="str">
        <f t="shared" si="71"/>
        <v/>
      </c>
      <c r="CO38" s="251" t="str">
        <f t="shared" si="72"/>
        <v/>
      </c>
      <c r="CP38" s="251" t="str">
        <f t="shared" si="73"/>
        <v/>
      </c>
      <c r="CQ38" s="251" t="str">
        <f t="shared" si="74"/>
        <v/>
      </c>
      <c r="CR38" s="251" t="str">
        <f t="shared" si="75"/>
        <v/>
      </c>
      <c r="CS38" s="251" t="str">
        <f t="shared" si="76"/>
        <v/>
      </c>
      <c r="CT38" s="251" t="str">
        <f t="shared" si="77"/>
        <v/>
      </c>
      <c r="CU38" s="251" t="str">
        <f t="shared" si="78"/>
        <v/>
      </c>
      <c r="CV38" s="251" t="str">
        <f t="shared" si="79"/>
        <v/>
      </c>
      <c r="CW38" s="251" t="str">
        <f t="shared" si="80"/>
        <v/>
      </c>
      <c r="CX38" s="251" t="str">
        <f t="shared" si="81"/>
        <v/>
      </c>
      <c r="CY38" s="251" t="str">
        <f t="shared" si="82"/>
        <v/>
      </c>
      <c r="CZ38" s="251" t="str">
        <f t="shared" si="83"/>
        <v/>
      </c>
      <c r="DA38" s="251" t="str">
        <f t="shared" si="84"/>
        <v/>
      </c>
      <c r="DB38" s="251" t="str">
        <f t="shared" si="85"/>
        <v/>
      </c>
      <c r="DC38" s="251" t="str">
        <f t="shared" si="86"/>
        <v/>
      </c>
      <c r="DD38" s="251" t="str">
        <f t="shared" si="87"/>
        <v/>
      </c>
      <c r="DE38" s="251" t="str">
        <f t="shared" si="88"/>
        <v/>
      </c>
      <c r="DF38" s="251" t="str">
        <f t="shared" si="89"/>
        <v/>
      </c>
      <c r="DG38" s="251" t="str">
        <f t="shared" si="90"/>
        <v/>
      </c>
      <c r="DH38" s="251" t="str">
        <f t="shared" si="91"/>
        <v/>
      </c>
      <c r="DI38" s="251" t="str">
        <f t="shared" si="92"/>
        <v/>
      </c>
      <c r="DJ38" s="251" t="str">
        <f t="shared" si="93"/>
        <v/>
      </c>
      <c r="DK38" s="251" t="str">
        <f t="shared" si="94"/>
        <v/>
      </c>
      <c r="DL38" s="251" t="str">
        <f t="shared" si="95"/>
        <v/>
      </c>
      <c r="DM38" s="251" t="str">
        <f t="shared" si="96"/>
        <v/>
      </c>
      <c r="DN38" s="251" t="str">
        <f t="shared" si="97"/>
        <v/>
      </c>
      <c r="DO38" s="251" t="str">
        <f t="shared" si="98"/>
        <v/>
      </c>
      <c r="DP38" s="251" t="str">
        <f t="shared" si="99"/>
        <v/>
      </c>
      <c r="DQ38" s="251" t="str">
        <f t="shared" si="100"/>
        <v/>
      </c>
      <c r="DR38" s="251" t="str">
        <f t="shared" si="101"/>
        <v/>
      </c>
      <c r="DS38" s="251" t="str">
        <f t="shared" si="102"/>
        <v/>
      </c>
      <c r="DT38" s="251" t="str">
        <f t="shared" si="103"/>
        <v/>
      </c>
      <c r="DU38" s="251" t="str">
        <f t="shared" si="104"/>
        <v/>
      </c>
      <c r="DV38" s="251" t="str">
        <f t="shared" si="105"/>
        <v/>
      </c>
      <c r="DW38" s="251" t="str">
        <f t="shared" si="106"/>
        <v/>
      </c>
      <c r="DX38" s="251" t="str">
        <f t="shared" si="107"/>
        <v/>
      </c>
      <c r="DY38" s="251" t="str">
        <f t="shared" si="108"/>
        <v/>
      </c>
      <c r="DZ38" s="251" t="str">
        <f t="shared" si="109"/>
        <v/>
      </c>
      <c r="EA38" s="251" t="str">
        <f t="shared" si="110"/>
        <v/>
      </c>
      <c r="EB38" s="251" t="str">
        <f t="shared" si="111"/>
        <v/>
      </c>
      <c r="EC38" s="251" t="str">
        <f t="shared" si="112"/>
        <v/>
      </c>
      <c r="ED38" s="251" t="str">
        <f t="shared" si="113"/>
        <v/>
      </c>
      <c r="EE38" s="251" t="str">
        <f t="shared" si="114"/>
        <v/>
      </c>
      <c r="EF38" s="251" t="str">
        <f t="shared" si="115"/>
        <v/>
      </c>
      <c r="EG38" s="251" t="str">
        <f t="shared" si="116"/>
        <v/>
      </c>
      <c r="EH38" s="251" t="str">
        <f t="shared" si="117"/>
        <v/>
      </c>
      <c r="EI38" s="251" t="str">
        <f t="shared" si="118"/>
        <v/>
      </c>
      <c r="EJ38" s="251" t="str">
        <f t="shared" si="119"/>
        <v/>
      </c>
      <c r="EK38" s="251" t="str">
        <f t="shared" si="120"/>
        <v/>
      </c>
      <c r="EL38" s="251" t="str">
        <f t="shared" si="121"/>
        <v/>
      </c>
      <c r="EM38" s="251" t="str">
        <f t="shared" si="122"/>
        <v/>
      </c>
      <c r="EN38" s="251" t="str">
        <f t="shared" si="123"/>
        <v/>
      </c>
      <c r="EO38" s="251" t="str">
        <f t="shared" si="124"/>
        <v/>
      </c>
      <c r="EP38" s="251" t="str">
        <f t="shared" si="125"/>
        <v/>
      </c>
      <c r="EQ38" s="251" t="str">
        <f t="shared" si="126"/>
        <v/>
      </c>
      <c r="ER38" s="251" t="str">
        <f t="shared" si="127"/>
        <v/>
      </c>
      <c r="ES38" s="251" t="str">
        <f t="shared" si="128"/>
        <v/>
      </c>
      <c r="ET38" s="251" t="str">
        <f t="shared" si="129"/>
        <v/>
      </c>
      <c r="EU38" s="251" t="str">
        <f t="shared" si="130"/>
        <v/>
      </c>
      <c r="EV38" s="251" t="str">
        <f t="shared" si="131"/>
        <v/>
      </c>
      <c r="EW38" s="251" t="str">
        <f t="shared" si="132"/>
        <v/>
      </c>
      <c r="EX38" s="251" t="str">
        <f t="shared" si="133"/>
        <v/>
      </c>
      <c r="EY38" s="251" t="str">
        <f t="shared" si="134"/>
        <v/>
      </c>
      <c r="EZ38" s="251" t="str">
        <f t="shared" si="135"/>
        <v/>
      </c>
      <c r="FA38" s="251" t="str">
        <f t="shared" si="136"/>
        <v/>
      </c>
      <c r="FB38" s="251" t="str">
        <f t="shared" si="137"/>
        <v/>
      </c>
      <c r="FC38" s="251" t="str">
        <f t="shared" si="138"/>
        <v/>
      </c>
      <c r="FD38" s="251" t="str">
        <f t="shared" si="139"/>
        <v/>
      </c>
      <c r="FE38" s="251" t="str">
        <f t="shared" si="140"/>
        <v/>
      </c>
      <c r="FF38" s="251" t="str">
        <f t="shared" si="141"/>
        <v/>
      </c>
      <c r="FG38" s="251" t="str">
        <f t="shared" si="142"/>
        <v/>
      </c>
      <c r="FH38" s="251" t="str">
        <f t="shared" si="143"/>
        <v/>
      </c>
      <c r="FI38" s="251" t="str">
        <f t="shared" si="144"/>
        <v/>
      </c>
      <c r="FJ38" s="251" t="str">
        <f t="shared" si="145"/>
        <v/>
      </c>
      <c r="FK38" s="251" t="str">
        <f t="shared" si="146"/>
        <v/>
      </c>
      <c r="FL38" s="251" t="str">
        <f t="shared" si="147"/>
        <v/>
      </c>
      <c r="FM38" s="251" t="str">
        <f t="shared" si="148"/>
        <v/>
      </c>
      <c r="FN38" s="251" t="str">
        <f t="shared" si="149"/>
        <v/>
      </c>
      <c r="FO38" s="251" t="str">
        <f t="shared" si="150"/>
        <v/>
      </c>
      <c r="FP38" s="251" t="str">
        <f t="shared" si="151"/>
        <v/>
      </c>
      <c r="FQ38" s="251" t="str">
        <f t="shared" si="152"/>
        <v/>
      </c>
      <c r="FR38" s="251" t="str">
        <f t="shared" si="153"/>
        <v/>
      </c>
      <c r="FS38" s="251" t="str">
        <f t="shared" si="154"/>
        <v/>
      </c>
      <c r="FT38" s="251" t="str">
        <f t="shared" si="155"/>
        <v/>
      </c>
      <c r="FU38" s="251" t="str">
        <f t="shared" si="156"/>
        <v/>
      </c>
      <c r="FV38" s="251" t="str">
        <f t="shared" si="157"/>
        <v/>
      </c>
      <c r="FW38" s="251" t="str">
        <f t="shared" si="158"/>
        <v/>
      </c>
      <c r="FX38" s="251" t="str">
        <f t="shared" si="159"/>
        <v/>
      </c>
      <c r="FY38" s="251" t="str">
        <f t="shared" si="160"/>
        <v/>
      </c>
      <c r="FZ38" s="251" t="str">
        <f t="shared" si="161"/>
        <v/>
      </c>
      <c r="GA38" s="251" t="str">
        <f t="shared" si="162"/>
        <v/>
      </c>
      <c r="GB38" s="251" t="str">
        <f t="shared" si="163"/>
        <v/>
      </c>
      <c r="GC38" s="251" t="str">
        <f t="shared" si="164"/>
        <v/>
      </c>
      <c r="GD38" s="251" t="str">
        <f t="shared" si="165"/>
        <v/>
      </c>
      <c r="GE38" s="251" t="str">
        <f t="shared" si="166"/>
        <v/>
      </c>
      <c r="GF38" s="251" t="str">
        <f t="shared" si="167"/>
        <v/>
      </c>
      <c r="GG38" s="251" t="str">
        <f t="shared" si="168"/>
        <v/>
      </c>
      <c r="GH38" s="251" t="str">
        <f t="shared" si="169"/>
        <v/>
      </c>
      <c r="GI38" s="251" t="str">
        <f t="shared" si="170"/>
        <v/>
      </c>
      <c r="GJ38" s="251" t="str">
        <f t="shared" si="171"/>
        <v/>
      </c>
      <c r="GK38" s="251" t="str">
        <f t="shared" si="172"/>
        <v/>
      </c>
      <c r="GL38" s="251" t="str">
        <f t="shared" si="173"/>
        <v/>
      </c>
      <c r="GM38" s="251" t="str">
        <f t="shared" si="174"/>
        <v/>
      </c>
      <c r="GN38" s="251" t="str">
        <f t="shared" si="175"/>
        <v/>
      </c>
      <c r="GO38" s="251" t="str">
        <f t="shared" si="176"/>
        <v/>
      </c>
      <c r="GP38" s="251" t="str">
        <f t="shared" si="177"/>
        <v/>
      </c>
      <c r="GQ38" s="251" t="str">
        <f t="shared" si="178"/>
        <v/>
      </c>
      <c r="GR38" s="251" t="str">
        <f t="shared" si="179"/>
        <v/>
      </c>
      <c r="GS38" s="251" t="str">
        <f t="shared" si="180"/>
        <v/>
      </c>
      <c r="GT38" s="251" t="str">
        <f t="shared" si="181"/>
        <v/>
      </c>
      <c r="GU38" s="251" t="str">
        <f t="shared" si="182"/>
        <v/>
      </c>
      <c r="GV38" s="251" t="str">
        <f t="shared" si="183"/>
        <v/>
      </c>
      <c r="GW38" s="251" t="str">
        <f t="shared" si="184"/>
        <v/>
      </c>
      <c r="GX38" s="251" t="str">
        <f t="shared" si="185"/>
        <v/>
      </c>
      <c r="GY38" s="251" t="str">
        <f t="shared" si="186"/>
        <v/>
      </c>
      <c r="GZ38" s="251" t="str">
        <f t="shared" si="187"/>
        <v/>
      </c>
      <c r="HA38" s="251" t="str">
        <f t="shared" si="188"/>
        <v/>
      </c>
      <c r="HB38" s="251" t="str">
        <f t="shared" si="189"/>
        <v/>
      </c>
      <c r="HC38" s="251" t="str">
        <f t="shared" si="190"/>
        <v/>
      </c>
      <c r="HD38" s="251" t="str">
        <f t="shared" si="191"/>
        <v/>
      </c>
      <c r="HE38" s="251" t="str">
        <f t="shared" si="192"/>
        <v/>
      </c>
      <c r="HF38" s="251" t="str">
        <f t="shared" si="193"/>
        <v/>
      </c>
      <c r="HG38" s="251" t="str">
        <f t="shared" si="194"/>
        <v/>
      </c>
      <c r="HH38" s="251" t="str">
        <f t="shared" si="195"/>
        <v/>
      </c>
      <c r="HI38" s="251" t="str">
        <f t="shared" si="196"/>
        <v/>
      </c>
      <c r="HJ38" s="251" t="str">
        <f t="shared" si="197"/>
        <v/>
      </c>
      <c r="HK38" s="251" t="str">
        <f t="shared" si="198"/>
        <v/>
      </c>
      <c r="HL38" s="251" t="str">
        <f t="shared" si="199"/>
        <v/>
      </c>
      <c r="HM38" s="251" t="str">
        <f t="shared" si="200"/>
        <v/>
      </c>
      <c r="HN38" s="251" t="str">
        <f t="shared" si="201"/>
        <v/>
      </c>
      <c r="HO38" s="251" t="str">
        <f t="shared" si="202"/>
        <v/>
      </c>
      <c r="HP38" s="251" t="str">
        <f t="shared" si="203"/>
        <v/>
      </c>
      <c r="HQ38" s="251" t="str">
        <f t="shared" si="204"/>
        <v/>
      </c>
      <c r="HR38" s="251" t="str">
        <f t="shared" si="205"/>
        <v/>
      </c>
      <c r="HS38" s="251" t="str">
        <f t="shared" si="206"/>
        <v/>
      </c>
      <c r="HT38" s="251" t="str">
        <f t="shared" si="207"/>
        <v/>
      </c>
      <c r="HU38" s="251" t="str">
        <f t="shared" si="208"/>
        <v/>
      </c>
      <c r="HV38" s="251" t="str">
        <f t="shared" si="209"/>
        <v/>
      </c>
      <c r="HW38" s="251" t="str">
        <f t="shared" si="210"/>
        <v/>
      </c>
      <c r="HX38" s="251" t="str">
        <f t="shared" si="211"/>
        <v/>
      </c>
      <c r="HY38" s="251" t="str">
        <f t="shared" si="212"/>
        <v/>
      </c>
      <c r="HZ38" s="251" t="str">
        <f t="shared" si="213"/>
        <v/>
      </c>
      <c r="IA38" s="251" t="str">
        <f t="shared" si="214"/>
        <v/>
      </c>
      <c r="IB38" s="251" t="str">
        <f t="shared" si="215"/>
        <v/>
      </c>
      <c r="IC38" s="251" t="str">
        <f t="shared" si="216"/>
        <v/>
      </c>
      <c r="ID38" s="251" t="str">
        <f t="shared" si="217"/>
        <v/>
      </c>
      <c r="IE38" s="251" t="str">
        <f t="shared" si="218"/>
        <v/>
      </c>
      <c r="IF38" s="251" t="str">
        <f t="shared" si="219"/>
        <v/>
      </c>
      <c r="IG38" s="251" t="str">
        <f t="shared" si="220"/>
        <v/>
      </c>
      <c r="IH38" s="251" t="str">
        <f t="shared" si="221"/>
        <v/>
      </c>
      <c r="II38" s="251" t="str">
        <f t="shared" si="222"/>
        <v/>
      </c>
      <c r="IJ38" s="251" t="str">
        <f t="shared" si="223"/>
        <v/>
      </c>
      <c r="IK38" s="251" t="str">
        <f t="shared" si="224"/>
        <v/>
      </c>
      <c r="IL38" s="251" t="str">
        <f t="shared" si="225"/>
        <v/>
      </c>
      <c r="IM38" s="251" t="str">
        <f t="shared" si="226"/>
        <v/>
      </c>
      <c r="IN38" s="251" t="str">
        <f t="shared" si="227"/>
        <v/>
      </c>
      <c r="IO38" s="251" t="str">
        <f t="shared" si="228"/>
        <v/>
      </c>
      <c r="IP38" s="251" t="str">
        <f t="shared" si="229"/>
        <v/>
      </c>
      <c r="IQ38" s="251" t="str">
        <f t="shared" si="230"/>
        <v/>
      </c>
      <c r="IR38" s="251" t="str">
        <f t="shared" si="231"/>
        <v/>
      </c>
      <c r="IS38" s="251" t="str">
        <f t="shared" si="232"/>
        <v/>
      </c>
      <c r="IT38" s="251" t="str">
        <f t="shared" si="233"/>
        <v/>
      </c>
      <c r="IU38" s="251" t="str">
        <f t="shared" si="234"/>
        <v/>
      </c>
      <c r="IV38" s="251" t="str">
        <f t="shared" si="235"/>
        <v/>
      </c>
      <c r="IW38" s="251" t="str">
        <f t="shared" si="236"/>
        <v/>
      </c>
      <c r="IX38" s="251" t="str">
        <f t="shared" si="237"/>
        <v/>
      </c>
      <c r="IY38" s="251" t="str">
        <f t="shared" si="238"/>
        <v/>
      </c>
      <c r="IZ38" s="251" t="str">
        <f t="shared" si="239"/>
        <v/>
      </c>
      <c r="JA38" s="251" t="str">
        <f t="shared" si="240"/>
        <v/>
      </c>
      <c r="JB38" s="251" t="str">
        <f t="shared" si="241"/>
        <v/>
      </c>
      <c r="JC38" s="251" t="str">
        <f t="shared" si="242"/>
        <v/>
      </c>
      <c r="JD38" s="251" t="str">
        <f t="shared" si="243"/>
        <v/>
      </c>
      <c r="JE38" s="251" t="str">
        <f t="shared" si="244"/>
        <v/>
      </c>
      <c r="JF38" s="251" t="str">
        <f t="shared" si="245"/>
        <v/>
      </c>
      <c r="JG38" s="251" t="str">
        <f t="shared" si="246"/>
        <v/>
      </c>
      <c r="JH38" s="251" t="str">
        <f t="shared" si="247"/>
        <v/>
      </c>
      <c r="JI38" s="1297" t="str">
        <f t="shared" si="248"/>
        <v/>
      </c>
      <c r="JJ38" s="1297" t="str">
        <f t="shared" si="249"/>
        <v/>
      </c>
      <c r="JK38" s="1297" t="str">
        <f t="shared" si="250"/>
        <v/>
      </c>
      <c r="JL38" s="1297" t="str">
        <f t="shared" si="251"/>
        <v/>
      </c>
      <c r="JM38" s="1297" t="str">
        <f t="shared" si="252"/>
        <v/>
      </c>
      <c r="JN38" s="1297" t="str">
        <f t="shared" si="253"/>
        <v/>
      </c>
      <c r="JO38" s="1297" t="str">
        <f t="shared" si="254"/>
        <v/>
      </c>
      <c r="JP38" s="1297" t="str">
        <f t="shared" si="255"/>
        <v/>
      </c>
      <c r="JQ38" s="1297" t="str">
        <f t="shared" si="256"/>
        <v/>
      </c>
      <c r="JR38" s="1297" t="str">
        <f t="shared" si="257"/>
        <v/>
      </c>
      <c r="JS38" s="1297" t="str">
        <f t="shared" si="258"/>
        <v/>
      </c>
      <c r="JT38" s="1297" t="str">
        <f t="shared" si="259"/>
        <v/>
      </c>
      <c r="JU38" s="1297" t="str">
        <f t="shared" si="260"/>
        <v/>
      </c>
      <c r="JV38" s="1297" t="str">
        <f t="shared" si="261"/>
        <v/>
      </c>
      <c r="JW38" s="1297" t="str">
        <f t="shared" si="262"/>
        <v/>
      </c>
      <c r="JX38" s="1297" t="str">
        <f t="shared" si="263"/>
        <v/>
      </c>
      <c r="JY38" s="1297" t="str">
        <f t="shared" si="264"/>
        <v/>
      </c>
      <c r="JZ38" s="1297" t="str">
        <f t="shared" si="265"/>
        <v/>
      </c>
      <c r="KA38" s="1297" t="str">
        <f t="shared" si="266"/>
        <v/>
      </c>
      <c r="KB38" s="1297" t="str">
        <f t="shared" si="267"/>
        <v/>
      </c>
      <c r="KC38" s="1297" t="str">
        <f t="shared" si="268"/>
        <v/>
      </c>
      <c r="KD38" s="1297" t="str">
        <f t="shared" si="269"/>
        <v/>
      </c>
      <c r="KE38" s="1297" t="str">
        <f t="shared" si="270"/>
        <v/>
      </c>
      <c r="KF38" s="1297" t="str">
        <f t="shared" si="271"/>
        <v/>
      </c>
      <c r="KG38" s="1297" t="str">
        <f t="shared" si="272"/>
        <v/>
      </c>
      <c r="KH38" s="1297" t="str">
        <f t="shared" si="273"/>
        <v/>
      </c>
      <c r="KI38" s="1297" t="str">
        <f t="shared" si="274"/>
        <v/>
      </c>
      <c r="KJ38" s="1297" t="str">
        <f t="shared" si="275"/>
        <v/>
      </c>
      <c r="KK38" s="1297" t="str">
        <f t="shared" si="276"/>
        <v/>
      </c>
      <c r="KL38" s="1297" t="str">
        <f t="shared" si="277"/>
        <v/>
      </c>
      <c r="KM38" s="1297" t="str">
        <f t="shared" si="278"/>
        <v/>
      </c>
      <c r="KN38" s="1297" t="str">
        <f t="shared" si="279"/>
        <v/>
      </c>
      <c r="KO38" s="1297" t="str">
        <f t="shared" si="280"/>
        <v/>
      </c>
      <c r="KP38" s="1297" t="str">
        <f t="shared" si="281"/>
        <v/>
      </c>
      <c r="KQ38" s="1297" t="str">
        <f t="shared" si="282"/>
        <v/>
      </c>
      <c r="KR38" s="1297" t="str">
        <f t="shared" si="283"/>
        <v/>
      </c>
      <c r="KS38" s="1297" t="str">
        <f t="shared" si="284"/>
        <v/>
      </c>
      <c r="KT38" s="1297" t="str">
        <f t="shared" si="285"/>
        <v/>
      </c>
      <c r="KU38" s="1297" t="str">
        <f t="shared" si="286"/>
        <v/>
      </c>
      <c r="KV38" s="1297" t="str">
        <f t="shared" si="287"/>
        <v/>
      </c>
      <c r="KW38" s="1297" t="str">
        <f t="shared" si="288"/>
        <v/>
      </c>
      <c r="KX38" s="1297" t="str">
        <f t="shared" si="289"/>
        <v/>
      </c>
      <c r="KY38" s="1297" t="str">
        <f t="shared" si="290"/>
        <v/>
      </c>
      <c r="KZ38" s="1297" t="str">
        <f t="shared" si="291"/>
        <v/>
      </c>
      <c r="LA38" s="1297" t="str">
        <f t="shared" si="292"/>
        <v/>
      </c>
      <c r="LB38" s="1297" t="str">
        <f t="shared" si="293"/>
        <v/>
      </c>
      <c r="LC38" s="1297" t="str">
        <f t="shared" si="294"/>
        <v/>
      </c>
      <c r="LD38" s="1297" t="str">
        <f t="shared" si="295"/>
        <v/>
      </c>
      <c r="LE38" s="1297" t="str">
        <f t="shared" si="296"/>
        <v/>
      </c>
      <c r="LF38" s="1297" t="str">
        <f t="shared" si="297"/>
        <v/>
      </c>
      <c r="LG38" s="1297" t="str">
        <f t="shared" si="298"/>
        <v/>
      </c>
      <c r="LH38" s="1297" t="str">
        <f t="shared" si="299"/>
        <v/>
      </c>
      <c r="LI38" s="1297" t="str">
        <f t="shared" si="300"/>
        <v/>
      </c>
      <c r="LJ38" s="1297" t="str">
        <f t="shared" si="301"/>
        <v/>
      </c>
      <c r="LK38" s="1297" t="str">
        <f t="shared" si="302"/>
        <v/>
      </c>
      <c r="LL38" s="1297" t="str">
        <f t="shared" si="303"/>
        <v/>
      </c>
      <c r="LM38" s="1297" t="str">
        <f t="shared" si="304"/>
        <v/>
      </c>
      <c r="LN38" s="1297" t="str">
        <f t="shared" si="305"/>
        <v/>
      </c>
      <c r="LO38" s="1297" t="str">
        <f t="shared" si="306"/>
        <v/>
      </c>
      <c r="LP38" s="1297" t="str">
        <f t="shared" si="307"/>
        <v/>
      </c>
      <c r="LQ38" s="1297" t="str">
        <f t="shared" si="308"/>
        <v/>
      </c>
      <c r="LR38" s="1297" t="str">
        <f t="shared" si="309"/>
        <v/>
      </c>
      <c r="LS38" s="1297" t="str">
        <f t="shared" si="310"/>
        <v/>
      </c>
      <c r="LT38" s="1297" t="str">
        <f t="shared" si="311"/>
        <v/>
      </c>
      <c r="LU38" s="1297" t="str">
        <f t="shared" si="312"/>
        <v/>
      </c>
      <c r="LV38" s="1297" t="str">
        <f t="shared" si="313"/>
        <v/>
      </c>
      <c r="LW38" s="1297" t="str">
        <f t="shared" si="314"/>
        <v/>
      </c>
      <c r="LX38" s="1297" t="str">
        <f t="shared" si="315"/>
        <v/>
      </c>
      <c r="LY38" s="1297" t="str">
        <f t="shared" si="316"/>
        <v/>
      </c>
      <c r="LZ38" s="1297" t="str">
        <f t="shared" si="317"/>
        <v/>
      </c>
      <c r="MA38" s="1297" t="str">
        <f t="shared" si="318"/>
        <v/>
      </c>
      <c r="MB38" s="1297" t="str">
        <f t="shared" si="319"/>
        <v/>
      </c>
      <c r="MC38" s="1297" t="str">
        <f t="shared" si="320"/>
        <v/>
      </c>
      <c r="MD38" s="1297" t="str">
        <f t="shared" si="321"/>
        <v/>
      </c>
      <c r="ME38" s="1297" t="str">
        <f t="shared" si="322"/>
        <v/>
      </c>
      <c r="MF38" s="1297" t="str">
        <f t="shared" si="323"/>
        <v/>
      </c>
      <c r="MG38" s="1297" t="str">
        <f t="shared" si="324"/>
        <v/>
      </c>
      <c r="MH38" s="1297" t="str">
        <f t="shared" si="325"/>
        <v/>
      </c>
      <c r="MI38" s="1297" t="str">
        <f t="shared" si="326"/>
        <v/>
      </c>
      <c r="MJ38" s="1297" t="str">
        <f t="shared" si="327"/>
        <v/>
      </c>
      <c r="MK38" s="1297" t="str">
        <f t="shared" si="328"/>
        <v/>
      </c>
      <c r="ML38" s="1297" t="str">
        <f t="shared" si="329"/>
        <v/>
      </c>
      <c r="MM38" s="1297" t="str">
        <f t="shared" si="330"/>
        <v/>
      </c>
      <c r="MN38" s="1297" t="str">
        <f t="shared" si="331"/>
        <v/>
      </c>
      <c r="MO38" s="1297" t="str">
        <f t="shared" si="332"/>
        <v/>
      </c>
      <c r="MP38" s="1773" t="str">
        <f t="shared" si="333"/>
        <v/>
      </c>
      <c r="MQ38" s="1773" t="str">
        <f t="shared" si="334"/>
        <v/>
      </c>
      <c r="MR38" s="1773" t="str">
        <f t="shared" si="335"/>
        <v/>
      </c>
      <c r="MS38" s="1773" t="str">
        <f t="shared" si="336"/>
        <v/>
      </c>
      <c r="MT38" s="1773" t="str">
        <f t="shared" si="337"/>
        <v/>
      </c>
      <c r="MU38" s="251" t="str">
        <f t="shared" si="338"/>
        <v/>
      </c>
      <c r="MV38" s="251" t="str">
        <f t="shared" si="339"/>
        <v/>
      </c>
      <c r="MW38" s="251" t="str">
        <f t="shared" si="340"/>
        <v/>
      </c>
      <c r="MX38" s="251" t="str">
        <f t="shared" si="341"/>
        <v/>
      </c>
      <c r="MY38" s="251" t="str">
        <f t="shared" si="342"/>
        <v/>
      </c>
      <c r="MZ38" s="251" t="str">
        <f t="shared" si="343"/>
        <v/>
      </c>
      <c r="NA38" s="251" t="str">
        <f t="shared" si="344"/>
        <v/>
      </c>
      <c r="NB38" s="251" t="str">
        <f t="shared" si="345"/>
        <v/>
      </c>
      <c r="NC38" s="251" t="str">
        <f t="shared" si="346"/>
        <v/>
      </c>
      <c r="ND38" s="251" t="str">
        <f t="shared" si="347"/>
        <v/>
      </c>
      <c r="NE38" s="251" t="str">
        <f t="shared" si="348"/>
        <v/>
      </c>
      <c r="NF38" s="251" t="str">
        <f t="shared" si="349"/>
        <v/>
      </c>
      <c r="NG38" s="251" t="str">
        <f t="shared" si="350"/>
        <v/>
      </c>
      <c r="NH38" s="251" t="str">
        <f t="shared" si="351"/>
        <v/>
      </c>
      <c r="NI38" s="251" t="str">
        <f t="shared" si="352"/>
        <v/>
      </c>
      <c r="NJ38" s="251" t="str">
        <f t="shared" si="353"/>
        <v/>
      </c>
      <c r="NK38" s="251" t="str">
        <f t="shared" si="354"/>
        <v/>
      </c>
      <c r="NL38" s="251" t="str">
        <f t="shared" si="355"/>
        <v/>
      </c>
      <c r="NM38" s="251" t="str">
        <f t="shared" si="356"/>
        <v/>
      </c>
      <c r="NN38" s="251" t="str">
        <f t="shared" si="357"/>
        <v/>
      </c>
      <c r="NO38" s="1185">
        <f t="shared" si="358"/>
        <v>0</v>
      </c>
      <c r="NP38" s="1185">
        <f t="shared" si="359"/>
        <v>0</v>
      </c>
      <c r="NQ38" s="1185">
        <f t="shared" si="360"/>
        <v>0</v>
      </c>
      <c r="NR38" s="1185">
        <f t="shared" si="361"/>
        <v>0</v>
      </c>
      <c r="NS38" s="1185">
        <f t="shared" si="362"/>
        <v>0</v>
      </c>
      <c r="NT38" s="1185">
        <f t="shared" si="368"/>
        <v>0</v>
      </c>
      <c r="NU38" s="1185">
        <f t="shared" si="369"/>
        <v>0</v>
      </c>
      <c r="NV38" s="1185">
        <f t="shared" si="370"/>
        <v>0</v>
      </c>
      <c r="NW38" s="1185">
        <f t="shared" si="371"/>
        <v>0</v>
      </c>
      <c r="NX38" s="1185">
        <f t="shared" si="372"/>
        <v>0</v>
      </c>
      <c r="NY38" s="1185">
        <f t="shared" si="363"/>
        <v>0</v>
      </c>
      <c r="NZ38" s="1185">
        <f t="shared" si="364"/>
        <v>0</v>
      </c>
      <c r="OA38" s="1185">
        <f t="shared" si="365"/>
        <v>0</v>
      </c>
      <c r="OB38" s="1185">
        <f t="shared" si="366"/>
        <v>0</v>
      </c>
      <c r="OC38" s="1185">
        <f t="shared" si="367"/>
        <v>0</v>
      </c>
      <c r="OY38" s="1794" t="s">
        <v>1186</v>
      </c>
      <c r="OZ38" s="1799">
        <v>38</v>
      </c>
    </row>
    <row r="39" spans="1:416" ht="12" customHeight="1">
      <c r="A39" s="53" t="str">
        <f t="shared" si="0"/>
        <v/>
      </c>
      <c r="B39" s="782"/>
      <c r="C39" s="85"/>
      <c r="D39" s="1187"/>
      <c r="E39" s="86"/>
      <c r="F39" s="86"/>
      <c r="G39" s="86"/>
      <c r="H39" s="86"/>
      <c r="I39" s="86"/>
      <c r="J39" s="765">
        <f>IF(C39="",0,HLOOKUP(C39,'Part IV-Utility Allowances'!$I$11:$M$25,15))</f>
        <v>0</v>
      </c>
      <c r="K39" s="473"/>
      <c r="L39" s="330">
        <f t="shared" si="1"/>
        <v>0</v>
      </c>
      <c r="M39" s="330">
        <f t="shared" si="2"/>
        <v>0</v>
      </c>
      <c r="N39" s="506"/>
      <c r="O39" s="1134"/>
      <c r="P39" s="506"/>
      <c r="Q39" s="87"/>
      <c r="R39" s="540"/>
      <c r="S39" s="541"/>
      <c r="T39" s="3758"/>
      <c r="U39" s="3759"/>
      <c r="V39" s="3759"/>
      <c r="W39" s="3760"/>
      <c r="X39" s="251" t="str">
        <f t="shared" si="3"/>
        <v/>
      </c>
      <c r="Y39" s="251" t="str">
        <f t="shared" si="4"/>
        <v/>
      </c>
      <c r="Z39" s="251" t="str">
        <f t="shared" si="5"/>
        <v/>
      </c>
      <c r="AA39" s="251" t="str">
        <f t="shared" si="6"/>
        <v/>
      </c>
      <c r="AB39" s="251" t="str">
        <f t="shared" si="7"/>
        <v/>
      </c>
      <c r="AC39" s="251" t="str">
        <f t="shared" si="8"/>
        <v/>
      </c>
      <c r="AD39" s="251" t="str">
        <f t="shared" si="9"/>
        <v/>
      </c>
      <c r="AE39" s="251" t="str">
        <f t="shared" si="10"/>
        <v/>
      </c>
      <c r="AF39" s="251" t="str">
        <f t="shared" si="11"/>
        <v/>
      </c>
      <c r="AG39" s="251" t="str">
        <f t="shared" si="12"/>
        <v/>
      </c>
      <c r="AH39" s="251" t="str">
        <f t="shared" si="13"/>
        <v/>
      </c>
      <c r="AI39" s="251" t="str">
        <f t="shared" si="14"/>
        <v/>
      </c>
      <c r="AJ39" s="251" t="str">
        <f t="shared" si="15"/>
        <v/>
      </c>
      <c r="AK39" s="251" t="str">
        <f t="shared" si="16"/>
        <v/>
      </c>
      <c r="AL39" s="251" t="str">
        <f t="shared" si="17"/>
        <v/>
      </c>
      <c r="AM39" s="251" t="str">
        <f t="shared" si="18"/>
        <v/>
      </c>
      <c r="AN39" s="251" t="str">
        <f t="shared" si="19"/>
        <v/>
      </c>
      <c r="AO39" s="251" t="str">
        <f t="shared" si="20"/>
        <v/>
      </c>
      <c r="AP39" s="251" t="str">
        <f t="shared" si="21"/>
        <v/>
      </c>
      <c r="AQ39" s="251" t="str">
        <f t="shared" si="22"/>
        <v/>
      </c>
      <c r="AR39" s="251" t="str">
        <f t="shared" si="23"/>
        <v/>
      </c>
      <c r="AS39" s="251" t="str">
        <f t="shared" si="24"/>
        <v/>
      </c>
      <c r="AT39" s="251" t="str">
        <f t="shared" si="25"/>
        <v/>
      </c>
      <c r="AU39" s="251" t="str">
        <f t="shared" si="26"/>
        <v/>
      </c>
      <c r="AV39" s="251" t="str">
        <f t="shared" si="27"/>
        <v/>
      </c>
      <c r="AW39" s="251" t="str">
        <f t="shared" si="28"/>
        <v/>
      </c>
      <c r="AX39" s="251" t="str">
        <f t="shared" si="29"/>
        <v/>
      </c>
      <c r="AY39" s="251" t="str">
        <f t="shared" si="30"/>
        <v/>
      </c>
      <c r="AZ39" s="251" t="str">
        <f t="shared" si="31"/>
        <v/>
      </c>
      <c r="BA39" s="251" t="str">
        <f t="shared" si="32"/>
        <v/>
      </c>
      <c r="BB39" s="251" t="str">
        <f t="shared" si="33"/>
        <v/>
      </c>
      <c r="BC39" s="251" t="str">
        <f t="shared" si="34"/>
        <v/>
      </c>
      <c r="BD39" s="251" t="str">
        <f t="shared" si="35"/>
        <v/>
      </c>
      <c r="BE39" s="251" t="str">
        <f t="shared" si="36"/>
        <v/>
      </c>
      <c r="BF39" s="251" t="str">
        <f t="shared" si="37"/>
        <v/>
      </c>
      <c r="BG39" s="251" t="str">
        <f t="shared" si="38"/>
        <v/>
      </c>
      <c r="BH39" s="251" t="str">
        <f t="shared" si="39"/>
        <v/>
      </c>
      <c r="BI39" s="251" t="str">
        <f t="shared" si="40"/>
        <v/>
      </c>
      <c r="BJ39" s="251" t="str">
        <f t="shared" si="41"/>
        <v/>
      </c>
      <c r="BK39" s="251" t="str">
        <f t="shared" si="42"/>
        <v/>
      </c>
      <c r="BL39" s="251" t="str">
        <f t="shared" si="43"/>
        <v/>
      </c>
      <c r="BM39" s="251" t="str">
        <f t="shared" si="44"/>
        <v/>
      </c>
      <c r="BN39" s="251" t="str">
        <f t="shared" si="45"/>
        <v/>
      </c>
      <c r="BO39" s="251" t="str">
        <f t="shared" si="46"/>
        <v/>
      </c>
      <c r="BP39" s="251" t="str">
        <f t="shared" si="47"/>
        <v/>
      </c>
      <c r="BQ39" s="251" t="str">
        <f t="shared" si="48"/>
        <v/>
      </c>
      <c r="BR39" s="251" t="str">
        <f t="shared" si="49"/>
        <v/>
      </c>
      <c r="BS39" s="251" t="str">
        <f t="shared" si="50"/>
        <v/>
      </c>
      <c r="BT39" s="251" t="str">
        <f t="shared" si="51"/>
        <v/>
      </c>
      <c r="BU39" s="251" t="str">
        <f t="shared" si="52"/>
        <v/>
      </c>
      <c r="BV39" s="251" t="str">
        <f t="shared" si="53"/>
        <v/>
      </c>
      <c r="BW39" s="251" t="str">
        <f t="shared" si="54"/>
        <v/>
      </c>
      <c r="BX39" s="251" t="str">
        <f t="shared" si="55"/>
        <v/>
      </c>
      <c r="BY39" s="251" t="str">
        <f t="shared" si="56"/>
        <v/>
      </c>
      <c r="BZ39" s="251" t="str">
        <f t="shared" si="57"/>
        <v/>
      </c>
      <c r="CA39" s="251" t="str">
        <f t="shared" si="58"/>
        <v/>
      </c>
      <c r="CB39" s="251" t="str">
        <f t="shared" si="59"/>
        <v/>
      </c>
      <c r="CC39" s="251" t="str">
        <f t="shared" si="60"/>
        <v/>
      </c>
      <c r="CD39" s="251" t="str">
        <f t="shared" si="61"/>
        <v/>
      </c>
      <c r="CE39" s="251" t="str">
        <f t="shared" si="62"/>
        <v/>
      </c>
      <c r="CF39" s="251" t="str">
        <f t="shared" si="63"/>
        <v/>
      </c>
      <c r="CG39" s="251" t="str">
        <f t="shared" si="64"/>
        <v/>
      </c>
      <c r="CH39" s="251" t="str">
        <f t="shared" si="65"/>
        <v/>
      </c>
      <c r="CI39" s="251" t="str">
        <f t="shared" si="66"/>
        <v/>
      </c>
      <c r="CJ39" s="251" t="str">
        <f t="shared" si="67"/>
        <v/>
      </c>
      <c r="CK39" s="251" t="str">
        <f t="shared" si="68"/>
        <v/>
      </c>
      <c r="CL39" s="251" t="str">
        <f t="shared" si="69"/>
        <v/>
      </c>
      <c r="CM39" s="251" t="str">
        <f t="shared" si="70"/>
        <v/>
      </c>
      <c r="CN39" s="251" t="str">
        <f t="shared" si="71"/>
        <v/>
      </c>
      <c r="CO39" s="251" t="str">
        <f t="shared" si="72"/>
        <v/>
      </c>
      <c r="CP39" s="251" t="str">
        <f t="shared" si="73"/>
        <v/>
      </c>
      <c r="CQ39" s="251" t="str">
        <f t="shared" si="74"/>
        <v/>
      </c>
      <c r="CR39" s="251" t="str">
        <f t="shared" si="75"/>
        <v/>
      </c>
      <c r="CS39" s="251" t="str">
        <f t="shared" si="76"/>
        <v/>
      </c>
      <c r="CT39" s="251" t="str">
        <f t="shared" si="77"/>
        <v/>
      </c>
      <c r="CU39" s="251" t="str">
        <f t="shared" si="78"/>
        <v/>
      </c>
      <c r="CV39" s="251" t="str">
        <f t="shared" si="79"/>
        <v/>
      </c>
      <c r="CW39" s="251" t="str">
        <f t="shared" si="80"/>
        <v/>
      </c>
      <c r="CX39" s="251" t="str">
        <f t="shared" si="81"/>
        <v/>
      </c>
      <c r="CY39" s="251" t="str">
        <f t="shared" si="82"/>
        <v/>
      </c>
      <c r="CZ39" s="251" t="str">
        <f t="shared" si="83"/>
        <v/>
      </c>
      <c r="DA39" s="251" t="str">
        <f t="shared" si="84"/>
        <v/>
      </c>
      <c r="DB39" s="251" t="str">
        <f t="shared" si="85"/>
        <v/>
      </c>
      <c r="DC39" s="251" t="str">
        <f t="shared" si="86"/>
        <v/>
      </c>
      <c r="DD39" s="251" t="str">
        <f t="shared" si="87"/>
        <v/>
      </c>
      <c r="DE39" s="251" t="str">
        <f t="shared" si="88"/>
        <v/>
      </c>
      <c r="DF39" s="251" t="str">
        <f t="shared" si="89"/>
        <v/>
      </c>
      <c r="DG39" s="251" t="str">
        <f t="shared" si="90"/>
        <v/>
      </c>
      <c r="DH39" s="251" t="str">
        <f t="shared" si="91"/>
        <v/>
      </c>
      <c r="DI39" s="251" t="str">
        <f t="shared" si="92"/>
        <v/>
      </c>
      <c r="DJ39" s="251" t="str">
        <f t="shared" si="93"/>
        <v/>
      </c>
      <c r="DK39" s="251" t="str">
        <f t="shared" si="94"/>
        <v/>
      </c>
      <c r="DL39" s="251" t="str">
        <f t="shared" si="95"/>
        <v/>
      </c>
      <c r="DM39" s="251" t="str">
        <f t="shared" si="96"/>
        <v/>
      </c>
      <c r="DN39" s="251" t="str">
        <f t="shared" si="97"/>
        <v/>
      </c>
      <c r="DO39" s="251" t="str">
        <f t="shared" si="98"/>
        <v/>
      </c>
      <c r="DP39" s="251" t="str">
        <f t="shared" si="99"/>
        <v/>
      </c>
      <c r="DQ39" s="251" t="str">
        <f t="shared" si="100"/>
        <v/>
      </c>
      <c r="DR39" s="251" t="str">
        <f t="shared" si="101"/>
        <v/>
      </c>
      <c r="DS39" s="251" t="str">
        <f t="shared" si="102"/>
        <v/>
      </c>
      <c r="DT39" s="251" t="str">
        <f t="shared" si="103"/>
        <v/>
      </c>
      <c r="DU39" s="251" t="str">
        <f t="shared" si="104"/>
        <v/>
      </c>
      <c r="DV39" s="251" t="str">
        <f t="shared" si="105"/>
        <v/>
      </c>
      <c r="DW39" s="251" t="str">
        <f t="shared" si="106"/>
        <v/>
      </c>
      <c r="DX39" s="251" t="str">
        <f t="shared" si="107"/>
        <v/>
      </c>
      <c r="DY39" s="251" t="str">
        <f t="shared" si="108"/>
        <v/>
      </c>
      <c r="DZ39" s="251" t="str">
        <f t="shared" si="109"/>
        <v/>
      </c>
      <c r="EA39" s="251" t="str">
        <f t="shared" si="110"/>
        <v/>
      </c>
      <c r="EB39" s="251" t="str">
        <f t="shared" si="111"/>
        <v/>
      </c>
      <c r="EC39" s="251" t="str">
        <f t="shared" si="112"/>
        <v/>
      </c>
      <c r="ED39" s="251" t="str">
        <f t="shared" si="113"/>
        <v/>
      </c>
      <c r="EE39" s="251" t="str">
        <f t="shared" si="114"/>
        <v/>
      </c>
      <c r="EF39" s="251" t="str">
        <f t="shared" si="115"/>
        <v/>
      </c>
      <c r="EG39" s="251" t="str">
        <f t="shared" si="116"/>
        <v/>
      </c>
      <c r="EH39" s="251" t="str">
        <f t="shared" si="117"/>
        <v/>
      </c>
      <c r="EI39" s="251" t="str">
        <f t="shared" si="118"/>
        <v/>
      </c>
      <c r="EJ39" s="251" t="str">
        <f t="shared" si="119"/>
        <v/>
      </c>
      <c r="EK39" s="251" t="str">
        <f t="shared" si="120"/>
        <v/>
      </c>
      <c r="EL39" s="251" t="str">
        <f t="shared" si="121"/>
        <v/>
      </c>
      <c r="EM39" s="251" t="str">
        <f t="shared" si="122"/>
        <v/>
      </c>
      <c r="EN39" s="251" t="str">
        <f t="shared" si="123"/>
        <v/>
      </c>
      <c r="EO39" s="251" t="str">
        <f t="shared" si="124"/>
        <v/>
      </c>
      <c r="EP39" s="251" t="str">
        <f t="shared" si="125"/>
        <v/>
      </c>
      <c r="EQ39" s="251" t="str">
        <f t="shared" si="126"/>
        <v/>
      </c>
      <c r="ER39" s="251" t="str">
        <f t="shared" si="127"/>
        <v/>
      </c>
      <c r="ES39" s="251" t="str">
        <f t="shared" si="128"/>
        <v/>
      </c>
      <c r="ET39" s="251" t="str">
        <f t="shared" si="129"/>
        <v/>
      </c>
      <c r="EU39" s="251" t="str">
        <f t="shared" si="130"/>
        <v/>
      </c>
      <c r="EV39" s="251" t="str">
        <f t="shared" si="131"/>
        <v/>
      </c>
      <c r="EW39" s="251" t="str">
        <f t="shared" si="132"/>
        <v/>
      </c>
      <c r="EX39" s="251" t="str">
        <f t="shared" si="133"/>
        <v/>
      </c>
      <c r="EY39" s="251" t="str">
        <f t="shared" si="134"/>
        <v/>
      </c>
      <c r="EZ39" s="251" t="str">
        <f t="shared" si="135"/>
        <v/>
      </c>
      <c r="FA39" s="251" t="str">
        <f t="shared" si="136"/>
        <v/>
      </c>
      <c r="FB39" s="251" t="str">
        <f t="shared" si="137"/>
        <v/>
      </c>
      <c r="FC39" s="251" t="str">
        <f t="shared" si="138"/>
        <v/>
      </c>
      <c r="FD39" s="251" t="str">
        <f t="shared" si="139"/>
        <v/>
      </c>
      <c r="FE39" s="251" t="str">
        <f t="shared" si="140"/>
        <v/>
      </c>
      <c r="FF39" s="251" t="str">
        <f t="shared" si="141"/>
        <v/>
      </c>
      <c r="FG39" s="251" t="str">
        <f t="shared" si="142"/>
        <v/>
      </c>
      <c r="FH39" s="251" t="str">
        <f t="shared" si="143"/>
        <v/>
      </c>
      <c r="FI39" s="251" t="str">
        <f t="shared" si="144"/>
        <v/>
      </c>
      <c r="FJ39" s="251" t="str">
        <f t="shared" si="145"/>
        <v/>
      </c>
      <c r="FK39" s="251" t="str">
        <f t="shared" si="146"/>
        <v/>
      </c>
      <c r="FL39" s="251" t="str">
        <f t="shared" si="147"/>
        <v/>
      </c>
      <c r="FM39" s="251" t="str">
        <f t="shared" si="148"/>
        <v/>
      </c>
      <c r="FN39" s="251" t="str">
        <f t="shared" si="149"/>
        <v/>
      </c>
      <c r="FO39" s="251" t="str">
        <f t="shared" si="150"/>
        <v/>
      </c>
      <c r="FP39" s="251" t="str">
        <f t="shared" si="151"/>
        <v/>
      </c>
      <c r="FQ39" s="251" t="str">
        <f t="shared" si="152"/>
        <v/>
      </c>
      <c r="FR39" s="251" t="str">
        <f t="shared" si="153"/>
        <v/>
      </c>
      <c r="FS39" s="251" t="str">
        <f t="shared" si="154"/>
        <v/>
      </c>
      <c r="FT39" s="251" t="str">
        <f t="shared" si="155"/>
        <v/>
      </c>
      <c r="FU39" s="251" t="str">
        <f t="shared" si="156"/>
        <v/>
      </c>
      <c r="FV39" s="251" t="str">
        <f t="shared" si="157"/>
        <v/>
      </c>
      <c r="FW39" s="251" t="str">
        <f t="shared" si="158"/>
        <v/>
      </c>
      <c r="FX39" s="251" t="str">
        <f t="shared" si="159"/>
        <v/>
      </c>
      <c r="FY39" s="251" t="str">
        <f t="shared" si="160"/>
        <v/>
      </c>
      <c r="FZ39" s="251" t="str">
        <f t="shared" si="161"/>
        <v/>
      </c>
      <c r="GA39" s="251" t="str">
        <f t="shared" si="162"/>
        <v/>
      </c>
      <c r="GB39" s="251" t="str">
        <f t="shared" si="163"/>
        <v/>
      </c>
      <c r="GC39" s="251" t="str">
        <f t="shared" si="164"/>
        <v/>
      </c>
      <c r="GD39" s="251" t="str">
        <f t="shared" si="165"/>
        <v/>
      </c>
      <c r="GE39" s="251" t="str">
        <f t="shared" si="166"/>
        <v/>
      </c>
      <c r="GF39" s="251" t="str">
        <f t="shared" si="167"/>
        <v/>
      </c>
      <c r="GG39" s="251" t="str">
        <f t="shared" si="168"/>
        <v/>
      </c>
      <c r="GH39" s="251" t="str">
        <f t="shared" si="169"/>
        <v/>
      </c>
      <c r="GI39" s="251" t="str">
        <f t="shared" si="170"/>
        <v/>
      </c>
      <c r="GJ39" s="251" t="str">
        <f t="shared" si="171"/>
        <v/>
      </c>
      <c r="GK39" s="251" t="str">
        <f t="shared" si="172"/>
        <v/>
      </c>
      <c r="GL39" s="251" t="str">
        <f t="shared" si="173"/>
        <v/>
      </c>
      <c r="GM39" s="251" t="str">
        <f t="shared" si="174"/>
        <v/>
      </c>
      <c r="GN39" s="251" t="str">
        <f t="shared" si="175"/>
        <v/>
      </c>
      <c r="GO39" s="251" t="str">
        <f t="shared" si="176"/>
        <v/>
      </c>
      <c r="GP39" s="251" t="str">
        <f t="shared" si="177"/>
        <v/>
      </c>
      <c r="GQ39" s="251" t="str">
        <f t="shared" si="178"/>
        <v/>
      </c>
      <c r="GR39" s="251" t="str">
        <f t="shared" si="179"/>
        <v/>
      </c>
      <c r="GS39" s="251" t="str">
        <f t="shared" si="180"/>
        <v/>
      </c>
      <c r="GT39" s="251" t="str">
        <f t="shared" si="181"/>
        <v/>
      </c>
      <c r="GU39" s="251" t="str">
        <f t="shared" si="182"/>
        <v/>
      </c>
      <c r="GV39" s="251" t="str">
        <f t="shared" si="183"/>
        <v/>
      </c>
      <c r="GW39" s="251" t="str">
        <f t="shared" si="184"/>
        <v/>
      </c>
      <c r="GX39" s="251" t="str">
        <f t="shared" si="185"/>
        <v/>
      </c>
      <c r="GY39" s="251" t="str">
        <f t="shared" si="186"/>
        <v/>
      </c>
      <c r="GZ39" s="251" t="str">
        <f t="shared" si="187"/>
        <v/>
      </c>
      <c r="HA39" s="251" t="str">
        <f t="shared" si="188"/>
        <v/>
      </c>
      <c r="HB39" s="251" t="str">
        <f t="shared" si="189"/>
        <v/>
      </c>
      <c r="HC39" s="251" t="str">
        <f t="shared" si="190"/>
        <v/>
      </c>
      <c r="HD39" s="251" t="str">
        <f t="shared" si="191"/>
        <v/>
      </c>
      <c r="HE39" s="251" t="str">
        <f t="shared" si="192"/>
        <v/>
      </c>
      <c r="HF39" s="251" t="str">
        <f t="shared" si="193"/>
        <v/>
      </c>
      <c r="HG39" s="251" t="str">
        <f t="shared" si="194"/>
        <v/>
      </c>
      <c r="HH39" s="251" t="str">
        <f t="shared" si="195"/>
        <v/>
      </c>
      <c r="HI39" s="251" t="str">
        <f t="shared" si="196"/>
        <v/>
      </c>
      <c r="HJ39" s="251" t="str">
        <f t="shared" si="197"/>
        <v/>
      </c>
      <c r="HK39" s="251" t="str">
        <f t="shared" si="198"/>
        <v/>
      </c>
      <c r="HL39" s="251" t="str">
        <f t="shared" si="199"/>
        <v/>
      </c>
      <c r="HM39" s="251" t="str">
        <f t="shared" si="200"/>
        <v/>
      </c>
      <c r="HN39" s="251" t="str">
        <f t="shared" si="201"/>
        <v/>
      </c>
      <c r="HO39" s="251" t="str">
        <f t="shared" si="202"/>
        <v/>
      </c>
      <c r="HP39" s="251" t="str">
        <f t="shared" si="203"/>
        <v/>
      </c>
      <c r="HQ39" s="251" t="str">
        <f t="shared" si="204"/>
        <v/>
      </c>
      <c r="HR39" s="251" t="str">
        <f t="shared" si="205"/>
        <v/>
      </c>
      <c r="HS39" s="251" t="str">
        <f t="shared" si="206"/>
        <v/>
      </c>
      <c r="HT39" s="251" t="str">
        <f t="shared" si="207"/>
        <v/>
      </c>
      <c r="HU39" s="251" t="str">
        <f t="shared" si="208"/>
        <v/>
      </c>
      <c r="HV39" s="251" t="str">
        <f t="shared" si="209"/>
        <v/>
      </c>
      <c r="HW39" s="251" t="str">
        <f t="shared" si="210"/>
        <v/>
      </c>
      <c r="HX39" s="251" t="str">
        <f t="shared" si="211"/>
        <v/>
      </c>
      <c r="HY39" s="251" t="str">
        <f t="shared" si="212"/>
        <v/>
      </c>
      <c r="HZ39" s="251" t="str">
        <f t="shared" si="213"/>
        <v/>
      </c>
      <c r="IA39" s="251" t="str">
        <f t="shared" si="214"/>
        <v/>
      </c>
      <c r="IB39" s="251" t="str">
        <f t="shared" si="215"/>
        <v/>
      </c>
      <c r="IC39" s="251" t="str">
        <f t="shared" si="216"/>
        <v/>
      </c>
      <c r="ID39" s="251" t="str">
        <f t="shared" si="217"/>
        <v/>
      </c>
      <c r="IE39" s="251" t="str">
        <f t="shared" si="218"/>
        <v/>
      </c>
      <c r="IF39" s="251" t="str">
        <f t="shared" si="219"/>
        <v/>
      </c>
      <c r="IG39" s="251" t="str">
        <f t="shared" si="220"/>
        <v/>
      </c>
      <c r="IH39" s="251" t="str">
        <f t="shared" si="221"/>
        <v/>
      </c>
      <c r="II39" s="251" t="str">
        <f t="shared" si="222"/>
        <v/>
      </c>
      <c r="IJ39" s="251" t="str">
        <f t="shared" si="223"/>
        <v/>
      </c>
      <c r="IK39" s="251" t="str">
        <f t="shared" si="224"/>
        <v/>
      </c>
      <c r="IL39" s="251" t="str">
        <f t="shared" si="225"/>
        <v/>
      </c>
      <c r="IM39" s="251" t="str">
        <f t="shared" si="226"/>
        <v/>
      </c>
      <c r="IN39" s="251" t="str">
        <f t="shared" si="227"/>
        <v/>
      </c>
      <c r="IO39" s="251" t="str">
        <f t="shared" si="228"/>
        <v/>
      </c>
      <c r="IP39" s="251" t="str">
        <f t="shared" si="229"/>
        <v/>
      </c>
      <c r="IQ39" s="251" t="str">
        <f t="shared" si="230"/>
        <v/>
      </c>
      <c r="IR39" s="251" t="str">
        <f t="shared" si="231"/>
        <v/>
      </c>
      <c r="IS39" s="251" t="str">
        <f t="shared" si="232"/>
        <v/>
      </c>
      <c r="IT39" s="251" t="str">
        <f t="shared" si="233"/>
        <v/>
      </c>
      <c r="IU39" s="251" t="str">
        <f t="shared" si="234"/>
        <v/>
      </c>
      <c r="IV39" s="251" t="str">
        <f t="shared" si="235"/>
        <v/>
      </c>
      <c r="IW39" s="251" t="str">
        <f t="shared" si="236"/>
        <v/>
      </c>
      <c r="IX39" s="251" t="str">
        <f t="shared" si="237"/>
        <v/>
      </c>
      <c r="IY39" s="251" t="str">
        <f t="shared" si="238"/>
        <v/>
      </c>
      <c r="IZ39" s="251" t="str">
        <f t="shared" si="239"/>
        <v/>
      </c>
      <c r="JA39" s="251" t="str">
        <f t="shared" si="240"/>
        <v/>
      </c>
      <c r="JB39" s="251" t="str">
        <f t="shared" si="241"/>
        <v/>
      </c>
      <c r="JC39" s="251" t="str">
        <f t="shared" si="242"/>
        <v/>
      </c>
      <c r="JD39" s="251" t="str">
        <f t="shared" si="243"/>
        <v/>
      </c>
      <c r="JE39" s="251" t="str">
        <f t="shared" si="244"/>
        <v/>
      </c>
      <c r="JF39" s="251" t="str">
        <f t="shared" si="245"/>
        <v/>
      </c>
      <c r="JG39" s="251" t="str">
        <f t="shared" si="246"/>
        <v/>
      </c>
      <c r="JH39" s="251" t="str">
        <f t="shared" si="247"/>
        <v/>
      </c>
      <c r="JI39" s="1297" t="str">
        <f t="shared" si="248"/>
        <v/>
      </c>
      <c r="JJ39" s="1297" t="str">
        <f t="shared" si="249"/>
        <v/>
      </c>
      <c r="JK39" s="1297" t="str">
        <f t="shared" si="250"/>
        <v/>
      </c>
      <c r="JL39" s="1297" t="str">
        <f t="shared" si="251"/>
        <v/>
      </c>
      <c r="JM39" s="1297" t="str">
        <f t="shared" si="252"/>
        <v/>
      </c>
      <c r="JN39" s="1297" t="str">
        <f t="shared" si="253"/>
        <v/>
      </c>
      <c r="JO39" s="1297" t="str">
        <f t="shared" si="254"/>
        <v/>
      </c>
      <c r="JP39" s="1297" t="str">
        <f t="shared" si="255"/>
        <v/>
      </c>
      <c r="JQ39" s="1297" t="str">
        <f t="shared" si="256"/>
        <v/>
      </c>
      <c r="JR39" s="1297" t="str">
        <f t="shared" si="257"/>
        <v/>
      </c>
      <c r="JS39" s="1297" t="str">
        <f t="shared" si="258"/>
        <v/>
      </c>
      <c r="JT39" s="1297" t="str">
        <f t="shared" si="259"/>
        <v/>
      </c>
      <c r="JU39" s="1297" t="str">
        <f t="shared" si="260"/>
        <v/>
      </c>
      <c r="JV39" s="1297" t="str">
        <f t="shared" si="261"/>
        <v/>
      </c>
      <c r="JW39" s="1297" t="str">
        <f t="shared" si="262"/>
        <v/>
      </c>
      <c r="JX39" s="1297" t="str">
        <f t="shared" si="263"/>
        <v/>
      </c>
      <c r="JY39" s="1297" t="str">
        <f t="shared" si="264"/>
        <v/>
      </c>
      <c r="JZ39" s="1297" t="str">
        <f t="shared" si="265"/>
        <v/>
      </c>
      <c r="KA39" s="1297" t="str">
        <f t="shared" si="266"/>
        <v/>
      </c>
      <c r="KB39" s="1297" t="str">
        <f t="shared" si="267"/>
        <v/>
      </c>
      <c r="KC39" s="1297" t="str">
        <f t="shared" si="268"/>
        <v/>
      </c>
      <c r="KD39" s="1297" t="str">
        <f t="shared" si="269"/>
        <v/>
      </c>
      <c r="KE39" s="1297" t="str">
        <f t="shared" si="270"/>
        <v/>
      </c>
      <c r="KF39" s="1297" t="str">
        <f t="shared" si="271"/>
        <v/>
      </c>
      <c r="KG39" s="1297" t="str">
        <f t="shared" si="272"/>
        <v/>
      </c>
      <c r="KH39" s="1297" t="str">
        <f t="shared" si="273"/>
        <v/>
      </c>
      <c r="KI39" s="1297" t="str">
        <f t="shared" si="274"/>
        <v/>
      </c>
      <c r="KJ39" s="1297" t="str">
        <f t="shared" si="275"/>
        <v/>
      </c>
      <c r="KK39" s="1297" t="str">
        <f t="shared" si="276"/>
        <v/>
      </c>
      <c r="KL39" s="1297" t="str">
        <f t="shared" si="277"/>
        <v/>
      </c>
      <c r="KM39" s="1297" t="str">
        <f t="shared" si="278"/>
        <v/>
      </c>
      <c r="KN39" s="1297" t="str">
        <f t="shared" si="279"/>
        <v/>
      </c>
      <c r="KO39" s="1297" t="str">
        <f t="shared" si="280"/>
        <v/>
      </c>
      <c r="KP39" s="1297" t="str">
        <f t="shared" si="281"/>
        <v/>
      </c>
      <c r="KQ39" s="1297" t="str">
        <f t="shared" si="282"/>
        <v/>
      </c>
      <c r="KR39" s="1297" t="str">
        <f t="shared" si="283"/>
        <v/>
      </c>
      <c r="KS39" s="1297" t="str">
        <f t="shared" si="284"/>
        <v/>
      </c>
      <c r="KT39" s="1297" t="str">
        <f t="shared" si="285"/>
        <v/>
      </c>
      <c r="KU39" s="1297" t="str">
        <f t="shared" si="286"/>
        <v/>
      </c>
      <c r="KV39" s="1297" t="str">
        <f t="shared" si="287"/>
        <v/>
      </c>
      <c r="KW39" s="1297" t="str">
        <f t="shared" si="288"/>
        <v/>
      </c>
      <c r="KX39" s="1297" t="str">
        <f t="shared" si="289"/>
        <v/>
      </c>
      <c r="KY39" s="1297" t="str">
        <f t="shared" si="290"/>
        <v/>
      </c>
      <c r="KZ39" s="1297" t="str">
        <f t="shared" si="291"/>
        <v/>
      </c>
      <c r="LA39" s="1297" t="str">
        <f t="shared" si="292"/>
        <v/>
      </c>
      <c r="LB39" s="1297" t="str">
        <f t="shared" si="293"/>
        <v/>
      </c>
      <c r="LC39" s="1297" t="str">
        <f t="shared" si="294"/>
        <v/>
      </c>
      <c r="LD39" s="1297" t="str">
        <f t="shared" si="295"/>
        <v/>
      </c>
      <c r="LE39" s="1297" t="str">
        <f t="shared" si="296"/>
        <v/>
      </c>
      <c r="LF39" s="1297" t="str">
        <f t="shared" si="297"/>
        <v/>
      </c>
      <c r="LG39" s="1297" t="str">
        <f t="shared" si="298"/>
        <v/>
      </c>
      <c r="LH39" s="1297" t="str">
        <f t="shared" si="299"/>
        <v/>
      </c>
      <c r="LI39" s="1297" t="str">
        <f t="shared" si="300"/>
        <v/>
      </c>
      <c r="LJ39" s="1297" t="str">
        <f t="shared" si="301"/>
        <v/>
      </c>
      <c r="LK39" s="1297" t="str">
        <f t="shared" si="302"/>
        <v/>
      </c>
      <c r="LL39" s="1297" t="str">
        <f t="shared" si="303"/>
        <v/>
      </c>
      <c r="LM39" s="1297" t="str">
        <f t="shared" si="304"/>
        <v/>
      </c>
      <c r="LN39" s="1297" t="str">
        <f t="shared" si="305"/>
        <v/>
      </c>
      <c r="LO39" s="1297" t="str">
        <f t="shared" si="306"/>
        <v/>
      </c>
      <c r="LP39" s="1297" t="str">
        <f t="shared" si="307"/>
        <v/>
      </c>
      <c r="LQ39" s="1297" t="str">
        <f t="shared" si="308"/>
        <v/>
      </c>
      <c r="LR39" s="1297" t="str">
        <f t="shared" si="309"/>
        <v/>
      </c>
      <c r="LS39" s="1297" t="str">
        <f t="shared" si="310"/>
        <v/>
      </c>
      <c r="LT39" s="1297" t="str">
        <f t="shared" si="311"/>
        <v/>
      </c>
      <c r="LU39" s="1297" t="str">
        <f t="shared" si="312"/>
        <v/>
      </c>
      <c r="LV39" s="1297" t="str">
        <f t="shared" si="313"/>
        <v/>
      </c>
      <c r="LW39" s="1297" t="str">
        <f t="shared" si="314"/>
        <v/>
      </c>
      <c r="LX39" s="1297" t="str">
        <f t="shared" si="315"/>
        <v/>
      </c>
      <c r="LY39" s="1297" t="str">
        <f t="shared" si="316"/>
        <v/>
      </c>
      <c r="LZ39" s="1297" t="str">
        <f t="shared" si="317"/>
        <v/>
      </c>
      <c r="MA39" s="1297" t="str">
        <f t="shared" si="318"/>
        <v/>
      </c>
      <c r="MB39" s="1297" t="str">
        <f t="shared" si="319"/>
        <v/>
      </c>
      <c r="MC39" s="1297" t="str">
        <f t="shared" si="320"/>
        <v/>
      </c>
      <c r="MD39" s="1297" t="str">
        <f t="shared" si="321"/>
        <v/>
      </c>
      <c r="ME39" s="1297" t="str">
        <f t="shared" si="322"/>
        <v/>
      </c>
      <c r="MF39" s="1297" t="str">
        <f t="shared" si="323"/>
        <v/>
      </c>
      <c r="MG39" s="1297" t="str">
        <f t="shared" si="324"/>
        <v/>
      </c>
      <c r="MH39" s="1297" t="str">
        <f t="shared" si="325"/>
        <v/>
      </c>
      <c r="MI39" s="1297" t="str">
        <f t="shared" si="326"/>
        <v/>
      </c>
      <c r="MJ39" s="1297" t="str">
        <f t="shared" si="327"/>
        <v/>
      </c>
      <c r="MK39" s="1297" t="str">
        <f t="shared" si="328"/>
        <v/>
      </c>
      <c r="ML39" s="1297" t="str">
        <f t="shared" si="329"/>
        <v/>
      </c>
      <c r="MM39" s="1297" t="str">
        <f t="shared" si="330"/>
        <v/>
      </c>
      <c r="MN39" s="1297" t="str">
        <f t="shared" si="331"/>
        <v/>
      </c>
      <c r="MO39" s="1297" t="str">
        <f t="shared" si="332"/>
        <v/>
      </c>
      <c r="MP39" s="1773" t="str">
        <f t="shared" si="333"/>
        <v/>
      </c>
      <c r="MQ39" s="1773" t="str">
        <f t="shared" si="334"/>
        <v/>
      </c>
      <c r="MR39" s="1773" t="str">
        <f t="shared" si="335"/>
        <v/>
      </c>
      <c r="MS39" s="1773" t="str">
        <f t="shared" si="336"/>
        <v/>
      </c>
      <c r="MT39" s="1773" t="str">
        <f t="shared" si="337"/>
        <v/>
      </c>
      <c r="MU39" s="251" t="str">
        <f t="shared" si="338"/>
        <v/>
      </c>
      <c r="MV39" s="251" t="str">
        <f t="shared" si="339"/>
        <v/>
      </c>
      <c r="MW39" s="251" t="str">
        <f t="shared" si="340"/>
        <v/>
      </c>
      <c r="MX39" s="251" t="str">
        <f t="shared" si="341"/>
        <v/>
      </c>
      <c r="MY39" s="251" t="str">
        <f t="shared" si="342"/>
        <v/>
      </c>
      <c r="MZ39" s="251" t="str">
        <f t="shared" si="343"/>
        <v/>
      </c>
      <c r="NA39" s="251" t="str">
        <f t="shared" si="344"/>
        <v/>
      </c>
      <c r="NB39" s="251" t="str">
        <f t="shared" si="345"/>
        <v/>
      </c>
      <c r="NC39" s="251" t="str">
        <f t="shared" si="346"/>
        <v/>
      </c>
      <c r="ND39" s="251" t="str">
        <f t="shared" si="347"/>
        <v/>
      </c>
      <c r="NE39" s="251" t="str">
        <f t="shared" si="348"/>
        <v/>
      </c>
      <c r="NF39" s="251" t="str">
        <f t="shared" si="349"/>
        <v/>
      </c>
      <c r="NG39" s="251" t="str">
        <f t="shared" si="350"/>
        <v/>
      </c>
      <c r="NH39" s="251" t="str">
        <f t="shared" si="351"/>
        <v/>
      </c>
      <c r="NI39" s="251" t="str">
        <f t="shared" si="352"/>
        <v/>
      </c>
      <c r="NJ39" s="251" t="str">
        <f t="shared" si="353"/>
        <v/>
      </c>
      <c r="NK39" s="251" t="str">
        <f t="shared" si="354"/>
        <v/>
      </c>
      <c r="NL39" s="251" t="str">
        <f t="shared" si="355"/>
        <v/>
      </c>
      <c r="NM39" s="251" t="str">
        <f t="shared" si="356"/>
        <v/>
      </c>
      <c r="NN39" s="251" t="str">
        <f t="shared" si="357"/>
        <v/>
      </c>
      <c r="NO39" s="1185">
        <f t="shared" si="358"/>
        <v>0</v>
      </c>
      <c r="NP39" s="1185">
        <f t="shared" si="359"/>
        <v>0</v>
      </c>
      <c r="NQ39" s="1185">
        <f t="shared" si="360"/>
        <v>0</v>
      </c>
      <c r="NR39" s="1185">
        <f t="shared" si="361"/>
        <v>0</v>
      </c>
      <c r="NS39" s="1185">
        <f t="shared" si="362"/>
        <v>0</v>
      </c>
      <c r="NT39" s="1185">
        <f t="shared" si="368"/>
        <v>0</v>
      </c>
      <c r="NU39" s="1185">
        <f t="shared" si="369"/>
        <v>0</v>
      </c>
      <c r="NV39" s="1185">
        <f t="shared" si="370"/>
        <v>0</v>
      </c>
      <c r="NW39" s="1185">
        <f t="shared" si="371"/>
        <v>0</v>
      </c>
      <c r="NX39" s="1185">
        <f t="shared" si="372"/>
        <v>0</v>
      </c>
      <c r="NY39" s="1185">
        <f t="shared" si="363"/>
        <v>0</v>
      </c>
      <c r="NZ39" s="1185">
        <f t="shared" si="364"/>
        <v>0</v>
      </c>
      <c r="OA39" s="1185">
        <f t="shared" si="365"/>
        <v>0</v>
      </c>
      <c r="OB39" s="1185">
        <f t="shared" si="366"/>
        <v>0</v>
      </c>
      <c r="OC39" s="1185">
        <f t="shared" si="367"/>
        <v>0</v>
      </c>
      <c r="OY39" s="1794" t="s">
        <v>1187</v>
      </c>
      <c r="OZ39" s="1799">
        <v>39</v>
      </c>
    </row>
    <row r="40" spans="1:416" ht="12" customHeight="1">
      <c r="A40" s="53" t="str">
        <f t="shared" si="0"/>
        <v/>
      </c>
      <c r="B40" s="782"/>
      <c r="C40" s="85"/>
      <c r="D40" s="1187"/>
      <c r="E40" s="86"/>
      <c r="F40" s="86"/>
      <c r="G40" s="86"/>
      <c r="H40" s="86"/>
      <c r="I40" s="86"/>
      <c r="J40" s="765">
        <f>IF(C40="",0,HLOOKUP(C40,'Part IV-Utility Allowances'!$I$11:$M$25,15))</f>
        <v>0</v>
      </c>
      <c r="K40" s="473"/>
      <c r="L40" s="330">
        <f t="shared" si="1"/>
        <v>0</v>
      </c>
      <c r="M40" s="330">
        <f t="shared" si="2"/>
        <v>0</v>
      </c>
      <c r="N40" s="506"/>
      <c r="O40" s="1134"/>
      <c r="P40" s="506"/>
      <c r="Q40" s="87"/>
      <c r="R40" s="540"/>
      <c r="S40" s="541"/>
      <c r="T40" s="3758"/>
      <c r="U40" s="3759"/>
      <c r="V40" s="3759"/>
      <c r="W40" s="3760"/>
      <c r="X40" s="251" t="str">
        <f t="shared" si="3"/>
        <v/>
      </c>
      <c r="Y40" s="251" t="str">
        <f t="shared" si="4"/>
        <v/>
      </c>
      <c r="Z40" s="251" t="str">
        <f t="shared" si="5"/>
        <v/>
      </c>
      <c r="AA40" s="251" t="str">
        <f t="shared" si="6"/>
        <v/>
      </c>
      <c r="AB40" s="251" t="str">
        <f t="shared" si="7"/>
        <v/>
      </c>
      <c r="AC40" s="251" t="str">
        <f t="shared" si="8"/>
        <v/>
      </c>
      <c r="AD40" s="251" t="str">
        <f t="shared" si="9"/>
        <v/>
      </c>
      <c r="AE40" s="251" t="str">
        <f t="shared" si="10"/>
        <v/>
      </c>
      <c r="AF40" s="251" t="str">
        <f t="shared" si="11"/>
        <v/>
      </c>
      <c r="AG40" s="251" t="str">
        <f t="shared" si="12"/>
        <v/>
      </c>
      <c r="AH40" s="251" t="str">
        <f t="shared" si="13"/>
        <v/>
      </c>
      <c r="AI40" s="251" t="str">
        <f t="shared" si="14"/>
        <v/>
      </c>
      <c r="AJ40" s="251" t="str">
        <f t="shared" si="15"/>
        <v/>
      </c>
      <c r="AK40" s="251" t="str">
        <f t="shared" si="16"/>
        <v/>
      </c>
      <c r="AL40" s="251" t="str">
        <f t="shared" si="17"/>
        <v/>
      </c>
      <c r="AM40" s="251" t="str">
        <f t="shared" si="18"/>
        <v/>
      </c>
      <c r="AN40" s="251" t="str">
        <f t="shared" si="19"/>
        <v/>
      </c>
      <c r="AO40" s="251" t="str">
        <f t="shared" si="20"/>
        <v/>
      </c>
      <c r="AP40" s="251" t="str">
        <f t="shared" si="21"/>
        <v/>
      </c>
      <c r="AQ40" s="251" t="str">
        <f t="shared" si="22"/>
        <v/>
      </c>
      <c r="AR40" s="251" t="str">
        <f t="shared" si="23"/>
        <v/>
      </c>
      <c r="AS40" s="251" t="str">
        <f t="shared" si="24"/>
        <v/>
      </c>
      <c r="AT40" s="251" t="str">
        <f t="shared" si="25"/>
        <v/>
      </c>
      <c r="AU40" s="251" t="str">
        <f t="shared" si="26"/>
        <v/>
      </c>
      <c r="AV40" s="251" t="str">
        <f t="shared" si="27"/>
        <v/>
      </c>
      <c r="AW40" s="251" t="str">
        <f t="shared" si="28"/>
        <v/>
      </c>
      <c r="AX40" s="251" t="str">
        <f t="shared" si="29"/>
        <v/>
      </c>
      <c r="AY40" s="251" t="str">
        <f t="shared" si="30"/>
        <v/>
      </c>
      <c r="AZ40" s="251" t="str">
        <f t="shared" si="31"/>
        <v/>
      </c>
      <c r="BA40" s="251" t="str">
        <f t="shared" si="32"/>
        <v/>
      </c>
      <c r="BB40" s="251" t="str">
        <f t="shared" si="33"/>
        <v/>
      </c>
      <c r="BC40" s="251" t="str">
        <f t="shared" si="34"/>
        <v/>
      </c>
      <c r="BD40" s="251" t="str">
        <f t="shared" si="35"/>
        <v/>
      </c>
      <c r="BE40" s="251" t="str">
        <f t="shared" si="36"/>
        <v/>
      </c>
      <c r="BF40" s="251" t="str">
        <f t="shared" si="37"/>
        <v/>
      </c>
      <c r="BG40" s="251" t="str">
        <f t="shared" si="38"/>
        <v/>
      </c>
      <c r="BH40" s="251" t="str">
        <f t="shared" si="39"/>
        <v/>
      </c>
      <c r="BI40" s="251" t="str">
        <f t="shared" si="40"/>
        <v/>
      </c>
      <c r="BJ40" s="251" t="str">
        <f t="shared" si="41"/>
        <v/>
      </c>
      <c r="BK40" s="251" t="str">
        <f t="shared" si="42"/>
        <v/>
      </c>
      <c r="BL40" s="251" t="str">
        <f t="shared" si="43"/>
        <v/>
      </c>
      <c r="BM40" s="251" t="str">
        <f t="shared" si="44"/>
        <v/>
      </c>
      <c r="BN40" s="251" t="str">
        <f t="shared" si="45"/>
        <v/>
      </c>
      <c r="BO40" s="251" t="str">
        <f t="shared" si="46"/>
        <v/>
      </c>
      <c r="BP40" s="251" t="str">
        <f t="shared" si="47"/>
        <v/>
      </c>
      <c r="BQ40" s="251" t="str">
        <f t="shared" si="48"/>
        <v/>
      </c>
      <c r="BR40" s="251" t="str">
        <f t="shared" si="49"/>
        <v/>
      </c>
      <c r="BS40" s="251" t="str">
        <f t="shared" si="50"/>
        <v/>
      </c>
      <c r="BT40" s="251" t="str">
        <f t="shared" si="51"/>
        <v/>
      </c>
      <c r="BU40" s="251" t="str">
        <f t="shared" si="52"/>
        <v/>
      </c>
      <c r="BV40" s="251" t="str">
        <f t="shared" si="53"/>
        <v/>
      </c>
      <c r="BW40" s="251" t="str">
        <f t="shared" si="54"/>
        <v/>
      </c>
      <c r="BX40" s="251" t="str">
        <f t="shared" si="55"/>
        <v/>
      </c>
      <c r="BY40" s="251" t="str">
        <f t="shared" si="56"/>
        <v/>
      </c>
      <c r="BZ40" s="251" t="str">
        <f t="shared" si="57"/>
        <v/>
      </c>
      <c r="CA40" s="251" t="str">
        <f t="shared" si="58"/>
        <v/>
      </c>
      <c r="CB40" s="251" t="str">
        <f t="shared" si="59"/>
        <v/>
      </c>
      <c r="CC40" s="251" t="str">
        <f t="shared" si="60"/>
        <v/>
      </c>
      <c r="CD40" s="251" t="str">
        <f t="shared" si="61"/>
        <v/>
      </c>
      <c r="CE40" s="251" t="str">
        <f t="shared" si="62"/>
        <v/>
      </c>
      <c r="CF40" s="251" t="str">
        <f t="shared" si="63"/>
        <v/>
      </c>
      <c r="CG40" s="251" t="str">
        <f t="shared" si="64"/>
        <v/>
      </c>
      <c r="CH40" s="251" t="str">
        <f t="shared" si="65"/>
        <v/>
      </c>
      <c r="CI40" s="251" t="str">
        <f t="shared" si="66"/>
        <v/>
      </c>
      <c r="CJ40" s="251" t="str">
        <f t="shared" si="67"/>
        <v/>
      </c>
      <c r="CK40" s="251" t="str">
        <f t="shared" si="68"/>
        <v/>
      </c>
      <c r="CL40" s="251" t="str">
        <f t="shared" si="69"/>
        <v/>
      </c>
      <c r="CM40" s="251" t="str">
        <f t="shared" si="70"/>
        <v/>
      </c>
      <c r="CN40" s="251" t="str">
        <f t="shared" si="71"/>
        <v/>
      </c>
      <c r="CO40" s="251" t="str">
        <f t="shared" si="72"/>
        <v/>
      </c>
      <c r="CP40" s="251" t="str">
        <f t="shared" si="73"/>
        <v/>
      </c>
      <c r="CQ40" s="251" t="str">
        <f t="shared" si="74"/>
        <v/>
      </c>
      <c r="CR40" s="251" t="str">
        <f t="shared" si="75"/>
        <v/>
      </c>
      <c r="CS40" s="251" t="str">
        <f t="shared" si="76"/>
        <v/>
      </c>
      <c r="CT40" s="251" t="str">
        <f t="shared" si="77"/>
        <v/>
      </c>
      <c r="CU40" s="251" t="str">
        <f t="shared" si="78"/>
        <v/>
      </c>
      <c r="CV40" s="251" t="str">
        <f t="shared" si="79"/>
        <v/>
      </c>
      <c r="CW40" s="251" t="str">
        <f t="shared" si="80"/>
        <v/>
      </c>
      <c r="CX40" s="251" t="str">
        <f t="shared" si="81"/>
        <v/>
      </c>
      <c r="CY40" s="251" t="str">
        <f t="shared" si="82"/>
        <v/>
      </c>
      <c r="CZ40" s="251" t="str">
        <f t="shared" si="83"/>
        <v/>
      </c>
      <c r="DA40" s="251" t="str">
        <f t="shared" si="84"/>
        <v/>
      </c>
      <c r="DB40" s="251" t="str">
        <f t="shared" si="85"/>
        <v/>
      </c>
      <c r="DC40" s="251" t="str">
        <f t="shared" si="86"/>
        <v/>
      </c>
      <c r="DD40" s="251" t="str">
        <f t="shared" si="87"/>
        <v/>
      </c>
      <c r="DE40" s="251" t="str">
        <f t="shared" si="88"/>
        <v/>
      </c>
      <c r="DF40" s="251" t="str">
        <f t="shared" si="89"/>
        <v/>
      </c>
      <c r="DG40" s="251" t="str">
        <f t="shared" si="90"/>
        <v/>
      </c>
      <c r="DH40" s="251" t="str">
        <f t="shared" si="91"/>
        <v/>
      </c>
      <c r="DI40" s="251" t="str">
        <f t="shared" si="92"/>
        <v/>
      </c>
      <c r="DJ40" s="251" t="str">
        <f t="shared" si="93"/>
        <v/>
      </c>
      <c r="DK40" s="251" t="str">
        <f t="shared" si="94"/>
        <v/>
      </c>
      <c r="DL40" s="251" t="str">
        <f t="shared" si="95"/>
        <v/>
      </c>
      <c r="DM40" s="251" t="str">
        <f t="shared" si="96"/>
        <v/>
      </c>
      <c r="DN40" s="251" t="str">
        <f t="shared" si="97"/>
        <v/>
      </c>
      <c r="DO40" s="251" t="str">
        <f t="shared" si="98"/>
        <v/>
      </c>
      <c r="DP40" s="251" t="str">
        <f t="shared" si="99"/>
        <v/>
      </c>
      <c r="DQ40" s="251" t="str">
        <f t="shared" si="100"/>
        <v/>
      </c>
      <c r="DR40" s="251" t="str">
        <f t="shared" si="101"/>
        <v/>
      </c>
      <c r="DS40" s="251" t="str">
        <f t="shared" si="102"/>
        <v/>
      </c>
      <c r="DT40" s="251" t="str">
        <f t="shared" si="103"/>
        <v/>
      </c>
      <c r="DU40" s="251" t="str">
        <f t="shared" si="104"/>
        <v/>
      </c>
      <c r="DV40" s="251" t="str">
        <f t="shared" si="105"/>
        <v/>
      </c>
      <c r="DW40" s="251" t="str">
        <f t="shared" si="106"/>
        <v/>
      </c>
      <c r="DX40" s="251" t="str">
        <f t="shared" si="107"/>
        <v/>
      </c>
      <c r="DY40" s="251" t="str">
        <f t="shared" si="108"/>
        <v/>
      </c>
      <c r="DZ40" s="251" t="str">
        <f t="shared" si="109"/>
        <v/>
      </c>
      <c r="EA40" s="251" t="str">
        <f t="shared" si="110"/>
        <v/>
      </c>
      <c r="EB40" s="251" t="str">
        <f t="shared" si="111"/>
        <v/>
      </c>
      <c r="EC40" s="251" t="str">
        <f t="shared" si="112"/>
        <v/>
      </c>
      <c r="ED40" s="251" t="str">
        <f t="shared" si="113"/>
        <v/>
      </c>
      <c r="EE40" s="251" t="str">
        <f t="shared" si="114"/>
        <v/>
      </c>
      <c r="EF40" s="251" t="str">
        <f t="shared" si="115"/>
        <v/>
      </c>
      <c r="EG40" s="251" t="str">
        <f t="shared" si="116"/>
        <v/>
      </c>
      <c r="EH40" s="251" t="str">
        <f t="shared" si="117"/>
        <v/>
      </c>
      <c r="EI40" s="251" t="str">
        <f t="shared" si="118"/>
        <v/>
      </c>
      <c r="EJ40" s="251" t="str">
        <f t="shared" si="119"/>
        <v/>
      </c>
      <c r="EK40" s="251" t="str">
        <f t="shared" si="120"/>
        <v/>
      </c>
      <c r="EL40" s="251" t="str">
        <f t="shared" si="121"/>
        <v/>
      </c>
      <c r="EM40" s="251" t="str">
        <f t="shared" si="122"/>
        <v/>
      </c>
      <c r="EN40" s="251" t="str">
        <f t="shared" si="123"/>
        <v/>
      </c>
      <c r="EO40" s="251" t="str">
        <f t="shared" si="124"/>
        <v/>
      </c>
      <c r="EP40" s="251" t="str">
        <f t="shared" si="125"/>
        <v/>
      </c>
      <c r="EQ40" s="251" t="str">
        <f t="shared" si="126"/>
        <v/>
      </c>
      <c r="ER40" s="251" t="str">
        <f t="shared" si="127"/>
        <v/>
      </c>
      <c r="ES40" s="251" t="str">
        <f t="shared" si="128"/>
        <v/>
      </c>
      <c r="ET40" s="251" t="str">
        <f t="shared" si="129"/>
        <v/>
      </c>
      <c r="EU40" s="251" t="str">
        <f t="shared" si="130"/>
        <v/>
      </c>
      <c r="EV40" s="251" t="str">
        <f t="shared" si="131"/>
        <v/>
      </c>
      <c r="EW40" s="251" t="str">
        <f t="shared" si="132"/>
        <v/>
      </c>
      <c r="EX40" s="251" t="str">
        <f t="shared" si="133"/>
        <v/>
      </c>
      <c r="EY40" s="251" t="str">
        <f t="shared" si="134"/>
        <v/>
      </c>
      <c r="EZ40" s="251" t="str">
        <f t="shared" si="135"/>
        <v/>
      </c>
      <c r="FA40" s="251" t="str">
        <f t="shared" si="136"/>
        <v/>
      </c>
      <c r="FB40" s="251" t="str">
        <f t="shared" si="137"/>
        <v/>
      </c>
      <c r="FC40" s="251" t="str">
        <f t="shared" si="138"/>
        <v/>
      </c>
      <c r="FD40" s="251" t="str">
        <f t="shared" si="139"/>
        <v/>
      </c>
      <c r="FE40" s="251" t="str">
        <f t="shared" si="140"/>
        <v/>
      </c>
      <c r="FF40" s="251" t="str">
        <f t="shared" si="141"/>
        <v/>
      </c>
      <c r="FG40" s="251" t="str">
        <f t="shared" si="142"/>
        <v/>
      </c>
      <c r="FH40" s="251" t="str">
        <f t="shared" si="143"/>
        <v/>
      </c>
      <c r="FI40" s="251" t="str">
        <f t="shared" si="144"/>
        <v/>
      </c>
      <c r="FJ40" s="251" t="str">
        <f t="shared" si="145"/>
        <v/>
      </c>
      <c r="FK40" s="251" t="str">
        <f t="shared" si="146"/>
        <v/>
      </c>
      <c r="FL40" s="251" t="str">
        <f t="shared" si="147"/>
        <v/>
      </c>
      <c r="FM40" s="251" t="str">
        <f t="shared" si="148"/>
        <v/>
      </c>
      <c r="FN40" s="251" t="str">
        <f t="shared" si="149"/>
        <v/>
      </c>
      <c r="FO40" s="251" t="str">
        <f t="shared" si="150"/>
        <v/>
      </c>
      <c r="FP40" s="251" t="str">
        <f t="shared" si="151"/>
        <v/>
      </c>
      <c r="FQ40" s="251" t="str">
        <f t="shared" si="152"/>
        <v/>
      </c>
      <c r="FR40" s="251" t="str">
        <f t="shared" si="153"/>
        <v/>
      </c>
      <c r="FS40" s="251" t="str">
        <f t="shared" si="154"/>
        <v/>
      </c>
      <c r="FT40" s="251" t="str">
        <f t="shared" si="155"/>
        <v/>
      </c>
      <c r="FU40" s="251" t="str">
        <f t="shared" si="156"/>
        <v/>
      </c>
      <c r="FV40" s="251" t="str">
        <f t="shared" si="157"/>
        <v/>
      </c>
      <c r="FW40" s="251" t="str">
        <f t="shared" si="158"/>
        <v/>
      </c>
      <c r="FX40" s="251" t="str">
        <f t="shared" si="159"/>
        <v/>
      </c>
      <c r="FY40" s="251" t="str">
        <f t="shared" si="160"/>
        <v/>
      </c>
      <c r="FZ40" s="251" t="str">
        <f t="shared" si="161"/>
        <v/>
      </c>
      <c r="GA40" s="251" t="str">
        <f t="shared" si="162"/>
        <v/>
      </c>
      <c r="GB40" s="251" t="str">
        <f t="shared" si="163"/>
        <v/>
      </c>
      <c r="GC40" s="251" t="str">
        <f t="shared" si="164"/>
        <v/>
      </c>
      <c r="GD40" s="251" t="str">
        <f t="shared" si="165"/>
        <v/>
      </c>
      <c r="GE40" s="251" t="str">
        <f t="shared" si="166"/>
        <v/>
      </c>
      <c r="GF40" s="251" t="str">
        <f t="shared" si="167"/>
        <v/>
      </c>
      <c r="GG40" s="251" t="str">
        <f t="shared" si="168"/>
        <v/>
      </c>
      <c r="GH40" s="251" t="str">
        <f t="shared" si="169"/>
        <v/>
      </c>
      <c r="GI40" s="251" t="str">
        <f t="shared" si="170"/>
        <v/>
      </c>
      <c r="GJ40" s="251" t="str">
        <f t="shared" si="171"/>
        <v/>
      </c>
      <c r="GK40" s="251" t="str">
        <f t="shared" si="172"/>
        <v/>
      </c>
      <c r="GL40" s="251" t="str">
        <f t="shared" si="173"/>
        <v/>
      </c>
      <c r="GM40" s="251" t="str">
        <f t="shared" si="174"/>
        <v/>
      </c>
      <c r="GN40" s="251" t="str">
        <f t="shared" si="175"/>
        <v/>
      </c>
      <c r="GO40" s="251" t="str">
        <f t="shared" si="176"/>
        <v/>
      </c>
      <c r="GP40" s="251" t="str">
        <f t="shared" si="177"/>
        <v/>
      </c>
      <c r="GQ40" s="251" t="str">
        <f t="shared" si="178"/>
        <v/>
      </c>
      <c r="GR40" s="251" t="str">
        <f t="shared" si="179"/>
        <v/>
      </c>
      <c r="GS40" s="251" t="str">
        <f t="shared" si="180"/>
        <v/>
      </c>
      <c r="GT40" s="251" t="str">
        <f t="shared" si="181"/>
        <v/>
      </c>
      <c r="GU40" s="251" t="str">
        <f t="shared" si="182"/>
        <v/>
      </c>
      <c r="GV40" s="251" t="str">
        <f t="shared" si="183"/>
        <v/>
      </c>
      <c r="GW40" s="251" t="str">
        <f t="shared" si="184"/>
        <v/>
      </c>
      <c r="GX40" s="251" t="str">
        <f t="shared" si="185"/>
        <v/>
      </c>
      <c r="GY40" s="251" t="str">
        <f t="shared" si="186"/>
        <v/>
      </c>
      <c r="GZ40" s="251" t="str">
        <f t="shared" si="187"/>
        <v/>
      </c>
      <c r="HA40" s="251" t="str">
        <f t="shared" si="188"/>
        <v/>
      </c>
      <c r="HB40" s="251" t="str">
        <f t="shared" si="189"/>
        <v/>
      </c>
      <c r="HC40" s="251" t="str">
        <f t="shared" si="190"/>
        <v/>
      </c>
      <c r="HD40" s="251" t="str">
        <f t="shared" si="191"/>
        <v/>
      </c>
      <c r="HE40" s="251" t="str">
        <f t="shared" si="192"/>
        <v/>
      </c>
      <c r="HF40" s="251" t="str">
        <f t="shared" si="193"/>
        <v/>
      </c>
      <c r="HG40" s="251" t="str">
        <f t="shared" si="194"/>
        <v/>
      </c>
      <c r="HH40" s="251" t="str">
        <f t="shared" si="195"/>
        <v/>
      </c>
      <c r="HI40" s="251" t="str">
        <f t="shared" si="196"/>
        <v/>
      </c>
      <c r="HJ40" s="251" t="str">
        <f t="shared" si="197"/>
        <v/>
      </c>
      <c r="HK40" s="251" t="str">
        <f t="shared" si="198"/>
        <v/>
      </c>
      <c r="HL40" s="251" t="str">
        <f t="shared" si="199"/>
        <v/>
      </c>
      <c r="HM40" s="251" t="str">
        <f t="shared" si="200"/>
        <v/>
      </c>
      <c r="HN40" s="251" t="str">
        <f t="shared" si="201"/>
        <v/>
      </c>
      <c r="HO40" s="251" t="str">
        <f t="shared" si="202"/>
        <v/>
      </c>
      <c r="HP40" s="251" t="str">
        <f t="shared" si="203"/>
        <v/>
      </c>
      <c r="HQ40" s="251" t="str">
        <f t="shared" si="204"/>
        <v/>
      </c>
      <c r="HR40" s="251" t="str">
        <f t="shared" si="205"/>
        <v/>
      </c>
      <c r="HS40" s="251" t="str">
        <f t="shared" si="206"/>
        <v/>
      </c>
      <c r="HT40" s="251" t="str">
        <f t="shared" si="207"/>
        <v/>
      </c>
      <c r="HU40" s="251" t="str">
        <f t="shared" si="208"/>
        <v/>
      </c>
      <c r="HV40" s="251" t="str">
        <f t="shared" si="209"/>
        <v/>
      </c>
      <c r="HW40" s="251" t="str">
        <f t="shared" si="210"/>
        <v/>
      </c>
      <c r="HX40" s="251" t="str">
        <f t="shared" si="211"/>
        <v/>
      </c>
      <c r="HY40" s="251" t="str">
        <f t="shared" si="212"/>
        <v/>
      </c>
      <c r="HZ40" s="251" t="str">
        <f t="shared" si="213"/>
        <v/>
      </c>
      <c r="IA40" s="251" t="str">
        <f t="shared" si="214"/>
        <v/>
      </c>
      <c r="IB40" s="251" t="str">
        <f t="shared" si="215"/>
        <v/>
      </c>
      <c r="IC40" s="251" t="str">
        <f t="shared" si="216"/>
        <v/>
      </c>
      <c r="ID40" s="251" t="str">
        <f t="shared" si="217"/>
        <v/>
      </c>
      <c r="IE40" s="251" t="str">
        <f t="shared" si="218"/>
        <v/>
      </c>
      <c r="IF40" s="251" t="str">
        <f t="shared" si="219"/>
        <v/>
      </c>
      <c r="IG40" s="251" t="str">
        <f t="shared" si="220"/>
        <v/>
      </c>
      <c r="IH40" s="251" t="str">
        <f t="shared" si="221"/>
        <v/>
      </c>
      <c r="II40" s="251" t="str">
        <f t="shared" si="222"/>
        <v/>
      </c>
      <c r="IJ40" s="251" t="str">
        <f t="shared" si="223"/>
        <v/>
      </c>
      <c r="IK40" s="251" t="str">
        <f t="shared" si="224"/>
        <v/>
      </c>
      <c r="IL40" s="251" t="str">
        <f t="shared" si="225"/>
        <v/>
      </c>
      <c r="IM40" s="251" t="str">
        <f t="shared" si="226"/>
        <v/>
      </c>
      <c r="IN40" s="251" t="str">
        <f t="shared" si="227"/>
        <v/>
      </c>
      <c r="IO40" s="251" t="str">
        <f t="shared" si="228"/>
        <v/>
      </c>
      <c r="IP40" s="251" t="str">
        <f t="shared" si="229"/>
        <v/>
      </c>
      <c r="IQ40" s="251" t="str">
        <f t="shared" si="230"/>
        <v/>
      </c>
      <c r="IR40" s="251" t="str">
        <f t="shared" si="231"/>
        <v/>
      </c>
      <c r="IS40" s="251" t="str">
        <f t="shared" si="232"/>
        <v/>
      </c>
      <c r="IT40" s="251" t="str">
        <f t="shared" si="233"/>
        <v/>
      </c>
      <c r="IU40" s="251" t="str">
        <f t="shared" si="234"/>
        <v/>
      </c>
      <c r="IV40" s="251" t="str">
        <f t="shared" si="235"/>
        <v/>
      </c>
      <c r="IW40" s="251" t="str">
        <f t="shared" si="236"/>
        <v/>
      </c>
      <c r="IX40" s="251" t="str">
        <f t="shared" si="237"/>
        <v/>
      </c>
      <c r="IY40" s="251" t="str">
        <f t="shared" si="238"/>
        <v/>
      </c>
      <c r="IZ40" s="251" t="str">
        <f t="shared" si="239"/>
        <v/>
      </c>
      <c r="JA40" s="251" t="str">
        <f t="shared" si="240"/>
        <v/>
      </c>
      <c r="JB40" s="251" t="str">
        <f t="shared" si="241"/>
        <v/>
      </c>
      <c r="JC40" s="251" t="str">
        <f t="shared" si="242"/>
        <v/>
      </c>
      <c r="JD40" s="251" t="str">
        <f t="shared" si="243"/>
        <v/>
      </c>
      <c r="JE40" s="251" t="str">
        <f t="shared" si="244"/>
        <v/>
      </c>
      <c r="JF40" s="251" t="str">
        <f t="shared" si="245"/>
        <v/>
      </c>
      <c r="JG40" s="251" t="str">
        <f t="shared" si="246"/>
        <v/>
      </c>
      <c r="JH40" s="251" t="str">
        <f t="shared" si="247"/>
        <v/>
      </c>
      <c r="JI40" s="1297" t="str">
        <f t="shared" si="248"/>
        <v/>
      </c>
      <c r="JJ40" s="1297" t="str">
        <f t="shared" si="249"/>
        <v/>
      </c>
      <c r="JK40" s="1297" t="str">
        <f t="shared" si="250"/>
        <v/>
      </c>
      <c r="JL40" s="1297" t="str">
        <f t="shared" si="251"/>
        <v/>
      </c>
      <c r="JM40" s="1297" t="str">
        <f t="shared" si="252"/>
        <v/>
      </c>
      <c r="JN40" s="1297" t="str">
        <f t="shared" si="253"/>
        <v/>
      </c>
      <c r="JO40" s="1297" t="str">
        <f t="shared" si="254"/>
        <v/>
      </c>
      <c r="JP40" s="1297" t="str">
        <f t="shared" si="255"/>
        <v/>
      </c>
      <c r="JQ40" s="1297" t="str">
        <f t="shared" si="256"/>
        <v/>
      </c>
      <c r="JR40" s="1297" t="str">
        <f t="shared" si="257"/>
        <v/>
      </c>
      <c r="JS40" s="1297" t="str">
        <f t="shared" si="258"/>
        <v/>
      </c>
      <c r="JT40" s="1297" t="str">
        <f t="shared" si="259"/>
        <v/>
      </c>
      <c r="JU40" s="1297" t="str">
        <f t="shared" si="260"/>
        <v/>
      </c>
      <c r="JV40" s="1297" t="str">
        <f t="shared" si="261"/>
        <v/>
      </c>
      <c r="JW40" s="1297" t="str">
        <f t="shared" si="262"/>
        <v/>
      </c>
      <c r="JX40" s="1297" t="str">
        <f t="shared" si="263"/>
        <v/>
      </c>
      <c r="JY40" s="1297" t="str">
        <f t="shared" si="264"/>
        <v/>
      </c>
      <c r="JZ40" s="1297" t="str">
        <f t="shared" si="265"/>
        <v/>
      </c>
      <c r="KA40" s="1297" t="str">
        <f t="shared" si="266"/>
        <v/>
      </c>
      <c r="KB40" s="1297" t="str">
        <f t="shared" si="267"/>
        <v/>
      </c>
      <c r="KC40" s="1297" t="str">
        <f t="shared" si="268"/>
        <v/>
      </c>
      <c r="KD40" s="1297" t="str">
        <f t="shared" si="269"/>
        <v/>
      </c>
      <c r="KE40" s="1297" t="str">
        <f t="shared" si="270"/>
        <v/>
      </c>
      <c r="KF40" s="1297" t="str">
        <f t="shared" si="271"/>
        <v/>
      </c>
      <c r="KG40" s="1297" t="str">
        <f t="shared" si="272"/>
        <v/>
      </c>
      <c r="KH40" s="1297" t="str">
        <f t="shared" si="273"/>
        <v/>
      </c>
      <c r="KI40" s="1297" t="str">
        <f t="shared" si="274"/>
        <v/>
      </c>
      <c r="KJ40" s="1297" t="str">
        <f t="shared" si="275"/>
        <v/>
      </c>
      <c r="KK40" s="1297" t="str">
        <f t="shared" si="276"/>
        <v/>
      </c>
      <c r="KL40" s="1297" t="str">
        <f t="shared" si="277"/>
        <v/>
      </c>
      <c r="KM40" s="1297" t="str">
        <f t="shared" si="278"/>
        <v/>
      </c>
      <c r="KN40" s="1297" t="str">
        <f t="shared" si="279"/>
        <v/>
      </c>
      <c r="KO40" s="1297" t="str">
        <f t="shared" si="280"/>
        <v/>
      </c>
      <c r="KP40" s="1297" t="str">
        <f t="shared" si="281"/>
        <v/>
      </c>
      <c r="KQ40" s="1297" t="str">
        <f t="shared" si="282"/>
        <v/>
      </c>
      <c r="KR40" s="1297" t="str">
        <f t="shared" si="283"/>
        <v/>
      </c>
      <c r="KS40" s="1297" t="str">
        <f t="shared" si="284"/>
        <v/>
      </c>
      <c r="KT40" s="1297" t="str">
        <f t="shared" si="285"/>
        <v/>
      </c>
      <c r="KU40" s="1297" t="str">
        <f t="shared" si="286"/>
        <v/>
      </c>
      <c r="KV40" s="1297" t="str">
        <f t="shared" si="287"/>
        <v/>
      </c>
      <c r="KW40" s="1297" t="str">
        <f t="shared" si="288"/>
        <v/>
      </c>
      <c r="KX40" s="1297" t="str">
        <f t="shared" si="289"/>
        <v/>
      </c>
      <c r="KY40" s="1297" t="str">
        <f t="shared" si="290"/>
        <v/>
      </c>
      <c r="KZ40" s="1297" t="str">
        <f t="shared" si="291"/>
        <v/>
      </c>
      <c r="LA40" s="1297" t="str">
        <f t="shared" si="292"/>
        <v/>
      </c>
      <c r="LB40" s="1297" t="str">
        <f t="shared" si="293"/>
        <v/>
      </c>
      <c r="LC40" s="1297" t="str">
        <f t="shared" si="294"/>
        <v/>
      </c>
      <c r="LD40" s="1297" t="str">
        <f t="shared" si="295"/>
        <v/>
      </c>
      <c r="LE40" s="1297" t="str">
        <f t="shared" si="296"/>
        <v/>
      </c>
      <c r="LF40" s="1297" t="str">
        <f t="shared" si="297"/>
        <v/>
      </c>
      <c r="LG40" s="1297" t="str">
        <f t="shared" si="298"/>
        <v/>
      </c>
      <c r="LH40" s="1297" t="str">
        <f t="shared" si="299"/>
        <v/>
      </c>
      <c r="LI40" s="1297" t="str">
        <f t="shared" si="300"/>
        <v/>
      </c>
      <c r="LJ40" s="1297" t="str">
        <f t="shared" si="301"/>
        <v/>
      </c>
      <c r="LK40" s="1297" t="str">
        <f t="shared" si="302"/>
        <v/>
      </c>
      <c r="LL40" s="1297" t="str">
        <f t="shared" si="303"/>
        <v/>
      </c>
      <c r="LM40" s="1297" t="str">
        <f t="shared" si="304"/>
        <v/>
      </c>
      <c r="LN40" s="1297" t="str">
        <f t="shared" si="305"/>
        <v/>
      </c>
      <c r="LO40" s="1297" t="str">
        <f t="shared" si="306"/>
        <v/>
      </c>
      <c r="LP40" s="1297" t="str">
        <f t="shared" si="307"/>
        <v/>
      </c>
      <c r="LQ40" s="1297" t="str">
        <f t="shared" si="308"/>
        <v/>
      </c>
      <c r="LR40" s="1297" t="str">
        <f t="shared" si="309"/>
        <v/>
      </c>
      <c r="LS40" s="1297" t="str">
        <f t="shared" si="310"/>
        <v/>
      </c>
      <c r="LT40" s="1297" t="str">
        <f t="shared" si="311"/>
        <v/>
      </c>
      <c r="LU40" s="1297" t="str">
        <f t="shared" si="312"/>
        <v/>
      </c>
      <c r="LV40" s="1297" t="str">
        <f t="shared" si="313"/>
        <v/>
      </c>
      <c r="LW40" s="1297" t="str">
        <f t="shared" si="314"/>
        <v/>
      </c>
      <c r="LX40" s="1297" t="str">
        <f t="shared" si="315"/>
        <v/>
      </c>
      <c r="LY40" s="1297" t="str">
        <f t="shared" si="316"/>
        <v/>
      </c>
      <c r="LZ40" s="1297" t="str">
        <f t="shared" si="317"/>
        <v/>
      </c>
      <c r="MA40" s="1297" t="str">
        <f t="shared" si="318"/>
        <v/>
      </c>
      <c r="MB40" s="1297" t="str">
        <f t="shared" si="319"/>
        <v/>
      </c>
      <c r="MC40" s="1297" t="str">
        <f t="shared" si="320"/>
        <v/>
      </c>
      <c r="MD40" s="1297" t="str">
        <f t="shared" si="321"/>
        <v/>
      </c>
      <c r="ME40" s="1297" t="str">
        <f t="shared" si="322"/>
        <v/>
      </c>
      <c r="MF40" s="1297" t="str">
        <f t="shared" si="323"/>
        <v/>
      </c>
      <c r="MG40" s="1297" t="str">
        <f t="shared" si="324"/>
        <v/>
      </c>
      <c r="MH40" s="1297" t="str">
        <f t="shared" si="325"/>
        <v/>
      </c>
      <c r="MI40" s="1297" t="str">
        <f t="shared" si="326"/>
        <v/>
      </c>
      <c r="MJ40" s="1297" t="str">
        <f t="shared" si="327"/>
        <v/>
      </c>
      <c r="MK40" s="1297" t="str">
        <f t="shared" si="328"/>
        <v/>
      </c>
      <c r="ML40" s="1297" t="str">
        <f t="shared" si="329"/>
        <v/>
      </c>
      <c r="MM40" s="1297" t="str">
        <f t="shared" si="330"/>
        <v/>
      </c>
      <c r="MN40" s="1297" t="str">
        <f t="shared" si="331"/>
        <v/>
      </c>
      <c r="MO40" s="1297" t="str">
        <f t="shared" si="332"/>
        <v/>
      </c>
      <c r="MP40" s="1773" t="str">
        <f t="shared" si="333"/>
        <v/>
      </c>
      <c r="MQ40" s="1773" t="str">
        <f t="shared" si="334"/>
        <v/>
      </c>
      <c r="MR40" s="1773" t="str">
        <f t="shared" si="335"/>
        <v/>
      </c>
      <c r="MS40" s="1773" t="str">
        <f t="shared" si="336"/>
        <v/>
      </c>
      <c r="MT40" s="1773" t="str">
        <f t="shared" si="337"/>
        <v/>
      </c>
      <c r="MU40" s="251" t="str">
        <f t="shared" si="338"/>
        <v/>
      </c>
      <c r="MV40" s="251" t="str">
        <f t="shared" si="339"/>
        <v/>
      </c>
      <c r="MW40" s="251" t="str">
        <f t="shared" si="340"/>
        <v/>
      </c>
      <c r="MX40" s="251" t="str">
        <f t="shared" si="341"/>
        <v/>
      </c>
      <c r="MY40" s="251" t="str">
        <f t="shared" si="342"/>
        <v/>
      </c>
      <c r="MZ40" s="251" t="str">
        <f t="shared" si="343"/>
        <v/>
      </c>
      <c r="NA40" s="251" t="str">
        <f t="shared" si="344"/>
        <v/>
      </c>
      <c r="NB40" s="251" t="str">
        <f t="shared" si="345"/>
        <v/>
      </c>
      <c r="NC40" s="251" t="str">
        <f t="shared" si="346"/>
        <v/>
      </c>
      <c r="ND40" s="251" t="str">
        <f t="shared" si="347"/>
        <v/>
      </c>
      <c r="NE40" s="251" t="str">
        <f t="shared" si="348"/>
        <v/>
      </c>
      <c r="NF40" s="251" t="str">
        <f t="shared" si="349"/>
        <v/>
      </c>
      <c r="NG40" s="251" t="str">
        <f t="shared" si="350"/>
        <v/>
      </c>
      <c r="NH40" s="251" t="str">
        <f t="shared" si="351"/>
        <v/>
      </c>
      <c r="NI40" s="251" t="str">
        <f t="shared" si="352"/>
        <v/>
      </c>
      <c r="NJ40" s="251" t="str">
        <f t="shared" si="353"/>
        <v/>
      </c>
      <c r="NK40" s="251" t="str">
        <f t="shared" si="354"/>
        <v/>
      </c>
      <c r="NL40" s="251" t="str">
        <f t="shared" si="355"/>
        <v/>
      </c>
      <c r="NM40" s="251" t="str">
        <f t="shared" si="356"/>
        <v/>
      </c>
      <c r="NN40" s="251" t="str">
        <f t="shared" si="357"/>
        <v/>
      </c>
      <c r="NO40" s="1185">
        <f t="shared" si="358"/>
        <v>0</v>
      </c>
      <c r="NP40" s="1185">
        <f t="shared" si="359"/>
        <v>0</v>
      </c>
      <c r="NQ40" s="1185">
        <f t="shared" si="360"/>
        <v>0</v>
      </c>
      <c r="NR40" s="1185">
        <f t="shared" si="361"/>
        <v>0</v>
      </c>
      <c r="NS40" s="1185">
        <f t="shared" si="362"/>
        <v>0</v>
      </c>
      <c r="NT40" s="1185">
        <f t="shared" si="368"/>
        <v>0</v>
      </c>
      <c r="NU40" s="1185">
        <f t="shared" si="369"/>
        <v>0</v>
      </c>
      <c r="NV40" s="1185">
        <f t="shared" si="370"/>
        <v>0</v>
      </c>
      <c r="NW40" s="1185">
        <f t="shared" si="371"/>
        <v>0</v>
      </c>
      <c r="NX40" s="1185">
        <f t="shared" si="372"/>
        <v>0</v>
      </c>
      <c r="NY40" s="1185">
        <f t="shared" si="363"/>
        <v>0</v>
      </c>
      <c r="NZ40" s="1185">
        <f t="shared" si="364"/>
        <v>0</v>
      </c>
      <c r="OA40" s="1185">
        <f t="shared" si="365"/>
        <v>0</v>
      </c>
      <c r="OB40" s="1185">
        <f t="shared" si="366"/>
        <v>0</v>
      </c>
      <c r="OC40" s="1185">
        <f t="shared" si="367"/>
        <v>0</v>
      </c>
      <c r="OY40" s="1794" t="s">
        <v>1188</v>
      </c>
      <c r="OZ40" s="1799">
        <v>40</v>
      </c>
    </row>
    <row r="41" spans="1:416" ht="12" customHeight="1">
      <c r="A41" s="53" t="str">
        <f t="shared" si="0"/>
        <v/>
      </c>
      <c r="B41" s="782"/>
      <c r="C41" s="85"/>
      <c r="D41" s="1187"/>
      <c r="E41" s="86"/>
      <c r="F41" s="86"/>
      <c r="G41" s="86"/>
      <c r="H41" s="86"/>
      <c r="I41" s="86"/>
      <c r="J41" s="765">
        <f>IF(C41="",0,HLOOKUP(C41,'Part IV-Utility Allowances'!$I$11:$M$25,15))</f>
        <v>0</v>
      </c>
      <c r="K41" s="473"/>
      <c r="L41" s="330">
        <f t="shared" si="1"/>
        <v>0</v>
      </c>
      <c r="M41" s="330">
        <f t="shared" si="2"/>
        <v>0</v>
      </c>
      <c r="N41" s="506"/>
      <c r="O41" s="1134"/>
      <c r="P41" s="506"/>
      <c r="Q41" s="87"/>
      <c r="R41" s="540"/>
      <c r="S41" s="541"/>
      <c r="T41" s="3758"/>
      <c r="U41" s="3759"/>
      <c r="V41" s="3759"/>
      <c r="W41" s="3760"/>
      <c r="X41" s="251" t="str">
        <f t="shared" si="3"/>
        <v/>
      </c>
      <c r="Y41" s="251" t="str">
        <f t="shared" si="4"/>
        <v/>
      </c>
      <c r="Z41" s="251" t="str">
        <f t="shared" si="5"/>
        <v/>
      </c>
      <c r="AA41" s="251" t="str">
        <f t="shared" si="6"/>
        <v/>
      </c>
      <c r="AB41" s="251" t="str">
        <f t="shared" si="7"/>
        <v/>
      </c>
      <c r="AC41" s="251" t="str">
        <f t="shared" si="8"/>
        <v/>
      </c>
      <c r="AD41" s="251" t="str">
        <f t="shared" si="9"/>
        <v/>
      </c>
      <c r="AE41" s="251" t="str">
        <f t="shared" si="10"/>
        <v/>
      </c>
      <c r="AF41" s="251" t="str">
        <f t="shared" si="11"/>
        <v/>
      </c>
      <c r="AG41" s="251" t="str">
        <f t="shared" si="12"/>
        <v/>
      </c>
      <c r="AH41" s="251" t="str">
        <f t="shared" si="13"/>
        <v/>
      </c>
      <c r="AI41" s="251" t="str">
        <f t="shared" si="14"/>
        <v/>
      </c>
      <c r="AJ41" s="251" t="str">
        <f t="shared" si="15"/>
        <v/>
      </c>
      <c r="AK41" s="251" t="str">
        <f t="shared" si="16"/>
        <v/>
      </c>
      <c r="AL41" s="251" t="str">
        <f t="shared" si="17"/>
        <v/>
      </c>
      <c r="AM41" s="251" t="str">
        <f t="shared" si="18"/>
        <v/>
      </c>
      <c r="AN41" s="251" t="str">
        <f t="shared" si="19"/>
        <v/>
      </c>
      <c r="AO41" s="251" t="str">
        <f t="shared" si="20"/>
        <v/>
      </c>
      <c r="AP41" s="251" t="str">
        <f t="shared" si="21"/>
        <v/>
      </c>
      <c r="AQ41" s="251" t="str">
        <f t="shared" si="22"/>
        <v/>
      </c>
      <c r="AR41" s="251" t="str">
        <f t="shared" si="23"/>
        <v/>
      </c>
      <c r="AS41" s="251" t="str">
        <f t="shared" si="24"/>
        <v/>
      </c>
      <c r="AT41" s="251" t="str">
        <f t="shared" si="25"/>
        <v/>
      </c>
      <c r="AU41" s="251" t="str">
        <f t="shared" si="26"/>
        <v/>
      </c>
      <c r="AV41" s="251" t="str">
        <f t="shared" si="27"/>
        <v/>
      </c>
      <c r="AW41" s="251" t="str">
        <f t="shared" si="28"/>
        <v/>
      </c>
      <c r="AX41" s="251" t="str">
        <f t="shared" si="29"/>
        <v/>
      </c>
      <c r="AY41" s="251" t="str">
        <f t="shared" si="30"/>
        <v/>
      </c>
      <c r="AZ41" s="251" t="str">
        <f t="shared" si="31"/>
        <v/>
      </c>
      <c r="BA41" s="251" t="str">
        <f t="shared" si="32"/>
        <v/>
      </c>
      <c r="BB41" s="251" t="str">
        <f t="shared" si="33"/>
        <v/>
      </c>
      <c r="BC41" s="251" t="str">
        <f t="shared" si="34"/>
        <v/>
      </c>
      <c r="BD41" s="251" t="str">
        <f t="shared" si="35"/>
        <v/>
      </c>
      <c r="BE41" s="251" t="str">
        <f t="shared" si="36"/>
        <v/>
      </c>
      <c r="BF41" s="251" t="str">
        <f t="shared" si="37"/>
        <v/>
      </c>
      <c r="BG41" s="251" t="str">
        <f t="shared" si="38"/>
        <v/>
      </c>
      <c r="BH41" s="251" t="str">
        <f t="shared" si="39"/>
        <v/>
      </c>
      <c r="BI41" s="251" t="str">
        <f t="shared" si="40"/>
        <v/>
      </c>
      <c r="BJ41" s="251" t="str">
        <f t="shared" si="41"/>
        <v/>
      </c>
      <c r="BK41" s="251" t="str">
        <f t="shared" si="42"/>
        <v/>
      </c>
      <c r="BL41" s="251" t="str">
        <f t="shared" si="43"/>
        <v/>
      </c>
      <c r="BM41" s="251" t="str">
        <f t="shared" si="44"/>
        <v/>
      </c>
      <c r="BN41" s="251" t="str">
        <f t="shared" si="45"/>
        <v/>
      </c>
      <c r="BO41" s="251" t="str">
        <f t="shared" si="46"/>
        <v/>
      </c>
      <c r="BP41" s="251" t="str">
        <f t="shared" si="47"/>
        <v/>
      </c>
      <c r="BQ41" s="251" t="str">
        <f t="shared" si="48"/>
        <v/>
      </c>
      <c r="BR41" s="251" t="str">
        <f t="shared" si="49"/>
        <v/>
      </c>
      <c r="BS41" s="251" t="str">
        <f t="shared" si="50"/>
        <v/>
      </c>
      <c r="BT41" s="251" t="str">
        <f t="shared" si="51"/>
        <v/>
      </c>
      <c r="BU41" s="251" t="str">
        <f t="shared" si="52"/>
        <v/>
      </c>
      <c r="BV41" s="251" t="str">
        <f t="shared" si="53"/>
        <v/>
      </c>
      <c r="BW41" s="251" t="str">
        <f t="shared" si="54"/>
        <v/>
      </c>
      <c r="BX41" s="251" t="str">
        <f t="shared" si="55"/>
        <v/>
      </c>
      <c r="BY41" s="251" t="str">
        <f t="shared" si="56"/>
        <v/>
      </c>
      <c r="BZ41" s="251" t="str">
        <f t="shared" si="57"/>
        <v/>
      </c>
      <c r="CA41" s="251" t="str">
        <f t="shared" si="58"/>
        <v/>
      </c>
      <c r="CB41" s="251" t="str">
        <f t="shared" si="59"/>
        <v/>
      </c>
      <c r="CC41" s="251" t="str">
        <f t="shared" si="60"/>
        <v/>
      </c>
      <c r="CD41" s="251" t="str">
        <f t="shared" si="61"/>
        <v/>
      </c>
      <c r="CE41" s="251" t="str">
        <f t="shared" si="62"/>
        <v/>
      </c>
      <c r="CF41" s="251" t="str">
        <f t="shared" si="63"/>
        <v/>
      </c>
      <c r="CG41" s="251" t="str">
        <f t="shared" si="64"/>
        <v/>
      </c>
      <c r="CH41" s="251" t="str">
        <f t="shared" si="65"/>
        <v/>
      </c>
      <c r="CI41" s="251" t="str">
        <f t="shared" si="66"/>
        <v/>
      </c>
      <c r="CJ41" s="251" t="str">
        <f t="shared" si="67"/>
        <v/>
      </c>
      <c r="CK41" s="251" t="str">
        <f t="shared" si="68"/>
        <v/>
      </c>
      <c r="CL41" s="251" t="str">
        <f t="shared" si="69"/>
        <v/>
      </c>
      <c r="CM41" s="251" t="str">
        <f t="shared" si="70"/>
        <v/>
      </c>
      <c r="CN41" s="251" t="str">
        <f t="shared" si="71"/>
        <v/>
      </c>
      <c r="CO41" s="251" t="str">
        <f t="shared" si="72"/>
        <v/>
      </c>
      <c r="CP41" s="251" t="str">
        <f t="shared" si="73"/>
        <v/>
      </c>
      <c r="CQ41" s="251" t="str">
        <f t="shared" si="74"/>
        <v/>
      </c>
      <c r="CR41" s="251" t="str">
        <f t="shared" si="75"/>
        <v/>
      </c>
      <c r="CS41" s="251" t="str">
        <f t="shared" si="76"/>
        <v/>
      </c>
      <c r="CT41" s="251" t="str">
        <f t="shared" si="77"/>
        <v/>
      </c>
      <c r="CU41" s="251" t="str">
        <f t="shared" si="78"/>
        <v/>
      </c>
      <c r="CV41" s="251" t="str">
        <f t="shared" si="79"/>
        <v/>
      </c>
      <c r="CW41" s="251" t="str">
        <f t="shared" si="80"/>
        <v/>
      </c>
      <c r="CX41" s="251" t="str">
        <f t="shared" si="81"/>
        <v/>
      </c>
      <c r="CY41" s="251" t="str">
        <f t="shared" si="82"/>
        <v/>
      </c>
      <c r="CZ41" s="251" t="str">
        <f t="shared" si="83"/>
        <v/>
      </c>
      <c r="DA41" s="251" t="str">
        <f t="shared" si="84"/>
        <v/>
      </c>
      <c r="DB41" s="251" t="str">
        <f t="shared" si="85"/>
        <v/>
      </c>
      <c r="DC41" s="251" t="str">
        <f t="shared" si="86"/>
        <v/>
      </c>
      <c r="DD41" s="251" t="str">
        <f t="shared" si="87"/>
        <v/>
      </c>
      <c r="DE41" s="251" t="str">
        <f t="shared" si="88"/>
        <v/>
      </c>
      <c r="DF41" s="251" t="str">
        <f t="shared" si="89"/>
        <v/>
      </c>
      <c r="DG41" s="251" t="str">
        <f t="shared" si="90"/>
        <v/>
      </c>
      <c r="DH41" s="251" t="str">
        <f t="shared" si="91"/>
        <v/>
      </c>
      <c r="DI41" s="251" t="str">
        <f t="shared" si="92"/>
        <v/>
      </c>
      <c r="DJ41" s="251" t="str">
        <f t="shared" si="93"/>
        <v/>
      </c>
      <c r="DK41" s="251" t="str">
        <f t="shared" si="94"/>
        <v/>
      </c>
      <c r="DL41" s="251" t="str">
        <f t="shared" si="95"/>
        <v/>
      </c>
      <c r="DM41" s="251" t="str">
        <f t="shared" si="96"/>
        <v/>
      </c>
      <c r="DN41" s="251" t="str">
        <f t="shared" si="97"/>
        <v/>
      </c>
      <c r="DO41" s="251" t="str">
        <f t="shared" si="98"/>
        <v/>
      </c>
      <c r="DP41" s="251" t="str">
        <f t="shared" si="99"/>
        <v/>
      </c>
      <c r="DQ41" s="251" t="str">
        <f t="shared" si="100"/>
        <v/>
      </c>
      <c r="DR41" s="251" t="str">
        <f t="shared" si="101"/>
        <v/>
      </c>
      <c r="DS41" s="251" t="str">
        <f t="shared" si="102"/>
        <v/>
      </c>
      <c r="DT41" s="251" t="str">
        <f t="shared" si="103"/>
        <v/>
      </c>
      <c r="DU41" s="251" t="str">
        <f t="shared" si="104"/>
        <v/>
      </c>
      <c r="DV41" s="251" t="str">
        <f t="shared" si="105"/>
        <v/>
      </c>
      <c r="DW41" s="251" t="str">
        <f t="shared" si="106"/>
        <v/>
      </c>
      <c r="DX41" s="251" t="str">
        <f t="shared" si="107"/>
        <v/>
      </c>
      <c r="DY41" s="251" t="str">
        <f t="shared" si="108"/>
        <v/>
      </c>
      <c r="DZ41" s="251" t="str">
        <f t="shared" si="109"/>
        <v/>
      </c>
      <c r="EA41" s="251" t="str">
        <f t="shared" si="110"/>
        <v/>
      </c>
      <c r="EB41" s="251" t="str">
        <f t="shared" si="111"/>
        <v/>
      </c>
      <c r="EC41" s="251" t="str">
        <f t="shared" si="112"/>
        <v/>
      </c>
      <c r="ED41" s="251" t="str">
        <f t="shared" si="113"/>
        <v/>
      </c>
      <c r="EE41" s="251" t="str">
        <f t="shared" si="114"/>
        <v/>
      </c>
      <c r="EF41" s="251" t="str">
        <f t="shared" si="115"/>
        <v/>
      </c>
      <c r="EG41" s="251" t="str">
        <f t="shared" si="116"/>
        <v/>
      </c>
      <c r="EH41" s="251" t="str">
        <f t="shared" si="117"/>
        <v/>
      </c>
      <c r="EI41" s="251" t="str">
        <f t="shared" si="118"/>
        <v/>
      </c>
      <c r="EJ41" s="251" t="str">
        <f t="shared" si="119"/>
        <v/>
      </c>
      <c r="EK41" s="251" t="str">
        <f t="shared" si="120"/>
        <v/>
      </c>
      <c r="EL41" s="251" t="str">
        <f t="shared" si="121"/>
        <v/>
      </c>
      <c r="EM41" s="251" t="str">
        <f t="shared" si="122"/>
        <v/>
      </c>
      <c r="EN41" s="251" t="str">
        <f t="shared" si="123"/>
        <v/>
      </c>
      <c r="EO41" s="251" t="str">
        <f t="shared" si="124"/>
        <v/>
      </c>
      <c r="EP41" s="251" t="str">
        <f t="shared" si="125"/>
        <v/>
      </c>
      <c r="EQ41" s="251" t="str">
        <f t="shared" si="126"/>
        <v/>
      </c>
      <c r="ER41" s="251" t="str">
        <f t="shared" si="127"/>
        <v/>
      </c>
      <c r="ES41" s="251" t="str">
        <f t="shared" si="128"/>
        <v/>
      </c>
      <c r="ET41" s="251" t="str">
        <f t="shared" si="129"/>
        <v/>
      </c>
      <c r="EU41" s="251" t="str">
        <f t="shared" si="130"/>
        <v/>
      </c>
      <c r="EV41" s="251" t="str">
        <f t="shared" si="131"/>
        <v/>
      </c>
      <c r="EW41" s="251" t="str">
        <f t="shared" si="132"/>
        <v/>
      </c>
      <c r="EX41" s="251" t="str">
        <f t="shared" si="133"/>
        <v/>
      </c>
      <c r="EY41" s="251" t="str">
        <f t="shared" si="134"/>
        <v/>
      </c>
      <c r="EZ41" s="251" t="str">
        <f t="shared" si="135"/>
        <v/>
      </c>
      <c r="FA41" s="251" t="str">
        <f t="shared" si="136"/>
        <v/>
      </c>
      <c r="FB41" s="251" t="str">
        <f t="shared" si="137"/>
        <v/>
      </c>
      <c r="FC41" s="251" t="str">
        <f t="shared" si="138"/>
        <v/>
      </c>
      <c r="FD41" s="251" t="str">
        <f t="shared" si="139"/>
        <v/>
      </c>
      <c r="FE41" s="251" t="str">
        <f t="shared" si="140"/>
        <v/>
      </c>
      <c r="FF41" s="251" t="str">
        <f t="shared" si="141"/>
        <v/>
      </c>
      <c r="FG41" s="251" t="str">
        <f t="shared" si="142"/>
        <v/>
      </c>
      <c r="FH41" s="251" t="str">
        <f t="shared" si="143"/>
        <v/>
      </c>
      <c r="FI41" s="251" t="str">
        <f t="shared" si="144"/>
        <v/>
      </c>
      <c r="FJ41" s="251" t="str">
        <f t="shared" si="145"/>
        <v/>
      </c>
      <c r="FK41" s="251" t="str">
        <f t="shared" si="146"/>
        <v/>
      </c>
      <c r="FL41" s="251" t="str">
        <f t="shared" si="147"/>
        <v/>
      </c>
      <c r="FM41" s="251" t="str">
        <f t="shared" si="148"/>
        <v/>
      </c>
      <c r="FN41" s="251" t="str">
        <f t="shared" si="149"/>
        <v/>
      </c>
      <c r="FO41" s="251" t="str">
        <f t="shared" si="150"/>
        <v/>
      </c>
      <c r="FP41" s="251" t="str">
        <f t="shared" si="151"/>
        <v/>
      </c>
      <c r="FQ41" s="251" t="str">
        <f t="shared" si="152"/>
        <v/>
      </c>
      <c r="FR41" s="251" t="str">
        <f t="shared" si="153"/>
        <v/>
      </c>
      <c r="FS41" s="251" t="str">
        <f t="shared" si="154"/>
        <v/>
      </c>
      <c r="FT41" s="251" t="str">
        <f t="shared" si="155"/>
        <v/>
      </c>
      <c r="FU41" s="251" t="str">
        <f t="shared" si="156"/>
        <v/>
      </c>
      <c r="FV41" s="251" t="str">
        <f t="shared" si="157"/>
        <v/>
      </c>
      <c r="FW41" s="251" t="str">
        <f t="shared" si="158"/>
        <v/>
      </c>
      <c r="FX41" s="251" t="str">
        <f t="shared" si="159"/>
        <v/>
      </c>
      <c r="FY41" s="251" t="str">
        <f t="shared" si="160"/>
        <v/>
      </c>
      <c r="FZ41" s="251" t="str">
        <f t="shared" si="161"/>
        <v/>
      </c>
      <c r="GA41" s="251" t="str">
        <f t="shared" si="162"/>
        <v/>
      </c>
      <c r="GB41" s="251" t="str">
        <f t="shared" si="163"/>
        <v/>
      </c>
      <c r="GC41" s="251" t="str">
        <f t="shared" si="164"/>
        <v/>
      </c>
      <c r="GD41" s="251" t="str">
        <f t="shared" si="165"/>
        <v/>
      </c>
      <c r="GE41" s="251" t="str">
        <f t="shared" si="166"/>
        <v/>
      </c>
      <c r="GF41" s="251" t="str">
        <f t="shared" si="167"/>
        <v/>
      </c>
      <c r="GG41" s="251" t="str">
        <f t="shared" si="168"/>
        <v/>
      </c>
      <c r="GH41" s="251" t="str">
        <f t="shared" si="169"/>
        <v/>
      </c>
      <c r="GI41" s="251" t="str">
        <f t="shared" si="170"/>
        <v/>
      </c>
      <c r="GJ41" s="251" t="str">
        <f t="shared" si="171"/>
        <v/>
      </c>
      <c r="GK41" s="251" t="str">
        <f t="shared" si="172"/>
        <v/>
      </c>
      <c r="GL41" s="251" t="str">
        <f t="shared" si="173"/>
        <v/>
      </c>
      <c r="GM41" s="251" t="str">
        <f t="shared" si="174"/>
        <v/>
      </c>
      <c r="GN41" s="251" t="str">
        <f t="shared" si="175"/>
        <v/>
      </c>
      <c r="GO41" s="251" t="str">
        <f t="shared" si="176"/>
        <v/>
      </c>
      <c r="GP41" s="251" t="str">
        <f t="shared" si="177"/>
        <v/>
      </c>
      <c r="GQ41" s="251" t="str">
        <f t="shared" si="178"/>
        <v/>
      </c>
      <c r="GR41" s="251" t="str">
        <f t="shared" si="179"/>
        <v/>
      </c>
      <c r="GS41" s="251" t="str">
        <f t="shared" si="180"/>
        <v/>
      </c>
      <c r="GT41" s="251" t="str">
        <f t="shared" si="181"/>
        <v/>
      </c>
      <c r="GU41" s="251" t="str">
        <f t="shared" si="182"/>
        <v/>
      </c>
      <c r="GV41" s="251" t="str">
        <f t="shared" si="183"/>
        <v/>
      </c>
      <c r="GW41" s="251" t="str">
        <f t="shared" si="184"/>
        <v/>
      </c>
      <c r="GX41" s="251" t="str">
        <f t="shared" si="185"/>
        <v/>
      </c>
      <c r="GY41" s="251" t="str">
        <f t="shared" si="186"/>
        <v/>
      </c>
      <c r="GZ41" s="251" t="str">
        <f t="shared" si="187"/>
        <v/>
      </c>
      <c r="HA41" s="251" t="str">
        <f t="shared" si="188"/>
        <v/>
      </c>
      <c r="HB41" s="251" t="str">
        <f t="shared" si="189"/>
        <v/>
      </c>
      <c r="HC41" s="251" t="str">
        <f t="shared" si="190"/>
        <v/>
      </c>
      <c r="HD41" s="251" t="str">
        <f t="shared" si="191"/>
        <v/>
      </c>
      <c r="HE41" s="251" t="str">
        <f t="shared" si="192"/>
        <v/>
      </c>
      <c r="HF41" s="251" t="str">
        <f t="shared" si="193"/>
        <v/>
      </c>
      <c r="HG41" s="251" t="str">
        <f t="shared" si="194"/>
        <v/>
      </c>
      <c r="HH41" s="251" t="str">
        <f t="shared" si="195"/>
        <v/>
      </c>
      <c r="HI41" s="251" t="str">
        <f t="shared" si="196"/>
        <v/>
      </c>
      <c r="HJ41" s="251" t="str">
        <f t="shared" si="197"/>
        <v/>
      </c>
      <c r="HK41" s="251" t="str">
        <f t="shared" si="198"/>
        <v/>
      </c>
      <c r="HL41" s="251" t="str">
        <f t="shared" si="199"/>
        <v/>
      </c>
      <c r="HM41" s="251" t="str">
        <f t="shared" si="200"/>
        <v/>
      </c>
      <c r="HN41" s="251" t="str">
        <f t="shared" si="201"/>
        <v/>
      </c>
      <c r="HO41" s="251" t="str">
        <f t="shared" si="202"/>
        <v/>
      </c>
      <c r="HP41" s="251" t="str">
        <f t="shared" si="203"/>
        <v/>
      </c>
      <c r="HQ41" s="251" t="str">
        <f t="shared" si="204"/>
        <v/>
      </c>
      <c r="HR41" s="251" t="str">
        <f t="shared" si="205"/>
        <v/>
      </c>
      <c r="HS41" s="251" t="str">
        <f t="shared" si="206"/>
        <v/>
      </c>
      <c r="HT41" s="251" t="str">
        <f t="shared" si="207"/>
        <v/>
      </c>
      <c r="HU41" s="251" t="str">
        <f t="shared" si="208"/>
        <v/>
      </c>
      <c r="HV41" s="251" t="str">
        <f t="shared" si="209"/>
        <v/>
      </c>
      <c r="HW41" s="251" t="str">
        <f t="shared" si="210"/>
        <v/>
      </c>
      <c r="HX41" s="251" t="str">
        <f t="shared" si="211"/>
        <v/>
      </c>
      <c r="HY41" s="251" t="str">
        <f t="shared" si="212"/>
        <v/>
      </c>
      <c r="HZ41" s="251" t="str">
        <f t="shared" si="213"/>
        <v/>
      </c>
      <c r="IA41" s="251" t="str">
        <f t="shared" si="214"/>
        <v/>
      </c>
      <c r="IB41" s="251" t="str">
        <f t="shared" si="215"/>
        <v/>
      </c>
      <c r="IC41" s="251" t="str">
        <f t="shared" si="216"/>
        <v/>
      </c>
      <c r="ID41" s="251" t="str">
        <f t="shared" si="217"/>
        <v/>
      </c>
      <c r="IE41" s="251" t="str">
        <f t="shared" si="218"/>
        <v/>
      </c>
      <c r="IF41" s="251" t="str">
        <f t="shared" si="219"/>
        <v/>
      </c>
      <c r="IG41" s="251" t="str">
        <f t="shared" si="220"/>
        <v/>
      </c>
      <c r="IH41" s="251" t="str">
        <f t="shared" si="221"/>
        <v/>
      </c>
      <c r="II41" s="251" t="str">
        <f t="shared" si="222"/>
        <v/>
      </c>
      <c r="IJ41" s="251" t="str">
        <f t="shared" si="223"/>
        <v/>
      </c>
      <c r="IK41" s="251" t="str">
        <f t="shared" si="224"/>
        <v/>
      </c>
      <c r="IL41" s="251" t="str">
        <f t="shared" si="225"/>
        <v/>
      </c>
      <c r="IM41" s="251" t="str">
        <f t="shared" si="226"/>
        <v/>
      </c>
      <c r="IN41" s="251" t="str">
        <f t="shared" si="227"/>
        <v/>
      </c>
      <c r="IO41" s="251" t="str">
        <f t="shared" si="228"/>
        <v/>
      </c>
      <c r="IP41" s="251" t="str">
        <f t="shared" si="229"/>
        <v/>
      </c>
      <c r="IQ41" s="251" t="str">
        <f t="shared" si="230"/>
        <v/>
      </c>
      <c r="IR41" s="251" t="str">
        <f t="shared" si="231"/>
        <v/>
      </c>
      <c r="IS41" s="251" t="str">
        <f t="shared" si="232"/>
        <v/>
      </c>
      <c r="IT41" s="251" t="str">
        <f t="shared" si="233"/>
        <v/>
      </c>
      <c r="IU41" s="251" t="str">
        <f t="shared" si="234"/>
        <v/>
      </c>
      <c r="IV41" s="251" t="str">
        <f t="shared" si="235"/>
        <v/>
      </c>
      <c r="IW41" s="251" t="str">
        <f t="shared" si="236"/>
        <v/>
      </c>
      <c r="IX41" s="251" t="str">
        <f t="shared" si="237"/>
        <v/>
      </c>
      <c r="IY41" s="251" t="str">
        <f t="shared" si="238"/>
        <v/>
      </c>
      <c r="IZ41" s="251" t="str">
        <f t="shared" si="239"/>
        <v/>
      </c>
      <c r="JA41" s="251" t="str">
        <f t="shared" si="240"/>
        <v/>
      </c>
      <c r="JB41" s="251" t="str">
        <f t="shared" si="241"/>
        <v/>
      </c>
      <c r="JC41" s="251" t="str">
        <f t="shared" si="242"/>
        <v/>
      </c>
      <c r="JD41" s="251" t="str">
        <f t="shared" si="243"/>
        <v/>
      </c>
      <c r="JE41" s="251" t="str">
        <f t="shared" si="244"/>
        <v/>
      </c>
      <c r="JF41" s="251" t="str">
        <f t="shared" si="245"/>
        <v/>
      </c>
      <c r="JG41" s="251" t="str">
        <f t="shared" si="246"/>
        <v/>
      </c>
      <c r="JH41" s="251" t="str">
        <f t="shared" si="247"/>
        <v/>
      </c>
      <c r="JI41" s="1297" t="str">
        <f t="shared" si="248"/>
        <v/>
      </c>
      <c r="JJ41" s="1297" t="str">
        <f t="shared" si="249"/>
        <v/>
      </c>
      <c r="JK41" s="1297" t="str">
        <f t="shared" si="250"/>
        <v/>
      </c>
      <c r="JL41" s="1297" t="str">
        <f t="shared" si="251"/>
        <v/>
      </c>
      <c r="JM41" s="1297" t="str">
        <f t="shared" si="252"/>
        <v/>
      </c>
      <c r="JN41" s="1297" t="str">
        <f t="shared" si="253"/>
        <v/>
      </c>
      <c r="JO41" s="1297" t="str">
        <f t="shared" si="254"/>
        <v/>
      </c>
      <c r="JP41" s="1297" t="str">
        <f t="shared" si="255"/>
        <v/>
      </c>
      <c r="JQ41" s="1297" t="str">
        <f t="shared" si="256"/>
        <v/>
      </c>
      <c r="JR41" s="1297" t="str">
        <f t="shared" si="257"/>
        <v/>
      </c>
      <c r="JS41" s="1297" t="str">
        <f t="shared" si="258"/>
        <v/>
      </c>
      <c r="JT41" s="1297" t="str">
        <f t="shared" si="259"/>
        <v/>
      </c>
      <c r="JU41" s="1297" t="str">
        <f t="shared" si="260"/>
        <v/>
      </c>
      <c r="JV41" s="1297" t="str">
        <f t="shared" si="261"/>
        <v/>
      </c>
      <c r="JW41" s="1297" t="str">
        <f t="shared" si="262"/>
        <v/>
      </c>
      <c r="JX41" s="1297" t="str">
        <f t="shared" si="263"/>
        <v/>
      </c>
      <c r="JY41" s="1297" t="str">
        <f t="shared" si="264"/>
        <v/>
      </c>
      <c r="JZ41" s="1297" t="str">
        <f t="shared" si="265"/>
        <v/>
      </c>
      <c r="KA41" s="1297" t="str">
        <f t="shared" si="266"/>
        <v/>
      </c>
      <c r="KB41" s="1297" t="str">
        <f t="shared" si="267"/>
        <v/>
      </c>
      <c r="KC41" s="1297" t="str">
        <f t="shared" si="268"/>
        <v/>
      </c>
      <c r="KD41" s="1297" t="str">
        <f t="shared" si="269"/>
        <v/>
      </c>
      <c r="KE41" s="1297" t="str">
        <f t="shared" si="270"/>
        <v/>
      </c>
      <c r="KF41" s="1297" t="str">
        <f t="shared" si="271"/>
        <v/>
      </c>
      <c r="KG41" s="1297" t="str">
        <f t="shared" si="272"/>
        <v/>
      </c>
      <c r="KH41" s="1297" t="str">
        <f t="shared" si="273"/>
        <v/>
      </c>
      <c r="KI41" s="1297" t="str">
        <f t="shared" si="274"/>
        <v/>
      </c>
      <c r="KJ41" s="1297" t="str">
        <f t="shared" si="275"/>
        <v/>
      </c>
      <c r="KK41" s="1297" t="str">
        <f t="shared" si="276"/>
        <v/>
      </c>
      <c r="KL41" s="1297" t="str">
        <f t="shared" si="277"/>
        <v/>
      </c>
      <c r="KM41" s="1297" t="str">
        <f t="shared" si="278"/>
        <v/>
      </c>
      <c r="KN41" s="1297" t="str">
        <f t="shared" si="279"/>
        <v/>
      </c>
      <c r="KO41" s="1297" t="str">
        <f t="shared" si="280"/>
        <v/>
      </c>
      <c r="KP41" s="1297" t="str">
        <f t="shared" si="281"/>
        <v/>
      </c>
      <c r="KQ41" s="1297" t="str">
        <f t="shared" si="282"/>
        <v/>
      </c>
      <c r="KR41" s="1297" t="str">
        <f t="shared" si="283"/>
        <v/>
      </c>
      <c r="KS41" s="1297" t="str">
        <f t="shared" si="284"/>
        <v/>
      </c>
      <c r="KT41" s="1297" t="str">
        <f t="shared" si="285"/>
        <v/>
      </c>
      <c r="KU41" s="1297" t="str">
        <f t="shared" si="286"/>
        <v/>
      </c>
      <c r="KV41" s="1297" t="str">
        <f t="shared" si="287"/>
        <v/>
      </c>
      <c r="KW41" s="1297" t="str">
        <f t="shared" si="288"/>
        <v/>
      </c>
      <c r="KX41" s="1297" t="str">
        <f t="shared" si="289"/>
        <v/>
      </c>
      <c r="KY41" s="1297" t="str">
        <f t="shared" si="290"/>
        <v/>
      </c>
      <c r="KZ41" s="1297" t="str">
        <f t="shared" si="291"/>
        <v/>
      </c>
      <c r="LA41" s="1297" t="str">
        <f t="shared" si="292"/>
        <v/>
      </c>
      <c r="LB41" s="1297" t="str">
        <f t="shared" si="293"/>
        <v/>
      </c>
      <c r="LC41" s="1297" t="str">
        <f t="shared" si="294"/>
        <v/>
      </c>
      <c r="LD41" s="1297" t="str">
        <f t="shared" si="295"/>
        <v/>
      </c>
      <c r="LE41" s="1297" t="str">
        <f t="shared" si="296"/>
        <v/>
      </c>
      <c r="LF41" s="1297" t="str">
        <f t="shared" si="297"/>
        <v/>
      </c>
      <c r="LG41" s="1297" t="str">
        <f t="shared" si="298"/>
        <v/>
      </c>
      <c r="LH41" s="1297" t="str">
        <f t="shared" si="299"/>
        <v/>
      </c>
      <c r="LI41" s="1297" t="str">
        <f t="shared" si="300"/>
        <v/>
      </c>
      <c r="LJ41" s="1297" t="str">
        <f t="shared" si="301"/>
        <v/>
      </c>
      <c r="LK41" s="1297" t="str">
        <f t="shared" si="302"/>
        <v/>
      </c>
      <c r="LL41" s="1297" t="str">
        <f t="shared" si="303"/>
        <v/>
      </c>
      <c r="LM41" s="1297" t="str">
        <f t="shared" si="304"/>
        <v/>
      </c>
      <c r="LN41" s="1297" t="str">
        <f t="shared" si="305"/>
        <v/>
      </c>
      <c r="LO41" s="1297" t="str">
        <f t="shared" si="306"/>
        <v/>
      </c>
      <c r="LP41" s="1297" t="str">
        <f t="shared" si="307"/>
        <v/>
      </c>
      <c r="LQ41" s="1297" t="str">
        <f t="shared" si="308"/>
        <v/>
      </c>
      <c r="LR41" s="1297" t="str">
        <f t="shared" si="309"/>
        <v/>
      </c>
      <c r="LS41" s="1297" t="str">
        <f t="shared" si="310"/>
        <v/>
      </c>
      <c r="LT41" s="1297" t="str">
        <f t="shared" si="311"/>
        <v/>
      </c>
      <c r="LU41" s="1297" t="str">
        <f t="shared" si="312"/>
        <v/>
      </c>
      <c r="LV41" s="1297" t="str">
        <f t="shared" si="313"/>
        <v/>
      </c>
      <c r="LW41" s="1297" t="str">
        <f t="shared" si="314"/>
        <v/>
      </c>
      <c r="LX41" s="1297" t="str">
        <f t="shared" si="315"/>
        <v/>
      </c>
      <c r="LY41" s="1297" t="str">
        <f t="shared" si="316"/>
        <v/>
      </c>
      <c r="LZ41" s="1297" t="str">
        <f t="shared" si="317"/>
        <v/>
      </c>
      <c r="MA41" s="1297" t="str">
        <f t="shared" si="318"/>
        <v/>
      </c>
      <c r="MB41" s="1297" t="str">
        <f t="shared" si="319"/>
        <v/>
      </c>
      <c r="MC41" s="1297" t="str">
        <f t="shared" si="320"/>
        <v/>
      </c>
      <c r="MD41" s="1297" t="str">
        <f t="shared" si="321"/>
        <v/>
      </c>
      <c r="ME41" s="1297" t="str">
        <f t="shared" si="322"/>
        <v/>
      </c>
      <c r="MF41" s="1297" t="str">
        <f t="shared" si="323"/>
        <v/>
      </c>
      <c r="MG41" s="1297" t="str">
        <f t="shared" si="324"/>
        <v/>
      </c>
      <c r="MH41" s="1297" t="str">
        <f t="shared" si="325"/>
        <v/>
      </c>
      <c r="MI41" s="1297" t="str">
        <f t="shared" si="326"/>
        <v/>
      </c>
      <c r="MJ41" s="1297" t="str">
        <f t="shared" si="327"/>
        <v/>
      </c>
      <c r="MK41" s="1297" t="str">
        <f t="shared" si="328"/>
        <v/>
      </c>
      <c r="ML41" s="1297" t="str">
        <f t="shared" si="329"/>
        <v/>
      </c>
      <c r="MM41" s="1297" t="str">
        <f t="shared" si="330"/>
        <v/>
      </c>
      <c r="MN41" s="1297" t="str">
        <f t="shared" si="331"/>
        <v/>
      </c>
      <c r="MO41" s="1297" t="str">
        <f t="shared" si="332"/>
        <v/>
      </c>
      <c r="MP41" s="1773" t="str">
        <f t="shared" si="333"/>
        <v/>
      </c>
      <c r="MQ41" s="1773" t="str">
        <f t="shared" si="334"/>
        <v/>
      </c>
      <c r="MR41" s="1773" t="str">
        <f t="shared" si="335"/>
        <v/>
      </c>
      <c r="MS41" s="1773" t="str">
        <f t="shared" si="336"/>
        <v/>
      </c>
      <c r="MT41" s="1773" t="str">
        <f t="shared" si="337"/>
        <v/>
      </c>
      <c r="MU41" s="251" t="str">
        <f t="shared" si="338"/>
        <v/>
      </c>
      <c r="MV41" s="251" t="str">
        <f t="shared" si="339"/>
        <v/>
      </c>
      <c r="MW41" s="251" t="str">
        <f t="shared" si="340"/>
        <v/>
      </c>
      <c r="MX41" s="251" t="str">
        <f t="shared" si="341"/>
        <v/>
      </c>
      <c r="MY41" s="251" t="str">
        <f t="shared" si="342"/>
        <v/>
      </c>
      <c r="MZ41" s="251" t="str">
        <f t="shared" si="343"/>
        <v/>
      </c>
      <c r="NA41" s="251" t="str">
        <f t="shared" si="344"/>
        <v/>
      </c>
      <c r="NB41" s="251" t="str">
        <f t="shared" si="345"/>
        <v/>
      </c>
      <c r="NC41" s="251" t="str">
        <f t="shared" si="346"/>
        <v/>
      </c>
      <c r="ND41" s="251" t="str">
        <f t="shared" si="347"/>
        <v/>
      </c>
      <c r="NE41" s="251" t="str">
        <f t="shared" si="348"/>
        <v/>
      </c>
      <c r="NF41" s="251" t="str">
        <f t="shared" si="349"/>
        <v/>
      </c>
      <c r="NG41" s="251" t="str">
        <f t="shared" si="350"/>
        <v/>
      </c>
      <c r="NH41" s="251" t="str">
        <f t="shared" si="351"/>
        <v/>
      </c>
      <c r="NI41" s="251" t="str">
        <f t="shared" si="352"/>
        <v/>
      </c>
      <c r="NJ41" s="251" t="str">
        <f t="shared" si="353"/>
        <v/>
      </c>
      <c r="NK41" s="251" t="str">
        <f t="shared" si="354"/>
        <v/>
      </c>
      <c r="NL41" s="251" t="str">
        <f t="shared" si="355"/>
        <v/>
      </c>
      <c r="NM41" s="251" t="str">
        <f t="shared" si="356"/>
        <v/>
      </c>
      <c r="NN41" s="251" t="str">
        <f t="shared" si="357"/>
        <v/>
      </c>
      <c r="NO41" s="1185">
        <f t="shared" si="358"/>
        <v>0</v>
      </c>
      <c r="NP41" s="1185">
        <f t="shared" si="359"/>
        <v>0</v>
      </c>
      <c r="NQ41" s="1185">
        <f t="shared" si="360"/>
        <v>0</v>
      </c>
      <c r="NR41" s="1185">
        <f t="shared" si="361"/>
        <v>0</v>
      </c>
      <c r="NS41" s="1185">
        <f t="shared" si="362"/>
        <v>0</v>
      </c>
      <c r="NT41" s="1185">
        <f t="shared" si="368"/>
        <v>0</v>
      </c>
      <c r="NU41" s="1185">
        <f t="shared" si="369"/>
        <v>0</v>
      </c>
      <c r="NV41" s="1185">
        <f t="shared" si="370"/>
        <v>0</v>
      </c>
      <c r="NW41" s="1185">
        <f t="shared" si="371"/>
        <v>0</v>
      </c>
      <c r="NX41" s="1185">
        <f t="shared" si="372"/>
        <v>0</v>
      </c>
      <c r="NY41" s="1185">
        <f t="shared" si="363"/>
        <v>0</v>
      </c>
      <c r="NZ41" s="1185">
        <f t="shared" si="364"/>
        <v>0</v>
      </c>
      <c r="OA41" s="1185">
        <f t="shared" si="365"/>
        <v>0</v>
      </c>
      <c r="OB41" s="1185">
        <f t="shared" si="366"/>
        <v>0</v>
      </c>
      <c r="OC41" s="1185">
        <f t="shared" si="367"/>
        <v>0</v>
      </c>
      <c r="OY41" s="1794" t="s">
        <v>1189</v>
      </c>
      <c r="OZ41" s="1799">
        <v>41</v>
      </c>
    </row>
    <row r="42" spans="1:416" ht="12" customHeight="1">
      <c r="A42" s="53" t="str">
        <f t="shared" si="0"/>
        <v/>
      </c>
      <c r="B42" s="782"/>
      <c r="C42" s="85"/>
      <c r="D42" s="1187"/>
      <c r="E42" s="86"/>
      <c r="F42" s="86"/>
      <c r="G42" s="86"/>
      <c r="H42" s="86"/>
      <c r="I42" s="86"/>
      <c r="J42" s="765">
        <f>IF(C42="",0,HLOOKUP(C42,'Part IV-Utility Allowances'!$I$11:$M$25,15))</f>
        <v>0</v>
      </c>
      <c r="K42" s="473"/>
      <c r="L42" s="330">
        <f t="shared" si="1"/>
        <v>0</v>
      </c>
      <c r="M42" s="330">
        <f t="shared" si="2"/>
        <v>0</v>
      </c>
      <c r="N42" s="506"/>
      <c r="O42" s="1134"/>
      <c r="P42" s="506"/>
      <c r="Q42" s="87"/>
      <c r="R42" s="540"/>
      <c r="S42" s="541"/>
      <c r="T42" s="3758"/>
      <c r="U42" s="3759"/>
      <c r="V42" s="3759"/>
      <c r="W42" s="3760"/>
      <c r="X42" s="251" t="str">
        <f t="shared" si="3"/>
        <v/>
      </c>
      <c r="Y42" s="251" t="str">
        <f t="shared" si="4"/>
        <v/>
      </c>
      <c r="Z42" s="251" t="str">
        <f t="shared" si="5"/>
        <v/>
      </c>
      <c r="AA42" s="251" t="str">
        <f t="shared" si="6"/>
        <v/>
      </c>
      <c r="AB42" s="251" t="str">
        <f t="shared" si="7"/>
        <v/>
      </c>
      <c r="AC42" s="251" t="str">
        <f t="shared" si="8"/>
        <v/>
      </c>
      <c r="AD42" s="251" t="str">
        <f t="shared" si="9"/>
        <v/>
      </c>
      <c r="AE42" s="251" t="str">
        <f t="shared" si="10"/>
        <v/>
      </c>
      <c r="AF42" s="251" t="str">
        <f t="shared" si="11"/>
        <v/>
      </c>
      <c r="AG42" s="251" t="str">
        <f t="shared" si="12"/>
        <v/>
      </c>
      <c r="AH42" s="251" t="str">
        <f t="shared" si="13"/>
        <v/>
      </c>
      <c r="AI42" s="251" t="str">
        <f t="shared" si="14"/>
        <v/>
      </c>
      <c r="AJ42" s="251" t="str">
        <f t="shared" si="15"/>
        <v/>
      </c>
      <c r="AK42" s="251" t="str">
        <f t="shared" si="16"/>
        <v/>
      </c>
      <c r="AL42" s="251" t="str">
        <f t="shared" si="17"/>
        <v/>
      </c>
      <c r="AM42" s="251" t="str">
        <f t="shared" si="18"/>
        <v/>
      </c>
      <c r="AN42" s="251" t="str">
        <f t="shared" si="19"/>
        <v/>
      </c>
      <c r="AO42" s="251" t="str">
        <f t="shared" si="20"/>
        <v/>
      </c>
      <c r="AP42" s="251" t="str">
        <f t="shared" si="21"/>
        <v/>
      </c>
      <c r="AQ42" s="251" t="str">
        <f t="shared" si="22"/>
        <v/>
      </c>
      <c r="AR42" s="251" t="str">
        <f t="shared" si="23"/>
        <v/>
      </c>
      <c r="AS42" s="251" t="str">
        <f t="shared" si="24"/>
        <v/>
      </c>
      <c r="AT42" s="251" t="str">
        <f t="shared" si="25"/>
        <v/>
      </c>
      <c r="AU42" s="251" t="str">
        <f t="shared" si="26"/>
        <v/>
      </c>
      <c r="AV42" s="251" t="str">
        <f t="shared" si="27"/>
        <v/>
      </c>
      <c r="AW42" s="251" t="str">
        <f t="shared" si="28"/>
        <v/>
      </c>
      <c r="AX42" s="251" t="str">
        <f t="shared" si="29"/>
        <v/>
      </c>
      <c r="AY42" s="251" t="str">
        <f t="shared" si="30"/>
        <v/>
      </c>
      <c r="AZ42" s="251" t="str">
        <f t="shared" si="31"/>
        <v/>
      </c>
      <c r="BA42" s="251" t="str">
        <f t="shared" si="32"/>
        <v/>
      </c>
      <c r="BB42" s="251" t="str">
        <f t="shared" si="33"/>
        <v/>
      </c>
      <c r="BC42" s="251" t="str">
        <f t="shared" si="34"/>
        <v/>
      </c>
      <c r="BD42" s="251" t="str">
        <f t="shared" si="35"/>
        <v/>
      </c>
      <c r="BE42" s="251" t="str">
        <f t="shared" si="36"/>
        <v/>
      </c>
      <c r="BF42" s="251" t="str">
        <f t="shared" si="37"/>
        <v/>
      </c>
      <c r="BG42" s="251" t="str">
        <f t="shared" si="38"/>
        <v/>
      </c>
      <c r="BH42" s="251" t="str">
        <f t="shared" si="39"/>
        <v/>
      </c>
      <c r="BI42" s="251" t="str">
        <f t="shared" si="40"/>
        <v/>
      </c>
      <c r="BJ42" s="251" t="str">
        <f t="shared" si="41"/>
        <v/>
      </c>
      <c r="BK42" s="251" t="str">
        <f t="shared" si="42"/>
        <v/>
      </c>
      <c r="BL42" s="251" t="str">
        <f t="shared" si="43"/>
        <v/>
      </c>
      <c r="BM42" s="251" t="str">
        <f t="shared" si="44"/>
        <v/>
      </c>
      <c r="BN42" s="251" t="str">
        <f t="shared" si="45"/>
        <v/>
      </c>
      <c r="BO42" s="251" t="str">
        <f t="shared" si="46"/>
        <v/>
      </c>
      <c r="BP42" s="251" t="str">
        <f t="shared" si="47"/>
        <v/>
      </c>
      <c r="BQ42" s="251" t="str">
        <f t="shared" si="48"/>
        <v/>
      </c>
      <c r="BR42" s="251" t="str">
        <f t="shared" si="49"/>
        <v/>
      </c>
      <c r="BS42" s="251" t="str">
        <f t="shared" si="50"/>
        <v/>
      </c>
      <c r="BT42" s="251" t="str">
        <f t="shared" si="51"/>
        <v/>
      </c>
      <c r="BU42" s="251" t="str">
        <f t="shared" si="52"/>
        <v/>
      </c>
      <c r="BV42" s="251" t="str">
        <f t="shared" si="53"/>
        <v/>
      </c>
      <c r="BW42" s="251" t="str">
        <f t="shared" si="54"/>
        <v/>
      </c>
      <c r="BX42" s="251" t="str">
        <f t="shared" si="55"/>
        <v/>
      </c>
      <c r="BY42" s="251" t="str">
        <f t="shared" si="56"/>
        <v/>
      </c>
      <c r="BZ42" s="251" t="str">
        <f t="shared" si="57"/>
        <v/>
      </c>
      <c r="CA42" s="251" t="str">
        <f t="shared" si="58"/>
        <v/>
      </c>
      <c r="CB42" s="251" t="str">
        <f t="shared" si="59"/>
        <v/>
      </c>
      <c r="CC42" s="251" t="str">
        <f t="shared" si="60"/>
        <v/>
      </c>
      <c r="CD42" s="251" t="str">
        <f t="shared" si="61"/>
        <v/>
      </c>
      <c r="CE42" s="251" t="str">
        <f t="shared" si="62"/>
        <v/>
      </c>
      <c r="CF42" s="251" t="str">
        <f t="shared" si="63"/>
        <v/>
      </c>
      <c r="CG42" s="251" t="str">
        <f t="shared" si="64"/>
        <v/>
      </c>
      <c r="CH42" s="251" t="str">
        <f t="shared" si="65"/>
        <v/>
      </c>
      <c r="CI42" s="251" t="str">
        <f t="shared" si="66"/>
        <v/>
      </c>
      <c r="CJ42" s="251" t="str">
        <f t="shared" si="67"/>
        <v/>
      </c>
      <c r="CK42" s="251" t="str">
        <f t="shared" si="68"/>
        <v/>
      </c>
      <c r="CL42" s="251" t="str">
        <f t="shared" si="69"/>
        <v/>
      </c>
      <c r="CM42" s="251" t="str">
        <f t="shared" si="70"/>
        <v/>
      </c>
      <c r="CN42" s="251" t="str">
        <f t="shared" si="71"/>
        <v/>
      </c>
      <c r="CO42" s="251" t="str">
        <f t="shared" si="72"/>
        <v/>
      </c>
      <c r="CP42" s="251" t="str">
        <f t="shared" si="73"/>
        <v/>
      </c>
      <c r="CQ42" s="251" t="str">
        <f t="shared" si="74"/>
        <v/>
      </c>
      <c r="CR42" s="251" t="str">
        <f t="shared" si="75"/>
        <v/>
      </c>
      <c r="CS42" s="251" t="str">
        <f t="shared" si="76"/>
        <v/>
      </c>
      <c r="CT42" s="251" t="str">
        <f t="shared" si="77"/>
        <v/>
      </c>
      <c r="CU42" s="251" t="str">
        <f t="shared" si="78"/>
        <v/>
      </c>
      <c r="CV42" s="251" t="str">
        <f t="shared" si="79"/>
        <v/>
      </c>
      <c r="CW42" s="251" t="str">
        <f t="shared" si="80"/>
        <v/>
      </c>
      <c r="CX42" s="251" t="str">
        <f t="shared" si="81"/>
        <v/>
      </c>
      <c r="CY42" s="251" t="str">
        <f t="shared" si="82"/>
        <v/>
      </c>
      <c r="CZ42" s="251" t="str">
        <f t="shared" si="83"/>
        <v/>
      </c>
      <c r="DA42" s="251" t="str">
        <f t="shared" si="84"/>
        <v/>
      </c>
      <c r="DB42" s="251" t="str">
        <f t="shared" si="85"/>
        <v/>
      </c>
      <c r="DC42" s="251" t="str">
        <f t="shared" si="86"/>
        <v/>
      </c>
      <c r="DD42" s="251" t="str">
        <f t="shared" si="87"/>
        <v/>
      </c>
      <c r="DE42" s="251" t="str">
        <f t="shared" si="88"/>
        <v/>
      </c>
      <c r="DF42" s="251" t="str">
        <f t="shared" si="89"/>
        <v/>
      </c>
      <c r="DG42" s="251" t="str">
        <f t="shared" si="90"/>
        <v/>
      </c>
      <c r="DH42" s="251" t="str">
        <f t="shared" si="91"/>
        <v/>
      </c>
      <c r="DI42" s="251" t="str">
        <f t="shared" si="92"/>
        <v/>
      </c>
      <c r="DJ42" s="251" t="str">
        <f t="shared" si="93"/>
        <v/>
      </c>
      <c r="DK42" s="251" t="str">
        <f t="shared" si="94"/>
        <v/>
      </c>
      <c r="DL42" s="251" t="str">
        <f t="shared" si="95"/>
        <v/>
      </c>
      <c r="DM42" s="251" t="str">
        <f t="shared" si="96"/>
        <v/>
      </c>
      <c r="DN42" s="251" t="str">
        <f t="shared" si="97"/>
        <v/>
      </c>
      <c r="DO42" s="251" t="str">
        <f t="shared" si="98"/>
        <v/>
      </c>
      <c r="DP42" s="251" t="str">
        <f t="shared" si="99"/>
        <v/>
      </c>
      <c r="DQ42" s="251" t="str">
        <f t="shared" si="100"/>
        <v/>
      </c>
      <c r="DR42" s="251" t="str">
        <f t="shared" si="101"/>
        <v/>
      </c>
      <c r="DS42" s="251" t="str">
        <f t="shared" si="102"/>
        <v/>
      </c>
      <c r="DT42" s="251" t="str">
        <f t="shared" si="103"/>
        <v/>
      </c>
      <c r="DU42" s="251" t="str">
        <f t="shared" si="104"/>
        <v/>
      </c>
      <c r="DV42" s="251" t="str">
        <f t="shared" si="105"/>
        <v/>
      </c>
      <c r="DW42" s="251" t="str">
        <f t="shared" si="106"/>
        <v/>
      </c>
      <c r="DX42" s="251" t="str">
        <f t="shared" si="107"/>
        <v/>
      </c>
      <c r="DY42" s="251" t="str">
        <f t="shared" si="108"/>
        <v/>
      </c>
      <c r="DZ42" s="251" t="str">
        <f t="shared" si="109"/>
        <v/>
      </c>
      <c r="EA42" s="251" t="str">
        <f t="shared" si="110"/>
        <v/>
      </c>
      <c r="EB42" s="251" t="str">
        <f t="shared" si="111"/>
        <v/>
      </c>
      <c r="EC42" s="251" t="str">
        <f t="shared" si="112"/>
        <v/>
      </c>
      <c r="ED42" s="251" t="str">
        <f t="shared" si="113"/>
        <v/>
      </c>
      <c r="EE42" s="251" t="str">
        <f t="shared" si="114"/>
        <v/>
      </c>
      <c r="EF42" s="251" t="str">
        <f t="shared" si="115"/>
        <v/>
      </c>
      <c r="EG42" s="251" t="str">
        <f t="shared" si="116"/>
        <v/>
      </c>
      <c r="EH42" s="251" t="str">
        <f t="shared" si="117"/>
        <v/>
      </c>
      <c r="EI42" s="251" t="str">
        <f t="shared" si="118"/>
        <v/>
      </c>
      <c r="EJ42" s="251" t="str">
        <f t="shared" si="119"/>
        <v/>
      </c>
      <c r="EK42" s="251" t="str">
        <f t="shared" si="120"/>
        <v/>
      </c>
      <c r="EL42" s="251" t="str">
        <f t="shared" si="121"/>
        <v/>
      </c>
      <c r="EM42" s="251" t="str">
        <f t="shared" si="122"/>
        <v/>
      </c>
      <c r="EN42" s="251" t="str">
        <f t="shared" si="123"/>
        <v/>
      </c>
      <c r="EO42" s="251" t="str">
        <f t="shared" si="124"/>
        <v/>
      </c>
      <c r="EP42" s="251" t="str">
        <f t="shared" si="125"/>
        <v/>
      </c>
      <c r="EQ42" s="251" t="str">
        <f t="shared" si="126"/>
        <v/>
      </c>
      <c r="ER42" s="251" t="str">
        <f t="shared" si="127"/>
        <v/>
      </c>
      <c r="ES42" s="251" t="str">
        <f t="shared" si="128"/>
        <v/>
      </c>
      <c r="ET42" s="251" t="str">
        <f t="shared" si="129"/>
        <v/>
      </c>
      <c r="EU42" s="251" t="str">
        <f t="shared" si="130"/>
        <v/>
      </c>
      <c r="EV42" s="251" t="str">
        <f t="shared" si="131"/>
        <v/>
      </c>
      <c r="EW42" s="251" t="str">
        <f t="shared" si="132"/>
        <v/>
      </c>
      <c r="EX42" s="251" t="str">
        <f t="shared" si="133"/>
        <v/>
      </c>
      <c r="EY42" s="251" t="str">
        <f t="shared" si="134"/>
        <v/>
      </c>
      <c r="EZ42" s="251" t="str">
        <f t="shared" si="135"/>
        <v/>
      </c>
      <c r="FA42" s="251" t="str">
        <f t="shared" si="136"/>
        <v/>
      </c>
      <c r="FB42" s="251" t="str">
        <f t="shared" si="137"/>
        <v/>
      </c>
      <c r="FC42" s="251" t="str">
        <f t="shared" si="138"/>
        <v/>
      </c>
      <c r="FD42" s="251" t="str">
        <f t="shared" si="139"/>
        <v/>
      </c>
      <c r="FE42" s="251" t="str">
        <f t="shared" si="140"/>
        <v/>
      </c>
      <c r="FF42" s="251" t="str">
        <f t="shared" si="141"/>
        <v/>
      </c>
      <c r="FG42" s="251" t="str">
        <f t="shared" si="142"/>
        <v/>
      </c>
      <c r="FH42" s="251" t="str">
        <f t="shared" si="143"/>
        <v/>
      </c>
      <c r="FI42" s="251" t="str">
        <f t="shared" si="144"/>
        <v/>
      </c>
      <c r="FJ42" s="251" t="str">
        <f t="shared" si="145"/>
        <v/>
      </c>
      <c r="FK42" s="251" t="str">
        <f t="shared" si="146"/>
        <v/>
      </c>
      <c r="FL42" s="251" t="str">
        <f t="shared" si="147"/>
        <v/>
      </c>
      <c r="FM42" s="251" t="str">
        <f t="shared" si="148"/>
        <v/>
      </c>
      <c r="FN42" s="251" t="str">
        <f t="shared" si="149"/>
        <v/>
      </c>
      <c r="FO42" s="251" t="str">
        <f t="shared" si="150"/>
        <v/>
      </c>
      <c r="FP42" s="251" t="str">
        <f t="shared" si="151"/>
        <v/>
      </c>
      <c r="FQ42" s="251" t="str">
        <f t="shared" si="152"/>
        <v/>
      </c>
      <c r="FR42" s="251" t="str">
        <f t="shared" si="153"/>
        <v/>
      </c>
      <c r="FS42" s="251" t="str">
        <f t="shared" si="154"/>
        <v/>
      </c>
      <c r="FT42" s="251" t="str">
        <f t="shared" si="155"/>
        <v/>
      </c>
      <c r="FU42" s="251" t="str">
        <f t="shared" si="156"/>
        <v/>
      </c>
      <c r="FV42" s="251" t="str">
        <f t="shared" si="157"/>
        <v/>
      </c>
      <c r="FW42" s="251" t="str">
        <f t="shared" si="158"/>
        <v/>
      </c>
      <c r="FX42" s="251" t="str">
        <f t="shared" si="159"/>
        <v/>
      </c>
      <c r="FY42" s="251" t="str">
        <f t="shared" si="160"/>
        <v/>
      </c>
      <c r="FZ42" s="251" t="str">
        <f t="shared" si="161"/>
        <v/>
      </c>
      <c r="GA42" s="251" t="str">
        <f t="shared" si="162"/>
        <v/>
      </c>
      <c r="GB42" s="251" t="str">
        <f t="shared" si="163"/>
        <v/>
      </c>
      <c r="GC42" s="251" t="str">
        <f t="shared" si="164"/>
        <v/>
      </c>
      <c r="GD42" s="251" t="str">
        <f t="shared" si="165"/>
        <v/>
      </c>
      <c r="GE42" s="251" t="str">
        <f t="shared" si="166"/>
        <v/>
      </c>
      <c r="GF42" s="251" t="str">
        <f t="shared" si="167"/>
        <v/>
      </c>
      <c r="GG42" s="251" t="str">
        <f t="shared" si="168"/>
        <v/>
      </c>
      <c r="GH42" s="251" t="str">
        <f t="shared" si="169"/>
        <v/>
      </c>
      <c r="GI42" s="251" t="str">
        <f t="shared" si="170"/>
        <v/>
      </c>
      <c r="GJ42" s="251" t="str">
        <f t="shared" si="171"/>
        <v/>
      </c>
      <c r="GK42" s="251" t="str">
        <f t="shared" si="172"/>
        <v/>
      </c>
      <c r="GL42" s="251" t="str">
        <f t="shared" si="173"/>
        <v/>
      </c>
      <c r="GM42" s="251" t="str">
        <f t="shared" si="174"/>
        <v/>
      </c>
      <c r="GN42" s="251" t="str">
        <f t="shared" si="175"/>
        <v/>
      </c>
      <c r="GO42" s="251" t="str">
        <f t="shared" si="176"/>
        <v/>
      </c>
      <c r="GP42" s="251" t="str">
        <f t="shared" si="177"/>
        <v/>
      </c>
      <c r="GQ42" s="251" t="str">
        <f t="shared" si="178"/>
        <v/>
      </c>
      <c r="GR42" s="251" t="str">
        <f t="shared" si="179"/>
        <v/>
      </c>
      <c r="GS42" s="251" t="str">
        <f t="shared" si="180"/>
        <v/>
      </c>
      <c r="GT42" s="251" t="str">
        <f t="shared" si="181"/>
        <v/>
      </c>
      <c r="GU42" s="251" t="str">
        <f t="shared" si="182"/>
        <v/>
      </c>
      <c r="GV42" s="251" t="str">
        <f t="shared" si="183"/>
        <v/>
      </c>
      <c r="GW42" s="251" t="str">
        <f t="shared" si="184"/>
        <v/>
      </c>
      <c r="GX42" s="251" t="str">
        <f t="shared" si="185"/>
        <v/>
      </c>
      <c r="GY42" s="251" t="str">
        <f t="shared" si="186"/>
        <v/>
      </c>
      <c r="GZ42" s="251" t="str">
        <f t="shared" si="187"/>
        <v/>
      </c>
      <c r="HA42" s="251" t="str">
        <f t="shared" si="188"/>
        <v/>
      </c>
      <c r="HB42" s="251" t="str">
        <f t="shared" si="189"/>
        <v/>
      </c>
      <c r="HC42" s="251" t="str">
        <f t="shared" si="190"/>
        <v/>
      </c>
      <c r="HD42" s="251" t="str">
        <f t="shared" si="191"/>
        <v/>
      </c>
      <c r="HE42" s="251" t="str">
        <f t="shared" si="192"/>
        <v/>
      </c>
      <c r="HF42" s="251" t="str">
        <f t="shared" si="193"/>
        <v/>
      </c>
      <c r="HG42" s="251" t="str">
        <f t="shared" si="194"/>
        <v/>
      </c>
      <c r="HH42" s="251" t="str">
        <f t="shared" si="195"/>
        <v/>
      </c>
      <c r="HI42" s="251" t="str">
        <f t="shared" si="196"/>
        <v/>
      </c>
      <c r="HJ42" s="251" t="str">
        <f t="shared" si="197"/>
        <v/>
      </c>
      <c r="HK42" s="251" t="str">
        <f t="shared" si="198"/>
        <v/>
      </c>
      <c r="HL42" s="251" t="str">
        <f t="shared" si="199"/>
        <v/>
      </c>
      <c r="HM42" s="251" t="str">
        <f t="shared" si="200"/>
        <v/>
      </c>
      <c r="HN42" s="251" t="str">
        <f t="shared" si="201"/>
        <v/>
      </c>
      <c r="HO42" s="251" t="str">
        <f t="shared" si="202"/>
        <v/>
      </c>
      <c r="HP42" s="251" t="str">
        <f t="shared" si="203"/>
        <v/>
      </c>
      <c r="HQ42" s="251" t="str">
        <f t="shared" si="204"/>
        <v/>
      </c>
      <c r="HR42" s="251" t="str">
        <f t="shared" si="205"/>
        <v/>
      </c>
      <c r="HS42" s="251" t="str">
        <f t="shared" si="206"/>
        <v/>
      </c>
      <c r="HT42" s="251" t="str">
        <f t="shared" si="207"/>
        <v/>
      </c>
      <c r="HU42" s="251" t="str">
        <f t="shared" si="208"/>
        <v/>
      </c>
      <c r="HV42" s="251" t="str">
        <f t="shared" si="209"/>
        <v/>
      </c>
      <c r="HW42" s="251" t="str">
        <f t="shared" si="210"/>
        <v/>
      </c>
      <c r="HX42" s="251" t="str">
        <f t="shared" si="211"/>
        <v/>
      </c>
      <c r="HY42" s="251" t="str">
        <f t="shared" si="212"/>
        <v/>
      </c>
      <c r="HZ42" s="251" t="str">
        <f t="shared" si="213"/>
        <v/>
      </c>
      <c r="IA42" s="251" t="str">
        <f t="shared" si="214"/>
        <v/>
      </c>
      <c r="IB42" s="251" t="str">
        <f t="shared" si="215"/>
        <v/>
      </c>
      <c r="IC42" s="251" t="str">
        <f t="shared" si="216"/>
        <v/>
      </c>
      <c r="ID42" s="251" t="str">
        <f t="shared" si="217"/>
        <v/>
      </c>
      <c r="IE42" s="251" t="str">
        <f t="shared" si="218"/>
        <v/>
      </c>
      <c r="IF42" s="251" t="str">
        <f t="shared" si="219"/>
        <v/>
      </c>
      <c r="IG42" s="251" t="str">
        <f t="shared" si="220"/>
        <v/>
      </c>
      <c r="IH42" s="251" t="str">
        <f t="shared" si="221"/>
        <v/>
      </c>
      <c r="II42" s="251" t="str">
        <f t="shared" si="222"/>
        <v/>
      </c>
      <c r="IJ42" s="251" t="str">
        <f t="shared" si="223"/>
        <v/>
      </c>
      <c r="IK42" s="251" t="str">
        <f t="shared" si="224"/>
        <v/>
      </c>
      <c r="IL42" s="251" t="str">
        <f t="shared" si="225"/>
        <v/>
      </c>
      <c r="IM42" s="251" t="str">
        <f t="shared" si="226"/>
        <v/>
      </c>
      <c r="IN42" s="251" t="str">
        <f t="shared" si="227"/>
        <v/>
      </c>
      <c r="IO42" s="251" t="str">
        <f t="shared" si="228"/>
        <v/>
      </c>
      <c r="IP42" s="251" t="str">
        <f t="shared" si="229"/>
        <v/>
      </c>
      <c r="IQ42" s="251" t="str">
        <f t="shared" si="230"/>
        <v/>
      </c>
      <c r="IR42" s="251" t="str">
        <f t="shared" si="231"/>
        <v/>
      </c>
      <c r="IS42" s="251" t="str">
        <f t="shared" si="232"/>
        <v/>
      </c>
      <c r="IT42" s="251" t="str">
        <f t="shared" si="233"/>
        <v/>
      </c>
      <c r="IU42" s="251" t="str">
        <f t="shared" si="234"/>
        <v/>
      </c>
      <c r="IV42" s="251" t="str">
        <f t="shared" si="235"/>
        <v/>
      </c>
      <c r="IW42" s="251" t="str">
        <f t="shared" si="236"/>
        <v/>
      </c>
      <c r="IX42" s="251" t="str">
        <f t="shared" si="237"/>
        <v/>
      </c>
      <c r="IY42" s="251" t="str">
        <f t="shared" si="238"/>
        <v/>
      </c>
      <c r="IZ42" s="251" t="str">
        <f t="shared" si="239"/>
        <v/>
      </c>
      <c r="JA42" s="251" t="str">
        <f t="shared" si="240"/>
        <v/>
      </c>
      <c r="JB42" s="251" t="str">
        <f t="shared" si="241"/>
        <v/>
      </c>
      <c r="JC42" s="251" t="str">
        <f t="shared" si="242"/>
        <v/>
      </c>
      <c r="JD42" s="251" t="str">
        <f t="shared" si="243"/>
        <v/>
      </c>
      <c r="JE42" s="251" t="str">
        <f t="shared" si="244"/>
        <v/>
      </c>
      <c r="JF42" s="251" t="str">
        <f t="shared" si="245"/>
        <v/>
      </c>
      <c r="JG42" s="251" t="str">
        <f t="shared" si="246"/>
        <v/>
      </c>
      <c r="JH42" s="251" t="str">
        <f t="shared" si="247"/>
        <v/>
      </c>
      <c r="JI42" s="1297" t="str">
        <f t="shared" si="248"/>
        <v/>
      </c>
      <c r="JJ42" s="1297" t="str">
        <f t="shared" si="249"/>
        <v/>
      </c>
      <c r="JK42" s="1297" t="str">
        <f t="shared" si="250"/>
        <v/>
      </c>
      <c r="JL42" s="1297" t="str">
        <f t="shared" si="251"/>
        <v/>
      </c>
      <c r="JM42" s="1297" t="str">
        <f t="shared" si="252"/>
        <v/>
      </c>
      <c r="JN42" s="1297" t="str">
        <f t="shared" si="253"/>
        <v/>
      </c>
      <c r="JO42" s="1297" t="str">
        <f t="shared" si="254"/>
        <v/>
      </c>
      <c r="JP42" s="1297" t="str">
        <f t="shared" si="255"/>
        <v/>
      </c>
      <c r="JQ42" s="1297" t="str">
        <f t="shared" si="256"/>
        <v/>
      </c>
      <c r="JR42" s="1297" t="str">
        <f t="shared" si="257"/>
        <v/>
      </c>
      <c r="JS42" s="1297" t="str">
        <f t="shared" si="258"/>
        <v/>
      </c>
      <c r="JT42" s="1297" t="str">
        <f t="shared" si="259"/>
        <v/>
      </c>
      <c r="JU42" s="1297" t="str">
        <f t="shared" si="260"/>
        <v/>
      </c>
      <c r="JV42" s="1297" t="str">
        <f t="shared" si="261"/>
        <v/>
      </c>
      <c r="JW42" s="1297" t="str">
        <f t="shared" si="262"/>
        <v/>
      </c>
      <c r="JX42" s="1297" t="str">
        <f t="shared" si="263"/>
        <v/>
      </c>
      <c r="JY42" s="1297" t="str">
        <f t="shared" si="264"/>
        <v/>
      </c>
      <c r="JZ42" s="1297" t="str">
        <f t="shared" si="265"/>
        <v/>
      </c>
      <c r="KA42" s="1297" t="str">
        <f t="shared" si="266"/>
        <v/>
      </c>
      <c r="KB42" s="1297" t="str">
        <f t="shared" si="267"/>
        <v/>
      </c>
      <c r="KC42" s="1297" t="str">
        <f t="shared" si="268"/>
        <v/>
      </c>
      <c r="KD42" s="1297" t="str">
        <f t="shared" si="269"/>
        <v/>
      </c>
      <c r="KE42" s="1297" t="str">
        <f t="shared" si="270"/>
        <v/>
      </c>
      <c r="KF42" s="1297" t="str">
        <f t="shared" si="271"/>
        <v/>
      </c>
      <c r="KG42" s="1297" t="str">
        <f t="shared" si="272"/>
        <v/>
      </c>
      <c r="KH42" s="1297" t="str">
        <f t="shared" si="273"/>
        <v/>
      </c>
      <c r="KI42" s="1297" t="str">
        <f t="shared" si="274"/>
        <v/>
      </c>
      <c r="KJ42" s="1297" t="str">
        <f t="shared" si="275"/>
        <v/>
      </c>
      <c r="KK42" s="1297" t="str">
        <f t="shared" si="276"/>
        <v/>
      </c>
      <c r="KL42" s="1297" t="str">
        <f t="shared" si="277"/>
        <v/>
      </c>
      <c r="KM42" s="1297" t="str">
        <f t="shared" si="278"/>
        <v/>
      </c>
      <c r="KN42" s="1297" t="str">
        <f t="shared" si="279"/>
        <v/>
      </c>
      <c r="KO42" s="1297" t="str">
        <f t="shared" si="280"/>
        <v/>
      </c>
      <c r="KP42" s="1297" t="str">
        <f t="shared" si="281"/>
        <v/>
      </c>
      <c r="KQ42" s="1297" t="str">
        <f t="shared" si="282"/>
        <v/>
      </c>
      <c r="KR42" s="1297" t="str">
        <f t="shared" si="283"/>
        <v/>
      </c>
      <c r="KS42" s="1297" t="str">
        <f t="shared" si="284"/>
        <v/>
      </c>
      <c r="KT42" s="1297" t="str">
        <f t="shared" si="285"/>
        <v/>
      </c>
      <c r="KU42" s="1297" t="str">
        <f t="shared" si="286"/>
        <v/>
      </c>
      <c r="KV42" s="1297" t="str">
        <f t="shared" si="287"/>
        <v/>
      </c>
      <c r="KW42" s="1297" t="str">
        <f t="shared" si="288"/>
        <v/>
      </c>
      <c r="KX42" s="1297" t="str">
        <f t="shared" si="289"/>
        <v/>
      </c>
      <c r="KY42" s="1297" t="str">
        <f t="shared" si="290"/>
        <v/>
      </c>
      <c r="KZ42" s="1297" t="str">
        <f t="shared" si="291"/>
        <v/>
      </c>
      <c r="LA42" s="1297" t="str">
        <f t="shared" si="292"/>
        <v/>
      </c>
      <c r="LB42" s="1297" t="str">
        <f t="shared" si="293"/>
        <v/>
      </c>
      <c r="LC42" s="1297" t="str">
        <f t="shared" si="294"/>
        <v/>
      </c>
      <c r="LD42" s="1297" t="str">
        <f t="shared" si="295"/>
        <v/>
      </c>
      <c r="LE42" s="1297" t="str">
        <f t="shared" si="296"/>
        <v/>
      </c>
      <c r="LF42" s="1297" t="str">
        <f t="shared" si="297"/>
        <v/>
      </c>
      <c r="LG42" s="1297" t="str">
        <f t="shared" si="298"/>
        <v/>
      </c>
      <c r="LH42" s="1297" t="str">
        <f t="shared" si="299"/>
        <v/>
      </c>
      <c r="LI42" s="1297" t="str">
        <f t="shared" si="300"/>
        <v/>
      </c>
      <c r="LJ42" s="1297" t="str">
        <f t="shared" si="301"/>
        <v/>
      </c>
      <c r="LK42" s="1297" t="str">
        <f t="shared" si="302"/>
        <v/>
      </c>
      <c r="LL42" s="1297" t="str">
        <f t="shared" si="303"/>
        <v/>
      </c>
      <c r="LM42" s="1297" t="str">
        <f t="shared" si="304"/>
        <v/>
      </c>
      <c r="LN42" s="1297" t="str">
        <f t="shared" si="305"/>
        <v/>
      </c>
      <c r="LO42" s="1297" t="str">
        <f t="shared" si="306"/>
        <v/>
      </c>
      <c r="LP42" s="1297" t="str">
        <f t="shared" si="307"/>
        <v/>
      </c>
      <c r="LQ42" s="1297" t="str">
        <f t="shared" si="308"/>
        <v/>
      </c>
      <c r="LR42" s="1297" t="str">
        <f t="shared" si="309"/>
        <v/>
      </c>
      <c r="LS42" s="1297" t="str">
        <f t="shared" si="310"/>
        <v/>
      </c>
      <c r="LT42" s="1297" t="str">
        <f t="shared" si="311"/>
        <v/>
      </c>
      <c r="LU42" s="1297" t="str">
        <f t="shared" si="312"/>
        <v/>
      </c>
      <c r="LV42" s="1297" t="str">
        <f t="shared" si="313"/>
        <v/>
      </c>
      <c r="LW42" s="1297" t="str">
        <f t="shared" si="314"/>
        <v/>
      </c>
      <c r="LX42" s="1297" t="str">
        <f t="shared" si="315"/>
        <v/>
      </c>
      <c r="LY42" s="1297" t="str">
        <f t="shared" si="316"/>
        <v/>
      </c>
      <c r="LZ42" s="1297" t="str">
        <f t="shared" si="317"/>
        <v/>
      </c>
      <c r="MA42" s="1297" t="str">
        <f t="shared" si="318"/>
        <v/>
      </c>
      <c r="MB42" s="1297" t="str">
        <f t="shared" si="319"/>
        <v/>
      </c>
      <c r="MC42" s="1297" t="str">
        <f t="shared" si="320"/>
        <v/>
      </c>
      <c r="MD42" s="1297" t="str">
        <f t="shared" si="321"/>
        <v/>
      </c>
      <c r="ME42" s="1297" t="str">
        <f t="shared" si="322"/>
        <v/>
      </c>
      <c r="MF42" s="1297" t="str">
        <f t="shared" si="323"/>
        <v/>
      </c>
      <c r="MG42" s="1297" t="str">
        <f t="shared" si="324"/>
        <v/>
      </c>
      <c r="MH42" s="1297" t="str">
        <f t="shared" si="325"/>
        <v/>
      </c>
      <c r="MI42" s="1297" t="str">
        <f t="shared" si="326"/>
        <v/>
      </c>
      <c r="MJ42" s="1297" t="str">
        <f t="shared" si="327"/>
        <v/>
      </c>
      <c r="MK42" s="1297" t="str">
        <f t="shared" si="328"/>
        <v/>
      </c>
      <c r="ML42" s="1297" t="str">
        <f t="shared" si="329"/>
        <v/>
      </c>
      <c r="MM42" s="1297" t="str">
        <f t="shared" si="330"/>
        <v/>
      </c>
      <c r="MN42" s="1297" t="str">
        <f t="shared" si="331"/>
        <v/>
      </c>
      <c r="MO42" s="1297" t="str">
        <f t="shared" si="332"/>
        <v/>
      </c>
      <c r="MP42" s="1773" t="str">
        <f t="shared" si="333"/>
        <v/>
      </c>
      <c r="MQ42" s="1773" t="str">
        <f t="shared" si="334"/>
        <v/>
      </c>
      <c r="MR42" s="1773" t="str">
        <f t="shared" si="335"/>
        <v/>
      </c>
      <c r="MS42" s="1773" t="str">
        <f t="shared" si="336"/>
        <v/>
      </c>
      <c r="MT42" s="1773" t="str">
        <f t="shared" si="337"/>
        <v/>
      </c>
      <c r="MU42" s="251" t="str">
        <f t="shared" si="338"/>
        <v/>
      </c>
      <c r="MV42" s="251" t="str">
        <f t="shared" si="339"/>
        <v/>
      </c>
      <c r="MW42" s="251" t="str">
        <f t="shared" si="340"/>
        <v/>
      </c>
      <c r="MX42" s="251" t="str">
        <f t="shared" si="341"/>
        <v/>
      </c>
      <c r="MY42" s="251" t="str">
        <f t="shared" si="342"/>
        <v/>
      </c>
      <c r="MZ42" s="251" t="str">
        <f t="shared" si="343"/>
        <v/>
      </c>
      <c r="NA42" s="251" t="str">
        <f t="shared" si="344"/>
        <v/>
      </c>
      <c r="NB42" s="251" t="str">
        <f t="shared" si="345"/>
        <v/>
      </c>
      <c r="NC42" s="251" t="str">
        <f t="shared" si="346"/>
        <v/>
      </c>
      <c r="ND42" s="251" t="str">
        <f t="shared" si="347"/>
        <v/>
      </c>
      <c r="NE42" s="251" t="str">
        <f t="shared" si="348"/>
        <v/>
      </c>
      <c r="NF42" s="251" t="str">
        <f t="shared" si="349"/>
        <v/>
      </c>
      <c r="NG42" s="251" t="str">
        <f t="shared" si="350"/>
        <v/>
      </c>
      <c r="NH42" s="251" t="str">
        <f t="shared" si="351"/>
        <v/>
      </c>
      <c r="NI42" s="251" t="str">
        <f t="shared" si="352"/>
        <v/>
      </c>
      <c r="NJ42" s="251" t="str">
        <f t="shared" si="353"/>
        <v/>
      </c>
      <c r="NK42" s="251" t="str">
        <f t="shared" si="354"/>
        <v/>
      </c>
      <c r="NL42" s="251" t="str">
        <f t="shared" si="355"/>
        <v/>
      </c>
      <c r="NM42" s="251" t="str">
        <f t="shared" si="356"/>
        <v/>
      </c>
      <c r="NN42" s="251" t="str">
        <f t="shared" si="357"/>
        <v/>
      </c>
      <c r="NO42" s="1185">
        <f t="shared" si="358"/>
        <v>0</v>
      </c>
      <c r="NP42" s="1185">
        <f t="shared" si="359"/>
        <v>0</v>
      </c>
      <c r="NQ42" s="1185">
        <f t="shared" si="360"/>
        <v>0</v>
      </c>
      <c r="NR42" s="1185">
        <f t="shared" si="361"/>
        <v>0</v>
      </c>
      <c r="NS42" s="1185">
        <f t="shared" si="362"/>
        <v>0</v>
      </c>
      <c r="NT42" s="1185">
        <f t="shared" si="368"/>
        <v>0</v>
      </c>
      <c r="NU42" s="1185">
        <f t="shared" si="369"/>
        <v>0</v>
      </c>
      <c r="NV42" s="1185">
        <f t="shared" si="370"/>
        <v>0</v>
      </c>
      <c r="NW42" s="1185">
        <f t="shared" si="371"/>
        <v>0</v>
      </c>
      <c r="NX42" s="1185">
        <f t="shared" si="372"/>
        <v>0</v>
      </c>
      <c r="NY42" s="1185">
        <f t="shared" si="363"/>
        <v>0</v>
      </c>
      <c r="NZ42" s="1185">
        <f t="shared" si="364"/>
        <v>0</v>
      </c>
      <c r="OA42" s="1185">
        <f t="shared" si="365"/>
        <v>0</v>
      </c>
      <c r="OB42" s="1185">
        <f t="shared" si="366"/>
        <v>0</v>
      </c>
      <c r="OC42" s="1185">
        <f t="shared" si="367"/>
        <v>0</v>
      </c>
      <c r="OY42" s="1794" t="s">
        <v>1190</v>
      </c>
      <c r="OZ42" s="1801">
        <v>42</v>
      </c>
    </row>
    <row r="43" spans="1:416" ht="12" customHeight="1">
      <c r="A43" s="53" t="str">
        <f t="shared" si="0"/>
        <v/>
      </c>
      <c r="B43" s="782"/>
      <c r="C43" s="85"/>
      <c r="D43" s="1187"/>
      <c r="E43" s="86"/>
      <c r="F43" s="86"/>
      <c r="G43" s="86"/>
      <c r="H43" s="86"/>
      <c r="I43" s="86"/>
      <c r="J43" s="765">
        <f>IF(C43="",0,HLOOKUP(C43,'Part IV-Utility Allowances'!$I$11:$M$25,15))</f>
        <v>0</v>
      </c>
      <c r="K43" s="473"/>
      <c r="L43" s="330">
        <f t="shared" si="1"/>
        <v>0</v>
      </c>
      <c r="M43" s="330">
        <f t="shared" si="2"/>
        <v>0</v>
      </c>
      <c r="N43" s="506"/>
      <c r="O43" s="1134"/>
      <c r="P43" s="506"/>
      <c r="Q43" s="87"/>
      <c r="R43" s="540"/>
      <c r="S43" s="541"/>
      <c r="T43" s="3758"/>
      <c r="U43" s="3759"/>
      <c r="V43" s="3759"/>
      <c r="W43" s="3760"/>
      <c r="X43" s="251" t="str">
        <f t="shared" si="3"/>
        <v/>
      </c>
      <c r="Y43" s="251" t="str">
        <f t="shared" si="4"/>
        <v/>
      </c>
      <c r="Z43" s="251" t="str">
        <f t="shared" si="5"/>
        <v/>
      </c>
      <c r="AA43" s="251" t="str">
        <f t="shared" si="6"/>
        <v/>
      </c>
      <c r="AB43" s="251" t="str">
        <f t="shared" si="7"/>
        <v/>
      </c>
      <c r="AC43" s="251" t="str">
        <f t="shared" si="8"/>
        <v/>
      </c>
      <c r="AD43" s="251" t="str">
        <f t="shared" si="9"/>
        <v/>
      </c>
      <c r="AE43" s="251" t="str">
        <f t="shared" si="10"/>
        <v/>
      </c>
      <c r="AF43" s="251" t="str">
        <f t="shared" si="11"/>
        <v/>
      </c>
      <c r="AG43" s="251" t="str">
        <f t="shared" si="12"/>
        <v/>
      </c>
      <c r="AH43" s="251" t="str">
        <f t="shared" si="13"/>
        <v/>
      </c>
      <c r="AI43" s="251" t="str">
        <f t="shared" si="14"/>
        <v/>
      </c>
      <c r="AJ43" s="251" t="str">
        <f t="shared" si="15"/>
        <v/>
      </c>
      <c r="AK43" s="251" t="str">
        <f t="shared" si="16"/>
        <v/>
      </c>
      <c r="AL43" s="251" t="str">
        <f t="shared" si="17"/>
        <v/>
      </c>
      <c r="AM43" s="251" t="str">
        <f t="shared" si="18"/>
        <v/>
      </c>
      <c r="AN43" s="251" t="str">
        <f t="shared" si="19"/>
        <v/>
      </c>
      <c r="AO43" s="251" t="str">
        <f t="shared" si="20"/>
        <v/>
      </c>
      <c r="AP43" s="251" t="str">
        <f t="shared" si="21"/>
        <v/>
      </c>
      <c r="AQ43" s="251" t="str">
        <f t="shared" si="22"/>
        <v/>
      </c>
      <c r="AR43" s="251" t="str">
        <f t="shared" si="23"/>
        <v/>
      </c>
      <c r="AS43" s="251" t="str">
        <f t="shared" si="24"/>
        <v/>
      </c>
      <c r="AT43" s="251" t="str">
        <f t="shared" si="25"/>
        <v/>
      </c>
      <c r="AU43" s="251" t="str">
        <f t="shared" si="26"/>
        <v/>
      </c>
      <c r="AV43" s="251" t="str">
        <f t="shared" si="27"/>
        <v/>
      </c>
      <c r="AW43" s="251" t="str">
        <f t="shared" si="28"/>
        <v/>
      </c>
      <c r="AX43" s="251" t="str">
        <f t="shared" si="29"/>
        <v/>
      </c>
      <c r="AY43" s="251" t="str">
        <f t="shared" si="30"/>
        <v/>
      </c>
      <c r="AZ43" s="251" t="str">
        <f t="shared" si="31"/>
        <v/>
      </c>
      <c r="BA43" s="251" t="str">
        <f t="shared" si="32"/>
        <v/>
      </c>
      <c r="BB43" s="251" t="str">
        <f t="shared" si="33"/>
        <v/>
      </c>
      <c r="BC43" s="251" t="str">
        <f t="shared" si="34"/>
        <v/>
      </c>
      <c r="BD43" s="251" t="str">
        <f t="shared" si="35"/>
        <v/>
      </c>
      <c r="BE43" s="251" t="str">
        <f t="shared" si="36"/>
        <v/>
      </c>
      <c r="BF43" s="251" t="str">
        <f t="shared" si="37"/>
        <v/>
      </c>
      <c r="BG43" s="251" t="str">
        <f t="shared" si="38"/>
        <v/>
      </c>
      <c r="BH43" s="251" t="str">
        <f t="shared" si="39"/>
        <v/>
      </c>
      <c r="BI43" s="251" t="str">
        <f t="shared" si="40"/>
        <v/>
      </c>
      <c r="BJ43" s="251" t="str">
        <f t="shared" si="41"/>
        <v/>
      </c>
      <c r="BK43" s="251" t="str">
        <f t="shared" si="42"/>
        <v/>
      </c>
      <c r="BL43" s="251" t="str">
        <f t="shared" si="43"/>
        <v/>
      </c>
      <c r="BM43" s="251" t="str">
        <f t="shared" si="44"/>
        <v/>
      </c>
      <c r="BN43" s="251" t="str">
        <f t="shared" si="45"/>
        <v/>
      </c>
      <c r="BO43" s="251" t="str">
        <f t="shared" si="46"/>
        <v/>
      </c>
      <c r="BP43" s="251" t="str">
        <f t="shared" si="47"/>
        <v/>
      </c>
      <c r="BQ43" s="251" t="str">
        <f t="shared" si="48"/>
        <v/>
      </c>
      <c r="BR43" s="251" t="str">
        <f t="shared" si="49"/>
        <v/>
      </c>
      <c r="BS43" s="251" t="str">
        <f t="shared" si="50"/>
        <v/>
      </c>
      <c r="BT43" s="251" t="str">
        <f t="shared" si="51"/>
        <v/>
      </c>
      <c r="BU43" s="251" t="str">
        <f t="shared" si="52"/>
        <v/>
      </c>
      <c r="BV43" s="251" t="str">
        <f t="shared" si="53"/>
        <v/>
      </c>
      <c r="BW43" s="251" t="str">
        <f t="shared" si="54"/>
        <v/>
      </c>
      <c r="BX43" s="251" t="str">
        <f t="shared" si="55"/>
        <v/>
      </c>
      <c r="BY43" s="251" t="str">
        <f t="shared" si="56"/>
        <v/>
      </c>
      <c r="BZ43" s="251" t="str">
        <f t="shared" si="57"/>
        <v/>
      </c>
      <c r="CA43" s="251" t="str">
        <f t="shared" si="58"/>
        <v/>
      </c>
      <c r="CB43" s="251" t="str">
        <f t="shared" si="59"/>
        <v/>
      </c>
      <c r="CC43" s="251" t="str">
        <f t="shared" si="60"/>
        <v/>
      </c>
      <c r="CD43" s="251" t="str">
        <f t="shared" si="61"/>
        <v/>
      </c>
      <c r="CE43" s="251" t="str">
        <f t="shared" si="62"/>
        <v/>
      </c>
      <c r="CF43" s="251" t="str">
        <f t="shared" si="63"/>
        <v/>
      </c>
      <c r="CG43" s="251" t="str">
        <f t="shared" si="64"/>
        <v/>
      </c>
      <c r="CH43" s="251" t="str">
        <f t="shared" si="65"/>
        <v/>
      </c>
      <c r="CI43" s="251" t="str">
        <f t="shared" si="66"/>
        <v/>
      </c>
      <c r="CJ43" s="251" t="str">
        <f t="shared" si="67"/>
        <v/>
      </c>
      <c r="CK43" s="251" t="str">
        <f t="shared" si="68"/>
        <v/>
      </c>
      <c r="CL43" s="251" t="str">
        <f t="shared" si="69"/>
        <v/>
      </c>
      <c r="CM43" s="251" t="str">
        <f t="shared" si="70"/>
        <v/>
      </c>
      <c r="CN43" s="251" t="str">
        <f t="shared" si="71"/>
        <v/>
      </c>
      <c r="CO43" s="251" t="str">
        <f t="shared" si="72"/>
        <v/>
      </c>
      <c r="CP43" s="251" t="str">
        <f t="shared" si="73"/>
        <v/>
      </c>
      <c r="CQ43" s="251" t="str">
        <f t="shared" si="74"/>
        <v/>
      </c>
      <c r="CR43" s="251" t="str">
        <f t="shared" si="75"/>
        <v/>
      </c>
      <c r="CS43" s="251" t="str">
        <f t="shared" si="76"/>
        <v/>
      </c>
      <c r="CT43" s="251" t="str">
        <f t="shared" si="77"/>
        <v/>
      </c>
      <c r="CU43" s="251" t="str">
        <f t="shared" si="78"/>
        <v/>
      </c>
      <c r="CV43" s="251" t="str">
        <f t="shared" si="79"/>
        <v/>
      </c>
      <c r="CW43" s="251" t="str">
        <f t="shared" si="80"/>
        <v/>
      </c>
      <c r="CX43" s="251" t="str">
        <f t="shared" si="81"/>
        <v/>
      </c>
      <c r="CY43" s="251" t="str">
        <f t="shared" si="82"/>
        <v/>
      </c>
      <c r="CZ43" s="251" t="str">
        <f t="shared" si="83"/>
        <v/>
      </c>
      <c r="DA43" s="251" t="str">
        <f t="shared" si="84"/>
        <v/>
      </c>
      <c r="DB43" s="251" t="str">
        <f t="shared" si="85"/>
        <v/>
      </c>
      <c r="DC43" s="251" t="str">
        <f t="shared" si="86"/>
        <v/>
      </c>
      <c r="DD43" s="251" t="str">
        <f t="shared" si="87"/>
        <v/>
      </c>
      <c r="DE43" s="251" t="str">
        <f t="shared" si="88"/>
        <v/>
      </c>
      <c r="DF43" s="251" t="str">
        <f t="shared" si="89"/>
        <v/>
      </c>
      <c r="DG43" s="251" t="str">
        <f t="shared" si="90"/>
        <v/>
      </c>
      <c r="DH43" s="251" t="str">
        <f t="shared" si="91"/>
        <v/>
      </c>
      <c r="DI43" s="251" t="str">
        <f t="shared" si="92"/>
        <v/>
      </c>
      <c r="DJ43" s="251" t="str">
        <f t="shared" si="93"/>
        <v/>
      </c>
      <c r="DK43" s="251" t="str">
        <f t="shared" si="94"/>
        <v/>
      </c>
      <c r="DL43" s="251" t="str">
        <f t="shared" si="95"/>
        <v/>
      </c>
      <c r="DM43" s="251" t="str">
        <f t="shared" si="96"/>
        <v/>
      </c>
      <c r="DN43" s="251" t="str">
        <f t="shared" si="97"/>
        <v/>
      </c>
      <c r="DO43" s="251" t="str">
        <f t="shared" si="98"/>
        <v/>
      </c>
      <c r="DP43" s="251" t="str">
        <f t="shared" si="99"/>
        <v/>
      </c>
      <c r="DQ43" s="251" t="str">
        <f t="shared" si="100"/>
        <v/>
      </c>
      <c r="DR43" s="251" t="str">
        <f t="shared" si="101"/>
        <v/>
      </c>
      <c r="DS43" s="251" t="str">
        <f t="shared" si="102"/>
        <v/>
      </c>
      <c r="DT43" s="251" t="str">
        <f t="shared" si="103"/>
        <v/>
      </c>
      <c r="DU43" s="251" t="str">
        <f t="shared" si="104"/>
        <v/>
      </c>
      <c r="DV43" s="251" t="str">
        <f t="shared" si="105"/>
        <v/>
      </c>
      <c r="DW43" s="251" t="str">
        <f t="shared" si="106"/>
        <v/>
      </c>
      <c r="DX43" s="251" t="str">
        <f t="shared" si="107"/>
        <v/>
      </c>
      <c r="DY43" s="251" t="str">
        <f t="shared" si="108"/>
        <v/>
      </c>
      <c r="DZ43" s="251" t="str">
        <f t="shared" si="109"/>
        <v/>
      </c>
      <c r="EA43" s="251" t="str">
        <f t="shared" si="110"/>
        <v/>
      </c>
      <c r="EB43" s="251" t="str">
        <f t="shared" si="111"/>
        <v/>
      </c>
      <c r="EC43" s="251" t="str">
        <f t="shared" si="112"/>
        <v/>
      </c>
      <c r="ED43" s="251" t="str">
        <f t="shared" si="113"/>
        <v/>
      </c>
      <c r="EE43" s="251" t="str">
        <f t="shared" si="114"/>
        <v/>
      </c>
      <c r="EF43" s="251" t="str">
        <f t="shared" si="115"/>
        <v/>
      </c>
      <c r="EG43" s="251" t="str">
        <f t="shared" si="116"/>
        <v/>
      </c>
      <c r="EH43" s="251" t="str">
        <f t="shared" si="117"/>
        <v/>
      </c>
      <c r="EI43" s="251" t="str">
        <f t="shared" si="118"/>
        <v/>
      </c>
      <c r="EJ43" s="251" t="str">
        <f t="shared" si="119"/>
        <v/>
      </c>
      <c r="EK43" s="251" t="str">
        <f t="shared" si="120"/>
        <v/>
      </c>
      <c r="EL43" s="251" t="str">
        <f t="shared" si="121"/>
        <v/>
      </c>
      <c r="EM43" s="251" t="str">
        <f t="shared" si="122"/>
        <v/>
      </c>
      <c r="EN43" s="251" t="str">
        <f t="shared" si="123"/>
        <v/>
      </c>
      <c r="EO43" s="251" t="str">
        <f t="shared" si="124"/>
        <v/>
      </c>
      <c r="EP43" s="251" t="str">
        <f t="shared" si="125"/>
        <v/>
      </c>
      <c r="EQ43" s="251" t="str">
        <f t="shared" si="126"/>
        <v/>
      </c>
      <c r="ER43" s="251" t="str">
        <f t="shared" si="127"/>
        <v/>
      </c>
      <c r="ES43" s="251" t="str">
        <f t="shared" si="128"/>
        <v/>
      </c>
      <c r="ET43" s="251" t="str">
        <f t="shared" si="129"/>
        <v/>
      </c>
      <c r="EU43" s="251" t="str">
        <f t="shared" si="130"/>
        <v/>
      </c>
      <c r="EV43" s="251" t="str">
        <f t="shared" si="131"/>
        <v/>
      </c>
      <c r="EW43" s="251" t="str">
        <f t="shared" si="132"/>
        <v/>
      </c>
      <c r="EX43" s="251" t="str">
        <f t="shared" si="133"/>
        <v/>
      </c>
      <c r="EY43" s="251" t="str">
        <f t="shared" si="134"/>
        <v/>
      </c>
      <c r="EZ43" s="251" t="str">
        <f t="shared" si="135"/>
        <v/>
      </c>
      <c r="FA43" s="251" t="str">
        <f t="shared" si="136"/>
        <v/>
      </c>
      <c r="FB43" s="251" t="str">
        <f t="shared" si="137"/>
        <v/>
      </c>
      <c r="FC43" s="251" t="str">
        <f t="shared" si="138"/>
        <v/>
      </c>
      <c r="FD43" s="251" t="str">
        <f t="shared" si="139"/>
        <v/>
      </c>
      <c r="FE43" s="251" t="str">
        <f t="shared" si="140"/>
        <v/>
      </c>
      <c r="FF43" s="251" t="str">
        <f t="shared" si="141"/>
        <v/>
      </c>
      <c r="FG43" s="251" t="str">
        <f t="shared" si="142"/>
        <v/>
      </c>
      <c r="FH43" s="251" t="str">
        <f t="shared" si="143"/>
        <v/>
      </c>
      <c r="FI43" s="251" t="str">
        <f t="shared" si="144"/>
        <v/>
      </c>
      <c r="FJ43" s="251" t="str">
        <f t="shared" si="145"/>
        <v/>
      </c>
      <c r="FK43" s="251" t="str">
        <f t="shared" si="146"/>
        <v/>
      </c>
      <c r="FL43" s="251" t="str">
        <f t="shared" si="147"/>
        <v/>
      </c>
      <c r="FM43" s="251" t="str">
        <f t="shared" si="148"/>
        <v/>
      </c>
      <c r="FN43" s="251" t="str">
        <f t="shared" si="149"/>
        <v/>
      </c>
      <c r="FO43" s="251" t="str">
        <f t="shared" si="150"/>
        <v/>
      </c>
      <c r="FP43" s="251" t="str">
        <f t="shared" si="151"/>
        <v/>
      </c>
      <c r="FQ43" s="251" t="str">
        <f t="shared" si="152"/>
        <v/>
      </c>
      <c r="FR43" s="251" t="str">
        <f t="shared" si="153"/>
        <v/>
      </c>
      <c r="FS43" s="251" t="str">
        <f t="shared" si="154"/>
        <v/>
      </c>
      <c r="FT43" s="251" t="str">
        <f t="shared" si="155"/>
        <v/>
      </c>
      <c r="FU43" s="251" t="str">
        <f t="shared" si="156"/>
        <v/>
      </c>
      <c r="FV43" s="251" t="str">
        <f t="shared" si="157"/>
        <v/>
      </c>
      <c r="FW43" s="251" t="str">
        <f t="shared" si="158"/>
        <v/>
      </c>
      <c r="FX43" s="251" t="str">
        <f t="shared" si="159"/>
        <v/>
      </c>
      <c r="FY43" s="251" t="str">
        <f t="shared" si="160"/>
        <v/>
      </c>
      <c r="FZ43" s="251" t="str">
        <f t="shared" si="161"/>
        <v/>
      </c>
      <c r="GA43" s="251" t="str">
        <f t="shared" si="162"/>
        <v/>
      </c>
      <c r="GB43" s="251" t="str">
        <f t="shared" si="163"/>
        <v/>
      </c>
      <c r="GC43" s="251" t="str">
        <f t="shared" si="164"/>
        <v/>
      </c>
      <c r="GD43" s="251" t="str">
        <f t="shared" si="165"/>
        <v/>
      </c>
      <c r="GE43" s="251" t="str">
        <f t="shared" si="166"/>
        <v/>
      </c>
      <c r="GF43" s="251" t="str">
        <f t="shared" si="167"/>
        <v/>
      </c>
      <c r="GG43" s="251" t="str">
        <f t="shared" si="168"/>
        <v/>
      </c>
      <c r="GH43" s="251" t="str">
        <f t="shared" si="169"/>
        <v/>
      </c>
      <c r="GI43" s="251" t="str">
        <f t="shared" si="170"/>
        <v/>
      </c>
      <c r="GJ43" s="251" t="str">
        <f t="shared" si="171"/>
        <v/>
      </c>
      <c r="GK43" s="251" t="str">
        <f t="shared" si="172"/>
        <v/>
      </c>
      <c r="GL43" s="251" t="str">
        <f t="shared" si="173"/>
        <v/>
      </c>
      <c r="GM43" s="251" t="str">
        <f t="shared" si="174"/>
        <v/>
      </c>
      <c r="GN43" s="251" t="str">
        <f t="shared" si="175"/>
        <v/>
      </c>
      <c r="GO43" s="251" t="str">
        <f t="shared" si="176"/>
        <v/>
      </c>
      <c r="GP43" s="251" t="str">
        <f t="shared" si="177"/>
        <v/>
      </c>
      <c r="GQ43" s="251" t="str">
        <f t="shared" si="178"/>
        <v/>
      </c>
      <c r="GR43" s="251" t="str">
        <f t="shared" si="179"/>
        <v/>
      </c>
      <c r="GS43" s="251" t="str">
        <f t="shared" si="180"/>
        <v/>
      </c>
      <c r="GT43" s="251" t="str">
        <f t="shared" si="181"/>
        <v/>
      </c>
      <c r="GU43" s="251" t="str">
        <f t="shared" si="182"/>
        <v/>
      </c>
      <c r="GV43" s="251" t="str">
        <f t="shared" si="183"/>
        <v/>
      </c>
      <c r="GW43" s="251" t="str">
        <f t="shared" si="184"/>
        <v/>
      </c>
      <c r="GX43" s="251" t="str">
        <f t="shared" si="185"/>
        <v/>
      </c>
      <c r="GY43" s="251" t="str">
        <f t="shared" si="186"/>
        <v/>
      </c>
      <c r="GZ43" s="251" t="str">
        <f t="shared" si="187"/>
        <v/>
      </c>
      <c r="HA43" s="251" t="str">
        <f t="shared" si="188"/>
        <v/>
      </c>
      <c r="HB43" s="251" t="str">
        <f t="shared" si="189"/>
        <v/>
      </c>
      <c r="HC43" s="251" t="str">
        <f t="shared" si="190"/>
        <v/>
      </c>
      <c r="HD43" s="251" t="str">
        <f t="shared" si="191"/>
        <v/>
      </c>
      <c r="HE43" s="251" t="str">
        <f t="shared" si="192"/>
        <v/>
      </c>
      <c r="HF43" s="251" t="str">
        <f t="shared" si="193"/>
        <v/>
      </c>
      <c r="HG43" s="251" t="str">
        <f t="shared" si="194"/>
        <v/>
      </c>
      <c r="HH43" s="251" t="str">
        <f t="shared" si="195"/>
        <v/>
      </c>
      <c r="HI43" s="251" t="str">
        <f t="shared" si="196"/>
        <v/>
      </c>
      <c r="HJ43" s="251" t="str">
        <f t="shared" si="197"/>
        <v/>
      </c>
      <c r="HK43" s="251" t="str">
        <f t="shared" si="198"/>
        <v/>
      </c>
      <c r="HL43" s="251" t="str">
        <f t="shared" si="199"/>
        <v/>
      </c>
      <c r="HM43" s="251" t="str">
        <f t="shared" si="200"/>
        <v/>
      </c>
      <c r="HN43" s="251" t="str">
        <f t="shared" si="201"/>
        <v/>
      </c>
      <c r="HO43" s="251" t="str">
        <f t="shared" si="202"/>
        <v/>
      </c>
      <c r="HP43" s="251" t="str">
        <f t="shared" si="203"/>
        <v/>
      </c>
      <c r="HQ43" s="251" t="str">
        <f t="shared" si="204"/>
        <v/>
      </c>
      <c r="HR43" s="251" t="str">
        <f t="shared" si="205"/>
        <v/>
      </c>
      <c r="HS43" s="251" t="str">
        <f t="shared" si="206"/>
        <v/>
      </c>
      <c r="HT43" s="251" t="str">
        <f t="shared" si="207"/>
        <v/>
      </c>
      <c r="HU43" s="251" t="str">
        <f t="shared" si="208"/>
        <v/>
      </c>
      <c r="HV43" s="251" t="str">
        <f t="shared" si="209"/>
        <v/>
      </c>
      <c r="HW43" s="251" t="str">
        <f t="shared" si="210"/>
        <v/>
      </c>
      <c r="HX43" s="251" t="str">
        <f t="shared" si="211"/>
        <v/>
      </c>
      <c r="HY43" s="251" t="str">
        <f t="shared" si="212"/>
        <v/>
      </c>
      <c r="HZ43" s="251" t="str">
        <f t="shared" si="213"/>
        <v/>
      </c>
      <c r="IA43" s="251" t="str">
        <f t="shared" si="214"/>
        <v/>
      </c>
      <c r="IB43" s="251" t="str">
        <f t="shared" si="215"/>
        <v/>
      </c>
      <c r="IC43" s="251" t="str">
        <f t="shared" si="216"/>
        <v/>
      </c>
      <c r="ID43" s="251" t="str">
        <f t="shared" si="217"/>
        <v/>
      </c>
      <c r="IE43" s="251" t="str">
        <f t="shared" si="218"/>
        <v/>
      </c>
      <c r="IF43" s="251" t="str">
        <f t="shared" si="219"/>
        <v/>
      </c>
      <c r="IG43" s="251" t="str">
        <f t="shared" si="220"/>
        <v/>
      </c>
      <c r="IH43" s="251" t="str">
        <f t="shared" si="221"/>
        <v/>
      </c>
      <c r="II43" s="251" t="str">
        <f t="shared" si="222"/>
        <v/>
      </c>
      <c r="IJ43" s="251" t="str">
        <f t="shared" si="223"/>
        <v/>
      </c>
      <c r="IK43" s="251" t="str">
        <f t="shared" si="224"/>
        <v/>
      </c>
      <c r="IL43" s="251" t="str">
        <f t="shared" si="225"/>
        <v/>
      </c>
      <c r="IM43" s="251" t="str">
        <f t="shared" si="226"/>
        <v/>
      </c>
      <c r="IN43" s="251" t="str">
        <f t="shared" si="227"/>
        <v/>
      </c>
      <c r="IO43" s="251" t="str">
        <f t="shared" si="228"/>
        <v/>
      </c>
      <c r="IP43" s="251" t="str">
        <f t="shared" si="229"/>
        <v/>
      </c>
      <c r="IQ43" s="251" t="str">
        <f t="shared" si="230"/>
        <v/>
      </c>
      <c r="IR43" s="251" t="str">
        <f t="shared" si="231"/>
        <v/>
      </c>
      <c r="IS43" s="251" t="str">
        <f t="shared" si="232"/>
        <v/>
      </c>
      <c r="IT43" s="251" t="str">
        <f t="shared" si="233"/>
        <v/>
      </c>
      <c r="IU43" s="251" t="str">
        <f t="shared" si="234"/>
        <v/>
      </c>
      <c r="IV43" s="251" t="str">
        <f t="shared" si="235"/>
        <v/>
      </c>
      <c r="IW43" s="251" t="str">
        <f t="shared" si="236"/>
        <v/>
      </c>
      <c r="IX43" s="251" t="str">
        <f t="shared" si="237"/>
        <v/>
      </c>
      <c r="IY43" s="251" t="str">
        <f t="shared" si="238"/>
        <v/>
      </c>
      <c r="IZ43" s="251" t="str">
        <f t="shared" si="239"/>
        <v/>
      </c>
      <c r="JA43" s="251" t="str">
        <f t="shared" si="240"/>
        <v/>
      </c>
      <c r="JB43" s="251" t="str">
        <f t="shared" si="241"/>
        <v/>
      </c>
      <c r="JC43" s="251" t="str">
        <f t="shared" si="242"/>
        <v/>
      </c>
      <c r="JD43" s="251" t="str">
        <f t="shared" si="243"/>
        <v/>
      </c>
      <c r="JE43" s="251" t="str">
        <f t="shared" si="244"/>
        <v/>
      </c>
      <c r="JF43" s="251" t="str">
        <f t="shared" si="245"/>
        <v/>
      </c>
      <c r="JG43" s="251" t="str">
        <f t="shared" si="246"/>
        <v/>
      </c>
      <c r="JH43" s="251" t="str">
        <f t="shared" si="247"/>
        <v/>
      </c>
      <c r="JI43" s="1297" t="str">
        <f t="shared" si="248"/>
        <v/>
      </c>
      <c r="JJ43" s="1297" t="str">
        <f t="shared" si="249"/>
        <v/>
      </c>
      <c r="JK43" s="1297" t="str">
        <f t="shared" si="250"/>
        <v/>
      </c>
      <c r="JL43" s="1297" t="str">
        <f t="shared" si="251"/>
        <v/>
      </c>
      <c r="JM43" s="1297" t="str">
        <f t="shared" si="252"/>
        <v/>
      </c>
      <c r="JN43" s="1297" t="str">
        <f t="shared" si="253"/>
        <v/>
      </c>
      <c r="JO43" s="1297" t="str">
        <f t="shared" si="254"/>
        <v/>
      </c>
      <c r="JP43" s="1297" t="str">
        <f t="shared" si="255"/>
        <v/>
      </c>
      <c r="JQ43" s="1297" t="str">
        <f t="shared" si="256"/>
        <v/>
      </c>
      <c r="JR43" s="1297" t="str">
        <f t="shared" si="257"/>
        <v/>
      </c>
      <c r="JS43" s="1297" t="str">
        <f t="shared" si="258"/>
        <v/>
      </c>
      <c r="JT43" s="1297" t="str">
        <f t="shared" si="259"/>
        <v/>
      </c>
      <c r="JU43" s="1297" t="str">
        <f t="shared" si="260"/>
        <v/>
      </c>
      <c r="JV43" s="1297" t="str">
        <f t="shared" si="261"/>
        <v/>
      </c>
      <c r="JW43" s="1297" t="str">
        <f t="shared" si="262"/>
        <v/>
      </c>
      <c r="JX43" s="1297" t="str">
        <f t="shared" si="263"/>
        <v/>
      </c>
      <c r="JY43" s="1297" t="str">
        <f t="shared" si="264"/>
        <v/>
      </c>
      <c r="JZ43" s="1297" t="str">
        <f t="shared" si="265"/>
        <v/>
      </c>
      <c r="KA43" s="1297" t="str">
        <f t="shared" si="266"/>
        <v/>
      </c>
      <c r="KB43" s="1297" t="str">
        <f t="shared" si="267"/>
        <v/>
      </c>
      <c r="KC43" s="1297" t="str">
        <f t="shared" si="268"/>
        <v/>
      </c>
      <c r="KD43" s="1297" t="str">
        <f t="shared" si="269"/>
        <v/>
      </c>
      <c r="KE43" s="1297" t="str">
        <f t="shared" si="270"/>
        <v/>
      </c>
      <c r="KF43" s="1297" t="str">
        <f t="shared" si="271"/>
        <v/>
      </c>
      <c r="KG43" s="1297" t="str">
        <f t="shared" si="272"/>
        <v/>
      </c>
      <c r="KH43" s="1297" t="str">
        <f t="shared" si="273"/>
        <v/>
      </c>
      <c r="KI43" s="1297" t="str">
        <f t="shared" si="274"/>
        <v/>
      </c>
      <c r="KJ43" s="1297" t="str">
        <f t="shared" si="275"/>
        <v/>
      </c>
      <c r="KK43" s="1297" t="str">
        <f t="shared" si="276"/>
        <v/>
      </c>
      <c r="KL43" s="1297" t="str">
        <f t="shared" si="277"/>
        <v/>
      </c>
      <c r="KM43" s="1297" t="str">
        <f t="shared" si="278"/>
        <v/>
      </c>
      <c r="KN43" s="1297" t="str">
        <f t="shared" si="279"/>
        <v/>
      </c>
      <c r="KO43" s="1297" t="str">
        <f t="shared" si="280"/>
        <v/>
      </c>
      <c r="KP43" s="1297" t="str">
        <f t="shared" si="281"/>
        <v/>
      </c>
      <c r="KQ43" s="1297" t="str">
        <f t="shared" si="282"/>
        <v/>
      </c>
      <c r="KR43" s="1297" t="str">
        <f t="shared" si="283"/>
        <v/>
      </c>
      <c r="KS43" s="1297" t="str">
        <f t="shared" si="284"/>
        <v/>
      </c>
      <c r="KT43" s="1297" t="str">
        <f t="shared" si="285"/>
        <v/>
      </c>
      <c r="KU43" s="1297" t="str">
        <f t="shared" si="286"/>
        <v/>
      </c>
      <c r="KV43" s="1297" t="str">
        <f t="shared" si="287"/>
        <v/>
      </c>
      <c r="KW43" s="1297" t="str">
        <f t="shared" si="288"/>
        <v/>
      </c>
      <c r="KX43" s="1297" t="str">
        <f t="shared" si="289"/>
        <v/>
      </c>
      <c r="KY43" s="1297" t="str">
        <f t="shared" si="290"/>
        <v/>
      </c>
      <c r="KZ43" s="1297" t="str">
        <f t="shared" si="291"/>
        <v/>
      </c>
      <c r="LA43" s="1297" t="str">
        <f t="shared" si="292"/>
        <v/>
      </c>
      <c r="LB43" s="1297" t="str">
        <f t="shared" si="293"/>
        <v/>
      </c>
      <c r="LC43" s="1297" t="str">
        <f t="shared" si="294"/>
        <v/>
      </c>
      <c r="LD43" s="1297" t="str">
        <f t="shared" si="295"/>
        <v/>
      </c>
      <c r="LE43" s="1297" t="str">
        <f t="shared" si="296"/>
        <v/>
      </c>
      <c r="LF43" s="1297" t="str">
        <f t="shared" si="297"/>
        <v/>
      </c>
      <c r="LG43" s="1297" t="str">
        <f t="shared" si="298"/>
        <v/>
      </c>
      <c r="LH43" s="1297" t="str">
        <f t="shared" si="299"/>
        <v/>
      </c>
      <c r="LI43" s="1297" t="str">
        <f t="shared" si="300"/>
        <v/>
      </c>
      <c r="LJ43" s="1297" t="str">
        <f t="shared" si="301"/>
        <v/>
      </c>
      <c r="LK43" s="1297" t="str">
        <f t="shared" si="302"/>
        <v/>
      </c>
      <c r="LL43" s="1297" t="str">
        <f t="shared" si="303"/>
        <v/>
      </c>
      <c r="LM43" s="1297" t="str">
        <f t="shared" si="304"/>
        <v/>
      </c>
      <c r="LN43" s="1297" t="str">
        <f t="shared" si="305"/>
        <v/>
      </c>
      <c r="LO43" s="1297" t="str">
        <f t="shared" si="306"/>
        <v/>
      </c>
      <c r="LP43" s="1297" t="str">
        <f t="shared" si="307"/>
        <v/>
      </c>
      <c r="LQ43" s="1297" t="str">
        <f t="shared" si="308"/>
        <v/>
      </c>
      <c r="LR43" s="1297" t="str">
        <f t="shared" si="309"/>
        <v/>
      </c>
      <c r="LS43" s="1297" t="str">
        <f t="shared" si="310"/>
        <v/>
      </c>
      <c r="LT43" s="1297" t="str">
        <f t="shared" si="311"/>
        <v/>
      </c>
      <c r="LU43" s="1297" t="str">
        <f t="shared" si="312"/>
        <v/>
      </c>
      <c r="LV43" s="1297" t="str">
        <f t="shared" si="313"/>
        <v/>
      </c>
      <c r="LW43" s="1297" t="str">
        <f t="shared" si="314"/>
        <v/>
      </c>
      <c r="LX43" s="1297" t="str">
        <f t="shared" si="315"/>
        <v/>
      </c>
      <c r="LY43" s="1297" t="str">
        <f t="shared" si="316"/>
        <v/>
      </c>
      <c r="LZ43" s="1297" t="str">
        <f t="shared" si="317"/>
        <v/>
      </c>
      <c r="MA43" s="1297" t="str">
        <f t="shared" si="318"/>
        <v/>
      </c>
      <c r="MB43" s="1297" t="str">
        <f t="shared" si="319"/>
        <v/>
      </c>
      <c r="MC43" s="1297" t="str">
        <f t="shared" si="320"/>
        <v/>
      </c>
      <c r="MD43" s="1297" t="str">
        <f t="shared" si="321"/>
        <v/>
      </c>
      <c r="ME43" s="1297" t="str">
        <f t="shared" si="322"/>
        <v/>
      </c>
      <c r="MF43" s="1297" t="str">
        <f t="shared" si="323"/>
        <v/>
      </c>
      <c r="MG43" s="1297" t="str">
        <f t="shared" si="324"/>
        <v/>
      </c>
      <c r="MH43" s="1297" t="str">
        <f t="shared" si="325"/>
        <v/>
      </c>
      <c r="MI43" s="1297" t="str">
        <f t="shared" si="326"/>
        <v/>
      </c>
      <c r="MJ43" s="1297" t="str">
        <f t="shared" si="327"/>
        <v/>
      </c>
      <c r="MK43" s="1297" t="str">
        <f t="shared" si="328"/>
        <v/>
      </c>
      <c r="ML43" s="1297" t="str">
        <f t="shared" si="329"/>
        <v/>
      </c>
      <c r="MM43" s="1297" t="str">
        <f t="shared" si="330"/>
        <v/>
      </c>
      <c r="MN43" s="1297" t="str">
        <f t="shared" si="331"/>
        <v/>
      </c>
      <c r="MO43" s="1297" t="str">
        <f t="shared" si="332"/>
        <v/>
      </c>
      <c r="MP43" s="1773" t="str">
        <f t="shared" si="333"/>
        <v/>
      </c>
      <c r="MQ43" s="1773" t="str">
        <f t="shared" si="334"/>
        <v/>
      </c>
      <c r="MR43" s="1773" t="str">
        <f t="shared" si="335"/>
        <v/>
      </c>
      <c r="MS43" s="1773" t="str">
        <f t="shared" si="336"/>
        <v/>
      </c>
      <c r="MT43" s="1773" t="str">
        <f t="shared" si="337"/>
        <v/>
      </c>
      <c r="MU43" s="251" t="str">
        <f t="shared" si="338"/>
        <v/>
      </c>
      <c r="MV43" s="251" t="str">
        <f t="shared" si="339"/>
        <v/>
      </c>
      <c r="MW43" s="251" t="str">
        <f t="shared" si="340"/>
        <v/>
      </c>
      <c r="MX43" s="251" t="str">
        <f t="shared" si="341"/>
        <v/>
      </c>
      <c r="MY43" s="251" t="str">
        <f t="shared" si="342"/>
        <v/>
      </c>
      <c r="MZ43" s="251" t="str">
        <f t="shared" si="343"/>
        <v/>
      </c>
      <c r="NA43" s="251" t="str">
        <f t="shared" si="344"/>
        <v/>
      </c>
      <c r="NB43" s="251" t="str">
        <f t="shared" si="345"/>
        <v/>
      </c>
      <c r="NC43" s="251" t="str">
        <f t="shared" si="346"/>
        <v/>
      </c>
      <c r="ND43" s="251" t="str">
        <f t="shared" si="347"/>
        <v/>
      </c>
      <c r="NE43" s="251" t="str">
        <f t="shared" si="348"/>
        <v/>
      </c>
      <c r="NF43" s="251" t="str">
        <f t="shared" si="349"/>
        <v/>
      </c>
      <c r="NG43" s="251" t="str">
        <f t="shared" si="350"/>
        <v/>
      </c>
      <c r="NH43" s="251" t="str">
        <f t="shared" si="351"/>
        <v/>
      </c>
      <c r="NI43" s="251" t="str">
        <f t="shared" si="352"/>
        <v/>
      </c>
      <c r="NJ43" s="251" t="str">
        <f t="shared" si="353"/>
        <v/>
      </c>
      <c r="NK43" s="251" t="str">
        <f t="shared" si="354"/>
        <v/>
      </c>
      <c r="NL43" s="251" t="str">
        <f t="shared" si="355"/>
        <v/>
      </c>
      <c r="NM43" s="251" t="str">
        <f t="shared" si="356"/>
        <v/>
      </c>
      <c r="NN43" s="251" t="str">
        <f t="shared" si="357"/>
        <v/>
      </c>
      <c r="NO43" s="1185">
        <f t="shared" si="358"/>
        <v>0</v>
      </c>
      <c r="NP43" s="1185">
        <f t="shared" si="359"/>
        <v>0</v>
      </c>
      <c r="NQ43" s="1185">
        <f t="shared" si="360"/>
        <v>0</v>
      </c>
      <c r="NR43" s="1185">
        <f t="shared" si="361"/>
        <v>0</v>
      </c>
      <c r="NS43" s="1185">
        <f t="shared" si="362"/>
        <v>0</v>
      </c>
      <c r="NT43" s="1185">
        <f t="shared" si="368"/>
        <v>0</v>
      </c>
      <c r="NU43" s="1185">
        <f t="shared" si="369"/>
        <v>0</v>
      </c>
      <c r="NV43" s="1185">
        <f t="shared" si="370"/>
        <v>0</v>
      </c>
      <c r="NW43" s="1185">
        <f t="shared" si="371"/>
        <v>0</v>
      </c>
      <c r="NX43" s="1185">
        <f t="shared" si="372"/>
        <v>0</v>
      </c>
      <c r="NY43" s="1185">
        <f t="shared" si="363"/>
        <v>0</v>
      </c>
      <c r="NZ43" s="1185">
        <f t="shared" si="364"/>
        <v>0</v>
      </c>
      <c r="OA43" s="1185">
        <f t="shared" si="365"/>
        <v>0</v>
      </c>
      <c r="OB43" s="1185">
        <f t="shared" si="366"/>
        <v>0</v>
      </c>
      <c r="OC43" s="1185">
        <f t="shared" si="367"/>
        <v>0</v>
      </c>
      <c r="OY43" s="1794" t="s">
        <v>1191</v>
      </c>
      <c r="OZ43" s="1799">
        <v>43</v>
      </c>
    </row>
    <row r="44" spans="1:416" ht="12" customHeight="1">
      <c r="A44" s="53" t="str">
        <f t="shared" si="0"/>
        <v/>
      </c>
      <c r="B44" s="782"/>
      <c r="C44" s="85"/>
      <c r="D44" s="1187"/>
      <c r="E44" s="86"/>
      <c r="F44" s="86"/>
      <c r="G44" s="86"/>
      <c r="H44" s="86"/>
      <c r="I44" s="86"/>
      <c r="J44" s="765">
        <f>IF(C44="",0,HLOOKUP(C44,'Part IV-Utility Allowances'!$I$11:$M$25,15))</f>
        <v>0</v>
      </c>
      <c r="K44" s="473"/>
      <c r="L44" s="330">
        <f t="shared" si="1"/>
        <v>0</v>
      </c>
      <c r="M44" s="330">
        <f t="shared" si="2"/>
        <v>0</v>
      </c>
      <c r="N44" s="506"/>
      <c r="O44" s="1134"/>
      <c r="P44" s="506"/>
      <c r="Q44" s="87"/>
      <c r="R44" s="540"/>
      <c r="S44" s="541"/>
      <c r="T44" s="3758"/>
      <c r="U44" s="3759"/>
      <c r="V44" s="3759"/>
      <c r="W44" s="3760"/>
      <c r="X44" s="251" t="str">
        <f t="shared" si="3"/>
        <v/>
      </c>
      <c r="Y44" s="251" t="str">
        <f t="shared" si="4"/>
        <v/>
      </c>
      <c r="Z44" s="251" t="str">
        <f t="shared" si="5"/>
        <v/>
      </c>
      <c r="AA44" s="251" t="str">
        <f t="shared" si="6"/>
        <v/>
      </c>
      <c r="AB44" s="251" t="str">
        <f t="shared" si="7"/>
        <v/>
      </c>
      <c r="AC44" s="251" t="str">
        <f t="shared" si="8"/>
        <v/>
      </c>
      <c r="AD44" s="251" t="str">
        <f t="shared" si="9"/>
        <v/>
      </c>
      <c r="AE44" s="251" t="str">
        <f t="shared" si="10"/>
        <v/>
      </c>
      <c r="AF44" s="251" t="str">
        <f t="shared" si="11"/>
        <v/>
      </c>
      <c r="AG44" s="251" t="str">
        <f t="shared" si="12"/>
        <v/>
      </c>
      <c r="AH44" s="251" t="str">
        <f t="shared" si="13"/>
        <v/>
      </c>
      <c r="AI44" s="251" t="str">
        <f t="shared" si="14"/>
        <v/>
      </c>
      <c r="AJ44" s="251" t="str">
        <f t="shared" si="15"/>
        <v/>
      </c>
      <c r="AK44" s="251" t="str">
        <f t="shared" si="16"/>
        <v/>
      </c>
      <c r="AL44" s="251" t="str">
        <f t="shared" si="17"/>
        <v/>
      </c>
      <c r="AM44" s="251" t="str">
        <f t="shared" si="18"/>
        <v/>
      </c>
      <c r="AN44" s="251" t="str">
        <f t="shared" si="19"/>
        <v/>
      </c>
      <c r="AO44" s="251" t="str">
        <f t="shared" si="20"/>
        <v/>
      </c>
      <c r="AP44" s="251" t="str">
        <f t="shared" si="21"/>
        <v/>
      </c>
      <c r="AQ44" s="251" t="str">
        <f t="shared" si="22"/>
        <v/>
      </c>
      <c r="AR44" s="251" t="str">
        <f t="shared" si="23"/>
        <v/>
      </c>
      <c r="AS44" s="251" t="str">
        <f t="shared" si="24"/>
        <v/>
      </c>
      <c r="AT44" s="251" t="str">
        <f t="shared" si="25"/>
        <v/>
      </c>
      <c r="AU44" s="251" t="str">
        <f t="shared" si="26"/>
        <v/>
      </c>
      <c r="AV44" s="251" t="str">
        <f t="shared" si="27"/>
        <v/>
      </c>
      <c r="AW44" s="251" t="str">
        <f t="shared" si="28"/>
        <v/>
      </c>
      <c r="AX44" s="251" t="str">
        <f t="shared" si="29"/>
        <v/>
      </c>
      <c r="AY44" s="251" t="str">
        <f t="shared" si="30"/>
        <v/>
      </c>
      <c r="AZ44" s="251" t="str">
        <f t="shared" si="31"/>
        <v/>
      </c>
      <c r="BA44" s="251" t="str">
        <f t="shared" si="32"/>
        <v/>
      </c>
      <c r="BB44" s="251" t="str">
        <f t="shared" si="33"/>
        <v/>
      </c>
      <c r="BC44" s="251" t="str">
        <f t="shared" si="34"/>
        <v/>
      </c>
      <c r="BD44" s="251" t="str">
        <f t="shared" si="35"/>
        <v/>
      </c>
      <c r="BE44" s="251" t="str">
        <f t="shared" si="36"/>
        <v/>
      </c>
      <c r="BF44" s="251" t="str">
        <f t="shared" si="37"/>
        <v/>
      </c>
      <c r="BG44" s="251" t="str">
        <f t="shared" si="38"/>
        <v/>
      </c>
      <c r="BH44" s="251" t="str">
        <f t="shared" si="39"/>
        <v/>
      </c>
      <c r="BI44" s="251" t="str">
        <f t="shared" si="40"/>
        <v/>
      </c>
      <c r="BJ44" s="251" t="str">
        <f t="shared" si="41"/>
        <v/>
      </c>
      <c r="BK44" s="251" t="str">
        <f t="shared" si="42"/>
        <v/>
      </c>
      <c r="BL44" s="251" t="str">
        <f t="shared" si="43"/>
        <v/>
      </c>
      <c r="BM44" s="251" t="str">
        <f t="shared" si="44"/>
        <v/>
      </c>
      <c r="BN44" s="251" t="str">
        <f t="shared" si="45"/>
        <v/>
      </c>
      <c r="BO44" s="251" t="str">
        <f t="shared" si="46"/>
        <v/>
      </c>
      <c r="BP44" s="251" t="str">
        <f t="shared" si="47"/>
        <v/>
      </c>
      <c r="BQ44" s="251" t="str">
        <f t="shared" si="48"/>
        <v/>
      </c>
      <c r="BR44" s="251" t="str">
        <f t="shared" si="49"/>
        <v/>
      </c>
      <c r="BS44" s="251" t="str">
        <f t="shared" si="50"/>
        <v/>
      </c>
      <c r="BT44" s="251" t="str">
        <f t="shared" si="51"/>
        <v/>
      </c>
      <c r="BU44" s="251" t="str">
        <f t="shared" si="52"/>
        <v/>
      </c>
      <c r="BV44" s="251" t="str">
        <f t="shared" si="53"/>
        <v/>
      </c>
      <c r="BW44" s="251" t="str">
        <f t="shared" si="54"/>
        <v/>
      </c>
      <c r="BX44" s="251" t="str">
        <f t="shared" si="55"/>
        <v/>
      </c>
      <c r="BY44" s="251" t="str">
        <f t="shared" si="56"/>
        <v/>
      </c>
      <c r="BZ44" s="251" t="str">
        <f t="shared" si="57"/>
        <v/>
      </c>
      <c r="CA44" s="251" t="str">
        <f t="shared" si="58"/>
        <v/>
      </c>
      <c r="CB44" s="251" t="str">
        <f t="shared" si="59"/>
        <v/>
      </c>
      <c r="CC44" s="251" t="str">
        <f t="shared" si="60"/>
        <v/>
      </c>
      <c r="CD44" s="251" t="str">
        <f t="shared" si="61"/>
        <v/>
      </c>
      <c r="CE44" s="251" t="str">
        <f t="shared" si="62"/>
        <v/>
      </c>
      <c r="CF44" s="251" t="str">
        <f t="shared" si="63"/>
        <v/>
      </c>
      <c r="CG44" s="251" t="str">
        <f t="shared" si="64"/>
        <v/>
      </c>
      <c r="CH44" s="251" t="str">
        <f t="shared" si="65"/>
        <v/>
      </c>
      <c r="CI44" s="251" t="str">
        <f t="shared" si="66"/>
        <v/>
      </c>
      <c r="CJ44" s="251" t="str">
        <f t="shared" si="67"/>
        <v/>
      </c>
      <c r="CK44" s="251" t="str">
        <f t="shared" si="68"/>
        <v/>
      </c>
      <c r="CL44" s="251" t="str">
        <f t="shared" si="69"/>
        <v/>
      </c>
      <c r="CM44" s="251" t="str">
        <f t="shared" si="70"/>
        <v/>
      </c>
      <c r="CN44" s="251" t="str">
        <f t="shared" si="71"/>
        <v/>
      </c>
      <c r="CO44" s="251" t="str">
        <f t="shared" si="72"/>
        <v/>
      </c>
      <c r="CP44" s="251" t="str">
        <f t="shared" si="73"/>
        <v/>
      </c>
      <c r="CQ44" s="251" t="str">
        <f t="shared" si="74"/>
        <v/>
      </c>
      <c r="CR44" s="251" t="str">
        <f t="shared" si="75"/>
        <v/>
      </c>
      <c r="CS44" s="251" t="str">
        <f t="shared" si="76"/>
        <v/>
      </c>
      <c r="CT44" s="251" t="str">
        <f t="shared" si="77"/>
        <v/>
      </c>
      <c r="CU44" s="251" t="str">
        <f t="shared" si="78"/>
        <v/>
      </c>
      <c r="CV44" s="251" t="str">
        <f t="shared" si="79"/>
        <v/>
      </c>
      <c r="CW44" s="251" t="str">
        <f t="shared" si="80"/>
        <v/>
      </c>
      <c r="CX44" s="251" t="str">
        <f t="shared" si="81"/>
        <v/>
      </c>
      <c r="CY44" s="251" t="str">
        <f t="shared" si="82"/>
        <v/>
      </c>
      <c r="CZ44" s="251" t="str">
        <f t="shared" si="83"/>
        <v/>
      </c>
      <c r="DA44" s="251" t="str">
        <f t="shared" si="84"/>
        <v/>
      </c>
      <c r="DB44" s="251" t="str">
        <f t="shared" si="85"/>
        <v/>
      </c>
      <c r="DC44" s="251" t="str">
        <f t="shared" si="86"/>
        <v/>
      </c>
      <c r="DD44" s="251" t="str">
        <f t="shared" si="87"/>
        <v/>
      </c>
      <c r="DE44" s="251" t="str">
        <f t="shared" si="88"/>
        <v/>
      </c>
      <c r="DF44" s="251" t="str">
        <f t="shared" si="89"/>
        <v/>
      </c>
      <c r="DG44" s="251" t="str">
        <f t="shared" si="90"/>
        <v/>
      </c>
      <c r="DH44" s="251" t="str">
        <f t="shared" si="91"/>
        <v/>
      </c>
      <c r="DI44" s="251" t="str">
        <f t="shared" si="92"/>
        <v/>
      </c>
      <c r="DJ44" s="251" t="str">
        <f t="shared" si="93"/>
        <v/>
      </c>
      <c r="DK44" s="251" t="str">
        <f t="shared" si="94"/>
        <v/>
      </c>
      <c r="DL44" s="251" t="str">
        <f t="shared" si="95"/>
        <v/>
      </c>
      <c r="DM44" s="251" t="str">
        <f t="shared" si="96"/>
        <v/>
      </c>
      <c r="DN44" s="251" t="str">
        <f t="shared" si="97"/>
        <v/>
      </c>
      <c r="DO44" s="251" t="str">
        <f t="shared" si="98"/>
        <v/>
      </c>
      <c r="DP44" s="251" t="str">
        <f t="shared" si="99"/>
        <v/>
      </c>
      <c r="DQ44" s="251" t="str">
        <f t="shared" si="100"/>
        <v/>
      </c>
      <c r="DR44" s="251" t="str">
        <f t="shared" si="101"/>
        <v/>
      </c>
      <c r="DS44" s="251" t="str">
        <f t="shared" si="102"/>
        <v/>
      </c>
      <c r="DT44" s="251" t="str">
        <f t="shared" si="103"/>
        <v/>
      </c>
      <c r="DU44" s="251" t="str">
        <f t="shared" si="104"/>
        <v/>
      </c>
      <c r="DV44" s="251" t="str">
        <f t="shared" si="105"/>
        <v/>
      </c>
      <c r="DW44" s="251" t="str">
        <f t="shared" si="106"/>
        <v/>
      </c>
      <c r="DX44" s="251" t="str">
        <f t="shared" si="107"/>
        <v/>
      </c>
      <c r="DY44" s="251" t="str">
        <f t="shared" si="108"/>
        <v/>
      </c>
      <c r="DZ44" s="251" t="str">
        <f t="shared" si="109"/>
        <v/>
      </c>
      <c r="EA44" s="251" t="str">
        <f t="shared" si="110"/>
        <v/>
      </c>
      <c r="EB44" s="251" t="str">
        <f t="shared" si="111"/>
        <v/>
      </c>
      <c r="EC44" s="251" t="str">
        <f t="shared" si="112"/>
        <v/>
      </c>
      <c r="ED44" s="251" t="str">
        <f t="shared" si="113"/>
        <v/>
      </c>
      <c r="EE44" s="251" t="str">
        <f t="shared" si="114"/>
        <v/>
      </c>
      <c r="EF44" s="251" t="str">
        <f t="shared" si="115"/>
        <v/>
      </c>
      <c r="EG44" s="251" t="str">
        <f t="shared" si="116"/>
        <v/>
      </c>
      <c r="EH44" s="251" t="str">
        <f t="shared" si="117"/>
        <v/>
      </c>
      <c r="EI44" s="251" t="str">
        <f t="shared" si="118"/>
        <v/>
      </c>
      <c r="EJ44" s="251" t="str">
        <f t="shared" si="119"/>
        <v/>
      </c>
      <c r="EK44" s="251" t="str">
        <f t="shared" si="120"/>
        <v/>
      </c>
      <c r="EL44" s="251" t="str">
        <f t="shared" si="121"/>
        <v/>
      </c>
      <c r="EM44" s="251" t="str">
        <f t="shared" si="122"/>
        <v/>
      </c>
      <c r="EN44" s="251" t="str">
        <f t="shared" si="123"/>
        <v/>
      </c>
      <c r="EO44" s="251" t="str">
        <f t="shared" si="124"/>
        <v/>
      </c>
      <c r="EP44" s="251" t="str">
        <f t="shared" si="125"/>
        <v/>
      </c>
      <c r="EQ44" s="251" t="str">
        <f t="shared" si="126"/>
        <v/>
      </c>
      <c r="ER44" s="251" t="str">
        <f t="shared" si="127"/>
        <v/>
      </c>
      <c r="ES44" s="251" t="str">
        <f t="shared" si="128"/>
        <v/>
      </c>
      <c r="ET44" s="251" t="str">
        <f t="shared" si="129"/>
        <v/>
      </c>
      <c r="EU44" s="251" t="str">
        <f t="shared" si="130"/>
        <v/>
      </c>
      <c r="EV44" s="251" t="str">
        <f t="shared" si="131"/>
        <v/>
      </c>
      <c r="EW44" s="251" t="str">
        <f t="shared" si="132"/>
        <v/>
      </c>
      <c r="EX44" s="251" t="str">
        <f t="shared" si="133"/>
        <v/>
      </c>
      <c r="EY44" s="251" t="str">
        <f t="shared" si="134"/>
        <v/>
      </c>
      <c r="EZ44" s="251" t="str">
        <f t="shared" si="135"/>
        <v/>
      </c>
      <c r="FA44" s="251" t="str">
        <f t="shared" si="136"/>
        <v/>
      </c>
      <c r="FB44" s="251" t="str">
        <f t="shared" si="137"/>
        <v/>
      </c>
      <c r="FC44" s="251" t="str">
        <f t="shared" si="138"/>
        <v/>
      </c>
      <c r="FD44" s="251" t="str">
        <f t="shared" si="139"/>
        <v/>
      </c>
      <c r="FE44" s="251" t="str">
        <f t="shared" si="140"/>
        <v/>
      </c>
      <c r="FF44" s="251" t="str">
        <f t="shared" si="141"/>
        <v/>
      </c>
      <c r="FG44" s="251" t="str">
        <f t="shared" si="142"/>
        <v/>
      </c>
      <c r="FH44" s="251" t="str">
        <f t="shared" si="143"/>
        <v/>
      </c>
      <c r="FI44" s="251" t="str">
        <f t="shared" si="144"/>
        <v/>
      </c>
      <c r="FJ44" s="251" t="str">
        <f t="shared" si="145"/>
        <v/>
      </c>
      <c r="FK44" s="251" t="str">
        <f t="shared" si="146"/>
        <v/>
      </c>
      <c r="FL44" s="251" t="str">
        <f t="shared" si="147"/>
        <v/>
      </c>
      <c r="FM44" s="251" t="str">
        <f t="shared" si="148"/>
        <v/>
      </c>
      <c r="FN44" s="251" t="str">
        <f t="shared" si="149"/>
        <v/>
      </c>
      <c r="FO44" s="251" t="str">
        <f t="shared" si="150"/>
        <v/>
      </c>
      <c r="FP44" s="251" t="str">
        <f t="shared" si="151"/>
        <v/>
      </c>
      <c r="FQ44" s="251" t="str">
        <f t="shared" si="152"/>
        <v/>
      </c>
      <c r="FR44" s="251" t="str">
        <f t="shared" si="153"/>
        <v/>
      </c>
      <c r="FS44" s="251" t="str">
        <f t="shared" si="154"/>
        <v/>
      </c>
      <c r="FT44" s="251" t="str">
        <f t="shared" si="155"/>
        <v/>
      </c>
      <c r="FU44" s="251" t="str">
        <f t="shared" si="156"/>
        <v/>
      </c>
      <c r="FV44" s="251" t="str">
        <f t="shared" si="157"/>
        <v/>
      </c>
      <c r="FW44" s="251" t="str">
        <f t="shared" si="158"/>
        <v/>
      </c>
      <c r="FX44" s="251" t="str">
        <f t="shared" si="159"/>
        <v/>
      </c>
      <c r="FY44" s="251" t="str">
        <f t="shared" si="160"/>
        <v/>
      </c>
      <c r="FZ44" s="251" t="str">
        <f t="shared" si="161"/>
        <v/>
      </c>
      <c r="GA44" s="251" t="str">
        <f t="shared" si="162"/>
        <v/>
      </c>
      <c r="GB44" s="251" t="str">
        <f t="shared" si="163"/>
        <v/>
      </c>
      <c r="GC44" s="251" t="str">
        <f t="shared" si="164"/>
        <v/>
      </c>
      <c r="GD44" s="251" t="str">
        <f t="shared" si="165"/>
        <v/>
      </c>
      <c r="GE44" s="251" t="str">
        <f t="shared" si="166"/>
        <v/>
      </c>
      <c r="GF44" s="251" t="str">
        <f t="shared" si="167"/>
        <v/>
      </c>
      <c r="GG44" s="251" t="str">
        <f t="shared" si="168"/>
        <v/>
      </c>
      <c r="GH44" s="251" t="str">
        <f t="shared" si="169"/>
        <v/>
      </c>
      <c r="GI44" s="251" t="str">
        <f t="shared" si="170"/>
        <v/>
      </c>
      <c r="GJ44" s="251" t="str">
        <f t="shared" si="171"/>
        <v/>
      </c>
      <c r="GK44" s="251" t="str">
        <f t="shared" si="172"/>
        <v/>
      </c>
      <c r="GL44" s="251" t="str">
        <f t="shared" si="173"/>
        <v/>
      </c>
      <c r="GM44" s="251" t="str">
        <f t="shared" si="174"/>
        <v/>
      </c>
      <c r="GN44" s="251" t="str">
        <f t="shared" si="175"/>
        <v/>
      </c>
      <c r="GO44" s="251" t="str">
        <f t="shared" si="176"/>
        <v/>
      </c>
      <c r="GP44" s="251" t="str">
        <f t="shared" si="177"/>
        <v/>
      </c>
      <c r="GQ44" s="251" t="str">
        <f t="shared" si="178"/>
        <v/>
      </c>
      <c r="GR44" s="251" t="str">
        <f t="shared" si="179"/>
        <v/>
      </c>
      <c r="GS44" s="251" t="str">
        <f t="shared" si="180"/>
        <v/>
      </c>
      <c r="GT44" s="251" t="str">
        <f t="shared" si="181"/>
        <v/>
      </c>
      <c r="GU44" s="251" t="str">
        <f t="shared" si="182"/>
        <v/>
      </c>
      <c r="GV44" s="251" t="str">
        <f t="shared" si="183"/>
        <v/>
      </c>
      <c r="GW44" s="251" t="str">
        <f t="shared" si="184"/>
        <v/>
      </c>
      <c r="GX44" s="251" t="str">
        <f t="shared" si="185"/>
        <v/>
      </c>
      <c r="GY44" s="251" t="str">
        <f t="shared" si="186"/>
        <v/>
      </c>
      <c r="GZ44" s="251" t="str">
        <f t="shared" si="187"/>
        <v/>
      </c>
      <c r="HA44" s="251" t="str">
        <f t="shared" si="188"/>
        <v/>
      </c>
      <c r="HB44" s="251" t="str">
        <f t="shared" si="189"/>
        <v/>
      </c>
      <c r="HC44" s="251" t="str">
        <f t="shared" si="190"/>
        <v/>
      </c>
      <c r="HD44" s="251" t="str">
        <f t="shared" si="191"/>
        <v/>
      </c>
      <c r="HE44" s="251" t="str">
        <f t="shared" si="192"/>
        <v/>
      </c>
      <c r="HF44" s="251" t="str">
        <f t="shared" si="193"/>
        <v/>
      </c>
      <c r="HG44" s="251" t="str">
        <f t="shared" si="194"/>
        <v/>
      </c>
      <c r="HH44" s="251" t="str">
        <f t="shared" si="195"/>
        <v/>
      </c>
      <c r="HI44" s="251" t="str">
        <f t="shared" si="196"/>
        <v/>
      </c>
      <c r="HJ44" s="251" t="str">
        <f t="shared" si="197"/>
        <v/>
      </c>
      <c r="HK44" s="251" t="str">
        <f t="shared" si="198"/>
        <v/>
      </c>
      <c r="HL44" s="251" t="str">
        <f t="shared" si="199"/>
        <v/>
      </c>
      <c r="HM44" s="251" t="str">
        <f t="shared" si="200"/>
        <v/>
      </c>
      <c r="HN44" s="251" t="str">
        <f t="shared" si="201"/>
        <v/>
      </c>
      <c r="HO44" s="251" t="str">
        <f t="shared" si="202"/>
        <v/>
      </c>
      <c r="HP44" s="251" t="str">
        <f t="shared" si="203"/>
        <v/>
      </c>
      <c r="HQ44" s="251" t="str">
        <f t="shared" si="204"/>
        <v/>
      </c>
      <c r="HR44" s="251" t="str">
        <f t="shared" si="205"/>
        <v/>
      </c>
      <c r="HS44" s="251" t="str">
        <f t="shared" si="206"/>
        <v/>
      </c>
      <c r="HT44" s="251" t="str">
        <f t="shared" si="207"/>
        <v/>
      </c>
      <c r="HU44" s="251" t="str">
        <f t="shared" si="208"/>
        <v/>
      </c>
      <c r="HV44" s="251" t="str">
        <f t="shared" si="209"/>
        <v/>
      </c>
      <c r="HW44" s="251" t="str">
        <f t="shared" si="210"/>
        <v/>
      </c>
      <c r="HX44" s="251" t="str">
        <f t="shared" si="211"/>
        <v/>
      </c>
      <c r="HY44" s="251" t="str">
        <f t="shared" si="212"/>
        <v/>
      </c>
      <c r="HZ44" s="251" t="str">
        <f t="shared" si="213"/>
        <v/>
      </c>
      <c r="IA44" s="251" t="str">
        <f t="shared" si="214"/>
        <v/>
      </c>
      <c r="IB44" s="251" t="str">
        <f t="shared" si="215"/>
        <v/>
      </c>
      <c r="IC44" s="251" t="str">
        <f t="shared" si="216"/>
        <v/>
      </c>
      <c r="ID44" s="251" t="str">
        <f t="shared" si="217"/>
        <v/>
      </c>
      <c r="IE44" s="251" t="str">
        <f t="shared" si="218"/>
        <v/>
      </c>
      <c r="IF44" s="251" t="str">
        <f t="shared" si="219"/>
        <v/>
      </c>
      <c r="IG44" s="251" t="str">
        <f t="shared" si="220"/>
        <v/>
      </c>
      <c r="IH44" s="251" t="str">
        <f t="shared" si="221"/>
        <v/>
      </c>
      <c r="II44" s="251" t="str">
        <f t="shared" si="222"/>
        <v/>
      </c>
      <c r="IJ44" s="251" t="str">
        <f t="shared" si="223"/>
        <v/>
      </c>
      <c r="IK44" s="251" t="str">
        <f t="shared" si="224"/>
        <v/>
      </c>
      <c r="IL44" s="251" t="str">
        <f t="shared" si="225"/>
        <v/>
      </c>
      <c r="IM44" s="251" t="str">
        <f t="shared" si="226"/>
        <v/>
      </c>
      <c r="IN44" s="251" t="str">
        <f t="shared" si="227"/>
        <v/>
      </c>
      <c r="IO44" s="251" t="str">
        <f t="shared" si="228"/>
        <v/>
      </c>
      <c r="IP44" s="251" t="str">
        <f t="shared" si="229"/>
        <v/>
      </c>
      <c r="IQ44" s="251" t="str">
        <f t="shared" si="230"/>
        <v/>
      </c>
      <c r="IR44" s="251" t="str">
        <f t="shared" si="231"/>
        <v/>
      </c>
      <c r="IS44" s="251" t="str">
        <f t="shared" si="232"/>
        <v/>
      </c>
      <c r="IT44" s="251" t="str">
        <f t="shared" si="233"/>
        <v/>
      </c>
      <c r="IU44" s="251" t="str">
        <f t="shared" si="234"/>
        <v/>
      </c>
      <c r="IV44" s="251" t="str">
        <f t="shared" si="235"/>
        <v/>
      </c>
      <c r="IW44" s="251" t="str">
        <f t="shared" si="236"/>
        <v/>
      </c>
      <c r="IX44" s="251" t="str">
        <f t="shared" si="237"/>
        <v/>
      </c>
      <c r="IY44" s="251" t="str">
        <f t="shared" si="238"/>
        <v/>
      </c>
      <c r="IZ44" s="251" t="str">
        <f t="shared" si="239"/>
        <v/>
      </c>
      <c r="JA44" s="251" t="str">
        <f t="shared" si="240"/>
        <v/>
      </c>
      <c r="JB44" s="251" t="str">
        <f t="shared" si="241"/>
        <v/>
      </c>
      <c r="JC44" s="251" t="str">
        <f t="shared" si="242"/>
        <v/>
      </c>
      <c r="JD44" s="251" t="str">
        <f t="shared" si="243"/>
        <v/>
      </c>
      <c r="JE44" s="251" t="str">
        <f t="shared" si="244"/>
        <v/>
      </c>
      <c r="JF44" s="251" t="str">
        <f t="shared" si="245"/>
        <v/>
      </c>
      <c r="JG44" s="251" t="str">
        <f t="shared" si="246"/>
        <v/>
      </c>
      <c r="JH44" s="251" t="str">
        <f t="shared" si="247"/>
        <v/>
      </c>
      <c r="JI44" s="1297" t="str">
        <f t="shared" si="248"/>
        <v/>
      </c>
      <c r="JJ44" s="1297" t="str">
        <f t="shared" si="249"/>
        <v/>
      </c>
      <c r="JK44" s="1297" t="str">
        <f t="shared" si="250"/>
        <v/>
      </c>
      <c r="JL44" s="1297" t="str">
        <f t="shared" si="251"/>
        <v/>
      </c>
      <c r="JM44" s="1297" t="str">
        <f t="shared" si="252"/>
        <v/>
      </c>
      <c r="JN44" s="1297" t="str">
        <f t="shared" si="253"/>
        <v/>
      </c>
      <c r="JO44" s="1297" t="str">
        <f t="shared" si="254"/>
        <v/>
      </c>
      <c r="JP44" s="1297" t="str">
        <f t="shared" si="255"/>
        <v/>
      </c>
      <c r="JQ44" s="1297" t="str">
        <f t="shared" si="256"/>
        <v/>
      </c>
      <c r="JR44" s="1297" t="str">
        <f t="shared" si="257"/>
        <v/>
      </c>
      <c r="JS44" s="1297" t="str">
        <f t="shared" si="258"/>
        <v/>
      </c>
      <c r="JT44" s="1297" t="str">
        <f t="shared" si="259"/>
        <v/>
      </c>
      <c r="JU44" s="1297" t="str">
        <f t="shared" si="260"/>
        <v/>
      </c>
      <c r="JV44" s="1297" t="str">
        <f t="shared" si="261"/>
        <v/>
      </c>
      <c r="JW44" s="1297" t="str">
        <f t="shared" si="262"/>
        <v/>
      </c>
      <c r="JX44" s="1297" t="str">
        <f t="shared" si="263"/>
        <v/>
      </c>
      <c r="JY44" s="1297" t="str">
        <f t="shared" si="264"/>
        <v/>
      </c>
      <c r="JZ44" s="1297" t="str">
        <f t="shared" si="265"/>
        <v/>
      </c>
      <c r="KA44" s="1297" t="str">
        <f t="shared" si="266"/>
        <v/>
      </c>
      <c r="KB44" s="1297" t="str">
        <f t="shared" si="267"/>
        <v/>
      </c>
      <c r="KC44" s="1297" t="str">
        <f t="shared" si="268"/>
        <v/>
      </c>
      <c r="KD44" s="1297" t="str">
        <f t="shared" si="269"/>
        <v/>
      </c>
      <c r="KE44" s="1297" t="str">
        <f t="shared" si="270"/>
        <v/>
      </c>
      <c r="KF44" s="1297" t="str">
        <f t="shared" si="271"/>
        <v/>
      </c>
      <c r="KG44" s="1297" t="str">
        <f t="shared" si="272"/>
        <v/>
      </c>
      <c r="KH44" s="1297" t="str">
        <f t="shared" si="273"/>
        <v/>
      </c>
      <c r="KI44" s="1297" t="str">
        <f t="shared" si="274"/>
        <v/>
      </c>
      <c r="KJ44" s="1297" t="str">
        <f t="shared" si="275"/>
        <v/>
      </c>
      <c r="KK44" s="1297" t="str">
        <f t="shared" si="276"/>
        <v/>
      </c>
      <c r="KL44" s="1297" t="str">
        <f t="shared" si="277"/>
        <v/>
      </c>
      <c r="KM44" s="1297" t="str">
        <f t="shared" si="278"/>
        <v/>
      </c>
      <c r="KN44" s="1297" t="str">
        <f t="shared" si="279"/>
        <v/>
      </c>
      <c r="KO44" s="1297" t="str">
        <f t="shared" si="280"/>
        <v/>
      </c>
      <c r="KP44" s="1297" t="str">
        <f t="shared" si="281"/>
        <v/>
      </c>
      <c r="KQ44" s="1297" t="str">
        <f t="shared" si="282"/>
        <v/>
      </c>
      <c r="KR44" s="1297" t="str">
        <f t="shared" si="283"/>
        <v/>
      </c>
      <c r="KS44" s="1297" t="str">
        <f t="shared" si="284"/>
        <v/>
      </c>
      <c r="KT44" s="1297" t="str">
        <f t="shared" si="285"/>
        <v/>
      </c>
      <c r="KU44" s="1297" t="str">
        <f t="shared" si="286"/>
        <v/>
      </c>
      <c r="KV44" s="1297" t="str">
        <f t="shared" si="287"/>
        <v/>
      </c>
      <c r="KW44" s="1297" t="str">
        <f t="shared" si="288"/>
        <v/>
      </c>
      <c r="KX44" s="1297" t="str">
        <f t="shared" si="289"/>
        <v/>
      </c>
      <c r="KY44" s="1297" t="str">
        <f t="shared" si="290"/>
        <v/>
      </c>
      <c r="KZ44" s="1297" t="str">
        <f t="shared" si="291"/>
        <v/>
      </c>
      <c r="LA44" s="1297" t="str">
        <f t="shared" si="292"/>
        <v/>
      </c>
      <c r="LB44" s="1297" t="str">
        <f t="shared" si="293"/>
        <v/>
      </c>
      <c r="LC44" s="1297" t="str">
        <f t="shared" si="294"/>
        <v/>
      </c>
      <c r="LD44" s="1297" t="str">
        <f t="shared" si="295"/>
        <v/>
      </c>
      <c r="LE44" s="1297" t="str">
        <f t="shared" si="296"/>
        <v/>
      </c>
      <c r="LF44" s="1297" t="str">
        <f t="shared" si="297"/>
        <v/>
      </c>
      <c r="LG44" s="1297" t="str">
        <f t="shared" si="298"/>
        <v/>
      </c>
      <c r="LH44" s="1297" t="str">
        <f t="shared" si="299"/>
        <v/>
      </c>
      <c r="LI44" s="1297" t="str">
        <f t="shared" si="300"/>
        <v/>
      </c>
      <c r="LJ44" s="1297" t="str">
        <f t="shared" si="301"/>
        <v/>
      </c>
      <c r="LK44" s="1297" t="str">
        <f t="shared" si="302"/>
        <v/>
      </c>
      <c r="LL44" s="1297" t="str">
        <f t="shared" si="303"/>
        <v/>
      </c>
      <c r="LM44" s="1297" t="str">
        <f t="shared" si="304"/>
        <v/>
      </c>
      <c r="LN44" s="1297" t="str">
        <f t="shared" si="305"/>
        <v/>
      </c>
      <c r="LO44" s="1297" t="str">
        <f t="shared" si="306"/>
        <v/>
      </c>
      <c r="LP44" s="1297" t="str">
        <f t="shared" si="307"/>
        <v/>
      </c>
      <c r="LQ44" s="1297" t="str">
        <f t="shared" si="308"/>
        <v/>
      </c>
      <c r="LR44" s="1297" t="str">
        <f t="shared" si="309"/>
        <v/>
      </c>
      <c r="LS44" s="1297" t="str">
        <f t="shared" si="310"/>
        <v/>
      </c>
      <c r="LT44" s="1297" t="str">
        <f t="shared" si="311"/>
        <v/>
      </c>
      <c r="LU44" s="1297" t="str">
        <f t="shared" si="312"/>
        <v/>
      </c>
      <c r="LV44" s="1297" t="str">
        <f t="shared" si="313"/>
        <v/>
      </c>
      <c r="LW44" s="1297" t="str">
        <f t="shared" si="314"/>
        <v/>
      </c>
      <c r="LX44" s="1297" t="str">
        <f t="shared" si="315"/>
        <v/>
      </c>
      <c r="LY44" s="1297" t="str">
        <f t="shared" si="316"/>
        <v/>
      </c>
      <c r="LZ44" s="1297" t="str">
        <f t="shared" si="317"/>
        <v/>
      </c>
      <c r="MA44" s="1297" t="str">
        <f t="shared" si="318"/>
        <v/>
      </c>
      <c r="MB44" s="1297" t="str">
        <f t="shared" si="319"/>
        <v/>
      </c>
      <c r="MC44" s="1297" t="str">
        <f t="shared" si="320"/>
        <v/>
      </c>
      <c r="MD44" s="1297" t="str">
        <f t="shared" si="321"/>
        <v/>
      </c>
      <c r="ME44" s="1297" t="str">
        <f t="shared" si="322"/>
        <v/>
      </c>
      <c r="MF44" s="1297" t="str">
        <f t="shared" si="323"/>
        <v/>
      </c>
      <c r="MG44" s="1297" t="str">
        <f t="shared" si="324"/>
        <v/>
      </c>
      <c r="MH44" s="1297" t="str">
        <f t="shared" si="325"/>
        <v/>
      </c>
      <c r="MI44" s="1297" t="str">
        <f t="shared" si="326"/>
        <v/>
      </c>
      <c r="MJ44" s="1297" t="str">
        <f t="shared" si="327"/>
        <v/>
      </c>
      <c r="MK44" s="1297" t="str">
        <f t="shared" si="328"/>
        <v/>
      </c>
      <c r="ML44" s="1297" t="str">
        <f t="shared" si="329"/>
        <v/>
      </c>
      <c r="MM44" s="1297" t="str">
        <f t="shared" si="330"/>
        <v/>
      </c>
      <c r="MN44" s="1297" t="str">
        <f t="shared" si="331"/>
        <v/>
      </c>
      <c r="MO44" s="1297" t="str">
        <f t="shared" si="332"/>
        <v/>
      </c>
      <c r="MP44" s="1773" t="str">
        <f t="shared" si="333"/>
        <v/>
      </c>
      <c r="MQ44" s="1773" t="str">
        <f t="shared" si="334"/>
        <v/>
      </c>
      <c r="MR44" s="1773" t="str">
        <f t="shared" si="335"/>
        <v/>
      </c>
      <c r="MS44" s="1773" t="str">
        <f t="shared" si="336"/>
        <v/>
      </c>
      <c r="MT44" s="1773" t="str">
        <f t="shared" si="337"/>
        <v/>
      </c>
      <c r="MU44" s="251" t="str">
        <f t="shared" si="338"/>
        <v/>
      </c>
      <c r="MV44" s="251" t="str">
        <f t="shared" si="339"/>
        <v/>
      </c>
      <c r="MW44" s="251" t="str">
        <f t="shared" si="340"/>
        <v/>
      </c>
      <c r="MX44" s="251" t="str">
        <f t="shared" si="341"/>
        <v/>
      </c>
      <c r="MY44" s="251" t="str">
        <f t="shared" si="342"/>
        <v/>
      </c>
      <c r="MZ44" s="251" t="str">
        <f t="shared" si="343"/>
        <v/>
      </c>
      <c r="NA44" s="251" t="str">
        <f t="shared" si="344"/>
        <v/>
      </c>
      <c r="NB44" s="251" t="str">
        <f t="shared" si="345"/>
        <v/>
      </c>
      <c r="NC44" s="251" t="str">
        <f t="shared" si="346"/>
        <v/>
      </c>
      <c r="ND44" s="251" t="str">
        <f t="shared" si="347"/>
        <v/>
      </c>
      <c r="NE44" s="251" t="str">
        <f t="shared" si="348"/>
        <v/>
      </c>
      <c r="NF44" s="251" t="str">
        <f t="shared" si="349"/>
        <v/>
      </c>
      <c r="NG44" s="251" t="str">
        <f t="shared" si="350"/>
        <v/>
      </c>
      <c r="NH44" s="251" t="str">
        <f t="shared" si="351"/>
        <v/>
      </c>
      <c r="NI44" s="251" t="str">
        <f t="shared" si="352"/>
        <v/>
      </c>
      <c r="NJ44" s="251" t="str">
        <f t="shared" si="353"/>
        <v/>
      </c>
      <c r="NK44" s="251" t="str">
        <f t="shared" si="354"/>
        <v/>
      </c>
      <c r="NL44" s="251" t="str">
        <f t="shared" si="355"/>
        <v/>
      </c>
      <c r="NM44" s="251" t="str">
        <f t="shared" si="356"/>
        <v/>
      </c>
      <c r="NN44" s="251" t="str">
        <f t="shared" si="357"/>
        <v/>
      </c>
      <c r="NO44" s="1185">
        <f t="shared" si="358"/>
        <v>0</v>
      </c>
      <c r="NP44" s="1185">
        <f t="shared" si="359"/>
        <v>0</v>
      </c>
      <c r="NQ44" s="1185">
        <f t="shared" si="360"/>
        <v>0</v>
      </c>
      <c r="NR44" s="1185">
        <f t="shared" si="361"/>
        <v>0</v>
      </c>
      <c r="NS44" s="1185">
        <f t="shared" si="362"/>
        <v>0</v>
      </c>
      <c r="NT44" s="1185">
        <f t="shared" si="368"/>
        <v>0</v>
      </c>
      <c r="NU44" s="1185">
        <f t="shared" si="369"/>
        <v>0</v>
      </c>
      <c r="NV44" s="1185">
        <f t="shared" si="370"/>
        <v>0</v>
      </c>
      <c r="NW44" s="1185">
        <f t="shared" si="371"/>
        <v>0</v>
      </c>
      <c r="NX44" s="1185">
        <f t="shared" si="372"/>
        <v>0</v>
      </c>
      <c r="NY44" s="1185">
        <f t="shared" si="363"/>
        <v>0</v>
      </c>
      <c r="NZ44" s="1185">
        <f t="shared" si="364"/>
        <v>0</v>
      </c>
      <c r="OA44" s="1185">
        <f t="shared" si="365"/>
        <v>0</v>
      </c>
      <c r="OB44" s="1185">
        <f t="shared" si="366"/>
        <v>0</v>
      </c>
      <c r="OC44" s="1185">
        <f t="shared" si="367"/>
        <v>0</v>
      </c>
      <c r="OY44" s="1794" t="s">
        <v>1192</v>
      </c>
      <c r="OZ44" s="1798">
        <v>44</v>
      </c>
    </row>
    <row r="45" spans="1:416" ht="12" customHeight="1">
      <c r="A45" s="53" t="str">
        <f t="shared" si="0"/>
        <v/>
      </c>
      <c r="B45" s="782"/>
      <c r="C45" s="85"/>
      <c r="D45" s="1187"/>
      <c r="E45" s="86"/>
      <c r="F45" s="86"/>
      <c r="G45" s="86"/>
      <c r="H45" s="86"/>
      <c r="I45" s="86"/>
      <c r="J45" s="765">
        <f>IF(C45="",0,HLOOKUP(C45,'Part IV-Utility Allowances'!$I$11:$M$25,15))</f>
        <v>0</v>
      </c>
      <c r="K45" s="473"/>
      <c r="L45" s="330">
        <f t="shared" si="1"/>
        <v>0</v>
      </c>
      <c r="M45" s="330">
        <f t="shared" si="2"/>
        <v>0</v>
      </c>
      <c r="N45" s="506"/>
      <c r="O45" s="1134"/>
      <c r="P45" s="506"/>
      <c r="Q45" s="87"/>
      <c r="R45" s="540"/>
      <c r="S45" s="541"/>
      <c r="T45" s="3758"/>
      <c r="U45" s="3759"/>
      <c r="V45" s="3759"/>
      <c r="W45" s="3760"/>
      <c r="X45" s="251" t="str">
        <f t="shared" si="3"/>
        <v/>
      </c>
      <c r="Y45" s="251" t="str">
        <f t="shared" si="4"/>
        <v/>
      </c>
      <c r="Z45" s="251" t="str">
        <f t="shared" si="5"/>
        <v/>
      </c>
      <c r="AA45" s="251" t="str">
        <f t="shared" si="6"/>
        <v/>
      </c>
      <c r="AB45" s="251" t="str">
        <f t="shared" si="7"/>
        <v/>
      </c>
      <c r="AC45" s="251" t="str">
        <f t="shared" si="8"/>
        <v/>
      </c>
      <c r="AD45" s="251" t="str">
        <f t="shared" si="9"/>
        <v/>
      </c>
      <c r="AE45" s="251" t="str">
        <f t="shared" si="10"/>
        <v/>
      </c>
      <c r="AF45" s="251" t="str">
        <f t="shared" si="11"/>
        <v/>
      </c>
      <c r="AG45" s="251" t="str">
        <f t="shared" si="12"/>
        <v/>
      </c>
      <c r="AH45" s="251" t="str">
        <f t="shared" si="13"/>
        <v/>
      </c>
      <c r="AI45" s="251" t="str">
        <f t="shared" si="14"/>
        <v/>
      </c>
      <c r="AJ45" s="251" t="str">
        <f t="shared" si="15"/>
        <v/>
      </c>
      <c r="AK45" s="251" t="str">
        <f t="shared" si="16"/>
        <v/>
      </c>
      <c r="AL45" s="251" t="str">
        <f t="shared" si="17"/>
        <v/>
      </c>
      <c r="AM45" s="251" t="str">
        <f t="shared" si="18"/>
        <v/>
      </c>
      <c r="AN45" s="251" t="str">
        <f t="shared" si="19"/>
        <v/>
      </c>
      <c r="AO45" s="251" t="str">
        <f t="shared" si="20"/>
        <v/>
      </c>
      <c r="AP45" s="251" t="str">
        <f t="shared" si="21"/>
        <v/>
      </c>
      <c r="AQ45" s="251" t="str">
        <f t="shared" si="22"/>
        <v/>
      </c>
      <c r="AR45" s="251" t="str">
        <f t="shared" si="23"/>
        <v/>
      </c>
      <c r="AS45" s="251" t="str">
        <f t="shared" si="24"/>
        <v/>
      </c>
      <c r="AT45" s="251" t="str">
        <f t="shared" si="25"/>
        <v/>
      </c>
      <c r="AU45" s="251" t="str">
        <f t="shared" si="26"/>
        <v/>
      </c>
      <c r="AV45" s="251" t="str">
        <f t="shared" si="27"/>
        <v/>
      </c>
      <c r="AW45" s="251" t="str">
        <f t="shared" si="28"/>
        <v/>
      </c>
      <c r="AX45" s="251" t="str">
        <f t="shared" si="29"/>
        <v/>
      </c>
      <c r="AY45" s="251" t="str">
        <f t="shared" si="30"/>
        <v/>
      </c>
      <c r="AZ45" s="251" t="str">
        <f t="shared" si="31"/>
        <v/>
      </c>
      <c r="BA45" s="251" t="str">
        <f t="shared" si="32"/>
        <v/>
      </c>
      <c r="BB45" s="251" t="str">
        <f t="shared" si="33"/>
        <v/>
      </c>
      <c r="BC45" s="251" t="str">
        <f t="shared" si="34"/>
        <v/>
      </c>
      <c r="BD45" s="251" t="str">
        <f t="shared" si="35"/>
        <v/>
      </c>
      <c r="BE45" s="251" t="str">
        <f t="shared" si="36"/>
        <v/>
      </c>
      <c r="BF45" s="251" t="str">
        <f t="shared" si="37"/>
        <v/>
      </c>
      <c r="BG45" s="251" t="str">
        <f t="shared" si="38"/>
        <v/>
      </c>
      <c r="BH45" s="251" t="str">
        <f t="shared" si="39"/>
        <v/>
      </c>
      <c r="BI45" s="251" t="str">
        <f t="shared" si="40"/>
        <v/>
      </c>
      <c r="BJ45" s="251" t="str">
        <f t="shared" si="41"/>
        <v/>
      </c>
      <c r="BK45" s="251" t="str">
        <f t="shared" si="42"/>
        <v/>
      </c>
      <c r="BL45" s="251" t="str">
        <f t="shared" si="43"/>
        <v/>
      </c>
      <c r="BM45" s="251" t="str">
        <f t="shared" si="44"/>
        <v/>
      </c>
      <c r="BN45" s="251" t="str">
        <f t="shared" si="45"/>
        <v/>
      </c>
      <c r="BO45" s="251" t="str">
        <f t="shared" si="46"/>
        <v/>
      </c>
      <c r="BP45" s="251" t="str">
        <f t="shared" si="47"/>
        <v/>
      </c>
      <c r="BQ45" s="251" t="str">
        <f t="shared" si="48"/>
        <v/>
      </c>
      <c r="BR45" s="251" t="str">
        <f t="shared" si="49"/>
        <v/>
      </c>
      <c r="BS45" s="251" t="str">
        <f t="shared" si="50"/>
        <v/>
      </c>
      <c r="BT45" s="251" t="str">
        <f t="shared" si="51"/>
        <v/>
      </c>
      <c r="BU45" s="251" t="str">
        <f t="shared" si="52"/>
        <v/>
      </c>
      <c r="BV45" s="251" t="str">
        <f t="shared" si="53"/>
        <v/>
      </c>
      <c r="BW45" s="251" t="str">
        <f t="shared" si="54"/>
        <v/>
      </c>
      <c r="BX45" s="251" t="str">
        <f t="shared" si="55"/>
        <v/>
      </c>
      <c r="BY45" s="251" t="str">
        <f t="shared" si="56"/>
        <v/>
      </c>
      <c r="BZ45" s="251" t="str">
        <f t="shared" si="57"/>
        <v/>
      </c>
      <c r="CA45" s="251" t="str">
        <f t="shared" si="58"/>
        <v/>
      </c>
      <c r="CB45" s="251" t="str">
        <f t="shared" si="59"/>
        <v/>
      </c>
      <c r="CC45" s="251" t="str">
        <f t="shared" si="60"/>
        <v/>
      </c>
      <c r="CD45" s="251" t="str">
        <f t="shared" si="61"/>
        <v/>
      </c>
      <c r="CE45" s="251" t="str">
        <f t="shared" si="62"/>
        <v/>
      </c>
      <c r="CF45" s="251" t="str">
        <f t="shared" si="63"/>
        <v/>
      </c>
      <c r="CG45" s="251" t="str">
        <f t="shared" si="64"/>
        <v/>
      </c>
      <c r="CH45" s="251" t="str">
        <f t="shared" si="65"/>
        <v/>
      </c>
      <c r="CI45" s="251" t="str">
        <f t="shared" si="66"/>
        <v/>
      </c>
      <c r="CJ45" s="251" t="str">
        <f t="shared" si="67"/>
        <v/>
      </c>
      <c r="CK45" s="251" t="str">
        <f t="shared" si="68"/>
        <v/>
      </c>
      <c r="CL45" s="251" t="str">
        <f t="shared" si="69"/>
        <v/>
      </c>
      <c r="CM45" s="251" t="str">
        <f t="shared" si="70"/>
        <v/>
      </c>
      <c r="CN45" s="251" t="str">
        <f t="shared" si="71"/>
        <v/>
      </c>
      <c r="CO45" s="251" t="str">
        <f t="shared" si="72"/>
        <v/>
      </c>
      <c r="CP45" s="251" t="str">
        <f t="shared" si="73"/>
        <v/>
      </c>
      <c r="CQ45" s="251" t="str">
        <f t="shared" si="74"/>
        <v/>
      </c>
      <c r="CR45" s="251" t="str">
        <f t="shared" si="75"/>
        <v/>
      </c>
      <c r="CS45" s="251" t="str">
        <f t="shared" si="76"/>
        <v/>
      </c>
      <c r="CT45" s="251" t="str">
        <f t="shared" si="77"/>
        <v/>
      </c>
      <c r="CU45" s="251" t="str">
        <f t="shared" si="78"/>
        <v/>
      </c>
      <c r="CV45" s="251" t="str">
        <f t="shared" si="79"/>
        <v/>
      </c>
      <c r="CW45" s="251" t="str">
        <f t="shared" si="80"/>
        <v/>
      </c>
      <c r="CX45" s="251" t="str">
        <f t="shared" si="81"/>
        <v/>
      </c>
      <c r="CY45" s="251" t="str">
        <f t="shared" si="82"/>
        <v/>
      </c>
      <c r="CZ45" s="251" t="str">
        <f t="shared" si="83"/>
        <v/>
      </c>
      <c r="DA45" s="251" t="str">
        <f t="shared" si="84"/>
        <v/>
      </c>
      <c r="DB45" s="251" t="str">
        <f t="shared" si="85"/>
        <v/>
      </c>
      <c r="DC45" s="251" t="str">
        <f t="shared" si="86"/>
        <v/>
      </c>
      <c r="DD45" s="251" t="str">
        <f t="shared" si="87"/>
        <v/>
      </c>
      <c r="DE45" s="251" t="str">
        <f t="shared" si="88"/>
        <v/>
      </c>
      <c r="DF45" s="251" t="str">
        <f t="shared" si="89"/>
        <v/>
      </c>
      <c r="DG45" s="251" t="str">
        <f t="shared" si="90"/>
        <v/>
      </c>
      <c r="DH45" s="251" t="str">
        <f t="shared" si="91"/>
        <v/>
      </c>
      <c r="DI45" s="251" t="str">
        <f t="shared" si="92"/>
        <v/>
      </c>
      <c r="DJ45" s="251" t="str">
        <f t="shared" si="93"/>
        <v/>
      </c>
      <c r="DK45" s="251" t="str">
        <f t="shared" si="94"/>
        <v/>
      </c>
      <c r="DL45" s="251" t="str">
        <f t="shared" si="95"/>
        <v/>
      </c>
      <c r="DM45" s="251" t="str">
        <f t="shared" si="96"/>
        <v/>
      </c>
      <c r="DN45" s="251" t="str">
        <f t="shared" si="97"/>
        <v/>
      </c>
      <c r="DO45" s="251" t="str">
        <f t="shared" si="98"/>
        <v/>
      </c>
      <c r="DP45" s="251" t="str">
        <f t="shared" si="99"/>
        <v/>
      </c>
      <c r="DQ45" s="251" t="str">
        <f t="shared" si="100"/>
        <v/>
      </c>
      <c r="DR45" s="251" t="str">
        <f t="shared" si="101"/>
        <v/>
      </c>
      <c r="DS45" s="251" t="str">
        <f t="shared" si="102"/>
        <v/>
      </c>
      <c r="DT45" s="251" t="str">
        <f t="shared" si="103"/>
        <v/>
      </c>
      <c r="DU45" s="251" t="str">
        <f t="shared" si="104"/>
        <v/>
      </c>
      <c r="DV45" s="251" t="str">
        <f t="shared" si="105"/>
        <v/>
      </c>
      <c r="DW45" s="251" t="str">
        <f t="shared" si="106"/>
        <v/>
      </c>
      <c r="DX45" s="251" t="str">
        <f t="shared" si="107"/>
        <v/>
      </c>
      <c r="DY45" s="251" t="str">
        <f t="shared" si="108"/>
        <v/>
      </c>
      <c r="DZ45" s="251" t="str">
        <f t="shared" si="109"/>
        <v/>
      </c>
      <c r="EA45" s="251" t="str">
        <f t="shared" si="110"/>
        <v/>
      </c>
      <c r="EB45" s="251" t="str">
        <f t="shared" si="111"/>
        <v/>
      </c>
      <c r="EC45" s="251" t="str">
        <f t="shared" si="112"/>
        <v/>
      </c>
      <c r="ED45" s="251" t="str">
        <f t="shared" si="113"/>
        <v/>
      </c>
      <c r="EE45" s="251" t="str">
        <f t="shared" si="114"/>
        <v/>
      </c>
      <c r="EF45" s="251" t="str">
        <f t="shared" si="115"/>
        <v/>
      </c>
      <c r="EG45" s="251" t="str">
        <f t="shared" si="116"/>
        <v/>
      </c>
      <c r="EH45" s="251" t="str">
        <f t="shared" si="117"/>
        <v/>
      </c>
      <c r="EI45" s="251" t="str">
        <f t="shared" si="118"/>
        <v/>
      </c>
      <c r="EJ45" s="251" t="str">
        <f t="shared" si="119"/>
        <v/>
      </c>
      <c r="EK45" s="251" t="str">
        <f t="shared" si="120"/>
        <v/>
      </c>
      <c r="EL45" s="251" t="str">
        <f t="shared" si="121"/>
        <v/>
      </c>
      <c r="EM45" s="251" t="str">
        <f t="shared" si="122"/>
        <v/>
      </c>
      <c r="EN45" s="251" t="str">
        <f t="shared" si="123"/>
        <v/>
      </c>
      <c r="EO45" s="251" t="str">
        <f t="shared" si="124"/>
        <v/>
      </c>
      <c r="EP45" s="251" t="str">
        <f t="shared" si="125"/>
        <v/>
      </c>
      <c r="EQ45" s="251" t="str">
        <f t="shared" si="126"/>
        <v/>
      </c>
      <c r="ER45" s="251" t="str">
        <f t="shared" si="127"/>
        <v/>
      </c>
      <c r="ES45" s="251" t="str">
        <f t="shared" si="128"/>
        <v/>
      </c>
      <c r="ET45" s="251" t="str">
        <f t="shared" si="129"/>
        <v/>
      </c>
      <c r="EU45" s="251" t="str">
        <f t="shared" si="130"/>
        <v/>
      </c>
      <c r="EV45" s="251" t="str">
        <f t="shared" si="131"/>
        <v/>
      </c>
      <c r="EW45" s="251" t="str">
        <f t="shared" si="132"/>
        <v/>
      </c>
      <c r="EX45" s="251" t="str">
        <f t="shared" si="133"/>
        <v/>
      </c>
      <c r="EY45" s="251" t="str">
        <f t="shared" si="134"/>
        <v/>
      </c>
      <c r="EZ45" s="251" t="str">
        <f t="shared" si="135"/>
        <v/>
      </c>
      <c r="FA45" s="251" t="str">
        <f t="shared" si="136"/>
        <v/>
      </c>
      <c r="FB45" s="251" t="str">
        <f t="shared" si="137"/>
        <v/>
      </c>
      <c r="FC45" s="251" t="str">
        <f t="shared" si="138"/>
        <v/>
      </c>
      <c r="FD45" s="251" t="str">
        <f t="shared" si="139"/>
        <v/>
      </c>
      <c r="FE45" s="251" t="str">
        <f t="shared" si="140"/>
        <v/>
      </c>
      <c r="FF45" s="251" t="str">
        <f t="shared" si="141"/>
        <v/>
      </c>
      <c r="FG45" s="251" t="str">
        <f t="shared" si="142"/>
        <v/>
      </c>
      <c r="FH45" s="251" t="str">
        <f t="shared" si="143"/>
        <v/>
      </c>
      <c r="FI45" s="251" t="str">
        <f t="shared" si="144"/>
        <v/>
      </c>
      <c r="FJ45" s="251" t="str">
        <f t="shared" si="145"/>
        <v/>
      </c>
      <c r="FK45" s="251" t="str">
        <f t="shared" si="146"/>
        <v/>
      </c>
      <c r="FL45" s="251" t="str">
        <f t="shared" si="147"/>
        <v/>
      </c>
      <c r="FM45" s="251" t="str">
        <f t="shared" si="148"/>
        <v/>
      </c>
      <c r="FN45" s="251" t="str">
        <f t="shared" si="149"/>
        <v/>
      </c>
      <c r="FO45" s="251" t="str">
        <f t="shared" si="150"/>
        <v/>
      </c>
      <c r="FP45" s="251" t="str">
        <f t="shared" si="151"/>
        <v/>
      </c>
      <c r="FQ45" s="251" t="str">
        <f t="shared" si="152"/>
        <v/>
      </c>
      <c r="FR45" s="251" t="str">
        <f t="shared" si="153"/>
        <v/>
      </c>
      <c r="FS45" s="251" t="str">
        <f t="shared" si="154"/>
        <v/>
      </c>
      <c r="FT45" s="251" t="str">
        <f t="shared" si="155"/>
        <v/>
      </c>
      <c r="FU45" s="251" t="str">
        <f t="shared" si="156"/>
        <v/>
      </c>
      <c r="FV45" s="251" t="str">
        <f t="shared" si="157"/>
        <v/>
      </c>
      <c r="FW45" s="251" t="str">
        <f t="shared" si="158"/>
        <v/>
      </c>
      <c r="FX45" s="251" t="str">
        <f t="shared" si="159"/>
        <v/>
      </c>
      <c r="FY45" s="251" t="str">
        <f t="shared" si="160"/>
        <v/>
      </c>
      <c r="FZ45" s="251" t="str">
        <f t="shared" si="161"/>
        <v/>
      </c>
      <c r="GA45" s="251" t="str">
        <f t="shared" si="162"/>
        <v/>
      </c>
      <c r="GB45" s="251" t="str">
        <f t="shared" si="163"/>
        <v/>
      </c>
      <c r="GC45" s="251" t="str">
        <f t="shared" si="164"/>
        <v/>
      </c>
      <c r="GD45" s="251" t="str">
        <f t="shared" si="165"/>
        <v/>
      </c>
      <c r="GE45" s="251" t="str">
        <f t="shared" si="166"/>
        <v/>
      </c>
      <c r="GF45" s="251" t="str">
        <f t="shared" si="167"/>
        <v/>
      </c>
      <c r="GG45" s="251" t="str">
        <f t="shared" si="168"/>
        <v/>
      </c>
      <c r="GH45" s="251" t="str">
        <f t="shared" si="169"/>
        <v/>
      </c>
      <c r="GI45" s="251" t="str">
        <f t="shared" si="170"/>
        <v/>
      </c>
      <c r="GJ45" s="251" t="str">
        <f t="shared" si="171"/>
        <v/>
      </c>
      <c r="GK45" s="251" t="str">
        <f t="shared" si="172"/>
        <v/>
      </c>
      <c r="GL45" s="251" t="str">
        <f t="shared" si="173"/>
        <v/>
      </c>
      <c r="GM45" s="251" t="str">
        <f t="shared" si="174"/>
        <v/>
      </c>
      <c r="GN45" s="251" t="str">
        <f t="shared" si="175"/>
        <v/>
      </c>
      <c r="GO45" s="251" t="str">
        <f t="shared" si="176"/>
        <v/>
      </c>
      <c r="GP45" s="251" t="str">
        <f t="shared" si="177"/>
        <v/>
      </c>
      <c r="GQ45" s="251" t="str">
        <f t="shared" si="178"/>
        <v/>
      </c>
      <c r="GR45" s="251" t="str">
        <f t="shared" si="179"/>
        <v/>
      </c>
      <c r="GS45" s="251" t="str">
        <f t="shared" si="180"/>
        <v/>
      </c>
      <c r="GT45" s="251" t="str">
        <f t="shared" si="181"/>
        <v/>
      </c>
      <c r="GU45" s="251" t="str">
        <f t="shared" si="182"/>
        <v/>
      </c>
      <c r="GV45" s="251" t="str">
        <f t="shared" si="183"/>
        <v/>
      </c>
      <c r="GW45" s="251" t="str">
        <f t="shared" si="184"/>
        <v/>
      </c>
      <c r="GX45" s="251" t="str">
        <f t="shared" si="185"/>
        <v/>
      </c>
      <c r="GY45" s="251" t="str">
        <f t="shared" si="186"/>
        <v/>
      </c>
      <c r="GZ45" s="251" t="str">
        <f t="shared" si="187"/>
        <v/>
      </c>
      <c r="HA45" s="251" t="str">
        <f t="shared" si="188"/>
        <v/>
      </c>
      <c r="HB45" s="251" t="str">
        <f t="shared" si="189"/>
        <v/>
      </c>
      <c r="HC45" s="251" t="str">
        <f t="shared" si="190"/>
        <v/>
      </c>
      <c r="HD45" s="251" t="str">
        <f t="shared" si="191"/>
        <v/>
      </c>
      <c r="HE45" s="251" t="str">
        <f t="shared" si="192"/>
        <v/>
      </c>
      <c r="HF45" s="251" t="str">
        <f t="shared" si="193"/>
        <v/>
      </c>
      <c r="HG45" s="251" t="str">
        <f t="shared" si="194"/>
        <v/>
      </c>
      <c r="HH45" s="251" t="str">
        <f t="shared" si="195"/>
        <v/>
      </c>
      <c r="HI45" s="251" t="str">
        <f t="shared" si="196"/>
        <v/>
      </c>
      <c r="HJ45" s="251" t="str">
        <f t="shared" si="197"/>
        <v/>
      </c>
      <c r="HK45" s="251" t="str">
        <f t="shared" si="198"/>
        <v/>
      </c>
      <c r="HL45" s="251" t="str">
        <f t="shared" si="199"/>
        <v/>
      </c>
      <c r="HM45" s="251" t="str">
        <f t="shared" si="200"/>
        <v/>
      </c>
      <c r="HN45" s="251" t="str">
        <f t="shared" si="201"/>
        <v/>
      </c>
      <c r="HO45" s="251" t="str">
        <f t="shared" si="202"/>
        <v/>
      </c>
      <c r="HP45" s="251" t="str">
        <f t="shared" si="203"/>
        <v/>
      </c>
      <c r="HQ45" s="251" t="str">
        <f t="shared" si="204"/>
        <v/>
      </c>
      <c r="HR45" s="251" t="str">
        <f t="shared" si="205"/>
        <v/>
      </c>
      <c r="HS45" s="251" t="str">
        <f t="shared" si="206"/>
        <v/>
      </c>
      <c r="HT45" s="251" t="str">
        <f t="shared" si="207"/>
        <v/>
      </c>
      <c r="HU45" s="251" t="str">
        <f t="shared" si="208"/>
        <v/>
      </c>
      <c r="HV45" s="251" t="str">
        <f t="shared" si="209"/>
        <v/>
      </c>
      <c r="HW45" s="251" t="str">
        <f t="shared" si="210"/>
        <v/>
      </c>
      <c r="HX45" s="251" t="str">
        <f t="shared" si="211"/>
        <v/>
      </c>
      <c r="HY45" s="251" t="str">
        <f t="shared" si="212"/>
        <v/>
      </c>
      <c r="HZ45" s="251" t="str">
        <f t="shared" si="213"/>
        <v/>
      </c>
      <c r="IA45" s="251" t="str">
        <f t="shared" si="214"/>
        <v/>
      </c>
      <c r="IB45" s="251" t="str">
        <f t="shared" si="215"/>
        <v/>
      </c>
      <c r="IC45" s="251" t="str">
        <f t="shared" si="216"/>
        <v/>
      </c>
      <c r="ID45" s="251" t="str">
        <f t="shared" si="217"/>
        <v/>
      </c>
      <c r="IE45" s="251" t="str">
        <f t="shared" si="218"/>
        <v/>
      </c>
      <c r="IF45" s="251" t="str">
        <f t="shared" si="219"/>
        <v/>
      </c>
      <c r="IG45" s="251" t="str">
        <f t="shared" si="220"/>
        <v/>
      </c>
      <c r="IH45" s="251" t="str">
        <f t="shared" si="221"/>
        <v/>
      </c>
      <c r="II45" s="251" t="str">
        <f t="shared" si="222"/>
        <v/>
      </c>
      <c r="IJ45" s="251" t="str">
        <f t="shared" si="223"/>
        <v/>
      </c>
      <c r="IK45" s="251" t="str">
        <f t="shared" si="224"/>
        <v/>
      </c>
      <c r="IL45" s="251" t="str">
        <f t="shared" si="225"/>
        <v/>
      </c>
      <c r="IM45" s="251" t="str">
        <f t="shared" si="226"/>
        <v/>
      </c>
      <c r="IN45" s="251" t="str">
        <f t="shared" si="227"/>
        <v/>
      </c>
      <c r="IO45" s="251" t="str">
        <f t="shared" si="228"/>
        <v/>
      </c>
      <c r="IP45" s="251" t="str">
        <f t="shared" si="229"/>
        <v/>
      </c>
      <c r="IQ45" s="251" t="str">
        <f t="shared" si="230"/>
        <v/>
      </c>
      <c r="IR45" s="251" t="str">
        <f t="shared" si="231"/>
        <v/>
      </c>
      <c r="IS45" s="251" t="str">
        <f t="shared" si="232"/>
        <v/>
      </c>
      <c r="IT45" s="251" t="str">
        <f t="shared" si="233"/>
        <v/>
      </c>
      <c r="IU45" s="251" t="str">
        <f t="shared" si="234"/>
        <v/>
      </c>
      <c r="IV45" s="251" t="str">
        <f t="shared" si="235"/>
        <v/>
      </c>
      <c r="IW45" s="251" t="str">
        <f t="shared" si="236"/>
        <v/>
      </c>
      <c r="IX45" s="251" t="str">
        <f t="shared" si="237"/>
        <v/>
      </c>
      <c r="IY45" s="251" t="str">
        <f t="shared" si="238"/>
        <v/>
      </c>
      <c r="IZ45" s="251" t="str">
        <f t="shared" si="239"/>
        <v/>
      </c>
      <c r="JA45" s="251" t="str">
        <f t="shared" si="240"/>
        <v/>
      </c>
      <c r="JB45" s="251" t="str">
        <f t="shared" si="241"/>
        <v/>
      </c>
      <c r="JC45" s="251" t="str">
        <f t="shared" si="242"/>
        <v/>
      </c>
      <c r="JD45" s="251" t="str">
        <f t="shared" si="243"/>
        <v/>
      </c>
      <c r="JE45" s="251" t="str">
        <f t="shared" si="244"/>
        <v/>
      </c>
      <c r="JF45" s="251" t="str">
        <f t="shared" si="245"/>
        <v/>
      </c>
      <c r="JG45" s="251" t="str">
        <f t="shared" si="246"/>
        <v/>
      </c>
      <c r="JH45" s="251" t="str">
        <f t="shared" si="247"/>
        <v/>
      </c>
      <c r="JI45" s="1297" t="str">
        <f t="shared" si="248"/>
        <v/>
      </c>
      <c r="JJ45" s="1297" t="str">
        <f t="shared" si="249"/>
        <v/>
      </c>
      <c r="JK45" s="1297" t="str">
        <f t="shared" si="250"/>
        <v/>
      </c>
      <c r="JL45" s="1297" t="str">
        <f t="shared" si="251"/>
        <v/>
      </c>
      <c r="JM45" s="1297" t="str">
        <f t="shared" si="252"/>
        <v/>
      </c>
      <c r="JN45" s="1297" t="str">
        <f t="shared" si="253"/>
        <v/>
      </c>
      <c r="JO45" s="1297" t="str">
        <f t="shared" si="254"/>
        <v/>
      </c>
      <c r="JP45" s="1297" t="str">
        <f t="shared" si="255"/>
        <v/>
      </c>
      <c r="JQ45" s="1297" t="str">
        <f t="shared" si="256"/>
        <v/>
      </c>
      <c r="JR45" s="1297" t="str">
        <f t="shared" si="257"/>
        <v/>
      </c>
      <c r="JS45" s="1297" t="str">
        <f t="shared" si="258"/>
        <v/>
      </c>
      <c r="JT45" s="1297" t="str">
        <f t="shared" si="259"/>
        <v/>
      </c>
      <c r="JU45" s="1297" t="str">
        <f t="shared" si="260"/>
        <v/>
      </c>
      <c r="JV45" s="1297" t="str">
        <f t="shared" si="261"/>
        <v/>
      </c>
      <c r="JW45" s="1297" t="str">
        <f t="shared" si="262"/>
        <v/>
      </c>
      <c r="JX45" s="1297" t="str">
        <f t="shared" si="263"/>
        <v/>
      </c>
      <c r="JY45" s="1297" t="str">
        <f t="shared" si="264"/>
        <v/>
      </c>
      <c r="JZ45" s="1297" t="str">
        <f t="shared" si="265"/>
        <v/>
      </c>
      <c r="KA45" s="1297" t="str">
        <f t="shared" si="266"/>
        <v/>
      </c>
      <c r="KB45" s="1297" t="str">
        <f t="shared" si="267"/>
        <v/>
      </c>
      <c r="KC45" s="1297" t="str">
        <f t="shared" si="268"/>
        <v/>
      </c>
      <c r="KD45" s="1297" t="str">
        <f t="shared" si="269"/>
        <v/>
      </c>
      <c r="KE45" s="1297" t="str">
        <f t="shared" si="270"/>
        <v/>
      </c>
      <c r="KF45" s="1297" t="str">
        <f t="shared" si="271"/>
        <v/>
      </c>
      <c r="KG45" s="1297" t="str">
        <f t="shared" si="272"/>
        <v/>
      </c>
      <c r="KH45" s="1297" t="str">
        <f t="shared" si="273"/>
        <v/>
      </c>
      <c r="KI45" s="1297" t="str">
        <f t="shared" si="274"/>
        <v/>
      </c>
      <c r="KJ45" s="1297" t="str">
        <f t="shared" si="275"/>
        <v/>
      </c>
      <c r="KK45" s="1297" t="str">
        <f t="shared" si="276"/>
        <v/>
      </c>
      <c r="KL45" s="1297" t="str">
        <f t="shared" si="277"/>
        <v/>
      </c>
      <c r="KM45" s="1297" t="str">
        <f t="shared" si="278"/>
        <v/>
      </c>
      <c r="KN45" s="1297" t="str">
        <f t="shared" si="279"/>
        <v/>
      </c>
      <c r="KO45" s="1297" t="str">
        <f t="shared" si="280"/>
        <v/>
      </c>
      <c r="KP45" s="1297" t="str">
        <f t="shared" si="281"/>
        <v/>
      </c>
      <c r="KQ45" s="1297" t="str">
        <f t="shared" si="282"/>
        <v/>
      </c>
      <c r="KR45" s="1297" t="str">
        <f t="shared" si="283"/>
        <v/>
      </c>
      <c r="KS45" s="1297" t="str">
        <f t="shared" si="284"/>
        <v/>
      </c>
      <c r="KT45" s="1297" t="str">
        <f t="shared" si="285"/>
        <v/>
      </c>
      <c r="KU45" s="1297" t="str">
        <f t="shared" si="286"/>
        <v/>
      </c>
      <c r="KV45" s="1297" t="str">
        <f t="shared" si="287"/>
        <v/>
      </c>
      <c r="KW45" s="1297" t="str">
        <f t="shared" si="288"/>
        <v/>
      </c>
      <c r="KX45" s="1297" t="str">
        <f t="shared" si="289"/>
        <v/>
      </c>
      <c r="KY45" s="1297" t="str">
        <f t="shared" si="290"/>
        <v/>
      </c>
      <c r="KZ45" s="1297" t="str">
        <f t="shared" si="291"/>
        <v/>
      </c>
      <c r="LA45" s="1297" t="str">
        <f t="shared" si="292"/>
        <v/>
      </c>
      <c r="LB45" s="1297" t="str">
        <f t="shared" si="293"/>
        <v/>
      </c>
      <c r="LC45" s="1297" t="str">
        <f t="shared" si="294"/>
        <v/>
      </c>
      <c r="LD45" s="1297" t="str">
        <f t="shared" si="295"/>
        <v/>
      </c>
      <c r="LE45" s="1297" t="str">
        <f t="shared" si="296"/>
        <v/>
      </c>
      <c r="LF45" s="1297" t="str">
        <f t="shared" si="297"/>
        <v/>
      </c>
      <c r="LG45" s="1297" t="str">
        <f t="shared" si="298"/>
        <v/>
      </c>
      <c r="LH45" s="1297" t="str">
        <f t="shared" si="299"/>
        <v/>
      </c>
      <c r="LI45" s="1297" t="str">
        <f t="shared" si="300"/>
        <v/>
      </c>
      <c r="LJ45" s="1297" t="str">
        <f t="shared" si="301"/>
        <v/>
      </c>
      <c r="LK45" s="1297" t="str">
        <f t="shared" si="302"/>
        <v/>
      </c>
      <c r="LL45" s="1297" t="str">
        <f t="shared" si="303"/>
        <v/>
      </c>
      <c r="LM45" s="1297" t="str">
        <f t="shared" si="304"/>
        <v/>
      </c>
      <c r="LN45" s="1297" t="str">
        <f t="shared" si="305"/>
        <v/>
      </c>
      <c r="LO45" s="1297" t="str">
        <f t="shared" si="306"/>
        <v/>
      </c>
      <c r="LP45" s="1297" t="str">
        <f t="shared" si="307"/>
        <v/>
      </c>
      <c r="LQ45" s="1297" t="str">
        <f t="shared" si="308"/>
        <v/>
      </c>
      <c r="LR45" s="1297" t="str">
        <f t="shared" si="309"/>
        <v/>
      </c>
      <c r="LS45" s="1297" t="str">
        <f t="shared" si="310"/>
        <v/>
      </c>
      <c r="LT45" s="1297" t="str">
        <f t="shared" si="311"/>
        <v/>
      </c>
      <c r="LU45" s="1297" t="str">
        <f t="shared" si="312"/>
        <v/>
      </c>
      <c r="LV45" s="1297" t="str">
        <f t="shared" si="313"/>
        <v/>
      </c>
      <c r="LW45" s="1297" t="str">
        <f t="shared" si="314"/>
        <v/>
      </c>
      <c r="LX45" s="1297" t="str">
        <f t="shared" si="315"/>
        <v/>
      </c>
      <c r="LY45" s="1297" t="str">
        <f t="shared" si="316"/>
        <v/>
      </c>
      <c r="LZ45" s="1297" t="str">
        <f t="shared" si="317"/>
        <v/>
      </c>
      <c r="MA45" s="1297" t="str">
        <f t="shared" si="318"/>
        <v/>
      </c>
      <c r="MB45" s="1297" t="str">
        <f t="shared" si="319"/>
        <v/>
      </c>
      <c r="MC45" s="1297" t="str">
        <f t="shared" si="320"/>
        <v/>
      </c>
      <c r="MD45" s="1297" t="str">
        <f t="shared" si="321"/>
        <v/>
      </c>
      <c r="ME45" s="1297" t="str">
        <f t="shared" si="322"/>
        <v/>
      </c>
      <c r="MF45" s="1297" t="str">
        <f t="shared" si="323"/>
        <v/>
      </c>
      <c r="MG45" s="1297" t="str">
        <f t="shared" si="324"/>
        <v/>
      </c>
      <c r="MH45" s="1297" t="str">
        <f t="shared" si="325"/>
        <v/>
      </c>
      <c r="MI45" s="1297" t="str">
        <f t="shared" si="326"/>
        <v/>
      </c>
      <c r="MJ45" s="1297" t="str">
        <f t="shared" si="327"/>
        <v/>
      </c>
      <c r="MK45" s="1297" t="str">
        <f t="shared" si="328"/>
        <v/>
      </c>
      <c r="ML45" s="1297" t="str">
        <f t="shared" si="329"/>
        <v/>
      </c>
      <c r="MM45" s="1297" t="str">
        <f t="shared" si="330"/>
        <v/>
      </c>
      <c r="MN45" s="1297" t="str">
        <f t="shared" si="331"/>
        <v/>
      </c>
      <c r="MO45" s="1297" t="str">
        <f t="shared" si="332"/>
        <v/>
      </c>
      <c r="MP45" s="1773" t="str">
        <f t="shared" si="333"/>
        <v/>
      </c>
      <c r="MQ45" s="1773" t="str">
        <f t="shared" si="334"/>
        <v/>
      </c>
      <c r="MR45" s="1773" t="str">
        <f t="shared" si="335"/>
        <v/>
      </c>
      <c r="MS45" s="1773" t="str">
        <f t="shared" si="336"/>
        <v/>
      </c>
      <c r="MT45" s="1773" t="str">
        <f t="shared" si="337"/>
        <v/>
      </c>
      <c r="MU45" s="251" t="str">
        <f t="shared" si="338"/>
        <v/>
      </c>
      <c r="MV45" s="251" t="str">
        <f t="shared" si="339"/>
        <v/>
      </c>
      <c r="MW45" s="251" t="str">
        <f t="shared" si="340"/>
        <v/>
      </c>
      <c r="MX45" s="251" t="str">
        <f t="shared" si="341"/>
        <v/>
      </c>
      <c r="MY45" s="251" t="str">
        <f t="shared" si="342"/>
        <v/>
      </c>
      <c r="MZ45" s="251" t="str">
        <f t="shared" si="343"/>
        <v/>
      </c>
      <c r="NA45" s="251" t="str">
        <f t="shared" si="344"/>
        <v/>
      </c>
      <c r="NB45" s="251" t="str">
        <f t="shared" si="345"/>
        <v/>
      </c>
      <c r="NC45" s="251" t="str">
        <f t="shared" si="346"/>
        <v/>
      </c>
      <c r="ND45" s="251" t="str">
        <f t="shared" si="347"/>
        <v/>
      </c>
      <c r="NE45" s="251" t="str">
        <f t="shared" si="348"/>
        <v/>
      </c>
      <c r="NF45" s="251" t="str">
        <f t="shared" si="349"/>
        <v/>
      </c>
      <c r="NG45" s="251" t="str">
        <f t="shared" si="350"/>
        <v/>
      </c>
      <c r="NH45" s="251" t="str">
        <f t="shared" si="351"/>
        <v/>
      </c>
      <c r="NI45" s="251" t="str">
        <f t="shared" si="352"/>
        <v/>
      </c>
      <c r="NJ45" s="251" t="str">
        <f t="shared" si="353"/>
        <v/>
      </c>
      <c r="NK45" s="251" t="str">
        <f t="shared" si="354"/>
        <v/>
      </c>
      <c r="NL45" s="251" t="str">
        <f t="shared" si="355"/>
        <v/>
      </c>
      <c r="NM45" s="251" t="str">
        <f t="shared" si="356"/>
        <v/>
      </c>
      <c r="NN45" s="251" t="str">
        <f t="shared" si="357"/>
        <v/>
      </c>
      <c r="NO45" s="1185">
        <f t="shared" si="358"/>
        <v>0</v>
      </c>
      <c r="NP45" s="1185">
        <f t="shared" si="359"/>
        <v>0</v>
      </c>
      <c r="NQ45" s="1185">
        <f t="shared" si="360"/>
        <v>0</v>
      </c>
      <c r="NR45" s="1185">
        <f t="shared" si="361"/>
        <v>0</v>
      </c>
      <c r="NS45" s="1185">
        <f t="shared" si="362"/>
        <v>0</v>
      </c>
      <c r="NT45" s="1185">
        <f t="shared" si="368"/>
        <v>0</v>
      </c>
      <c r="NU45" s="1185">
        <f t="shared" si="369"/>
        <v>0</v>
      </c>
      <c r="NV45" s="1185">
        <f t="shared" si="370"/>
        <v>0</v>
      </c>
      <c r="NW45" s="1185">
        <f t="shared" si="371"/>
        <v>0</v>
      </c>
      <c r="NX45" s="1185">
        <f t="shared" si="372"/>
        <v>0</v>
      </c>
      <c r="NY45" s="1185">
        <f t="shared" si="363"/>
        <v>0</v>
      </c>
      <c r="NZ45" s="1185">
        <f t="shared" si="364"/>
        <v>0</v>
      </c>
      <c r="OA45" s="1185">
        <f t="shared" si="365"/>
        <v>0</v>
      </c>
      <c r="OB45" s="1185">
        <f t="shared" si="366"/>
        <v>0</v>
      </c>
      <c r="OC45" s="1185">
        <f t="shared" si="367"/>
        <v>0</v>
      </c>
      <c r="OY45" s="1794" t="s">
        <v>1193</v>
      </c>
      <c r="OZ45" s="1799">
        <v>45</v>
      </c>
    </row>
    <row r="46" spans="1:416" ht="12" customHeight="1">
      <c r="A46" s="53" t="str">
        <f t="shared" si="0"/>
        <v/>
      </c>
      <c r="B46" s="782"/>
      <c r="C46" s="85"/>
      <c r="D46" s="1187"/>
      <c r="E46" s="86"/>
      <c r="F46" s="86"/>
      <c r="G46" s="86"/>
      <c r="H46" s="86"/>
      <c r="I46" s="86"/>
      <c r="J46" s="765">
        <f>IF(C46="",0,HLOOKUP(C46,'Part IV-Utility Allowances'!$I$11:$M$25,15))</f>
        <v>0</v>
      </c>
      <c r="K46" s="473"/>
      <c r="L46" s="330">
        <f t="shared" si="1"/>
        <v>0</v>
      </c>
      <c r="M46" s="330">
        <f t="shared" si="2"/>
        <v>0</v>
      </c>
      <c r="N46" s="506"/>
      <c r="O46" s="1134"/>
      <c r="P46" s="506"/>
      <c r="Q46" s="87"/>
      <c r="R46" s="540"/>
      <c r="S46" s="541"/>
      <c r="T46" s="3758"/>
      <c r="U46" s="3759"/>
      <c r="V46" s="3759"/>
      <c r="W46" s="3760"/>
      <c r="X46" s="251" t="str">
        <f t="shared" si="3"/>
        <v/>
      </c>
      <c r="Y46" s="251" t="str">
        <f t="shared" si="4"/>
        <v/>
      </c>
      <c r="Z46" s="251" t="str">
        <f t="shared" si="5"/>
        <v/>
      </c>
      <c r="AA46" s="251" t="str">
        <f t="shared" si="6"/>
        <v/>
      </c>
      <c r="AB46" s="251" t="str">
        <f t="shared" si="7"/>
        <v/>
      </c>
      <c r="AC46" s="251" t="str">
        <f t="shared" si="8"/>
        <v/>
      </c>
      <c r="AD46" s="251" t="str">
        <f t="shared" si="9"/>
        <v/>
      </c>
      <c r="AE46" s="251" t="str">
        <f t="shared" si="10"/>
        <v/>
      </c>
      <c r="AF46" s="251" t="str">
        <f t="shared" si="11"/>
        <v/>
      </c>
      <c r="AG46" s="251" t="str">
        <f t="shared" si="12"/>
        <v/>
      </c>
      <c r="AH46" s="251" t="str">
        <f t="shared" si="13"/>
        <v/>
      </c>
      <c r="AI46" s="251" t="str">
        <f t="shared" si="14"/>
        <v/>
      </c>
      <c r="AJ46" s="251" t="str">
        <f t="shared" si="15"/>
        <v/>
      </c>
      <c r="AK46" s="251" t="str">
        <f t="shared" si="16"/>
        <v/>
      </c>
      <c r="AL46" s="251" t="str">
        <f t="shared" si="17"/>
        <v/>
      </c>
      <c r="AM46" s="251" t="str">
        <f t="shared" si="18"/>
        <v/>
      </c>
      <c r="AN46" s="251" t="str">
        <f t="shared" si="19"/>
        <v/>
      </c>
      <c r="AO46" s="251" t="str">
        <f t="shared" si="20"/>
        <v/>
      </c>
      <c r="AP46" s="251" t="str">
        <f t="shared" si="21"/>
        <v/>
      </c>
      <c r="AQ46" s="251" t="str">
        <f t="shared" si="22"/>
        <v/>
      </c>
      <c r="AR46" s="251" t="str">
        <f t="shared" si="23"/>
        <v/>
      </c>
      <c r="AS46" s="251" t="str">
        <f t="shared" si="24"/>
        <v/>
      </c>
      <c r="AT46" s="251" t="str">
        <f t="shared" si="25"/>
        <v/>
      </c>
      <c r="AU46" s="251" t="str">
        <f t="shared" si="26"/>
        <v/>
      </c>
      <c r="AV46" s="251" t="str">
        <f t="shared" si="27"/>
        <v/>
      </c>
      <c r="AW46" s="251" t="str">
        <f t="shared" si="28"/>
        <v/>
      </c>
      <c r="AX46" s="251" t="str">
        <f t="shared" si="29"/>
        <v/>
      </c>
      <c r="AY46" s="251" t="str">
        <f t="shared" si="30"/>
        <v/>
      </c>
      <c r="AZ46" s="251" t="str">
        <f t="shared" si="31"/>
        <v/>
      </c>
      <c r="BA46" s="251" t="str">
        <f t="shared" si="32"/>
        <v/>
      </c>
      <c r="BB46" s="251" t="str">
        <f t="shared" si="33"/>
        <v/>
      </c>
      <c r="BC46" s="251" t="str">
        <f t="shared" si="34"/>
        <v/>
      </c>
      <c r="BD46" s="251" t="str">
        <f t="shared" si="35"/>
        <v/>
      </c>
      <c r="BE46" s="251" t="str">
        <f t="shared" si="36"/>
        <v/>
      </c>
      <c r="BF46" s="251" t="str">
        <f t="shared" si="37"/>
        <v/>
      </c>
      <c r="BG46" s="251" t="str">
        <f t="shared" si="38"/>
        <v/>
      </c>
      <c r="BH46" s="251" t="str">
        <f t="shared" si="39"/>
        <v/>
      </c>
      <c r="BI46" s="251" t="str">
        <f t="shared" si="40"/>
        <v/>
      </c>
      <c r="BJ46" s="251" t="str">
        <f t="shared" si="41"/>
        <v/>
      </c>
      <c r="BK46" s="251" t="str">
        <f t="shared" si="42"/>
        <v/>
      </c>
      <c r="BL46" s="251" t="str">
        <f t="shared" si="43"/>
        <v/>
      </c>
      <c r="BM46" s="251" t="str">
        <f t="shared" si="44"/>
        <v/>
      </c>
      <c r="BN46" s="251" t="str">
        <f t="shared" si="45"/>
        <v/>
      </c>
      <c r="BO46" s="251" t="str">
        <f t="shared" si="46"/>
        <v/>
      </c>
      <c r="BP46" s="251" t="str">
        <f t="shared" si="47"/>
        <v/>
      </c>
      <c r="BQ46" s="251" t="str">
        <f t="shared" si="48"/>
        <v/>
      </c>
      <c r="BR46" s="251" t="str">
        <f t="shared" si="49"/>
        <v/>
      </c>
      <c r="BS46" s="251" t="str">
        <f t="shared" si="50"/>
        <v/>
      </c>
      <c r="BT46" s="251" t="str">
        <f t="shared" si="51"/>
        <v/>
      </c>
      <c r="BU46" s="251" t="str">
        <f t="shared" si="52"/>
        <v/>
      </c>
      <c r="BV46" s="251" t="str">
        <f t="shared" si="53"/>
        <v/>
      </c>
      <c r="BW46" s="251" t="str">
        <f t="shared" si="54"/>
        <v/>
      </c>
      <c r="BX46" s="251" t="str">
        <f t="shared" si="55"/>
        <v/>
      </c>
      <c r="BY46" s="251" t="str">
        <f t="shared" si="56"/>
        <v/>
      </c>
      <c r="BZ46" s="251" t="str">
        <f t="shared" si="57"/>
        <v/>
      </c>
      <c r="CA46" s="251" t="str">
        <f t="shared" si="58"/>
        <v/>
      </c>
      <c r="CB46" s="251" t="str">
        <f t="shared" si="59"/>
        <v/>
      </c>
      <c r="CC46" s="251" t="str">
        <f t="shared" si="60"/>
        <v/>
      </c>
      <c r="CD46" s="251" t="str">
        <f t="shared" si="61"/>
        <v/>
      </c>
      <c r="CE46" s="251" t="str">
        <f t="shared" si="62"/>
        <v/>
      </c>
      <c r="CF46" s="251" t="str">
        <f t="shared" si="63"/>
        <v/>
      </c>
      <c r="CG46" s="251" t="str">
        <f t="shared" si="64"/>
        <v/>
      </c>
      <c r="CH46" s="251" t="str">
        <f t="shared" si="65"/>
        <v/>
      </c>
      <c r="CI46" s="251" t="str">
        <f t="shared" si="66"/>
        <v/>
      </c>
      <c r="CJ46" s="251" t="str">
        <f t="shared" si="67"/>
        <v/>
      </c>
      <c r="CK46" s="251" t="str">
        <f t="shared" si="68"/>
        <v/>
      </c>
      <c r="CL46" s="251" t="str">
        <f t="shared" si="69"/>
        <v/>
      </c>
      <c r="CM46" s="251" t="str">
        <f t="shared" si="70"/>
        <v/>
      </c>
      <c r="CN46" s="251" t="str">
        <f t="shared" si="71"/>
        <v/>
      </c>
      <c r="CO46" s="251" t="str">
        <f t="shared" si="72"/>
        <v/>
      </c>
      <c r="CP46" s="251" t="str">
        <f t="shared" si="73"/>
        <v/>
      </c>
      <c r="CQ46" s="251" t="str">
        <f t="shared" si="74"/>
        <v/>
      </c>
      <c r="CR46" s="251" t="str">
        <f t="shared" si="75"/>
        <v/>
      </c>
      <c r="CS46" s="251" t="str">
        <f t="shared" si="76"/>
        <v/>
      </c>
      <c r="CT46" s="251" t="str">
        <f t="shared" si="77"/>
        <v/>
      </c>
      <c r="CU46" s="251" t="str">
        <f t="shared" si="78"/>
        <v/>
      </c>
      <c r="CV46" s="251" t="str">
        <f t="shared" si="79"/>
        <v/>
      </c>
      <c r="CW46" s="251" t="str">
        <f t="shared" si="80"/>
        <v/>
      </c>
      <c r="CX46" s="251" t="str">
        <f t="shared" si="81"/>
        <v/>
      </c>
      <c r="CY46" s="251" t="str">
        <f t="shared" si="82"/>
        <v/>
      </c>
      <c r="CZ46" s="251" t="str">
        <f t="shared" si="83"/>
        <v/>
      </c>
      <c r="DA46" s="251" t="str">
        <f t="shared" si="84"/>
        <v/>
      </c>
      <c r="DB46" s="251" t="str">
        <f t="shared" si="85"/>
        <v/>
      </c>
      <c r="DC46" s="251" t="str">
        <f t="shared" si="86"/>
        <v/>
      </c>
      <c r="DD46" s="251" t="str">
        <f t="shared" si="87"/>
        <v/>
      </c>
      <c r="DE46" s="251" t="str">
        <f t="shared" si="88"/>
        <v/>
      </c>
      <c r="DF46" s="251" t="str">
        <f t="shared" si="89"/>
        <v/>
      </c>
      <c r="DG46" s="251" t="str">
        <f t="shared" si="90"/>
        <v/>
      </c>
      <c r="DH46" s="251" t="str">
        <f t="shared" si="91"/>
        <v/>
      </c>
      <c r="DI46" s="251" t="str">
        <f t="shared" si="92"/>
        <v/>
      </c>
      <c r="DJ46" s="251" t="str">
        <f t="shared" si="93"/>
        <v/>
      </c>
      <c r="DK46" s="251" t="str">
        <f t="shared" si="94"/>
        <v/>
      </c>
      <c r="DL46" s="251" t="str">
        <f t="shared" si="95"/>
        <v/>
      </c>
      <c r="DM46" s="251" t="str">
        <f t="shared" si="96"/>
        <v/>
      </c>
      <c r="DN46" s="251" t="str">
        <f t="shared" si="97"/>
        <v/>
      </c>
      <c r="DO46" s="251" t="str">
        <f t="shared" si="98"/>
        <v/>
      </c>
      <c r="DP46" s="251" t="str">
        <f t="shared" si="99"/>
        <v/>
      </c>
      <c r="DQ46" s="251" t="str">
        <f t="shared" si="100"/>
        <v/>
      </c>
      <c r="DR46" s="251" t="str">
        <f t="shared" si="101"/>
        <v/>
      </c>
      <c r="DS46" s="251" t="str">
        <f t="shared" si="102"/>
        <v/>
      </c>
      <c r="DT46" s="251" t="str">
        <f t="shared" si="103"/>
        <v/>
      </c>
      <c r="DU46" s="251" t="str">
        <f t="shared" si="104"/>
        <v/>
      </c>
      <c r="DV46" s="251" t="str">
        <f t="shared" si="105"/>
        <v/>
      </c>
      <c r="DW46" s="251" t="str">
        <f t="shared" si="106"/>
        <v/>
      </c>
      <c r="DX46" s="251" t="str">
        <f t="shared" si="107"/>
        <v/>
      </c>
      <c r="DY46" s="251" t="str">
        <f t="shared" si="108"/>
        <v/>
      </c>
      <c r="DZ46" s="251" t="str">
        <f t="shared" si="109"/>
        <v/>
      </c>
      <c r="EA46" s="251" t="str">
        <f t="shared" si="110"/>
        <v/>
      </c>
      <c r="EB46" s="251" t="str">
        <f t="shared" si="111"/>
        <v/>
      </c>
      <c r="EC46" s="251" t="str">
        <f t="shared" si="112"/>
        <v/>
      </c>
      <c r="ED46" s="251" t="str">
        <f t="shared" si="113"/>
        <v/>
      </c>
      <c r="EE46" s="251" t="str">
        <f t="shared" si="114"/>
        <v/>
      </c>
      <c r="EF46" s="251" t="str">
        <f t="shared" si="115"/>
        <v/>
      </c>
      <c r="EG46" s="251" t="str">
        <f t="shared" si="116"/>
        <v/>
      </c>
      <c r="EH46" s="251" t="str">
        <f t="shared" si="117"/>
        <v/>
      </c>
      <c r="EI46" s="251" t="str">
        <f t="shared" si="118"/>
        <v/>
      </c>
      <c r="EJ46" s="251" t="str">
        <f t="shared" si="119"/>
        <v/>
      </c>
      <c r="EK46" s="251" t="str">
        <f t="shared" si="120"/>
        <v/>
      </c>
      <c r="EL46" s="251" t="str">
        <f t="shared" si="121"/>
        <v/>
      </c>
      <c r="EM46" s="251" t="str">
        <f t="shared" si="122"/>
        <v/>
      </c>
      <c r="EN46" s="251" t="str">
        <f t="shared" si="123"/>
        <v/>
      </c>
      <c r="EO46" s="251" t="str">
        <f t="shared" si="124"/>
        <v/>
      </c>
      <c r="EP46" s="251" t="str">
        <f t="shared" si="125"/>
        <v/>
      </c>
      <c r="EQ46" s="251" t="str">
        <f t="shared" si="126"/>
        <v/>
      </c>
      <c r="ER46" s="251" t="str">
        <f t="shared" si="127"/>
        <v/>
      </c>
      <c r="ES46" s="251" t="str">
        <f t="shared" si="128"/>
        <v/>
      </c>
      <c r="ET46" s="251" t="str">
        <f t="shared" si="129"/>
        <v/>
      </c>
      <c r="EU46" s="251" t="str">
        <f t="shared" si="130"/>
        <v/>
      </c>
      <c r="EV46" s="251" t="str">
        <f t="shared" si="131"/>
        <v/>
      </c>
      <c r="EW46" s="251" t="str">
        <f t="shared" si="132"/>
        <v/>
      </c>
      <c r="EX46" s="251" t="str">
        <f t="shared" si="133"/>
        <v/>
      </c>
      <c r="EY46" s="251" t="str">
        <f t="shared" si="134"/>
        <v/>
      </c>
      <c r="EZ46" s="251" t="str">
        <f t="shared" si="135"/>
        <v/>
      </c>
      <c r="FA46" s="251" t="str">
        <f t="shared" si="136"/>
        <v/>
      </c>
      <c r="FB46" s="251" t="str">
        <f t="shared" si="137"/>
        <v/>
      </c>
      <c r="FC46" s="251" t="str">
        <f t="shared" si="138"/>
        <v/>
      </c>
      <c r="FD46" s="251" t="str">
        <f t="shared" si="139"/>
        <v/>
      </c>
      <c r="FE46" s="251" t="str">
        <f t="shared" si="140"/>
        <v/>
      </c>
      <c r="FF46" s="251" t="str">
        <f t="shared" si="141"/>
        <v/>
      </c>
      <c r="FG46" s="251" t="str">
        <f t="shared" si="142"/>
        <v/>
      </c>
      <c r="FH46" s="251" t="str">
        <f t="shared" si="143"/>
        <v/>
      </c>
      <c r="FI46" s="251" t="str">
        <f t="shared" si="144"/>
        <v/>
      </c>
      <c r="FJ46" s="251" t="str">
        <f t="shared" si="145"/>
        <v/>
      </c>
      <c r="FK46" s="251" t="str">
        <f t="shared" si="146"/>
        <v/>
      </c>
      <c r="FL46" s="251" t="str">
        <f t="shared" si="147"/>
        <v/>
      </c>
      <c r="FM46" s="251" t="str">
        <f t="shared" si="148"/>
        <v/>
      </c>
      <c r="FN46" s="251" t="str">
        <f t="shared" si="149"/>
        <v/>
      </c>
      <c r="FO46" s="251" t="str">
        <f t="shared" si="150"/>
        <v/>
      </c>
      <c r="FP46" s="251" t="str">
        <f t="shared" si="151"/>
        <v/>
      </c>
      <c r="FQ46" s="251" t="str">
        <f t="shared" si="152"/>
        <v/>
      </c>
      <c r="FR46" s="251" t="str">
        <f t="shared" si="153"/>
        <v/>
      </c>
      <c r="FS46" s="251" t="str">
        <f t="shared" si="154"/>
        <v/>
      </c>
      <c r="FT46" s="251" t="str">
        <f t="shared" si="155"/>
        <v/>
      </c>
      <c r="FU46" s="251" t="str">
        <f t="shared" si="156"/>
        <v/>
      </c>
      <c r="FV46" s="251" t="str">
        <f t="shared" si="157"/>
        <v/>
      </c>
      <c r="FW46" s="251" t="str">
        <f t="shared" si="158"/>
        <v/>
      </c>
      <c r="FX46" s="251" t="str">
        <f t="shared" si="159"/>
        <v/>
      </c>
      <c r="FY46" s="251" t="str">
        <f t="shared" si="160"/>
        <v/>
      </c>
      <c r="FZ46" s="251" t="str">
        <f t="shared" si="161"/>
        <v/>
      </c>
      <c r="GA46" s="251" t="str">
        <f t="shared" si="162"/>
        <v/>
      </c>
      <c r="GB46" s="251" t="str">
        <f t="shared" si="163"/>
        <v/>
      </c>
      <c r="GC46" s="251" t="str">
        <f t="shared" si="164"/>
        <v/>
      </c>
      <c r="GD46" s="251" t="str">
        <f t="shared" si="165"/>
        <v/>
      </c>
      <c r="GE46" s="251" t="str">
        <f t="shared" si="166"/>
        <v/>
      </c>
      <c r="GF46" s="251" t="str">
        <f t="shared" si="167"/>
        <v/>
      </c>
      <c r="GG46" s="251" t="str">
        <f t="shared" si="168"/>
        <v/>
      </c>
      <c r="GH46" s="251" t="str">
        <f t="shared" si="169"/>
        <v/>
      </c>
      <c r="GI46" s="251" t="str">
        <f t="shared" si="170"/>
        <v/>
      </c>
      <c r="GJ46" s="251" t="str">
        <f t="shared" si="171"/>
        <v/>
      </c>
      <c r="GK46" s="251" t="str">
        <f t="shared" si="172"/>
        <v/>
      </c>
      <c r="GL46" s="251" t="str">
        <f t="shared" si="173"/>
        <v/>
      </c>
      <c r="GM46" s="251" t="str">
        <f t="shared" si="174"/>
        <v/>
      </c>
      <c r="GN46" s="251" t="str">
        <f t="shared" si="175"/>
        <v/>
      </c>
      <c r="GO46" s="251" t="str">
        <f t="shared" si="176"/>
        <v/>
      </c>
      <c r="GP46" s="251" t="str">
        <f t="shared" si="177"/>
        <v/>
      </c>
      <c r="GQ46" s="251" t="str">
        <f t="shared" si="178"/>
        <v/>
      </c>
      <c r="GR46" s="251" t="str">
        <f t="shared" si="179"/>
        <v/>
      </c>
      <c r="GS46" s="251" t="str">
        <f t="shared" si="180"/>
        <v/>
      </c>
      <c r="GT46" s="251" t="str">
        <f t="shared" si="181"/>
        <v/>
      </c>
      <c r="GU46" s="251" t="str">
        <f t="shared" si="182"/>
        <v/>
      </c>
      <c r="GV46" s="251" t="str">
        <f t="shared" si="183"/>
        <v/>
      </c>
      <c r="GW46" s="251" t="str">
        <f t="shared" si="184"/>
        <v/>
      </c>
      <c r="GX46" s="251" t="str">
        <f t="shared" si="185"/>
        <v/>
      </c>
      <c r="GY46" s="251" t="str">
        <f t="shared" si="186"/>
        <v/>
      </c>
      <c r="GZ46" s="251" t="str">
        <f t="shared" si="187"/>
        <v/>
      </c>
      <c r="HA46" s="251" t="str">
        <f t="shared" si="188"/>
        <v/>
      </c>
      <c r="HB46" s="251" t="str">
        <f t="shared" si="189"/>
        <v/>
      </c>
      <c r="HC46" s="251" t="str">
        <f t="shared" si="190"/>
        <v/>
      </c>
      <c r="HD46" s="251" t="str">
        <f t="shared" si="191"/>
        <v/>
      </c>
      <c r="HE46" s="251" t="str">
        <f t="shared" si="192"/>
        <v/>
      </c>
      <c r="HF46" s="251" t="str">
        <f t="shared" si="193"/>
        <v/>
      </c>
      <c r="HG46" s="251" t="str">
        <f t="shared" si="194"/>
        <v/>
      </c>
      <c r="HH46" s="251" t="str">
        <f t="shared" si="195"/>
        <v/>
      </c>
      <c r="HI46" s="251" t="str">
        <f t="shared" si="196"/>
        <v/>
      </c>
      <c r="HJ46" s="251" t="str">
        <f t="shared" si="197"/>
        <v/>
      </c>
      <c r="HK46" s="251" t="str">
        <f t="shared" si="198"/>
        <v/>
      </c>
      <c r="HL46" s="251" t="str">
        <f t="shared" si="199"/>
        <v/>
      </c>
      <c r="HM46" s="251" t="str">
        <f t="shared" si="200"/>
        <v/>
      </c>
      <c r="HN46" s="251" t="str">
        <f t="shared" si="201"/>
        <v/>
      </c>
      <c r="HO46" s="251" t="str">
        <f t="shared" si="202"/>
        <v/>
      </c>
      <c r="HP46" s="251" t="str">
        <f t="shared" si="203"/>
        <v/>
      </c>
      <c r="HQ46" s="251" t="str">
        <f t="shared" si="204"/>
        <v/>
      </c>
      <c r="HR46" s="251" t="str">
        <f t="shared" si="205"/>
        <v/>
      </c>
      <c r="HS46" s="251" t="str">
        <f t="shared" si="206"/>
        <v/>
      </c>
      <c r="HT46" s="251" t="str">
        <f t="shared" si="207"/>
        <v/>
      </c>
      <c r="HU46" s="251" t="str">
        <f t="shared" si="208"/>
        <v/>
      </c>
      <c r="HV46" s="251" t="str">
        <f t="shared" si="209"/>
        <v/>
      </c>
      <c r="HW46" s="251" t="str">
        <f t="shared" si="210"/>
        <v/>
      </c>
      <c r="HX46" s="251" t="str">
        <f t="shared" si="211"/>
        <v/>
      </c>
      <c r="HY46" s="251" t="str">
        <f t="shared" si="212"/>
        <v/>
      </c>
      <c r="HZ46" s="251" t="str">
        <f t="shared" si="213"/>
        <v/>
      </c>
      <c r="IA46" s="251" t="str">
        <f t="shared" si="214"/>
        <v/>
      </c>
      <c r="IB46" s="251" t="str">
        <f t="shared" si="215"/>
        <v/>
      </c>
      <c r="IC46" s="251" t="str">
        <f t="shared" si="216"/>
        <v/>
      </c>
      <c r="ID46" s="251" t="str">
        <f t="shared" si="217"/>
        <v/>
      </c>
      <c r="IE46" s="251" t="str">
        <f t="shared" si="218"/>
        <v/>
      </c>
      <c r="IF46" s="251" t="str">
        <f t="shared" si="219"/>
        <v/>
      </c>
      <c r="IG46" s="251" t="str">
        <f t="shared" si="220"/>
        <v/>
      </c>
      <c r="IH46" s="251" t="str">
        <f t="shared" si="221"/>
        <v/>
      </c>
      <c r="II46" s="251" t="str">
        <f t="shared" si="222"/>
        <v/>
      </c>
      <c r="IJ46" s="251" t="str">
        <f t="shared" si="223"/>
        <v/>
      </c>
      <c r="IK46" s="251" t="str">
        <f t="shared" si="224"/>
        <v/>
      </c>
      <c r="IL46" s="251" t="str">
        <f t="shared" si="225"/>
        <v/>
      </c>
      <c r="IM46" s="251" t="str">
        <f t="shared" si="226"/>
        <v/>
      </c>
      <c r="IN46" s="251" t="str">
        <f t="shared" si="227"/>
        <v/>
      </c>
      <c r="IO46" s="251" t="str">
        <f t="shared" si="228"/>
        <v/>
      </c>
      <c r="IP46" s="251" t="str">
        <f t="shared" si="229"/>
        <v/>
      </c>
      <c r="IQ46" s="251" t="str">
        <f t="shared" si="230"/>
        <v/>
      </c>
      <c r="IR46" s="251" t="str">
        <f t="shared" si="231"/>
        <v/>
      </c>
      <c r="IS46" s="251" t="str">
        <f t="shared" si="232"/>
        <v/>
      </c>
      <c r="IT46" s="251" t="str">
        <f t="shared" si="233"/>
        <v/>
      </c>
      <c r="IU46" s="251" t="str">
        <f t="shared" si="234"/>
        <v/>
      </c>
      <c r="IV46" s="251" t="str">
        <f t="shared" si="235"/>
        <v/>
      </c>
      <c r="IW46" s="251" t="str">
        <f t="shared" si="236"/>
        <v/>
      </c>
      <c r="IX46" s="251" t="str">
        <f t="shared" si="237"/>
        <v/>
      </c>
      <c r="IY46" s="251" t="str">
        <f t="shared" si="238"/>
        <v/>
      </c>
      <c r="IZ46" s="251" t="str">
        <f t="shared" si="239"/>
        <v/>
      </c>
      <c r="JA46" s="251" t="str">
        <f t="shared" si="240"/>
        <v/>
      </c>
      <c r="JB46" s="251" t="str">
        <f t="shared" si="241"/>
        <v/>
      </c>
      <c r="JC46" s="251" t="str">
        <f t="shared" si="242"/>
        <v/>
      </c>
      <c r="JD46" s="251" t="str">
        <f t="shared" si="243"/>
        <v/>
      </c>
      <c r="JE46" s="251" t="str">
        <f t="shared" si="244"/>
        <v/>
      </c>
      <c r="JF46" s="251" t="str">
        <f t="shared" si="245"/>
        <v/>
      </c>
      <c r="JG46" s="251" t="str">
        <f t="shared" si="246"/>
        <v/>
      </c>
      <c r="JH46" s="251" t="str">
        <f t="shared" si="247"/>
        <v/>
      </c>
      <c r="JI46" s="1297" t="str">
        <f t="shared" si="248"/>
        <v/>
      </c>
      <c r="JJ46" s="1297" t="str">
        <f t="shared" si="249"/>
        <v/>
      </c>
      <c r="JK46" s="1297" t="str">
        <f t="shared" si="250"/>
        <v/>
      </c>
      <c r="JL46" s="1297" t="str">
        <f t="shared" si="251"/>
        <v/>
      </c>
      <c r="JM46" s="1297" t="str">
        <f t="shared" si="252"/>
        <v/>
      </c>
      <c r="JN46" s="1297" t="str">
        <f t="shared" si="253"/>
        <v/>
      </c>
      <c r="JO46" s="1297" t="str">
        <f t="shared" si="254"/>
        <v/>
      </c>
      <c r="JP46" s="1297" t="str">
        <f t="shared" si="255"/>
        <v/>
      </c>
      <c r="JQ46" s="1297" t="str">
        <f t="shared" si="256"/>
        <v/>
      </c>
      <c r="JR46" s="1297" t="str">
        <f t="shared" si="257"/>
        <v/>
      </c>
      <c r="JS46" s="1297" t="str">
        <f t="shared" si="258"/>
        <v/>
      </c>
      <c r="JT46" s="1297" t="str">
        <f t="shared" si="259"/>
        <v/>
      </c>
      <c r="JU46" s="1297" t="str">
        <f t="shared" si="260"/>
        <v/>
      </c>
      <c r="JV46" s="1297" t="str">
        <f t="shared" si="261"/>
        <v/>
      </c>
      <c r="JW46" s="1297" t="str">
        <f t="shared" si="262"/>
        <v/>
      </c>
      <c r="JX46" s="1297" t="str">
        <f t="shared" si="263"/>
        <v/>
      </c>
      <c r="JY46" s="1297" t="str">
        <f t="shared" si="264"/>
        <v/>
      </c>
      <c r="JZ46" s="1297" t="str">
        <f t="shared" si="265"/>
        <v/>
      </c>
      <c r="KA46" s="1297" t="str">
        <f t="shared" si="266"/>
        <v/>
      </c>
      <c r="KB46" s="1297" t="str">
        <f t="shared" si="267"/>
        <v/>
      </c>
      <c r="KC46" s="1297" t="str">
        <f t="shared" si="268"/>
        <v/>
      </c>
      <c r="KD46" s="1297" t="str">
        <f t="shared" si="269"/>
        <v/>
      </c>
      <c r="KE46" s="1297" t="str">
        <f t="shared" si="270"/>
        <v/>
      </c>
      <c r="KF46" s="1297" t="str">
        <f t="shared" si="271"/>
        <v/>
      </c>
      <c r="KG46" s="1297" t="str">
        <f t="shared" si="272"/>
        <v/>
      </c>
      <c r="KH46" s="1297" t="str">
        <f t="shared" si="273"/>
        <v/>
      </c>
      <c r="KI46" s="1297" t="str">
        <f t="shared" si="274"/>
        <v/>
      </c>
      <c r="KJ46" s="1297" t="str">
        <f t="shared" si="275"/>
        <v/>
      </c>
      <c r="KK46" s="1297" t="str">
        <f t="shared" si="276"/>
        <v/>
      </c>
      <c r="KL46" s="1297" t="str">
        <f t="shared" si="277"/>
        <v/>
      </c>
      <c r="KM46" s="1297" t="str">
        <f t="shared" si="278"/>
        <v/>
      </c>
      <c r="KN46" s="1297" t="str">
        <f t="shared" si="279"/>
        <v/>
      </c>
      <c r="KO46" s="1297" t="str">
        <f t="shared" si="280"/>
        <v/>
      </c>
      <c r="KP46" s="1297" t="str">
        <f t="shared" si="281"/>
        <v/>
      </c>
      <c r="KQ46" s="1297" t="str">
        <f t="shared" si="282"/>
        <v/>
      </c>
      <c r="KR46" s="1297" t="str">
        <f t="shared" si="283"/>
        <v/>
      </c>
      <c r="KS46" s="1297" t="str">
        <f t="shared" si="284"/>
        <v/>
      </c>
      <c r="KT46" s="1297" t="str">
        <f t="shared" si="285"/>
        <v/>
      </c>
      <c r="KU46" s="1297" t="str">
        <f t="shared" si="286"/>
        <v/>
      </c>
      <c r="KV46" s="1297" t="str">
        <f t="shared" si="287"/>
        <v/>
      </c>
      <c r="KW46" s="1297" t="str">
        <f t="shared" si="288"/>
        <v/>
      </c>
      <c r="KX46" s="1297" t="str">
        <f t="shared" si="289"/>
        <v/>
      </c>
      <c r="KY46" s="1297" t="str">
        <f t="shared" si="290"/>
        <v/>
      </c>
      <c r="KZ46" s="1297" t="str">
        <f t="shared" si="291"/>
        <v/>
      </c>
      <c r="LA46" s="1297" t="str">
        <f t="shared" si="292"/>
        <v/>
      </c>
      <c r="LB46" s="1297" t="str">
        <f t="shared" si="293"/>
        <v/>
      </c>
      <c r="LC46" s="1297" t="str">
        <f t="shared" si="294"/>
        <v/>
      </c>
      <c r="LD46" s="1297" t="str">
        <f t="shared" si="295"/>
        <v/>
      </c>
      <c r="LE46" s="1297" t="str">
        <f t="shared" si="296"/>
        <v/>
      </c>
      <c r="LF46" s="1297" t="str">
        <f t="shared" si="297"/>
        <v/>
      </c>
      <c r="LG46" s="1297" t="str">
        <f t="shared" si="298"/>
        <v/>
      </c>
      <c r="LH46" s="1297" t="str">
        <f t="shared" si="299"/>
        <v/>
      </c>
      <c r="LI46" s="1297" t="str">
        <f t="shared" si="300"/>
        <v/>
      </c>
      <c r="LJ46" s="1297" t="str">
        <f t="shared" si="301"/>
        <v/>
      </c>
      <c r="LK46" s="1297" t="str">
        <f t="shared" si="302"/>
        <v/>
      </c>
      <c r="LL46" s="1297" t="str">
        <f t="shared" si="303"/>
        <v/>
      </c>
      <c r="LM46" s="1297" t="str">
        <f t="shared" si="304"/>
        <v/>
      </c>
      <c r="LN46" s="1297" t="str">
        <f t="shared" si="305"/>
        <v/>
      </c>
      <c r="LO46" s="1297" t="str">
        <f t="shared" si="306"/>
        <v/>
      </c>
      <c r="LP46" s="1297" t="str">
        <f t="shared" si="307"/>
        <v/>
      </c>
      <c r="LQ46" s="1297" t="str">
        <f t="shared" si="308"/>
        <v/>
      </c>
      <c r="LR46" s="1297" t="str">
        <f t="shared" si="309"/>
        <v/>
      </c>
      <c r="LS46" s="1297" t="str">
        <f t="shared" si="310"/>
        <v/>
      </c>
      <c r="LT46" s="1297" t="str">
        <f t="shared" si="311"/>
        <v/>
      </c>
      <c r="LU46" s="1297" t="str">
        <f t="shared" si="312"/>
        <v/>
      </c>
      <c r="LV46" s="1297" t="str">
        <f t="shared" si="313"/>
        <v/>
      </c>
      <c r="LW46" s="1297" t="str">
        <f t="shared" si="314"/>
        <v/>
      </c>
      <c r="LX46" s="1297" t="str">
        <f t="shared" si="315"/>
        <v/>
      </c>
      <c r="LY46" s="1297" t="str">
        <f t="shared" si="316"/>
        <v/>
      </c>
      <c r="LZ46" s="1297" t="str">
        <f t="shared" si="317"/>
        <v/>
      </c>
      <c r="MA46" s="1297" t="str">
        <f t="shared" si="318"/>
        <v/>
      </c>
      <c r="MB46" s="1297" t="str">
        <f t="shared" si="319"/>
        <v/>
      </c>
      <c r="MC46" s="1297" t="str">
        <f t="shared" si="320"/>
        <v/>
      </c>
      <c r="MD46" s="1297" t="str">
        <f t="shared" si="321"/>
        <v/>
      </c>
      <c r="ME46" s="1297" t="str">
        <f t="shared" si="322"/>
        <v/>
      </c>
      <c r="MF46" s="1297" t="str">
        <f t="shared" si="323"/>
        <v/>
      </c>
      <c r="MG46" s="1297" t="str">
        <f t="shared" si="324"/>
        <v/>
      </c>
      <c r="MH46" s="1297" t="str">
        <f t="shared" si="325"/>
        <v/>
      </c>
      <c r="MI46" s="1297" t="str">
        <f t="shared" si="326"/>
        <v/>
      </c>
      <c r="MJ46" s="1297" t="str">
        <f t="shared" si="327"/>
        <v/>
      </c>
      <c r="MK46" s="1297" t="str">
        <f t="shared" si="328"/>
        <v/>
      </c>
      <c r="ML46" s="1297" t="str">
        <f t="shared" si="329"/>
        <v/>
      </c>
      <c r="MM46" s="1297" t="str">
        <f t="shared" si="330"/>
        <v/>
      </c>
      <c r="MN46" s="1297" t="str">
        <f t="shared" si="331"/>
        <v/>
      </c>
      <c r="MO46" s="1297" t="str">
        <f t="shared" si="332"/>
        <v/>
      </c>
      <c r="MP46" s="1773" t="str">
        <f t="shared" si="333"/>
        <v/>
      </c>
      <c r="MQ46" s="1773" t="str">
        <f t="shared" si="334"/>
        <v/>
      </c>
      <c r="MR46" s="1773" t="str">
        <f t="shared" si="335"/>
        <v/>
      </c>
      <c r="MS46" s="1773" t="str">
        <f t="shared" si="336"/>
        <v/>
      </c>
      <c r="MT46" s="1773" t="str">
        <f t="shared" si="337"/>
        <v/>
      </c>
      <c r="MU46" s="251" t="str">
        <f t="shared" si="338"/>
        <v/>
      </c>
      <c r="MV46" s="251" t="str">
        <f t="shared" si="339"/>
        <v/>
      </c>
      <c r="MW46" s="251" t="str">
        <f t="shared" si="340"/>
        <v/>
      </c>
      <c r="MX46" s="251" t="str">
        <f t="shared" si="341"/>
        <v/>
      </c>
      <c r="MY46" s="251" t="str">
        <f t="shared" si="342"/>
        <v/>
      </c>
      <c r="MZ46" s="251" t="str">
        <f t="shared" si="343"/>
        <v/>
      </c>
      <c r="NA46" s="251" t="str">
        <f t="shared" si="344"/>
        <v/>
      </c>
      <c r="NB46" s="251" t="str">
        <f t="shared" si="345"/>
        <v/>
      </c>
      <c r="NC46" s="251" t="str">
        <f t="shared" si="346"/>
        <v/>
      </c>
      <c r="ND46" s="251" t="str">
        <f t="shared" si="347"/>
        <v/>
      </c>
      <c r="NE46" s="251" t="str">
        <f t="shared" si="348"/>
        <v/>
      </c>
      <c r="NF46" s="251" t="str">
        <f t="shared" si="349"/>
        <v/>
      </c>
      <c r="NG46" s="251" t="str">
        <f t="shared" si="350"/>
        <v/>
      </c>
      <c r="NH46" s="251" t="str">
        <f t="shared" si="351"/>
        <v/>
      </c>
      <c r="NI46" s="251" t="str">
        <f t="shared" si="352"/>
        <v/>
      </c>
      <c r="NJ46" s="251" t="str">
        <f t="shared" si="353"/>
        <v/>
      </c>
      <c r="NK46" s="251" t="str">
        <f t="shared" si="354"/>
        <v/>
      </c>
      <c r="NL46" s="251" t="str">
        <f t="shared" si="355"/>
        <v/>
      </c>
      <c r="NM46" s="251" t="str">
        <f t="shared" si="356"/>
        <v/>
      </c>
      <c r="NN46" s="251" t="str">
        <f t="shared" si="357"/>
        <v/>
      </c>
      <c r="NO46" s="1185">
        <f t="shared" si="358"/>
        <v>0</v>
      </c>
      <c r="NP46" s="1185">
        <f t="shared" si="359"/>
        <v>0</v>
      </c>
      <c r="NQ46" s="1185">
        <f t="shared" si="360"/>
        <v>0</v>
      </c>
      <c r="NR46" s="1185">
        <f t="shared" si="361"/>
        <v>0</v>
      </c>
      <c r="NS46" s="1185">
        <f t="shared" si="362"/>
        <v>0</v>
      </c>
      <c r="NT46" s="1185">
        <f t="shared" si="368"/>
        <v>0</v>
      </c>
      <c r="NU46" s="1185">
        <f t="shared" si="369"/>
        <v>0</v>
      </c>
      <c r="NV46" s="1185">
        <f t="shared" si="370"/>
        <v>0</v>
      </c>
      <c r="NW46" s="1185">
        <f t="shared" si="371"/>
        <v>0</v>
      </c>
      <c r="NX46" s="1185">
        <f t="shared" si="372"/>
        <v>0</v>
      </c>
      <c r="NY46" s="1185">
        <f t="shared" si="363"/>
        <v>0</v>
      </c>
      <c r="NZ46" s="1185">
        <f t="shared" si="364"/>
        <v>0</v>
      </c>
      <c r="OA46" s="1185">
        <f t="shared" si="365"/>
        <v>0</v>
      </c>
      <c r="OB46" s="1185">
        <f t="shared" si="366"/>
        <v>0</v>
      </c>
      <c r="OC46" s="1185">
        <f t="shared" si="367"/>
        <v>0</v>
      </c>
      <c r="OY46" s="1794" t="s">
        <v>1194</v>
      </c>
      <c r="OZ46" s="1799">
        <v>46</v>
      </c>
    </row>
    <row r="47" spans="1:416" ht="12" customHeight="1">
      <c r="A47" s="53" t="str">
        <f t="shared" si="0"/>
        <v/>
      </c>
      <c r="B47" s="782"/>
      <c r="C47" s="85"/>
      <c r="D47" s="1187"/>
      <c r="E47" s="86"/>
      <c r="F47" s="86"/>
      <c r="G47" s="86"/>
      <c r="H47" s="86"/>
      <c r="I47" s="86"/>
      <c r="J47" s="765">
        <f>IF(C47="",0,HLOOKUP(C47,'Part IV-Utility Allowances'!$I$11:$M$25,15))</f>
        <v>0</v>
      </c>
      <c r="K47" s="473"/>
      <c r="L47" s="330">
        <f t="shared" si="1"/>
        <v>0</v>
      </c>
      <c r="M47" s="330">
        <f t="shared" si="2"/>
        <v>0</v>
      </c>
      <c r="N47" s="506"/>
      <c r="O47" s="1134"/>
      <c r="P47" s="506"/>
      <c r="Q47" s="87"/>
      <c r="R47" s="540"/>
      <c r="S47" s="541"/>
      <c r="T47" s="3758"/>
      <c r="U47" s="3759"/>
      <c r="V47" s="3759"/>
      <c r="W47" s="3760"/>
      <c r="X47" s="251" t="str">
        <f t="shared" si="3"/>
        <v/>
      </c>
      <c r="Y47" s="251" t="str">
        <f t="shared" si="4"/>
        <v/>
      </c>
      <c r="Z47" s="251" t="str">
        <f t="shared" si="5"/>
        <v/>
      </c>
      <c r="AA47" s="251" t="str">
        <f t="shared" si="6"/>
        <v/>
      </c>
      <c r="AB47" s="251" t="str">
        <f t="shared" si="7"/>
        <v/>
      </c>
      <c r="AC47" s="251" t="str">
        <f t="shared" si="8"/>
        <v/>
      </c>
      <c r="AD47" s="251" t="str">
        <f t="shared" si="9"/>
        <v/>
      </c>
      <c r="AE47" s="251" t="str">
        <f t="shared" si="10"/>
        <v/>
      </c>
      <c r="AF47" s="251" t="str">
        <f t="shared" si="11"/>
        <v/>
      </c>
      <c r="AG47" s="251" t="str">
        <f t="shared" si="12"/>
        <v/>
      </c>
      <c r="AH47" s="251" t="str">
        <f t="shared" si="13"/>
        <v/>
      </c>
      <c r="AI47" s="251" t="str">
        <f t="shared" si="14"/>
        <v/>
      </c>
      <c r="AJ47" s="251" t="str">
        <f t="shared" si="15"/>
        <v/>
      </c>
      <c r="AK47" s="251" t="str">
        <f t="shared" si="16"/>
        <v/>
      </c>
      <c r="AL47" s="251" t="str">
        <f t="shared" si="17"/>
        <v/>
      </c>
      <c r="AM47" s="251" t="str">
        <f t="shared" si="18"/>
        <v/>
      </c>
      <c r="AN47" s="251" t="str">
        <f t="shared" si="19"/>
        <v/>
      </c>
      <c r="AO47" s="251" t="str">
        <f t="shared" si="20"/>
        <v/>
      </c>
      <c r="AP47" s="251" t="str">
        <f t="shared" si="21"/>
        <v/>
      </c>
      <c r="AQ47" s="251" t="str">
        <f t="shared" si="22"/>
        <v/>
      </c>
      <c r="AR47" s="251" t="str">
        <f t="shared" si="23"/>
        <v/>
      </c>
      <c r="AS47" s="251" t="str">
        <f t="shared" si="24"/>
        <v/>
      </c>
      <c r="AT47" s="251" t="str">
        <f t="shared" si="25"/>
        <v/>
      </c>
      <c r="AU47" s="251" t="str">
        <f t="shared" si="26"/>
        <v/>
      </c>
      <c r="AV47" s="251" t="str">
        <f t="shared" si="27"/>
        <v/>
      </c>
      <c r="AW47" s="251" t="str">
        <f t="shared" si="28"/>
        <v/>
      </c>
      <c r="AX47" s="251" t="str">
        <f t="shared" si="29"/>
        <v/>
      </c>
      <c r="AY47" s="251" t="str">
        <f t="shared" si="30"/>
        <v/>
      </c>
      <c r="AZ47" s="251" t="str">
        <f t="shared" si="31"/>
        <v/>
      </c>
      <c r="BA47" s="251" t="str">
        <f t="shared" si="32"/>
        <v/>
      </c>
      <c r="BB47" s="251" t="str">
        <f t="shared" si="33"/>
        <v/>
      </c>
      <c r="BC47" s="251" t="str">
        <f t="shared" si="34"/>
        <v/>
      </c>
      <c r="BD47" s="251" t="str">
        <f t="shared" si="35"/>
        <v/>
      </c>
      <c r="BE47" s="251" t="str">
        <f t="shared" si="36"/>
        <v/>
      </c>
      <c r="BF47" s="251" t="str">
        <f t="shared" si="37"/>
        <v/>
      </c>
      <c r="BG47" s="251" t="str">
        <f t="shared" si="38"/>
        <v/>
      </c>
      <c r="BH47" s="251" t="str">
        <f t="shared" si="39"/>
        <v/>
      </c>
      <c r="BI47" s="251" t="str">
        <f t="shared" si="40"/>
        <v/>
      </c>
      <c r="BJ47" s="251" t="str">
        <f t="shared" si="41"/>
        <v/>
      </c>
      <c r="BK47" s="251" t="str">
        <f t="shared" si="42"/>
        <v/>
      </c>
      <c r="BL47" s="251" t="str">
        <f t="shared" si="43"/>
        <v/>
      </c>
      <c r="BM47" s="251" t="str">
        <f t="shared" si="44"/>
        <v/>
      </c>
      <c r="BN47" s="251" t="str">
        <f t="shared" si="45"/>
        <v/>
      </c>
      <c r="BO47" s="251" t="str">
        <f t="shared" si="46"/>
        <v/>
      </c>
      <c r="BP47" s="251" t="str">
        <f t="shared" si="47"/>
        <v/>
      </c>
      <c r="BQ47" s="251" t="str">
        <f t="shared" si="48"/>
        <v/>
      </c>
      <c r="BR47" s="251" t="str">
        <f t="shared" si="49"/>
        <v/>
      </c>
      <c r="BS47" s="251" t="str">
        <f t="shared" si="50"/>
        <v/>
      </c>
      <c r="BT47" s="251" t="str">
        <f t="shared" si="51"/>
        <v/>
      </c>
      <c r="BU47" s="251" t="str">
        <f t="shared" si="52"/>
        <v/>
      </c>
      <c r="BV47" s="251" t="str">
        <f t="shared" si="53"/>
        <v/>
      </c>
      <c r="BW47" s="251" t="str">
        <f t="shared" si="54"/>
        <v/>
      </c>
      <c r="BX47" s="251" t="str">
        <f t="shared" si="55"/>
        <v/>
      </c>
      <c r="BY47" s="251" t="str">
        <f t="shared" si="56"/>
        <v/>
      </c>
      <c r="BZ47" s="251" t="str">
        <f t="shared" si="57"/>
        <v/>
      </c>
      <c r="CA47" s="251" t="str">
        <f t="shared" si="58"/>
        <v/>
      </c>
      <c r="CB47" s="251" t="str">
        <f t="shared" si="59"/>
        <v/>
      </c>
      <c r="CC47" s="251" t="str">
        <f t="shared" si="60"/>
        <v/>
      </c>
      <c r="CD47" s="251" t="str">
        <f t="shared" si="61"/>
        <v/>
      </c>
      <c r="CE47" s="251" t="str">
        <f t="shared" si="62"/>
        <v/>
      </c>
      <c r="CF47" s="251" t="str">
        <f t="shared" si="63"/>
        <v/>
      </c>
      <c r="CG47" s="251" t="str">
        <f t="shared" si="64"/>
        <v/>
      </c>
      <c r="CH47" s="251" t="str">
        <f t="shared" si="65"/>
        <v/>
      </c>
      <c r="CI47" s="251" t="str">
        <f t="shared" si="66"/>
        <v/>
      </c>
      <c r="CJ47" s="251" t="str">
        <f t="shared" si="67"/>
        <v/>
      </c>
      <c r="CK47" s="251" t="str">
        <f t="shared" si="68"/>
        <v/>
      </c>
      <c r="CL47" s="251" t="str">
        <f t="shared" si="69"/>
        <v/>
      </c>
      <c r="CM47" s="251" t="str">
        <f t="shared" si="70"/>
        <v/>
      </c>
      <c r="CN47" s="251" t="str">
        <f t="shared" si="71"/>
        <v/>
      </c>
      <c r="CO47" s="251" t="str">
        <f t="shared" si="72"/>
        <v/>
      </c>
      <c r="CP47" s="251" t="str">
        <f t="shared" si="73"/>
        <v/>
      </c>
      <c r="CQ47" s="251" t="str">
        <f t="shared" si="74"/>
        <v/>
      </c>
      <c r="CR47" s="251" t="str">
        <f t="shared" si="75"/>
        <v/>
      </c>
      <c r="CS47" s="251" t="str">
        <f t="shared" si="76"/>
        <v/>
      </c>
      <c r="CT47" s="251" t="str">
        <f t="shared" si="77"/>
        <v/>
      </c>
      <c r="CU47" s="251" t="str">
        <f t="shared" si="78"/>
        <v/>
      </c>
      <c r="CV47" s="251" t="str">
        <f t="shared" si="79"/>
        <v/>
      </c>
      <c r="CW47" s="251" t="str">
        <f t="shared" si="80"/>
        <v/>
      </c>
      <c r="CX47" s="251" t="str">
        <f t="shared" si="81"/>
        <v/>
      </c>
      <c r="CY47" s="251" t="str">
        <f t="shared" si="82"/>
        <v/>
      </c>
      <c r="CZ47" s="251" t="str">
        <f t="shared" si="83"/>
        <v/>
      </c>
      <c r="DA47" s="251" t="str">
        <f t="shared" si="84"/>
        <v/>
      </c>
      <c r="DB47" s="251" t="str">
        <f t="shared" si="85"/>
        <v/>
      </c>
      <c r="DC47" s="251" t="str">
        <f t="shared" si="86"/>
        <v/>
      </c>
      <c r="DD47" s="251" t="str">
        <f t="shared" si="87"/>
        <v/>
      </c>
      <c r="DE47" s="251" t="str">
        <f t="shared" si="88"/>
        <v/>
      </c>
      <c r="DF47" s="251" t="str">
        <f t="shared" si="89"/>
        <v/>
      </c>
      <c r="DG47" s="251" t="str">
        <f t="shared" si="90"/>
        <v/>
      </c>
      <c r="DH47" s="251" t="str">
        <f t="shared" si="91"/>
        <v/>
      </c>
      <c r="DI47" s="251" t="str">
        <f t="shared" si="92"/>
        <v/>
      </c>
      <c r="DJ47" s="251" t="str">
        <f t="shared" si="93"/>
        <v/>
      </c>
      <c r="DK47" s="251" t="str">
        <f t="shared" si="94"/>
        <v/>
      </c>
      <c r="DL47" s="251" t="str">
        <f t="shared" si="95"/>
        <v/>
      </c>
      <c r="DM47" s="251" t="str">
        <f t="shared" si="96"/>
        <v/>
      </c>
      <c r="DN47" s="251" t="str">
        <f t="shared" si="97"/>
        <v/>
      </c>
      <c r="DO47" s="251" t="str">
        <f t="shared" si="98"/>
        <v/>
      </c>
      <c r="DP47" s="251" t="str">
        <f t="shared" si="99"/>
        <v/>
      </c>
      <c r="DQ47" s="251" t="str">
        <f t="shared" si="100"/>
        <v/>
      </c>
      <c r="DR47" s="251" t="str">
        <f t="shared" si="101"/>
        <v/>
      </c>
      <c r="DS47" s="251" t="str">
        <f t="shared" si="102"/>
        <v/>
      </c>
      <c r="DT47" s="251" t="str">
        <f t="shared" si="103"/>
        <v/>
      </c>
      <c r="DU47" s="251" t="str">
        <f t="shared" si="104"/>
        <v/>
      </c>
      <c r="DV47" s="251" t="str">
        <f t="shared" si="105"/>
        <v/>
      </c>
      <c r="DW47" s="251" t="str">
        <f t="shared" si="106"/>
        <v/>
      </c>
      <c r="DX47" s="251" t="str">
        <f t="shared" si="107"/>
        <v/>
      </c>
      <c r="DY47" s="251" t="str">
        <f t="shared" si="108"/>
        <v/>
      </c>
      <c r="DZ47" s="251" t="str">
        <f t="shared" si="109"/>
        <v/>
      </c>
      <c r="EA47" s="251" t="str">
        <f t="shared" si="110"/>
        <v/>
      </c>
      <c r="EB47" s="251" t="str">
        <f t="shared" si="111"/>
        <v/>
      </c>
      <c r="EC47" s="251" t="str">
        <f t="shared" si="112"/>
        <v/>
      </c>
      <c r="ED47" s="251" t="str">
        <f t="shared" si="113"/>
        <v/>
      </c>
      <c r="EE47" s="251" t="str">
        <f t="shared" si="114"/>
        <v/>
      </c>
      <c r="EF47" s="251" t="str">
        <f t="shared" si="115"/>
        <v/>
      </c>
      <c r="EG47" s="251" t="str">
        <f t="shared" si="116"/>
        <v/>
      </c>
      <c r="EH47" s="251" t="str">
        <f t="shared" si="117"/>
        <v/>
      </c>
      <c r="EI47" s="251" t="str">
        <f t="shared" si="118"/>
        <v/>
      </c>
      <c r="EJ47" s="251" t="str">
        <f t="shared" si="119"/>
        <v/>
      </c>
      <c r="EK47" s="251" t="str">
        <f t="shared" si="120"/>
        <v/>
      </c>
      <c r="EL47" s="251" t="str">
        <f t="shared" si="121"/>
        <v/>
      </c>
      <c r="EM47" s="251" t="str">
        <f t="shared" si="122"/>
        <v/>
      </c>
      <c r="EN47" s="251" t="str">
        <f t="shared" si="123"/>
        <v/>
      </c>
      <c r="EO47" s="251" t="str">
        <f t="shared" si="124"/>
        <v/>
      </c>
      <c r="EP47" s="251" t="str">
        <f t="shared" si="125"/>
        <v/>
      </c>
      <c r="EQ47" s="251" t="str">
        <f t="shared" si="126"/>
        <v/>
      </c>
      <c r="ER47" s="251" t="str">
        <f t="shared" si="127"/>
        <v/>
      </c>
      <c r="ES47" s="251" t="str">
        <f t="shared" si="128"/>
        <v/>
      </c>
      <c r="ET47" s="251" t="str">
        <f t="shared" si="129"/>
        <v/>
      </c>
      <c r="EU47" s="251" t="str">
        <f t="shared" si="130"/>
        <v/>
      </c>
      <c r="EV47" s="251" t="str">
        <f t="shared" si="131"/>
        <v/>
      </c>
      <c r="EW47" s="251" t="str">
        <f t="shared" si="132"/>
        <v/>
      </c>
      <c r="EX47" s="251" t="str">
        <f t="shared" si="133"/>
        <v/>
      </c>
      <c r="EY47" s="251" t="str">
        <f t="shared" si="134"/>
        <v/>
      </c>
      <c r="EZ47" s="251" t="str">
        <f t="shared" si="135"/>
        <v/>
      </c>
      <c r="FA47" s="251" t="str">
        <f t="shared" si="136"/>
        <v/>
      </c>
      <c r="FB47" s="251" t="str">
        <f t="shared" si="137"/>
        <v/>
      </c>
      <c r="FC47" s="251" t="str">
        <f t="shared" si="138"/>
        <v/>
      </c>
      <c r="FD47" s="251" t="str">
        <f t="shared" si="139"/>
        <v/>
      </c>
      <c r="FE47" s="251" t="str">
        <f t="shared" si="140"/>
        <v/>
      </c>
      <c r="FF47" s="251" t="str">
        <f t="shared" si="141"/>
        <v/>
      </c>
      <c r="FG47" s="251" t="str">
        <f t="shared" si="142"/>
        <v/>
      </c>
      <c r="FH47" s="251" t="str">
        <f t="shared" si="143"/>
        <v/>
      </c>
      <c r="FI47" s="251" t="str">
        <f t="shared" si="144"/>
        <v/>
      </c>
      <c r="FJ47" s="251" t="str">
        <f t="shared" si="145"/>
        <v/>
      </c>
      <c r="FK47" s="251" t="str">
        <f t="shared" si="146"/>
        <v/>
      </c>
      <c r="FL47" s="251" t="str">
        <f t="shared" si="147"/>
        <v/>
      </c>
      <c r="FM47" s="251" t="str">
        <f t="shared" si="148"/>
        <v/>
      </c>
      <c r="FN47" s="251" t="str">
        <f t="shared" si="149"/>
        <v/>
      </c>
      <c r="FO47" s="251" t="str">
        <f t="shared" si="150"/>
        <v/>
      </c>
      <c r="FP47" s="251" t="str">
        <f t="shared" si="151"/>
        <v/>
      </c>
      <c r="FQ47" s="251" t="str">
        <f t="shared" si="152"/>
        <v/>
      </c>
      <c r="FR47" s="251" t="str">
        <f t="shared" si="153"/>
        <v/>
      </c>
      <c r="FS47" s="251" t="str">
        <f t="shared" si="154"/>
        <v/>
      </c>
      <c r="FT47" s="251" t="str">
        <f t="shared" si="155"/>
        <v/>
      </c>
      <c r="FU47" s="251" t="str">
        <f t="shared" si="156"/>
        <v/>
      </c>
      <c r="FV47" s="251" t="str">
        <f t="shared" si="157"/>
        <v/>
      </c>
      <c r="FW47" s="251" t="str">
        <f t="shared" si="158"/>
        <v/>
      </c>
      <c r="FX47" s="251" t="str">
        <f t="shared" si="159"/>
        <v/>
      </c>
      <c r="FY47" s="251" t="str">
        <f t="shared" si="160"/>
        <v/>
      </c>
      <c r="FZ47" s="251" t="str">
        <f t="shared" si="161"/>
        <v/>
      </c>
      <c r="GA47" s="251" t="str">
        <f t="shared" si="162"/>
        <v/>
      </c>
      <c r="GB47" s="251" t="str">
        <f t="shared" si="163"/>
        <v/>
      </c>
      <c r="GC47" s="251" t="str">
        <f t="shared" si="164"/>
        <v/>
      </c>
      <c r="GD47" s="251" t="str">
        <f t="shared" si="165"/>
        <v/>
      </c>
      <c r="GE47" s="251" t="str">
        <f t="shared" si="166"/>
        <v/>
      </c>
      <c r="GF47" s="251" t="str">
        <f t="shared" si="167"/>
        <v/>
      </c>
      <c r="GG47" s="251" t="str">
        <f t="shared" si="168"/>
        <v/>
      </c>
      <c r="GH47" s="251" t="str">
        <f t="shared" si="169"/>
        <v/>
      </c>
      <c r="GI47" s="251" t="str">
        <f t="shared" si="170"/>
        <v/>
      </c>
      <c r="GJ47" s="251" t="str">
        <f t="shared" si="171"/>
        <v/>
      </c>
      <c r="GK47" s="251" t="str">
        <f t="shared" si="172"/>
        <v/>
      </c>
      <c r="GL47" s="251" t="str">
        <f t="shared" si="173"/>
        <v/>
      </c>
      <c r="GM47" s="251" t="str">
        <f t="shared" si="174"/>
        <v/>
      </c>
      <c r="GN47" s="251" t="str">
        <f t="shared" si="175"/>
        <v/>
      </c>
      <c r="GO47" s="251" t="str">
        <f t="shared" si="176"/>
        <v/>
      </c>
      <c r="GP47" s="251" t="str">
        <f t="shared" si="177"/>
        <v/>
      </c>
      <c r="GQ47" s="251" t="str">
        <f t="shared" si="178"/>
        <v/>
      </c>
      <c r="GR47" s="251" t="str">
        <f t="shared" si="179"/>
        <v/>
      </c>
      <c r="GS47" s="251" t="str">
        <f t="shared" si="180"/>
        <v/>
      </c>
      <c r="GT47" s="251" t="str">
        <f t="shared" si="181"/>
        <v/>
      </c>
      <c r="GU47" s="251" t="str">
        <f t="shared" si="182"/>
        <v/>
      </c>
      <c r="GV47" s="251" t="str">
        <f t="shared" si="183"/>
        <v/>
      </c>
      <c r="GW47" s="251" t="str">
        <f t="shared" si="184"/>
        <v/>
      </c>
      <c r="GX47" s="251" t="str">
        <f t="shared" si="185"/>
        <v/>
      </c>
      <c r="GY47" s="251" t="str">
        <f t="shared" si="186"/>
        <v/>
      </c>
      <c r="GZ47" s="251" t="str">
        <f t="shared" si="187"/>
        <v/>
      </c>
      <c r="HA47" s="251" t="str">
        <f t="shared" si="188"/>
        <v/>
      </c>
      <c r="HB47" s="251" t="str">
        <f t="shared" si="189"/>
        <v/>
      </c>
      <c r="HC47" s="251" t="str">
        <f t="shared" si="190"/>
        <v/>
      </c>
      <c r="HD47" s="251" t="str">
        <f t="shared" si="191"/>
        <v/>
      </c>
      <c r="HE47" s="251" t="str">
        <f t="shared" si="192"/>
        <v/>
      </c>
      <c r="HF47" s="251" t="str">
        <f t="shared" si="193"/>
        <v/>
      </c>
      <c r="HG47" s="251" t="str">
        <f t="shared" si="194"/>
        <v/>
      </c>
      <c r="HH47" s="251" t="str">
        <f t="shared" si="195"/>
        <v/>
      </c>
      <c r="HI47" s="251" t="str">
        <f t="shared" si="196"/>
        <v/>
      </c>
      <c r="HJ47" s="251" t="str">
        <f t="shared" si="197"/>
        <v/>
      </c>
      <c r="HK47" s="251" t="str">
        <f t="shared" si="198"/>
        <v/>
      </c>
      <c r="HL47" s="251" t="str">
        <f t="shared" si="199"/>
        <v/>
      </c>
      <c r="HM47" s="251" t="str">
        <f t="shared" si="200"/>
        <v/>
      </c>
      <c r="HN47" s="251" t="str">
        <f t="shared" si="201"/>
        <v/>
      </c>
      <c r="HO47" s="251" t="str">
        <f t="shared" si="202"/>
        <v/>
      </c>
      <c r="HP47" s="251" t="str">
        <f t="shared" si="203"/>
        <v/>
      </c>
      <c r="HQ47" s="251" t="str">
        <f t="shared" si="204"/>
        <v/>
      </c>
      <c r="HR47" s="251" t="str">
        <f t="shared" si="205"/>
        <v/>
      </c>
      <c r="HS47" s="251" t="str">
        <f t="shared" si="206"/>
        <v/>
      </c>
      <c r="HT47" s="251" t="str">
        <f t="shared" si="207"/>
        <v/>
      </c>
      <c r="HU47" s="251" t="str">
        <f t="shared" si="208"/>
        <v/>
      </c>
      <c r="HV47" s="251" t="str">
        <f t="shared" si="209"/>
        <v/>
      </c>
      <c r="HW47" s="251" t="str">
        <f t="shared" si="210"/>
        <v/>
      </c>
      <c r="HX47" s="251" t="str">
        <f t="shared" si="211"/>
        <v/>
      </c>
      <c r="HY47" s="251" t="str">
        <f t="shared" si="212"/>
        <v/>
      </c>
      <c r="HZ47" s="251" t="str">
        <f t="shared" si="213"/>
        <v/>
      </c>
      <c r="IA47" s="251" t="str">
        <f t="shared" si="214"/>
        <v/>
      </c>
      <c r="IB47" s="251" t="str">
        <f t="shared" si="215"/>
        <v/>
      </c>
      <c r="IC47" s="251" t="str">
        <f t="shared" si="216"/>
        <v/>
      </c>
      <c r="ID47" s="251" t="str">
        <f t="shared" si="217"/>
        <v/>
      </c>
      <c r="IE47" s="251" t="str">
        <f t="shared" si="218"/>
        <v/>
      </c>
      <c r="IF47" s="251" t="str">
        <f t="shared" si="219"/>
        <v/>
      </c>
      <c r="IG47" s="251" t="str">
        <f t="shared" si="220"/>
        <v/>
      </c>
      <c r="IH47" s="251" t="str">
        <f t="shared" si="221"/>
        <v/>
      </c>
      <c r="II47" s="251" t="str">
        <f t="shared" si="222"/>
        <v/>
      </c>
      <c r="IJ47" s="251" t="str">
        <f t="shared" si="223"/>
        <v/>
      </c>
      <c r="IK47" s="251" t="str">
        <f t="shared" si="224"/>
        <v/>
      </c>
      <c r="IL47" s="251" t="str">
        <f t="shared" si="225"/>
        <v/>
      </c>
      <c r="IM47" s="251" t="str">
        <f t="shared" si="226"/>
        <v/>
      </c>
      <c r="IN47" s="251" t="str">
        <f t="shared" si="227"/>
        <v/>
      </c>
      <c r="IO47" s="251" t="str">
        <f t="shared" si="228"/>
        <v/>
      </c>
      <c r="IP47" s="251" t="str">
        <f t="shared" si="229"/>
        <v/>
      </c>
      <c r="IQ47" s="251" t="str">
        <f t="shared" si="230"/>
        <v/>
      </c>
      <c r="IR47" s="251" t="str">
        <f t="shared" si="231"/>
        <v/>
      </c>
      <c r="IS47" s="251" t="str">
        <f t="shared" si="232"/>
        <v/>
      </c>
      <c r="IT47" s="251" t="str">
        <f t="shared" si="233"/>
        <v/>
      </c>
      <c r="IU47" s="251" t="str">
        <f t="shared" si="234"/>
        <v/>
      </c>
      <c r="IV47" s="251" t="str">
        <f t="shared" si="235"/>
        <v/>
      </c>
      <c r="IW47" s="251" t="str">
        <f t="shared" si="236"/>
        <v/>
      </c>
      <c r="IX47" s="251" t="str">
        <f t="shared" si="237"/>
        <v/>
      </c>
      <c r="IY47" s="251" t="str">
        <f t="shared" si="238"/>
        <v/>
      </c>
      <c r="IZ47" s="251" t="str">
        <f t="shared" si="239"/>
        <v/>
      </c>
      <c r="JA47" s="251" t="str">
        <f t="shared" si="240"/>
        <v/>
      </c>
      <c r="JB47" s="251" t="str">
        <f t="shared" si="241"/>
        <v/>
      </c>
      <c r="JC47" s="251" t="str">
        <f t="shared" si="242"/>
        <v/>
      </c>
      <c r="JD47" s="251" t="str">
        <f t="shared" si="243"/>
        <v/>
      </c>
      <c r="JE47" s="251" t="str">
        <f t="shared" si="244"/>
        <v/>
      </c>
      <c r="JF47" s="251" t="str">
        <f t="shared" si="245"/>
        <v/>
      </c>
      <c r="JG47" s="251" t="str">
        <f t="shared" si="246"/>
        <v/>
      </c>
      <c r="JH47" s="251" t="str">
        <f t="shared" si="247"/>
        <v/>
      </c>
      <c r="JI47" s="1297" t="str">
        <f t="shared" si="248"/>
        <v/>
      </c>
      <c r="JJ47" s="1297" t="str">
        <f t="shared" si="249"/>
        <v/>
      </c>
      <c r="JK47" s="1297" t="str">
        <f t="shared" si="250"/>
        <v/>
      </c>
      <c r="JL47" s="1297" t="str">
        <f t="shared" si="251"/>
        <v/>
      </c>
      <c r="JM47" s="1297" t="str">
        <f t="shared" si="252"/>
        <v/>
      </c>
      <c r="JN47" s="1297" t="str">
        <f t="shared" si="253"/>
        <v/>
      </c>
      <c r="JO47" s="1297" t="str">
        <f t="shared" si="254"/>
        <v/>
      </c>
      <c r="JP47" s="1297" t="str">
        <f t="shared" si="255"/>
        <v/>
      </c>
      <c r="JQ47" s="1297" t="str">
        <f t="shared" si="256"/>
        <v/>
      </c>
      <c r="JR47" s="1297" t="str">
        <f t="shared" si="257"/>
        <v/>
      </c>
      <c r="JS47" s="1297" t="str">
        <f t="shared" si="258"/>
        <v/>
      </c>
      <c r="JT47" s="1297" t="str">
        <f t="shared" si="259"/>
        <v/>
      </c>
      <c r="JU47" s="1297" t="str">
        <f t="shared" si="260"/>
        <v/>
      </c>
      <c r="JV47" s="1297" t="str">
        <f t="shared" si="261"/>
        <v/>
      </c>
      <c r="JW47" s="1297" t="str">
        <f t="shared" si="262"/>
        <v/>
      </c>
      <c r="JX47" s="1297" t="str">
        <f t="shared" si="263"/>
        <v/>
      </c>
      <c r="JY47" s="1297" t="str">
        <f t="shared" si="264"/>
        <v/>
      </c>
      <c r="JZ47" s="1297" t="str">
        <f t="shared" si="265"/>
        <v/>
      </c>
      <c r="KA47" s="1297" t="str">
        <f t="shared" si="266"/>
        <v/>
      </c>
      <c r="KB47" s="1297" t="str">
        <f t="shared" si="267"/>
        <v/>
      </c>
      <c r="KC47" s="1297" t="str">
        <f t="shared" si="268"/>
        <v/>
      </c>
      <c r="KD47" s="1297" t="str">
        <f t="shared" si="269"/>
        <v/>
      </c>
      <c r="KE47" s="1297" t="str">
        <f t="shared" si="270"/>
        <v/>
      </c>
      <c r="KF47" s="1297" t="str">
        <f t="shared" si="271"/>
        <v/>
      </c>
      <c r="KG47" s="1297" t="str">
        <f t="shared" si="272"/>
        <v/>
      </c>
      <c r="KH47" s="1297" t="str">
        <f t="shared" si="273"/>
        <v/>
      </c>
      <c r="KI47" s="1297" t="str">
        <f t="shared" si="274"/>
        <v/>
      </c>
      <c r="KJ47" s="1297" t="str">
        <f t="shared" si="275"/>
        <v/>
      </c>
      <c r="KK47" s="1297" t="str">
        <f t="shared" si="276"/>
        <v/>
      </c>
      <c r="KL47" s="1297" t="str">
        <f t="shared" si="277"/>
        <v/>
      </c>
      <c r="KM47" s="1297" t="str">
        <f t="shared" si="278"/>
        <v/>
      </c>
      <c r="KN47" s="1297" t="str">
        <f t="shared" si="279"/>
        <v/>
      </c>
      <c r="KO47" s="1297" t="str">
        <f t="shared" si="280"/>
        <v/>
      </c>
      <c r="KP47" s="1297" t="str">
        <f t="shared" si="281"/>
        <v/>
      </c>
      <c r="KQ47" s="1297" t="str">
        <f t="shared" si="282"/>
        <v/>
      </c>
      <c r="KR47" s="1297" t="str">
        <f t="shared" si="283"/>
        <v/>
      </c>
      <c r="KS47" s="1297" t="str">
        <f t="shared" si="284"/>
        <v/>
      </c>
      <c r="KT47" s="1297" t="str">
        <f t="shared" si="285"/>
        <v/>
      </c>
      <c r="KU47" s="1297" t="str">
        <f t="shared" si="286"/>
        <v/>
      </c>
      <c r="KV47" s="1297" t="str">
        <f t="shared" si="287"/>
        <v/>
      </c>
      <c r="KW47" s="1297" t="str">
        <f t="shared" si="288"/>
        <v/>
      </c>
      <c r="KX47" s="1297" t="str">
        <f t="shared" si="289"/>
        <v/>
      </c>
      <c r="KY47" s="1297" t="str">
        <f t="shared" si="290"/>
        <v/>
      </c>
      <c r="KZ47" s="1297" t="str">
        <f t="shared" si="291"/>
        <v/>
      </c>
      <c r="LA47" s="1297" t="str">
        <f t="shared" si="292"/>
        <v/>
      </c>
      <c r="LB47" s="1297" t="str">
        <f t="shared" si="293"/>
        <v/>
      </c>
      <c r="LC47" s="1297" t="str">
        <f t="shared" si="294"/>
        <v/>
      </c>
      <c r="LD47" s="1297" t="str">
        <f t="shared" si="295"/>
        <v/>
      </c>
      <c r="LE47" s="1297" t="str">
        <f t="shared" si="296"/>
        <v/>
      </c>
      <c r="LF47" s="1297" t="str">
        <f t="shared" si="297"/>
        <v/>
      </c>
      <c r="LG47" s="1297" t="str">
        <f t="shared" si="298"/>
        <v/>
      </c>
      <c r="LH47" s="1297" t="str">
        <f t="shared" si="299"/>
        <v/>
      </c>
      <c r="LI47" s="1297" t="str">
        <f t="shared" si="300"/>
        <v/>
      </c>
      <c r="LJ47" s="1297" t="str">
        <f t="shared" si="301"/>
        <v/>
      </c>
      <c r="LK47" s="1297" t="str">
        <f t="shared" si="302"/>
        <v/>
      </c>
      <c r="LL47" s="1297" t="str">
        <f t="shared" si="303"/>
        <v/>
      </c>
      <c r="LM47" s="1297" t="str">
        <f t="shared" si="304"/>
        <v/>
      </c>
      <c r="LN47" s="1297" t="str">
        <f t="shared" si="305"/>
        <v/>
      </c>
      <c r="LO47" s="1297" t="str">
        <f t="shared" si="306"/>
        <v/>
      </c>
      <c r="LP47" s="1297" t="str">
        <f t="shared" si="307"/>
        <v/>
      </c>
      <c r="LQ47" s="1297" t="str">
        <f t="shared" si="308"/>
        <v/>
      </c>
      <c r="LR47" s="1297" t="str">
        <f t="shared" si="309"/>
        <v/>
      </c>
      <c r="LS47" s="1297" t="str">
        <f t="shared" si="310"/>
        <v/>
      </c>
      <c r="LT47" s="1297" t="str">
        <f t="shared" si="311"/>
        <v/>
      </c>
      <c r="LU47" s="1297" t="str">
        <f t="shared" si="312"/>
        <v/>
      </c>
      <c r="LV47" s="1297" t="str">
        <f t="shared" si="313"/>
        <v/>
      </c>
      <c r="LW47" s="1297" t="str">
        <f t="shared" si="314"/>
        <v/>
      </c>
      <c r="LX47" s="1297" t="str">
        <f t="shared" si="315"/>
        <v/>
      </c>
      <c r="LY47" s="1297" t="str">
        <f t="shared" si="316"/>
        <v/>
      </c>
      <c r="LZ47" s="1297" t="str">
        <f t="shared" si="317"/>
        <v/>
      </c>
      <c r="MA47" s="1297" t="str">
        <f t="shared" si="318"/>
        <v/>
      </c>
      <c r="MB47" s="1297" t="str">
        <f t="shared" si="319"/>
        <v/>
      </c>
      <c r="MC47" s="1297" t="str">
        <f t="shared" si="320"/>
        <v/>
      </c>
      <c r="MD47" s="1297" t="str">
        <f t="shared" si="321"/>
        <v/>
      </c>
      <c r="ME47" s="1297" t="str">
        <f t="shared" si="322"/>
        <v/>
      </c>
      <c r="MF47" s="1297" t="str">
        <f t="shared" si="323"/>
        <v/>
      </c>
      <c r="MG47" s="1297" t="str">
        <f t="shared" si="324"/>
        <v/>
      </c>
      <c r="MH47" s="1297" t="str">
        <f t="shared" si="325"/>
        <v/>
      </c>
      <c r="MI47" s="1297" t="str">
        <f t="shared" si="326"/>
        <v/>
      </c>
      <c r="MJ47" s="1297" t="str">
        <f t="shared" si="327"/>
        <v/>
      </c>
      <c r="MK47" s="1297" t="str">
        <f t="shared" si="328"/>
        <v/>
      </c>
      <c r="ML47" s="1297" t="str">
        <f t="shared" si="329"/>
        <v/>
      </c>
      <c r="MM47" s="1297" t="str">
        <f t="shared" si="330"/>
        <v/>
      </c>
      <c r="MN47" s="1297" t="str">
        <f t="shared" si="331"/>
        <v/>
      </c>
      <c r="MO47" s="1297" t="str">
        <f t="shared" si="332"/>
        <v/>
      </c>
      <c r="MP47" s="1773" t="str">
        <f t="shared" si="333"/>
        <v/>
      </c>
      <c r="MQ47" s="1773" t="str">
        <f t="shared" si="334"/>
        <v/>
      </c>
      <c r="MR47" s="1773" t="str">
        <f t="shared" si="335"/>
        <v/>
      </c>
      <c r="MS47" s="1773" t="str">
        <f t="shared" si="336"/>
        <v/>
      </c>
      <c r="MT47" s="1773" t="str">
        <f t="shared" si="337"/>
        <v/>
      </c>
      <c r="MU47" s="251" t="str">
        <f t="shared" si="338"/>
        <v/>
      </c>
      <c r="MV47" s="251" t="str">
        <f t="shared" si="339"/>
        <v/>
      </c>
      <c r="MW47" s="251" t="str">
        <f t="shared" si="340"/>
        <v/>
      </c>
      <c r="MX47" s="251" t="str">
        <f t="shared" si="341"/>
        <v/>
      </c>
      <c r="MY47" s="251" t="str">
        <f t="shared" si="342"/>
        <v/>
      </c>
      <c r="MZ47" s="251" t="str">
        <f t="shared" si="343"/>
        <v/>
      </c>
      <c r="NA47" s="251" t="str">
        <f t="shared" si="344"/>
        <v/>
      </c>
      <c r="NB47" s="251" t="str">
        <f t="shared" si="345"/>
        <v/>
      </c>
      <c r="NC47" s="251" t="str">
        <f t="shared" si="346"/>
        <v/>
      </c>
      <c r="ND47" s="251" t="str">
        <f t="shared" si="347"/>
        <v/>
      </c>
      <c r="NE47" s="251" t="str">
        <f t="shared" si="348"/>
        <v/>
      </c>
      <c r="NF47" s="251" t="str">
        <f t="shared" si="349"/>
        <v/>
      </c>
      <c r="NG47" s="251" t="str">
        <f t="shared" si="350"/>
        <v/>
      </c>
      <c r="NH47" s="251" t="str">
        <f t="shared" si="351"/>
        <v/>
      </c>
      <c r="NI47" s="251" t="str">
        <f t="shared" si="352"/>
        <v/>
      </c>
      <c r="NJ47" s="251" t="str">
        <f t="shared" si="353"/>
        <v/>
      </c>
      <c r="NK47" s="251" t="str">
        <f t="shared" si="354"/>
        <v/>
      </c>
      <c r="NL47" s="251" t="str">
        <f t="shared" si="355"/>
        <v/>
      </c>
      <c r="NM47" s="251" t="str">
        <f t="shared" si="356"/>
        <v/>
      </c>
      <c r="NN47" s="251" t="str">
        <f t="shared" si="357"/>
        <v/>
      </c>
      <c r="NO47" s="1185">
        <f t="shared" si="358"/>
        <v>0</v>
      </c>
      <c r="NP47" s="1185">
        <f t="shared" si="359"/>
        <v>0</v>
      </c>
      <c r="NQ47" s="1185">
        <f t="shared" si="360"/>
        <v>0</v>
      </c>
      <c r="NR47" s="1185">
        <f t="shared" si="361"/>
        <v>0</v>
      </c>
      <c r="NS47" s="1185">
        <f t="shared" si="362"/>
        <v>0</v>
      </c>
      <c r="NT47" s="1185">
        <f t="shared" si="368"/>
        <v>0</v>
      </c>
      <c r="NU47" s="1185">
        <f t="shared" si="369"/>
        <v>0</v>
      </c>
      <c r="NV47" s="1185">
        <f t="shared" si="370"/>
        <v>0</v>
      </c>
      <c r="NW47" s="1185">
        <f t="shared" si="371"/>
        <v>0</v>
      </c>
      <c r="NX47" s="1185">
        <f t="shared" si="372"/>
        <v>0</v>
      </c>
      <c r="NY47" s="1185">
        <f t="shared" si="363"/>
        <v>0</v>
      </c>
      <c r="NZ47" s="1185">
        <f t="shared" si="364"/>
        <v>0</v>
      </c>
      <c r="OA47" s="1185">
        <f t="shared" si="365"/>
        <v>0</v>
      </c>
      <c r="OB47" s="1185">
        <f t="shared" si="366"/>
        <v>0</v>
      </c>
      <c r="OC47" s="1185">
        <f t="shared" si="367"/>
        <v>0</v>
      </c>
      <c r="OY47" s="1794" t="s">
        <v>1195</v>
      </c>
      <c r="OZ47" s="1798">
        <v>47</v>
      </c>
    </row>
    <row r="48" spans="1:416" ht="12" customHeight="1">
      <c r="A48" s="53" t="str">
        <f t="shared" ref="A48:A51" si="376">IF(AND(E48&gt;0,OR(B48="",C48="",D48="",F48="",G48="", H48="",I48="",N48="",O48="",P48="",Q48="")),1,"")</f>
        <v/>
      </c>
      <c r="B48" s="782"/>
      <c r="C48" s="85"/>
      <c r="D48" s="1187"/>
      <c r="E48" s="86"/>
      <c r="F48" s="86"/>
      <c r="G48" s="86"/>
      <c r="H48" s="86"/>
      <c r="I48" s="86"/>
      <c r="J48" s="765">
        <f>IF(C48="",0,HLOOKUP(C48,'Part IV-Utility Allowances'!$I$11:$M$25,15))</f>
        <v>0</v>
      </c>
      <c r="K48" s="473"/>
      <c r="L48" s="330">
        <f t="shared" ref="L48:L51" si="377">MAX(0,H48-I48-J48)</f>
        <v>0</v>
      </c>
      <c r="M48" s="330">
        <f t="shared" ref="M48:M51" si="378">MAX(0,E48*L48)</f>
        <v>0</v>
      </c>
      <c r="N48" s="506"/>
      <c r="O48" s="1134"/>
      <c r="P48" s="506"/>
      <c r="Q48" s="87"/>
      <c r="R48" s="540"/>
      <c r="S48" s="541"/>
      <c r="T48" s="3758"/>
      <c r="U48" s="3759"/>
      <c r="V48" s="3759"/>
      <c r="W48" s="3760"/>
      <c r="X48" s="251" t="str">
        <f t="shared" ref="X48:X51" si="379">IF(AND(C48="Efficiency",B48=80,NOT(N48="Common Space")),E48,"")</f>
        <v/>
      </c>
      <c r="Y48" s="251" t="str">
        <f t="shared" ref="Y48:Y51" si="380">IF(AND(C48=1,B48=80,NOT(N48="Common Space")),E48,"")</f>
        <v/>
      </c>
      <c r="Z48" s="251" t="str">
        <f t="shared" ref="Z48:Z51" si="381">IF(AND(C48=2,B48=80,NOT(N48="Common Space")),E48,"")</f>
        <v/>
      </c>
      <c r="AA48" s="251" t="str">
        <f t="shared" ref="AA48:AA51" si="382">IF(AND(C48=3,B48=80,NOT(N48="Common Space")),E48,"")</f>
        <v/>
      </c>
      <c r="AB48" s="251" t="str">
        <f t="shared" ref="AB48:AB51" si="383">IF(AND(C48=4,B48=80,NOT(N48="Common Space")),E48,"")</f>
        <v/>
      </c>
      <c r="AC48" s="251" t="str">
        <f t="shared" ref="AC48:AC51" si="384">IF(AND(C48="Efficiency",B48=70,NOT(N48="Common Space")),E48,"")</f>
        <v/>
      </c>
      <c r="AD48" s="251" t="str">
        <f t="shared" ref="AD48:AD51" si="385">IF(AND(C48=1,B48=70,NOT(N48="Common Space")),E48,"")</f>
        <v/>
      </c>
      <c r="AE48" s="251" t="str">
        <f t="shared" ref="AE48:AE51" si="386">IF(AND(C48=2,B48=70,NOT(N48="Common Space")),E48,"")</f>
        <v/>
      </c>
      <c r="AF48" s="251" t="str">
        <f t="shared" ref="AF48:AF51" si="387">IF(AND(C48=3,B48=70,NOT(N48="Common Space")),E48,"")</f>
        <v/>
      </c>
      <c r="AG48" s="251" t="str">
        <f t="shared" ref="AG48:AG51" si="388">IF(AND(C48=4,B48=70,NOT(N48="Common Space")),E48,"")</f>
        <v/>
      </c>
      <c r="AH48" s="251" t="str">
        <f t="shared" ref="AH48:AH51" si="389">IF(AND(C48="Efficiency",B48=60,NOT(N48="Common Space")),E48,"")</f>
        <v/>
      </c>
      <c r="AI48" s="251" t="str">
        <f t="shared" ref="AI48:AI51" si="390">IF(AND(C48=1,B48=60,NOT(N48="Common Space")),E48,"")</f>
        <v/>
      </c>
      <c r="AJ48" s="251" t="str">
        <f t="shared" ref="AJ48:AJ51" si="391">IF(AND(C48=2,B48=60,NOT(N48="Common Space")),E48,"")</f>
        <v/>
      </c>
      <c r="AK48" s="251" t="str">
        <f t="shared" ref="AK48:AK51" si="392">IF(AND(C48=3,B48=60,NOT(N48="Common Space")),E48,"")</f>
        <v/>
      </c>
      <c r="AL48" s="251" t="str">
        <f t="shared" ref="AL48:AL51" si="393">IF(AND(C48=4,B48=60,NOT(N48="Common Space")),E48,"")</f>
        <v/>
      </c>
      <c r="AM48" s="251" t="str">
        <f t="shared" ref="AM48:AM51" si="394">IF(AND(C48="Efficiency",B48=50,NOT(N48="Common Space")),E48,"")</f>
        <v/>
      </c>
      <c r="AN48" s="251" t="str">
        <f t="shared" ref="AN48:AN51" si="395">IF(AND(C48=1,B48=50,NOT(N48="Common Space")),E48,"")</f>
        <v/>
      </c>
      <c r="AO48" s="251" t="str">
        <f t="shared" ref="AO48:AO51" si="396">IF(AND(C48=2,B48=50,NOT(N48="Common Space")),E48,"")</f>
        <v/>
      </c>
      <c r="AP48" s="251" t="str">
        <f t="shared" ref="AP48:AP51" si="397">IF(AND(C48=3,B48=50,NOT(N48="Common Space")),E48,"")</f>
        <v/>
      </c>
      <c r="AQ48" s="251" t="str">
        <f t="shared" ref="AQ48:AQ51" si="398">IF(AND(C48=4,B48=50,NOT(N48="Common Space")),E48,"")</f>
        <v/>
      </c>
      <c r="AR48" s="251" t="str">
        <f t="shared" ref="AR48:AR51" si="399">IF(AND(C48="Efficiency",B48=40,NOT(N48="Common Space")),E48,"")</f>
        <v/>
      </c>
      <c r="AS48" s="251" t="str">
        <f t="shared" ref="AS48:AS51" si="400">IF(AND(C48=1,B48=40,NOT(N48="Common Space")),E48,"")</f>
        <v/>
      </c>
      <c r="AT48" s="251" t="str">
        <f t="shared" ref="AT48:AT51" si="401">IF(AND(C48=2,B48=40,NOT(N48="Common Space")),E48,"")</f>
        <v/>
      </c>
      <c r="AU48" s="251" t="str">
        <f t="shared" ref="AU48:AU51" si="402">IF(AND(C48=3,B48=40,NOT(N48="Common Space")),E48,"")</f>
        <v/>
      </c>
      <c r="AV48" s="251" t="str">
        <f t="shared" ref="AV48:AV51" si="403">IF(AND(C48=4,B48=40,NOT(N48="Common Space")),E48,"")</f>
        <v/>
      </c>
      <c r="AW48" s="251" t="str">
        <f t="shared" ref="AW48:AW51" si="404">IF(AND(C48="Efficiency",B48=30,NOT(N48="Common Space")),E48,"")</f>
        <v/>
      </c>
      <c r="AX48" s="251" t="str">
        <f t="shared" ref="AX48:AX51" si="405">IF(AND(C48=1,B48=30,NOT(N48="Common Space")),E48,"")</f>
        <v/>
      </c>
      <c r="AY48" s="251" t="str">
        <f t="shared" ref="AY48:AY51" si="406">IF(AND(C48=2,B48=30,NOT(N48="Common Space")),E48,"")</f>
        <v/>
      </c>
      <c r="AZ48" s="251" t="str">
        <f t="shared" ref="AZ48:AZ51" si="407">IF(AND(C48=3,B48=30,NOT(N48="Common Space")),E48,"")</f>
        <v/>
      </c>
      <c r="BA48" s="251" t="str">
        <f t="shared" ref="BA48:BA51" si="408">IF(AND(C48=4,B48=30,NOT(N48="Common Space")),E48,"")</f>
        <v/>
      </c>
      <c r="BB48" s="251" t="str">
        <f t="shared" ref="BB48:BB51" si="409">IF(AND(C48="Efficiency",B48=20,NOT(N48="Common Space")),E48,"")</f>
        <v/>
      </c>
      <c r="BC48" s="251" t="str">
        <f t="shared" ref="BC48:BC51" si="410">IF(AND(C48=1,B48=20,NOT(N48="Common Space")),E48,"")</f>
        <v/>
      </c>
      <c r="BD48" s="251" t="str">
        <f t="shared" ref="BD48:BD51" si="411">IF(AND(C48=2,B48=20,NOT(N48="Common Space")),E48,"")</f>
        <v/>
      </c>
      <c r="BE48" s="251" t="str">
        <f t="shared" ref="BE48:BE51" si="412">IF(AND(C48=3,B48=20,NOT(N48="Common Space")),E48,"")</f>
        <v/>
      </c>
      <c r="BF48" s="251" t="str">
        <f t="shared" ref="BF48:BF51" si="413">IF(AND(C48=4,B48=20,NOT(N48="Common Space")),E48,"")</f>
        <v/>
      </c>
      <c r="BG48" s="251" t="str">
        <f t="shared" ref="BG48:BG51" si="414">IF(AND(C48="Efficiency",B48="Unrestricted",NOT(N48="Common Space")),E48,"")</f>
        <v/>
      </c>
      <c r="BH48" s="251" t="str">
        <f t="shared" ref="BH48:BH51" si="415">IF(AND(C48=1,B48="Unrestricted",NOT(N48="Common Space")),E48,"")</f>
        <v/>
      </c>
      <c r="BI48" s="251" t="str">
        <f t="shared" ref="BI48:BI51" si="416">IF(AND(C48=2,B48="Unrestricted",NOT(N48="Common Space")),E48,"")</f>
        <v/>
      </c>
      <c r="BJ48" s="251" t="str">
        <f t="shared" ref="BJ48:BJ51" si="417">IF(AND(C48=3,B48="Unrestricted",NOT(N48="Common Space")),E48,"")</f>
        <v/>
      </c>
      <c r="BK48" s="251" t="str">
        <f t="shared" ref="BK48:BK51" si="418">IF(AND(C48=4,B48="Unrestricted",NOT(N48="Common Space")),E48,"")</f>
        <v/>
      </c>
      <c r="BL48" s="251" t="str">
        <f t="shared" si="43"/>
        <v/>
      </c>
      <c r="BM48" s="251" t="str">
        <f t="shared" si="44"/>
        <v/>
      </c>
      <c r="BN48" s="251" t="str">
        <f t="shared" si="45"/>
        <v/>
      </c>
      <c r="BO48" s="251" t="str">
        <f t="shared" si="46"/>
        <v/>
      </c>
      <c r="BP48" s="251" t="str">
        <f t="shared" si="47"/>
        <v/>
      </c>
      <c r="BQ48" s="251" t="str">
        <f t="shared" si="48"/>
        <v/>
      </c>
      <c r="BR48" s="251" t="str">
        <f t="shared" si="49"/>
        <v/>
      </c>
      <c r="BS48" s="251" t="str">
        <f t="shared" si="50"/>
        <v/>
      </c>
      <c r="BT48" s="251" t="str">
        <f t="shared" si="51"/>
        <v/>
      </c>
      <c r="BU48" s="251" t="str">
        <f t="shared" si="52"/>
        <v/>
      </c>
      <c r="BV48" s="251" t="str">
        <f t="shared" si="53"/>
        <v/>
      </c>
      <c r="BW48" s="251" t="str">
        <f t="shared" si="54"/>
        <v/>
      </c>
      <c r="BX48" s="251" t="str">
        <f t="shared" si="55"/>
        <v/>
      </c>
      <c r="BY48" s="251" t="str">
        <f t="shared" si="56"/>
        <v/>
      </c>
      <c r="BZ48" s="251" t="str">
        <f t="shared" si="57"/>
        <v/>
      </c>
      <c r="CA48" s="251" t="str">
        <f t="shared" si="58"/>
        <v/>
      </c>
      <c r="CB48" s="251" t="str">
        <f t="shared" si="59"/>
        <v/>
      </c>
      <c r="CC48" s="251" t="str">
        <f t="shared" si="60"/>
        <v/>
      </c>
      <c r="CD48" s="251" t="str">
        <f t="shared" si="61"/>
        <v/>
      </c>
      <c r="CE48" s="251" t="str">
        <f t="shared" si="62"/>
        <v/>
      </c>
      <c r="CF48" s="251" t="str">
        <f t="shared" si="63"/>
        <v/>
      </c>
      <c r="CG48" s="251" t="str">
        <f t="shared" si="64"/>
        <v/>
      </c>
      <c r="CH48" s="251" t="str">
        <f t="shared" si="65"/>
        <v/>
      </c>
      <c r="CI48" s="251" t="str">
        <f t="shared" si="66"/>
        <v/>
      </c>
      <c r="CJ48" s="251" t="str">
        <f t="shared" si="67"/>
        <v/>
      </c>
      <c r="CK48" s="251" t="str">
        <f t="shared" si="68"/>
        <v/>
      </c>
      <c r="CL48" s="251" t="str">
        <f t="shared" si="69"/>
        <v/>
      </c>
      <c r="CM48" s="251" t="str">
        <f t="shared" si="70"/>
        <v/>
      </c>
      <c r="CN48" s="251" t="str">
        <f t="shared" si="71"/>
        <v/>
      </c>
      <c r="CO48" s="251" t="str">
        <f t="shared" si="72"/>
        <v/>
      </c>
      <c r="CP48" s="251" t="str">
        <f t="shared" si="73"/>
        <v/>
      </c>
      <c r="CQ48" s="251" t="str">
        <f t="shared" si="74"/>
        <v/>
      </c>
      <c r="CR48" s="251" t="str">
        <f t="shared" si="75"/>
        <v/>
      </c>
      <c r="CS48" s="251" t="str">
        <f t="shared" si="76"/>
        <v/>
      </c>
      <c r="CT48" s="251" t="str">
        <f t="shared" si="77"/>
        <v/>
      </c>
      <c r="CU48" s="251" t="str">
        <f t="shared" si="78"/>
        <v/>
      </c>
      <c r="CV48" s="251" t="str">
        <f t="shared" si="79"/>
        <v/>
      </c>
      <c r="CW48" s="251" t="str">
        <f t="shared" si="80"/>
        <v/>
      </c>
      <c r="CX48" s="251" t="str">
        <f t="shared" si="81"/>
        <v/>
      </c>
      <c r="CY48" s="251" t="str">
        <f t="shared" si="82"/>
        <v/>
      </c>
      <c r="CZ48" s="251" t="str">
        <f t="shared" si="83"/>
        <v/>
      </c>
      <c r="DA48" s="251" t="str">
        <f t="shared" si="84"/>
        <v/>
      </c>
      <c r="DB48" s="251" t="str">
        <f t="shared" si="85"/>
        <v/>
      </c>
      <c r="DC48" s="251" t="str">
        <f t="shared" si="86"/>
        <v/>
      </c>
      <c r="DD48" s="251" t="str">
        <f t="shared" si="87"/>
        <v/>
      </c>
      <c r="DE48" s="251" t="str">
        <f t="shared" si="88"/>
        <v/>
      </c>
      <c r="DF48" s="251" t="str">
        <f t="shared" si="89"/>
        <v/>
      </c>
      <c r="DG48" s="251" t="str">
        <f t="shared" si="90"/>
        <v/>
      </c>
      <c r="DH48" s="251" t="str">
        <f t="shared" si="91"/>
        <v/>
      </c>
      <c r="DI48" s="251" t="str">
        <f t="shared" si="92"/>
        <v/>
      </c>
      <c r="DJ48" s="251" t="str">
        <f t="shared" si="93"/>
        <v/>
      </c>
      <c r="DK48" s="251" t="str">
        <f t="shared" si="94"/>
        <v/>
      </c>
      <c r="DL48" s="251" t="str">
        <f t="shared" si="95"/>
        <v/>
      </c>
      <c r="DM48" s="251" t="str">
        <f t="shared" si="96"/>
        <v/>
      </c>
      <c r="DN48" s="251" t="str">
        <f t="shared" si="97"/>
        <v/>
      </c>
      <c r="DO48" s="251" t="str">
        <f t="shared" si="98"/>
        <v/>
      </c>
      <c r="DP48" s="251" t="str">
        <f t="shared" si="99"/>
        <v/>
      </c>
      <c r="DQ48" s="251" t="str">
        <f t="shared" si="100"/>
        <v/>
      </c>
      <c r="DR48" s="251" t="str">
        <f t="shared" si="101"/>
        <v/>
      </c>
      <c r="DS48" s="251" t="str">
        <f t="shared" si="102"/>
        <v/>
      </c>
      <c r="DT48" s="251" t="str">
        <f t="shared" si="103"/>
        <v/>
      </c>
      <c r="DU48" s="251" t="str">
        <f t="shared" si="104"/>
        <v/>
      </c>
      <c r="DV48" s="251" t="str">
        <f t="shared" si="105"/>
        <v/>
      </c>
      <c r="DW48" s="251" t="str">
        <f t="shared" si="106"/>
        <v/>
      </c>
      <c r="DX48" s="251" t="str">
        <f t="shared" si="107"/>
        <v/>
      </c>
      <c r="DY48" s="251" t="str">
        <f t="shared" si="108"/>
        <v/>
      </c>
      <c r="DZ48" s="251" t="str">
        <f t="shared" si="109"/>
        <v/>
      </c>
      <c r="EA48" s="251" t="str">
        <f t="shared" si="110"/>
        <v/>
      </c>
      <c r="EB48" s="251" t="str">
        <f t="shared" si="111"/>
        <v/>
      </c>
      <c r="EC48" s="251" t="str">
        <f t="shared" si="112"/>
        <v/>
      </c>
      <c r="ED48" s="251" t="str">
        <f t="shared" si="113"/>
        <v/>
      </c>
      <c r="EE48" s="251" t="str">
        <f t="shared" si="114"/>
        <v/>
      </c>
      <c r="EF48" s="251" t="str">
        <f t="shared" si="115"/>
        <v/>
      </c>
      <c r="EG48" s="251" t="str">
        <f t="shared" si="116"/>
        <v/>
      </c>
      <c r="EH48" s="251" t="str">
        <f t="shared" si="117"/>
        <v/>
      </c>
      <c r="EI48" s="251" t="str">
        <f t="shared" si="118"/>
        <v/>
      </c>
      <c r="EJ48" s="251" t="str">
        <f t="shared" si="119"/>
        <v/>
      </c>
      <c r="EK48" s="251" t="str">
        <f t="shared" si="120"/>
        <v/>
      </c>
      <c r="EL48" s="251" t="str">
        <f t="shared" si="121"/>
        <v/>
      </c>
      <c r="EM48" s="251" t="str">
        <f t="shared" si="122"/>
        <v/>
      </c>
      <c r="EN48" s="251" t="str">
        <f t="shared" si="123"/>
        <v/>
      </c>
      <c r="EO48" s="251" t="str">
        <f t="shared" si="124"/>
        <v/>
      </c>
      <c r="EP48" s="251" t="str">
        <f t="shared" si="125"/>
        <v/>
      </c>
      <c r="EQ48" s="251" t="str">
        <f t="shared" si="126"/>
        <v/>
      </c>
      <c r="ER48" s="251" t="str">
        <f t="shared" si="127"/>
        <v/>
      </c>
      <c r="ES48" s="251" t="str">
        <f t="shared" si="128"/>
        <v/>
      </c>
      <c r="ET48" s="251" t="str">
        <f t="shared" si="129"/>
        <v/>
      </c>
      <c r="EU48" s="251" t="str">
        <f t="shared" si="130"/>
        <v/>
      </c>
      <c r="EV48" s="251" t="str">
        <f t="shared" si="131"/>
        <v/>
      </c>
      <c r="EW48" s="251" t="str">
        <f t="shared" si="132"/>
        <v/>
      </c>
      <c r="EX48" s="251" t="str">
        <f t="shared" si="133"/>
        <v/>
      </c>
      <c r="EY48" s="251" t="str">
        <f t="shared" si="134"/>
        <v/>
      </c>
      <c r="EZ48" s="251" t="str">
        <f t="shared" si="135"/>
        <v/>
      </c>
      <c r="FA48" s="251" t="str">
        <f t="shared" si="136"/>
        <v/>
      </c>
      <c r="FB48" s="251" t="str">
        <f t="shared" si="137"/>
        <v/>
      </c>
      <c r="FC48" s="251" t="str">
        <f t="shared" si="138"/>
        <v/>
      </c>
      <c r="FD48" s="251" t="str">
        <f t="shared" si="139"/>
        <v/>
      </c>
      <c r="FE48" s="251" t="str">
        <f t="shared" si="140"/>
        <v/>
      </c>
      <c r="FF48" s="251" t="str">
        <f t="shared" si="141"/>
        <v/>
      </c>
      <c r="FG48" s="251" t="str">
        <f t="shared" si="142"/>
        <v/>
      </c>
      <c r="FH48" s="251" t="str">
        <f t="shared" si="143"/>
        <v/>
      </c>
      <c r="FI48" s="251" t="str">
        <f t="shared" si="144"/>
        <v/>
      </c>
      <c r="FJ48" s="251" t="str">
        <f t="shared" si="145"/>
        <v/>
      </c>
      <c r="FK48" s="251" t="str">
        <f t="shared" si="146"/>
        <v/>
      </c>
      <c r="FL48" s="251" t="str">
        <f t="shared" si="147"/>
        <v/>
      </c>
      <c r="FM48" s="251" t="str">
        <f t="shared" ref="FM48:FM51" si="419">IF(AND(C48="Efficiency",N48="Common Space"),E48,"")</f>
        <v/>
      </c>
      <c r="FN48" s="251" t="str">
        <f t="shared" ref="FN48:FN51" si="420">IF(AND(C48=1,N48="Common Space"),E48,"")</f>
        <v/>
      </c>
      <c r="FO48" s="251" t="str">
        <f t="shared" ref="FO48:FO51" si="421">IF(AND(C48=2,N48="Common Space"),E48,"")</f>
        <v/>
      </c>
      <c r="FP48" s="251" t="str">
        <f t="shared" ref="FP48:FP51" si="422">IF(AND(C48=3,N48="Common Space"),E48,"")</f>
        <v/>
      </c>
      <c r="FQ48" s="251" t="str">
        <f t="shared" ref="FQ48:FQ51" si="423">IF(AND(C48=4,N48="Common Space"),E48,"")</f>
        <v/>
      </c>
      <c r="FR48" s="251" t="str">
        <f t="shared" si="153"/>
        <v/>
      </c>
      <c r="FS48" s="251" t="str">
        <f t="shared" si="154"/>
        <v/>
      </c>
      <c r="FT48" s="251" t="str">
        <f t="shared" si="155"/>
        <v/>
      </c>
      <c r="FU48" s="251" t="str">
        <f t="shared" si="156"/>
        <v/>
      </c>
      <c r="FV48" s="251" t="str">
        <f t="shared" si="157"/>
        <v/>
      </c>
      <c r="FW48" s="251" t="str">
        <f t="shared" si="158"/>
        <v/>
      </c>
      <c r="FX48" s="251" t="str">
        <f t="shared" si="159"/>
        <v/>
      </c>
      <c r="FY48" s="251" t="str">
        <f t="shared" si="160"/>
        <v/>
      </c>
      <c r="FZ48" s="251" t="str">
        <f t="shared" si="161"/>
        <v/>
      </c>
      <c r="GA48" s="251" t="str">
        <f t="shared" si="162"/>
        <v/>
      </c>
      <c r="GB48" s="251" t="str">
        <f t="shared" si="163"/>
        <v/>
      </c>
      <c r="GC48" s="251" t="str">
        <f t="shared" si="164"/>
        <v/>
      </c>
      <c r="GD48" s="251" t="str">
        <f t="shared" si="165"/>
        <v/>
      </c>
      <c r="GE48" s="251" t="str">
        <f t="shared" si="166"/>
        <v/>
      </c>
      <c r="GF48" s="251" t="str">
        <f t="shared" si="167"/>
        <v/>
      </c>
      <c r="GG48" s="251" t="str">
        <f t="shared" si="168"/>
        <v/>
      </c>
      <c r="GH48" s="251" t="str">
        <f t="shared" si="169"/>
        <v/>
      </c>
      <c r="GI48" s="251" t="str">
        <f t="shared" si="170"/>
        <v/>
      </c>
      <c r="GJ48" s="251" t="str">
        <f t="shared" si="171"/>
        <v/>
      </c>
      <c r="GK48" s="251" t="str">
        <f t="shared" si="172"/>
        <v/>
      </c>
      <c r="GL48" s="251" t="str">
        <f t="shared" si="173"/>
        <v/>
      </c>
      <c r="GM48" s="251" t="str">
        <f t="shared" si="174"/>
        <v/>
      </c>
      <c r="GN48" s="251" t="str">
        <f t="shared" si="175"/>
        <v/>
      </c>
      <c r="GO48" s="251" t="str">
        <f t="shared" si="176"/>
        <v/>
      </c>
      <c r="GP48" s="251" t="str">
        <f t="shared" si="177"/>
        <v/>
      </c>
      <c r="GQ48" s="251" t="str">
        <f t="shared" si="178"/>
        <v/>
      </c>
      <c r="GR48" s="251" t="str">
        <f t="shared" si="179"/>
        <v/>
      </c>
      <c r="GS48" s="251" t="str">
        <f t="shared" si="180"/>
        <v/>
      </c>
      <c r="GT48" s="251" t="str">
        <f t="shared" si="181"/>
        <v/>
      </c>
      <c r="GU48" s="251" t="str">
        <f t="shared" si="182"/>
        <v/>
      </c>
      <c r="GV48" s="251" t="str">
        <f t="shared" si="183"/>
        <v/>
      </c>
      <c r="GW48" s="251" t="str">
        <f t="shared" si="184"/>
        <v/>
      </c>
      <c r="GX48" s="251" t="str">
        <f t="shared" si="185"/>
        <v/>
      </c>
      <c r="GY48" s="251" t="str">
        <f t="shared" si="186"/>
        <v/>
      </c>
      <c r="GZ48" s="251" t="str">
        <f t="shared" si="187"/>
        <v/>
      </c>
      <c r="HA48" s="251" t="str">
        <f t="shared" ref="HA48:HA51" si="424">IF(AND(C48="Efficiency",B48="Unrestricted",NOT(N48="Common Space")),E48*F48,"")</f>
        <v/>
      </c>
      <c r="HB48" s="251" t="str">
        <f t="shared" ref="HB48:HB51" si="425">IF(AND(C48=1,B48="Unrestricted",NOT(N48="Common Space")),E48*F48,"")</f>
        <v/>
      </c>
      <c r="HC48" s="251" t="str">
        <f t="shared" ref="HC48:HC51" si="426">IF(AND(C48=2,B48="Unrestricted",NOT(N48="Common Space")),E48*F48,"")</f>
        <v/>
      </c>
      <c r="HD48" s="251" t="str">
        <f t="shared" ref="HD48:HD51" si="427">IF(AND(C48=3,B48="Unrestricted",NOT(N48="Common Space")),E48*F48,"")</f>
        <v/>
      </c>
      <c r="HE48" s="251" t="str">
        <f t="shared" ref="HE48:HE51" si="428">IF(AND(C48=4,B48="Unrestricted",NOT(N48="Common Space")),E48*F48,"")</f>
        <v/>
      </c>
      <c r="HF48" s="251" t="str">
        <f t="shared" ref="HF48:HF51" si="429">IF(AND(C48="Efficiency",NOT(K48=""),NOT($K48=0),NOT(N48="Common Space")),E48*F48,"")</f>
        <v/>
      </c>
      <c r="HG48" s="251" t="str">
        <f t="shared" ref="HG48:HG51" si="430">IF(AND(C48=1,NOT(K48=""),NOT($K48=0),NOT(N48="Common Space")),E48*F48,"")</f>
        <v/>
      </c>
      <c r="HH48" s="251" t="str">
        <f t="shared" ref="HH48:HH51" si="431">IF(AND(C48=2,NOT(K48=""),NOT($K48=0),NOT(N48="Common Space")),E48*F48,"")</f>
        <v/>
      </c>
      <c r="HI48" s="251" t="str">
        <f t="shared" ref="HI48:HI51" si="432">IF(AND(C48=3,NOT(K48=""),NOT($K48=0),NOT(N48="Common Space")),E48*F48,"")</f>
        <v/>
      </c>
      <c r="HJ48" s="251" t="str">
        <f t="shared" ref="HJ48:HJ51" si="433">IF(AND(C48=4,NOT(K48=""),NOT($K48=0),NOT(N48="Common Space")),E48*F48,"")</f>
        <v/>
      </c>
      <c r="HK48" s="251" t="str">
        <f t="shared" ref="HK48:HK51" si="434">IF(AND(C48="Efficiency",N48="Common Space"),E48*F48,"")</f>
        <v/>
      </c>
      <c r="HL48" s="251" t="str">
        <f t="shared" ref="HL48:HL51" si="435">IF(AND(C48=1,N48="Common Space"),E48*F48,"")</f>
        <v/>
      </c>
      <c r="HM48" s="251" t="str">
        <f t="shared" ref="HM48:HM51" si="436">IF(AND(C48=2,N48="Common Space"),E48*F48,"")</f>
        <v/>
      </c>
      <c r="HN48" s="251" t="str">
        <f t="shared" ref="HN48:HN51" si="437">IF(AND(C48=3,N48="Common Space"),E48*F48,"")</f>
        <v/>
      </c>
      <c r="HO48" s="251" t="str">
        <f t="shared" ref="HO48:HO51" si="438">IF(AND(C48=4,N48="Common Space"),E48*F48,"")</f>
        <v/>
      </c>
      <c r="HP48" s="251" t="str">
        <f t="shared" si="203"/>
        <v/>
      </c>
      <c r="HQ48" s="251" t="str">
        <f t="shared" si="204"/>
        <v/>
      </c>
      <c r="HR48" s="251" t="str">
        <f t="shared" si="205"/>
        <v/>
      </c>
      <c r="HS48" s="251" t="str">
        <f t="shared" si="206"/>
        <v/>
      </c>
      <c r="HT48" s="251" t="str">
        <f t="shared" si="207"/>
        <v/>
      </c>
      <c r="HU48" s="251" t="str">
        <f t="shared" si="208"/>
        <v/>
      </c>
      <c r="HV48" s="251" t="str">
        <f t="shared" si="209"/>
        <v/>
      </c>
      <c r="HW48" s="251" t="str">
        <f t="shared" si="210"/>
        <v/>
      </c>
      <c r="HX48" s="251" t="str">
        <f t="shared" si="211"/>
        <v/>
      </c>
      <c r="HY48" s="251" t="str">
        <f t="shared" si="212"/>
        <v/>
      </c>
      <c r="HZ48" s="251" t="str">
        <f t="shared" si="213"/>
        <v/>
      </c>
      <c r="IA48" s="251" t="str">
        <f t="shared" si="214"/>
        <v/>
      </c>
      <c r="IB48" s="251" t="str">
        <f t="shared" si="215"/>
        <v/>
      </c>
      <c r="IC48" s="251" t="str">
        <f t="shared" si="216"/>
        <v/>
      </c>
      <c r="ID48" s="251" t="str">
        <f t="shared" si="217"/>
        <v/>
      </c>
      <c r="IE48" s="251" t="str">
        <f t="shared" si="218"/>
        <v/>
      </c>
      <c r="IF48" s="251" t="str">
        <f t="shared" si="219"/>
        <v/>
      </c>
      <c r="IG48" s="251" t="str">
        <f t="shared" si="220"/>
        <v/>
      </c>
      <c r="IH48" s="251" t="str">
        <f t="shared" si="221"/>
        <v/>
      </c>
      <c r="II48" s="251" t="str">
        <f t="shared" si="222"/>
        <v/>
      </c>
      <c r="IJ48" s="251" t="str">
        <f t="shared" si="223"/>
        <v/>
      </c>
      <c r="IK48" s="251" t="str">
        <f t="shared" si="224"/>
        <v/>
      </c>
      <c r="IL48" s="251" t="str">
        <f t="shared" si="225"/>
        <v/>
      </c>
      <c r="IM48" s="251" t="str">
        <f t="shared" si="226"/>
        <v/>
      </c>
      <c r="IN48" s="251" t="str">
        <f t="shared" si="227"/>
        <v/>
      </c>
      <c r="IO48" s="251" t="str">
        <f t="shared" si="228"/>
        <v/>
      </c>
      <c r="IP48" s="251" t="str">
        <f t="shared" si="229"/>
        <v/>
      </c>
      <c r="IQ48" s="251" t="str">
        <f t="shared" si="230"/>
        <v/>
      </c>
      <c r="IR48" s="251" t="str">
        <f t="shared" si="231"/>
        <v/>
      </c>
      <c r="IS48" s="251" t="str">
        <f t="shared" si="232"/>
        <v/>
      </c>
      <c r="IT48" s="251" t="str">
        <f t="shared" si="233"/>
        <v/>
      </c>
      <c r="IU48" s="251" t="str">
        <f t="shared" si="234"/>
        <v/>
      </c>
      <c r="IV48" s="251" t="str">
        <f t="shared" si="235"/>
        <v/>
      </c>
      <c r="IW48" s="251" t="str">
        <f t="shared" si="236"/>
        <v/>
      </c>
      <c r="IX48" s="251" t="str">
        <f t="shared" si="237"/>
        <v/>
      </c>
      <c r="IY48" s="251" t="str">
        <f t="shared" si="238"/>
        <v/>
      </c>
      <c r="IZ48" s="251" t="str">
        <f t="shared" si="239"/>
        <v/>
      </c>
      <c r="JA48" s="251" t="str">
        <f t="shared" si="240"/>
        <v/>
      </c>
      <c r="JB48" s="251" t="str">
        <f t="shared" si="241"/>
        <v/>
      </c>
      <c r="JC48" s="251" t="str">
        <f t="shared" si="242"/>
        <v/>
      </c>
      <c r="JD48" s="251" t="str">
        <f t="shared" si="243"/>
        <v/>
      </c>
      <c r="JE48" s="251" t="str">
        <f t="shared" si="244"/>
        <v/>
      </c>
      <c r="JF48" s="251" t="str">
        <f t="shared" si="245"/>
        <v/>
      </c>
      <c r="JG48" s="251" t="str">
        <f t="shared" si="246"/>
        <v/>
      </c>
      <c r="JH48" s="251" t="str">
        <f t="shared" si="247"/>
        <v/>
      </c>
      <c r="JI48" s="1297" t="str">
        <f t="shared" si="248"/>
        <v/>
      </c>
      <c r="JJ48" s="1297" t="str">
        <f t="shared" si="249"/>
        <v/>
      </c>
      <c r="JK48" s="1297" t="str">
        <f t="shared" si="250"/>
        <v/>
      </c>
      <c r="JL48" s="1297" t="str">
        <f t="shared" si="251"/>
        <v/>
      </c>
      <c r="JM48" s="1297" t="str">
        <f t="shared" si="252"/>
        <v/>
      </c>
      <c r="JN48" s="1297" t="str">
        <f t="shared" si="253"/>
        <v/>
      </c>
      <c r="JO48" s="1297" t="str">
        <f t="shared" si="254"/>
        <v/>
      </c>
      <c r="JP48" s="1297" t="str">
        <f t="shared" si="255"/>
        <v/>
      </c>
      <c r="JQ48" s="1297" t="str">
        <f t="shared" si="256"/>
        <v/>
      </c>
      <c r="JR48" s="1297" t="str">
        <f t="shared" si="257"/>
        <v/>
      </c>
      <c r="JS48" s="1297" t="str">
        <f t="shared" si="258"/>
        <v/>
      </c>
      <c r="JT48" s="1297" t="str">
        <f t="shared" si="259"/>
        <v/>
      </c>
      <c r="JU48" s="1297" t="str">
        <f t="shared" si="260"/>
        <v/>
      </c>
      <c r="JV48" s="1297" t="str">
        <f t="shared" si="261"/>
        <v/>
      </c>
      <c r="JW48" s="1297" t="str">
        <f t="shared" si="262"/>
        <v/>
      </c>
      <c r="JX48" s="1297" t="str">
        <f t="shared" si="263"/>
        <v/>
      </c>
      <c r="JY48" s="1297" t="str">
        <f t="shared" si="264"/>
        <v/>
      </c>
      <c r="JZ48" s="1297" t="str">
        <f t="shared" si="265"/>
        <v/>
      </c>
      <c r="KA48" s="1297" t="str">
        <f t="shared" si="266"/>
        <v/>
      </c>
      <c r="KB48" s="1297" t="str">
        <f t="shared" si="267"/>
        <v/>
      </c>
      <c r="KC48" s="1297" t="str">
        <f t="shared" si="268"/>
        <v/>
      </c>
      <c r="KD48" s="1297" t="str">
        <f t="shared" si="269"/>
        <v/>
      </c>
      <c r="KE48" s="1297" t="str">
        <f t="shared" si="270"/>
        <v/>
      </c>
      <c r="KF48" s="1297" t="str">
        <f t="shared" si="271"/>
        <v/>
      </c>
      <c r="KG48" s="1297" t="str">
        <f t="shared" si="272"/>
        <v/>
      </c>
      <c r="KH48" s="1297" t="str">
        <f t="shared" si="273"/>
        <v/>
      </c>
      <c r="KI48" s="1297" t="str">
        <f t="shared" si="274"/>
        <v/>
      </c>
      <c r="KJ48" s="1297" t="str">
        <f t="shared" si="275"/>
        <v/>
      </c>
      <c r="KK48" s="1297" t="str">
        <f t="shared" si="276"/>
        <v/>
      </c>
      <c r="KL48" s="1297" t="str">
        <f t="shared" si="277"/>
        <v/>
      </c>
      <c r="KM48" s="1297" t="str">
        <f t="shared" si="278"/>
        <v/>
      </c>
      <c r="KN48" s="1297" t="str">
        <f t="shared" si="279"/>
        <v/>
      </c>
      <c r="KO48" s="1297" t="str">
        <f t="shared" si="280"/>
        <v/>
      </c>
      <c r="KP48" s="1297" t="str">
        <f t="shared" si="281"/>
        <v/>
      </c>
      <c r="KQ48" s="1297" t="str">
        <f t="shared" si="282"/>
        <v/>
      </c>
      <c r="KR48" s="1297" t="str">
        <f t="shared" si="283"/>
        <v/>
      </c>
      <c r="KS48" s="1297" t="str">
        <f t="shared" si="284"/>
        <v/>
      </c>
      <c r="KT48" s="1297" t="str">
        <f t="shared" si="285"/>
        <v/>
      </c>
      <c r="KU48" s="1297" t="str">
        <f t="shared" si="286"/>
        <v/>
      </c>
      <c r="KV48" s="1297" t="str">
        <f t="shared" si="287"/>
        <v/>
      </c>
      <c r="KW48" s="1297" t="str">
        <f t="shared" si="288"/>
        <v/>
      </c>
      <c r="KX48" s="1297" t="str">
        <f t="shared" si="289"/>
        <v/>
      </c>
      <c r="KY48" s="1297" t="str">
        <f t="shared" si="290"/>
        <v/>
      </c>
      <c r="KZ48" s="1297" t="str">
        <f t="shared" si="291"/>
        <v/>
      </c>
      <c r="LA48" s="1297" t="str">
        <f t="shared" si="292"/>
        <v/>
      </c>
      <c r="LB48" s="1297" t="str">
        <f t="shared" si="293"/>
        <v/>
      </c>
      <c r="LC48" s="1297" t="str">
        <f t="shared" si="294"/>
        <v/>
      </c>
      <c r="LD48" s="1297" t="str">
        <f t="shared" si="295"/>
        <v/>
      </c>
      <c r="LE48" s="1297" t="str">
        <f t="shared" si="296"/>
        <v/>
      </c>
      <c r="LF48" s="1297" t="str">
        <f t="shared" si="297"/>
        <v/>
      </c>
      <c r="LG48" s="1297" t="str">
        <f t="shared" si="298"/>
        <v/>
      </c>
      <c r="LH48" s="1297" t="str">
        <f t="shared" si="299"/>
        <v/>
      </c>
      <c r="LI48" s="1297" t="str">
        <f t="shared" si="300"/>
        <v/>
      </c>
      <c r="LJ48" s="1297" t="str">
        <f t="shared" si="301"/>
        <v/>
      </c>
      <c r="LK48" s="1297" t="str">
        <f t="shared" si="302"/>
        <v/>
      </c>
      <c r="LL48" s="1297" t="str">
        <f t="shared" si="303"/>
        <v/>
      </c>
      <c r="LM48" s="1297" t="str">
        <f t="shared" si="304"/>
        <v/>
      </c>
      <c r="LN48" s="1297" t="str">
        <f t="shared" si="305"/>
        <v/>
      </c>
      <c r="LO48" s="1297" t="str">
        <f t="shared" si="306"/>
        <v/>
      </c>
      <c r="LP48" s="1297" t="str">
        <f t="shared" si="307"/>
        <v/>
      </c>
      <c r="LQ48" s="1297" t="str">
        <f t="shared" si="308"/>
        <v/>
      </c>
      <c r="LR48" s="1297" t="str">
        <f t="shared" si="309"/>
        <v/>
      </c>
      <c r="LS48" s="1297" t="str">
        <f t="shared" si="310"/>
        <v/>
      </c>
      <c r="LT48" s="1297" t="str">
        <f t="shared" si="311"/>
        <v/>
      </c>
      <c r="LU48" s="1297" t="str">
        <f t="shared" si="312"/>
        <v/>
      </c>
      <c r="LV48" s="1297" t="str">
        <f t="shared" si="313"/>
        <v/>
      </c>
      <c r="LW48" s="1297" t="str">
        <f t="shared" si="314"/>
        <v/>
      </c>
      <c r="LX48" s="1297" t="str">
        <f t="shared" si="315"/>
        <v/>
      </c>
      <c r="LY48" s="1297" t="str">
        <f t="shared" si="316"/>
        <v/>
      </c>
      <c r="LZ48" s="1297" t="str">
        <f t="shared" si="317"/>
        <v/>
      </c>
      <c r="MA48" s="1297" t="str">
        <f t="shared" si="318"/>
        <v/>
      </c>
      <c r="MB48" s="1297" t="str">
        <f t="shared" si="319"/>
        <v/>
      </c>
      <c r="MC48" s="1297" t="str">
        <f t="shared" si="320"/>
        <v/>
      </c>
      <c r="MD48" s="1297" t="str">
        <f t="shared" si="321"/>
        <v/>
      </c>
      <c r="ME48" s="1297" t="str">
        <f t="shared" si="322"/>
        <v/>
      </c>
      <c r="MF48" s="1297" t="str">
        <f t="shared" si="323"/>
        <v/>
      </c>
      <c r="MG48" s="1297" t="str">
        <f t="shared" si="324"/>
        <v/>
      </c>
      <c r="MH48" s="1297" t="str">
        <f t="shared" si="325"/>
        <v/>
      </c>
      <c r="MI48" s="1297" t="str">
        <f t="shared" si="326"/>
        <v/>
      </c>
      <c r="MJ48" s="1297" t="str">
        <f t="shared" si="327"/>
        <v/>
      </c>
      <c r="MK48" s="1297" t="str">
        <f t="shared" si="328"/>
        <v/>
      </c>
      <c r="ML48" s="1297" t="str">
        <f t="shared" si="329"/>
        <v/>
      </c>
      <c r="MM48" s="1297" t="str">
        <f t="shared" si="330"/>
        <v/>
      </c>
      <c r="MN48" s="1297" t="str">
        <f t="shared" si="331"/>
        <v/>
      </c>
      <c r="MO48" s="1297" t="str">
        <f t="shared" si="332"/>
        <v/>
      </c>
      <c r="MP48" s="1773" t="str">
        <f t="shared" si="333"/>
        <v/>
      </c>
      <c r="MQ48" s="1773" t="str">
        <f t="shared" si="334"/>
        <v/>
      </c>
      <c r="MR48" s="1773" t="str">
        <f t="shared" si="335"/>
        <v/>
      </c>
      <c r="MS48" s="1773" t="str">
        <f t="shared" si="336"/>
        <v/>
      </c>
      <c r="MT48" s="1773" t="str">
        <f t="shared" si="337"/>
        <v/>
      </c>
      <c r="MU48" s="251" t="str">
        <f t="shared" ref="MU48:MU51" si="439">IF(AND(C48="Efficiency",B48="NSP 120% AMI",NOT(N48="Common Space")),E48*F48,"")</f>
        <v/>
      </c>
      <c r="MV48" s="251" t="str">
        <f t="shared" ref="MV48:MV51" si="440">IF(AND(C48=1,B48="NSP 120% AMI",NOT(N48="Common Space")),E48*F48,"")</f>
        <v/>
      </c>
      <c r="MW48" s="251" t="str">
        <f t="shared" ref="MW48:MW51" si="441">IF(AND(C48=2,B48="NSP 120% AMI",NOT(N48="Common Space")),E48*F48,"")</f>
        <v/>
      </c>
      <c r="MX48" s="251" t="str">
        <f t="shared" ref="MX48:MX51" si="442">IF(AND(C48=3,B48="NSP 120% AMI",NOT(N48="Common Space")),E48*F48,"")</f>
        <v/>
      </c>
      <c r="MY48" s="251" t="str">
        <f t="shared" ref="MY48:MY51" si="443">IF(AND(C48=4,B48="NSP 120% AMI",NOT(N48="Common Space")),E48*F48,"")</f>
        <v/>
      </c>
      <c r="MZ48" s="251" t="str">
        <f t="shared" si="343"/>
        <v/>
      </c>
      <c r="NA48" s="251" t="str">
        <f t="shared" si="344"/>
        <v/>
      </c>
      <c r="NB48" s="251" t="str">
        <f t="shared" si="345"/>
        <v/>
      </c>
      <c r="NC48" s="251" t="str">
        <f t="shared" si="346"/>
        <v/>
      </c>
      <c r="ND48" s="251" t="str">
        <f t="shared" si="347"/>
        <v/>
      </c>
      <c r="NE48" s="251" t="str">
        <f t="shared" si="348"/>
        <v/>
      </c>
      <c r="NF48" s="251" t="str">
        <f t="shared" si="349"/>
        <v/>
      </c>
      <c r="NG48" s="251" t="str">
        <f t="shared" si="350"/>
        <v/>
      </c>
      <c r="NH48" s="251" t="str">
        <f t="shared" si="351"/>
        <v/>
      </c>
      <c r="NI48" s="251" t="str">
        <f t="shared" si="352"/>
        <v/>
      </c>
      <c r="NJ48" s="251" t="str">
        <f t="shared" si="353"/>
        <v/>
      </c>
      <c r="NK48" s="251" t="str">
        <f t="shared" si="354"/>
        <v/>
      </c>
      <c r="NL48" s="251" t="str">
        <f t="shared" si="355"/>
        <v/>
      </c>
      <c r="NM48" s="251" t="str">
        <f t="shared" si="356"/>
        <v/>
      </c>
      <c r="NN48" s="251" t="str">
        <f t="shared" si="357"/>
        <v/>
      </c>
      <c r="NO48" s="1185">
        <f t="shared" si="358"/>
        <v>0</v>
      </c>
      <c r="NP48" s="1185">
        <f t="shared" si="359"/>
        <v>0</v>
      </c>
      <c r="NQ48" s="1185">
        <f t="shared" si="360"/>
        <v>0</v>
      </c>
      <c r="NR48" s="1185">
        <f t="shared" si="361"/>
        <v>0</v>
      </c>
      <c r="NS48" s="1185">
        <f t="shared" si="362"/>
        <v>0</v>
      </c>
      <c r="NT48" s="1185">
        <f t="shared" si="368"/>
        <v>0</v>
      </c>
      <c r="NU48" s="1185">
        <f t="shared" si="369"/>
        <v>0</v>
      </c>
      <c r="NV48" s="1185">
        <f t="shared" si="370"/>
        <v>0</v>
      </c>
      <c r="NW48" s="1185">
        <f t="shared" si="371"/>
        <v>0</v>
      </c>
      <c r="NX48" s="1185">
        <f t="shared" si="372"/>
        <v>0</v>
      </c>
      <c r="NY48" s="1185">
        <f t="shared" si="363"/>
        <v>0</v>
      </c>
      <c r="NZ48" s="1185">
        <f t="shared" si="364"/>
        <v>0</v>
      </c>
      <c r="OA48" s="1185">
        <f t="shared" si="365"/>
        <v>0</v>
      </c>
      <c r="OB48" s="1185">
        <f t="shared" si="366"/>
        <v>0</v>
      </c>
      <c r="OC48" s="1185">
        <f t="shared" si="367"/>
        <v>0</v>
      </c>
      <c r="OY48" s="1794" t="s">
        <v>1195</v>
      </c>
      <c r="OZ48" s="1798">
        <v>48</v>
      </c>
    </row>
    <row r="49" spans="1:416" ht="12" customHeight="1">
      <c r="A49" s="53" t="str">
        <f t="shared" si="376"/>
        <v/>
      </c>
      <c r="B49" s="782"/>
      <c r="C49" s="85"/>
      <c r="D49" s="1187"/>
      <c r="E49" s="86"/>
      <c r="F49" s="86"/>
      <c r="G49" s="86"/>
      <c r="H49" s="86"/>
      <c r="I49" s="86"/>
      <c r="J49" s="765">
        <f>IF(C49="",0,HLOOKUP(C49,'Part IV-Utility Allowances'!$I$11:$M$25,15))</f>
        <v>0</v>
      </c>
      <c r="K49" s="473"/>
      <c r="L49" s="330">
        <f t="shared" si="377"/>
        <v>0</v>
      </c>
      <c r="M49" s="330">
        <f t="shared" si="378"/>
        <v>0</v>
      </c>
      <c r="N49" s="506"/>
      <c r="O49" s="1134"/>
      <c r="P49" s="506"/>
      <c r="Q49" s="87"/>
      <c r="R49" s="540"/>
      <c r="S49" s="541"/>
      <c r="T49" s="3758"/>
      <c r="U49" s="3759"/>
      <c r="V49" s="3759"/>
      <c r="W49" s="3760"/>
      <c r="X49" s="251" t="str">
        <f t="shared" si="379"/>
        <v/>
      </c>
      <c r="Y49" s="251" t="str">
        <f t="shared" si="380"/>
        <v/>
      </c>
      <c r="Z49" s="251" t="str">
        <f t="shared" si="381"/>
        <v/>
      </c>
      <c r="AA49" s="251" t="str">
        <f t="shared" si="382"/>
        <v/>
      </c>
      <c r="AB49" s="251" t="str">
        <f t="shared" si="383"/>
        <v/>
      </c>
      <c r="AC49" s="251" t="str">
        <f t="shared" si="384"/>
        <v/>
      </c>
      <c r="AD49" s="251" t="str">
        <f t="shared" si="385"/>
        <v/>
      </c>
      <c r="AE49" s="251" t="str">
        <f t="shared" si="386"/>
        <v/>
      </c>
      <c r="AF49" s="251" t="str">
        <f t="shared" si="387"/>
        <v/>
      </c>
      <c r="AG49" s="251" t="str">
        <f t="shared" si="388"/>
        <v/>
      </c>
      <c r="AH49" s="251" t="str">
        <f t="shared" si="389"/>
        <v/>
      </c>
      <c r="AI49" s="251" t="str">
        <f t="shared" si="390"/>
        <v/>
      </c>
      <c r="AJ49" s="251" t="str">
        <f t="shared" si="391"/>
        <v/>
      </c>
      <c r="AK49" s="251" t="str">
        <f t="shared" si="392"/>
        <v/>
      </c>
      <c r="AL49" s="251" t="str">
        <f t="shared" si="393"/>
        <v/>
      </c>
      <c r="AM49" s="251" t="str">
        <f t="shared" si="394"/>
        <v/>
      </c>
      <c r="AN49" s="251" t="str">
        <f t="shared" si="395"/>
        <v/>
      </c>
      <c r="AO49" s="251" t="str">
        <f t="shared" si="396"/>
        <v/>
      </c>
      <c r="AP49" s="251" t="str">
        <f t="shared" si="397"/>
        <v/>
      </c>
      <c r="AQ49" s="251" t="str">
        <f t="shared" si="398"/>
        <v/>
      </c>
      <c r="AR49" s="251" t="str">
        <f t="shared" si="399"/>
        <v/>
      </c>
      <c r="AS49" s="251" t="str">
        <f t="shared" si="400"/>
        <v/>
      </c>
      <c r="AT49" s="251" t="str">
        <f t="shared" si="401"/>
        <v/>
      </c>
      <c r="AU49" s="251" t="str">
        <f t="shared" si="402"/>
        <v/>
      </c>
      <c r="AV49" s="251" t="str">
        <f t="shared" si="403"/>
        <v/>
      </c>
      <c r="AW49" s="251" t="str">
        <f t="shared" si="404"/>
        <v/>
      </c>
      <c r="AX49" s="251" t="str">
        <f t="shared" si="405"/>
        <v/>
      </c>
      <c r="AY49" s="251" t="str">
        <f t="shared" si="406"/>
        <v/>
      </c>
      <c r="AZ49" s="251" t="str">
        <f t="shared" si="407"/>
        <v/>
      </c>
      <c r="BA49" s="251" t="str">
        <f t="shared" si="408"/>
        <v/>
      </c>
      <c r="BB49" s="251" t="str">
        <f t="shared" si="409"/>
        <v/>
      </c>
      <c r="BC49" s="251" t="str">
        <f t="shared" si="410"/>
        <v/>
      </c>
      <c r="BD49" s="251" t="str">
        <f t="shared" si="411"/>
        <v/>
      </c>
      <c r="BE49" s="251" t="str">
        <f t="shared" si="412"/>
        <v/>
      </c>
      <c r="BF49" s="251" t="str">
        <f t="shared" si="413"/>
        <v/>
      </c>
      <c r="BG49" s="251" t="str">
        <f t="shared" si="414"/>
        <v/>
      </c>
      <c r="BH49" s="251" t="str">
        <f t="shared" si="415"/>
        <v/>
      </c>
      <c r="BI49" s="251" t="str">
        <f t="shared" si="416"/>
        <v/>
      </c>
      <c r="BJ49" s="251" t="str">
        <f t="shared" si="417"/>
        <v/>
      </c>
      <c r="BK49" s="251" t="str">
        <f t="shared" si="418"/>
        <v/>
      </c>
      <c r="BL49" s="251" t="str">
        <f t="shared" si="43"/>
        <v/>
      </c>
      <c r="BM49" s="251" t="str">
        <f t="shared" si="44"/>
        <v/>
      </c>
      <c r="BN49" s="251" t="str">
        <f t="shared" si="45"/>
        <v/>
      </c>
      <c r="BO49" s="251" t="str">
        <f t="shared" si="46"/>
        <v/>
      </c>
      <c r="BP49" s="251" t="str">
        <f t="shared" si="47"/>
        <v/>
      </c>
      <c r="BQ49" s="251" t="str">
        <f t="shared" si="48"/>
        <v/>
      </c>
      <c r="BR49" s="251" t="str">
        <f t="shared" si="49"/>
        <v/>
      </c>
      <c r="BS49" s="251" t="str">
        <f t="shared" si="50"/>
        <v/>
      </c>
      <c r="BT49" s="251" t="str">
        <f t="shared" si="51"/>
        <v/>
      </c>
      <c r="BU49" s="251" t="str">
        <f t="shared" si="52"/>
        <v/>
      </c>
      <c r="BV49" s="251" t="str">
        <f t="shared" si="53"/>
        <v/>
      </c>
      <c r="BW49" s="251" t="str">
        <f t="shared" si="54"/>
        <v/>
      </c>
      <c r="BX49" s="251" t="str">
        <f t="shared" si="55"/>
        <v/>
      </c>
      <c r="BY49" s="251" t="str">
        <f t="shared" si="56"/>
        <v/>
      </c>
      <c r="BZ49" s="251" t="str">
        <f t="shared" si="57"/>
        <v/>
      </c>
      <c r="CA49" s="251" t="str">
        <f t="shared" si="58"/>
        <v/>
      </c>
      <c r="CB49" s="251" t="str">
        <f t="shared" si="59"/>
        <v/>
      </c>
      <c r="CC49" s="251" t="str">
        <f t="shared" si="60"/>
        <v/>
      </c>
      <c r="CD49" s="251" t="str">
        <f t="shared" si="61"/>
        <v/>
      </c>
      <c r="CE49" s="251" t="str">
        <f t="shared" si="62"/>
        <v/>
      </c>
      <c r="CF49" s="251" t="str">
        <f t="shared" si="63"/>
        <v/>
      </c>
      <c r="CG49" s="251" t="str">
        <f t="shared" si="64"/>
        <v/>
      </c>
      <c r="CH49" s="251" t="str">
        <f t="shared" si="65"/>
        <v/>
      </c>
      <c r="CI49" s="251" t="str">
        <f t="shared" si="66"/>
        <v/>
      </c>
      <c r="CJ49" s="251" t="str">
        <f t="shared" si="67"/>
        <v/>
      </c>
      <c r="CK49" s="251" t="str">
        <f t="shared" si="68"/>
        <v/>
      </c>
      <c r="CL49" s="251" t="str">
        <f t="shared" si="69"/>
        <v/>
      </c>
      <c r="CM49" s="251" t="str">
        <f t="shared" si="70"/>
        <v/>
      </c>
      <c r="CN49" s="251" t="str">
        <f t="shared" si="71"/>
        <v/>
      </c>
      <c r="CO49" s="251" t="str">
        <f t="shared" si="72"/>
        <v/>
      </c>
      <c r="CP49" s="251" t="str">
        <f t="shared" si="73"/>
        <v/>
      </c>
      <c r="CQ49" s="251" t="str">
        <f t="shared" si="74"/>
        <v/>
      </c>
      <c r="CR49" s="251" t="str">
        <f t="shared" si="75"/>
        <v/>
      </c>
      <c r="CS49" s="251" t="str">
        <f t="shared" si="76"/>
        <v/>
      </c>
      <c r="CT49" s="251" t="str">
        <f t="shared" si="77"/>
        <v/>
      </c>
      <c r="CU49" s="251" t="str">
        <f t="shared" si="78"/>
        <v/>
      </c>
      <c r="CV49" s="251" t="str">
        <f t="shared" si="79"/>
        <v/>
      </c>
      <c r="CW49" s="251" t="str">
        <f t="shared" si="80"/>
        <v/>
      </c>
      <c r="CX49" s="251" t="str">
        <f t="shared" si="81"/>
        <v/>
      </c>
      <c r="CY49" s="251" t="str">
        <f t="shared" si="82"/>
        <v/>
      </c>
      <c r="CZ49" s="251" t="str">
        <f t="shared" si="83"/>
        <v/>
      </c>
      <c r="DA49" s="251" t="str">
        <f t="shared" si="84"/>
        <v/>
      </c>
      <c r="DB49" s="251" t="str">
        <f t="shared" si="85"/>
        <v/>
      </c>
      <c r="DC49" s="251" t="str">
        <f t="shared" si="86"/>
        <v/>
      </c>
      <c r="DD49" s="251" t="str">
        <f t="shared" si="87"/>
        <v/>
      </c>
      <c r="DE49" s="251" t="str">
        <f t="shared" si="88"/>
        <v/>
      </c>
      <c r="DF49" s="251" t="str">
        <f t="shared" si="89"/>
        <v/>
      </c>
      <c r="DG49" s="251" t="str">
        <f t="shared" si="90"/>
        <v/>
      </c>
      <c r="DH49" s="251" t="str">
        <f t="shared" si="91"/>
        <v/>
      </c>
      <c r="DI49" s="251" t="str">
        <f t="shared" si="92"/>
        <v/>
      </c>
      <c r="DJ49" s="251" t="str">
        <f t="shared" si="93"/>
        <v/>
      </c>
      <c r="DK49" s="251" t="str">
        <f t="shared" si="94"/>
        <v/>
      </c>
      <c r="DL49" s="251" t="str">
        <f t="shared" si="95"/>
        <v/>
      </c>
      <c r="DM49" s="251" t="str">
        <f t="shared" si="96"/>
        <v/>
      </c>
      <c r="DN49" s="251" t="str">
        <f t="shared" si="97"/>
        <v/>
      </c>
      <c r="DO49" s="251" t="str">
        <f t="shared" si="98"/>
        <v/>
      </c>
      <c r="DP49" s="251" t="str">
        <f t="shared" si="99"/>
        <v/>
      </c>
      <c r="DQ49" s="251" t="str">
        <f t="shared" si="100"/>
        <v/>
      </c>
      <c r="DR49" s="251" t="str">
        <f t="shared" si="101"/>
        <v/>
      </c>
      <c r="DS49" s="251" t="str">
        <f t="shared" si="102"/>
        <v/>
      </c>
      <c r="DT49" s="251" t="str">
        <f t="shared" si="103"/>
        <v/>
      </c>
      <c r="DU49" s="251" t="str">
        <f t="shared" si="104"/>
        <v/>
      </c>
      <c r="DV49" s="251" t="str">
        <f t="shared" si="105"/>
        <v/>
      </c>
      <c r="DW49" s="251" t="str">
        <f t="shared" si="106"/>
        <v/>
      </c>
      <c r="DX49" s="251" t="str">
        <f t="shared" si="107"/>
        <v/>
      </c>
      <c r="DY49" s="251" t="str">
        <f t="shared" si="108"/>
        <v/>
      </c>
      <c r="DZ49" s="251" t="str">
        <f t="shared" si="109"/>
        <v/>
      </c>
      <c r="EA49" s="251" t="str">
        <f t="shared" si="110"/>
        <v/>
      </c>
      <c r="EB49" s="251" t="str">
        <f t="shared" si="111"/>
        <v/>
      </c>
      <c r="EC49" s="251" t="str">
        <f t="shared" si="112"/>
        <v/>
      </c>
      <c r="ED49" s="251" t="str">
        <f t="shared" si="113"/>
        <v/>
      </c>
      <c r="EE49" s="251" t="str">
        <f t="shared" si="114"/>
        <v/>
      </c>
      <c r="EF49" s="251" t="str">
        <f t="shared" si="115"/>
        <v/>
      </c>
      <c r="EG49" s="251" t="str">
        <f t="shared" si="116"/>
        <v/>
      </c>
      <c r="EH49" s="251" t="str">
        <f t="shared" si="117"/>
        <v/>
      </c>
      <c r="EI49" s="251" t="str">
        <f t="shared" si="118"/>
        <v/>
      </c>
      <c r="EJ49" s="251" t="str">
        <f t="shared" si="119"/>
        <v/>
      </c>
      <c r="EK49" s="251" t="str">
        <f t="shared" si="120"/>
        <v/>
      </c>
      <c r="EL49" s="251" t="str">
        <f t="shared" si="121"/>
        <v/>
      </c>
      <c r="EM49" s="251" t="str">
        <f t="shared" si="122"/>
        <v/>
      </c>
      <c r="EN49" s="251" t="str">
        <f t="shared" si="123"/>
        <v/>
      </c>
      <c r="EO49" s="251" t="str">
        <f t="shared" si="124"/>
        <v/>
      </c>
      <c r="EP49" s="251" t="str">
        <f t="shared" si="125"/>
        <v/>
      </c>
      <c r="EQ49" s="251" t="str">
        <f t="shared" si="126"/>
        <v/>
      </c>
      <c r="ER49" s="251" t="str">
        <f t="shared" si="127"/>
        <v/>
      </c>
      <c r="ES49" s="251" t="str">
        <f t="shared" si="128"/>
        <v/>
      </c>
      <c r="ET49" s="251" t="str">
        <f t="shared" si="129"/>
        <v/>
      </c>
      <c r="EU49" s="251" t="str">
        <f t="shared" si="130"/>
        <v/>
      </c>
      <c r="EV49" s="251" t="str">
        <f t="shared" si="131"/>
        <v/>
      </c>
      <c r="EW49" s="251" t="str">
        <f t="shared" si="132"/>
        <v/>
      </c>
      <c r="EX49" s="251" t="str">
        <f t="shared" si="133"/>
        <v/>
      </c>
      <c r="EY49" s="251" t="str">
        <f t="shared" si="134"/>
        <v/>
      </c>
      <c r="EZ49" s="251" t="str">
        <f t="shared" si="135"/>
        <v/>
      </c>
      <c r="FA49" s="251" t="str">
        <f t="shared" si="136"/>
        <v/>
      </c>
      <c r="FB49" s="251" t="str">
        <f t="shared" si="137"/>
        <v/>
      </c>
      <c r="FC49" s="251" t="str">
        <f t="shared" si="138"/>
        <v/>
      </c>
      <c r="FD49" s="251" t="str">
        <f t="shared" si="139"/>
        <v/>
      </c>
      <c r="FE49" s="251" t="str">
        <f t="shared" si="140"/>
        <v/>
      </c>
      <c r="FF49" s="251" t="str">
        <f t="shared" si="141"/>
        <v/>
      </c>
      <c r="FG49" s="251" t="str">
        <f t="shared" si="142"/>
        <v/>
      </c>
      <c r="FH49" s="251" t="str">
        <f t="shared" si="143"/>
        <v/>
      </c>
      <c r="FI49" s="251" t="str">
        <f t="shared" si="144"/>
        <v/>
      </c>
      <c r="FJ49" s="251" t="str">
        <f t="shared" si="145"/>
        <v/>
      </c>
      <c r="FK49" s="251" t="str">
        <f t="shared" si="146"/>
        <v/>
      </c>
      <c r="FL49" s="251" t="str">
        <f t="shared" si="147"/>
        <v/>
      </c>
      <c r="FM49" s="251" t="str">
        <f t="shared" si="419"/>
        <v/>
      </c>
      <c r="FN49" s="251" t="str">
        <f t="shared" si="420"/>
        <v/>
      </c>
      <c r="FO49" s="251" t="str">
        <f t="shared" si="421"/>
        <v/>
      </c>
      <c r="FP49" s="251" t="str">
        <f t="shared" si="422"/>
        <v/>
      </c>
      <c r="FQ49" s="251" t="str">
        <f t="shared" si="423"/>
        <v/>
      </c>
      <c r="FR49" s="251" t="str">
        <f t="shared" si="153"/>
        <v/>
      </c>
      <c r="FS49" s="251" t="str">
        <f t="shared" si="154"/>
        <v/>
      </c>
      <c r="FT49" s="251" t="str">
        <f t="shared" si="155"/>
        <v/>
      </c>
      <c r="FU49" s="251" t="str">
        <f t="shared" si="156"/>
        <v/>
      </c>
      <c r="FV49" s="251" t="str">
        <f t="shared" si="157"/>
        <v/>
      </c>
      <c r="FW49" s="251" t="str">
        <f t="shared" si="158"/>
        <v/>
      </c>
      <c r="FX49" s="251" t="str">
        <f t="shared" si="159"/>
        <v/>
      </c>
      <c r="FY49" s="251" t="str">
        <f t="shared" si="160"/>
        <v/>
      </c>
      <c r="FZ49" s="251" t="str">
        <f t="shared" si="161"/>
        <v/>
      </c>
      <c r="GA49" s="251" t="str">
        <f t="shared" si="162"/>
        <v/>
      </c>
      <c r="GB49" s="251" t="str">
        <f t="shared" si="163"/>
        <v/>
      </c>
      <c r="GC49" s="251" t="str">
        <f t="shared" si="164"/>
        <v/>
      </c>
      <c r="GD49" s="251" t="str">
        <f t="shared" si="165"/>
        <v/>
      </c>
      <c r="GE49" s="251" t="str">
        <f t="shared" si="166"/>
        <v/>
      </c>
      <c r="GF49" s="251" t="str">
        <f t="shared" si="167"/>
        <v/>
      </c>
      <c r="GG49" s="251" t="str">
        <f t="shared" si="168"/>
        <v/>
      </c>
      <c r="GH49" s="251" t="str">
        <f t="shared" si="169"/>
        <v/>
      </c>
      <c r="GI49" s="251" t="str">
        <f t="shared" si="170"/>
        <v/>
      </c>
      <c r="GJ49" s="251" t="str">
        <f t="shared" si="171"/>
        <v/>
      </c>
      <c r="GK49" s="251" t="str">
        <f t="shared" si="172"/>
        <v/>
      </c>
      <c r="GL49" s="251" t="str">
        <f t="shared" si="173"/>
        <v/>
      </c>
      <c r="GM49" s="251" t="str">
        <f t="shared" si="174"/>
        <v/>
      </c>
      <c r="GN49" s="251" t="str">
        <f t="shared" si="175"/>
        <v/>
      </c>
      <c r="GO49" s="251" t="str">
        <f t="shared" si="176"/>
        <v/>
      </c>
      <c r="GP49" s="251" t="str">
        <f t="shared" si="177"/>
        <v/>
      </c>
      <c r="GQ49" s="251" t="str">
        <f t="shared" si="178"/>
        <v/>
      </c>
      <c r="GR49" s="251" t="str">
        <f t="shared" si="179"/>
        <v/>
      </c>
      <c r="GS49" s="251" t="str">
        <f t="shared" si="180"/>
        <v/>
      </c>
      <c r="GT49" s="251" t="str">
        <f t="shared" si="181"/>
        <v/>
      </c>
      <c r="GU49" s="251" t="str">
        <f t="shared" si="182"/>
        <v/>
      </c>
      <c r="GV49" s="251" t="str">
        <f t="shared" si="183"/>
        <v/>
      </c>
      <c r="GW49" s="251" t="str">
        <f t="shared" si="184"/>
        <v/>
      </c>
      <c r="GX49" s="251" t="str">
        <f t="shared" si="185"/>
        <v/>
      </c>
      <c r="GY49" s="251" t="str">
        <f t="shared" si="186"/>
        <v/>
      </c>
      <c r="GZ49" s="251" t="str">
        <f t="shared" si="187"/>
        <v/>
      </c>
      <c r="HA49" s="251" t="str">
        <f t="shared" si="424"/>
        <v/>
      </c>
      <c r="HB49" s="251" t="str">
        <f t="shared" si="425"/>
        <v/>
      </c>
      <c r="HC49" s="251" t="str">
        <f t="shared" si="426"/>
        <v/>
      </c>
      <c r="HD49" s="251" t="str">
        <f t="shared" si="427"/>
        <v/>
      </c>
      <c r="HE49" s="251" t="str">
        <f t="shared" si="428"/>
        <v/>
      </c>
      <c r="HF49" s="251" t="str">
        <f t="shared" si="429"/>
        <v/>
      </c>
      <c r="HG49" s="251" t="str">
        <f t="shared" si="430"/>
        <v/>
      </c>
      <c r="HH49" s="251" t="str">
        <f t="shared" si="431"/>
        <v/>
      </c>
      <c r="HI49" s="251" t="str">
        <f t="shared" si="432"/>
        <v/>
      </c>
      <c r="HJ49" s="251" t="str">
        <f t="shared" si="433"/>
        <v/>
      </c>
      <c r="HK49" s="251" t="str">
        <f t="shared" si="434"/>
        <v/>
      </c>
      <c r="HL49" s="251" t="str">
        <f t="shared" si="435"/>
        <v/>
      </c>
      <c r="HM49" s="251" t="str">
        <f t="shared" si="436"/>
        <v/>
      </c>
      <c r="HN49" s="251" t="str">
        <f t="shared" si="437"/>
        <v/>
      </c>
      <c r="HO49" s="251" t="str">
        <f t="shared" si="438"/>
        <v/>
      </c>
      <c r="HP49" s="251" t="str">
        <f t="shared" si="203"/>
        <v/>
      </c>
      <c r="HQ49" s="251" t="str">
        <f t="shared" si="204"/>
        <v/>
      </c>
      <c r="HR49" s="251" t="str">
        <f t="shared" si="205"/>
        <v/>
      </c>
      <c r="HS49" s="251" t="str">
        <f t="shared" si="206"/>
        <v/>
      </c>
      <c r="HT49" s="251" t="str">
        <f t="shared" si="207"/>
        <v/>
      </c>
      <c r="HU49" s="251" t="str">
        <f t="shared" si="208"/>
        <v/>
      </c>
      <c r="HV49" s="251" t="str">
        <f t="shared" si="209"/>
        <v/>
      </c>
      <c r="HW49" s="251" t="str">
        <f t="shared" si="210"/>
        <v/>
      </c>
      <c r="HX49" s="251" t="str">
        <f t="shared" si="211"/>
        <v/>
      </c>
      <c r="HY49" s="251" t="str">
        <f t="shared" si="212"/>
        <v/>
      </c>
      <c r="HZ49" s="251" t="str">
        <f t="shared" si="213"/>
        <v/>
      </c>
      <c r="IA49" s="251" t="str">
        <f t="shared" si="214"/>
        <v/>
      </c>
      <c r="IB49" s="251" t="str">
        <f t="shared" si="215"/>
        <v/>
      </c>
      <c r="IC49" s="251" t="str">
        <f t="shared" si="216"/>
        <v/>
      </c>
      <c r="ID49" s="251" t="str">
        <f t="shared" si="217"/>
        <v/>
      </c>
      <c r="IE49" s="251" t="str">
        <f t="shared" si="218"/>
        <v/>
      </c>
      <c r="IF49" s="251" t="str">
        <f t="shared" si="219"/>
        <v/>
      </c>
      <c r="IG49" s="251" t="str">
        <f t="shared" si="220"/>
        <v/>
      </c>
      <c r="IH49" s="251" t="str">
        <f t="shared" si="221"/>
        <v/>
      </c>
      <c r="II49" s="251" t="str">
        <f t="shared" si="222"/>
        <v/>
      </c>
      <c r="IJ49" s="251" t="str">
        <f t="shared" si="223"/>
        <v/>
      </c>
      <c r="IK49" s="251" t="str">
        <f t="shared" si="224"/>
        <v/>
      </c>
      <c r="IL49" s="251" t="str">
        <f t="shared" si="225"/>
        <v/>
      </c>
      <c r="IM49" s="251" t="str">
        <f t="shared" si="226"/>
        <v/>
      </c>
      <c r="IN49" s="251" t="str">
        <f t="shared" si="227"/>
        <v/>
      </c>
      <c r="IO49" s="251" t="str">
        <f t="shared" si="228"/>
        <v/>
      </c>
      <c r="IP49" s="251" t="str">
        <f t="shared" si="229"/>
        <v/>
      </c>
      <c r="IQ49" s="251" t="str">
        <f t="shared" si="230"/>
        <v/>
      </c>
      <c r="IR49" s="251" t="str">
        <f t="shared" si="231"/>
        <v/>
      </c>
      <c r="IS49" s="251" t="str">
        <f t="shared" si="232"/>
        <v/>
      </c>
      <c r="IT49" s="251" t="str">
        <f t="shared" si="233"/>
        <v/>
      </c>
      <c r="IU49" s="251" t="str">
        <f t="shared" si="234"/>
        <v/>
      </c>
      <c r="IV49" s="251" t="str">
        <f t="shared" si="235"/>
        <v/>
      </c>
      <c r="IW49" s="251" t="str">
        <f t="shared" si="236"/>
        <v/>
      </c>
      <c r="IX49" s="251" t="str">
        <f t="shared" si="237"/>
        <v/>
      </c>
      <c r="IY49" s="251" t="str">
        <f t="shared" si="238"/>
        <v/>
      </c>
      <c r="IZ49" s="251" t="str">
        <f t="shared" si="239"/>
        <v/>
      </c>
      <c r="JA49" s="251" t="str">
        <f t="shared" si="240"/>
        <v/>
      </c>
      <c r="JB49" s="251" t="str">
        <f t="shared" si="241"/>
        <v/>
      </c>
      <c r="JC49" s="251" t="str">
        <f t="shared" si="242"/>
        <v/>
      </c>
      <c r="JD49" s="251" t="str">
        <f t="shared" si="243"/>
        <v/>
      </c>
      <c r="JE49" s="251" t="str">
        <f t="shared" si="244"/>
        <v/>
      </c>
      <c r="JF49" s="251" t="str">
        <f t="shared" si="245"/>
        <v/>
      </c>
      <c r="JG49" s="251" t="str">
        <f t="shared" si="246"/>
        <v/>
      </c>
      <c r="JH49" s="251" t="str">
        <f t="shared" si="247"/>
        <v/>
      </c>
      <c r="JI49" s="1297" t="str">
        <f t="shared" si="248"/>
        <v/>
      </c>
      <c r="JJ49" s="1297" t="str">
        <f t="shared" si="249"/>
        <v/>
      </c>
      <c r="JK49" s="1297" t="str">
        <f t="shared" si="250"/>
        <v/>
      </c>
      <c r="JL49" s="1297" t="str">
        <f t="shared" si="251"/>
        <v/>
      </c>
      <c r="JM49" s="1297" t="str">
        <f t="shared" si="252"/>
        <v/>
      </c>
      <c r="JN49" s="1297" t="str">
        <f t="shared" si="253"/>
        <v/>
      </c>
      <c r="JO49" s="1297" t="str">
        <f t="shared" si="254"/>
        <v/>
      </c>
      <c r="JP49" s="1297" t="str">
        <f t="shared" si="255"/>
        <v/>
      </c>
      <c r="JQ49" s="1297" t="str">
        <f t="shared" si="256"/>
        <v/>
      </c>
      <c r="JR49" s="1297" t="str">
        <f t="shared" si="257"/>
        <v/>
      </c>
      <c r="JS49" s="1297" t="str">
        <f t="shared" si="258"/>
        <v/>
      </c>
      <c r="JT49" s="1297" t="str">
        <f t="shared" si="259"/>
        <v/>
      </c>
      <c r="JU49" s="1297" t="str">
        <f t="shared" si="260"/>
        <v/>
      </c>
      <c r="JV49" s="1297" t="str">
        <f t="shared" si="261"/>
        <v/>
      </c>
      <c r="JW49" s="1297" t="str">
        <f t="shared" si="262"/>
        <v/>
      </c>
      <c r="JX49" s="1297" t="str">
        <f t="shared" si="263"/>
        <v/>
      </c>
      <c r="JY49" s="1297" t="str">
        <f t="shared" si="264"/>
        <v/>
      </c>
      <c r="JZ49" s="1297" t="str">
        <f t="shared" si="265"/>
        <v/>
      </c>
      <c r="KA49" s="1297" t="str">
        <f t="shared" si="266"/>
        <v/>
      </c>
      <c r="KB49" s="1297" t="str">
        <f t="shared" si="267"/>
        <v/>
      </c>
      <c r="KC49" s="1297" t="str">
        <f t="shared" si="268"/>
        <v/>
      </c>
      <c r="KD49" s="1297" t="str">
        <f t="shared" si="269"/>
        <v/>
      </c>
      <c r="KE49" s="1297" t="str">
        <f t="shared" si="270"/>
        <v/>
      </c>
      <c r="KF49" s="1297" t="str">
        <f t="shared" si="271"/>
        <v/>
      </c>
      <c r="KG49" s="1297" t="str">
        <f t="shared" si="272"/>
        <v/>
      </c>
      <c r="KH49" s="1297" t="str">
        <f t="shared" si="273"/>
        <v/>
      </c>
      <c r="KI49" s="1297" t="str">
        <f t="shared" si="274"/>
        <v/>
      </c>
      <c r="KJ49" s="1297" t="str">
        <f t="shared" si="275"/>
        <v/>
      </c>
      <c r="KK49" s="1297" t="str">
        <f t="shared" si="276"/>
        <v/>
      </c>
      <c r="KL49" s="1297" t="str">
        <f t="shared" si="277"/>
        <v/>
      </c>
      <c r="KM49" s="1297" t="str">
        <f t="shared" si="278"/>
        <v/>
      </c>
      <c r="KN49" s="1297" t="str">
        <f t="shared" si="279"/>
        <v/>
      </c>
      <c r="KO49" s="1297" t="str">
        <f t="shared" si="280"/>
        <v/>
      </c>
      <c r="KP49" s="1297" t="str">
        <f t="shared" si="281"/>
        <v/>
      </c>
      <c r="KQ49" s="1297" t="str">
        <f t="shared" si="282"/>
        <v/>
      </c>
      <c r="KR49" s="1297" t="str">
        <f t="shared" si="283"/>
        <v/>
      </c>
      <c r="KS49" s="1297" t="str">
        <f t="shared" si="284"/>
        <v/>
      </c>
      <c r="KT49" s="1297" t="str">
        <f t="shared" si="285"/>
        <v/>
      </c>
      <c r="KU49" s="1297" t="str">
        <f t="shared" si="286"/>
        <v/>
      </c>
      <c r="KV49" s="1297" t="str">
        <f t="shared" si="287"/>
        <v/>
      </c>
      <c r="KW49" s="1297" t="str">
        <f t="shared" si="288"/>
        <v/>
      </c>
      <c r="KX49" s="1297" t="str">
        <f t="shared" si="289"/>
        <v/>
      </c>
      <c r="KY49" s="1297" t="str">
        <f t="shared" si="290"/>
        <v/>
      </c>
      <c r="KZ49" s="1297" t="str">
        <f t="shared" si="291"/>
        <v/>
      </c>
      <c r="LA49" s="1297" t="str">
        <f t="shared" si="292"/>
        <v/>
      </c>
      <c r="LB49" s="1297" t="str">
        <f t="shared" si="293"/>
        <v/>
      </c>
      <c r="LC49" s="1297" t="str">
        <f t="shared" si="294"/>
        <v/>
      </c>
      <c r="LD49" s="1297" t="str">
        <f t="shared" si="295"/>
        <v/>
      </c>
      <c r="LE49" s="1297" t="str">
        <f t="shared" si="296"/>
        <v/>
      </c>
      <c r="LF49" s="1297" t="str">
        <f t="shared" si="297"/>
        <v/>
      </c>
      <c r="LG49" s="1297" t="str">
        <f t="shared" si="298"/>
        <v/>
      </c>
      <c r="LH49" s="1297" t="str">
        <f t="shared" si="299"/>
        <v/>
      </c>
      <c r="LI49" s="1297" t="str">
        <f t="shared" si="300"/>
        <v/>
      </c>
      <c r="LJ49" s="1297" t="str">
        <f t="shared" si="301"/>
        <v/>
      </c>
      <c r="LK49" s="1297" t="str">
        <f t="shared" si="302"/>
        <v/>
      </c>
      <c r="LL49" s="1297" t="str">
        <f t="shared" si="303"/>
        <v/>
      </c>
      <c r="LM49" s="1297" t="str">
        <f t="shared" si="304"/>
        <v/>
      </c>
      <c r="LN49" s="1297" t="str">
        <f t="shared" si="305"/>
        <v/>
      </c>
      <c r="LO49" s="1297" t="str">
        <f t="shared" si="306"/>
        <v/>
      </c>
      <c r="LP49" s="1297" t="str">
        <f t="shared" si="307"/>
        <v/>
      </c>
      <c r="LQ49" s="1297" t="str">
        <f t="shared" si="308"/>
        <v/>
      </c>
      <c r="LR49" s="1297" t="str">
        <f t="shared" si="309"/>
        <v/>
      </c>
      <c r="LS49" s="1297" t="str">
        <f t="shared" si="310"/>
        <v/>
      </c>
      <c r="LT49" s="1297" t="str">
        <f t="shared" si="311"/>
        <v/>
      </c>
      <c r="LU49" s="1297" t="str">
        <f t="shared" si="312"/>
        <v/>
      </c>
      <c r="LV49" s="1297" t="str">
        <f t="shared" si="313"/>
        <v/>
      </c>
      <c r="LW49" s="1297" t="str">
        <f t="shared" si="314"/>
        <v/>
      </c>
      <c r="LX49" s="1297" t="str">
        <f t="shared" si="315"/>
        <v/>
      </c>
      <c r="LY49" s="1297" t="str">
        <f t="shared" si="316"/>
        <v/>
      </c>
      <c r="LZ49" s="1297" t="str">
        <f t="shared" si="317"/>
        <v/>
      </c>
      <c r="MA49" s="1297" t="str">
        <f t="shared" si="318"/>
        <v/>
      </c>
      <c r="MB49" s="1297" t="str">
        <f t="shared" si="319"/>
        <v/>
      </c>
      <c r="MC49" s="1297" t="str">
        <f t="shared" si="320"/>
        <v/>
      </c>
      <c r="MD49" s="1297" t="str">
        <f t="shared" si="321"/>
        <v/>
      </c>
      <c r="ME49" s="1297" t="str">
        <f t="shared" si="322"/>
        <v/>
      </c>
      <c r="MF49" s="1297" t="str">
        <f t="shared" si="323"/>
        <v/>
      </c>
      <c r="MG49" s="1297" t="str">
        <f t="shared" si="324"/>
        <v/>
      </c>
      <c r="MH49" s="1297" t="str">
        <f t="shared" si="325"/>
        <v/>
      </c>
      <c r="MI49" s="1297" t="str">
        <f t="shared" si="326"/>
        <v/>
      </c>
      <c r="MJ49" s="1297" t="str">
        <f t="shared" si="327"/>
        <v/>
      </c>
      <c r="MK49" s="1297" t="str">
        <f t="shared" si="328"/>
        <v/>
      </c>
      <c r="ML49" s="1297" t="str">
        <f t="shared" si="329"/>
        <v/>
      </c>
      <c r="MM49" s="1297" t="str">
        <f t="shared" si="330"/>
        <v/>
      </c>
      <c r="MN49" s="1297" t="str">
        <f t="shared" si="331"/>
        <v/>
      </c>
      <c r="MO49" s="1297" t="str">
        <f t="shared" si="332"/>
        <v/>
      </c>
      <c r="MP49" s="1773" t="str">
        <f t="shared" si="333"/>
        <v/>
      </c>
      <c r="MQ49" s="1773" t="str">
        <f t="shared" si="334"/>
        <v/>
      </c>
      <c r="MR49" s="1773" t="str">
        <f t="shared" si="335"/>
        <v/>
      </c>
      <c r="MS49" s="1773" t="str">
        <f t="shared" si="336"/>
        <v/>
      </c>
      <c r="MT49" s="1773" t="str">
        <f t="shared" si="337"/>
        <v/>
      </c>
      <c r="MU49" s="251" t="str">
        <f t="shared" si="439"/>
        <v/>
      </c>
      <c r="MV49" s="251" t="str">
        <f t="shared" si="440"/>
        <v/>
      </c>
      <c r="MW49" s="251" t="str">
        <f t="shared" si="441"/>
        <v/>
      </c>
      <c r="MX49" s="251" t="str">
        <f t="shared" si="442"/>
        <v/>
      </c>
      <c r="MY49" s="251" t="str">
        <f t="shared" si="443"/>
        <v/>
      </c>
      <c r="MZ49" s="251" t="str">
        <f t="shared" si="343"/>
        <v/>
      </c>
      <c r="NA49" s="251" t="str">
        <f t="shared" si="344"/>
        <v/>
      </c>
      <c r="NB49" s="251" t="str">
        <f t="shared" si="345"/>
        <v/>
      </c>
      <c r="NC49" s="251" t="str">
        <f t="shared" si="346"/>
        <v/>
      </c>
      <c r="ND49" s="251" t="str">
        <f t="shared" si="347"/>
        <v/>
      </c>
      <c r="NE49" s="251" t="str">
        <f t="shared" si="348"/>
        <v/>
      </c>
      <c r="NF49" s="251" t="str">
        <f t="shared" si="349"/>
        <v/>
      </c>
      <c r="NG49" s="251" t="str">
        <f t="shared" si="350"/>
        <v/>
      </c>
      <c r="NH49" s="251" t="str">
        <f t="shared" si="351"/>
        <v/>
      </c>
      <c r="NI49" s="251" t="str">
        <f t="shared" si="352"/>
        <v/>
      </c>
      <c r="NJ49" s="251" t="str">
        <f t="shared" si="353"/>
        <v/>
      </c>
      <c r="NK49" s="251" t="str">
        <f t="shared" si="354"/>
        <v/>
      </c>
      <c r="NL49" s="251" t="str">
        <f t="shared" si="355"/>
        <v/>
      </c>
      <c r="NM49" s="251" t="str">
        <f t="shared" si="356"/>
        <v/>
      </c>
      <c r="NN49" s="251" t="str">
        <f t="shared" si="357"/>
        <v/>
      </c>
      <c r="NO49" s="1185">
        <f t="shared" si="358"/>
        <v>0</v>
      </c>
      <c r="NP49" s="1185">
        <f t="shared" si="359"/>
        <v>0</v>
      </c>
      <c r="NQ49" s="1185">
        <f t="shared" si="360"/>
        <v>0</v>
      </c>
      <c r="NR49" s="1185">
        <f t="shared" si="361"/>
        <v>0</v>
      </c>
      <c r="NS49" s="1185">
        <f t="shared" si="362"/>
        <v>0</v>
      </c>
      <c r="NT49" s="1185">
        <f t="shared" si="368"/>
        <v>0</v>
      </c>
      <c r="NU49" s="1185">
        <f t="shared" si="369"/>
        <v>0</v>
      </c>
      <c r="NV49" s="1185">
        <f t="shared" si="370"/>
        <v>0</v>
      </c>
      <c r="NW49" s="1185">
        <f t="shared" si="371"/>
        <v>0</v>
      </c>
      <c r="NX49" s="1185">
        <f t="shared" si="372"/>
        <v>0</v>
      </c>
      <c r="NY49" s="1185">
        <f t="shared" si="363"/>
        <v>0</v>
      </c>
      <c r="NZ49" s="1185">
        <f t="shared" si="364"/>
        <v>0</v>
      </c>
      <c r="OA49" s="1185">
        <f t="shared" si="365"/>
        <v>0</v>
      </c>
      <c r="OB49" s="1185">
        <f t="shared" si="366"/>
        <v>0</v>
      </c>
      <c r="OC49" s="1185">
        <f t="shared" si="367"/>
        <v>0</v>
      </c>
      <c r="OY49" s="1794" t="s">
        <v>1193</v>
      </c>
      <c r="OZ49" s="1799">
        <v>49</v>
      </c>
    </row>
    <row r="50" spans="1:416" ht="12" customHeight="1">
      <c r="A50" s="53" t="str">
        <f t="shared" si="376"/>
        <v/>
      </c>
      <c r="B50" s="782"/>
      <c r="C50" s="85"/>
      <c r="D50" s="1187"/>
      <c r="E50" s="86"/>
      <c r="F50" s="86"/>
      <c r="G50" s="86"/>
      <c r="H50" s="86"/>
      <c r="I50" s="86"/>
      <c r="J50" s="765">
        <f>IF(C50="",0,HLOOKUP(C50,'Part IV-Utility Allowances'!$I$11:$M$25,15))</f>
        <v>0</v>
      </c>
      <c r="K50" s="473"/>
      <c r="L50" s="330">
        <f t="shared" si="377"/>
        <v>0</v>
      </c>
      <c r="M50" s="330">
        <f t="shared" si="378"/>
        <v>0</v>
      </c>
      <c r="N50" s="506"/>
      <c r="O50" s="1134"/>
      <c r="P50" s="506"/>
      <c r="Q50" s="87"/>
      <c r="R50" s="540"/>
      <c r="S50" s="541"/>
      <c r="T50" s="3758"/>
      <c r="U50" s="3759"/>
      <c r="V50" s="3759"/>
      <c r="W50" s="3760"/>
      <c r="X50" s="251" t="str">
        <f t="shared" si="379"/>
        <v/>
      </c>
      <c r="Y50" s="251" t="str">
        <f t="shared" si="380"/>
        <v/>
      </c>
      <c r="Z50" s="251" t="str">
        <f t="shared" si="381"/>
        <v/>
      </c>
      <c r="AA50" s="251" t="str">
        <f t="shared" si="382"/>
        <v/>
      </c>
      <c r="AB50" s="251" t="str">
        <f t="shared" si="383"/>
        <v/>
      </c>
      <c r="AC50" s="251" t="str">
        <f t="shared" si="384"/>
        <v/>
      </c>
      <c r="AD50" s="251" t="str">
        <f t="shared" si="385"/>
        <v/>
      </c>
      <c r="AE50" s="251" t="str">
        <f t="shared" si="386"/>
        <v/>
      </c>
      <c r="AF50" s="251" t="str">
        <f t="shared" si="387"/>
        <v/>
      </c>
      <c r="AG50" s="251" t="str">
        <f t="shared" si="388"/>
        <v/>
      </c>
      <c r="AH50" s="251" t="str">
        <f t="shared" si="389"/>
        <v/>
      </c>
      <c r="AI50" s="251" t="str">
        <f t="shared" si="390"/>
        <v/>
      </c>
      <c r="AJ50" s="251" t="str">
        <f t="shared" si="391"/>
        <v/>
      </c>
      <c r="AK50" s="251" t="str">
        <f t="shared" si="392"/>
        <v/>
      </c>
      <c r="AL50" s="251" t="str">
        <f t="shared" si="393"/>
        <v/>
      </c>
      <c r="AM50" s="251" t="str">
        <f t="shared" si="394"/>
        <v/>
      </c>
      <c r="AN50" s="251" t="str">
        <f t="shared" si="395"/>
        <v/>
      </c>
      <c r="AO50" s="251" t="str">
        <f t="shared" si="396"/>
        <v/>
      </c>
      <c r="AP50" s="251" t="str">
        <f t="shared" si="397"/>
        <v/>
      </c>
      <c r="AQ50" s="251" t="str">
        <f t="shared" si="398"/>
        <v/>
      </c>
      <c r="AR50" s="251" t="str">
        <f t="shared" si="399"/>
        <v/>
      </c>
      <c r="AS50" s="251" t="str">
        <f t="shared" si="400"/>
        <v/>
      </c>
      <c r="AT50" s="251" t="str">
        <f t="shared" si="401"/>
        <v/>
      </c>
      <c r="AU50" s="251" t="str">
        <f t="shared" si="402"/>
        <v/>
      </c>
      <c r="AV50" s="251" t="str">
        <f t="shared" si="403"/>
        <v/>
      </c>
      <c r="AW50" s="251" t="str">
        <f t="shared" si="404"/>
        <v/>
      </c>
      <c r="AX50" s="251" t="str">
        <f t="shared" si="405"/>
        <v/>
      </c>
      <c r="AY50" s="251" t="str">
        <f t="shared" si="406"/>
        <v/>
      </c>
      <c r="AZ50" s="251" t="str">
        <f t="shared" si="407"/>
        <v/>
      </c>
      <c r="BA50" s="251" t="str">
        <f t="shared" si="408"/>
        <v/>
      </c>
      <c r="BB50" s="251" t="str">
        <f t="shared" si="409"/>
        <v/>
      </c>
      <c r="BC50" s="251" t="str">
        <f t="shared" si="410"/>
        <v/>
      </c>
      <c r="BD50" s="251" t="str">
        <f t="shared" si="411"/>
        <v/>
      </c>
      <c r="BE50" s="251" t="str">
        <f t="shared" si="412"/>
        <v/>
      </c>
      <c r="BF50" s="251" t="str">
        <f t="shared" si="413"/>
        <v/>
      </c>
      <c r="BG50" s="251" t="str">
        <f t="shared" si="414"/>
        <v/>
      </c>
      <c r="BH50" s="251" t="str">
        <f t="shared" si="415"/>
        <v/>
      </c>
      <c r="BI50" s="251" t="str">
        <f t="shared" si="416"/>
        <v/>
      </c>
      <c r="BJ50" s="251" t="str">
        <f t="shared" si="417"/>
        <v/>
      </c>
      <c r="BK50" s="251" t="str">
        <f t="shared" si="418"/>
        <v/>
      </c>
      <c r="BL50" s="251" t="str">
        <f t="shared" si="43"/>
        <v/>
      </c>
      <c r="BM50" s="251" t="str">
        <f t="shared" si="44"/>
        <v/>
      </c>
      <c r="BN50" s="251" t="str">
        <f t="shared" si="45"/>
        <v/>
      </c>
      <c r="BO50" s="251" t="str">
        <f t="shared" si="46"/>
        <v/>
      </c>
      <c r="BP50" s="251" t="str">
        <f t="shared" si="47"/>
        <v/>
      </c>
      <c r="BQ50" s="251" t="str">
        <f t="shared" si="48"/>
        <v/>
      </c>
      <c r="BR50" s="251" t="str">
        <f t="shared" si="49"/>
        <v/>
      </c>
      <c r="BS50" s="251" t="str">
        <f t="shared" si="50"/>
        <v/>
      </c>
      <c r="BT50" s="251" t="str">
        <f t="shared" si="51"/>
        <v/>
      </c>
      <c r="BU50" s="251" t="str">
        <f t="shared" si="52"/>
        <v/>
      </c>
      <c r="BV50" s="251" t="str">
        <f t="shared" si="53"/>
        <v/>
      </c>
      <c r="BW50" s="251" t="str">
        <f t="shared" si="54"/>
        <v/>
      </c>
      <c r="BX50" s="251" t="str">
        <f t="shared" si="55"/>
        <v/>
      </c>
      <c r="BY50" s="251" t="str">
        <f t="shared" si="56"/>
        <v/>
      </c>
      <c r="BZ50" s="251" t="str">
        <f t="shared" si="57"/>
        <v/>
      </c>
      <c r="CA50" s="251" t="str">
        <f t="shared" si="58"/>
        <v/>
      </c>
      <c r="CB50" s="251" t="str">
        <f t="shared" si="59"/>
        <v/>
      </c>
      <c r="CC50" s="251" t="str">
        <f t="shared" si="60"/>
        <v/>
      </c>
      <c r="CD50" s="251" t="str">
        <f t="shared" si="61"/>
        <v/>
      </c>
      <c r="CE50" s="251" t="str">
        <f t="shared" si="62"/>
        <v/>
      </c>
      <c r="CF50" s="251" t="str">
        <f t="shared" si="63"/>
        <v/>
      </c>
      <c r="CG50" s="251" t="str">
        <f t="shared" si="64"/>
        <v/>
      </c>
      <c r="CH50" s="251" t="str">
        <f t="shared" si="65"/>
        <v/>
      </c>
      <c r="CI50" s="251" t="str">
        <f t="shared" si="66"/>
        <v/>
      </c>
      <c r="CJ50" s="251" t="str">
        <f t="shared" si="67"/>
        <v/>
      </c>
      <c r="CK50" s="251" t="str">
        <f t="shared" si="68"/>
        <v/>
      </c>
      <c r="CL50" s="251" t="str">
        <f t="shared" si="69"/>
        <v/>
      </c>
      <c r="CM50" s="251" t="str">
        <f t="shared" si="70"/>
        <v/>
      </c>
      <c r="CN50" s="251" t="str">
        <f t="shared" si="71"/>
        <v/>
      </c>
      <c r="CO50" s="251" t="str">
        <f t="shared" si="72"/>
        <v/>
      </c>
      <c r="CP50" s="251" t="str">
        <f t="shared" si="73"/>
        <v/>
      </c>
      <c r="CQ50" s="251" t="str">
        <f t="shared" si="74"/>
        <v/>
      </c>
      <c r="CR50" s="251" t="str">
        <f t="shared" si="75"/>
        <v/>
      </c>
      <c r="CS50" s="251" t="str">
        <f t="shared" si="76"/>
        <v/>
      </c>
      <c r="CT50" s="251" t="str">
        <f t="shared" si="77"/>
        <v/>
      </c>
      <c r="CU50" s="251" t="str">
        <f t="shared" si="78"/>
        <v/>
      </c>
      <c r="CV50" s="251" t="str">
        <f t="shared" si="79"/>
        <v/>
      </c>
      <c r="CW50" s="251" t="str">
        <f t="shared" si="80"/>
        <v/>
      </c>
      <c r="CX50" s="251" t="str">
        <f t="shared" si="81"/>
        <v/>
      </c>
      <c r="CY50" s="251" t="str">
        <f t="shared" si="82"/>
        <v/>
      </c>
      <c r="CZ50" s="251" t="str">
        <f t="shared" si="83"/>
        <v/>
      </c>
      <c r="DA50" s="251" t="str">
        <f t="shared" si="84"/>
        <v/>
      </c>
      <c r="DB50" s="251" t="str">
        <f t="shared" si="85"/>
        <v/>
      </c>
      <c r="DC50" s="251" t="str">
        <f t="shared" si="86"/>
        <v/>
      </c>
      <c r="DD50" s="251" t="str">
        <f t="shared" si="87"/>
        <v/>
      </c>
      <c r="DE50" s="251" t="str">
        <f t="shared" si="88"/>
        <v/>
      </c>
      <c r="DF50" s="251" t="str">
        <f t="shared" si="89"/>
        <v/>
      </c>
      <c r="DG50" s="251" t="str">
        <f t="shared" si="90"/>
        <v/>
      </c>
      <c r="DH50" s="251" t="str">
        <f t="shared" si="91"/>
        <v/>
      </c>
      <c r="DI50" s="251" t="str">
        <f t="shared" si="92"/>
        <v/>
      </c>
      <c r="DJ50" s="251" t="str">
        <f t="shared" si="93"/>
        <v/>
      </c>
      <c r="DK50" s="251" t="str">
        <f t="shared" si="94"/>
        <v/>
      </c>
      <c r="DL50" s="251" t="str">
        <f t="shared" si="95"/>
        <v/>
      </c>
      <c r="DM50" s="251" t="str">
        <f t="shared" si="96"/>
        <v/>
      </c>
      <c r="DN50" s="251" t="str">
        <f t="shared" si="97"/>
        <v/>
      </c>
      <c r="DO50" s="251" t="str">
        <f t="shared" si="98"/>
        <v/>
      </c>
      <c r="DP50" s="251" t="str">
        <f t="shared" si="99"/>
        <v/>
      </c>
      <c r="DQ50" s="251" t="str">
        <f t="shared" si="100"/>
        <v/>
      </c>
      <c r="DR50" s="251" t="str">
        <f t="shared" si="101"/>
        <v/>
      </c>
      <c r="DS50" s="251" t="str">
        <f t="shared" si="102"/>
        <v/>
      </c>
      <c r="DT50" s="251" t="str">
        <f t="shared" si="103"/>
        <v/>
      </c>
      <c r="DU50" s="251" t="str">
        <f t="shared" si="104"/>
        <v/>
      </c>
      <c r="DV50" s="251" t="str">
        <f t="shared" si="105"/>
        <v/>
      </c>
      <c r="DW50" s="251" t="str">
        <f t="shared" si="106"/>
        <v/>
      </c>
      <c r="DX50" s="251" t="str">
        <f t="shared" si="107"/>
        <v/>
      </c>
      <c r="DY50" s="251" t="str">
        <f t="shared" si="108"/>
        <v/>
      </c>
      <c r="DZ50" s="251" t="str">
        <f t="shared" si="109"/>
        <v/>
      </c>
      <c r="EA50" s="251" t="str">
        <f t="shared" si="110"/>
        <v/>
      </c>
      <c r="EB50" s="251" t="str">
        <f t="shared" si="111"/>
        <v/>
      </c>
      <c r="EC50" s="251" t="str">
        <f t="shared" si="112"/>
        <v/>
      </c>
      <c r="ED50" s="251" t="str">
        <f t="shared" si="113"/>
        <v/>
      </c>
      <c r="EE50" s="251" t="str">
        <f t="shared" si="114"/>
        <v/>
      </c>
      <c r="EF50" s="251" t="str">
        <f t="shared" si="115"/>
        <v/>
      </c>
      <c r="EG50" s="251" t="str">
        <f t="shared" si="116"/>
        <v/>
      </c>
      <c r="EH50" s="251" t="str">
        <f t="shared" si="117"/>
        <v/>
      </c>
      <c r="EI50" s="251" t="str">
        <f t="shared" si="118"/>
        <v/>
      </c>
      <c r="EJ50" s="251" t="str">
        <f t="shared" si="119"/>
        <v/>
      </c>
      <c r="EK50" s="251" t="str">
        <f t="shared" si="120"/>
        <v/>
      </c>
      <c r="EL50" s="251" t="str">
        <f t="shared" si="121"/>
        <v/>
      </c>
      <c r="EM50" s="251" t="str">
        <f t="shared" si="122"/>
        <v/>
      </c>
      <c r="EN50" s="251" t="str">
        <f t="shared" si="123"/>
        <v/>
      </c>
      <c r="EO50" s="251" t="str">
        <f t="shared" si="124"/>
        <v/>
      </c>
      <c r="EP50" s="251" t="str">
        <f t="shared" si="125"/>
        <v/>
      </c>
      <c r="EQ50" s="251" t="str">
        <f t="shared" si="126"/>
        <v/>
      </c>
      <c r="ER50" s="251" t="str">
        <f t="shared" si="127"/>
        <v/>
      </c>
      <c r="ES50" s="251" t="str">
        <f t="shared" si="128"/>
        <v/>
      </c>
      <c r="ET50" s="251" t="str">
        <f t="shared" si="129"/>
        <v/>
      </c>
      <c r="EU50" s="251" t="str">
        <f t="shared" si="130"/>
        <v/>
      </c>
      <c r="EV50" s="251" t="str">
        <f t="shared" si="131"/>
        <v/>
      </c>
      <c r="EW50" s="251" t="str">
        <f t="shared" si="132"/>
        <v/>
      </c>
      <c r="EX50" s="251" t="str">
        <f t="shared" si="133"/>
        <v/>
      </c>
      <c r="EY50" s="251" t="str">
        <f t="shared" si="134"/>
        <v/>
      </c>
      <c r="EZ50" s="251" t="str">
        <f t="shared" si="135"/>
        <v/>
      </c>
      <c r="FA50" s="251" t="str">
        <f t="shared" si="136"/>
        <v/>
      </c>
      <c r="FB50" s="251" t="str">
        <f t="shared" si="137"/>
        <v/>
      </c>
      <c r="FC50" s="251" t="str">
        <f t="shared" si="138"/>
        <v/>
      </c>
      <c r="FD50" s="251" t="str">
        <f t="shared" si="139"/>
        <v/>
      </c>
      <c r="FE50" s="251" t="str">
        <f t="shared" si="140"/>
        <v/>
      </c>
      <c r="FF50" s="251" t="str">
        <f t="shared" si="141"/>
        <v/>
      </c>
      <c r="FG50" s="251" t="str">
        <f t="shared" si="142"/>
        <v/>
      </c>
      <c r="FH50" s="251" t="str">
        <f t="shared" si="143"/>
        <v/>
      </c>
      <c r="FI50" s="251" t="str">
        <f t="shared" si="144"/>
        <v/>
      </c>
      <c r="FJ50" s="251" t="str">
        <f t="shared" si="145"/>
        <v/>
      </c>
      <c r="FK50" s="251" t="str">
        <f t="shared" si="146"/>
        <v/>
      </c>
      <c r="FL50" s="251" t="str">
        <f t="shared" si="147"/>
        <v/>
      </c>
      <c r="FM50" s="251" t="str">
        <f t="shared" si="419"/>
        <v/>
      </c>
      <c r="FN50" s="251" t="str">
        <f t="shared" si="420"/>
        <v/>
      </c>
      <c r="FO50" s="251" t="str">
        <f t="shared" si="421"/>
        <v/>
      </c>
      <c r="FP50" s="251" t="str">
        <f t="shared" si="422"/>
        <v/>
      </c>
      <c r="FQ50" s="251" t="str">
        <f t="shared" si="423"/>
        <v/>
      </c>
      <c r="FR50" s="251" t="str">
        <f t="shared" si="153"/>
        <v/>
      </c>
      <c r="FS50" s="251" t="str">
        <f t="shared" si="154"/>
        <v/>
      </c>
      <c r="FT50" s="251" t="str">
        <f t="shared" si="155"/>
        <v/>
      </c>
      <c r="FU50" s="251" t="str">
        <f t="shared" si="156"/>
        <v/>
      </c>
      <c r="FV50" s="251" t="str">
        <f t="shared" si="157"/>
        <v/>
      </c>
      <c r="FW50" s="251" t="str">
        <f t="shared" si="158"/>
        <v/>
      </c>
      <c r="FX50" s="251" t="str">
        <f t="shared" si="159"/>
        <v/>
      </c>
      <c r="FY50" s="251" t="str">
        <f t="shared" si="160"/>
        <v/>
      </c>
      <c r="FZ50" s="251" t="str">
        <f t="shared" si="161"/>
        <v/>
      </c>
      <c r="GA50" s="251" t="str">
        <f t="shared" si="162"/>
        <v/>
      </c>
      <c r="GB50" s="251" t="str">
        <f t="shared" si="163"/>
        <v/>
      </c>
      <c r="GC50" s="251" t="str">
        <f t="shared" si="164"/>
        <v/>
      </c>
      <c r="GD50" s="251" t="str">
        <f t="shared" si="165"/>
        <v/>
      </c>
      <c r="GE50" s="251" t="str">
        <f t="shared" si="166"/>
        <v/>
      </c>
      <c r="GF50" s="251" t="str">
        <f t="shared" si="167"/>
        <v/>
      </c>
      <c r="GG50" s="251" t="str">
        <f t="shared" si="168"/>
        <v/>
      </c>
      <c r="GH50" s="251" t="str">
        <f t="shared" si="169"/>
        <v/>
      </c>
      <c r="GI50" s="251" t="str">
        <f t="shared" si="170"/>
        <v/>
      </c>
      <c r="GJ50" s="251" t="str">
        <f t="shared" si="171"/>
        <v/>
      </c>
      <c r="GK50" s="251" t="str">
        <f t="shared" si="172"/>
        <v/>
      </c>
      <c r="GL50" s="251" t="str">
        <f t="shared" si="173"/>
        <v/>
      </c>
      <c r="GM50" s="251" t="str">
        <f t="shared" si="174"/>
        <v/>
      </c>
      <c r="GN50" s="251" t="str">
        <f t="shared" si="175"/>
        <v/>
      </c>
      <c r="GO50" s="251" t="str">
        <f t="shared" si="176"/>
        <v/>
      </c>
      <c r="GP50" s="251" t="str">
        <f t="shared" si="177"/>
        <v/>
      </c>
      <c r="GQ50" s="251" t="str">
        <f t="shared" si="178"/>
        <v/>
      </c>
      <c r="GR50" s="251" t="str">
        <f t="shared" si="179"/>
        <v/>
      </c>
      <c r="GS50" s="251" t="str">
        <f t="shared" si="180"/>
        <v/>
      </c>
      <c r="GT50" s="251" t="str">
        <f t="shared" si="181"/>
        <v/>
      </c>
      <c r="GU50" s="251" t="str">
        <f t="shared" si="182"/>
        <v/>
      </c>
      <c r="GV50" s="251" t="str">
        <f t="shared" si="183"/>
        <v/>
      </c>
      <c r="GW50" s="251" t="str">
        <f t="shared" si="184"/>
        <v/>
      </c>
      <c r="GX50" s="251" t="str">
        <f t="shared" si="185"/>
        <v/>
      </c>
      <c r="GY50" s="251" t="str">
        <f t="shared" si="186"/>
        <v/>
      </c>
      <c r="GZ50" s="251" t="str">
        <f t="shared" si="187"/>
        <v/>
      </c>
      <c r="HA50" s="251" t="str">
        <f t="shared" si="424"/>
        <v/>
      </c>
      <c r="HB50" s="251" t="str">
        <f t="shared" si="425"/>
        <v/>
      </c>
      <c r="HC50" s="251" t="str">
        <f t="shared" si="426"/>
        <v/>
      </c>
      <c r="HD50" s="251" t="str">
        <f t="shared" si="427"/>
        <v/>
      </c>
      <c r="HE50" s="251" t="str">
        <f t="shared" si="428"/>
        <v/>
      </c>
      <c r="HF50" s="251" t="str">
        <f t="shared" si="429"/>
        <v/>
      </c>
      <c r="HG50" s="251" t="str">
        <f t="shared" si="430"/>
        <v/>
      </c>
      <c r="HH50" s="251" t="str">
        <f t="shared" si="431"/>
        <v/>
      </c>
      <c r="HI50" s="251" t="str">
        <f t="shared" si="432"/>
        <v/>
      </c>
      <c r="HJ50" s="251" t="str">
        <f t="shared" si="433"/>
        <v/>
      </c>
      <c r="HK50" s="251" t="str">
        <f t="shared" si="434"/>
        <v/>
      </c>
      <c r="HL50" s="251" t="str">
        <f t="shared" si="435"/>
        <v/>
      </c>
      <c r="HM50" s="251" t="str">
        <f t="shared" si="436"/>
        <v/>
      </c>
      <c r="HN50" s="251" t="str">
        <f t="shared" si="437"/>
        <v/>
      </c>
      <c r="HO50" s="251" t="str">
        <f t="shared" si="438"/>
        <v/>
      </c>
      <c r="HP50" s="251" t="str">
        <f t="shared" si="203"/>
        <v/>
      </c>
      <c r="HQ50" s="251" t="str">
        <f t="shared" si="204"/>
        <v/>
      </c>
      <c r="HR50" s="251" t="str">
        <f t="shared" si="205"/>
        <v/>
      </c>
      <c r="HS50" s="251" t="str">
        <f t="shared" si="206"/>
        <v/>
      </c>
      <c r="HT50" s="251" t="str">
        <f t="shared" si="207"/>
        <v/>
      </c>
      <c r="HU50" s="251" t="str">
        <f t="shared" si="208"/>
        <v/>
      </c>
      <c r="HV50" s="251" t="str">
        <f t="shared" si="209"/>
        <v/>
      </c>
      <c r="HW50" s="251" t="str">
        <f t="shared" si="210"/>
        <v/>
      </c>
      <c r="HX50" s="251" t="str">
        <f t="shared" si="211"/>
        <v/>
      </c>
      <c r="HY50" s="251" t="str">
        <f t="shared" si="212"/>
        <v/>
      </c>
      <c r="HZ50" s="251" t="str">
        <f t="shared" si="213"/>
        <v/>
      </c>
      <c r="IA50" s="251" t="str">
        <f t="shared" si="214"/>
        <v/>
      </c>
      <c r="IB50" s="251" t="str">
        <f t="shared" si="215"/>
        <v/>
      </c>
      <c r="IC50" s="251" t="str">
        <f t="shared" si="216"/>
        <v/>
      </c>
      <c r="ID50" s="251" t="str">
        <f t="shared" si="217"/>
        <v/>
      </c>
      <c r="IE50" s="251" t="str">
        <f t="shared" si="218"/>
        <v/>
      </c>
      <c r="IF50" s="251" t="str">
        <f t="shared" si="219"/>
        <v/>
      </c>
      <c r="IG50" s="251" t="str">
        <f t="shared" si="220"/>
        <v/>
      </c>
      <c r="IH50" s="251" t="str">
        <f t="shared" si="221"/>
        <v/>
      </c>
      <c r="II50" s="251" t="str">
        <f t="shared" si="222"/>
        <v/>
      </c>
      <c r="IJ50" s="251" t="str">
        <f t="shared" si="223"/>
        <v/>
      </c>
      <c r="IK50" s="251" t="str">
        <f t="shared" si="224"/>
        <v/>
      </c>
      <c r="IL50" s="251" t="str">
        <f t="shared" si="225"/>
        <v/>
      </c>
      <c r="IM50" s="251" t="str">
        <f t="shared" si="226"/>
        <v/>
      </c>
      <c r="IN50" s="251" t="str">
        <f t="shared" si="227"/>
        <v/>
      </c>
      <c r="IO50" s="251" t="str">
        <f t="shared" si="228"/>
        <v/>
      </c>
      <c r="IP50" s="251" t="str">
        <f t="shared" si="229"/>
        <v/>
      </c>
      <c r="IQ50" s="251" t="str">
        <f t="shared" si="230"/>
        <v/>
      </c>
      <c r="IR50" s="251" t="str">
        <f t="shared" si="231"/>
        <v/>
      </c>
      <c r="IS50" s="251" t="str">
        <f t="shared" si="232"/>
        <v/>
      </c>
      <c r="IT50" s="251" t="str">
        <f t="shared" si="233"/>
        <v/>
      </c>
      <c r="IU50" s="251" t="str">
        <f t="shared" si="234"/>
        <v/>
      </c>
      <c r="IV50" s="251" t="str">
        <f t="shared" si="235"/>
        <v/>
      </c>
      <c r="IW50" s="251" t="str">
        <f t="shared" si="236"/>
        <v/>
      </c>
      <c r="IX50" s="251" t="str">
        <f t="shared" si="237"/>
        <v/>
      </c>
      <c r="IY50" s="251" t="str">
        <f t="shared" si="238"/>
        <v/>
      </c>
      <c r="IZ50" s="251" t="str">
        <f t="shared" si="239"/>
        <v/>
      </c>
      <c r="JA50" s="251" t="str">
        <f t="shared" si="240"/>
        <v/>
      </c>
      <c r="JB50" s="251" t="str">
        <f t="shared" si="241"/>
        <v/>
      </c>
      <c r="JC50" s="251" t="str">
        <f t="shared" si="242"/>
        <v/>
      </c>
      <c r="JD50" s="251" t="str">
        <f t="shared" si="243"/>
        <v/>
      </c>
      <c r="JE50" s="251" t="str">
        <f t="shared" si="244"/>
        <v/>
      </c>
      <c r="JF50" s="251" t="str">
        <f t="shared" si="245"/>
        <v/>
      </c>
      <c r="JG50" s="251" t="str">
        <f t="shared" si="246"/>
        <v/>
      </c>
      <c r="JH50" s="251" t="str">
        <f t="shared" si="247"/>
        <v/>
      </c>
      <c r="JI50" s="1297" t="str">
        <f t="shared" si="248"/>
        <v/>
      </c>
      <c r="JJ50" s="1297" t="str">
        <f t="shared" si="249"/>
        <v/>
      </c>
      <c r="JK50" s="1297" t="str">
        <f t="shared" si="250"/>
        <v/>
      </c>
      <c r="JL50" s="1297" t="str">
        <f t="shared" si="251"/>
        <v/>
      </c>
      <c r="JM50" s="1297" t="str">
        <f t="shared" si="252"/>
        <v/>
      </c>
      <c r="JN50" s="1297" t="str">
        <f t="shared" si="253"/>
        <v/>
      </c>
      <c r="JO50" s="1297" t="str">
        <f t="shared" si="254"/>
        <v/>
      </c>
      <c r="JP50" s="1297" t="str">
        <f t="shared" si="255"/>
        <v/>
      </c>
      <c r="JQ50" s="1297" t="str">
        <f t="shared" si="256"/>
        <v/>
      </c>
      <c r="JR50" s="1297" t="str">
        <f t="shared" si="257"/>
        <v/>
      </c>
      <c r="JS50" s="1297" t="str">
        <f t="shared" si="258"/>
        <v/>
      </c>
      <c r="JT50" s="1297" t="str">
        <f t="shared" si="259"/>
        <v/>
      </c>
      <c r="JU50" s="1297" t="str">
        <f t="shared" si="260"/>
        <v/>
      </c>
      <c r="JV50" s="1297" t="str">
        <f t="shared" si="261"/>
        <v/>
      </c>
      <c r="JW50" s="1297" t="str">
        <f t="shared" si="262"/>
        <v/>
      </c>
      <c r="JX50" s="1297" t="str">
        <f t="shared" si="263"/>
        <v/>
      </c>
      <c r="JY50" s="1297" t="str">
        <f t="shared" si="264"/>
        <v/>
      </c>
      <c r="JZ50" s="1297" t="str">
        <f t="shared" si="265"/>
        <v/>
      </c>
      <c r="KA50" s="1297" t="str">
        <f t="shared" si="266"/>
        <v/>
      </c>
      <c r="KB50" s="1297" t="str">
        <f t="shared" si="267"/>
        <v/>
      </c>
      <c r="KC50" s="1297" t="str">
        <f t="shared" si="268"/>
        <v/>
      </c>
      <c r="KD50" s="1297" t="str">
        <f t="shared" si="269"/>
        <v/>
      </c>
      <c r="KE50" s="1297" t="str">
        <f t="shared" si="270"/>
        <v/>
      </c>
      <c r="KF50" s="1297" t="str">
        <f t="shared" si="271"/>
        <v/>
      </c>
      <c r="KG50" s="1297" t="str">
        <f t="shared" si="272"/>
        <v/>
      </c>
      <c r="KH50" s="1297" t="str">
        <f t="shared" si="273"/>
        <v/>
      </c>
      <c r="KI50" s="1297" t="str">
        <f t="shared" si="274"/>
        <v/>
      </c>
      <c r="KJ50" s="1297" t="str">
        <f t="shared" si="275"/>
        <v/>
      </c>
      <c r="KK50" s="1297" t="str">
        <f t="shared" si="276"/>
        <v/>
      </c>
      <c r="KL50" s="1297" t="str">
        <f t="shared" si="277"/>
        <v/>
      </c>
      <c r="KM50" s="1297" t="str">
        <f t="shared" si="278"/>
        <v/>
      </c>
      <c r="KN50" s="1297" t="str">
        <f t="shared" si="279"/>
        <v/>
      </c>
      <c r="KO50" s="1297" t="str">
        <f t="shared" si="280"/>
        <v/>
      </c>
      <c r="KP50" s="1297" t="str">
        <f t="shared" si="281"/>
        <v/>
      </c>
      <c r="KQ50" s="1297" t="str">
        <f t="shared" si="282"/>
        <v/>
      </c>
      <c r="KR50" s="1297" t="str">
        <f t="shared" si="283"/>
        <v/>
      </c>
      <c r="KS50" s="1297" t="str">
        <f t="shared" si="284"/>
        <v/>
      </c>
      <c r="KT50" s="1297" t="str">
        <f t="shared" si="285"/>
        <v/>
      </c>
      <c r="KU50" s="1297" t="str">
        <f t="shared" si="286"/>
        <v/>
      </c>
      <c r="KV50" s="1297" t="str">
        <f t="shared" si="287"/>
        <v/>
      </c>
      <c r="KW50" s="1297" t="str">
        <f t="shared" si="288"/>
        <v/>
      </c>
      <c r="KX50" s="1297" t="str">
        <f t="shared" si="289"/>
        <v/>
      </c>
      <c r="KY50" s="1297" t="str">
        <f t="shared" si="290"/>
        <v/>
      </c>
      <c r="KZ50" s="1297" t="str">
        <f t="shared" si="291"/>
        <v/>
      </c>
      <c r="LA50" s="1297" t="str">
        <f t="shared" si="292"/>
        <v/>
      </c>
      <c r="LB50" s="1297" t="str">
        <f t="shared" si="293"/>
        <v/>
      </c>
      <c r="LC50" s="1297" t="str">
        <f t="shared" si="294"/>
        <v/>
      </c>
      <c r="LD50" s="1297" t="str">
        <f t="shared" si="295"/>
        <v/>
      </c>
      <c r="LE50" s="1297" t="str">
        <f t="shared" si="296"/>
        <v/>
      </c>
      <c r="LF50" s="1297" t="str">
        <f t="shared" si="297"/>
        <v/>
      </c>
      <c r="LG50" s="1297" t="str">
        <f t="shared" si="298"/>
        <v/>
      </c>
      <c r="LH50" s="1297" t="str">
        <f t="shared" si="299"/>
        <v/>
      </c>
      <c r="LI50" s="1297" t="str">
        <f t="shared" si="300"/>
        <v/>
      </c>
      <c r="LJ50" s="1297" t="str">
        <f t="shared" si="301"/>
        <v/>
      </c>
      <c r="LK50" s="1297" t="str">
        <f t="shared" si="302"/>
        <v/>
      </c>
      <c r="LL50" s="1297" t="str">
        <f t="shared" si="303"/>
        <v/>
      </c>
      <c r="LM50" s="1297" t="str">
        <f t="shared" si="304"/>
        <v/>
      </c>
      <c r="LN50" s="1297" t="str">
        <f t="shared" si="305"/>
        <v/>
      </c>
      <c r="LO50" s="1297" t="str">
        <f t="shared" si="306"/>
        <v/>
      </c>
      <c r="LP50" s="1297" t="str">
        <f t="shared" si="307"/>
        <v/>
      </c>
      <c r="LQ50" s="1297" t="str">
        <f t="shared" si="308"/>
        <v/>
      </c>
      <c r="LR50" s="1297" t="str">
        <f t="shared" si="309"/>
        <v/>
      </c>
      <c r="LS50" s="1297" t="str">
        <f t="shared" si="310"/>
        <v/>
      </c>
      <c r="LT50" s="1297" t="str">
        <f t="shared" si="311"/>
        <v/>
      </c>
      <c r="LU50" s="1297" t="str">
        <f t="shared" si="312"/>
        <v/>
      </c>
      <c r="LV50" s="1297" t="str">
        <f t="shared" si="313"/>
        <v/>
      </c>
      <c r="LW50" s="1297" t="str">
        <f t="shared" si="314"/>
        <v/>
      </c>
      <c r="LX50" s="1297" t="str">
        <f t="shared" si="315"/>
        <v/>
      </c>
      <c r="LY50" s="1297" t="str">
        <f t="shared" si="316"/>
        <v/>
      </c>
      <c r="LZ50" s="1297" t="str">
        <f t="shared" si="317"/>
        <v/>
      </c>
      <c r="MA50" s="1297" t="str">
        <f t="shared" si="318"/>
        <v/>
      </c>
      <c r="MB50" s="1297" t="str">
        <f t="shared" si="319"/>
        <v/>
      </c>
      <c r="MC50" s="1297" t="str">
        <f t="shared" si="320"/>
        <v/>
      </c>
      <c r="MD50" s="1297" t="str">
        <f t="shared" si="321"/>
        <v/>
      </c>
      <c r="ME50" s="1297" t="str">
        <f t="shared" si="322"/>
        <v/>
      </c>
      <c r="MF50" s="1297" t="str">
        <f t="shared" si="323"/>
        <v/>
      </c>
      <c r="MG50" s="1297" t="str">
        <f t="shared" si="324"/>
        <v/>
      </c>
      <c r="MH50" s="1297" t="str">
        <f t="shared" si="325"/>
        <v/>
      </c>
      <c r="MI50" s="1297" t="str">
        <f t="shared" si="326"/>
        <v/>
      </c>
      <c r="MJ50" s="1297" t="str">
        <f t="shared" si="327"/>
        <v/>
      </c>
      <c r="MK50" s="1297" t="str">
        <f t="shared" si="328"/>
        <v/>
      </c>
      <c r="ML50" s="1297" t="str">
        <f t="shared" si="329"/>
        <v/>
      </c>
      <c r="MM50" s="1297" t="str">
        <f t="shared" si="330"/>
        <v/>
      </c>
      <c r="MN50" s="1297" t="str">
        <f t="shared" si="331"/>
        <v/>
      </c>
      <c r="MO50" s="1297" t="str">
        <f t="shared" si="332"/>
        <v/>
      </c>
      <c r="MP50" s="1773" t="str">
        <f t="shared" si="333"/>
        <v/>
      </c>
      <c r="MQ50" s="1773" t="str">
        <f t="shared" si="334"/>
        <v/>
      </c>
      <c r="MR50" s="1773" t="str">
        <f t="shared" si="335"/>
        <v/>
      </c>
      <c r="MS50" s="1773" t="str">
        <f t="shared" si="336"/>
        <v/>
      </c>
      <c r="MT50" s="1773" t="str">
        <f t="shared" si="337"/>
        <v/>
      </c>
      <c r="MU50" s="251" t="str">
        <f t="shared" si="439"/>
        <v/>
      </c>
      <c r="MV50" s="251" t="str">
        <f t="shared" si="440"/>
        <v/>
      </c>
      <c r="MW50" s="251" t="str">
        <f t="shared" si="441"/>
        <v/>
      </c>
      <c r="MX50" s="251" t="str">
        <f t="shared" si="442"/>
        <v/>
      </c>
      <c r="MY50" s="251" t="str">
        <f t="shared" si="443"/>
        <v/>
      </c>
      <c r="MZ50" s="251" t="str">
        <f t="shared" si="343"/>
        <v/>
      </c>
      <c r="NA50" s="251" t="str">
        <f t="shared" si="344"/>
        <v/>
      </c>
      <c r="NB50" s="251" t="str">
        <f t="shared" si="345"/>
        <v/>
      </c>
      <c r="NC50" s="251" t="str">
        <f t="shared" si="346"/>
        <v/>
      </c>
      <c r="ND50" s="251" t="str">
        <f t="shared" si="347"/>
        <v/>
      </c>
      <c r="NE50" s="251" t="str">
        <f t="shared" si="348"/>
        <v/>
      </c>
      <c r="NF50" s="251" t="str">
        <f t="shared" si="349"/>
        <v/>
      </c>
      <c r="NG50" s="251" t="str">
        <f t="shared" si="350"/>
        <v/>
      </c>
      <c r="NH50" s="251" t="str">
        <f t="shared" si="351"/>
        <v/>
      </c>
      <c r="NI50" s="251" t="str">
        <f t="shared" si="352"/>
        <v/>
      </c>
      <c r="NJ50" s="251" t="str">
        <f t="shared" si="353"/>
        <v/>
      </c>
      <c r="NK50" s="251" t="str">
        <f t="shared" si="354"/>
        <v/>
      </c>
      <c r="NL50" s="251" t="str">
        <f t="shared" si="355"/>
        <v/>
      </c>
      <c r="NM50" s="251" t="str">
        <f t="shared" si="356"/>
        <v/>
      </c>
      <c r="NN50" s="251" t="str">
        <f t="shared" si="357"/>
        <v/>
      </c>
      <c r="NO50" s="1185">
        <f t="shared" si="358"/>
        <v>0</v>
      </c>
      <c r="NP50" s="1185">
        <f t="shared" si="359"/>
        <v>0</v>
      </c>
      <c r="NQ50" s="1185">
        <f t="shared" si="360"/>
        <v>0</v>
      </c>
      <c r="NR50" s="1185">
        <f t="shared" si="361"/>
        <v>0</v>
      </c>
      <c r="NS50" s="1185">
        <f t="shared" si="362"/>
        <v>0</v>
      </c>
      <c r="NT50" s="1185">
        <f t="shared" si="368"/>
        <v>0</v>
      </c>
      <c r="NU50" s="1185">
        <f t="shared" si="369"/>
        <v>0</v>
      </c>
      <c r="NV50" s="1185">
        <f t="shared" si="370"/>
        <v>0</v>
      </c>
      <c r="NW50" s="1185">
        <f t="shared" si="371"/>
        <v>0</v>
      </c>
      <c r="NX50" s="1185">
        <f t="shared" si="372"/>
        <v>0</v>
      </c>
      <c r="NY50" s="1185">
        <f t="shared" si="363"/>
        <v>0</v>
      </c>
      <c r="NZ50" s="1185">
        <f t="shared" si="364"/>
        <v>0</v>
      </c>
      <c r="OA50" s="1185">
        <f t="shared" si="365"/>
        <v>0</v>
      </c>
      <c r="OB50" s="1185">
        <f t="shared" si="366"/>
        <v>0</v>
      </c>
      <c r="OC50" s="1185">
        <f t="shared" si="367"/>
        <v>0</v>
      </c>
      <c r="OY50" s="1794" t="s">
        <v>1194</v>
      </c>
      <c r="OZ50" s="1799">
        <v>50</v>
      </c>
    </row>
    <row r="51" spans="1:416" ht="12" customHeight="1">
      <c r="A51" s="53" t="str">
        <f t="shared" si="376"/>
        <v/>
      </c>
      <c r="B51" s="782"/>
      <c r="C51" s="85"/>
      <c r="D51" s="1187"/>
      <c r="E51" s="86"/>
      <c r="F51" s="86"/>
      <c r="G51" s="86"/>
      <c r="H51" s="86"/>
      <c r="I51" s="86"/>
      <c r="J51" s="765">
        <f>IF(C51="",0,HLOOKUP(C51,'Part IV-Utility Allowances'!$I$11:$M$25,15))</f>
        <v>0</v>
      </c>
      <c r="K51" s="473"/>
      <c r="L51" s="330">
        <f t="shared" si="377"/>
        <v>0</v>
      </c>
      <c r="M51" s="330">
        <f t="shared" si="378"/>
        <v>0</v>
      </c>
      <c r="N51" s="506"/>
      <c r="O51" s="1134"/>
      <c r="P51" s="506"/>
      <c r="Q51" s="87"/>
      <c r="R51" s="540"/>
      <c r="S51" s="541"/>
      <c r="T51" s="3758"/>
      <c r="U51" s="3759"/>
      <c r="V51" s="3759"/>
      <c r="W51" s="3760"/>
      <c r="X51" s="251" t="str">
        <f t="shared" si="379"/>
        <v/>
      </c>
      <c r="Y51" s="251" t="str">
        <f t="shared" si="380"/>
        <v/>
      </c>
      <c r="Z51" s="251" t="str">
        <f t="shared" si="381"/>
        <v/>
      </c>
      <c r="AA51" s="251" t="str">
        <f t="shared" si="382"/>
        <v/>
      </c>
      <c r="AB51" s="251" t="str">
        <f t="shared" si="383"/>
        <v/>
      </c>
      <c r="AC51" s="251" t="str">
        <f t="shared" si="384"/>
        <v/>
      </c>
      <c r="AD51" s="251" t="str">
        <f t="shared" si="385"/>
        <v/>
      </c>
      <c r="AE51" s="251" t="str">
        <f t="shared" si="386"/>
        <v/>
      </c>
      <c r="AF51" s="251" t="str">
        <f t="shared" si="387"/>
        <v/>
      </c>
      <c r="AG51" s="251" t="str">
        <f t="shared" si="388"/>
        <v/>
      </c>
      <c r="AH51" s="251" t="str">
        <f t="shared" si="389"/>
        <v/>
      </c>
      <c r="AI51" s="251" t="str">
        <f t="shared" si="390"/>
        <v/>
      </c>
      <c r="AJ51" s="251" t="str">
        <f t="shared" si="391"/>
        <v/>
      </c>
      <c r="AK51" s="251" t="str">
        <f t="shared" si="392"/>
        <v/>
      </c>
      <c r="AL51" s="251" t="str">
        <f t="shared" si="393"/>
        <v/>
      </c>
      <c r="AM51" s="251" t="str">
        <f t="shared" si="394"/>
        <v/>
      </c>
      <c r="AN51" s="251" t="str">
        <f t="shared" si="395"/>
        <v/>
      </c>
      <c r="AO51" s="251" t="str">
        <f t="shared" si="396"/>
        <v/>
      </c>
      <c r="AP51" s="251" t="str">
        <f t="shared" si="397"/>
        <v/>
      </c>
      <c r="AQ51" s="251" t="str">
        <f t="shared" si="398"/>
        <v/>
      </c>
      <c r="AR51" s="251" t="str">
        <f t="shared" si="399"/>
        <v/>
      </c>
      <c r="AS51" s="251" t="str">
        <f t="shared" si="400"/>
        <v/>
      </c>
      <c r="AT51" s="251" t="str">
        <f t="shared" si="401"/>
        <v/>
      </c>
      <c r="AU51" s="251" t="str">
        <f t="shared" si="402"/>
        <v/>
      </c>
      <c r="AV51" s="251" t="str">
        <f t="shared" si="403"/>
        <v/>
      </c>
      <c r="AW51" s="251" t="str">
        <f t="shared" si="404"/>
        <v/>
      </c>
      <c r="AX51" s="251" t="str">
        <f t="shared" si="405"/>
        <v/>
      </c>
      <c r="AY51" s="251" t="str">
        <f t="shared" si="406"/>
        <v/>
      </c>
      <c r="AZ51" s="251" t="str">
        <f t="shared" si="407"/>
        <v/>
      </c>
      <c r="BA51" s="251" t="str">
        <f t="shared" si="408"/>
        <v/>
      </c>
      <c r="BB51" s="251" t="str">
        <f t="shared" si="409"/>
        <v/>
      </c>
      <c r="BC51" s="251" t="str">
        <f t="shared" si="410"/>
        <v/>
      </c>
      <c r="BD51" s="251" t="str">
        <f t="shared" si="411"/>
        <v/>
      </c>
      <c r="BE51" s="251" t="str">
        <f t="shared" si="412"/>
        <v/>
      </c>
      <c r="BF51" s="251" t="str">
        <f t="shared" si="413"/>
        <v/>
      </c>
      <c r="BG51" s="251" t="str">
        <f t="shared" si="414"/>
        <v/>
      </c>
      <c r="BH51" s="251" t="str">
        <f t="shared" si="415"/>
        <v/>
      </c>
      <c r="BI51" s="251" t="str">
        <f t="shared" si="416"/>
        <v/>
      </c>
      <c r="BJ51" s="251" t="str">
        <f t="shared" si="417"/>
        <v/>
      </c>
      <c r="BK51" s="251" t="str">
        <f t="shared" si="418"/>
        <v/>
      </c>
      <c r="BL51" s="251" t="str">
        <f t="shared" si="43"/>
        <v/>
      </c>
      <c r="BM51" s="251" t="str">
        <f t="shared" si="44"/>
        <v/>
      </c>
      <c r="BN51" s="251" t="str">
        <f t="shared" si="45"/>
        <v/>
      </c>
      <c r="BO51" s="251" t="str">
        <f t="shared" si="46"/>
        <v/>
      </c>
      <c r="BP51" s="251" t="str">
        <f t="shared" si="47"/>
        <v/>
      </c>
      <c r="BQ51" s="251" t="str">
        <f t="shared" si="48"/>
        <v/>
      </c>
      <c r="BR51" s="251" t="str">
        <f t="shared" si="49"/>
        <v/>
      </c>
      <c r="BS51" s="251" t="str">
        <f t="shared" si="50"/>
        <v/>
      </c>
      <c r="BT51" s="251" t="str">
        <f t="shared" si="51"/>
        <v/>
      </c>
      <c r="BU51" s="251" t="str">
        <f t="shared" si="52"/>
        <v/>
      </c>
      <c r="BV51" s="251" t="str">
        <f t="shared" si="53"/>
        <v/>
      </c>
      <c r="BW51" s="251" t="str">
        <f t="shared" si="54"/>
        <v/>
      </c>
      <c r="BX51" s="251" t="str">
        <f t="shared" si="55"/>
        <v/>
      </c>
      <c r="BY51" s="251" t="str">
        <f t="shared" si="56"/>
        <v/>
      </c>
      <c r="BZ51" s="251" t="str">
        <f t="shared" si="57"/>
        <v/>
      </c>
      <c r="CA51" s="251" t="str">
        <f t="shared" si="58"/>
        <v/>
      </c>
      <c r="CB51" s="251" t="str">
        <f t="shared" si="59"/>
        <v/>
      </c>
      <c r="CC51" s="251" t="str">
        <f t="shared" si="60"/>
        <v/>
      </c>
      <c r="CD51" s="251" t="str">
        <f t="shared" si="61"/>
        <v/>
      </c>
      <c r="CE51" s="251" t="str">
        <f t="shared" si="62"/>
        <v/>
      </c>
      <c r="CF51" s="251" t="str">
        <f t="shared" si="63"/>
        <v/>
      </c>
      <c r="CG51" s="251" t="str">
        <f t="shared" si="64"/>
        <v/>
      </c>
      <c r="CH51" s="251" t="str">
        <f t="shared" si="65"/>
        <v/>
      </c>
      <c r="CI51" s="251" t="str">
        <f t="shared" si="66"/>
        <v/>
      </c>
      <c r="CJ51" s="251" t="str">
        <f t="shared" si="67"/>
        <v/>
      </c>
      <c r="CK51" s="251" t="str">
        <f t="shared" si="68"/>
        <v/>
      </c>
      <c r="CL51" s="251" t="str">
        <f t="shared" si="69"/>
        <v/>
      </c>
      <c r="CM51" s="251" t="str">
        <f t="shared" si="70"/>
        <v/>
      </c>
      <c r="CN51" s="251" t="str">
        <f t="shared" si="71"/>
        <v/>
      </c>
      <c r="CO51" s="251" t="str">
        <f t="shared" si="72"/>
        <v/>
      </c>
      <c r="CP51" s="251" t="str">
        <f t="shared" si="73"/>
        <v/>
      </c>
      <c r="CQ51" s="251" t="str">
        <f t="shared" si="74"/>
        <v/>
      </c>
      <c r="CR51" s="251" t="str">
        <f t="shared" si="75"/>
        <v/>
      </c>
      <c r="CS51" s="251" t="str">
        <f t="shared" si="76"/>
        <v/>
      </c>
      <c r="CT51" s="251" t="str">
        <f t="shared" si="77"/>
        <v/>
      </c>
      <c r="CU51" s="251" t="str">
        <f t="shared" si="78"/>
        <v/>
      </c>
      <c r="CV51" s="251" t="str">
        <f t="shared" si="79"/>
        <v/>
      </c>
      <c r="CW51" s="251" t="str">
        <f t="shared" si="80"/>
        <v/>
      </c>
      <c r="CX51" s="251" t="str">
        <f t="shared" si="81"/>
        <v/>
      </c>
      <c r="CY51" s="251" t="str">
        <f t="shared" si="82"/>
        <v/>
      </c>
      <c r="CZ51" s="251" t="str">
        <f t="shared" si="83"/>
        <v/>
      </c>
      <c r="DA51" s="251" t="str">
        <f t="shared" si="84"/>
        <v/>
      </c>
      <c r="DB51" s="251" t="str">
        <f t="shared" si="85"/>
        <v/>
      </c>
      <c r="DC51" s="251" t="str">
        <f t="shared" si="86"/>
        <v/>
      </c>
      <c r="DD51" s="251" t="str">
        <f t="shared" si="87"/>
        <v/>
      </c>
      <c r="DE51" s="251" t="str">
        <f t="shared" si="88"/>
        <v/>
      </c>
      <c r="DF51" s="251" t="str">
        <f t="shared" si="89"/>
        <v/>
      </c>
      <c r="DG51" s="251" t="str">
        <f t="shared" si="90"/>
        <v/>
      </c>
      <c r="DH51" s="251" t="str">
        <f t="shared" si="91"/>
        <v/>
      </c>
      <c r="DI51" s="251" t="str">
        <f t="shared" si="92"/>
        <v/>
      </c>
      <c r="DJ51" s="251" t="str">
        <f t="shared" si="93"/>
        <v/>
      </c>
      <c r="DK51" s="251" t="str">
        <f t="shared" si="94"/>
        <v/>
      </c>
      <c r="DL51" s="251" t="str">
        <f t="shared" si="95"/>
        <v/>
      </c>
      <c r="DM51" s="251" t="str">
        <f t="shared" si="96"/>
        <v/>
      </c>
      <c r="DN51" s="251" t="str">
        <f t="shared" si="97"/>
        <v/>
      </c>
      <c r="DO51" s="251" t="str">
        <f t="shared" si="98"/>
        <v/>
      </c>
      <c r="DP51" s="251" t="str">
        <f t="shared" si="99"/>
        <v/>
      </c>
      <c r="DQ51" s="251" t="str">
        <f t="shared" si="100"/>
        <v/>
      </c>
      <c r="DR51" s="251" t="str">
        <f t="shared" si="101"/>
        <v/>
      </c>
      <c r="DS51" s="251" t="str">
        <f t="shared" si="102"/>
        <v/>
      </c>
      <c r="DT51" s="251" t="str">
        <f t="shared" si="103"/>
        <v/>
      </c>
      <c r="DU51" s="251" t="str">
        <f t="shared" si="104"/>
        <v/>
      </c>
      <c r="DV51" s="251" t="str">
        <f t="shared" si="105"/>
        <v/>
      </c>
      <c r="DW51" s="251" t="str">
        <f t="shared" si="106"/>
        <v/>
      </c>
      <c r="DX51" s="251" t="str">
        <f t="shared" si="107"/>
        <v/>
      </c>
      <c r="DY51" s="251" t="str">
        <f t="shared" si="108"/>
        <v/>
      </c>
      <c r="DZ51" s="251" t="str">
        <f t="shared" si="109"/>
        <v/>
      </c>
      <c r="EA51" s="251" t="str">
        <f t="shared" si="110"/>
        <v/>
      </c>
      <c r="EB51" s="251" t="str">
        <f t="shared" si="111"/>
        <v/>
      </c>
      <c r="EC51" s="251" t="str">
        <f t="shared" si="112"/>
        <v/>
      </c>
      <c r="ED51" s="251" t="str">
        <f t="shared" si="113"/>
        <v/>
      </c>
      <c r="EE51" s="251" t="str">
        <f t="shared" si="114"/>
        <v/>
      </c>
      <c r="EF51" s="251" t="str">
        <f t="shared" si="115"/>
        <v/>
      </c>
      <c r="EG51" s="251" t="str">
        <f t="shared" si="116"/>
        <v/>
      </c>
      <c r="EH51" s="251" t="str">
        <f t="shared" si="117"/>
        <v/>
      </c>
      <c r="EI51" s="251" t="str">
        <f t="shared" si="118"/>
        <v/>
      </c>
      <c r="EJ51" s="251" t="str">
        <f t="shared" si="119"/>
        <v/>
      </c>
      <c r="EK51" s="251" t="str">
        <f t="shared" si="120"/>
        <v/>
      </c>
      <c r="EL51" s="251" t="str">
        <f t="shared" si="121"/>
        <v/>
      </c>
      <c r="EM51" s="251" t="str">
        <f t="shared" si="122"/>
        <v/>
      </c>
      <c r="EN51" s="251" t="str">
        <f t="shared" si="123"/>
        <v/>
      </c>
      <c r="EO51" s="251" t="str">
        <f t="shared" si="124"/>
        <v/>
      </c>
      <c r="EP51" s="251" t="str">
        <f t="shared" si="125"/>
        <v/>
      </c>
      <c r="EQ51" s="251" t="str">
        <f t="shared" si="126"/>
        <v/>
      </c>
      <c r="ER51" s="251" t="str">
        <f t="shared" si="127"/>
        <v/>
      </c>
      <c r="ES51" s="251" t="str">
        <f t="shared" si="128"/>
        <v/>
      </c>
      <c r="ET51" s="251" t="str">
        <f t="shared" si="129"/>
        <v/>
      </c>
      <c r="EU51" s="251" t="str">
        <f t="shared" si="130"/>
        <v/>
      </c>
      <c r="EV51" s="251" t="str">
        <f t="shared" si="131"/>
        <v/>
      </c>
      <c r="EW51" s="251" t="str">
        <f t="shared" si="132"/>
        <v/>
      </c>
      <c r="EX51" s="251" t="str">
        <f t="shared" si="133"/>
        <v/>
      </c>
      <c r="EY51" s="251" t="str">
        <f t="shared" si="134"/>
        <v/>
      </c>
      <c r="EZ51" s="251" t="str">
        <f t="shared" si="135"/>
        <v/>
      </c>
      <c r="FA51" s="251" t="str">
        <f t="shared" si="136"/>
        <v/>
      </c>
      <c r="FB51" s="251" t="str">
        <f t="shared" si="137"/>
        <v/>
      </c>
      <c r="FC51" s="251" t="str">
        <f t="shared" si="138"/>
        <v/>
      </c>
      <c r="FD51" s="251" t="str">
        <f t="shared" si="139"/>
        <v/>
      </c>
      <c r="FE51" s="251" t="str">
        <f t="shared" si="140"/>
        <v/>
      </c>
      <c r="FF51" s="251" t="str">
        <f t="shared" si="141"/>
        <v/>
      </c>
      <c r="FG51" s="251" t="str">
        <f t="shared" si="142"/>
        <v/>
      </c>
      <c r="FH51" s="251" t="str">
        <f t="shared" si="143"/>
        <v/>
      </c>
      <c r="FI51" s="251" t="str">
        <f t="shared" si="144"/>
        <v/>
      </c>
      <c r="FJ51" s="251" t="str">
        <f t="shared" si="145"/>
        <v/>
      </c>
      <c r="FK51" s="251" t="str">
        <f t="shared" si="146"/>
        <v/>
      </c>
      <c r="FL51" s="251" t="str">
        <f t="shared" si="147"/>
        <v/>
      </c>
      <c r="FM51" s="251" t="str">
        <f t="shared" si="419"/>
        <v/>
      </c>
      <c r="FN51" s="251" t="str">
        <f t="shared" si="420"/>
        <v/>
      </c>
      <c r="FO51" s="251" t="str">
        <f t="shared" si="421"/>
        <v/>
      </c>
      <c r="FP51" s="251" t="str">
        <f t="shared" si="422"/>
        <v/>
      </c>
      <c r="FQ51" s="251" t="str">
        <f t="shared" si="423"/>
        <v/>
      </c>
      <c r="FR51" s="251" t="str">
        <f t="shared" si="153"/>
        <v/>
      </c>
      <c r="FS51" s="251" t="str">
        <f t="shared" si="154"/>
        <v/>
      </c>
      <c r="FT51" s="251" t="str">
        <f t="shared" si="155"/>
        <v/>
      </c>
      <c r="FU51" s="251" t="str">
        <f t="shared" si="156"/>
        <v/>
      </c>
      <c r="FV51" s="251" t="str">
        <f t="shared" si="157"/>
        <v/>
      </c>
      <c r="FW51" s="251" t="str">
        <f t="shared" si="158"/>
        <v/>
      </c>
      <c r="FX51" s="251" t="str">
        <f t="shared" si="159"/>
        <v/>
      </c>
      <c r="FY51" s="251" t="str">
        <f t="shared" si="160"/>
        <v/>
      </c>
      <c r="FZ51" s="251" t="str">
        <f t="shared" si="161"/>
        <v/>
      </c>
      <c r="GA51" s="251" t="str">
        <f t="shared" si="162"/>
        <v/>
      </c>
      <c r="GB51" s="251" t="str">
        <f t="shared" si="163"/>
        <v/>
      </c>
      <c r="GC51" s="251" t="str">
        <f t="shared" si="164"/>
        <v/>
      </c>
      <c r="GD51" s="251" t="str">
        <f t="shared" si="165"/>
        <v/>
      </c>
      <c r="GE51" s="251" t="str">
        <f t="shared" si="166"/>
        <v/>
      </c>
      <c r="GF51" s="251" t="str">
        <f t="shared" si="167"/>
        <v/>
      </c>
      <c r="GG51" s="251" t="str">
        <f t="shared" si="168"/>
        <v/>
      </c>
      <c r="GH51" s="251" t="str">
        <f t="shared" si="169"/>
        <v/>
      </c>
      <c r="GI51" s="251" t="str">
        <f t="shared" si="170"/>
        <v/>
      </c>
      <c r="GJ51" s="251" t="str">
        <f t="shared" si="171"/>
        <v/>
      </c>
      <c r="GK51" s="251" t="str">
        <f t="shared" si="172"/>
        <v/>
      </c>
      <c r="GL51" s="251" t="str">
        <f t="shared" si="173"/>
        <v/>
      </c>
      <c r="GM51" s="251" t="str">
        <f t="shared" si="174"/>
        <v/>
      </c>
      <c r="GN51" s="251" t="str">
        <f t="shared" si="175"/>
        <v/>
      </c>
      <c r="GO51" s="251" t="str">
        <f t="shared" si="176"/>
        <v/>
      </c>
      <c r="GP51" s="251" t="str">
        <f t="shared" si="177"/>
        <v/>
      </c>
      <c r="GQ51" s="251" t="str">
        <f t="shared" si="178"/>
        <v/>
      </c>
      <c r="GR51" s="251" t="str">
        <f t="shared" si="179"/>
        <v/>
      </c>
      <c r="GS51" s="251" t="str">
        <f t="shared" si="180"/>
        <v/>
      </c>
      <c r="GT51" s="251" t="str">
        <f t="shared" si="181"/>
        <v/>
      </c>
      <c r="GU51" s="251" t="str">
        <f t="shared" si="182"/>
        <v/>
      </c>
      <c r="GV51" s="251" t="str">
        <f t="shared" si="183"/>
        <v/>
      </c>
      <c r="GW51" s="251" t="str">
        <f t="shared" si="184"/>
        <v/>
      </c>
      <c r="GX51" s="251" t="str">
        <f t="shared" si="185"/>
        <v/>
      </c>
      <c r="GY51" s="251" t="str">
        <f t="shared" si="186"/>
        <v/>
      </c>
      <c r="GZ51" s="251" t="str">
        <f t="shared" si="187"/>
        <v/>
      </c>
      <c r="HA51" s="251" t="str">
        <f t="shared" si="424"/>
        <v/>
      </c>
      <c r="HB51" s="251" t="str">
        <f t="shared" si="425"/>
        <v/>
      </c>
      <c r="HC51" s="251" t="str">
        <f t="shared" si="426"/>
        <v/>
      </c>
      <c r="HD51" s="251" t="str">
        <f t="shared" si="427"/>
        <v/>
      </c>
      <c r="HE51" s="251" t="str">
        <f t="shared" si="428"/>
        <v/>
      </c>
      <c r="HF51" s="251" t="str">
        <f t="shared" si="429"/>
        <v/>
      </c>
      <c r="HG51" s="251" t="str">
        <f t="shared" si="430"/>
        <v/>
      </c>
      <c r="HH51" s="251" t="str">
        <f t="shared" si="431"/>
        <v/>
      </c>
      <c r="HI51" s="251" t="str">
        <f t="shared" si="432"/>
        <v/>
      </c>
      <c r="HJ51" s="251" t="str">
        <f t="shared" si="433"/>
        <v/>
      </c>
      <c r="HK51" s="251" t="str">
        <f t="shared" si="434"/>
        <v/>
      </c>
      <c r="HL51" s="251" t="str">
        <f t="shared" si="435"/>
        <v/>
      </c>
      <c r="HM51" s="251" t="str">
        <f t="shared" si="436"/>
        <v/>
      </c>
      <c r="HN51" s="251" t="str">
        <f t="shared" si="437"/>
        <v/>
      </c>
      <c r="HO51" s="251" t="str">
        <f t="shared" si="438"/>
        <v/>
      </c>
      <c r="HP51" s="251" t="str">
        <f t="shared" si="203"/>
        <v/>
      </c>
      <c r="HQ51" s="251" t="str">
        <f t="shared" si="204"/>
        <v/>
      </c>
      <c r="HR51" s="251" t="str">
        <f t="shared" si="205"/>
        <v/>
      </c>
      <c r="HS51" s="251" t="str">
        <f t="shared" si="206"/>
        <v/>
      </c>
      <c r="HT51" s="251" t="str">
        <f t="shared" si="207"/>
        <v/>
      </c>
      <c r="HU51" s="251" t="str">
        <f t="shared" si="208"/>
        <v/>
      </c>
      <c r="HV51" s="251" t="str">
        <f t="shared" si="209"/>
        <v/>
      </c>
      <c r="HW51" s="251" t="str">
        <f t="shared" si="210"/>
        <v/>
      </c>
      <c r="HX51" s="251" t="str">
        <f t="shared" si="211"/>
        <v/>
      </c>
      <c r="HY51" s="251" t="str">
        <f t="shared" si="212"/>
        <v/>
      </c>
      <c r="HZ51" s="251" t="str">
        <f t="shared" si="213"/>
        <v/>
      </c>
      <c r="IA51" s="251" t="str">
        <f t="shared" si="214"/>
        <v/>
      </c>
      <c r="IB51" s="251" t="str">
        <f t="shared" si="215"/>
        <v/>
      </c>
      <c r="IC51" s="251" t="str">
        <f t="shared" si="216"/>
        <v/>
      </c>
      <c r="ID51" s="251" t="str">
        <f t="shared" si="217"/>
        <v/>
      </c>
      <c r="IE51" s="251" t="str">
        <f t="shared" si="218"/>
        <v/>
      </c>
      <c r="IF51" s="251" t="str">
        <f t="shared" si="219"/>
        <v/>
      </c>
      <c r="IG51" s="251" t="str">
        <f t="shared" si="220"/>
        <v/>
      </c>
      <c r="IH51" s="251" t="str">
        <f t="shared" si="221"/>
        <v/>
      </c>
      <c r="II51" s="251" t="str">
        <f t="shared" si="222"/>
        <v/>
      </c>
      <c r="IJ51" s="251" t="str">
        <f t="shared" si="223"/>
        <v/>
      </c>
      <c r="IK51" s="251" t="str">
        <f t="shared" si="224"/>
        <v/>
      </c>
      <c r="IL51" s="251" t="str">
        <f t="shared" si="225"/>
        <v/>
      </c>
      <c r="IM51" s="251" t="str">
        <f t="shared" si="226"/>
        <v/>
      </c>
      <c r="IN51" s="251" t="str">
        <f t="shared" si="227"/>
        <v/>
      </c>
      <c r="IO51" s="251" t="str">
        <f t="shared" si="228"/>
        <v/>
      </c>
      <c r="IP51" s="251" t="str">
        <f t="shared" si="229"/>
        <v/>
      </c>
      <c r="IQ51" s="251" t="str">
        <f t="shared" si="230"/>
        <v/>
      </c>
      <c r="IR51" s="251" t="str">
        <f t="shared" si="231"/>
        <v/>
      </c>
      <c r="IS51" s="251" t="str">
        <f t="shared" si="232"/>
        <v/>
      </c>
      <c r="IT51" s="251" t="str">
        <f t="shared" si="233"/>
        <v/>
      </c>
      <c r="IU51" s="251" t="str">
        <f t="shared" si="234"/>
        <v/>
      </c>
      <c r="IV51" s="251" t="str">
        <f t="shared" si="235"/>
        <v/>
      </c>
      <c r="IW51" s="251" t="str">
        <f t="shared" si="236"/>
        <v/>
      </c>
      <c r="IX51" s="251" t="str">
        <f t="shared" si="237"/>
        <v/>
      </c>
      <c r="IY51" s="251" t="str">
        <f t="shared" si="238"/>
        <v/>
      </c>
      <c r="IZ51" s="251" t="str">
        <f t="shared" si="239"/>
        <v/>
      </c>
      <c r="JA51" s="251" t="str">
        <f t="shared" si="240"/>
        <v/>
      </c>
      <c r="JB51" s="251" t="str">
        <f t="shared" si="241"/>
        <v/>
      </c>
      <c r="JC51" s="251" t="str">
        <f t="shared" si="242"/>
        <v/>
      </c>
      <c r="JD51" s="251" t="str">
        <f t="shared" si="243"/>
        <v/>
      </c>
      <c r="JE51" s="251" t="str">
        <f t="shared" si="244"/>
        <v/>
      </c>
      <c r="JF51" s="251" t="str">
        <f t="shared" si="245"/>
        <v/>
      </c>
      <c r="JG51" s="251" t="str">
        <f t="shared" si="246"/>
        <v/>
      </c>
      <c r="JH51" s="251" t="str">
        <f t="shared" si="247"/>
        <v/>
      </c>
      <c r="JI51" s="1297" t="str">
        <f t="shared" si="248"/>
        <v/>
      </c>
      <c r="JJ51" s="1297" t="str">
        <f t="shared" si="249"/>
        <v/>
      </c>
      <c r="JK51" s="1297" t="str">
        <f t="shared" si="250"/>
        <v/>
      </c>
      <c r="JL51" s="1297" t="str">
        <f t="shared" si="251"/>
        <v/>
      </c>
      <c r="JM51" s="1297" t="str">
        <f t="shared" si="252"/>
        <v/>
      </c>
      <c r="JN51" s="1297" t="str">
        <f t="shared" si="253"/>
        <v/>
      </c>
      <c r="JO51" s="1297" t="str">
        <f t="shared" si="254"/>
        <v/>
      </c>
      <c r="JP51" s="1297" t="str">
        <f t="shared" si="255"/>
        <v/>
      </c>
      <c r="JQ51" s="1297" t="str">
        <f t="shared" si="256"/>
        <v/>
      </c>
      <c r="JR51" s="1297" t="str">
        <f t="shared" si="257"/>
        <v/>
      </c>
      <c r="JS51" s="1297" t="str">
        <f t="shared" si="258"/>
        <v/>
      </c>
      <c r="JT51" s="1297" t="str">
        <f t="shared" si="259"/>
        <v/>
      </c>
      <c r="JU51" s="1297" t="str">
        <f t="shared" si="260"/>
        <v/>
      </c>
      <c r="JV51" s="1297" t="str">
        <f t="shared" si="261"/>
        <v/>
      </c>
      <c r="JW51" s="1297" t="str">
        <f t="shared" si="262"/>
        <v/>
      </c>
      <c r="JX51" s="1297" t="str">
        <f t="shared" si="263"/>
        <v/>
      </c>
      <c r="JY51" s="1297" t="str">
        <f t="shared" si="264"/>
        <v/>
      </c>
      <c r="JZ51" s="1297" t="str">
        <f t="shared" si="265"/>
        <v/>
      </c>
      <c r="KA51" s="1297" t="str">
        <f t="shared" si="266"/>
        <v/>
      </c>
      <c r="KB51" s="1297" t="str">
        <f t="shared" si="267"/>
        <v/>
      </c>
      <c r="KC51" s="1297" t="str">
        <f t="shared" si="268"/>
        <v/>
      </c>
      <c r="KD51" s="1297" t="str">
        <f t="shared" si="269"/>
        <v/>
      </c>
      <c r="KE51" s="1297" t="str">
        <f t="shared" si="270"/>
        <v/>
      </c>
      <c r="KF51" s="1297" t="str">
        <f t="shared" si="271"/>
        <v/>
      </c>
      <c r="KG51" s="1297" t="str">
        <f t="shared" si="272"/>
        <v/>
      </c>
      <c r="KH51" s="1297" t="str">
        <f t="shared" si="273"/>
        <v/>
      </c>
      <c r="KI51" s="1297" t="str">
        <f t="shared" si="274"/>
        <v/>
      </c>
      <c r="KJ51" s="1297" t="str">
        <f t="shared" si="275"/>
        <v/>
      </c>
      <c r="KK51" s="1297" t="str">
        <f t="shared" si="276"/>
        <v/>
      </c>
      <c r="KL51" s="1297" t="str">
        <f t="shared" si="277"/>
        <v/>
      </c>
      <c r="KM51" s="1297" t="str">
        <f t="shared" si="278"/>
        <v/>
      </c>
      <c r="KN51" s="1297" t="str">
        <f t="shared" si="279"/>
        <v/>
      </c>
      <c r="KO51" s="1297" t="str">
        <f t="shared" si="280"/>
        <v/>
      </c>
      <c r="KP51" s="1297" t="str">
        <f t="shared" si="281"/>
        <v/>
      </c>
      <c r="KQ51" s="1297" t="str">
        <f t="shared" si="282"/>
        <v/>
      </c>
      <c r="KR51" s="1297" t="str">
        <f t="shared" si="283"/>
        <v/>
      </c>
      <c r="KS51" s="1297" t="str">
        <f t="shared" si="284"/>
        <v/>
      </c>
      <c r="KT51" s="1297" t="str">
        <f t="shared" si="285"/>
        <v/>
      </c>
      <c r="KU51" s="1297" t="str">
        <f t="shared" si="286"/>
        <v/>
      </c>
      <c r="KV51" s="1297" t="str">
        <f t="shared" si="287"/>
        <v/>
      </c>
      <c r="KW51" s="1297" t="str">
        <f t="shared" si="288"/>
        <v/>
      </c>
      <c r="KX51" s="1297" t="str">
        <f t="shared" si="289"/>
        <v/>
      </c>
      <c r="KY51" s="1297" t="str">
        <f t="shared" si="290"/>
        <v/>
      </c>
      <c r="KZ51" s="1297" t="str">
        <f t="shared" si="291"/>
        <v/>
      </c>
      <c r="LA51" s="1297" t="str">
        <f t="shared" si="292"/>
        <v/>
      </c>
      <c r="LB51" s="1297" t="str">
        <f t="shared" si="293"/>
        <v/>
      </c>
      <c r="LC51" s="1297" t="str">
        <f t="shared" si="294"/>
        <v/>
      </c>
      <c r="LD51" s="1297" t="str">
        <f t="shared" si="295"/>
        <v/>
      </c>
      <c r="LE51" s="1297" t="str">
        <f t="shared" si="296"/>
        <v/>
      </c>
      <c r="LF51" s="1297" t="str">
        <f t="shared" si="297"/>
        <v/>
      </c>
      <c r="LG51" s="1297" t="str">
        <f t="shared" si="298"/>
        <v/>
      </c>
      <c r="LH51" s="1297" t="str">
        <f t="shared" si="299"/>
        <v/>
      </c>
      <c r="LI51" s="1297" t="str">
        <f t="shared" si="300"/>
        <v/>
      </c>
      <c r="LJ51" s="1297" t="str">
        <f t="shared" si="301"/>
        <v/>
      </c>
      <c r="LK51" s="1297" t="str">
        <f t="shared" si="302"/>
        <v/>
      </c>
      <c r="LL51" s="1297" t="str">
        <f t="shared" si="303"/>
        <v/>
      </c>
      <c r="LM51" s="1297" t="str">
        <f t="shared" si="304"/>
        <v/>
      </c>
      <c r="LN51" s="1297" t="str">
        <f t="shared" si="305"/>
        <v/>
      </c>
      <c r="LO51" s="1297" t="str">
        <f t="shared" si="306"/>
        <v/>
      </c>
      <c r="LP51" s="1297" t="str">
        <f t="shared" si="307"/>
        <v/>
      </c>
      <c r="LQ51" s="1297" t="str">
        <f t="shared" si="308"/>
        <v/>
      </c>
      <c r="LR51" s="1297" t="str">
        <f t="shared" si="309"/>
        <v/>
      </c>
      <c r="LS51" s="1297" t="str">
        <f t="shared" si="310"/>
        <v/>
      </c>
      <c r="LT51" s="1297" t="str">
        <f t="shared" si="311"/>
        <v/>
      </c>
      <c r="LU51" s="1297" t="str">
        <f t="shared" si="312"/>
        <v/>
      </c>
      <c r="LV51" s="1297" t="str">
        <f t="shared" si="313"/>
        <v/>
      </c>
      <c r="LW51" s="1297" t="str">
        <f t="shared" si="314"/>
        <v/>
      </c>
      <c r="LX51" s="1297" t="str">
        <f t="shared" si="315"/>
        <v/>
      </c>
      <c r="LY51" s="1297" t="str">
        <f t="shared" si="316"/>
        <v/>
      </c>
      <c r="LZ51" s="1297" t="str">
        <f t="shared" si="317"/>
        <v/>
      </c>
      <c r="MA51" s="1297" t="str">
        <f t="shared" si="318"/>
        <v/>
      </c>
      <c r="MB51" s="1297" t="str">
        <f t="shared" si="319"/>
        <v/>
      </c>
      <c r="MC51" s="1297" t="str">
        <f t="shared" si="320"/>
        <v/>
      </c>
      <c r="MD51" s="1297" t="str">
        <f t="shared" si="321"/>
        <v/>
      </c>
      <c r="ME51" s="1297" t="str">
        <f t="shared" si="322"/>
        <v/>
      </c>
      <c r="MF51" s="1297" t="str">
        <f t="shared" si="323"/>
        <v/>
      </c>
      <c r="MG51" s="1297" t="str">
        <f t="shared" si="324"/>
        <v/>
      </c>
      <c r="MH51" s="1297" t="str">
        <f t="shared" si="325"/>
        <v/>
      </c>
      <c r="MI51" s="1297" t="str">
        <f t="shared" si="326"/>
        <v/>
      </c>
      <c r="MJ51" s="1297" t="str">
        <f t="shared" si="327"/>
        <v/>
      </c>
      <c r="MK51" s="1297" t="str">
        <f t="shared" si="328"/>
        <v/>
      </c>
      <c r="ML51" s="1297" t="str">
        <f t="shared" si="329"/>
        <v/>
      </c>
      <c r="MM51" s="1297" t="str">
        <f t="shared" si="330"/>
        <v/>
      </c>
      <c r="MN51" s="1297" t="str">
        <f t="shared" si="331"/>
        <v/>
      </c>
      <c r="MO51" s="1297" t="str">
        <f t="shared" si="332"/>
        <v/>
      </c>
      <c r="MP51" s="1773" t="str">
        <f t="shared" si="333"/>
        <v/>
      </c>
      <c r="MQ51" s="1773" t="str">
        <f t="shared" si="334"/>
        <v/>
      </c>
      <c r="MR51" s="1773" t="str">
        <f t="shared" si="335"/>
        <v/>
      </c>
      <c r="MS51" s="1773" t="str">
        <f t="shared" si="336"/>
        <v/>
      </c>
      <c r="MT51" s="1773" t="str">
        <f t="shared" si="337"/>
        <v/>
      </c>
      <c r="MU51" s="251" t="str">
        <f t="shared" si="439"/>
        <v/>
      </c>
      <c r="MV51" s="251" t="str">
        <f t="shared" si="440"/>
        <v/>
      </c>
      <c r="MW51" s="251" t="str">
        <f t="shared" si="441"/>
        <v/>
      </c>
      <c r="MX51" s="251" t="str">
        <f t="shared" si="442"/>
        <v/>
      </c>
      <c r="MY51" s="251" t="str">
        <f t="shared" si="443"/>
        <v/>
      </c>
      <c r="MZ51" s="251" t="str">
        <f t="shared" si="343"/>
        <v/>
      </c>
      <c r="NA51" s="251" t="str">
        <f t="shared" si="344"/>
        <v/>
      </c>
      <c r="NB51" s="251" t="str">
        <f t="shared" si="345"/>
        <v/>
      </c>
      <c r="NC51" s="251" t="str">
        <f t="shared" si="346"/>
        <v/>
      </c>
      <c r="ND51" s="251" t="str">
        <f t="shared" si="347"/>
        <v/>
      </c>
      <c r="NE51" s="251" t="str">
        <f t="shared" si="348"/>
        <v/>
      </c>
      <c r="NF51" s="251" t="str">
        <f t="shared" si="349"/>
        <v/>
      </c>
      <c r="NG51" s="251" t="str">
        <f t="shared" si="350"/>
        <v/>
      </c>
      <c r="NH51" s="251" t="str">
        <f t="shared" si="351"/>
        <v/>
      </c>
      <c r="NI51" s="251" t="str">
        <f t="shared" si="352"/>
        <v/>
      </c>
      <c r="NJ51" s="251" t="str">
        <f t="shared" si="353"/>
        <v/>
      </c>
      <c r="NK51" s="251" t="str">
        <f t="shared" si="354"/>
        <v/>
      </c>
      <c r="NL51" s="251" t="str">
        <f t="shared" si="355"/>
        <v/>
      </c>
      <c r="NM51" s="251" t="str">
        <f t="shared" si="356"/>
        <v/>
      </c>
      <c r="NN51" s="251" t="str">
        <f t="shared" si="357"/>
        <v/>
      </c>
      <c r="NO51" s="1185">
        <f t="shared" si="358"/>
        <v>0</v>
      </c>
      <c r="NP51" s="1185">
        <f t="shared" si="359"/>
        <v>0</v>
      </c>
      <c r="NQ51" s="1185">
        <f t="shared" si="360"/>
        <v>0</v>
      </c>
      <c r="NR51" s="1185">
        <f t="shared" si="361"/>
        <v>0</v>
      </c>
      <c r="NS51" s="1185">
        <f t="shared" si="362"/>
        <v>0</v>
      </c>
      <c r="NT51" s="1185">
        <f t="shared" si="368"/>
        <v>0</v>
      </c>
      <c r="NU51" s="1185">
        <f t="shared" si="369"/>
        <v>0</v>
      </c>
      <c r="NV51" s="1185">
        <f t="shared" si="370"/>
        <v>0</v>
      </c>
      <c r="NW51" s="1185">
        <f t="shared" si="371"/>
        <v>0</v>
      </c>
      <c r="NX51" s="1185">
        <f t="shared" si="372"/>
        <v>0</v>
      </c>
      <c r="NY51" s="1185">
        <f t="shared" si="363"/>
        <v>0</v>
      </c>
      <c r="NZ51" s="1185">
        <f t="shared" si="364"/>
        <v>0</v>
      </c>
      <c r="OA51" s="1185">
        <f t="shared" si="365"/>
        <v>0</v>
      </c>
      <c r="OB51" s="1185">
        <f t="shared" si="366"/>
        <v>0</v>
      </c>
      <c r="OC51" s="1185">
        <f t="shared" si="367"/>
        <v>0</v>
      </c>
      <c r="OY51" s="1794" t="s">
        <v>1195</v>
      </c>
      <c r="OZ51" s="1798">
        <v>51</v>
      </c>
    </row>
    <row r="52" spans="1:416" ht="12" customHeight="1">
      <c r="A52" s="53" t="str">
        <f t="shared" ref="A52:A53" si="444">IF(AND(E52&gt;0,OR(B52="",C52="",D52="",F52="",G52="", H52="",I52="",N52="",O52="",P52="",Q52="")),1,"")</f>
        <v/>
      </c>
      <c r="B52" s="782"/>
      <c r="C52" s="85"/>
      <c r="D52" s="1187"/>
      <c r="E52" s="86"/>
      <c r="F52" s="86"/>
      <c r="G52" s="86"/>
      <c r="H52" s="86"/>
      <c r="I52" s="86"/>
      <c r="J52" s="765">
        <f>IF(C52="",0,HLOOKUP(C52,'Part IV-Utility Allowances'!$I$11:$M$25,15))</f>
        <v>0</v>
      </c>
      <c r="K52" s="473"/>
      <c r="L52" s="330">
        <f t="shared" ref="L52:L53" si="445">MAX(0,H52-I52-J52)</f>
        <v>0</v>
      </c>
      <c r="M52" s="330">
        <f t="shared" ref="M52:M53" si="446">MAX(0,E52*L52)</f>
        <v>0</v>
      </c>
      <c r="N52" s="506"/>
      <c r="O52" s="1134"/>
      <c r="P52" s="506"/>
      <c r="Q52" s="87"/>
      <c r="R52" s="540"/>
      <c r="S52" s="541"/>
      <c r="T52" s="3758"/>
      <c r="U52" s="3759"/>
      <c r="V52" s="3759"/>
      <c r="W52" s="3760"/>
      <c r="X52" s="251" t="str">
        <f t="shared" ref="X52:X53" si="447">IF(AND(C52="Efficiency",B52=80,NOT(N52="Common Space")),E52,"")</f>
        <v/>
      </c>
      <c r="Y52" s="251" t="str">
        <f t="shared" ref="Y52:Y53" si="448">IF(AND(C52=1,B52=80,NOT(N52="Common Space")),E52,"")</f>
        <v/>
      </c>
      <c r="Z52" s="251" t="str">
        <f t="shared" ref="Z52:Z53" si="449">IF(AND(C52=2,B52=80,NOT(N52="Common Space")),E52,"")</f>
        <v/>
      </c>
      <c r="AA52" s="251" t="str">
        <f t="shared" ref="AA52:AA53" si="450">IF(AND(C52=3,B52=80,NOT(N52="Common Space")),E52,"")</f>
        <v/>
      </c>
      <c r="AB52" s="251" t="str">
        <f t="shared" ref="AB52:AB53" si="451">IF(AND(C52=4,B52=80,NOT(N52="Common Space")),E52,"")</f>
        <v/>
      </c>
      <c r="AC52" s="251" t="str">
        <f t="shared" ref="AC52:AC53" si="452">IF(AND(C52="Efficiency",B52=70,NOT(N52="Common Space")),E52,"")</f>
        <v/>
      </c>
      <c r="AD52" s="251" t="str">
        <f t="shared" ref="AD52:AD53" si="453">IF(AND(C52=1,B52=70,NOT(N52="Common Space")),E52,"")</f>
        <v/>
      </c>
      <c r="AE52" s="251" t="str">
        <f t="shared" ref="AE52:AE53" si="454">IF(AND(C52=2,B52=70,NOT(N52="Common Space")),E52,"")</f>
        <v/>
      </c>
      <c r="AF52" s="251" t="str">
        <f t="shared" ref="AF52:AF53" si="455">IF(AND(C52=3,B52=70,NOT(N52="Common Space")),E52,"")</f>
        <v/>
      </c>
      <c r="AG52" s="251" t="str">
        <f t="shared" ref="AG52:AG53" si="456">IF(AND(C52=4,B52=70,NOT(N52="Common Space")),E52,"")</f>
        <v/>
      </c>
      <c r="AH52" s="251" t="str">
        <f t="shared" ref="AH52:AH53" si="457">IF(AND(C52="Efficiency",B52=60,NOT(N52="Common Space")),E52,"")</f>
        <v/>
      </c>
      <c r="AI52" s="251" t="str">
        <f t="shared" ref="AI52:AI53" si="458">IF(AND(C52=1,B52=60,NOT(N52="Common Space")),E52,"")</f>
        <v/>
      </c>
      <c r="AJ52" s="251" t="str">
        <f t="shared" ref="AJ52:AJ53" si="459">IF(AND(C52=2,B52=60,NOT(N52="Common Space")),E52,"")</f>
        <v/>
      </c>
      <c r="AK52" s="251" t="str">
        <f t="shared" ref="AK52:AK53" si="460">IF(AND(C52=3,B52=60,NOT(N52="Common Space")),E52,"")</f>
        <v/>
      </c>
      <c r="AL52" s="251" t="str">
        <f t="shared" ref="AL52:AL53" si="461">IF(AND(C52=4,B52=60,NOT(N52="Common Space")),E52,"")</f>
        <v/>
      </c>
      <c r="AM52" s="251" t="str">
        <f t="shared" ref="AM52:AM53" si="462">IF(AND(C52="Efficiency",B52=50,NOT(N52="Common Space")),E52,"")</f>
        <v/>
      </c>
      <c r="AN52" s="251" t="str">
        <f t="shared" ref="AN52:AN53" si="463">IF(AND(C52=1,B52=50,NOT(N52="Common Space")),E52,"")</f>
        <v/>
      </c>
      <c r="AO52" s="251" t="str">
        <f t="shared" ref="AO52:AO53" si="464">IF(AND(C52=2,B52=50,NOT(N52="Common Space")),E52,"")</f>
        <v/>
      </c>
      <c r="AP52" s="251" t="str">
        <f t="shared" ref="AP52:AP53" si="465">IF(AND(C52=3,B52=50,NOT(N52="Common Space")),E52,"")</f>
        <v/>
      </c>
      <c r="AQ52" s="251" t="str">
        <f t="shared" ref="AQ52:AQ53" si="466">IF(AND(C52=4,B52=50,NOT(N52="Common Space")),E52,"")</f>
        <v/>
      </c>
      <c r="AR52" s="251" t="str">
        <f t="shared" ref="AR52:AR53" si="467">IF(AND(C52="Efficiency",B52=40,NOT(N52="Common Space")),E52,"")</f>
        <v/>
      </c>
      <c r="AS52" s="251" t="str">
        <f t="shared" ref="AS52:AS53" si="468">IF(AND(C52=1,B52=40,NOT(N52="Common Space")),E52,"")</f>
        <v/>
      </c>
      <c r="AT52" s="251" t="str">
        <f t="shared" ref="AT52:AT53" si="469">IF(AND(C52=2,B52=40,NOT(N52="Common Space")),E52,"")</f>
        <v/>
      </c>
      <c r="AU52" s="251" t="str">
        <f t="shared" ref="AU52:AU53" si="470">IF(AND(C52=3,B52=40,NOT(N52="Common Space")),E52,"")</f>
        <v/>
      </c>
      <c r="AV52" s="251" t="str">
        <f t="shared" ref="AV52:AV53" si="471">IF(AND(C52=4,B52=40,NOT(N52="Common Space")),E52,"")</f>
        <v/>
      </c>
      <c r="AW52" s="251" t="str">
        <f t="shared" ref="AW52:AW53" si="472">IF(AND(C52="Efficiency",B52=30,NOT(N52="Common Space")),E52,"")</f>
        <v/>
      </c>
      <c r="AX52" s="251" t="str">
        <f t="shared" ref="AX52:AX53" si="473">IF(AND(C52=1,B52=30,NOT(N52="Common Space")),E52,"")</f>
        <v/>
      </c>
      <c r="AY52" s="251" t="str">
        <f t="shared" ref="AY52:AY53" si="474">IF(AND(C52=2,B52=30,NOT(N52="Common Space")),E52,"")</f>
        <v/>
      </c>
      <c r="AZ52" s="251" t="str">
        <f t="shared" ref="AZ52:AZ53" si="475">IF(AND(C52=3,B52=30,NOT(N52="Common Space")),E52,"")</f>
        <v/>
      </c>
      <c r="BA52" s="251" t="str">
        <f t="shared" ref="BA52:BA53" si="476">IF(AND(C52=4,B52=30,NOT(N52="Common Space")),E52,"")</f>
        <v/>
      </c>
      <c r="BB52" s="251" t="str">
        <f t="shared" ref="BB52:BB53" si="477">IF(AND(C52="Efficiency",B52=20,NOT(N52="Common Space")),E52,"")</f>
        <v/>
      </c>
      <c r="BC52" s="251" t="str">
        <f t="shared" ref="BC52:BC53" si="478">IF(AND(C52=1,B52=20,NOT(N52="Common Space")),E52,"")</f>
        <v/>
      </c>
      <c r="BD52" s="251" t="str">
        <f t="shared" ref="BD52:BD53" si="479">IF(AND(C52=2,B52=20,NOT(N52="Common Space")),E52,"")</f>
        <v/>
      </c>
      <c r="BE52" s="251" t="str">
        <f t="shared" ref="BE52:BE53" si="480">IF(AND(C52=3,B52=20,NOT(N52="Common Space")),E52,"")</f>
        <v/>
      </c>
      <c r="BF52" s="251" t="str">
        <f t="shared" ref="BF52:BF53" si="481">IF(AND(C52=4,B52=20,NOT(N52="Common Space")),E52,"")</f>
        <v/>
      </c>
      <c r="BG52" s="251" t="str">
        <f t="shared" ref="BG52:BG53" si="482">IF(AND(C52="Efficiency",B52="Unrestricted",NOT(N52="Common Space")),E52,"")</f>
        <v/>
      </c>
      <c r="BH52" s="251" t="str">
        <f t="shared" ref="BH52:BH53" si="483">IF(AND(C52=1,B52="Unrestricted",NOT(N52="Common Space")),E52,"")</f>
        <v/>
      </c>
      <c r="BI52" s="251" t="str">
        <f t="shared" ref="BI52:BI53" si="484">IF(AND(C52=2,B52="Unrestricted",NOT(N52="Common Space")),E52,"")</f>
        <v/>
      </c>
      <c r="BJ52" s="251" t="str">
        <f t="shared" ref="BJ52:BJ53" si="485">IF(AND(C52=3,B52="Unrestricted",NOT(N52="Common Space")),E52,"")</f>
        <v/>
      </c>
      <c r="BK52" s="251" t="str">
        <f t="shared" ref="BK52:BK53" si="486">IF(AND(C52=4,B52="Unrestricted",NOT(N52="Common Space")),E52,"")</f>
        <v/>
      </c>
      <c r="BL52" s="251" t="str">
        <f t="shared" si="43"/>
        <v/>
      </c>
      <c r="BM52" s="251" t="str">
        <f t="shared" si="44"/>
        <v/>
      </c>
      <c r="BN52" s="251" t="str">
        <f t="shared" si="45"/>
        <v/>
      </c>
      <c r="BO52" s="251" t="str">
        <f t="shared" si="46"/>
        <v/>
      </c>
      <c r="BP52" s="251" t="str">
        <f t="shared" si="47"/>
        <v/>
      </c>
      <c r="BQ52" s="251" t="str">
        <f t="shared" si="48"/>
        <v/>
      </c>
      <c r="BR52" s="251" t="str">
        <f t="shared" si="49"/>
        <v/>
      </c>
      <c r="BS52" s="251" t="str">
        <f t="shared" si="50"/>
        <v/>
      </c>
      <c r="BT52" s="251" t="str">
        <f t="shared" si="51"/>
        <v/>
      </c>
      <c r="BU52" s="251" t="str">
        <f t="shared" si="52"/>
        <v/>
      </c>
      <c r="BV52" s="251" t="str">
        <f t="shared" si="53"/>
        <v/>
      </c>
      <c r="BW52" s="251" t="str">
        <f t="shared" si="54"/>
        <v/>
      </c>
      <c r="BX52" s="251" t="str">
        <f t="shared" si="55"/>
        <v/>
      </c>
      <c r="BY52" s="251" t="str">
        <f t="shared" si="56"/>
        <v/>
      </c>
      <c r="BZ52" s="251" t="str">
        <f t="shared" si="57"/>
        <v/>
      </c>
      <c r="CA52" s="251" t="str">
        <f t="shared" si="58"/>
        <v/>
      </c>
      <c r="CB52" s="251" t="str">
        <f t="shared" si="59"/>
        <v/>
      </c>
      <c r="CC52" s="251" t="str">
        <f t="shared" si="60"/>
        <v/>
      </c>
      <c r="CD52" s="251" t="str">
        <f t="shared" si="61"/>
        <v/>
      </c>
      <c r="CE52" s="251" t="str">
        <f t="shared" si="62"/>
        <v/>
      </c>
      <c r="CF52" s="251" t="str">
        <f t="shared" si="63"/>
        <v/>
      </c>
      <c r="CG52" s="251" t="str">
        <f t="shared" si="64"/>
        <v/>
      </c>
      <c r="CH52" s="251" t="str">
        <f t="shared" si="65"/>
        <v/>
      </c>
      <c r="CI52" s="251" t="str">
        <f t="shared" si="66"/>
        <v/>
      </c>
      <c r="CJ52" s="251" t="str">
        <f t="shared" si="67"/>
        <v/>
      </c>
      <c r="CK52" s="251" t="str">
        <f t="shared" si="68"/>
        <v/>
      </c>
      <c r="CL52" s="251" t="str">
        <f t="shared" si="69"/>
        <v/>
      </c>
      <c r="CM52" s="251" t="str">
        <f t="shared" si="70"/>
        <v/>
      </c>
      <c r="CN52" s="251" t="str">
        <f t="shared" si="71"/>
        <v/>
      </c>
      <c r="CO52" s="251" t="str">
        <f t="shared" si="72"/>
        <v/>
      </c>
      <c r="CP52" s="251" t="str">
        <f t="shared" si="73"/>
        <v/>
      </c>
      <c r="CQ52" s="251" t="str">
        <f t="shared" si="74"/>
        <v/>
      </c>
      <c r="CR52" s="251" t="str">
        <f t="shared" si="75"/>
        <v/>
      </c>
      <c r="CS52" s="251" t="str">
        <f t="shared" si="76"/>
        <v/>
      </c>
      <c r="CT52" s="251" t="str">
        <f t="shared" si="77"/>
        <v/>
      </c>
      <c r="CU52" s="251" t="str">
        <f t="shared" si="78"/>
        <v/>
      </c>
      <c r="CV52" s="251" t="str">
        <f t="shared" si="79"/>
        <v/>
      </c>
      <c r="CW52" s="251" t="str">
        <f t="shared" si="80"/>
        <v/>
      </c>
      <c r="CX52" s="251" t="str">
        <f t="shared" si="81"/>
        <v/>
      </c>
      <c r="CY52" s="251" t="str">
        <f t="shared" si="82"/>
        <v/>
      </c>
      <c r="CZ52" s="251" t="str">
        <f t="shared" si="83"/>
        <v/>
      </c>
      <c r="DA52" s="251" t="str">
        <f t="shared" si="84"/>
        <v/>
      </c>
      <c r="DB52" s="251" t="str">
        <f t="shared" si="85"/>
        <v/>
      </c>
      <c r="DC52" s="251" t="str">
        <f t="shared" si="86"/>
        <v/>
      </c>
      <c r="DD52" s="251" t="str">
        <f t="shared" si="87"/>
        <v/>
      </c>
      <c r="DE52" s="251" t="str">
        <f t="shared" si="88"/>
        <v/>
      </c>
      <c r="DF52" s="251" t="str">
        <f t="shared" si="89"/>
        <v/>
      </c>
      <c r="DG52" s="251" t="str">
        <f t="shared" si="90"/>
        <v/>
      </c>
      <c r="DH52" s="251" t="str">
        <f t="shared" si="91"/>
        <v/>
      </c>
      <c r="DI52" s="251" t="str">
        <f t="shared" si="92"/>
        <v/>
      </c>
      <c r="DJ52" s="251" t="str">
        <f t="shared" si="93"/>
        <v/>
      </c>
      <c r="DK52" s="251" t="str">
        <f t="shared" si="94"/>
        <v/>
      </c>
      <c r="DL52" s="251" t="str">
        <f t="shared" si="95"/>
        <v/>
      </c>
      <c r="DM52" s="251" t="str">
        <f t="shared" si="96"/>
        <v/>
      </c>
      <c r="DN52" s="251" t="str">
        <f t="shared" si="97"/>
        <v/>
      </c>
      <c r="DO52" s="251" t="str">
        <f t="shared" si="98"/>
        <v/>
      </c>
      <c r="DP52" s="251" t="str">
        <f t="shared" si="99"/>
        <v/>
      </c>
      <c r="DQ52" s="251" t="str">
        <f t="shared" si="100"/>
        <v/>
      </c>
      <c r="DR52" s="251" t="str">
        <f t="shared" si="101"/>
        <v/>
      </c>
      <c r="DS52" s="251" t="str">
        <f t="shared" si="102"/>
        <v/>
      </c>
      <c r="DT52" s="251" t="str">
        <f t="shared" si="103"/>
        <v/>
      </c>
      <c r="DU52" s="251" t="str">
        <f t="shared" si="104"/>
        <v/>
      </c>
      <c r="DV52" s="251" t="str">
        <f t="shared" si="105"/>
        <v/>
      </c>
      <c r="DW52" s="251" t="str">
        <f t="shared" si="106"/>
        <v/>
      </c>
      <c r="DX52" s="251" t="str">
        <f t="shared" si="107"/>
        <v/>
      </c>
      <c r="DY52" s="251" t="str">
        <f t="shared" si="108"/>
        <v/>
      </c>
      <c r="DZ52" s="251" t="str">
        <f t="shared" si="109"/>
        <v/>
      </c>
      <c r="EA52" s="251" t="str">
        <f t="shared" si="110"/>
        <v/>
      </c>
      <c r="EB52" s="251" t="str">
        <f t="shared" si="111"/>
        <v/>
      </c>
      <c r="EC52" s="251" t="str">
        <f t="shared" si="112"/>
        <v/>
      </c>
      <c r="ED52" s="251" t="str">
        <f t="shared" si="113"/>
        <v/>
      </c>
      <c r="EE52" s="251" t="str">
        <f t="shared" si="114"/>
        <v/>
      </c>
      <c r="EF52" s="251" t="str">
        <f t="shared" si="115"/>
        <v/>
      </c>
      <c r="EG52" s="251" t="str">
        <f t="shared" si="116"/>
        <v/>
      </c>
      <c r="EH52" s="251" t="str">
        <f t="shared" si="117"/>
        <v/>
      </c>
      <c r="EI52" s="251" t="str">
        <f t="shared" si="118"/>
        <v/>
      </c>
      <c r="EJ52" s="251" t="str">
        <f t="shared" si="119"/>
        <v/>
      </c>
      <c r="EK52" s="251" t="str">
        <f t="shared" si="120"/>
        <v/>
      </c>
      <c r="EL52" s="251" t="str">
        <f t="shared" si="121"/>
        <v/>
      </c>
      <c r="EM52" s="251" t="str">
        <f t="shared" si="122"/>
        <v/>
      </c>
      <c r="EN52" s="251" t="str">
        <f t="shared" si="123"/>
        <v/>
      </c>
      <c r="EO52" s="251" t="str">
        <f t="shared" si="124"/>
        <v/>
      </c>
      <c r="EP52" s="251" t="str">
        <f t="shared" si="125"/>
        <v/>
      </c>
      <c r="EQ52" s="251" t="str">
        <f t="shared" si="126"/>
        <v/>
      </c>
      <c r="ER52" s="251" t="str">
        <f t="shared" si="127"/>
        <v/>
      </c>
      <c r="ES52" s="251" t="str">
        <f t="shared" si="128"/>
        <v/>
      </c>
      <c r="ET52" s="251" t="str">
        <f t="shared" si="129"/>
        <v/>
      </c>
      <c r="EU52" s="251" t="str">
        <f t="shared" si="130"/>
        <v/>
      </c>
      <c r="EV52" s="251" t="str">
        <f t="shared" si="131"/>
        <v/>
      </c>
      <c r="EW52" s="251" t="str">
        <f t="shared" si="132"/>
        <v/>
      </c>
      <c r="EX52" s="251" t="str">
        <f t="shared" si="133"/>
        <v/>
      </c>
      <c r="EY52" s="251" t="str">
        <f t="shared" si="134"/>
        <v/>
      </c>
      <c r="EZ52" s="251" t="str">
        <f t="shared" si="135"/>
        <v/>
      </c>
      <c r="FA52" s="251" t="str">
        <f t="shared" si="136"/>
        <v/>
      </c>
      <c r="FB52" s="251" t="str">
        <f t="shared" si="137"/>
        <v/>
      </c>
      <c r="FC52" s="251" t="str">
        <f t="shared" si="138"/>
        <v/>
      </c>
      <c r="FD52" s="251" t="str">
        <f t="shared" si="139"/>
        <v/>
      </c>
      <c r="FE52" s="251" t="str">
        <f t="shared" si="140"/>
        <v/>
      </c>
      <c r="FF52" s="251" t="str">
        <f t="shared" si="141"/>
        <v/>
      </c>
      <c r="FG52" s="251" t="str">
        <f t="shared" si="142"/>
        <v/>
      </c>
      <c r="FH52" s="251" t="str">
        <f t="shared" si="143"/>
        <v/>
      </c>
      <c r="FI52" s="251" t="str">
        <f t="shared" si="144"/>
        <v/>
      </c>
      <c r="FJ52" s="251" t="str">
        <f t="shared" si="145"/>
        <v/>
      </c>
      <c r="FK52" s="251" t="str">
        <f t="shared" si="146"/>
        <v/>
      </c>
      <c r="FL52" s="251" t="str">
        <f t="shared" si="147"/>
        <v/>
      </c>
      <c r="FM52" s="251" t="str">
        <f t="shared" ref="FM52:FM53" si="487">IF(AND(C52="Efficiency",N52="Common Space"),E52,"")</f>
        <v/>
      </c>
      <c r="FN52" s="251" t="str">
        <f t="shared" ref="FN52:FN53" si="488">IF(AND(C52=1,N52="Common Space"),E52,"")</f>
        <v/>
      </c>
      <c r="FO52" s="251" t="str">
        <f t="shared" ref="FO52:FO53" si="489">IF(AND(C52=2,N52="Common Space"),E52,"")</f>
        <v/>
      </c>
      <c r="FP52" s="251" t="str">
        <f t="shared" ref="FP52:FP53" si="490">IF(AND(C52=3,N52="Common Space"),E52,"")</f>
        <v/>
      </c>
      <c r="FQ52" s="251" t="str">
        <f t="shared" ref="FQ52:FQ53" si="491">IF(AND(C52=4,N52="Common Space"),E52,"")</f>
        <v/>
      </c>
      <c r="FR52" s="251" t="str">
        <f t="shared" si="153"/>
        <v/>
      </c>
      <c r="FS52" s="251" t="str">
        <f t="shared" si="154"/>
        <v/>
      </c>
      <c r="FT52" s="251" t="str">
        <f t="shared" si="155"/>
        <v/>
      </c>
      <c r="FU52" s="251" t="str">
        <f t="shared" si="156"/>
        <v/>
      </c>
      <c r="FV52" s="251" t="str">
        <f t="shared" si="157"/>
        <v/>
      </c>
      <c r="FW52" s="251" t="str">
        <f t="shared" si="158"/>
        <v/>
      </c>
      <c r="FX52" s="251" t="str">
        <f t="shared" si="159"/>
        <v/>
      </c>
      <c r="FY52" s="251" t="str">
        <f t="shared" si="160"/>
        <v/>
      </c>
      <c r="FZ52" s="251" t="str">
        <f t="shared" si="161"/>
        <v/>
      </c>
      <c r="GA52" s="251" t="str">
        <f t="shared" si="162"/>
        <v/>
      </c>
      <c r="GB52" s="251" t="str">
        <f t="shared" si="163"/>
        <v/>
      </c>
      <c r="GC52" s="251" t="str">
        <f t="shared" si="164"/>
        <v/>
      </c>
      <c r="GD52" s="251" t="str">
        <f t="shared" si="165"/>
        <v/>
      </c>
      <c r="GE52" s="251" t="str">
        <f t="shared" si="166"/>
        <v/>
      </c>
      <c r="GF52" s="251" t="str">
        <f t="shared" si="167"/>
        <v/>
      </c>
      <c r="GG52" s="251" t="str">
        <f t="shared" si="168"/>
        <v/>
      </c>
      <c r="GH52" s="251" t="str">
        <f t="shared" si="169"/>
        <v/>
      </c>
      <c r="GI52" s="251" t="str">
        <f t="shared" si="170"/>
        <v/>
      </c>
      <c r="GJ52" s="251" t="str">
        <f t="shared" si="171"/>
        <v/>
      </c>
      <c r="GK52" s="251" t="str">
        <f t="shared" si="172"/>
        <v/>
      </c>
      <c r="GL52" s="251" t="str">
        <f t="shared" si="173"/>
        <v/>
      </c>
      <c r="GM52" s="251" t="str">
        <f t="shared" si="174"/>
        <v/>
      </c>
      <c r="GN52" s="251" t="str">
        <f t="shared" si="175"/>
        <v/>
      </c>
      <c r="GO52" s="251" t="str">
        <f t="shared" si="176"/>
        <v/>
      </c>
      <c r="GP52" s="251" t="str">
        <f t="shared" si="177"/>
        <v/>
      </c>
      <c r="GQ52" s="251" t="str">
        <f t="shared" si="178"/>
        <v/>
      </c>
      <c r="GR52" s="251" t="str">
        <f t="shared" si="179"/>
        <v/>
      </c>
      <c r="GS52" s="251" t="str">
        <f t="shared" si="180"/>
        <v/>
      </c>
      <c r="GT52" s="251" t="str">
        <f t="shared" si="181"/>
        <v/>
      </c>
      <c r="GU52" s="251" t="str">
        <f t="shared" si="182"/>
        <v/>
      </c>
      <c r="GV52" s="251" t="str">
        <f t="shared" si="183"/>
        <v/>
      </c>
      <c r="GW52" s="251" t="str">
        <f t="shared" si="184"/>
        <v/>
      </c>
      <c r="GX52" s="251" t="str">
        <f t="shared" si="185"/>
        <v/>
      </c>
      <c r="GY52" s="251" t="str">
        <f t="shared" si="186"/>
        <v/>
      </c>
      <c r="GZ52" s="251" t="str">
        <f t="shared" si="187"/>
        <v/>
      </c>
      <c r="HA52" s="251" t="str">
        <f t="shared" ref="HA52:HA53" si="492">IF(AND(C52="Efficiency",B52="Unrestricted",NOT(N52="Common Space")),E52*F52,"")</f>
        <v/>
      </c>
      <c r="HB52" s="251" t="str">
        <f t="shared" ref="HB52:HB53" si="493">IF(AND(C52=1,B52="Unrestricted",NOT(N52="Common Space")),E52*F52,"")</f>
        <v/>
      </c>
      <c r="HC52" s="251" t="str">
        <f t="shared" ref="HC52:HC53" si="494">IF(AND(C52=2,B52="Unrestricted",NOT(N52="Common Space")),E52*F52,"")</f>
        <v/>
      </c>
      <c r="HD52" s="251" t="str">
        <f t="shared" ref="HD52:HD53" si="495">IF(AND(C52=3,B52="Unrestricted",NOT(N52="Common Space")),E52*F52,"")</f>
        <v/>
      </c>
      <c r="HE52" s="251" t="str">
        <f t="shared" ref="HE52:HE53" si="496">IF(AND(C52=4,B52="Unrestricted",NOT(N52="Common Space")),E52*F52,"")</f>
        <v/>
      </c>
      <c r="HF52" s="251" t="str">
        <f t="shared" ref="HF52:HF53" si="497">IF(AND(C52="Efficiency",NOT(K52=""),NOT($K52=0),NOT(N52="Common Space")),E52*F52,"")</f>
        <v/>
      </c>
      <c r="HG52" s="251" t="str">
        <f t="shared" ref="HG52:HG53" si="498">IF(AND(C52=1,NOT(K52=""),NOT($K52=0),NOT(N52="Common Space")),E52*F52,"")</f>
        <v/>
      </c>
      <c r="HH52" s="251" t="str">
        <f t="shared" ref="HH52:HH53" si="499">IF(AND(C52=2,NOT(K52=""),NOT($K52=0),NOT(N52="Common Space")),E52*F52,"")</f>
        <v/>
      </c>
      <c r="HI52" s="251" t="str">
        <f t="shared" ref="HI52:HI53" si="500">IF(AND(C52=3,NOT(K52=""),NOT($K52=0),NOT(N52="Common Space")),E52*F52,"")</f>
        <v/>
      </c>
      <c r="HJ52" s="251" t="str">
        <f t="shared" ref="HJ52:HJ53" si="501">IF(AND(C52=4,NOT(K52=""),NOT($K52=0),NOT(N52="Common Space")),E52*F52,"")</f>
        <v/>
      </c>
      <c r="HK52" s="251" t="str">
        <f t="shared" ref="HK52:HK53" si="502">IF(AND(C52="Efficiency",N52="Common Space"),E52*F52,"")</f>
        <v/>
      </c>
      <c r="HL52" s="251" t="str">
        <f t="shared" ref="HL52:HL53" si="503">IF(AND(C52=1,N52="Common Space"),E52*F52,"")</f>
        <v/>
      </c>
      <c r="HM52" s="251" t="str">
        <f t="shared" ref="HM52:HM53" si="504">IF(AND(C52=2,N52="Common Space"),E52*F52,"")</f>
        <v/>
      </c>
      <c r="HN52" s="251" t="str">
        <f t="shared" ref="HN52:HN53" si="505">IF(AND(C52=3,N52="Common Space"),E52*F52,"")</f>
        <v/>
      </c>
      <c r="HO52" s="251" t="str">
        <f t="shared" ref="HO52:HO53" si="506">IF(AND(C52=4,N52="Common Space"),E52*F52,"")</f>
        <v/>
      </c>
      <c r="HP52" s="251" t="str">
        <f t="shared" si="203"/>
        <v/>
      </c>
      <c r="HQ52" s="251" t="str">
        <f t="shared" si="204"/>
        <v/>
      </c>
      <c r="HR52" s="251" t="str">
        <f t="shared" si="205"/>
        <v/>
      </c>
      <c r="HS52" s="251" t="str">
        <f t="shared" si="206"/>
        <v/>
      </c>
      <c r="HT52" s="251" t="str">
        <f t="shared" si="207"/>
        <v/>
      </c>
      <c r="HU52" s="251" t="str">
        <f t="shared" si="208"/>
        <v/>
      </c>
      <c r="HV52" s="251" t="str">
        <f t="shared" si="209"/>
        <v/>
      </c>
      <c r="HW52" s="251" t="str">
        <f t="shared" si="210"/>
        <v/>
      </c>
      <c r="HX52" s="251" t="str">
        <f t="shared" si="211"/>
        <v/>
      </c>
      <c r="HY52" s="251" t="str">
        <f t="shared" si="212"/>
        <v/>
      </c>
      <c r="HZ52" s="251" t="str">
        <f t="shared" si="213"/>
        <v/>
      </c>
      <c r="IA52" s="251" t="str">
        <f t="shared" si="214"/>
        <v/>
      </c>
      <c r="IB52" s="251" t="str">
        <f t="shared" si="215"/>
        <v/>
      </c>
      <c r="IC52" s="251" t="str">
        <f t="shared" si="216"/>
        <v/>
      </c>
      <c r="ID52" s="251" t="str">
        <f t="shared" si="217"/>
        <v/>
      </c>
      <c r="IE52" s="251" t="str">
        <f t="shared" si="218"/>
        <v/>
      </c>
      <c r="IF52" s="251" t="str">
        <f t="shared" si="219"/>
        <v/>
      </c>
      <c r="IG52" s="251" t="str">
        <f t="shared" si="220"/>
        <v/>
      </c>
      <c r="IH52" s="251" t="str">
        <f t="shared" si="221"/>
        <v/>
      </c>
      <c r="II52" s="251" t="str">
        <f t="shared" si="222"/>
        <v/>
      </c>
      <c r="IJ52" s="251" t="str">
        <f t="shared" si="223"/>
        <v/>
      </c>
      <c r="IK52" s="251" t="str">
        <f t="shared" si="224"/>
        <v/>
      </c>
      <c r="IL52" s="251" t="str">
        <f t="shared" si="225"/>
        <v/>
      </c>
      <c r="IM52" s="251" t="str">
        <f t="shared" si="226"/>
        <v/>
      </c>
      <c r="IN52" s="251" t="str">
        <f t="shared" si="227"/>
        <v/>
      </c>
      <c r="IO52" s="251" t="str">
        <f t="shared" si="228"/>
        <v/>
      </c>
      <c r="IP52" s="251" t="str">
        <f t="shared" si="229"/>
        <v/>
      </c>
      <c r="IQ52" s="251" t="str">
        <f t="shared" si="230"/>
        <v/>
      </c>
      <c r="IR52" s="251" t="str">
        <f t="shared" si="231"/>
        <v/>
      </c>
      <c r="IS52" s="251" t="str">
        <f t="shared" si="232"/>
        <v/>
      </c>
      <c r="IT52" s="251" t="str">
        <f t="shared" si="233"/>
        <v/>
      </c>
      <c r="IU52" s="251" t="str">
        <f t="shared" si="234"/>
        <v/>
      </c>
      <c r="IV52" s="251" t="str">
        <f t="shared" si="235"/>
        <v/>
      </c>
      <c r="IW52" s="251" t="str">
        <f t="shared" si="236"/>
        <v/>
      </c>
      <c r="IX52" s="251" t="str">
        <f t="shared" si="237"/>
        <v/>
      </c>
      <c r="IY52" s="251" t="str">
        <f t="shared" si="238"/>
        <v/>
      </c>
      <c r="IZ52" s="251" t="str">
        <f t="shared" si="239"/>
        <v/>
      </c>
      <c r="JA52" s="251" t="str">
        <f t="shared" si="240"/>
        <v/>
      </c>
      <c r="JB52" s="251" t="str">
        <f t="shared" si="241"/>
        <v/>
      </c>
      <c r="JC52" s="251" t="str">
        <f t="shared" si="242"/>
        <v/>
      </c>
      <c r="JD52" s="251" t="str">
        <f t="shared" si="243"/>
        <v/>
      </c>
      <c r="JE52" s="251" t="str">
        <f t="shared" si="244"/>
        <v/>
      </c>
      <c r="JF52" s="251" t="str">
        <f t="shared" si="245"/>
        <v/>
      </c>
      <c r="JG52" s="251" t="str">
        <f t="shared" si="246"/>
        <v/>
      </c>
      <c r="JH52" s="251" t="str">
        <f t="shared" si="247"/>
        <v/>
      </c>
      <c r="JI52" s="1297" t="str">
        <f t="shared" si="248"/>
        <v/>
      </c>
      <c r="JJ52" s="1297" t="str">
        <f t="shared" si="249"/>
        <v/>
      </c>
      <c r="JK52" s="1297" t="str">
        <f t="shared" si="250"/>
        <v/>
      </c>
      <c r="JL52" s="1297" t="str">
        <f t="shared" si="251"/>
        <v/>
      </c>
      <c r="JM52" s="1297" t="str">
        <f t="shared" si="252"/>
        <v/>
      </c>
      <c r="JN52" s="1297" t="str">
        <f t="shared" si="253"/>
        <v/>
      </c>
      <c r="JO52" s="1297" t="str">
        <f t="shared" si="254"/>
        <v/>
      </c>
      <c r="JP52" s="1297" t="str">
        <f t="shared" si="255"/>
        <v/>
      </c>
      <c r="JQ52" s="1297" t="str">
        <f t="shared" si="256"/>
        <v/>
      </c>
      <c r="JR52" s="1297" t="str">
        <f t="shared" si="257"/>
        <v/>
      </c>
      <c r="JS52" s="1297" t="str">
        <f t="shared" si="258"/>
        <v/>
      </c>
      <c r="JT52" s="1297" t="str">
        <f t="shared" si="259"/>
        <v/>
      </c>
      <c r="JU52" s="1297" t="str">
        <f t="shared" si="260"/>
        <v/>
      </c>
      <c r="JV52" s="1297" t="str">
        <f t="shared" si="261"/>
        <v/>
      </c>
      <c r="JW52" s="1297" t="str">
        <f t="shared" si="262"/>
        <v/>
      </c>
      <c r="JX52" s="1297" t="str">
        <f t="shared" si="263"/>
        <v/>
      </c>
      <c r="JY52" s="1297" t="str">
        <f t="shared" si="264"/>
        <v/>
      </c>
      <c r="JZ52" s="1297" t="str">
        <f t="shared" si="265"/>
        <v/>
      </c>
      <c r="KA52" s="1297" t="str">
        <f t="shared" si="266"/>
        <v/>
      </c>
      <c r="KB52" s="1297" t="str">
        <f t="shared" si="267"/>
        <v/>
      </c>
      <c r="KC52" s="1297" t="str">
        <f t="shared" si="268"/>
        <v/>
      </c>
      <c r="KD52" s="1297" t="str">
        <f t="shared" si="269"/>
        <v/>
      </c>
      <c r="KE52" s="1297" t="str">
        <f t="shared" si="270"/>
        <v/>
      </c>
      <c r="KF52" s="1297" t="str">
        <f t="shared" si="271"/>
        <v/>
      </c>
      <c r="KG52" s="1297" t="str">
        <f t="shared" si="272"/>
        <v/>
      </c>
      <c r="KH52" s="1297" t="str">
        <f t="shared" si="273"/>
        <v/>
      </c>
      <c r="KI52" s="1297" t="str">
        <f t="shared" si="274"/>
        <v/>
      </c>
      <c r="KJ52" s="1297" t="str">
        <f t="shared" si="275"/>
        <v/>
      </c>
      <c r="KK52" s="1297" t="str">
        <f t="shared" si="276"/>
        <v/>
      </c>
      <c r="KL52" s="1297" t="str">
        <f t="shared" si="277"/>
        <v/>
      </c>
      <c r="KM52" s="1297" t="str">
        <f t="shared" si="278"/>
        <v/>
      </c>
      <c r="KN52" s="1297" t="str">
        <f t="shared" si="279"/>
        <v/>
      </c>
      <c r="KO52" s="1297" t="str">
        <f t="shared" si="280"/>
        <v/>
      </c>
      <c r="KP52" s="1297" t="str">
        <f t="shared" si="281"/>
        <v/>
      </c>
      <c r="KQ52" s="1297" t="str">
        <f t="shared" si="282"/>
        <v/>
      </c>
      <c r="KR52" s="1297" t="str">
        <f t="shared" si="283"/>
        <v/>
      </c>
      <c r="KS52" s="1297" t="str">
        <f t="shared" si="284"/>
        <v/>
      </c>
      <c r="KT52" s="1297" t="str">
        <f t="shared" si="285"/>
        <v/>
      </c>
      <c r="KU52" s="1297" t="str">
        <f t="shared" si="286"/>
        <v/>
      </c>
      <c r="KV52" s="1297" t="str">
        <f t="shared" si="287"/>
        <v/>
      </c>
      <c r="KW52" s="1297" t="str">
        <f t="shared" si="288"/>
        <v/>
      </c>
      <c r="KX52" s="1297" t="str">
        <f t="shared" si="289"/>
        <v/>
      </c>
      <c r="KY52" s="1297" t="str">
        <f t="shared" si="290"/>
        <v/>
      </c>
      <c r="KZ52" s="1297" t="str">
        <f t="shared" si="291"/>
        <v/>
      </c>
      <c r="LA52" s="1297" t="str">
        <f t="shared" si="292"/>
        <v/>
      </c>
      <c r="LB52" s="1297" t="str">
        <f t="shared" si="293"/>
        <v/>
      </c>
      <c r="LC52" s="1297" t="str">
        <f t="shared" si="294"/>
        <v/>
      </c>
      <c r="LD52" s="1297" t="str">
        <f t="shared" si="295"/>
        <v/>
      </c>
      <c r="LE52" s="1297" t="str">
        <f t="shared" si="296"/>
        <v/>
      </c>
      <c r="LF52" s="1297" t="str">
        <f t="shared" si="297"/>
        <v/>
      </c>
      <c r="LG52" s="1297" t="str">
        <f t="shared" si="298"/>
        <v/>
      </c>
      <c r="LH52" s="1297" t="str">
        <f t="shared" si="299"/>
        <v/>
      </c>
      <c r="LI52" s="1297" t="str">
        <f t="shared" si="300"/>
        <v/>
      </c>
      <c r="LJ52" s="1297" t="str">
        <f t="shared" si="301"/>
        <v/>
      </c>
      <c r="LK52" s="1297" t="str">
        <f t="shared" si="302"/>
        <v/>
      </c>
      <c r="LL52" s="1297" t="str">
        <f t="shared" si="303"/>
        <v/>
      </c>
      <c r="LM52" s="1297" t="str">
        <f t="shared" si="304"/>
        <v/>
      </c>
      <c r="LN52" s="1297" t="str">
        <f t="shared" si="305"/>
        <v/>
      </c>
      <c r="LO52" s="1297" t="str">
        <f t="shared" si="306"/>
        <v/>
      </c>
      <c r="LP52" s="1297" t="str">
        <f t="shared" si="307"/>
        <v/>
      </c>
      <c r="LQ52" s="1297" t="str">
        <f t="shared" si="308"/>
        <v/>
      </c>
      <c r="LR52" s="1297" t="str">
        <f t="shared" si="309"/>
        <v/>
      </c>
      <c r="LS52" s="1297" t="str">
        <f t="shared" si="310"/>
        <v/>
      </c>
      <c r="LT52" s="1297" t="str">
        <f t="shared" si="311"/>
        <v/>
      </c>
      <c r="LU52" s="1297" t="str">
        <f t="shared" si="312"/>
        <v/>
      </c>
      <c r="LV52" s="1297" t="str">
        <f t="shared" si="313"/>
        <v/>
      </c>
      <c r="LW52" s="1297" t="str">
        <f t="shared" si="314"/>
        <v/>
      </c>
      <c r="LX52" s="1297" t="str">
        <f t="shared" si="315"/>
        <v/>
      </c>
      <c r="LY52" s="1297" t="str">
        <f t="shared" si="316"/>
        <v/>
      </c>
      <c r="LZ52" s="1297" t="str">
        <f t="shared" si="317"/>
        <v/>
      </c>
      <c r="MA52" s="1297" t="str">
        <f t="shared" si="318"/>
        <v/>
      </c>
      <c r="MB52" s="1297" t="str">
        <f t="shared" si="319"/>
        <v/>
      </c>
      <c r="MC52" s="1297" t="str">
        <f t="shared" si="320"/>
        <v/>
      </c>
      <c r="MD52" s="1297" t="str">
        <f t="shared" si="321"/>
        <v/>
      </c>
      <c r="ME52" s="1297" t="str">
        <f t="shared" si="322"/>
        <v/>
      </c>
      <c r="MF52" s="1297" t="str">
        <f t="shared" si="323"/>
        <v/>
      </c>
      <c r="MG52" s="1297" t="str">
        <f t="shared" si="324"/>
        <v/>
      </c>
      <c r="MH52" s="1297" t="str">
        <f t="shared" si="325"/>
        <v/>
      </c>
      <c r="MI52" s="1297" t="str">
        <f t="shared" si="326"/>
        <v/>
      </c>
      <c r="MJ52" s="1297" t="str">
        <f t="shared" si="327"/>
        <v/>
      </c>
      <c r="MK52" s="1297" t="str">
        <f t="shared" si="328"/>
        <v/>
      </c>
      <c r="ML52" s="1297" t="str">
        <f t="shared" si="329"/>
        <v/>
      </c>
      <c r="MM52" s="1297" t="str">
        <f t="shared" si="330"/>
        <v/>
      </c>
      <c r="MN52" s="1297" t="str">
        <f t="shared" si="331"/>
        <v/>
      </c>
      <c r="MO52" s="1297" t="str">
        <f t="shared" si="332"/>
        <v/>
      </c>
      <c r="MP52" s="1773" t="str">
        <f t="shared" si="333"/>
        <v/>
      </c>
      <c r="MQ52" s="1773" t="str">
        <f t="shared" si="334"/>
        <v/>
      </c>
      <c r="MR52" s="1773" t="str">
        <f t="shared" si="335"/>
        <v/>
      </c>
      <c r="MS52" s="1773" t="str">
        <f t="shared" si="336"/>
        <v/>
      </c>
      <c r="MT52" s="1773" t="str">
        <f t="shared" si="337"/>
        <v/>
      </c>
      <c r="MU52" s="251" t="str">
        <f t="shared" ref="MU52:MU53" si="507">IF(AND(C52="Efficiency",B52="NSP 120% AMI",NOT(N52="Common Space")),E52*F52,"")</f>
        <v/>
      </c>
      <c r="MV52" s="251" t="str">
        <f t="shared" ref="MV52:MV53" si="508">IF(AND(C52=1,B52="NSP 120% AMI",NOT(N52="Common Space")),E52*F52,"")</f>
        <v/>
      </c>
      <c r="MW52" s="251" t="str">
        <f t="shared" ref="MW52:MW53" si="509">IF(AND(C52=2,B52="NSP 120% AMI",NOT(N52="Common Space")),E52*F52,"")</f>
        <v/>
      </c>
      <c r="MX52" s="251" t="str">
        <f t="shared" ref="MX52:MX53" si="510">IF(AND(C52=3,B52="NSP 120% AMI",NOT(N52="Common Space")),E52*F52,"")</f>
        <v/>
      </c>
      <c r="MY52" s="251" t="str">
        <f t="shared" ref="MY52:MY53" si="511">IF(AND(C52=4,B52="NSP 120% AMI",NOT(N52="Common Space")),E52*F52,"")</f>
        <v/>
      </c>
      <c r="MZ52" s="251" t="str">
        <f t="shared" si="343"/>
        <v/>
      </c>
      <c r="NA52" s="251" t="str">
        <f t="shared" si="344"/>
        <v/>
      </c>
      <c r="NB52" s="251" t="str">
        <f t="shared" si="345"/>
        <v/>
      </c>
      <c r="NC52" s="251" t="str">
        <f t="shared" si="346"/>
        <v/>
      </c>
      <c r="ND52" s="251" t="str">
        <f t="shared" si="347"/>
        <v/>
      </c>
      <c r="NE52" s="251" t="str">
        <f t="shared" si="348"/>
        <v/>
      </c>
      <c r="NF52" s="251" t="str">
        <f t="shared" si="349"/>
        <v/>
      </c>
      <c r="NG52" s="251" t="str">
        <f t="shared" si="350"/>
        <v/>
      </c>
      <c r="NH52" s="251" t="str">
        <f t="shared" si="351"/>
        <v/>
      </c>
      <c r="NI52" s="251" t="str">
        <f t="shared" si="352"/>
        <v/>
      </c>
      <c r="NJ52" s="251" t="str">
        <f t="shared" si="353"/>
        <v/>
      </c>
      <c r="NK52" s="251" t="str">
        <f t="shared" si="354"/>
        <v/>
      </c>
      <c r="NL52" s="251" t="str">
        <f t="shared" si="355"/>
        <v/>
      </c>
      <c r="NM52" s="251" t="str">
        <f t="shared" si="356"/>
        <v/>
      </c>
      <c r="NN52" s="251" t="str">
        <f t="shared" si="357"/>
        <v/>
      </c>
      <c r="NO52" s="1185">
        <f t="shared" si="358"/>
        <v>0</v>
      </c>
      <c r="NP52" s="1185">
        <f t="shared" si="359"/>
        <v>0</v>
      </c>
      <c r="NQ52" s="1185">
        <f t="shared" si="360"/>
        <v>0</v>
      </c>
      <c r="NR52" s="1185">
        <f t="shared" si="361"/>
        <v>0</v>
      </c>
      <c r="NS52" s="1185">
        <f t="shared" si="362"/>
        <v>0</v>
      </c>
      <c r="NT52" s="1185">
        <f t="shared" si="368"/>
        <v>0</v>
      </c>
      <c r="NU52" s="1185">
        <f t="shared" si="369"/>
        <v>0</v>
      </c>
      <c r="NV52" s="1185">
        <f t="shared" si="370"/>
        <v>0</v>
      </c>
      <c r="NW52" s="1185">
        <f t="shared" si="371"/>
        <v>0</v>
      </c>
      <c r="NX52" s="1185">
        <f t="shared" si="372"/>
        <v>0</v>
      </c>
      <c r="NY52" s="1185">
        <f t="shared" si="363"/>
        <v>0</v>
      </c>
      <c r="NZ52" s="1185">
        <f t="shared" si="364"/>
        <v>0</v>
      </c>
      <c r="OA52" s="1185">
        <f t="shared" si="365"/>
        <v>0</v>
      </c>
      <c r="OB52" s="1185">
        <f t="shared" si="366"/>
        <v>0</v>
      </c>
      <c r="OC52" s="1185">
        <f t="shared" si="367"/>
        <v>0</v>
      </c>
      <c r="OY52" s="1794" t="s">
        <v>1195</v>
      </c>
      <c r="OZ52" s="1798">
        <v>52</v>
      </c>
    </row>
    <row r="53" spans="1:416" ht="12" customHeight="1">
      <c r="A53" s="53" t="str">
        <f t="shared" si="444"/>
        <v/>
      </c>
      <c r="B53" s="782"/>
      <c r="C53" s="85"/>
      <c r="D53" s="1187"/>
      <c r="E53" s="86"/>
      <c r="F53" s="86"/>
      <c r="G53" s="86"/>
      <c r="H53" s="86"/>
      <c r="I53" s="86"/>
      <c r="J53" s="765">
        <f>IF(C53="",0,HLOOKUP(C53,'Part IV-Utility Allowances'!$I$11:$M$25,15))</f>
        <v>0</v>
      </c>
      <c r="K53" s="473"/>
      <c r="L53" s="330">
        <f t="shared" si="445"/>
        <v>0</v>
      </c>
      <c r="M53" s="330">
        <f t="shared" si="446"/>
        <v>0</v>
      </c>
      <c r="N53" s="506"/>
      <c r="O53" s="1134"/>
      <c r="P53" s="506"/>
      <c r="Q53" s="87"/>
      <c r="R53" s="540"/>
      <c r="S53" s="541"/>
      <c r="T53" s="3758"/>
      <c r="U53" s="3759"/>
      <c r="V53" s="3759"/>
      <c r="W53" s="3760"/>
      <c r="X53" s="251" t="str">
        <f t="shared" si="447"/>
        <v/>
      </c>
      <c r="Y53" s="251" t="str">
        <f t="shared" si="448"/>
        <v/>
      </c>
      <c r="Z53" s="251" t="str">
        <f t="shared" si="449"/>
        <v/>
      </c>
      <c r="AA53" s="251" t="str">
        <f t="shared" si="450"/>
        <v/>
      </c>
      <c r="AB53" s="251" t="str">
        <f t="shared" si="451"/>
        <v/>
      </c>
      <c r="AC53" s="251" t="str">
        <f t="shared" si="452"/>
        <v/>
      </c>
      <c r="AD53" s="251" t="str">
        <f t="shared" si="453"/>
        <v/>
      </c>
      <c r="AE53" s="251" t="str">
        <f t="shared" si="454"/>
        <v/>
      </c>
      <c r="AF53" s="251" t="str">
        <f t="shared" si="455"/>
        <v/>
      </c>
      <c r="AG53" s="251" t="str">
        <f t="shared" si="456"/>
        <v/>
      </c>
      <c r="AH53" s="251" t="str">
        <f t="shared" si="457"/>
        <v/>
      </c>
      <c r="AI53" s="251" t="str">
        <f t="shared" si="458"/>
        <v/>
      </c>
      <c r="AJ53" s="251" t="str">
        <f t="shared" si="459"/>
        <v/>
      </c>
      <c r="AK53" s="251" t="str">
        <f t="shared" si="460"/>
        <v/>
      </c>
      <c r="AL53" s="251" t="str">
        <f t="shared" si="461"/>
        <v/>
      </c>
      <c r="AM53" s="251" t="str">
        <f t="shared" si="462"/>
        <v/>
      </c>
      <c r="AN53" s="251" t="str">
        <f t="shared" si="463"/>
        <v/>
      </c>
      <c r="AO53" s="251" t="str">
        <f t="shared" si="464"/>
        <v/>
      </c>
      <c r="AP53" s="251" t="str">
        <f t="shared" si="465"/>
        <v/>
      </c>
      <c r="AQ53" s="251" t="str">
        <f t="shared" si="466"/>
        <v/>
      </c>
      <c r="AR53" s="251" t="str">
        <f t="shared" si="467"/>
        <v/>
      </c>
      <c r="AS53" s="251" t="str">
        <f t="shared" si="468"/>
        <v/>
      </c>
      <c r="AT53" s="251" t="str">
        <f t="shared" si="469"/>
        <v/>
      </c>
      <c r="AU53" s="251" t="str">
        <f t="shared" si="470"/>
        <v/>
      </c>
      <c r="AV53" s="251" t="str">
        <f t="shared" si="471"/>
        <v/>
      </c>
      <c r="AW53" s="251" t="str">
        <f t="shared" si="472"/>
        <v/>
      </c>
      <c r="AX53" s="251" t="str">
        <f t="shared" si="473"/>
        <v/>
      </c>
      <c r="AY53" s="251" t="str">
        <f t="shared" si="474"/>
        <v/>
      </c>
      <c r="AZ53" s="251" t="str">
        <f t="shared" si="475"/>
        <v/>
      </c>
      <c r="BA53" s="251" t="str">
        <f t="shared" si="476"/>
        <v/>
      </c>
      <c r="BB53" s="251" t="str">
        <f t="shared" si="477"/>
        <v/>
      </c>
      <c r="BC53" s="251" t="str">
        <f t="shared" si="478"/>
        <v/>
      </c>
      <c r="BD53" s="251" t="str">
        <f t="shared" si="479"/>
        <v/>
      </c>
      <c r="BE53" s="251" t="str">
        <f t="shared" si="480"/>
        <v/>
      </c>
      <c r="BF53" s="251" t="str">
        <f t="shared" si="481"/>
        <v/>
      </c>
      <c r="BG53" s="251" t="str">
        <f t="shared" si="482"/>
        <v/>
      </c>
      <c r="BH53" s="251" t="str">
        <f t="shared" si="483"/>
        <v/>
      </c>
      <c r="BI53" s="251" t="str">
        <f t="shared" si="484"/>
        <v/>
      </c>
      <c r="BJ53" s="251" t="str">
        <f t="shared" si="485"/>
        <v/>
      </c>
      <c r="BK53" s="251" t="str">
        <f t="shared" si="486"/>
        <v/>
      </c>
      <c r="BL53" s="251" t="str">
        <f t="shared" si="43"/>
        <v/>
      </c>
      <c r="BM53" s="251" t="str">
        <f t="shared" si="44"/>
        <v/>
      </c>
      <c r="BN53" s="251" t="str">
        <f t="shared" si="45"/>
        <v/>
      </c>
      <c r="BO53" s="251" t="str">
        <f t="shared" si="46"/>
        <v/>
      </c>
      <c r="BP53" s="251" t="str">
        <f t="shared" si="47"/>
        <v/>
      </c>
      <c r="BQ53" s="251" t="str">
        <f t="shared" si="48"/>
        <v/>
      </c>
      <c r="BR53" s="251" t="str">
        <f t="shared" si="49"/>
        <v/>
      </c>
      <c r="BS53" s="251" t="str">
        <f t="shared" si="50"/>
        <v/>
      </c>
      <c r="BT53" s="251" t="str">
        <f t="shared" si="51"/>
        <v/>
      </c>
      <c r="BU53" s="251" t="str">
        <f t="shared" si="52"/>
        <v/>
      </c>
      <c r="BV53" s="251" t="str">
        <f t="shared" si="53"/>
        <v/>
      </c>
      <c r="BW53" s="251" t="str">
        <f t="shared" si="54"/>
        <v/>
      </c>
      <c r="BX53" s="251" t="str">
        <f t="shared" si="55"/>
        <v/>
      </c>
      <c r="BY53" s="251" t="str">
        <f t="shared" si="56"/>
        <v/>
      </c>
      <c r="BZ53" s="251" t="str">
        <f t="shared" si="57"/>
        <v/>
      </c>
      <c r="CA53" s="251" t="str">
        <f t="shared" si="58"/>
        <v/>
      </c>
      <c r="CB53" s="251" t="str">
        <f t="shared" si="59"/>
        <v/>
      </c>
      <c r="CC53" s="251" t="str">
        <f t="shared" si="60"/>
        <v/>
      </c>
      <c r="CD53" s="251" t="str">
        <f t="shared" si="61"/>
        <v/>
      </c>
      <c r="CE53" s="251" t="str">
        <f t="shared" si="62"/>
        <v/>
      </c>
      <c r="CF53" s="251" t="str">
        <f t="shared" si="63"/>
        <v/>
      </c>
      <c r="CG53" s="251" t="str">
        <f t="shared" si="64"/>
        <v/>
      </c>
      <c r="CH53" s="251" t="str">
        <f t="shared" si="65"/>
        <v/>
      </c>
      <c r="CI53" s="251" t="str">
        <f t="shared" si="66"/>
        <v/>
      </c>
      <c r="CJ53" s="251" t="str">
        <f t="shared" si="67"/>
        <v/>
      </c>
      <c r="CK53" s="251" t="str">
        <f t="shared" si="68"/>
        <v/>
      </c>
      <c r="CL53" s="251" t="str">
        <f t="shared" si="69"/>
        <v/>
      </c>
      <c r="CM53" s="251" t="str">
        <f t="shared" si="70"/>
        <v/>
      </c>
      <c r="CN53" s="251" t="str">
        <f t="shared" si="71"/>
        <v/>
      </c>
      <c r="CO53" s="251" t="str">
        <f t="shared" si="72"/>
        <v/>
      </c>
      <c r="CP53" s="251" t="str">
        <f t="shared" si="73"/>
        <v/>
      </c>
      <c r="CQ53" s="251" t="str">
        <f t="shared" si="74"/>
        <v/>
      </c>
      <c r="CR53" s="251" t="str">
        <f t="shared" si="75"/>
        <v/>
      </c>
      <c r="CS53" s="251" t="str">
        <f t="shared" si="76"/>
        <v/>
      </c>
      <c r="CT53" s="251" t="str">
        <f t="shared" si="77"/>
        <v/>
      </c>
      <c r="CU53" s="251" t="str">
        <f t="shared" si="78"/>
        <v/>
      </c>
      <c r="CV53" s="251" t="str">
        <f t="shared" si="79"/>
        <v/>
      </c>
      <c r="CW53" s="251" t="str">
        <f t="shared" si="80"/>
        <v/>
      </c>
      <c r="CX53" s="251" t="str">
        <f t="shared" si="81"/>
        <v/>
      </c>
      <c r="CY53" s="251" t="str">
        <f t="shared" si="82"/>
        <v/>
      </c>
      <c r="CZ53" s="251" t="str">
        <f t="shared" si="83"/>
        <v/>
      </c>
      <c r="DA53" s="251" t="str">
        <f t="shared" si="84"/>
        <v/>
      </c>
      <c r="DB53" s="251" t="str">
        <f t="shared" si="85"/>
        <v/>
      </c>
      <c r="DC53" s="251" t="str">
        <f t="shared" si="86"/>
        <v/>
      </c>
      <c r="DD53" s="251" t="str">
        <f t="shared" si="87"/>
        <v/>
      </c>
      <c r="DE53" s="251" t="str">
        <f t="shared" si="88"/>
        <v/>
      </c>
      <c r="DF53" s="251" t="str">
        <f t="shared" si="89"/>
        <v/>
      </c>
      <c r="DG53" s="251" t="str">
        <f t="shared" si="90"/>
        <v/>
      </c>
      <c r="DH53" s="251" t="str">
        <f t="shared" si="91"/>
        <v/>
      </c>
      <c r="DI53" s="251" t="str">
        <f t="shared" si="92"/>
        <v/>
      </c>
      <c r="DJ53" s="251" t="str">
        <f t="shared" si="93"/>
        <v/>
      </c>
      <c r="DK53" s="251" t="str">
        <f t="shared" si="94"/>
        <v/>
      </c>
      <c r="DL53" s="251" t="str">
        <f t="shared" si="95"/>
        <v/>
      </c>
      <c r="DM53" s="251" t="str">
        <f t="shared" si="96"/>
        <v/>
      </c>
      <c r="DN53" s="251" t="str">
        <f t="shared" si="97"/>
        <v/>
      </c>
      <c r="DO53" s="251" t="str">
        <f t="shared" si="98"/>
        <v/>
      </c>
      <c r="DP53" s="251" t="str">
        <f t="shared" si="99"/>
        <v/>
      </c>
      <c r="DQ53" s="251" t="str">
        <f t="shared" si="100"/>
        <v/>
      </c>
      <c r="DR53" s="251" t="str">
        <f t="shared" si="101"/>
        <v/>
      </c>
      <c r="DS53" s="251" t="str">
        <f t="shared" si="102"/>
        <v/>
      </c>
      <c r="DT53" s="251" t="str">
        <f t="shared" si="103"/>
        <v/>
      </c>
      <c r="DU53" s="251" t="str">
        <f t="shared" si="104"/>
        <v/>
      </c>
      <c r="DV53" s="251" t="str">
        <f t="shared" si="105"/>
        <v/>
      </c>
      <c r="DW53" s="251" t="str">
        <f t="shared" si="106"/>
        <v/>
      </c>
      <c r="DX53" s="251" t="str">
        <f t="shared" si="107"/>
        <v/>
      </c>
      <c r="DY53" s="251" t="str">
        <f t="shared" si="108"/>
        <v/>
      </c>
      <c r="DZ53" s="251" t="str">
        <f t="shared" si="109"/>
        <v/>
      </c>
      <c r="EA53" s="251" t="str">
        <f t="shared" si="110"/>
        <v/>
      </c>
      <c r="EB53" s="251" t="str">
        <f t="shared" si="111"/>
        <v/>
      </c>
      <c r="EC53" s="251" t="str">
        <f t="shared" si="112"/>
        <v/>
      </c>
      <c r="ED53" s="251" t="str">
        <f t="shared" si="113"/>
        <v/>
      </c>
      <c r="EE53" s="251" t="str">
        <f t="shared" si="114"/>
        <v/>
      </c>
      <c r="EF53" s="251" t="str">
        <f t="shared" si="115"/>
        <v/>
      </c>
      <c r="EG53" s="251" t="str">
        <f t="shared" si="116"/>
        <v/>
      </c>
      <c r="EH53" s="251" t="str">
        <f t="shared" si="117"/>
        <v/>
      </c>
      <c r="EI53" s="251" t="str">
        <f t="shared" si="118"/>
        <v/>
      </c>
      <c r="EJ53" s="251" t="str">
        <f t="shared" si="119"/>
        <v/>
      </c>
      <c r="EK53" s="251" t="str">
        <f t="shared" si="120"/>
        <v/>
      </c>
      <c r="EL53" s="251" t="str">
        <f t="shared" si="121"/>
        <v/>
      </c>
      <c r="EM53" s="251" t="str">
        <f t="shared" si="122"/>
        <v/>
      </c>
      <c r="EN53" s="251" t="str">
        <f t="shared" si="123"/>
        <v/>
      </c>
      <c r="EO53" s="251" t="str">
        <f t="shared" si="124"/>
        <v/>
      </c>
      <c r="EP53" s="251" t="str">
        <f t="shared" si="125"/>
        <v/>
      </c>
      <c r="EQ53" s="251" t="str">
        <f t="shared" si="126"/>
        <v/>
      </c>
      <c r="ER53" s="251" t="str">
        <f t="shared" si="127"/>
        <v/>
      </c>
      <c r="ES53" s="251" t="str">
        <f t="shared" si="128"/>
        <v/>
      </c>
      <c r="ET53" s="251" t="str">
        <f t="shared" si="129"/>
        <v/>
      </c>
      <c r="EU53" s="251" t="str">
        <f t="shared" si="130"/>
        <v/>
      </c>
      <c r="EV53" s="251" t="str">
        <f t="shared" si="131"/>
        <v/>
      </c>
      <c r="EW53" s="251" t="str">
        <f t="shared" si="132"/>
        <v/>
      </c>
      <c r="EX53" s="251" t="str">
        <f t="shared" si="133"/>
        <v/>
      </c>
      <c r="EY53" s="251" t="str">
        <f t="shared" si="134"/>
        <v/>
      </c>
      <c r="EZ53" s="251" t="str">
        <f t="shared" si="135"/>
        <v/>
      </c>
      <c r="FA53" s="251" t="str">
        <f t="shared" si="136"/>
        <v/>
      </c>
      <c r="FB53" s="251" t="str">
        <f t="shared" si="137"/>
        <v/>
      </c>
      <c r="FC53" s="251" t="str">
        <f t="shared" si="138"/>
        <v/>
      </c>
      <c r="FD53" s="251" t="str">
        <f t="shared" si="139"/>
        <v/>
      </c>
      <c r="FE53" s="251" t="str">
        <f t="shared" si="140"/>
        <v/>
      </c>
      <c r="FF53" s="251" t="str">
        <f t="shared" si="141"/>
        <v/>
      </c>
      <c r="FG53" s="251" t="str">
        <f t="shared" si="142"/>
        <v/>
      </c>
      <c r="FH53" s="251" t="str">
        <f t="shared" si="143"/>
        <v/>
      </c>
      <c r="FI53" s="251" t="str">
        <f t="shared" si="144"/>
        <v/>
      </c>
      <c r="FJ53" s="251" t="str">
        <f t="shared" si="145"/>
        <v/>
      </c>
      <c r="FK53" s="251" t="str">
        <f t="shared" si="146"/>
        <v/>
      </c>
      <c r="FL53" s="251" t="str">
        <f t="shared" si="147"/>
        <v/>
      </c>
      <c r="FM53" s="251" t="str">
        <f t="shared" si="487"/>
        <v/>
      </c>
      <c r="FN53" s="251" t="str">
        <f t="shared" si="488"/>
        <v/>
      </c>
      <c r="FO53" s="251" t="str">
        <f t="shared" si="489"/>
        <v/>
      </c>
      <c r="FP53" s="251" t="str">
        <f t="shared" si="490"/>
        <v/>
      </c>
      <c r="FQ53" s="251" t="str">
        <f t="shared" si="491"/>
        <v/>
      </c>
      <c r="FR53" s="251" t="str">
        <f t="shared" si="153"/>
        <v/>
      </c>
      <c r="FS53" s="251" t="str">
        <f t="shared" si="154"/>
        <v/>
      </c>
      <c r="FT53" s="251" t="str">
        <f t="shared" si="155"/>
        <v/>
      </c>
      <c r="FU53" s="251" t="str">
        <f t="shared" si="156"/>
        <v/>
      </c>
      <c r="FV53" s="251" t="str">
        <f t="shared" si="157"/>
        <v/>
      </c>
      <c r="FW53" s="251" t="str">
        <f t="shared" si="158"/>
        <v/>
      </c>
      <c r="FX53" s="251" t="str">
        <f t="shared" si="159"/>
        <v/>
      </c>
      <c r="FY53" s="251" t="str">
        <f t="shared" si="160"/>
        <v/>
      </c>
      <c r="FZ53" s="251" t="str">
        <f t="shared" si="161"/>
        <v/>
      </c>
      <c r="GA53" s="251" t="str">
        <f t="shared" si="162"/>
        <v/>
      </c>
      <c r="GB53" s="251" t="str">
        <f t="shared" si="163"/>
        <v/>
      </c>
      <c r="GC53" s="251" t="str">
        <f t="shared" si="164"/>
        <v/>
      </c>
      <c r="GD53" s="251" t="str">
        <f t="shared" si="165"/>
        <v/>
      </c>
      <c r="GE53" s="251" t="str">
        <f t="shared" si="166"/>
        <v/>
      </c>
      <c r="GF53" s="251" t="str">
        <f t="shared" si="167"/>
        <v/>
      </c>
      <c r="GG53" s="251" t="str">
        <f t="shared" si="168"/>
        <v/>
      </c>
      <c r="GH53" s="251" t="str">
        <f t="shared" si="169"/>
        <v/>
      </c>
      <c r="GI53" s="251" t="str">
        <f t="shared" si="170"/>
        <v/>
      </c>
      <c r="GJ53" s="251" t="str">
        <f t="shared" si="171"/>
        <v/>
      </c>
      <c r="GK53" s="251" t="str">
        <f t="shared" si="172"/>
        <v/>
      </c>
      <c r="GL53" s="251" t="str">
        <f t="shared" si="173"/>
        <v/>
      </c>
      <c r="GM53" s="251" t="str">
        <f t="shared" si="174"/>
        <v/>
      </c>
      <c r="GN53" s="251" t="str">
        <f t="shared" si="175"/>
        <v/>
      </c>
      <c r="GO53" s="251" t="str">
        <f t="shared" si="176"/>
        <v/>
      </c>
      <c r="GP53" s="251" t="str">
        <f t="shared" si="177"/>
        <v/>
      </c>
      <c r="GQ53" s="251" t="str">
        <f t="shared" si="178"/>
        <v/>
      </c>
      <c r="GR53" s="251" t="str">
        <f t="shared" si="179"/>
        <v/>
      </c>
      <c r="GS53" s="251" t="str">
        <f t="shared" si="180"/>
        <v/>
      </c>
      <c r="GT53" s="251" t="str">
        <f t="shared" si="181"/>
        <v/>
      </c>
      <c r="GU53" s="251" t="str">
        <f t="shared" si="182"/>
        <v/>
      </c>
      <c r="GV53" s="251" t="str">
        <f t="shared" si="183"/>
        <v/>
      </c>
      <c r="GW53" s="251" t="str">
        <f t="shared" si="184"/>
        <v/>
      </c>
      <c r="GX53" s="251" t="str">
        <f t="shared" si="185"/>
        <v/>
      </c>
      <c r="GY53" s="251" t="str">
        <f t="shared" si="186"/>
        <v/>
      </c>
      <c r="GZ53" s="251" t="str">
        <f t="shared" si="187"/>
        <v/>
      </c>
      <c r="HA53" s="251" t="str">
        <f t="shared" si="492"/>
        <v/>
      </c>
      <c r="HB53" s="251" t="str">
        <f t="shared" si="493"/>
        <v/>
      </c>
      <c r="HC53" s="251" t="str">
        <f t="shared" si="494"/>
        <v/>
      </c>
      <c r="HD53" s="251" t="str">
        <f t="shared" si="495"/>
        <v/>
      </c>
      <c r="HE53" s="251" t="str">
        <f t="shared" si="496"/>
        <v/>
      </c>
      <c r="HF53" s="251" t="str">
        <f t="shared" si="497"/>
        <v/>
      </c>
      <c r="HG53" s="251" t="str">
        <f t="shared" si="498"/>
        <v/>
      </c>
      <c r="HH53" s="251" t="str">
        <f t="shared" si="499"/>
        <v/>
      </c>
      <c r="HI53" s="251" t="str">
        <f t="shared" si="500"/>
        <v/>
      </c>
      <c r="HJ53" s="251" t="str">
        <f t="shared" si="501"/>
        <v/>
      </c>
      <c r="HK53" s="251" t="str">
        <f t="shared" si="502"/>
        <v/>
      </c>
      <c r="HL53" s="251" t="str">
        <f t="shared" si="503"/>
        <v/>
      </c>
      <c r="HM53" s="251" t="str">
        <f t="shared" si="504"/>
        <v/>
      </c>
      <c r="HN53" s="251" t="str">
        <f t="shared" si="505"/>
        <v/>
      </c>
      <c r="HO53" s="251" t="str">
        <f t="shared" si="506"/>
        <v/>
      </c>
      <c r="HP53" s="251" t="str">
        <f t="shared" si="203"/>
        <v/>
      </c>
      <c r="HQ53" s="251" t="str">
        <f t="shared" si="204"/>
        <v/>
      </c>
      <c r="HR53" s="251" t="str">
        <f t="shared" si="205"/>
        <v/>
      </c>
      <c r="HS53" s="251" t="str">
        <f t="shared" si="206"/>
        <v/>
      </c>
      <c r="HT53" s="251" t="str">
        <f t="shared" si="207"/>
        <v/>
      </c>
      <c r="HU53" s="251" t="str">
        <f t="shared" si="208"/>
        <v/>
      </c>
      <c r="HV53" s="251" t="str">
        <f t="shared" si="209"/>
        <v/>
      </c>
      <c r="HW53" s="251" t="str">
        <f t="shared" si="210"/>
        <v/>
      </c>
      <c r="HX53" s="251" t="str">
        <f t="shared" si="211"/>
        <v/>
      </c>
      <c r="HY53" s="251" t="str">
        <f t="shared" si="212"/>
        <v/>
      </c>
      <c r="HZ53" s="251" t="str">
        <f t="shared" si="213"/>
        <v/>
      </c>
      <c r="IA53" s="251" t="str">
        <f t="shared" si="214"/>
        <v/>
      </c>
      <c r="IB53" s="251" t="str">
        <f t="shared" si="215"/>
        <v/>
      </c>
      <c r="IC53" s="251" t="str">
        <f t="shared" si="216"/>
        <v/>
      </c>
      <c r="ID53" s="251" t="str">
        <f t="shared" si="217"/>
        <v/>
      </c>
      <c r="IE53" s="251" t="str">
        <f t="shared" si="218"/>
        <v/>
      </c>
      <c r="IF53" s="251" t="str">
        <f t="shared" si="219"/>
        <v/>
      </c>
      <c r="IG53" s="251" t="str">
        <f t="shared" si="220"/>
        <v/>
      </c>
      <c r="IH53" s="251" t="str">
        <f t="shared" si="221"/>
        <v/>
      </c>
      <c r="II53" s="251" t="str">
        <f t="shared" si="222"/>
        <v/>
      </c>
      <c r="IJ53" s="251" t="str">
        <f t="shared" si="223"/>
        <v/>
      </c>
      <c r="IK53" s="251" t="str">
        <f t="shared" si="224"/>
        <v/>
      </c>
      <c r="IL53" s="251" t="str">
        <f t="shared" si="225"/>
        <v/>
      </c>
      <c r="IM53" s="251" t="str">
        <f t="shared" si="226"/>
        <v/>
      </c>
      <c r="IN53" s="251" t="str">
        <f t="shared" si="227"/>
        <v/>
      </c>
      <c r="IO53" s="251" t="str">
        <f t="shared" si="228"/>
        <v/>
      </c>
      <c r="IP53" s="251" t="str">
        <f t="shared" si="229"/>
        <v/>
      </c>
      <c r="IQ53" s="251" t="str">
        <f t="shared" si="230"/>
        <v/>
      </c>
      <c r="IR53" s="251" t="str">
        <f t="shared" si="231"/>
        <v/>
      </c>
      <c r="IS53" s="251" t="str">
        <f t="shared" si="232"/>
        <v/>
      </c>
      <c r="IT53" s="251" t="str">
        <f t="shared" si="233"/>
        <v/>
      </c>
      <c r="IU53" s="251" t="str">
        <f t="shared" si="234"/>
        <v/>
      </c>
      <c r="IV53" s="251" t="str">
        <f t="shared" si="235"/>
        <v/>
      </c>
      <c r="IW53" s="251" t="str">
        <f t="shared" si="236"/>
        <v/>
      </c>
      <c r="IX53" s="251" t="str">
        <f t="shared" si="237"/>
        <v/>
      </c>
      <c r="IY53" s="251" t="str">
        <f t="shared" si="238"/>
        <v/>
      </c>
      <c r="IZ53" s="251" t="str">
        <f t="shared" si="239"/>
        <v/>
      </c>
      <c r="JA53" s="251" t="str">
        <f t="shared" si="240"/>
        <v/>
      </c>
      <c r="JB53" s="251" t="str">
        <f t="shared" si="241"/>
        <v/>
      </c>
      <c r="JC53" s="251" t="str">
        <f t="shared" si="242"/>
        <v/>
      </c>
      <c r="JD53" s="251" t="str">
        <f t="shared" si="243"/>
        <v/>
      </c>
      <c r="JE53" s="251" t="str">
        <f t="shared" si="244"/>
        <v/>
      </c>
      <c r="JF53" s="251" t="str">
        <f t="shared" si="245"/>
        <v/>
      </c>
      <c r="JG53" s="251" t="str">
        <f t="shared" si="246"/>
        <v/>
      </c>
      <c r="JH53" s="251" t="str">
        <f t="shared" si="247"/>
        <v/>
      </c>
      <c r="JI53" s="1297" t="str">
        <f t="shared" si="248"/>
        <v/>
      </c>
      <c r="JJ53" s="1297" t="str">
        <f t="shared" si="249"/>
        <v/>
      </c>
      <c r="JK53" s="1297" t="str">
        <f t="shared" si="250"/>
        <v/>
      </c>
      <c r="JL53" s="1297" t="str">
        <f t="shared" si="251"/>
        <v/>
      </c>
      <c r="JM53" s="1297" t="str">
        <f t="shared" si="252"/>
        <v/>
      </c>
      <c r="JN53" s="1297" t="str">
        <f t="shared" si="253"/>
        <v/>
      </c>
      <c r="JO53" s="1297" t="str">
        <f t="shared" si="254"/>
        <v/>
      </c>
      <c r="JP53" s="1297" t="str">
        <f t="shared" si="255"/>
        <v/>
      </c>
      <c r="JQ53" s="1297" t="str">
        <f t="shared" si="256"/>
        <v/>
      </c>
      <c r="JR53" s="1297" t="str">
        <f t="shared" si="257"/>
        <v/>
      </c>
      <c r="JS53" s="1297" t="str">
        <f t="shared" si="258"/>
        <v/>
      </c>
      <c r="JT53" s="1297" t="str">
        <f t="shared" si="259"/>
        <v/>
      </c>
      <c r="JU53" s="1297" t="str">
        <f t="shared" si="260"/>
        <v/>
      </c>
      <c r="JV53" s="1297" t="str">
        <f t="shared" si="261"/>
        <v/>
      </c>
      <c r="JW53" s="1297" t="str">
        <f t="shared" si="262"/>
        <v/>
      </c>
      <c r="JX53" s="1297" t="str">
        <f t="shared" si="263"/>
        <v/>
      </c>
      <c r="JY53" s="1297" t="str">
        <f t="shared" si="264"/>
        <v/>
      </c>
      <c r="JZ53" s="1297" t="str">
        <f t="shared" si="265"/>
        <v/>
      </c>
      <c r="KA53" s="1297" t="str">
        <f t="shared" si="266"/>
        <v/>
      </c>
      <c r="KB53" s="1297" t="str">
        <f t="shared" si="267"/>
        <v/>
      </c>
      <c r="KC53" s="1297" t="str">
        <f t="shared" si="268"/>
        <v/>
      </c>
      <c r="KD53" s="1297" t="str">
        <f t="shared" si="269"/>
        <v/>
      </c>
      <c r="KE53" s="1297" t="str">
        <f t="shared" si="270"/>
        <v/>
      </c>
      <c r="KF53" s="1297" t="str">
        <f t="shared" si="271"/>
        <v/>
      </c>
      <c r="KG53" s="1297" t="str">
        <f t="shared" si="272"/>
        <v/>
      </c>
      <c r="KH53" s="1297" t="str">
        <f t="shared" si="273"/>
        <v/>
      </c>
      <c r="KI53" s="1297" t="str">
        <f t="shared" si="274"/>
        <v/>
      </c>
      <c r="KJ53" s="1297" t="str">
        <f t="shared" si="275"/>
        <v/>
      </c>
      <c r="KK53" s="1297" t="str">
        <f t="shared" si="276"/>
        <v/>
      </c>
      <c r="KL53" s="1297" t="str">
        <f t="shared" si="277"/>
        <v/>
      </c>
      <c r="KM53" s="1297" t="str">
        <f t="shared" si="278"/>
        <v/>
      </c>
      <c r="KN53" s="1297" t="str">
        <f t="shared" si="279"/>
        <v/>
      </c>
      <c r="KO53" s="1297" t="str">
        <f t="shared" si="280"/>
        <v/>
      </c>
      <c r="KP53" s="1297" t="str">
        <f t="shared" si="281"/>
        <v/>
      </c>
      <c r="KQ53" s="1297" t="str">
        <f t="shared" si="282"/>
        <v/>
      </c>
      <c r="KR53" s="1297" t="str">
        <f t="shared" si="283"/>
        <v/>
      </c>
      <c r="KS53" s="1297" t="str">
        <f t="shared" si="284"/>
        <v/>
      </c>
      <c r="KT53" s="1297" t="str">
        <f t="shared" si="285"/>
        <v/>
      </c>
      <c r="KU53" s="1297" t="str">
        <f t="shared" si="286"/>
        <v/>
      </c>
      <c r="KV53" s="1297" t="str">
        <f t="shared" si="287"/>
        <v/>
      </c>
      <c r="KW53" s="1297" t="str">
        <f t="shared" si="288"/>
        <v/>
      </c>
      <c r="KX53" s="1297" t="str">
        <f t="shared" si="289"/>
        <v/>
      </c>
      <c r="KY53" s="1297" t="str">
        <f t="shared" si="290"/>
        <v/>
      </c>
      <c r="KZ53" s="1297" t="str">
        <f t="shared" si="291"/>
        <v/>
      </c>
      <c r="LA53" s="1297" t="str">
        <f t="shared" si="292"/>
        <v/>
      </c>
      <c r="LB53" s="1297" t="str">
        <f t="shared" si="293"/>
        <v/>
      </c>
      <c r="LC53" s="1297" t="str">
        <f t="shared" si="294"/>
        <v/>
      </c>
      <c r="LD53" s="1297" t="str">
        <f t="shared" si="295"/>
        <v/>
      </c>
      <c r="LE53" s="1297" t="str">
        <f t="shared" si="296"/>
        <v/>
      </c>
      <c r="LF53" s="1297" t="str">
        <f t="shared" si="297"/>
        <v/>
      </c>
      <c r="LG53" s="1297" t="str">
        <f t="shared" si="298"/>
        <v/>
      </c>
      <c r="LH53" s="1297" t="str">
        <f t="shared" si="299"/>
        <v/>
      </c>
      <c r="LI53" s="1297" t="str">
        <f t="shared" si="300"/>
        <v/>
      </c>
      <c r="LJ53" s="1297" t="str">
        <f t="shared" si="301"/>
        <v/>
      </c>
      <c r="LK53" s="1297" t="str">
        <f t="shared" si="302"/>
        <v/>
      </c>
      <c r="LL53" s="1297" t="str">
        <f t="shared" si="303"/>
        <v/>
      </c>
      <c r="LM53" s="1297" t="str">
        <f t="shared" si="304"/>
        <v/>
      </c>
      <c r="LN53" s="1297" t="str">
        <f t="shared" si="305"/>
        <v/>
      </c>
      <c r="LO53" s="1297" t="str">
        <f t="shared" si="306"/>
        <v/>
      </c>
      <c r="LP53" s="1297" t="str">
        <f t="shared" si="307"/>
        <v/>
      </c>
      <c r="LQ53" s="1297" t="str">
        <f t="shared" si="308"/>
        <v/>
      </c>
      <c r="LR53" s="1297" t="str">
        <f t="shared" si="309"/>
        <v/>
      </c>
      <c r="LS53" s="1297" t="str">
        <f t="shared" si="310"/>
        <v/>
      </c>
      <c r="LT53" s="1297" t="str">
        <f t="shared" si="311"/>
        <v/>
      </c>
      <c r="LU53" s="1297" t="str">
        <f t="shared" si="312"/>
        <v/>
      </c>
      <c r="LV53" s="1297" t="str">
        <f t="shared" si="313"/>
        <v/>
      </c>
      <c r="LW53" s="1297" t="str">
        <f t="shared" si="314"/>
        <v/>
      </c>
      <c r="LX53" s="1297" t="str">
        <f t="shared" si="315"/>
        <v/>
      </c>
      <c r="LY53" s="1297" t="str">
        <f t="shared" si="316"/>
        <v/>
      </c>
      <c r="LZ53" s="1297" t="str">
        <f t="shared" si="317"/>
        <v/>
      </c>
      <c r="MA53" s="1297" t="str">
        <f t="shared" si="318"/>
        <v/>
      </c>
      <c r="MB53" s="1297" t="str">
        <f t="shared" si="319"/>
        <v/>
      </c>
      <c r="MC53" s="1297" t="str">
        <f t="shared" si="320"/>
        <v/>
      </c>
      <c r="MD53" s="1297" t="str">
        <f t="shared" si="321"/>
        <v/>
      </c>
      <c r="ME53" s="1297" t="str">
        <f t="shared" si="322"/>
        <v/>
      </c>
      <c r="MF53" s="1297" t="str">
        <f t="shared" si="323"/>
        <v/>
      </c>
      <c r="MG53" s="1297" t="str">
        <f t="shared" si="324"/>
        <v/>
      </c>
      <c r="MH53" s="1297" t="str">
        <f t="shared" si="325"/>
        <v/>
      </c>
      <c r="MI53" s="1297" t="str">
        <f t="shared" si="326"/>
        <v/>
      </c>
      <c r="MJ53" s="1297" t="str">
        <f t="shared" si="327"/>
        <v/>
      </c>
      <c r="MK53" s="1297" t="str">
        <f t="shared" si="328"/>
        <v/>
      </c>
      <c r="ML53" s="1297" t="str">
        <f t="shared" si="329"/>
        <v/>
      </c>
      <c r="MM53" s="1297" t="str">
        <f t="shared" si="330"/>
        <v/>
      </c>
      <c r="MN53" s="1297" t="str">
        <f t="shared" si="331"/>
        <v/>
      </c>
      <c r="MO53" s="1297" t="str">
        <f t="shared" si="332"/>
        <v/>
      </c>
      <c r="MP53" s="1773" t="str">
        <f t="shared" si="333"/>
        <v/>
      </c>
      <c r="MQ53" s="1773" t="str">
        <f t="shared" si="334"/>
        <v/>
      </c>
      <c r="MR53" s="1773" t="str">
        <f t="shared" si="335"/>
        <v/>
      </c>
      <c r="MS53" s="1773" t="str">
        <f t="shared" si="336"/>
        <v/>
      </c>
      <c r="MT53" s="1773" t="str">
        <f t="shared" si="337"/>
        <v/>
      </c>
      <c r="MU53" s="251" t="str">
        <f t="shared" si="507"/>
        <v/>
      </c>
      <c r="MV53" s="251" t="str">
        <f t="shared" si="508"/>
        <v/>
      </c>
      <c r="MW53" s="251" t="str">
        <f t="shared" si="509"/>
        <v/>
      </c>
      <c r="MX53" s="251" t="str">
        <f t="shared" si="510"/>
        <v/>
      </c>
      <c r="MY53" s="251" t="str">
        <f t="shared" si="511"/>
        <v/>
      </c>
      <c r="MZ53" s="251" t="str">
        <f t="shared" si="343"/>
        <v/>
      </c>
      <c r="NA53" s="251" t="str">
        <f t="shared" si="344"/>
        <v/>
      </c>
      <c r="NB53" s="251" t="str">
        <f t="shared" si="345"/>
        <v/>
      </c>
      <c r="NC53" s="251" t="str">
        <f t="shared" si="346"/>
        <v/>
      </c>
      <c r="ND53" s="251" t="str">
        <f t="shared" si="347"/>
        <v/>
      </c>
      <c r="NE53" s="251" t="str">
        <f t="shared" si="348"/>
        <v/>
      </c>
      <c r="NF53" s="251" t="str">
        <f t="shared" si="349"/>
        <v/>
      </c>
      <c r="NG53" s="251" t="str">
        <f t="shared" si="350"/>
        <v/>
      </c>
      <c r="NH53" s="251" t="str">
        <f t="shared" si="351"/>
        <v/>
      </c>
      <c r="NI53" s="251" t="str">
        <f t="shared" si="352"/>
        <v/>
      </c>
      <c r="NJ53" s="251" t="str">
        <f t="shared" si="353"/>
        <v/>
      </c>
      <c r="NK53" s="251" t="str">
        <f t="shared" si="354"/>
        <v/>
      </c>
      <c r="NL53" s="251" t="str">
        <f t="shared" si="355"/>
        <v/>
      </c>
      <c r="NM53" s="251" t="str">
        <f t="shared" si="356"/>
        <v/>
      </c>
      <c r="NN53" s="251" t="str">
        <f t="shared" si="357"/>
        <v/>
      </c>
      <c r="NO53" s="1185">
        <f t="shared" si="358"/>
        <v>0</v>
      </c>
      <c r="NP53" s="1185">
        <f t="shared" si="359"/>
        <v>0</v>
      </c>
      <c r="NQ53" s="1185">
        <f t="shared" si="360"/>
        <v>0</v>
      </c>
      <c r="NR53" s="1185">
        <f t="shared" si="361"/>
        <v>0</v>
      </c>
      <c r="NS53" s="1185">
        <f t="shared" si="362"/>
        <v>0</v>
      </c>
      <c r="NT53" s="1185">
        <f t="shared" si="368"/>
        <v>0</v>
      </c>
      <c r="NU53" s="1185">
        <f t="shared" si="369"/>
        <v>0</v>
      </c>
      <c r="NV53" s="1185">
        <f t="shared" si="370"/>
        <v>0</v>
      </c>
      <c r="NW53" s="1185">
        <f t="shared" si="371"/>
        <v>0</v>
      </c>
      <c r="NX53" s="1185">
        <f t="shared" si="372"/>
        <v>0</v>
      </c>
      <c r="NY53" s="1185">
        <f t="shared" si="363"/>
        <v>0</v>
      </c>
      <c r="NZ53" s="1185">
        <f t="shared" si="364"/>
        <v>0</v>
      </c>
      <c r="OA53" s="1185">
        <f t="shared" si="365"/>
        <v>0</v>
      </c>
      <c r="OB53" s="1185">
        <f t="shared" si="366"/>
        <v>0</v>
      </c>
      <c r="OC53" s="1185">
        <f t="shared" si="367"/>
        <v>0</v>
      </c>
      <c r="OY53" s="1794" t="s">
        <v>1195</v>
      </c>
      <c r="OZ53" s="1798">
        <v>51</v>
      </c>
    </row>
    <row r="54" spans="1:416" ht="12" customHeight="1">
      <c r="A54" s="53" t="str">
        <f t="shared" ref="A54:A55" si="512">IF(AND(E54&gt;0,OR(B54="",C54="",D54="",F54="",G54="", H54="",I54="",N54="",O54="",P54="",Q54="")),1,"")</f>
        <v/>
      </c>
      <c r="B54" s="782"/>
      <c r="C54" s="85"/>
      <c r="D54" s="1187"/>
      <c r="E54" s="86"/>
      <c r="F54" s="86"/>
      <c r="G54" s="86"/>
      <c r="H54" s="86"/>
      <c r="I54" s="86"/>
      <c r="J54" s="765">
        <f>IF(C54="",0,HLOOKUP(C54,'Part IV-Utility Allowances'!$I$11:$M$25,15))</f>
        <v>0</v>
      </c>
      <c r="K54" s="473"/>
      <c r="L54" s="330">
        <f t="shared" ref="L54:L55" si="513">MAX(0,H54-I54-J54)</f>
        <v>0</v>
      </c>
      <c r="M54" s="330">
        <f t="shared" ref="M54:M55" si="514">MAX(0,E54*L54)</f>
        <v>0</v>
      </c>
      <c r="N54" s="506"/>
      <c r="O54" s="1134"/>
      <c r="P54" s="506"/>
      <c r="Q54" s="87"/>
      <c r="R54" s="540"/>
      <c r="S54" s="541"/>
      <c r="T54" s="3758"/>
      <c r="U54" s="3759"/>
      <c r="V54" s="3759"/>
      <c r="W54" s="3760"/>
      <c r="X54" s="251" t="str">
        <f t="shared" ref="X54:X55" si="515">IF(AND(C54="Efficiency",B54=80,NOT(N54="Common Space")),E54,"")</f>
        <v/>
      </c>
      <c r="Y54" s="251" t="str">
        <f t="shared" ref="Y54:Y55" si="516">IF(AND(C54=1,B54=80,NOT(N54="Common Space")),E54,"")</f>
        <v/>
      </c>
      <c r="Z54" s="251" t="str">
        <f t="shared" ref="Z54:Z55" si="517">IF(AND(C54=2,B54=80,NOT(N54="Common Space")),E54,"")</f>
        <v/>
      </c>
      <c r="AA54" s="251" t="str">
        <f t="shared" ref="AA54:AA55" si="518">IF(AND(C54=3,B54=80,NOT(N54="Common Space")),E54,"")</f>
        <v/>
      </c>
      <c r="AB54" s="251" t="str">
        <f t="shared" ref="AB54:AB55" si="519">IF(AND(C54=4,B54=80,NOT(N54="Common Space")),E54,"")</f>
        <v/>
      </c>
      <c r="AC54" s="251" t="str">
        <f t="shared" ref="AC54:AC55" si="520">IF(AND(C54="Efficiency",B54=70,NOT(N54="Common Space")),E54,"")</f>
        <v/>
      </c>
      <c r="AD54" s="251" t="str">
        <f t="shared" ref="AD54:AD55" si="521">IF(AND(C54=1,B54=70,NOT(N54="Common Space")),E54,"")</f>
        <v/>
      </c>
      <c r="AE54" s="251" t="str">
        <f t="shared" ref="AE54:AE55" si="522">IF(AND(C54=2,B54=70,NOT(N54="Common Space")),E54,"")</f>
        <v/>
      </c>
      <c r="AF54" s="251" t="str">
        <f t="shared" ref="AF54:AF55" si="523">IF(AND(C54=3,B54=70,NOT(N54="Common Space")),E54,"")</f>
        <v/>
      </c>
      <c r="AG54" s="251" t="str">
        <f t="shared" ref="AG54:AG55" si="524">IF(AND(C54=4,B54=70,NOT(N54="Common Space")),E54,"")</f>
        <v/>
      </c>
      <c r="AH54" s="251" t="str">
        <f t="shared" ref="AH54:AH55" si="525">IF(AND(C54="Efficiency",B54=60,NOT(N54="Common Space")),E54,"")</f>
        <v/>
      </c>
      <c r="AI54" s="251" t="str">
        <f t="shared" ref="AI54:AI55" si="526">IF(AND(C54=1,B54=60,NOT(N54="Common Space")),E54,"")</f>
        <v/>
      </c>
      <c r="AJ54" s="251" t="str">
        <f t="shared" ref="AJ54:AJ55" si="527">IF(AND(C54=2,B54=60,NOT(N54="Common Space")),E54,"")</f>
        <v/>
      </c>
      <c r="AK54" s="251" t="str">
        <f t="shared" ref="AK54:AK55" si="528">IF(AND(C54=3,B54=60,NOT(N54="Common Space")),E54,"")</f>
        <v/>
      </c>
      <c r="AL54" s="251" t="str">
        <f t="shared" ref="AL54:AL55" si="529">IF(AND(C54=4,B54=60,NOT(N54="Common Space")),E54,"")</f>
        <v/>
      </c>
      <c r="AM54" s="251" t="str">
        <f t="shared" ref="AM54:AM55" si="530">IF(AND(C54="Efficiency",B54=50,NOT(N54="Common Space")),E54,"")</f>
        <v/>
      </c>
      <c r="AN54" s="251" t="str">
        <f t="shared" ref="AN54:AN55" si="531">IF(AND(C54=1,B54=50,NOT(N54="Common Space")),E54,"")</f>
        <v/>
      </c>
      <c r="AO54" s="251" t="str">
        <f t="shared" ref="AO54:AO55" si="532">IF(AND(C54=2,B54=50,NOT(N54="Common Space")),E54,"")</f>
        <v/>
      </c>
      <c r="AP54" s="251" t="str">
        <f t="shared" ref="AP54:AP55" si="533">IF(AND(C54=3,B54=50,NOT(N54="Common Space")),E54,"")</f>
        <v/>
      </c>
      <c r="AQ54" s="251" t="str">
        <f t="shared" ref="AQ54:AQ55" si="534">IF(AND(C54=4,B54=50,NOT(N54="Common Space")),E54,"")</f>
        <v/>
      </c>
      <c r="AR54" s="251" t="str">
        <f t="shared" ref="AR54:AR55" si="535">IF(AND(C54="Efficiency",B54=40,NOT(N54="Common Space")),E54,"")</f>
        <v/>
      </c>
      <c r="AS54" s="251" t="str">
        <f t="shared" ref="AS54:AS55" si="536">IF(AND(C54=1,B54=40,NOT(N54="Common Space")),E54,"")</f>
        <v/>
      </c>
      <c r="AT54" s="251" t="str">
        <f t="shared" ref="AT54:AT55" si="537">IF(AND(C54=2,B54=40,NOT(N54="Common Space")),E54,"")</f>
        <v/>
      </c>
      <c r="AU54" s="251" t="str">
        <f t="shared" ref="AU54:AU55" si="538">IF(AND(C54=3,B54=40,NOT(N54="Common Space")),E54,"")</f>
        <v/>
      </c>
      <c r="AV54" s="251" t="str">
        <f t="shared" ref="AV54:AV55" si="539">IF(AND(C54=4,B54=40,NOT(N54="Common Space")),E54,"")</f>
        <v/>
      </c>
      <c r="AW54" s="251" t="str">
        <f t="shared" ref="AW54:AW55" si="540">IF(AND(C54="Efficiency",B54=30,NOT(N54="Common Space")),E54,"")</f>
        <v/>
      </c>
      <c r="AX54" s="251" t="str">
        <f t="shared" ref="AX54:AX55" si="541">IF(AND(C54=1,B54=30,NOT(N54="Common Space")),E54,"")</f>
        <v/>
      </c>
      <c r="AY54" s="251" t="str">
        <f t="shared" ref="AY54:AY55" si="542">IF(AND(C54=2,B54=30,NOT(N54="Common Space")),E54,"")</f>
        <v/>
      </c>
      <c r="AZ54" s="251" t="str">
        <f t="shared" ref="AZ54:AZ55" si="543">IF(AND(C54=3,B54=30,NOT(N54="Common Space")),E54,"")</f>
        <v/>
      </c>
      <c r="BA54" s="251" t="str">
        <f t="shared" ref="BA54:BA55" si="544">IF(AND(C54=4,B54=30,NOT(N54="Common Space")),E54,"")</f>
        <v/>
      </c>
      <c r="BB54" s="251" t="str">
        <f t="shared" ref="BB54:BB55" si="545">IF(AND(C54="Efficiency",B54=20,NOT(N54="Common Space")),E54,"")</f>
        <v/>
      </c>
      <c r="BC54" s="251" t="str">
        <f t="shared" ref="BC54:BC55" si="546">IF(AND(C54=1,B54=20,NOT(N54="Common Space")),E54,"")</f>
        <v/>
      </c>
      <c r="BD54" s="251" t="str">
        <f t="shared" ref="BD54:BD55" si="547">IF(AND(C54=2,B54=20,NOT(N54="Common Space")),E54,"")</f>
        <v/>
      </c>
      <c r="BE54" s="251" t="str">
        <f t="shared" ref="BE54:BE55" si="548">IF(AND(C54=3,B54=20,NOT(N54="Common Space")),E54,"")</f>
        <v/>
      </c>
      <c r="BF54" s="251" t="str">
        <f t="shared" ref="BF54:BF55" si="549">IF(AND(C54=4,B54=20,NOT(N54="Common Space")),E54,"")</f>
        <v/>
      </c>
      <c r="BG54" s="251" t="str">
        <f t="shared" ref="BG54:BG55" si="550">IF(AND(C54="Efficiency",B54="Unrestricted",NOT(N54="Common Space")),E54,"")</f>
        <v/>
      </c>
      <c r="BH54" s="251" t="str">
        <f t="shared" ref="BH54:BH55" si="551">IF(AND(C54=1,B54="Unrestricted",NOT(N54="Common Space")),E54,"")</f>
        <v/>
      </c>
      <c r="BI54" s="251" t="str">
        <f t="shared" ref="BI54:BI55" si="552">IF(AND(C54=2,B54="Unrestricted",NOT(N54="Common Space")),E54,"")</f>
        <v/>
      </c>
      <c r="BJ54" s="251" t="str">
        <f t="shared" ref="BJ54:BJ55" si="553">IF(AND(C54=3,B54="Unrestricted",NOT(N54="Common Space")),E54,"")</f>
        <v/>
      </c>
      <c r="BK54" s="251" t="str">
        <f t="shared" ref="BK54:BK55" si="554">IF(AND(C54=4,B54="Unrestricted",NOT(N54="Common Space")),E54,"")</f>
        <v/>
      </c>
      <c r="BL54" s="251" t="str">
        <f t="shared" si="43"/>
        <v/>
      </c>
      <c r="BM54" s="251" t="str">
        <f t="shared" si="44"/>
        <v/>
      </c>
      <c r="BN54" s="251" t="str">
        <f t="shared" si="45"/>
        <v/>
      </c>
      <c r="BO54" s="251" t="str">
        <f t="shared" si="46"/>
        <v/>
      </c>
      <c r="BP54" s="251" t="str">
        <f t="shared" si="47"/>
        <v/>
      </c>
      <c r="BQ54" s="251" t="str">
        <f t="shared" si="48"/>
        <v/>
      </c>
      <c r="BR54" s="251" t="str">
        <f t="shared" si="49"/>
        <v/>
      </c>
      <c r="BS54" s="251" t="str">
        <f t="shared" si="50"/>
        <v/>
      </c>
      <c r="BT54" s="251" t="str">
        <f t="shared" si="51"/>
        <v/>
      </c>
      <c r="BU54" s="251" t="str">
        <f t="shared" si="52"/>
        <v/>
      </c>
      <c r="BV54" s="251" t="str">
        <f t="shared" si="53"/>
        <v/>
      </c>
      <c r="BW54" s="251" t="str">
        <f t="shared" si="54"/>
        <v/>
      </c>
      <c r="BX54" s="251" t="str">
        <f t="shared" si="55"/>
        <v/>
      </c>
      <c r="BY54" s="251" t="str">
        <f t="shared" si="56"/>
        <v/>
      </c>
      <c r="BZ54" s="251" t="str">
        <f t="shared" si="57"/>
        <v/>
      </c>
      <c r="CA54" s="251" t="str">
        <f t="shared" si="58"/>
        <v/>
      </c>
      <c r="CB54" s="251" t="str">
        <f t="shared" si="59"/>
        <v/>
      </c>
      <c r="CC54" s="251" t="str">
        <f t="shared" si="60"/>
        <v/>
      </c>
      <c r="CD54" s="251" t="str">
        <f t="shared" si="61"/>
        <v/>
      </c>
      <c r="CE54" s="251" t="str">
        <f t="shared" si="62"/>
        <v/>
      </c>
      <c r="CF54" s="251" t="str">
        <f t="shared" si="63"/>
        <v/>
      </c>
      <c r="CG54" s="251" t="str">
        <f t="shared" si="64"/>
        <v/>
      </c>
      <c r="CH54" s="251" t="str">
        <f t="shared" si="65"/>
        <v/>
      </c>
      <c r="CI54" s="251" t="str">
        <f t="shared" si="66"/>
        <v/>
      </c>
      <c r="CJ54" s="251" t="str">
        <f t="shared" si="67"/>
        <v/>
      </c>
      <c r="CK54" s="251" t="str">
        <f t="shared" si="68"/>
        <v/>
      </c>
      <c r="CL54" s="251" t="str">
        <f t="shared" si="69"/>
        <v/>
      </c>
      <c r="CM54" s="251" t="str">
        <f t="shared" si="70"/>
        <v/>
      </c>
      <c r="CN54" s="251" t="str">
        <f t="shared" si="71"/>
        <v/>
      </c>
      <c r="CO54" s="251" t="str">
        <f t="shared" si="72"/>
        <v/>
      </c>
      <c r="CP54" s="251" t="str">
        <f t="shared" si="73"/>
        <v/>
      </c>
      <c r="CQ54" s="251" t="str">
        <f t="shared" si="74"/>
        <v/>
      </c>
      <c r="CR54" s="251" t="str">
        <f t="shared" si="75"/>
        <v/>
      </c>
      <c r="CS54" s="251" t="str">
        <f t="shared" si="76"/>
        <v/>
      </c>
      <c r="CT54" s="251" t="str">
        <f t="shared" si="77"/>
        <v/>
      </c>
      <c r="CU54" s="251" t="str">
        <f t="shared" si="78"/>
        <v/>
      </c>
      <c r="CV54" s="251" t="str">
        <f t="shared" si="79"/>
        <v/>
      </c>
      <c r="CW54" s="251" t="str">
        <f t="shared" si="80"/>
        <v/>
      </c>
      <c r="CX54" s="251" t="str">
        <f t="shared" si="81"/>
        <v/>
      </c>
      <c r="CY54" s="251" t="str">
        <f t="shared" si="82"/>
        <v/>
      </c>
      <c r="CZ54" s="251" t="str">
        <f t="shared" si="83"/>
        <v/>
      </c>
      <c r="DA54" s="251" t="str">
        <f t="shared" si="84"/>
        <v/>
      </c>
      <c r="DB54" s="251" t="str">
        <f t="shared" si="85"/>
        <v/>
      </c>
      <c r="DC54" s="251" t="str">
        <f t="shared" si="86"/>
        <v/>
      </c>
      <c r="DD54" s="251" t="str">
        <f t="shared" si="87"/>
        <v/>
      </c>
      <c r="DE54" s="251" t="str">
        <f t="shared" si="88"/>
        <v/>
      </c>
      <c r="DF54" s="251" t="str">
        <f t="shared" si="89"/>
        <v/>
      </c>
      <c r="DG54" s="251" t="str">
        <f t="shared" si="90"/>
        <v/>
      </c>
      <c r="DH54" s="251" t="str">
        <f t="shared" si="91"/>
        <v/>
      </c>
      <c r="DI54" s="251" t="str">
        <f t="shared" si="92"/>
        <v/>
      </c>
      <c r="DJ54" s="251" t="str">
        <f t="shared" si="93"/>
        <v/>
      </c>
      <c r="DK54" s="251" t="str">
        <f t="shared" si="94"/>
        <v/>
      </c>
      <c r="DL54" s="251" t="str">
        <f t="shared" si="95"/>
        <v/>
      </c>
      <c r="DM54" s="251" t="str">
        <f t="shared" si="96"/>
        <v/>
      </c>
      <c r="DN54" s="251" t="str">
        <f t="shared" si="97"/>
        <v/>
      </c>
      <c r="DO54" s="251" t="str">
        <f t="shared" si="98"/>
        <v/>
      </c>
      <c r="DP54" s="251" t="str">
        <f t="shared" si="99"/>
        <v/>
      </c>
      <c r="DQ54" s="251" t="str">
        <f t="shared" si="100"/>
        <v/>
      </c>
      <c r="DR54" s="251" t="str">
        <f t="shared" si="101"/>
        <v/>
      </c>
      <c r="DS54" s="251" t="str">
        <f t="shared" si="102"/>
        <v/>
      </c>
      <c r="DT54" s="251" t="str">
        <f t="shared" si="103"/>
        <v/>
      </c>
      <c r="DU54" s="251" t="str">
        <f t="shared" si="104"/>
        <v/>
      </c>
      <c r="DV54" s="251" t="str">
        <f t="shared" si="105"/>
        <v/>
      </c>
      <c r="DW54" s="251" t="str">
        <f t="shared" si="106"/>
        <v/>
      </c>
      <c r="DX54" s="251" t="str">
        <f t="shared" si="107"/>
        <v/>
      </c>
      <c r="DY54" s="251" t="str">
        <f t="shared" si="108"/>
        <v/>
      </c>
      <c r="DZ54" s="251" t="str">
        <f t="shared" si="109"/>
        <v/>
      </c>
      <c r="EA54" s="251" t="str">
        <f t="shared" si="110"/>
        <v/>
      </c>
      <c r="EB54" s="251" t="str">
        <f t="shared" si="111"/>
        <v/>
      </c>
      <c r="EC54" s="251" t="str">
        <f t="shared" si="112"/>
        <v/>
      </c>
      <c r="ED54" s="251" t="str">
        <f t="shared" si="113"/>
        <v/>
      </c>
      <c r="EE54" s="251" t="str">
        <f t="shared" si="114"/>
        <v/>
      </c>
      <c r="EF54" s="251" t="str">
        <f t="shared" si="115"/>
        <v/>
      </c>
      <c r="EG54" s="251" t="str">
        <f t="shared" si="116"/>
        <v/>
      </c>
      <c r="EH54" s="251" t="str">
        <f t="shared" si="117"/>
        <v/>
      </c>
      <c r="EI54" s="251" t="str">
        <f t="shared" si="118"/>
        <v/>
      </c>
      <c r="EJ54" s="251" t="str">
        <f t="shared" si="119"/>
        <v/>
      </c>
      <c r="EK54" s="251" t="str">
        <f t="shared" si="120"/>
        <v/>
      </c>
      <c r="EL54" s="251" t="str">
        <f t="shared" si="121"/>
        <v/>
      </c>
      <c r="EM54" s="251" t="str">
        <f t="shared" si="122"/>
        <v/>
      </c>
      <c r="EN54" s="251" t="str">
        <f t="shared" si="123"/>
        <v/>
      </c>
      <c r="EO54" s="251" t="str">
        <f t="shared" si="124"/>
        <v/>
      </c>
      <c r="EP54" s="251" t="str">
        <f t="shared" si="125"/>
        <v/>
      </c>
      <c r="EQ54" s="251" t="str">
        <f t="shared" si="126"/>
        <v/>
      </c>
      <c r="ER54" s="251" t="str">
        <f t="shared" si="127"/>
        <v/>
      </c>
      <c r="ES54" s="251" t="str">
        <f t="shared" si="128"/>
        <v/>
      </c>
      <c r="ET54" s="251" t="str">
        <f t="shared" si="129"/>
        <v/>
      </c>
      <c r="EU54" s="251" t="str">
        <f t="shared" si="130"/>
        <v/>
      </c>
      <c r="EV54" s="251" t="str">
        <f t="shared" si="131"/>
        <v/>
      </c>
      <c r="EW54" s="251" t="str">
        <f t="shared" si="132"/>
        <v/>
      </c>
      <c r="EX54" s="251" t="str">
        <f t="shared" si="133"/>
        <v/>
      </c>
      <c r="EY54" s="251" t="str">
        <f t="shared" si="134"/>
        <v/>
      </c>
      <c r="EZ54" s="251" t="str">
        <f t="shared" si="135"/>
        <v/>
      </c>
      <c r="FA54" s="251" t="str">
        <f t="shared" si="136"/>
        <v/>
      </c>
      <c r="FB54" s="251" t="str">
        <f t="shared" si="137"/>
        <v/>
      </c>
      <c r="FC54" s="251" t="str">
        <f t="shared" si="138"/>
        <v/>
      </c>
      <c r="FD54" s="251" t="str">
        <f t="shared" si="139"/>
        <v/>
      </c>
      <c r="FE54" s="251" t="str">
        <f t="shared" si="140"/>
        <v/>
      </c>
      <c r="FF54" s="251" t="str">
        <f t="shared" si="141"/>
        <v/>
      </c>
      <c r="FG54" s="251" t="str">
        <f t="shared" si="142"/>
        <v/>
      </c>
      <c r="FH54" s="251" t="str">
        <f t="shared" si="143"/>
        <v/>
      </c>
      <c r="FI54" s="251" t="str">
        <f t="shared" si="144"/>
        <v/>
      </c>
      <c r="FJ54" s="251" t="str">
        <f t="shared" si="145"/>
        <v/>
      </c>
      <c r="FK54" s="251" t="str">
        <f t="shared" si="146"/>
        <v/>
      </c>
      <c r="FL54" s="251" t="str">
        <f t="shared" si="147"/>
        <v/>
      </c>
      <c r="FM54" s="251" t="str">
        <f t="shared" ref="FM54:FM55" si="555">IF(AND(C54="Efficiency",N54="Common Space"),E54,"")</f>
        <v/>
      </c>
      <c r="FN54" s="251" t="str">
        <f t="shared" ref="FN54:FN55" si="556">IF(AND(C54=1,N54="Common Space"),E54,"")</f>
        <v/>
      </c>
      <c r="FO54" s="251" t="str">
        <f t="shared" ref="FO54:FO55" si="557">IF(AND(C54=2,N54="Common Space"),E54,"")</f>
        <v/>
      </c>
      <c r="FP54" s="251" t="str">
        <f t="shared" ref="FP54:FP55" si="558">IF(AND(C54=3,N54="Common Space"),E54,"")</f>
        <v/>
      </c>
      <c r="FQ54" s="251" t="str">
        <f t="shared" ref="FQ54:FQ55" si="559">IF(AND(C54=4,N54="Common Space"),E54,"")</f>
        <v/>
      </c>
      <c r="FR54" s="251" t="str">
        <f t="shared" si="153"/>
        <v/>
      </c>
      <c r="FS54" s="251" t="str">
        <f t="shared" si="154"/>
        <v/>
      </c>
      <c r="FT54" s="251" t="str">
        <f t="shared" si="155"/>
        <v/>
      </c>
      <c r="FU54" s="251" t="str">
        <f t="shared" si="156"/>
        <v/>
      </c>
      <c r="FV54" s="251" t="str">
        <f t="shared" si="157"/>
        <v/>
      </c>
      <c r="FW54" s="251" t="str">
        <f t="shared" si="158"/>
        <v/>
      </c>
      <c r="FX54" s="251" t="str">
        <f t="shared" si="159"/>
        <v/>
      </c>
      <c r="FY54" s="251" t="str">
        <f t="shared" si="160"/>
        <v/>
      </c>
      <c r="FZ54" s="251" t="str">
        <f t="shared" si="161"/>
        <v/>
      </c>
      <c r="GA54" s="251" t="str">
        <f t="shared" si="162"/>
        <v/>
      </c>
      <c r="GB54" s="251" t="str">
        <f t="shared" si="163"/>
        <v/>
      </c>
      <c r="GC54" s="251" t="str">
        <f t="shared" si="164"/>
        <v/>
      </c>
      <c r="GD54" s="251" t="str">
        <f t="shared" si="165"/>
        <v/>
      </c>
      <c r="GE54" s="251" t="str">
        <f t="shared" si="166"/>
        <v/>
      </c>
      <c r="GF54" s="251" t="str">
        <f t="shared" si="167"/>
        <v/>
      </c>
      <c r="GG54" s="251" t="str">
        <f t="shared" si="168"/>
        <v/>
      </c>
      <c r="GH54" s="251" t="str">
        <f t="shared" si="169"/>
        <v/>
      </c>
      <c r="GI54" s="251" t="str">
        <f t="shared" si="170"/>
        <v/>
      </c>
      <c r="GJ54" s="251" t="str">
        <f t="shared" si="171"/>
        <v/>
      </c>
      <c r="GK54" s="251" t="str">
        <f t="shared" si="172"/>
        <v/>
      </c>
      <c r="GL54" s="251" t="str">
        <f t="shared" si="173"/>
        <v/>
      </c>
      <c r="GM54" s="251" t="str">
        <f t="shared" si="174"/>
        <v/>
      </c>
      <c r="GN54" s="251" t="str">
        <f t="shared" si="175"/>
        <v/>
      </c>
      <c r="GO54" s="251" t="str">
        <f t="shared" si="176"/>
        <v/>
      </c>
      <c r="GP54" s="251" t="str">
        <f t="shared" si="177"/>
        <v/>
      </c>
      <c r="GQ54" s="251" t="str">
        <f t="shared" si="178"/>
        <v/>
      </c>
      <c r="GR54" s="251" t="str">
        <f t="shared" si="179"/>
        <v/>
      </c>
      <c r="GS54" s="251" t="str">
        <f t="shared" si="180"/>
        <v/>
      </c>
      <c r="GT54" s="251" t="str">
        <f t="shared" si="181"/>
        <v/>
      </c>
      <c r="GU54" s="251" t="str">
        <f t="shared" si="182"/>
        <v/>
      </c>
      <c r="GV54" s="251" t="str">
        <f t="shared" si="183"/>
        <v/>
      </c>
      <c r="GW54" s="251" t="str">
        <f t="shared" si="184"/>
        <v/>
      </c>
      <c r="GX54" s="251" t="str">
        <f t="shared" si="185"/>
        <v/>
      </c>
      <c r="GY54" s="251" t="str">
        <f t="shared" si="186"/>
        <v/>
      </c>
      <c r="GZ54" s="251" t="str">
        <f t="shared" si="187"/>
        <v/>
      </c>
      <c r="HA54" s="251" t="str">
        <f t="shared" ref="HA54:HA55" si="560">IF(AND(C54="Efficiency",B54="Unrestricted",NOT(N54="Common Space")),E54*F54,"")</f>
        <v/>
      </c>
      <c r="HB54" s="251" t="str">
        <f t="shared" ref="HB54:HB55" si="561">IF(AND(C54=1,B54="Unrestricted",NOT(N54="Common Space")),E54*F54,"")</f>
        <v/>
      </c>
      <c r="HC54" s="251" t="str">
        <f t="shared" ref="HC54:HC55" si="562">IF(AND(C54=2,B54="Unrestricted",NOT(N54="Common Space")),E54*F54,"")</f>
        <v/>
      </c>
      <c r="HD54" s="251" t="str">
        <f t="shared" ref="HD54:HD55" si="563">IF(AND(C54=3,B54="Unrestricted",NOT(N54="Common Space")),E54*F54,"")</f>
        <v/>
      </c>
      <c r="HE54" s="251" t="str">
        <f t="shared" ref="HE54:HE55" si="564">IF(AND(C54=4,B54="Unrestricted",NOT(N54="Common Space")),E54*F54,"")</f>
        <v/>
      </c>
      <c r="HF54" s="251" t="str">
        <f t="shared" ref="HF54:HF55" si="565">IF(AND(C54="Efficiency",NOT(K54=""),NOT($K54=0),NOT(N54="Common Space")),E54*F54,"")</f>
        <v/>
      </c>
      <c r="HG54" s="251" t="str">
        <f t="shared" ref="HG54:HG55" si="566">IF(AND(C54=1,NOT(K54=""),NOT($K54=0),NOT(N54="Common Space")),E54*F54,"")</f>
        <v/>
      </c>
      <c r="HH54" s="251" t="str">
        <f t="shared" ref="HH54:HH55" si="567">IF(AND(C54=2,NOT(K54=""),NOT($K54=0),NOT(N54="Common Space")),E54*F54,"")</f>
        <v/>
      </c>
      <c r="HI54" s="251" t="str">
        <f t="shared" ref="HI54:HI55" si="568">IF(AND(C54=3,NOT(K54=""),NOT($K54=0),NOT(N54="Common Space")),E54*F54,"")</f>
        <v/>
      </c>
      <c r="HJ54" s="251" t="str">
        <f t="shared" ref="HJ54:HJ55" si="569">IF(AND(C54=4,NOT(K54=""),NOT($K54=0),NOT(N54="Common Space")),E54*F54,"")</f>
        <v/>
      </c>
      <c r="HK54" s="251" t="str">
        <f t="shared" ref="HK54:HK55" si="570">IF(AND(C54="Efficiency",N54="Common Space"),E54*F54,"")</f>
        <v/>
      </c>
      <c r="HL54" s="251" t="str">
        <f t="shared" ref="HL54:HL55" si="571">IF(AND(C54=1,N54="Common Space"),E54*F54,"")</f>
        <v/>
      </c>
      <c r="HM54" s="251" t="str">
        <f t="shared" ref="HM54:HM55" si="572">IF(AND(C54=2,N54="Common Space"),E54*F54,"")</f>
        <v/>
      </c>
      <c r="HN54" s="251" t="str">
        <f t="shared" ref="HN54:HN55" si="573">IF(AND(C54=3,N54="Common Space"),E54*F54,"")</f>
        <v/>
      </c>
      <c r="HO54" s="251" t="str">
        <f t="shared" ref="HO54:HO55" si="574">IF(AND(C54=4,N54="Common Space"),E54*F54,"")</f>
        <v/>
      </c>
      <c r="HP54" s="251" t="str">
        <f t="shared" si="203"/>
        <v/>
      </c>
      <c r="HQ54" s="251" t="str">
        <f t="shared" si="204"/>
        <v/>
      </c>
      <c r="HR54" s="251" t="str">
        <f t="shared" si="205"/>
        <v/>
      </c>
      <c r="HS54" s="251" t="str">
        <f t="shared" si="206"/>
        <v/>
      </c>
      <c r="HT54" s="251" t="str">
        <f t="shared" si="207"/>
        <v/>
      </c>
      <c r="HU54" s="251" t="str">
        <f t="shared" si="208"/>
        <v/>
      </c>
      <c r="HV54" s="251" t="str">
        <f t="shared" si="209"/>
        <v/>
      </c>
      <c r="HW54" s="251" t="str">
        <f t="shared" si="210"/>
        <v/>
      </c>
      <c r="HX54" s="251" t="str">
        <f t="shared" si="211"/>
        <v/>
      </c>
      <c r="HY54" s="251" t="str">
        <f t="shared" si="212"/>
        <v/>
      </c>
      <c r="HZ54" s="251" t="str">
        <f t="shared" si="213"/>
        <v/>
      </c>
      <c r="IA54" s="251" t="str">
        <f t="shared" si="214"/>
        <v/>
      </c>
      <c r="IB54" s="251" t="str">
        <f t="shared" si="215"/>
        <v/>
      </c>
      <c r="IC54" s="251" t="str">
        <f t="shared" si="216"/>
        <v/>
      </c>
      <c r="ID54" s="251" t="str">
        <f t="shared" si="217"/>
        <v/>
      </c>
      <c r="IE54" s="251" t="str">
        <f t="shared" si="218"/>
        <v/>
      </c>
      <c r="IF54" s="251" t="str">
        <f t="shared" si="219"/>
        <v/>
      </c>
      <c r="IG54" s="251" t="str">
        <f t="shared" si="220"/>
        <v/>
      </c>
      <c r="IH54" s="251" t="str">
        <f t="shared" si="221"/>
        <v/>
      </c>
      <c r="II54" s="251" t="str">
        <f t="shared" si="222"/>
        <v/>
      </c>
      <c r="IJ54" s="251" t="str">
        <f t="shared" si="223"/>
        <v/>
      </c>
      <c r="IK54" s="251" t="str">
        <f t="shared" si="224"/>
        <v/>
      </c>
      <c r="IL54" s="251" t="str">
        <f t="shared" si="225"/>
        <v/>
      </c>
      <c r="IM54" s="251" t="str">
        <f t="shared" si="226"/>
        <v/>
      </c>
      <c r="IN54" s="251" t="str">
        <f t="shared" si="227"/>
        <v/>
      </c>
      <c r="IO54" s="251" t="str">
        <f t="shared" si="228"/>
        <v/>
      </c>
      <c r="IP54" s="251" t="str">
        <f t="shared" si="229"/>
        <v/>
      </c>
      <c r="IQ54" s="251" t="str">
        <f t="shared" si="230"/>
        <v/>
      </c>
      <c r="IR54" s="251" t="str">
        <f t="shared" si="231"/>
        <v/>
      </c>
      <c r="IS54" s="251" t="str">
        <f t="shared" si="232"/>
        <v/>
      </c>
      <c r="IT54" s="251" t="str">
        <f t="shared" si="233"/>
        <v/>
      </c>
      <c r="IU54" s="251" t="str">
        <f t="shared" si="234"/>
        <v/>
      </c>
      <c r="IV54" s="251" t="str">
        <f t="shared" si="235"/>
        <v/>
      </c>
      <c r="IW54" s="251" t="str">
        <f t="shared" si="236"/>
        <v/>
      </c>
      <c r="IX54" s="251" t="str">
        <f t="shared" si="237"/>
        <v/>
      </c>
      <c r="IY54" s="251" t="str">
        <f t="shared" si="238"/>
        <v/>
      </c>
      <c r="IZ54" s="251" t="str">
        <f t="shared" si="239"/>
        <v/>
      </c>
      <c r="JA54" s="251" t="str">
        <f t="shared" si="240"/>
        <v/>
      </c>
      <c r="JB54" s="251" t="str">
        <f t="shared" si="241"/>
        <v/>
      </c>
      <c r="JC54" s="251" t="str">
        <f t="shared" si="242"/>
        <v/>
      </c>
      <c r="JD54" s="251" t="str">
        <f t="shared" si="243"/>
        <v/>
      </c>
      <c r="JE54" s="251" t="str">
        <f t="shared" si="244"/>
        <v/>
      </c>
      <c r="JF54" s="251" t="str">
        <f t="shared" si="245"/>
        <v/>
      </c>
      <c r="JG54" s="251" t="str">
        <f t="shared" si="246"/>
        <v/>
      </c>
      <c r="JH54" s="251" t="str">
        <f t="shared" si="247"/>
        <v/>
      </c>
      <c r="JI54" s="1297" t="str">
        <f t="shared" si="248"/>
        <v/>
      </c>
      <c r="JJ54" s="1297" t="str">
        <f t="shared" si="249"/>
        <v/>
      </c>
      <c r="JK54" s="1297" t="str">
        <f t="shared" si="250"/>
        <v/>
      </c>
      <c r="JL54" s="1297" t="str">
        <f t="shared" si="251"/>
        <v/>
      </c>
      <c r="JM54" s="1297" t="str">
        <f t="shared" si="252"/>
        <v/>
      </c>
      <c r="JN54" s="1297" t="str">
        <f t="shared" si="253"/>
        <v/>
      </c>
      <c r="JO54" s="1297" t="str">
        <f t="shared" si="254"/>
        <v/>
      </c>
      <c r="JP54" s="1297" t="str">
        <f t="shared" si="255"/>
        <v/>
      </c>
      <c r="JQ54" s="1297" t="str">
        <f t="shared" si="256"/>
        <v/>
      </c>
      <c r="JR54" s="1297" t="str">
        <f t="shared" si="257"/>
        <v/>
      </c>
      <c r="JS54" s="1297" t="str">
        <f t="shared" si="258"/>
        <v/>
      </c>
      <c r="JT54" s="1297" t="str">
        <f t="shared" si="259"/>
        <v/>
      </c>
      <c r="JU54" s="1297" t="str">
        <f t="shared" si="260"/>
        <v/>
      </c>
      <c r="JV54" s="1297" t="str">
        <f t="shared" si="261"/>
        <v/>
      </c>
      <c r="JW54" s="1297" t="str">
        <f t="shared" si="262"/>
        <v/>
      </c>
      <c r="JX54" s="1297" t="str">
        <f t="shared" si="263"/>
        <v/>
      </c>
      <c r="JY54" s="1297" t="str">
        <f t="shared" si="264"/>
        <v/>
      </c>
      <c r="JZ54" s="1297" t="str">
        <f t="shared" si="265"/>
        <v/>
      </c>
      <c r="KA54" s="1297" t="str">
        <f t="shared" si="266"/>
        <v/>
      </c>
      <c r="KB54" s="1297" t="str">
        <f t="shared" si="267"/>
        <v/>
      </c>
      <c r="KC54" s="1297" t="str">
        <f t="shared" si="268"/>
        <v/>
      </c>
      <c r="KD54" s="1297" t="str">
        <f t="shared" si="269"/>
        <v/>
      </c>
      <c r="KE54" s="1297" t="str">
        <f t="shared" si="270"/>
        <v/>
      </c>
      <c r="KF54" s="1297" t="str">
        <f t="shared" si="271"/>
        <v/>
      </c>
      <c r="KG54" s="1297" t="str">
        <f t="shared" si="272"/>
        <v/>
      </c>
      <c r="KH54" s="1297" t="str">
        <f t="shared" si="273"/>
        <v/>
      </c>
      <c r="KI54" s="1297" t="str">
        <f t="shared" si="274"/>
        <v/>
      </c>
      <c r="KJ54" s="1297" t="str">
        <f t="shared" si="275"/>
        <v/>
      </c>
      <c r="KK54" s="1297" t="str">
        <f t="shared" si="276"/>
        <v/>
      </c>
      <c r="KL54" s="1297" t="str">
        <f t="shared" si="277"/>
        <v/>
      </c>
      <c r="KM54" s="1297" t="str">
        <f t="shared" si="278"/>
        <v/>
      </c>
      <c r="KN54" s="1297" t="str">
        <f t="shared" si="279"/>
        <v/>
      </c>
      <c r="KO54" s="1297" t="str">
        <f t="shared" si="280"/>
        <v/>
      </c>
      <c r="KP54" s="1297" t="str">
        <f t="shared" si="281"/>
        <v/>
      </c>
      <c r="KQ54" s="1297" t="str">
        <f t="shared" si="282"/>
        <v/>
      </c>
      <c r="KR54" s="1297" t="str">
        <f t="shared" si="283"/>
        <v/>
      </c>
      <c r="KS54" s="1297" t="str">
        <f t="shared" si="284"/>
        <v/>
      </c>
      <c r="KT54" s="1297" t="str">
        <f t="shared" si="285"/>
        <v/>
      </c>
      <c r="KU54" s="1297" t="str">
        <f t="shared" si="286"/>
        <v/>
      </c>
      <c r="KV54" s="1297" t="str">
        <f t="shared" si="287"/>
        <v/>
      </c>
      <c r="KW54" s="1297" t="str">
        <f t="shared" si="288"/>
        <v/>
      </c>
      <c r="KX54" s="1297" t="str">
        <f t="shared" si="289"/>
        <v/>
      </c>
      <c r="KY54" s="1297" t="str">
        <f t="shared" si="290"/>
        <v/>
      </c>
      <c r="KZ54" s="1297" t="str">
        <f t="shared" si="291"/>
        <v/>
      </c>
      <c r="LA54" s="1297" t="str">
        <f t="shared" si="292"/>
        <v/>
      </c>
      <c r="LB54" s="1297" t="str">
        <f t="shared" si="293"/>
        <v/>
      </c>
      <c r="LC54" s="1297" t="str">
        <f t="shared" si="294"/>
        <v/>
      </c>
      <c r="LD54" s="1297" t="str">
        <f t="shared" si="295"/>
        <v/>
      </c>
      <c r="LE54" s="1297" t="str">
        <f t="shared" si="296"/>
        <v/>
      </c>
      <c r="LF54" s="1297" t="str">
        <f t="shared" si="297"/>
        <v/>
      </c>
      <c r="LG54" s="1297" t="str">
        <f t="shared" si="298"/>
        <v/>
      </c>
      <c r="LH54" s="1297" t="str">
        <f t="shared" si="299"/>
        <v/>
      </c>
      <c r="LI54" s="1297" t="str">
        <f t="shared" si="300"/>
        <v/>
      </c>
      <c r="LJ54" s="1297" t="str">
        <f t="shared" si="301"/>
        <v/>
      </c>
      <c r="LK54" s="1297" t="str">
        <f t="shared" si="302"/>
        <v/>
      </c>
      <c r="LL54" s="1297" t="str">
        <f t="shared" si="303"/>
        <v/>
      </c>
      <c r="LM54" s="1297" t="str">
        <f t="shared" si="304"/>
        <v/>
      </c>
      <c r="LN54" s="1297" t="str">
        <f t="shared" si="305"/>
        <v/>
      </c>
      <c r="LO54" s="1297" t="str">
        <f t="shared" si="306"/>
        <v/>
      </c>
      <c r="LP54" s="1297" t="str">
        <f t="shared" si="307"/>
        <v/>
      </c>
      <c r="LQ54" s="1297" t="str">
        <f t="shared" si="308"/>
        <v/>
      </c>
      <c r="LR54" s="1297" t="str">
        <f t="shared" si="309"/>
        <v/>
      </c>
      <c r="LS54" s="1297" t="str">
        <f t="shared" si="310"/>
        <v/>
      </c>
      <c r="LT54" s="1297" t="str">
        <f t="shared" si="311"/>
        <v/>
      </c>
      <c r="LU54" s="1297" t="str">
        <f t="shared" si="312"/>
        <v/>
      </c>
      <c r="LV54" s="1297" t="str">
        <f t="shared" si="313"/>
        <v/>
      </c>
      <c r="LW54" s="1297" t="str">
        <f t="shared" si="314"/>
        <v/>
      </c>
      <c r="LX54" s="1297" t="str">
        <f t="shared" si="315"/>
        <v/>
      </c>
      <c r="LY54" s="1297" t="str">
        <f t="shared" si="316"/>
        <v/>
      </c>
      <c r="LZ54" s="1297" t="str">
        <f t="shared" si="317"/>
        <v/>
      </c>
      <c r="MA54" s="1297" t="str">
        <f t="shared" si="318"/>
        <v/>
      </c>
      <c r="MB54" s="1297" t="str">
        <f t="shared" si="319"/>
        <v/>
      </c>
      <c r="MC54" s="1297" t="str">
        <f t="shared" si="320"/>
        <v/>
      </c>
      <c r="MD54" s="1297" t="str">
        <f t="shared" si="321"/>
        <v/>
      </c>
      <c r="ME54" s="1297" t="str">
        <f t="shared" si="322"/>
        <v/>
      </c>
      <c r="MF54" s="1297" t="str">
        <f t="shared" si="323"/>
        <v/>
      </c>
      <c r="MG54" s="1297" t="str">
        <f t="shared" si="324"/>
        <v/>
      </c>
      <c r="MH54" s="1297" t="str">
        <f t="shared" si="325"/>
        <v/>
      </c>
      <c r="MI54" s="1297" t="str">
        <f t="shared" si="326"/>
        <v/>
      </c>
      <c r="MJ54" s="1297" t="str">
        <f t="shared" si="327"/>
        <v/>
      </c>
      <c r="MK54" s="1297" t="str">
        <f t="shared" si="328"/>
        <v/>
      </c>
      <c r="ML54" s="1297" t="str">
        <f t="shared" si="329"/>
        <v/>
      </c>
      <c r="MM54" s="1297" t="str">
        <f t="shared" si="330"/>
        <v/>
      </c>
      <c r="MN54" s="1297" t="str">
        <f t="shared" si="331"/>
        <v/>
      </c>
      <c r="MO54" s="1297" t="str">
        <f t="shared" si="332"/>
        <v/>
      </c>
      <c r="MP54" s="1773" t="str">
        <f t="shared" si="333"/>
        <v/>
      </c>
      <c r="MQ54" s="1773" t="str">
        <f t="shared" si="334"/>
        <v/>
      </c>
      <c r="MR54" s="1773" t="str">
        <f t="shared" si="335"/>
        <v/>
      </c>
      <c r="MS54" s="1773" t="str">
        <f t="shared" si="336"/>
        <v/>
      </c>
      <c r="MT54" s="1773" t="str">
        <f t="shared" si="337"/>
        <v/>
      </c>
      <c r="MU54" s="251" t="str">
        <f t="shared" ref="MU54:MU55" si="575">IF(AND(C54="Efficiency",B54="NSP 120% AMI",NOT(N54="Common Space")),E54*F54,"")</f>
        <v/>
      </c>
      <c r="MV54" s="251" t="str">
        <f t="shared" ref="MV54:MV55" si="576">IF(AND(C54=1,B54="NSP 120% AMI",NOT(N54="Common Space")),E54*F54,"")</f>
        <v/>
      </c>
      <c r="MW54" s="251" t="str">
        <f t="shared" ref="MW54:MW55" si="577">IF(AND(C54=2,B54="NSP 120% AMI",NOT(N54="Common Space")),E54*F54,"")</f>
        <v/>
      </c>
      <c r="MX54" s="251" t="str">
        <f t="shared" ref="MX54:MX55" si="578">IF(AND(C54=3,B54="NSP 120% AMI",NOT(N54="Common Space")),E54*F54,"")</f>
        <v/>
      </c>
      <c r="MY54" s="251" t="str">
        <f t="shared" ref="MY54:MY55" si="579">IF(AND(C54=4,B54="NSP 120% AMI",NOT(N54="Common Space")),E54*F54,"")</f>
        <v/>
      </c>
      <c r="MZ54" s="251" t="str">
        <f t="shared" si="343"/>
        <v/>
      </c>
      <c r="NA54" s="251" t="str">
        <f t="shared" si="344"/>
        <v/>
      </c>
      <c r="NB54" s="251" t="str">
        <f t="shared" si="345"/>
        <v/>
      </c>
      <c r="NC54" s="251" t="str">
        <f t="shared" si="346"/>
        <v/>
      </c>
      <c r="ND54" s="251" t="str">
        <f t="shared" si="347"/>
        <v/>
      </c>
      <c r="NE54" s="251" t="str">
        <f t="shared" si="348"/>
        <v/>
      </c>
      <c r="NF54" s="251" t="str">
        <f t="shared" si="349"/>
        <v/>
      </c>
      <c r="NG54" s="251" t="str">
        <f t="shared" si="350"/>
        <v/>
      </c>
      <c r="NH54" s="251" t="str">
        <f t="shared" si="351"/>
        <v/>
      </c>
      <c r="NI54" s="251" t="str">
        <f t="shared" si="352"/>
        <v/>
      </c>
      <c r="NJ54" s="251" t="str">
        <f t="shared" si="353"/>
        <v/>
      </c>
      <c r="NK54" s="251" t="str">
        <f t="shared" si="354"/>
        <v/>
      </c>
      <c r="NL54" s="251" t="str">
        <f t="shared" si="355"/>
        <v/>
      </c>
      <c r="NM54" s="251" t="str">
        <f t="shared" si="356"/>
        <v/>
      </c>
      <c r="NN54" s="251" t="str">
        <f t="shared" si="357"/>
        <v/>
      </c>
      <c r="NO54" s="1185">
        <f t="shared" si="358"/>
        <v>0</v>
      </c>
      <c r="NP54" s="1185">
        <f t="shared" si="359"/>
        <v>0</v>
      </c>
      <c r="NQ54" s="1185">
        <f t="shared" si="360"/>
        <v>0</v>
      </c>
      <c r="NR54" s="1185">
        <f t="shared" si="361"/>
        <v>0</v>
      </c>
      <c r="NS54" s="1185">
        <f t="shared" si="362"/>
        <v>0</v>
      </c>
      <c r="NT54" s="1185">
        <f t="shared" si="368"/>
        <v>0</v>
      </c>
      <c r="NU54" s="1185">
        <f t="shared" si="369"/>
        <v>0</v>
      </c>
      <c r="NV54" s="1185">
        <f t="shared" si="370"/>
        <v>0</v>
      </c>
      <c r="NW54" s="1185">
        <f t="shared" si="371"/>
        <v>0</v>
      </c>
      <c r="NX54" s="1185">
        <f t="shared" si="372"/>
        <v>0</v>
      </c>
      <c r="NY54" s="1185">
        <f t="shared" si="363"/>
        <v>0</v>
      </c>
      <c r="NZ54" s="1185">
        <f t="shared" si="364"/>
        <v>0</v>
      </c>
      <c r="OA54" s="1185">
        <f t="shared" si="365"/>
        <v>0</v>
      </c>
      <c r="OB54" s="1185">
        <f t="shared" si="366"/>
        <v>0</v>
      </c>
      <c r="OC54" s="1185">
        <f t="shared" si="367"/>
        <v>0</v>
      </c>
      <c r="OY54" s="1794" t="s">
        <v>1195</v>
      </c>
      <c r="OZ54" s="1798">
        <v>52</v>
      </c>
    </row>
    <row r="55" spans="1:416" ht="12" customHeight="1">
      <c r="A55" s="53" t="str">
        <f t="shared" si="512"/>
        <v/>
      </c>
      <c r="B55" s="782"/>
      <c r="C55" s="85"/>
      <c r="D55" s="1187"/>
      <c r="E55" s="86"/>
      <c r="F55" s="86"/>
      <c r="G55" s="86"/>
      <c r="H55" s="86"/>
      <c r="I55" s="86"/>
      <c r="J55" s="765">
        <f>IF(C55="",0,HLOOKUP(C55,'Part IV-Utility Allowances'!$I$11:$M$25,15))</f>
        <v>0</v>
      </c>
      <c r="K55" s="473"/>
      <c r="L55" s="330">
        <f t="shared" si="513"/>
        <v>0</v>
      </c>
      <c r="M55" s="330">
        <f t="shared" si="514"/>
        <v>0</v>
      </c>
      <c r="N55" s="506"/>
      <c r="O55" s="1134"/>
      <c r="P55" s="506"/>
      <c r="Q55" s="87"/>
      <c r="R55" s="540"/>
      <c r="S55" s="541"/>
      <c r="T55" s="3758"/>
      <c r="U55" s="3759"/>
      <c r="V55" s="3759"/>
      <c r="W55" s="3760"/>
      <c r="X55" s="251" t="str">
        <f t="shared" si="515"/>
        <v/>
      </c>
      <c r="Y55" s="251" t="str">
        <f t="shared" si="516"/>
        <v/>
      </c>
      <c r="Z55" s="251" t="str">
        <f t="shared" si="517"/>
        <v/>
      </c>
      <c r="AA55" s="251" t="str">
        <f t="shared" si="518"/>
        <v/>
      </c>
      <c r="AB55" s="251" t="str">
        <f t="shared" si="519"/>
        <v/>
      </c>
      <c r="AC55" s="251" t="str">
        <f t="shared" si="520"/>
        <v/>
      </c>
      <c r="AD55" s="251" t="str">
        <f t="shared" si="521"/>
        <v/>
      </c>
      <c r="AE55" s="251" t="str">
        <f t="shared" si="522"/>
        <v/>
      </c>
      <c r="AF55" s="251" t="str">
        <f t="shared" si="523"/>
        <v/>
      </c>
      <c r="AG55" s="251" t="str">
        <f t="shared" si="524"/>
        <v/>
      </c>
      <c r="AH55" s="251" t="str">
        <f t="shared" si="525"/>
        <v/>
      </c>
      <c r="AI55" s="251" t="str">
        <f t="shared" si="526"/>
        <v/>
      </c>
      <c r="AJ55" s="251" t="str">
        <f t="shared" si="527"/>
        <v/>
      </c>
      <c r="AK55" s="251" t="str">
        <f t="shared" si="528"/>
        <v/>
      </c>
      <c r="AL55" s="251" t="str">
        <f t="shared" si="529"/>
        <v/>
      </c>
      <c r="AM55" s="251" t="str">
        <f t="shared" si="530"/>
        <v/>
      </c>
      <c r="AN55" s="251" t="str">
        <f t="shared" si="531"/>
        <v/>
      </c>
      <c r="AO55" s="251" t="str">
        <f t="shared" si="532"/>
        <v/>
      </c>
      <c r="AP55" s="251" t="str">
        <f t="shared" si="533"/>
        <v/>
      </c>
      <c r="AQ55" s="251" t="str">
        <f t="shared" si="534"/>
        <v/>
      </c>
      <c r="AR55" s="251" t="str">
        <f t="shared" si="535"/>
        <v/>
      </c>
      <c r="AS55" s="251" t="str">
        <f t="shared" si="536"/>
        <v/>
      </c>
      <c r="AT55" s="251" t="str">
        <f t="shared" si="537"/>
        <v/>
      </c>
      <c r="AU55" s="251" t="str">
        <f t="shared" si="538"/>
        <v/>
      </c>
      <c r="AV55" s="251" t="str">
        <f t="shared" si="539"/>
        <v/>
      </c>
      <c r="AW55" s="251" t="str">
        <f t="shared" si="540"/>
        <v/>
      </c>
      <c r="AX55" s="251" t="str">
        <f t="shared" si="541"/>
        <v/>
      </c>
      <c r="AY55" s="251" t="str">
        <f t="shared" si="542"/>
        <v/>
      </c>
      <c r="AZ55" s="251" t="str">
        <f t="shared" si="543"/>
        <v/>
      </c>
      <c r="BA55" s="251" t="str">
        <f t="shared" si="544"/>
        <v/>
      </c>
      <c r="BB55" s="251" t="str">
        <f t="shared" si="545"/>
        <v/>
      </c>
      <c r="BC55" s="251" t="str">
        <f t="shared" si="546"/>
        <v/>
      </c>
      <c r="BD55" s="251" t="str">
        <f t="shared" si="547"/>
        <v/>
      </c>
      <c r="BE55" s="251" t="str">
        <f t="shared" si="548"/>
        <v/>
      </c>
      <c r="BF55" s="251" t="str">
        <f t="shared" si="549"/>
        <v/>
      </c>
      <c r="BG55" s="251" t="str">
        <f t="shared" si="550"/>
        <v/>
      </c>
      <c r="BH55" s="251" t="str">
        <f t="shared" si="551"/>
        <v/>
      </c>
      <c r="BI55" s="251" t="str">
        <f t="shared" si="552"/>
        <v/>
      </c>
      <c r="BJ55" s="251" t="str">
        <f t="shared" si="553"/>
        <v/>
      </c>
      <c r="BK55" s="251" t="str">
        <f t="shared" si="554"/>
        <v/>
      </c>
      <c r="BL55" s="251" t="str">
        <f t="shared" si="43"/>
        <v/>
      </c>
      <c r="BM55" s="251" t="str">
        <f t="shared" si="44"/>
        <v/>
      </c>
      <c r="BN55" s="251" t="str">
        <f t="shared" si="45"/>
        <v/>
      </c>
      <c r="BO55" s="251" t="str">
        <f t="shared" si="46"/>
        <v/>
      </c>
      <c r="BP55" s="251" t="str">
        <f t="shared" si="47"/>
        <v/>
      </c>
      <c r="BQ55" s="251" t="str">
        <f t="shared" si="48"/>
        <v/>
      </c>
      <c r="BR55" s="251" t="str">
        <f t="shared" si="49"/>
        <v/>
      </c>
      <c r="BS55" s="251" t="str">
        <f t="shared" si="50"/>
        <v/>
      </c>
      <c r="BT55" s="251" t="str">
        <f t="shared" si="51"/>
        <v/>
      </c>
      <c r="BU55" s="251" t="str">
        <f t="shared" si="52"/>
        <v/>
      </c>
      <c r="BV55" s="251" t="str">
        <f t="shared" si="53"/>
        <v/>
      </c>
      <c r="BW55" s="251" t="str">
        <f t="shared" si="54"/>
        <v/>
      </c>
      <c r="BX55" s="251" t="str">
        <f t="shared" si="55"/>
        <v/>
      </c>
      <c r="BY55" s="251" t="str">
        <f t="shared" si="56"/>
        <v/>
      </c>
      <c r="BZ55" s="251" t="str">
        <f t="shared" si="57"/>
        <v/>
      </c>
      <c r="CA55" s="251" t="str">
        <f t="shared" si="58"/>
        <v/>
      </c>
      <c r="CB55" s="251" t="str">
        <f t="shared" si="59"/>
        <v/>
      </c>
      <c r="CC55" s="251" t="str">
        <f t="shared" si="60"/>
        <v/>
      </c>
      <c r="CD55" s="251" t="str">
        <f t="shared" si="61"/>
        <v/>
      </c>
      <c r="CE55" s="251" t="str">
        <f t="shared" si="62"/>
        <v/>
      </c>
      <c r="CF55" s="251" t="str">
        <f t="shared" si="63"/>
        <v/>
      </c>
      <c r="CG55" s="251" t="str">
        <f t="shared" si="64"/>
        <v/>
      </c>
      <c r="CH55" s="251" t="str">
        <f t="shared" si="65"/>
        <v/>
      </c>
      <c r="CI55" s="251" t="str">
        <f t="shared" si="66"/>
        <v/>
      </c>
      <c r="CJ55" s="251" t="str">
        <f t="shared" si="67"/>
        <v/>
      </c>
      <c r="CK55" s="251" t="str">
        <f t="shared" si="68"/>
        <v/>
      </c>
      <c r="CL55" s="251" t="str">
        <f t="shared" si="69"/>
        <v/>
      </c>
      <c r="CM55" s="251" t="str">
        <f t="shared" si="70"/>
        <v/>
      </c>
      <c r="CN55" s="251" t="str">
        <f t="shared" si="71"/>
        <v/>
      </c>
      <c r="CO55" s="251" t="str">
        <f t="shared" si="72"/>
        <v/>
      </c>
      <c r="CP55" s="251" t="str">
        <f t="shared" si="73"/>
        <v/>
      </c>
      <c r="CQ55" s="251" t="str">
        <f t="shared" si="74"/>
        <v/>
      </c>
      <c r="CR55" s="251" t="str">
        <f t="shared" si="75"/>
        <v/>
      </c>
      <c r="CS55" s="251" t="str">
        <f t="shared" si="76"/>
        <v/>
      </c>
      <c r="CT55" s="251" t="str">
        <f t="shared" si="77"/>
        <v/>
      </c>
      <c r="CU55" s="251" t="str">
        <f t="shared" si="78"/>
        <v/>
      </c>
      <c r="CV55" s="251" t="str">
        <f t="shared" si="79"/>
        <v/>
      </c>
      <c r="CW55" s="251" t="str">
        <f t="shared" si="80"/>
        <v/>
      </c>
      <c r="CX55" s="251" t="str">
        <f t="shared" si="81"/>
        <v/>
      </c>
      <c r="CY55" s="251" t="str">
        <f t="shared" si="82"/>
        <v/>
      </c>
      <c r="CZ55" s="251" t="str">
        <f t="shared" si="83"/>
        <v/>
      </c>
      <c r="DA55" s="251" t="str">
        <f t="shared" si="84"/>
        <v/>
      </c>
      <c r="DB55" s="251" t="str">
        <f t="shared" si="85"/>
        <v/>
      </c>
      <c r="DC55" s="251" t="str">
        <f t="shared" si="86"/>
        <v/>
      </c>
      <c r="DD55" s="251" t="str">
        <f t="shared" si="87"/>
        <v/>
      </c>
      <c r="DE55" s="251" t="str">
        <f t="shared" si="88"/>
        <v/>
      </c>
      <c r="DF55" s="251" t="str">
        <f t="shared" si="89"/>
        <v/>
      </c>
      <c r="DG55" s="251" t="str">
        <f t="shared" si="90"/>
        <v/>
      </c>
      <c r="DH55" s="251" t="str">
        <f t="shared" si="91"/>
        <v/>
      </c>
      <c r="DI55" s="251" t="str">
        <f t="shared" si="92"/>
        <v/>
      </c>
      <c r="DJ55" s="251" t="str">
        <f t="shared" si="93"/>
        <v/>
      </c>
      <c r="DK55" s="251" t="str">
        <f t="shared" si="94"/>
        <v/>
      </c>
      <c r="DL55" s="251" t="str">
        <f t="shared" si="95"/>
        <v/>
      </c>
      <c r="DM55" s="251" t="str">
        <f t="shared" si="96"/>
        <v/>
      </c>
      <c r="DN55" s="251" t="str">
        <f t="shared" si="97"/>
        <v/>
      </c>
      <c r="DO55" s="251" t="str">
        <f t="shared" si="98"/>
        <v/>
      </c>
      <c r="DP55" s="251" t="str">
        <f t="shared" si="99"/>
        <v/>
      </c>
      <c r="DQ55" s="251" t="str">
        <f t="shared" si="100"/>
        <v/>
      </c>
      <c r="DR55" s="251" t="str">
        <f t="shared" si="101"/>
        <v/>
      </c>
      <c r="DS55" s="251" t="str">
        <f t="shared" si="102"/>
        <v/>
      </c>
      <c r="DT55" s="251" t="str">
        <f t="shared" si="103"/>
        <v/>
      </c>
      <c r="DU55" s="251" t="str">
        <f t="shared" si="104"/>
        <v/>
      </c>
      <c r="DV55" s="251" t="str">
        <f t="shared" si="105"/>
        <v/>
      </c>
      <c r="DW55" s="251" t="str">
        <f t="shared" si="106"/>
        <v/>
      </c>
      <c r="DX55" s="251" t="str">
        <f t="shared" si="107"/>
        <v/>
      </c>
      <c r="DY55" s="251" t="str">
        <f t="shared" si="108"/>
        <v/>
      </c>
      <c r="DZ55" s="251" t="str">
        <f t="shared" si="109"/>
        <v/>
      </c>
      <c r="EA55" s="251" t="str">
        <f t="shared" si="110"/>
        <v/>
      </c>
      <c r="EB55" s="251" t="str">
        <f t="shared" si="111"/>
        <v/>
      </c>
      <c r="EC55" s="251" t="str">
        <f t="shared" si="112"/>
        <v/>
      </c>
      <c r="ED55" s="251" t="str">
        <f t="shared" si="113"/>
        <v/>
      </c>
      <c r="EE55" s="251" t="str">
        <f t="shared" si="114"/>
        <v/>
      </c>
      <c r="EF55" s="251" t="str">
        <f t="shared" si="115"/>
        <v/>
      </c>
      <c r="EG55" s="251" t="str">
        <f t="shared" si="116"/>
        <v/>
      </c>
      <c r="EH55" s="251" t="str">
        <f t="shared" si="117"/>
        <v/>
      </c>
      <c r="EI55" s="251" t="str">
        <f t="shared" si="118"/>
        <v/>
      </c>
      <c r="EJ55" s="251" t="str">
        <f t="shared" si="119"/>
        <v/>
      </c>
      <c r="EK55" s="251" t="str">
        <f t="shared" si="120"/>
        <v/>
      </c>
      <c r="EL55" s="251" t="str">
        <f t="shared" si="121"/>
        <v/>
      </c>
      <c r="EM55" s="251" t="str">
        <f t="shared" si="122"/>
        <v/>
      </c>
      <c r="EN55" s="251" t="str">
        <f t="shared" si="123"/>
        <v/>
      </c>
      <c r="EO55" s="251" t="str">
        <f t="shared" si="124"/>
        <v/>
      </c>
      <c r="EP55" s="251" t="str">
        <f t="shared" si="125"/>
        <v/>
      </c>
      <c r="EQ55" s="251" t="str">
        <f t="shared" si="126"/>
        <v/>
      </c>
      <c r="ER55" s="251" t="str">
        <f t="shared" si="127"/>
        <v/>
      </c>
      <c r="ES55" s="251" t="str">
        <f t="shared" si="128"/>
        <v/>
      </c>
      <c r="ET55" s="251" t="str">
        <f t="shared" si="129"/>
        <v/>
      </c>
      <c r="EU55" s="251" t="str">
        <f t="shared" si="130"/>
        <v/>
      </c>
      <c r="EV55" s="251" t="str">
        <f t="shared" si="131"/>
        <v/>
      </c>
      <c r="EW55" s="251" t="str">
        <f t="shared" si="132"/>
        <v/>
      </c>
      <c r="EX55" s="251" t="str">
        <f t="shared" si="133"/>
        <v/>
      </c>
      <c r="EY55" s="251" t="str">
        <f t="shared" si="134"/>
        <v/>
      </c>
      <c r="EZ55" s="251" t="str">
        <f t="shared" si="135"/>
        <v/>
      </c>
      <c r="FA55" s="251" t="str">
        <f t="shared" si="136"/>
        <v/>
      </c>
      <c r="FB55" s="251" t="str">
        <f t="shared" si="137"/>
        <v/>
      </c>
      <c r="FC55" s="251" t="str">
        <f t="shared" si="138"/>
        <v/>
      </c>
      <c r="FD55" s="251" t="str">
        <f t="shared" si="139"/>
        <v/>
      </c>
      <c r="FE55" s="251" t="str">
        <f t="shared" si="140"/>
        <v/>
      </c>
      <c r="FF55" s="251" t="str">
        <f t="shared" si="141"/>
        <v/>
      </c>
      <c r="FG55" s="251" t="str">
        <f t="shared" si="142"/>
        <v/>
      </c>
      <c r="FH55" s="251" t="str">
        <f t="shared" si="143"/>
        <v/>
      </c>
      <c r="FI55" s="251" t="str">
        <f t="shared" si="144"/>
        <v/>
      </c>
      <c r="FJ55" s="251" t="str">
        <f t="shared" si="145"/>
        <v/>
      </c>
      <c r="FK55" s="251" t="str">
        <f t="shared" si="146"/>
        <v/>
      </c>
      <c r="FL55" s="251" t="str">
        <f t="shared" si="147"/>
        <v/>
      </c>
      <c r="FM55" s="251" t="str">
        <f t="shared" si="555"/>
        <v/>
      </c>
      <c r="FN55" s="251" t="str">
        <f t="shared" si="556"/>
        <v/>
      </c>
      <c r="FO55" s="251" t="str">
        <f t="shared" si="557"/>
        <v/>
      </c>
      <c r="FP55" s="251" t="str">
        <f t="shared" si="558"/>
        <v/>
      </c>
      <c r="FQ55" s="251" t="str">
        <f t="shared" si="559"/>
        <v/>
      </c>
      <c r="FR55" s="251" t="str">
        <f t="shared" si="153"/>
        <v/>
      </c>
      <c r="FS55" s="251" t="str">
        <f t="shared" si="154"/>
        <v/>
      </c>
      <c r="FT55" s="251" t="str">
        <f t="shared" si="155"/>
        <v/>
      </c>
      <c r="FU55" s="251" t="str">
        <f t="shared" si="156"/>
        <v/>
      </c>
      <c r="FV55" s="251" t="str">
        <f t="shared" si="157"/>
        <v/>
      </c>
      <c r="FW55" s="251" t="str">
        <f t="shared" si="158"/>
        <v/>
      </c>
      <c r="FX55" s="251" t="str">
        <f t="shared" si="159"/>
        <v/>
      </c>
      <c r="FY55" s="251" t="str">
        <f t="shared" si="160"/>
        <v/>
      </c>
      <c r="FZ55" s="251" t="str">
        <f t="shared" si="161"/>
        <v/>
      </c>
      <c r="GA55" s="251" t="str">
        <f t="shared" si="162"/>
        <v/>
      </c>
      <c r="GB55" s="251" t="str">
        <f t="shared" si="163"/>
        <v/>
      </c>
      <c r="GC55" s="251" t="str">
        <f t="shared" si="164"/>
        <v/>
      </c>
      <c r="GD55" s="251" t="str">
        <f t="shared" si="165"/>
        <v/>
      </c>
      <c r="GE55" s="251" t="str">
        <f t="shared" si="166"/>
        <v/>
      </c>
      <c r="GF55" s="251" t="str">
        <f t="shared" si="167"/>
        <v/>
      </c>
      <c r="GG55" s="251" t="str">
        <f t="shared" si="168"/>
        <v/>
      </c>
      <c r="GH55" s="251" t="str">
        <f t="shared" si="169"/>
        <v/>
      </c>
      <c r="GI55" s="251" t="str">
        <f t="shared" si="170"/>
        <v/>
      </c>
      <c r="GJ55" s="251" t="str">
        <f t="shared" si="171"/>
        <v/>
      </c>
      <c r="GK55" s="251" t="str">
        <f t="shared" si="172"/>
        <v/>
      </c>
      <c r="GL55" s="251" t="str">
        <f t="shared" si="173"/>
        <v/>
      </c>
      <c r="GM55" s="251" t="str">
        <f t="shared" si="174"/>
        <v/>
      </c>
      <c r="GN55" s="251" t="str">
        <f t="shared" si="175"/>
        <v/>
      </c>
      <c r="GO55" s="251" t="str">
        <f t="shared" si="176"/>
        <v/>
      </c>
      <c r="GP55" s="251" t="str">
        <f t="shared" si="177"/>
        <v/>
      </c>
      <c r="GQ55" s="251" t="str">
        <f t="shared" si="178"/>
        <v/>
      </c>
      <c r="GR55" s="251" t="str">
        <f t="shared" si="179"/>
        <v/>
      </c>
      <c r="GS55" s="251" t="str">
        <f t="shared" si="180"/>
        <v/>
      </c>
      <c r="GT55" s="251" t="str">
        <f t="shared" si="181"/>
        <v/>
      </c>
      <c r="GU55" s="251" t="str">
        <f t="shared" si="182"/>
        <v/>
      </c>
      <c r="GV55" s="251" t="str">
        <f t="shared" si="183"/>
        <v/>
      </c>
      <c r="GW55" s="251" t="str">
        <f t="shared" si="184"/>
        <v/>
      </c>
      <c r="GX55" s="251" t="str">
        <f t="shared" si="185"/>
        <v/>
      </c>
      <c r="GY55" s="251" t="str">
        <f t="shared" si="186"/>
        <v/>
      </c>
      <c r="GZ55" s="251" t="str">
        <f t="shared" si="187"/>
        <v/>
      </c>
      <c r="HA55" s="251" t="str">
        <f t="shared" si="560"/>
        <v/>
      </c>
      <c r="HB55" s="251" t="str">
        <f t="shared" si="561"/>
        <v/>
      </c>
      <c r="HC55" s="251" t="str">
        <f t="shared" si="562"/>
        <v/>
      </c>
      <c r="HD55" s="251" t="str">
        <f t="shared" si="563"/>
        <v/>
      </c>
      <c r="HE55" s="251" t="str">
        <f t="shared" si="564"/>
        <v/>
      </c>
      <c r="HF55" s="251" t="str">
        <f t="shared" si="565"/>
        <v/>
      </c>
      <c r="HG55" s="251" t="str">
        <f t="shared" si="566"/>
        <v/>
      </c>
      <c r="HH55" s="251" t="str">
        <f t="shared" si="567"/>
        <v/>
      </c>
      <c r="HI55" s="251" t="str">
        <f t="shared" si="568"/>
        <v/>
      </c>
      <c r="HJ55" s="251" t="str">
        <f t="shared" si="569"/>
        <v/>
      </c>
      <c r="HK55" s="251" t="str">
        <f t="shared" si="570"/>
        <v/>
      </c>
      <c r="HL55" s="251" t="str">
        <f t="shared" si="571"/>
        <v/>
      </c>
      <c r="HM55" s="251" t="str">
        <f t="shared" si="572"/>
        <v/>
      </c>
      <c r="HN55" s="251" t="str">
        <f t="shared" si="573"/>
        <v/>
      </c>
      <c r="HO55" s="251" t="str">
        <f t="shared" si="574"/>
        <v/>
      </c>
      <c r="HP55" s="251" t="str">
        <f t="shared" si="203"/>
        <v/>
      </c>
      <c r="HQ55" s="251" t="str">
        <f t="shared" si="204"/>
        <v/>
      </c>
      <c r="HR55" s="251" t="str">
        <f t="shared" si="205"/>
        <v/>
      </c>
      <c r="HS55" s="251" t="str">
        <f t="shared" si="206"/>
        <v/>
      </c>
      <c r="HT55" s="251" t="str">
        <f t="shared" si="207"/>
        <v/>
      </c>
      <c r="HU55" s="251" t="str">
        <f t="shared" si="208"/>
        <v/>
      </c>
      <c r="HV55" s="251" t="str">
        <f t="shared" si="209"/>
        <v/>
      </c>
      <c r="HW55" s="251" t="str">
        <f t="shared" si="210"/>
        <v/>
      </c>
      <c r="HX55" s="251" t="str">
        <f t="shared" si="211"/>
        <v/>
      </c>
      <c r="HY55" s="251" t="str">
        <f t="shared" si="212"/>
        <v/>
      </c>
      <c r="HZ55" s="251" t="str">
        <f t="shared" si="213"/>
        <v/>
      </c>
      <c r="IA55" s="251" t="str">
        <f t="shared" si="214"/>
        <v/>
      </c>
      <c r="IB55" s="251" t="str">
        <f t="shared" si="215"/>
        <v/>
      </c>
      <c r="IC55" s="251" t="str">
        <f t="shared" si="216"/>
        <v/>
      </c>
      <c r="ID55" s="251" t="str">
        <f t="shared" si="217"/>
        <v/>
      </c>
      <c r="IE55" s="251" t="str">
        <f t="shared" si="218"/>
        <v/>
      </c>
      <c r="IF55" s="251" t="str">
        <f t="shared" si="219"/>
        <v/>
      </c>
      <c r="IG55" s="251" t="str">
        <f t="shared" si="220"/>
        <v/>
      </c>
      <c r="IH55" s="251" t="str">
        <f t="shared" si="221"/>
        <v/>
      </c>
      <c r="II55" s="251" t="str">
        <f t="shared" si="222"/>
        <v/>
      </c>
      <c r="IJ55" s="251" t="str">
        <f t="shared" si="223"/>
        <v/>
      </c>
      <c r="IK55" s="251" t="str">
        <f t="shared" si="224"/>
        <v/>
      </c>
      <c r="IL55" s="251" t="str">
        <f t="shared" si="225"/>
        <v/>
      </c>
      <c r="IM55" s="251" t="str">
        <f t="shared" si="226"/>
        <v/>
      </c>
      <c r="IN55" s="251" t="str">
        <f t="shared" si="227"/>
        <v/>
      </c>
      <c r="IO55" s="251" t="str">
        <f t="shared" si="228"/>
        <v/>
      </c>
      <c r="IP55" s="251" t="str">
        <f t="shared" si="229"/>
        <v/>
      </c>
      <c r="IQ55" s="251" t="str">
        <f t="shared" si="230"/>
        <v/>
      </c>
      <c r="IR55" s="251" t="str">
        <f t="shared" si="231"/>
        <v/>
      </c>
      <c r="IS55" s="251" t="str">
        <f t="shared" si="232"/>
        <v/>
      </c>
      <c r="IT55" s="251" t="str">
        <f t="shared" si="233"/>
        <v/>
      </c>
      <c r="IU55" s="251" t="str">
        <f t="shared" si="234"/>
        <v/>
      </c>
      <c r="IV55" s="251" t="str">
        <f t="shared" si="235"/>
        <v/>
      </c>
      <c r="IW55" s="251" t="str">
        <f t="shared" si="236"/>
        <v/>
      </c>
      <c r="IX55" s="251" t="str">
        <f t="shared" si="237"/>
        <v/>
      </c>
      <c r="IY55" s="251" t="str">
        <f t="shared" si="238"/>
        <v/>
      </c>
      <c r="IZ55" s="251" t="str">
        <f t="shared" si="239"/>
        <v/>
      </c>
      <c r="JA55" s="251" t="str">
        <f t="shared" si="240"/>
        <v/>
      </c>
      <c r="JB55" s="251" t="str">
        <f t="shared" si="241"/>
        <v/>
      </c>
      <c r="JC55" s="251" t="str">
        <f t="shared" si="242"/>
        <v/>
      </c>
      <c r="JD55" s="251" t="str">
        <f t="shared" si="243"/>
        <v/>
      </c>
      <c r="JE55" s="251" t="str">
        <f t="shared" si="244"/>
        <v/>
      </c>
      <c r="JF55" s="251" t="str">
        <f t="shared" si="245"/>
        <v/>
      </c>
      <c r="JG55" s="251" t="str">
        <f t="shared" si="246"/>
        <v/>
      </c>
      <c r="JH55" s="251" t="str">
        <f t="shared" si="247"/>
        <v/>
      </c>
      <c r="JI55" s="1297" t="str">
        <f t="shared" si="248"/>
        <v/>
      </c>
      <c r="JJ55" s="1297" t="str">
        <f t="shared" si="249"/>
        <v/>
      </c>
      <c r="JK55" s="1297" t="str">
        <f t="shared" si="250"/>
        <v/>
      </c>
      <c r="JL55" s="1297" t="str">
        <f t="shared" si="251"/>
        <v/>
      </c>
      <c r="JM55" s="1297" t="str">
        <f t="shared" si="252"/>
        <v/>
      </c>
      <c r="JN55" s="1297" t="str">
        <f t="shared" si="253"/>
        <v/>
      </c>
      <c r="JO55" s="1297" t="str">
        <f t="shared" si="254"/>
        <v/>
      </c>
      <c r="JP55" s="1297" t="str">
        <f t="shared" si="255"/>
        <v/>
      </c>
      <c r="JQ55" s="1297" t="str">
        <f t="shared" si="256"/>
        <v/>
      </c>
      <c r="JR55" s="1297" t="str">
        <f t="shared" si="257"/>
        <v/>
      </c>
      <c r="JS55" s="1297" t="str">
        <f t="shared" si="258"/>
        <v/>
      </c>
      <c r="JT55" s="1297" t="str">
        <f t="shared" si="259"/>
        <v/>
      </c>
      <c r="JU55" s="1297" t="str">
        <f t="shared" si="260"/>
        <v/>
      </c>
      <c r="JV55" s="1297" t="str">
        <f t="shared" si="261"/>
        <v/>
      </c>
      <c r="JW55" s="1297" t="str">
        <f t="shared" si="262"/>
        <v/>
      </c>
      <c r="JX55" s="1297" t="str">
        <f t="shared" si="263"/>
        <v/>
      </c>
      <c r="JY55" s="1297" t="str">
        <f t="shared" si="264"/>
        <v/>
      </c>
      <c r="JZ55" s="1297" t="str">
        <f t="shared" si="265"/>
        <v/>
      </c>
      <c r="KA55" s="1297" t="str">
        <f t="shared" si="266"/>
        <v/>
      </c>
      <c r="KB55" s="1297" t="str">
        <f t="shared" si="267"/>
        <v/>
      </c>
      <c r="KC55" s="1297" t="str">
        <f t="shared" si="268"/>
        <v/>
      </c>
      <c r="KD55" s="1297" t="str">
        <f t="shared" si="269"/>
        <v/>
      </c>
      <c r="KE55" s="1297" t="str">
        <f t="shared" si="270"/>
        <v/>
      </c>
      <c r="KF55" s="1297" t="str">
        <f t="shared" si="271"/>
        <v/>
      </c>
      <c r="KG55" s="1297" t="str">
        <f t="shared" si="272"/>
        <v/>
      </c>
      <c r="KH55" s="1297" t="str">
        <f t="shared" si="273"/>
        <v/>
      </c>
      <c r="KI55" s="1297" t="str">
        <f t="shared" si="274"/>
        <v/>
      </c>
      <c r="KJ55" s="1297" t="str">
        <f t="shared" si="275"/>
        <v/>
      </c>
      <c r="KK55" s="1297" t="str">
        <f t="shared" si="276"/>
        <v/>
      </c>
      <c r="KL55" s="1297" t="str">
        <f t="shared" si="277"/>
        <v/>
      </c>
      <c r="KM55" s="1297" t="str">
        <f t="shared" si="278"/>
        <v/>
      </c>
      <c r="KN55" s="1297" t="str">
        <f t="shared" si="279"/>
        <v/>
      </c>
      <c r="KO55" s="1297" t="str">
        <f t="shared" si="280"/>
        <v/>
      </c>
      <c r="KP55" s="1297" t="str">
        <f t="shared" si="281"/>
        <v/>
      </c>
      <c r="KQ55" s="1297" t="str">
        <f t="shared" si="282"/>
        <v/>
      </c>
      <c r="KR55" s="1297" t="str">
        <f t="shared" si="283"/>
        <v/>
      </c>
      <c r="KS55" s="1297" t="str">
        <f t="shared" si="284"/>
        <v/>
      </c>
      <c r="KT55" s="1297" t="str">
        <f t="shared" si="285"/>
        <v/>
      </c>
      <c r="KU55" s="1297" t="str">
        <f t="shared" si="286"/>
        <v/>
      </c>
      <c r="KV55" s="1297" t="str">
        <f t="shared" si="287"/>
        <v/>
      </c>
      <c r="KW55" s="1297" t="str">
        <f t="shared" si="288"/>
        <v/>
      </c>
      <c r="KX55" s="1297" t="str">
        <f t="shared" si="289"/>
        <v/>
      </c>
      <c r="KY55" s="1297" t="str">
        <f t="shared" si="290"/>
        <v/>
      </c>
      <c r="KZ55" s="1297" t="str">
        <f t="shared" si="291"/>
        <v/>
      </c>
      <c r="LA55" s="1297" t="str">
        <f t="shared" si="292"/>
        <v/>
      </c>
      <c r="LB55" s="1297" t="str">
        <f t="shared" si="293"/>
        <v/>
      </c>
      <c r="LC55" s="1297" t="str">
        <f t="shared" si="294"/>
        <v/>
      </c>
      <c r="LD55" s="1297" t="str">
        <f t="shared" si="295"/>
        <v/>
      </c>
      <c r="LE55" s="1297" t="str">
        <f t="shared" si="296"/>
        <v/>
      </c>
      <c r="LF55" s="1297" t="str">
        <f t="shared" si="297"/>
        <v/>
      </c>
      <c r="LG55" s="1297" t="str">
        <f t="shared" si="298"/>
        <v/>
      </c>
      <c r="LH55" s="1297" t="str">
        <f t="shared" si="299"/>
        <v/>
      </c>
      <c r="LI55" s="1297" t="str">
        <f t="shared" si="300"/>
        <v/>
      </c>
      <c r="LJ55" s="1297" t="str">
        <f t="shared" si="301"/>
        <v/>
      </c>
      <c r="LK55" s="1297" t="str">
        <f t="shared" si="302"/>
        <v/>
      </c>
      <c r="LL55" s="1297" t="str">
        <f t="shared" si="303"/>
        <v/>
      </c>
      <c r="LM55" s="1297" t="str">
        <f t="shared" si="304"/>
        <v/>
      </c>
      <c r="LN55" s="1297" t="str">
        <f t="shared" si="305"/>
        <v/>
      </c>
      <c r="LO55" s="1297" t="str">
        <f t="shared" si="306"/>
        <v/>
      </c>
      <c r="LP55" s="1297" t="str">
        <f t="shared" si="307"/>
        <v/>
      </c>
      <c r="LQ55" s="1297" t="str">
        <f t="shared" si="308"/>
        <v/>
      </c>
      <c r="LR55" s="1297" t="str">
        <f t="shared" si="309"/>
        <v/>
      </c>
      <c r="LS55" s="1297" t="str">
        <f t="shared" si="310"/>
        <v/>
      </c>
      <c r="LT55" s="1297" t="str">
        <f t="shared" si="311"/>
        <v/>
      </c>
      <c r="LU55" s="1297" t="str">
        <f t="shared" si="312"/>
        <v/>
      </c>
      <c r="LV55" s="1297" t="str">
        <f t="shared" si="313"/>
        <v/>
      </c>
      <c r="LW55" s="1297" t="str">
        <f t="shared" si="314"/>
        <v/>
      </c>
      <c r="LX55" s="1297" t="str">
        <f t="shared" si="315"/>
        <v/>
      </c>
      <c r="LY55" s="1297" t="str">
        <f t="shared" si="316"/>
        <v/>
      </c>
      <c r="LZ55" s="1297" t="str">
        <f t="shared" si="317"/>
        <v/>
      </c>
      <c r="MA55" s="1297" t="str">
        <f t="shared" si="318"/>
        <v/>
      </c>
      <c r="MB55" s="1297" t="str">
        <f t="shared" si="319"/>
        <v/>
      </c>
      <c r="MC55" s="1297" t="str">
        <f t="shared" si="320"/>
        <v/>
      </c>
      <c r="MD55" s="1297" t="str">
        <f t="shared" si="321"/>
        <v/>
      </c>
      <c r="ME55" s="1297" t="str">
        <f t="shared" si="322"/>
        <v/>
      </c>
      <c r="MF55" s="1297" t="str">
        <f t="shared" si="323"/>
        <v/>
      </c>
      <c r="MG55" s="1297" t="str">
        <f t="shared" si="324"/>
        <v/>
      </c>
      <c r="MH55" s="1297" t="str">
        <f t="shared" si="325"/>
        <v/>
      </c>
      <c r="MI55" s="1297" t="str">
        <f t="shared" si="326"/>
        <v/>
      </c>
      <c r="MJ55" s="1297" t="str">
        <f t="shared" si="327"/>
        <v/>
      </c>
      <c r="MK55" s="1297" t="str">
        <f t="shared" si="328"/>
        <v/>
      </c>
      <c r="ML55" s="1297" t="str">
        <f t="shared" si="329"/>
        <v/>
      </c>
      <c r="MM55" s="1297" t="str">
        <f t="shared" si="330"/>
        <v/>
      </c>
      <c r="MN55" s="1297" t="str">
        <f t="shared" si="331"/>
        <v/>
      </c>
      <c r="MO55" s="1297" t="str">
        <f t="shared" si="332"/>
        <v/>
      </c>
      <c r="MP55" s="1773" t="str">
        <f t="shared" si="333"/>
        <v/>
      </c>
      <c r="MQ55" s="1773" t="str">
        <f t="shared" si="334"/>
        <v/>
      </c>
      <c r="MR55" s="1773" t="str">
        <f t="shared" si="335"/>
        <v/>
      </c>
      <c r="MS55" s="1773" t="str">
        <f t="shared" si="336"/>
        <v/>
      </c>
      <c r="MT55" s="1773" t="str">
        <f t="shared" si="337"/>
        <v/>
      </c>
      <c r="MU55" s="251" t="str">
        <f t="shared" si="575"/>
        <v/>
      </c>
      <c r="MV55" s="251" t="str">
        <f t="shared" si="576"/>
        <v/>
      </c>
      <c r="MW55" s="251" t="str">
        <f t="shared" si="577"/>
        <v/>
      </c>
      <c r="MX55" s="251" t="str">
        <f t="shared" si="578"/>
        <v/>
      </c>
      <c r="MY55" s="251" t="str">
        <f t="shared" si="579"/>
        <v/>
      </c>
      <c r="MZ55" s="251" t="str">
        <f t="shared" si="343"/>
        <v/>
      </c>
      <c r="NA55" s="251" t="str">
        <f t="shared" si="344"/>
        <v/>
      </c>
      <c r="NB55" s="251" t="str">
        <f t="shared" si="345"/>
        <v/>
      </c>
      <c r="NC55" s="251" t="str">
        <f t="shared" si="346"/>
        <v/>
      </c>
      <c r="ND55" s="251" t="str">
        <f t="shared" si="347"/>
        <v/>
      </c>
      <c r="NE55" s="251" t="str">
        <f t="shared" si="348"/>
        <v/>
      </c>
      <c r="NF55" s="251" t="str">
        <f t="shared" si="349"/>
        <v/>
      </c>
      <c r="NG55" s="251" t="str">
        <f t="shared" si="350"/>
        <v/>
      </c>
      <c r="NH55" s="251" t="str">
        <f t="shared" si="351"/>
        <v/>
      </c>
      <c r="NI55" s="251" t="str">
        <f t="shared" si="352"/>
        <v/>
      </c>
      <c r="NJ55" s="251" t="str">
        <f t="shared" si="353"/>
        <v/>
      </c>
      <c r="NK55" s="251" t="str">
        <f t="shared" si="354"/>
        <v/>
      </c>
      <c r="NL55" s="251" t="str">
        <f t="shared" si="355"/>
        <v/>
      </c>
      <c r="NM55" s="251" t="str">
        <f t="shared" si="356"/>
        <v/>
      </c>
      <c r="NN55" s="251" t="str">
        <f t="shared" si="357"/>
        <v/>
      </c>
      <c r="NO55" s="1185">
        <f t="shared" si="358"/>
        <v>0</v>
      </c>
      <c r="NP55" s="1185">
        <f t="shared" si="359"/>
        <v>0</v>
      </c>
      <c r="NQ55" s="1185">
        <f t="shared" si="360"/>
        <v>0</v>
      </c>
      <c r="NR55" s="1185">
        <f t="shared" si="361"/>
        <v>0</v>
      </c>
      <c r="NS55" s="1185">
        <f t="shared" si="362"/>
        <v>0</v>
      </c>
      <c r="NT55" s="1185">
        <f t="shared" si="368"/>
        <v>0</v>
      </c>
      <c r="NU55" s="1185">
        <f t="shared" si="369"/>
        <v>0</v>
      </c>
      <c r="NV55" s="1185">
        <f t="shared" si="370"/>
        <v>0</v>
      </c>
      <c r="NW55" s="1185">
        <f t="shared" si="371"/>
        <v>0</v>
      </c>
      <c r="NX55" s="1185">
        <f t="shared" si="372"/>
        <v>0</v>
      </c>
      <c r="NY55" s="1185">
        <f t="shared" si="363"/>
        <v>0</v>
      </c>
      <c r="NZ55" s="1185">
        <f t="shared" si="364"/>
        <v>0</v>
      </c>
      <c r="OA55" s="1185">
        <f t="shared" si="365"/>
        <v>0</v>
      </c>
      <c r="OB55" s="1185">
        <f t="shared" si="366"/>
        <v>0</v>
      </c>
      <c r="OC55" s="1185">
        <f t="shared" si="367"/>
        <v>0</v>
      </c>
      <c r="OY55" s="1794" t="s">
        <v>1195</v>
      </c>
      <c r="OZ55" s="1798">
        <v>51</v>
      </c>
    </row>
    <row r="56" spans="1:416" ht="12" customHeight="1">
      <c r="A56" s="53" t="str">
        <f t="shared" ref="A56" si="580">IF(AND(E56&gt;0,OR(B56="",C56="",D56="",F56="",G56="", H56="",I56="",N56="",O56="",P56="",Q56="")),1,"")</f>
        <v/>
      </c>
      <c r="B56" s="782"/>
      <c r="C56" s="85"/>
      <c r="D56" s="1187"/>
      <c r="E56" s="86"/>
      <c r="F56" s="86"/>
      <c r="G56" s="86"/>
      <c r="H56" s="86"/>
      <c r="I56" s="86"/>
      <c r="J56" s="765">
        <f>IF(C56="",0,HLOOKUP(C56,'Part IV-Utility Allowances'!$I$11:$M$25,15))</f>
        <v>0</v>
      </c>
      <c r="K56" s="473"/>
      <c r="L56" s="330">
        <f t="shared" ref="L56" si="581">MAX(0,H56-I56-J56)</f>
        <v>0</v>
      </c>
      <c r="M56" s="330">
        <f t="shared" ref="M56" si="582">MAX(0,E56*L56)</f>
        <v>0</v>
      </c>
      <c r="N56" s="506"/>
      <c r="O56" s="1134"/>
      <c r="P56" s="506"/>
      <c r="Q56" s="87"/>
      <c r="R56" s="540"/>
      <c r="S56" s="541"/>
      <c r="T56" s="3758"/>
      <c r="U56" s="3759"/>
      <c r="V56" s="3759"/>
      <c r="W56" s="3760"/>
      <c r="X56" s="251" t="str">
        <f t="shared" ref="X56" si="583">IF(AND(C56="Efficiency",B56=80,NOT(N56="Common Space")),E56,"")</f>
        <v/>
      </c>
      <c r="Y56" s="251" t="str">
        <f t="shared" ref="Y56" si="584">IF(AND(C56=1,B56=80,NOT(N56="Common Space")),E56,"")</f>
        <v/>
      </c>
      <c r="Z56" s="251" t="str">
        <f t="shared" ref="Z56" si="585">IF(AND(C56=2,B56=80,NOT(N56="Common Space")),E56,"")</f>
        <v/>
      </c>
      <c r="AA56" s="251" t="str">
        <f t="shared" ref="AA56" si="586">IF(AND(C56=3,B56=80,NOT(N56="Common Space")),E56,"")</f>
        <v/>
      </c>
      <c r="AB56" s="251" t="str">
        <f t="shared" ref="AB56" si="587">IF(AND(C56=4,B56=80,NOT(N56="Common Space")),E56,"")</f>
        <v/>
      </c>
      <c r="AC56" s="251" t="str">
        <f t="shared" ref="AC56" si="588">IF(AND(C56="Efficiency",B56=70,NOT(N56="Common Space")),E56,"")</f>
        <v/>
      </c>
      <c r="AD56" s="251" t="str">
        <f t="shared" ref="AD56" si="589">IF(AND(C56=1,B56=70,NOT(N56="Common Space")),E56,"")</f>
        <v/>
      </c>
      <c r="AE56" s="251" t="str">
        <f t="shared" ref="AE56" si="590">IF(AND(C56=2,B56=70,NOT(N56="Common Space")),E56,"")</f>
        <v/>
      </c>
      <c r="AF56" s="251" t="str">
        <f t="shared" ref="AF56" si="591">IF(AND(C56=3,B56=70,NOT(N56="Common Space")),E56,"")</f>
        <v/>
      </c>
      <c r="AG56" s="251" t="str">
        <f t="shared" ref="AG56" si="592">IF(AND(C56=4,B56=70,NOT(N56="Common Space")),E56,"")</f>
        <v/>
      </c>
      <c r="AH56" s="251" t="str">
        <f t="shared" ref="AH56" si="593">IF(AND(C56="Efficiency",B56=60,NOT(N56="Common Space")),E56,"")</f>
        <v/>
      </c>
      <c r="AI56" s="251" t="str">
        <f t="shared" ref="AI56" si="594">IF(AND(C56=1,B56=60,NOT(N56="Common Space")),E56,"")</f>
        <v/>
      </c>
      <c r="AJ56" s="251" t="str">
        <f t="shared" ref="AJ56" si="595">IF(AND(C56=2,B56=60,NOT(N56="Common Space")),E56,"")</f>
        <v/>
      </c>
      <c r="AK56" s="251" t="str">
        <f t="shared" ref="AK56" si="596">IF(AND(C56=3,B56=60,NOT(N56="Common Space")),E56,"")</f>
        <v/>
      </c>
      <c r="AL56" s="251" t="str">
        <f t="shared" ref="AL56" si="597">IF(AND(C56=4,B56=60,NOT(N56="Common Space")),E56,"")</f>
        <v/>
      </c>
      <c r="AM56" s="251" t="str">
        <f t="shared" ref="AM56" si="598">IF(AND(C56="Efficiency",B56=50,NOT(N56="Common Space")),E56,"")</f>
        <v/>
      </c>
      <c r="AN56" s="251" t="str">
        <f t="shared" ref="AN56" si="599">IF(AND(C56=1,B56=50,NOT(N56="Common Space")),E56,"")</f>
        <v/>
      </c>
      <c r="AO56" s="251" t="str">
        <f t="shared" ref="AO56" si="600">IF(AND(C56=2,B56=50,NOT(N56="Common Space")),E56,"")</f>
        <v/>
      </c>
      <c r="AP56" s="251" t="str">
        <f t="shared" ref="AP56" si="601">IF(AND(C56=3,B56=50,NOT(N56="Common Space")),E56,"")</f>
        <v/>
      </c>
      <c r="AQ56" s="251" t="str">
        <f t="shared" ref="AQ56" si="602">IF(AND(C56=4,B56=50,NOT(N56="Common Space")),E56,"")</f>
        <v/>
      </c>
      <c r="AR56" s="251" t="str">
        <f t="shared" ref="AR56" si="603">IF(AND(C56="Efficiency",B56=40,NOT(N56="Common Space")),E56,"")</f>
        <v/>
      </c>
      <c r="AS56" s="251" t="str">
        <f t="shared" ref="AS56" si="604">IF(AND(C56=1,B56=40,NOT(N56="Common Space")),E56,"")</f>
        <v/>
      </c>
      <c r="AT56" s="251" t="str">
        <f t="shared" ref="AT56" si="605">IF(AND(C56=2,B56=40,NOT(N56="Common Space")),E56,"")</f>
        <v/>
      </c>
      <c r="AU56" s="251" t="str">
        <f t="shared" ref="AU56" si="606">IF(AND(C56=3,B56=40,NOT(N56="Common Space")),E56,"")</f>
        <v/>
      </c>
      <c r="AV56" s="251" t="str">
        <f t="shared" ref="AV56" si="607">IF(AND(C56=4,B56=40,NOT(N56="Common Space")),E56,"")</f>
        <v/>
      </c>
      <c r="AW56" s="251" t="str">
        <f t="shared" ref="AW56" si="608">IF(AND(C56="Efficiency",B56=30,NOT(N56="Common Space")),E56,"")</f>
        <v/>
      </c>
      <c r="AX56" s="251" t="str">
        <f t="shared" ref="AX56" si="609">IF(AND(C56=1,B56=30,NOT(N56="Common Space")),E56,"")</f>
        <v/>
      </c>
      <c r="AY56" s="251" t="str">
        <f t="shared" ref="AY56" si="610">IF(AND(C56=2,B56=30,NOT(N56="Common Space")),E56,"")</f>
        <v/>
      </c>
      <c r="AZ56" s="251" t="str">
        <f t="shared" ref="AZ56" si="611">IF(AND(C56=3,B56=30,NOT(N56="Common Space")),E56,"")</f>
        <v/>
      </c>
      <c r="BA56" s="251" t="str">
        <f t="shared" ref="BA56" si="612">IF(AND(C56=4,B56=30,NOT(N56="Common Space")),E56,"")</f>
        <v/>
      </c>
      <c r="BB56" s="251" t="str">
        <f t="shared" ref="BB56" si="613">IF(AND(C56="Efficiency",B56=20,NOT(N56="Common Space")),E56,"")</f>
        <v/>
      </c>
      <c r="BC56" s="251" t="str">
        <f t="shared" ref="BC56" si="614">IF(AND(C56=1,B56=20,NOT(N56="Common Space")),E56,"")</f>
        <v/>
      </c>
      <c r="BD56" s="251" t="str">
        <f t="shared" ref="BD56" si="615">IF(AND(C56=2,B56=20,NOT(N56="Common Space")),E56,"")</f>
        <v/>
      </c>
      <c r="BE56" s="251" t="str">
        <f t="shared" ref="BE56" si="616">IF(AND(C56=3,B56=20,NOT(N56="Common Space")),E56,"")</f>
        <v/>
      </c>
      <c r="BF56" s="251" t="str">
        <f t="shared" ref="BF56" si="617">IF(AND(C56=4,B56=20,NOT(N56="Common Space")),E56,"")</f>
        <v/>
      </c>
      <c r="BG56" s="251" t="str">
        <f t="shared" ref="BG56" si="618">IF(AND(C56="Efficiency",B56="Unrestricted",NOT(N56="Common Space")),E56,"")</f>
        <v/>
      </c>
      <c r="BH56" s="251" t="str">
        <f t="shared" ref="BH56" si="619">IF(AND(C56=1,B56="Unrestricted",NOT(N56="Common Space")),E56,"")</f>
        <v/>
      </c>
      <c r="BI56" s="251" t="str">
        <f t="shared" ref="BI56" si="620">IF(AND(C56=2,B56="Unrestricted",NOT(N56="Common Space")),E56,"")</f>
        <v/>
      </c>
      <c r="BJ56" s="251" t="str">
        <f t="shared" ref="BJ56" si="621">IF(AND(C56=3,B56="Unrestricted",NOT(N56="Common Space")),E56,"")</f>
        <v/>
      </c>
      <c r="BK56" s="251" t="str">
        <f t="shared" ref="BK56" si="622">IF(AND(C56=4,B56="Unrestricted",NOT(N56="Common Space")),E56,"")</f>
        <v/>
      </c>
      <c r="BL56" s="251" t="str">
        <f t="shared" si="43"/>
        <v/>
      </c>
      <c r="BM56" s="251" t="str">
        <f t="shared" si="44"/>
        <v/>
      </c>
      <c r="BN56" s="251" t="str">
        <f t="shared" si="45"/>
        <v/>
      </c>
      <c r="BO56" s="251" t="str">
        <f t="shared" si="46"/>
        <v/>
      </c>
      <c r="BP56" s="251" t="str">
        <f t="shared" si="47"/>
        <v/>
      </c>
      <c r="BQ56" s="251" t="str">
        <f t="shared" si="48"/>
        <v/>
      </c>
      <c r="BR56" s="251" t="str">
        <f t="shared" si="49"/>
        <v/>
      </c>
      <c r="BS56" s="251" t="str">
        <f t="shared" si="50"/>
        <v/>
      </c>
      <c r="BT56" s="251" t="str">
        <f t="shared" si="51"/>
        <v/>
      </c>
      <c r="BU56" s="251" t="str">
        <f t="shared" si="52"/>
        <v/>
      </c>
      <c r="BV56" s="251" t="str">
        <f t="shared" si="53"/>
        <v/>
      </c>
      <c r="BW56" s="251" t="str">
        <f t="shared" si="54"/>
        <v/>
      </c>
      <c r="BX56" s="251" t="str">
        <f t="shared" si="55"/>
        <v/>
      </c>
      <c r="BY56" s="251" t="str">
        <f t="shared" si="56"/>
        <v/>
      </c>
      <c r="BZ56" s="251" t="str">
        <f t="shared" si="57"/>
        <v/>
      </c>
      <c r="CA56" s="251" t="str">
        <f t="shared" si="58"/>
        <v/>
      </c>
      <c r="CB56" s="251" t="str">
        <f t="shared" si="59"/>
        <v/>
      </c>
      <c r="CC56" s="251" t="str">
        <f t="shared" si="60"/>
        <v/>
      </c>
      <c r="CD56" s="251" t="str">
        <f t="shared" si="61"/>
        <v/>
      </c>
      <c r="CE56" s="251" t="str">
        <f t="shared" si="62"/>
        <v/>
      </c>
      <c r="CF56" s="251" t="str">
        <f t="shared" si="63"/>
        <v/>
      </c>
      <c r="CG56" s="251" t="str">
        <f t="shared" si="64"/>
        <v/>
      </c>
      <c r="CH56" s="251" t="str">
        <f t="shared" si="65"/>
        <v/>
      </c>
      <c r="CI56" s="251" t="str">
        <f t="shared" si="66"/>
        <v/>
      </c>
      <c r="CJ56" s="251" t="str">
        <f t="shared" si="67"/>
        <v/>
      </c>
      <c r="CK56" s="251" t="str">
        <f t="shared" si="68"/>
        <v/>
      </c>
      <c r="CL56" s="251" t="str">
        <f t="shared" si="69"/>
        <v/>
      </c>
      <c r="CM56" s="251" t="str">
        <f t="shared" si="70"/>
        <v/>
      </c>
      <c r="CN56" s="251" t="str">
        <f t="shared" si="71"/>
        <v/>
      </c>
      <c r="CO56" s="251" t="str">
        <f t="shared" si="72"/>
        <v/>
      </c>
      <c r="CP56" s="251" t="str">
        <f t="shared" si="73"/>
        <v/>
      </c>
      <c r="CQ56" s="251" t="str">
        <f t="shared" si="74"/>
        <v/>
      </c>
      <c r="CR56" s="251" t="str">
        <f t="shared" si="75"/>
        <v/>
      </c>
      <c r="CS56" s="251" t="str">
        <f t="shared" si="76"/>
        <v/>
      </c>
      <c r="CT56" s="251" t="str">
        <f t="shared" si="77"/>
        <v/>
      </c>
      <c r="CU56" s="251" t="str">
        <f t="shared" si="78"/>
        <v/>
      </c>
      <c r="CV56" s="251" t="str">
        <f t="shared" si="79"/>
        <v/>
      </c>
      <c r="CW56" s="251" t="str">
        <f t="shared" si="80"/>
        <v/>
      </c>
      <c r="CX56" s="251" t="str">
        <f t="shared" si="81"/>
        <v/>
      </c>
      <c r="CY56" s="251" t="str">
        <f t="shared" si="82"/>
        <v/>
      </c>
      <c r="CZ56" s="251" t="str">
        <f t="shared" si="83"/>
        <v/>
      </c>
      <c r="DA56" s="251" t="str">
        <f t="shared" si="84"/>
        <v/>
      </c>
      <c r="DB56" s="251" t="str">
        <f t="shared" si="85"/>
        <v/>
      </c>
      <c r="DC56" s="251" t="str">
        <f t="shared" si="86"/>
        <v/>
      </c>
      <c r="DD56" s="251" t="str">
        <f t="shared" si="87"/>
        <v/>
      </c>
      <c r="DE56" s="251" t="str">
        <f t="shared" si="88"/>
        <v/>
      </c>
      <c r="DF56" s="251" t="str">
        <f t="shared" si="89"/>
        <v/>
      </c>
      <c r="DG56" s="251" t="str">
        <f t="shared" si="90"/>
        <v/>
      </c>
      <c r="DH56" s="251" t="str">
        <f t="shared" si="91"/>
        <v/>
      </c>
      <c r="DI56" s="251" t="str">
        <f t="shared" si="92"/>
        <v/>
      </c>
      <c r="DJ56" s="251" t="str">
        <f t="shared" si="93"/>
        <v/>
      </c>
      <c r="DK56" s="251" t="str">
        <f t="shared" si="94"/>
        <v/>
      </c>
      <c r="DL56" s="251" t="str">
        <f t="shared" si="95"/>
        <v/>
      </c>
      <c r="DM56" s="251" t="str">
        <f t="shared" si="96"/>
        <v/>
      </c>
      <c r="DN56" s="251" t="str">
        <f t="shared" si="97"/>
        <v/>
      </c>
      <c r="DO56" s="251" t="str">
        <f t="shared" si="98"/>
        <v/>
      </c>
      <c r="DP56" s="251" t="str">
        <f t="shared" si="99"/>
        <v/>
      </c>
      <c r="DQ56" s="251" t="str">
        <f t="shared" si="100"/>
        <v/>
      </c>
      <c r="DR56" s="251" t="str">
        <f t="shared" si="101"/>
        <v/>
      </c>
      <c r="DS56" s="251" t="str">
        <f t="shared" si="102"/>
        <v/>
      </c>
      <c r="DT56" s="251" t="str">
        <f t="shared" si="103"/>
        <v/>
      </c>
      <c r="DU56" s="251" t="str">
        <f t="shared" si="104"/>
        <v/>
      </c>
      <c r="DV56" s="251" t="str">
        <f t="shared" si="105"/>
        <v/>
      </c>
      <c r="DW56" s="251" t="str">
        <f t="shared" si="106"/>
        <v/>
      </c>
      <c r="DX56" s="251" t="str">
        <f t="shared" si="107"/>
        <v/>
      </c>
      <c r="DY56" s="251" t="str">
        <f t="shared" si="108"/>
        <v/>
      </c>
      <c r="DZ56" s="251" t="str">
        <f t="shared" si="109"/>
        <v/>
      </c>
      <c r="EA56" s="251" t="str">
        <f t="shared" si="110"/>
        <v/>
      </c>
      <c r="EB56" s="251" t="str">
        <f t="shared" si="111"/>
        <v/>
      </c>
      <c r="EC56" s="251" t="str">
        <f t="shared" si="112"/>
        <v/>
      </c>
      <c r="ED56" s="251" t="str">
        <f t="shared" si="113"/>
        <v/>
      </c>
      <c r="EE56" s="251" t="str">
        <f t="shared" si="114"/>
        <v/>
      </c>
      <c r="EF56" s="251" t="str">
        <f t="shared" si="115"/>
        <v/>
      </c>
      <c r="EG56" s="251" t="str">
        <f t="shared" si="116"/>
        <v/>
      </c>
      <c r="EH56" s="251" t="str">
        <f t="shared" si="117"/>
        <v/>
      </c>
      <c r="EI56" s="251" t="str">
        <f t="shared" si="118"/>
        <v/>
      </c>
      <c r="EJ56" s="251" t="str">
        <f t="shared" si="119"/>
        <v/>
      </c>
      <c r="EK56" s="251" t="str">
        <f t="shared" si="120"/>
        <v/>
      </c>
      <c r="EL56" s="251" t="str">
        <f t="shared" si="121"/>
        <v/>
      </c>
      <c r="EM56" s="251" t="str">
        <f t="shared" si="122"/>
        <v/>
      </c>
      <c r="EN56" s="251" t="str">
        <f t="shared" si="123"/>
        <v/>
      </c>
      <c r="EO56" s="251" t="str">
        <f t="shared" si="124"/>
        <v/>
      </c>
      <c r="EP56" s="251" t="str">
        <f t="shared" si="125"/>
        <v/>
      </c>
      <c r="EQ56" s="251" t="str">
        <f t="shared" si="126"/>
        <v/>
      </c>
      <c r="ER56" s="251" t="str">
        <f t="shared" si="127"/>
        <v/>
      </c>
      <c r="ES56" s="251" t="str">
        <f t="shared" si="128"/>
        <v/>
      </c>
      <c r="ET56" s="251" t="str">
        <f t="shared" si="129"/>
        <v/>
      </c>
      <c r="EU56" s="251" t="str">
        <f t="shared" si="130"/>
        <v/>
      </c>
      <c r="EV56" s="251" t="str">
        <f t="shared" si="131"/>
        <v/>
      </c>
      <c r="EW56" s="251" t="str">
        <f t="shared" si="132"/>
        <v/>
      </c>
      <c r="EX56" s="251" t="str">
        <f t="shared" si="133"/>
        <v/>
      </c>
      <c r="EY56" s="251" t="str">
        <f t="shared" si="134"/>
        <v/>
      </c>
      <c r="EZ56" s="251" t="str">
        <f t="shared" si="135"/>
        <v/>
      </c>
      <c r="FA56" s="251" t="str">
        <f t="shared" si="136"/>
        <v/>
      </c>
      <c r="FB56" s="251" t="str">
        <f t="shared" si="137"/>
        <v/>
      </c>
      <c r="FC56" s="251" t="str">
        <f t="shared" si="138"/>
        <v/>
      </c>
      <c r="FD56" s="251" t="str">
        <f t="shared" si="139"/>
        <v/>
      </c>
      <c r="FE56" s="251" t="str">
        <f t="shared" si="140"/>
        <v/>
      </c>
      <c r="FF56" s="251" t="str">
        <f t="shared" si="141"/>
        <v/>
      </c>
      <c r="FG56" s="251" t="str">
        <f t="shared" si="142"/>
        <v/>
      </c>
      <c r="FH56" s="251" t="str">
        <f t="shared" si="143"/>
        <v/>
      </c>
      <c r="FI56" s="251" t="str">
        <f t="shared" si="144"/>
        <v/>
      </c>
      <c r="FJ56" s="251" t="str">
        <f t="shared" si="145"/>
        <v/>
      </c>
      <c r="FK56" s="251" t="str">
        <f t="shared" si="146"/>
        <v/>
      </c>
      <c r="FL56" s="251" t="str">
        <f t="shared" si="147"/>
        <v/>
      </c>
      <c r="FM56" s="251" t="str">
        <f t="shared" ref="FM56" si="623">IF(AND(C56="Efficiency",N56="Common Space"),E56,"")</f>
        <v/>
      </c>
      <c r="FN56" s="251" t="str">
        <f t="shared" ref="FN56" si="624">IF(AND(C56=1,N56="Common Space"),E56,"")</f>
        <v/>
      </c>
      <c r="FO56" s="251" t="str">
        <f t="shared" ref="FO56" si="625">IF(AND(C56=2,N56="Common Space"),E56,"")</f>
        <v/>
      </c>
      <c r="FP56" s="251" t="str">
        <f t="shared" ref="FP56" si="626">IF(AND(C56=3,N56="Common Space"),E56,"")</f>
        <v/>
      </c>
      <c r="FQ56" s="251" t="str">
        <f t="shared" ref="FQ56" si="627">IF(AND(C56=4,N56="Common Space"),E56,"")</f>
        <v/>
      </c>
      <c r="FR56" s="251" t="str">
        <f t="shared" si="153"/>
        <v/>
      </c>
      <c r="FS56" s="251" t="str">
        <f t="shared" si="154"/>
        <v/>
      </c>
      <c r="FT56" s="251" t="str">
        <f t="shared" si="155"/>
        <v/>
      </c>
      <c r="FU56" s="251" t="str">
        <f t="shared" si="156"/>
        <v/>
      </c>
      <c r="FV56" s="251" t="str">
        <f t="shared" si="157"/>
        <v/>
      </c>
      <c r="FW56" s="251" t="str">
        <f t="shared" si="158"/>
        <v/>
      </c>
      <c r="FX56" s="251" t="str">
        <f t="shared" si="159"/>
        <v/>
      </c>
      <c r="FY56" s="251" t="str">
        <f t="shared" si="160"/>
        <v/>
      </c>
      <c r="FZ56" s="251" t="str">
        <f t="shared" si="161"/>
        <v/>
      </c>
      <c r="GA56" s="251" t="str">
        <f t="shared" si="162"/>
        <v/>
      </c>
      <c r="GB56" s="251" t="str">
        <f t="shared" si="163"/>
        <v/>
      </c>
      <c r="GC56" s="251" t="str">
        <f t="shared" si="164"/>
        <v/>
      </c>
      <c r="GD56" s="251" t="str">
        <f t="shared" si="165"/>
        <v/>
      </c>
      <c r="GE56" s="251" t="str">
        <f t="shared" si="166"/>
        <v/>
      </c>
      <c r="GF56" s="251" t="str">
        <f t="shared" si="167"/>
        <v/>
      </c>
      <c r="GG56" s="251" t="str">
        <f t="shared" si="168"/>
        <v/>
      </c>
      <c r="GH56" s="251" t="str">
        <f t="shared" si="169"/>
        <v/>
      </c>
      <c r="GI56" s="251" t="str">
        <f t="shared" si="170"/>
        <v/>
      </c>
      <c r="GJ56" s="251" t="str">
        <f t="shared" si="171"/>
        <v/>
      </c>
      <c r="GK56" s="251" t="str">
        <f t="shared" si="172"/>
        <v/>
      </c>
      <c r="GL56" s="251" t="str">
        <f t="shared" si="173"/>
        <v/>
      </c>
      <c r="GM56" s="251" t="str">
        <f t="shared" si="174"/>
        <v/>
      </c>
      <c r="GN56" s="251" t="str">
        <f t="shared" si="175"/>
        <v/>
      </c>
      <c r="GO56" s="251" t="str">
        <f t="shared" si="176"/>
        <v/>
      </c>
      <c r="GP56" s="251" t="str">
        <f t="shared" si="177"/>
        <v/>
      </c>
      <c r="GQ56" s="251" t="str">
        <f t="shared" si="178"/>
        <v/>
      </c>
      <c r="GR56" s="251" t="str">
        <f t="shared" si="179"/>
        <v/>
      </c>
      <c r="GS56" s="251" t="str">
        <f t="shared" si="180"/>
        <v/>
      </c>
      <c r="GT56" s="251" t="str">
        <f t="shared" si="181"/>
        <v/>
      </c>
      <c r="GU56" s="251" t="str">
        <f t="shared" si="182"/>
        <v/>
      </c>
      <c r="GV56" s="251" t="str">
        <f t="shared" si="183"/>
        <v/>
      </c>
      <c r="GW56" s="251" t="str">
        <f t="shared" si="184"/>
        <v/>
      </c>
      <c r="GX56" s="251" t="str">
        <f t="shared" si="185"/>
        <v/>
      </c>
      <c r="GY56" s="251" t="str">
        <f t="shared" si="186"/>
        <v/>
      </c>
      <c r="GZ56" s="251" t="str">
        <f t="shared" si="187"/>
        <v/>
      </c>
      <c r="HA56" s="251" t="str">
        <f t="shared" ref="HA56" si="628">IF(AND(C56="Efficiency",B56="Unrestricted",NOT(N56="Common Space")),E56*F56,"")</f>
        <v/>
      </c>
      <c r="HB56" s="251" t="str">
        <f t="shared" ref="HB56" si="629">IF(AND(C56=1,B56="Unrestricted",NOT(N56="Common Space")),E56*F56,"")</f>
        <v/>
      </c>
      <c r="HC56" s="251" t="str">
        <f t="shared" ref="HC56" si="630">IF(AND(C56=2,B56="Unrestricted",NOT(N56="Common Space")),E56*F56,"")</f>
        <v/>
      </c>
      <c r="HD56" s="251" t="str">
        <f t="shared" ref="HD56" si="631">IF(AND(C56=3,B56="Unrestricted",NOT(N56="Common Space")),E56*F56,"")</f>
        <v/>
      </c>
      <c r="HE56" s="251" t="str">
        <f t="shared" ref="HE56" si="632">IF(AND(C56=4,B56="Unrestricted",NOT(N56="Common Space")),E56*F56,"")</f>
        <v/>
      </c>
      <c r="HF56" s="251" t="str">
        <f t="shared" ref="HF56" si="633">IF(AND(C56="Efficiency",NOT(K56=""),NOT($K56=0),NOT(N56="Common Space")),E56*F56,"")</f>
        <v/>
      </c>
      <c r="HG56" s="251" t="str">
        <f t="shared" ref="HG56" si="634">IF(AND(C56=1,NOT(K56=""),NOT($K56=0),NOT(N56="Common Space")),E56*F56,"")</f>
        <v/>
      </c>
      <c r="HH56" s="251" t="str">
        <f t="shared" ref="HH56" si="635">IF(AND(C56=2,NOT(K56=""),NOT($K56=0),NOT(N56="Common Space")),E56*F56,"")</f>
        <v/>
      </c>
      <c r="HI56" s="251" t="str">
        <f t="shared" ref="HI56" si="636">IF(AND(C56=3,NOT(K56=""),NOT($K56=0),NOT(N56="Common Space")),E56*F56,"")</f>
        <v/>
      </c>
      <c r="HJ56" s="251" t="str">
        <f t="shared" ref="HJ56" si="637">IF(AND(C56=4,NOT(K56=""),NOT($K56=0),NOT(N56="Common Space")),E56*F56,"")</f>
        <v/>
      </c>
      <c r="HK56" s="251" t="str">
        <f t="shared" ref="HK56" si="638">IF(AND(C56="Efficiency",N56="Common Space"),E56*F56,"")</f>
        <v/>
      </c>
      <c r="HL56" s="251" t="str">
        <f t="shared" ref="HL56" si="639">IF(AND(C56=1,N56="Common Space"),E56*F56,"")</f>
        <v/>
      </c>
      <c r="HM56" s="251" t="str">
        <f t="shared" ref="HM56" si="640">IF(AND(C56=2,N56="Common Space"),E56*F56,"")</f>
        <v/>
      </c>
      <c r="HN56" s="251" t="str">
        <f t="shared" ref="HN56" si="641">IF(AND(C56=3,N56="Common Space"),E56*F56,"")</f>
        <v/>
      </c>
      <c r="HO56" s="251" t="str">
        <f t="shared" ref="HO56" si="642">IF(AND(C56=4,N56="Common Space"),E56*F56,"")</f>
        <v/>
      </c>
      <c r="HP56" s="251" t="str">
        <f t="shared" si="203"/>
        <v/>
      </c>
      <c r="HQ56" s="251" t="str">
        <f t="shared" si="204"/>
        <v/>
      </c>
      <c r="HR56" s="251" t="str">
        <f t="shared" si="205"/>
        <v/>
      </c>
      <c r="HS56" s="251" t="str">
        <f t="shared" si="206"/>
        <v/>
      </c>
      <c r="HT56" s="251" t="str">
        <f t="shared" si="207"/>
        <v/>
      </c>
      <c r="HU56" s="251" t="str">
        <f t="shared" si="208"/>
        <v/>
      </c>
      <c r="HV56" s="251" t="str">
        <f t="shared" si="209"/>
        <v/>
      </c>
      <c r="HW56" s="251" t="str">
        <f t="shared" si="210"/>
        <v/>
      </c>
      <c r="HX56" s="251" t="str">
        <f t="shared" si="211"/>
        <v/>
      </c>
      <c r="HY56" s="251" t="str">
        <f t="shared" si="212"/>
        <v/>
      </c>
      <c r="HZ56" s="251" t="str">
        <f t="shared" si="213"/>
        <v/>
      </c>
      <c r="IA56" s="251" t="str">
        <f t="shared" si="214"/>
        <v/>
      </c>
      <c r="IB56" s="251" t="str">
        <f t="shared" si="215"/>
        <v/>
      </c>
      <c r="IC56" s="251" t="str">
        <f t="shared" si="216"/>
        <v/>
      </c>
      <c r="ID56" s="251" t="str">
        <f t="shared" si="217"/>
        <v/>
      </c>
      <c r="IE56" s="251" t="str">
        <f t="shared" si="218"/>
        <v/>
      </c>
      <c r="IF56" s="251" t="str">
        <f t="shared" si="219"/>
        <v/>
      </c>
      <c r="IG56" s="251" t="str">
        <f t="shared" si="220"/>
        <v/>
      </c>
      <c r="IH56" s="251" t="str">
        <f t="shared" si="221"/>
        <v/>
      </c>
      <c r="II56" s="251" t="str">
        <f t="shared" si="222"/>
        <v/>
      </c>
      <c r="IJ56" s="251" t="str">
        <f t="shared" si="223"/>
        <v/>
      </c>
      <c r="IK56" s="251" t="str">
        <f t="shared" si="224"/>
        <v/>
      </c>
      <c r="IL56" s="251" t="str">
        <f t="shared" si="225"/>
        <v/>
      </c>
      <c r="IM56" s="251" t="str">
        <f t="shared" si="226"/>
        <v/>
      </c>
      <c r="IN56" s="251" t="str">
        <f t="shared" si="227"/>
        <v/>
      </c>
      <c r="IO56" s="251" t="str">
        <f t="shared" si="228"/>
        <v/>
      </c>
      <c r="IP56" s="251" t="str">
        <f t="shared" si="229"/>
        <v/>
      </c>
      <c r="IQ56" s="251" t="str">
        <f t="shared" si="230"/>
        <v/>
      </c>
      <c r="IR56" s="251" t="str">
        <f t="shared" si="231"/>
        <v/>
      </c>
      <c r="IS56" s="251" t="str">
        <f t="shared" si="232"/>
        <v/>
      </c>
      <c r="IT56" s="251" t="str">
        <f t="shared" si="233"/>
        <v/>
      </c>
      <c r="IU56" s="251" t="str">
        <f t="shared" si="234"/>
        <v/>
      </c>
      <c r="IV56" s="251" t="str">
        <f t="shared" si="235"/>
        <v/>
      </c>
      <c r="IW56" s="251" t="str">
        <f t="shared" si="236"/>
        <v/>
      </c>
      <c r="IX56" s="251" t="str">
        <f t="shared" si="237"/>
        <v/>
      </c>
      <c r="IY56" s="251" t="str">
        <f t="shared" si="238"/>
        <v/>
      </c>
      <c r="IZ56" s="251" t="str">
        <f t="shared" si="239"/>
        <v/>
      </c>
      <c r="JA56" s="251" t="str">
        <f t="shared" si="240"/>
        <v/>
      </c>
      <c r="JB56" s="251" t="str">
        <f t="shared" si="241"/>
        <v/>
      </c>
      <c r="JC56" s="251" t="str">
        <f t="shared" si="242"/>
        <v/>
      </c>
      <c r="JD56" s="251" t="str">
        <f t="shared" si="243"/>
        <v/>
      </c>
      <c r="JE56" s="251" t="str">
        <f t="shared" si="244"/>
        <v/>
      </c>
      <c r="JF56" s="251" t="str">
        <f t="shared" si="245"/>
        <v/>
      </c>
      <c r="JG56" s="251" t="str">
        <f t="shared" si="246"/>
        <v/>
      </c>
      <c r="JH56" s="251" t="str">
        <f t="shared" si="247"/>
        <v/>
      </c>
      <c r="JI56" s="1297" t="str">
        <f t="shared" si="248"/>
        <v/>
      </c>
      <c r="JJ56" s="1297" t="str">
        <f t="shared" si="249"/>
        <v/>
      </c>
      <c r="JK56" s="1297" t="str">
        <f t="shared" si="250"/>
        <v/>
      </c>
      <c r="JL56" s="1297" t="str">
        <f t="shared" si="251"/>
        <v/>
      </c>
      <c r="JM56" s="1297" t="str">
        <f t="shared" si="252"/>
        <v/>
      </c>
      <c r="JN56" s="1297" t="str">
        <f t="shared" si="253"/>
        <v/>
      </c>
      <c r="JO56" s="1297" t="str">
        <f t="shared" si="254"/>
        <v/>
      </c>
      <c r="JP56" s="1297" t="str">
        <f t="shared" si="255"/>
        <v/>
      </c>
      <c r="JQ56" s="1297" t="str">
        <f t="shared" si="256"/>
        <v/>
      </c>
      <c r="JR56" s="1297" t="str">
        <f t="shared" si="257"/>
        <v/>
      </c>
      <c r="JS56" s="1297" t="str">
        <f t="shared" si="258"/>
        <v/>
      </c>
      <c r="JT56" s="1297" t="str">
        <f t="shared" si="259"/>
        <v/>
      </c>
      <c r="JU56" s="1297" t="str">
        <f t="shared" si="260"/>
        <v/>
      </c>
      <c r="JV56" s="1297" t="str">
        <f t="shared" si="261"/>
        <v/>
      </c>
      <c r="JW56" s="1297" t="str">
        <f t="shared" si="262"/>
        <v/>
      </c>
      <c r="JX56" s="1297" t="str">
        <f t="shared" si="263"/>
        <v/>
      </c>
      <c r="JY56" s="1297" t="str">
        <f t="shared" si="264"/>
        <v/>
      </c>
      <c r="JZ56" s="1297" t="str">
        <f t="shared" si="265"/>
        <v/>
      </c>
      <c r="KA56" s="1297" t="str">
        <f t="shared" si="266"/>
        <v/>
      </c>
      <c r="KB56" s="1297" t="str">
        <f t="shared" si="267"/>
        <v/>
      </c>
      <c r="KC56" s="1297" t="str">
        <f t="shared" si="268"/>
        <v/>
      </c>
      <c r="KD56" s="1297" t="str">
        <f t="shared" si="269"/>
        <v/>
      </c>
      <c r="KE56" s="1297" t="str">
        <f t="shared" si="270"/>
        <v/>
      </c>
      <c r="KF56" s="1297" t="str">
        <f t="shared" si="271"/>
        <v/>
      </c>
      <c r="KG56" s="1297" t="str">
        <f t="shared" si="272"/>
        <v/>
      </c>
      <c r="KH56" s="1297" t="str">
        <f t="shared" si="273"/>
        <v/>
      </c>
      <c r="KI56" s="1297" t="str">
        <f t="shared" si="274"/>
        <v/>
      </c>
      <c r="KJ56" s="1297" t="str">
        <f t="shared" si="275"/>
        <v/>
      </c>
      <c r="KK56" s="1297" t="str">
        <f t="shared" si="276"/>
        <v/>
      </c>
      <c r="KL56" s="1297" t="str">
        <f t="shared" si="277"/>
        <v/>
      </c>
      <c r="KM56" s="1297" t="str">
        <f t="shared" si="278"/>
        <v/>
      </c>
      <c r="KN56" s="1297" t="str">
        <f t="shared" si="279"/>
        <v/>
      </c>
      <c r="KO56" s="1297" t="str">
        <f t="shared" si="280"/>
        <v/>
      </c>
      <c r="KP56" s="1297" t="str">
        <f t="shared" si="281"/>
        <v/>
      </c>
      <c r="KQ56" s="1297" t="str">
        <f t="shared" si="282"/>
        <v/>
      </c>
      <c r="KR56" s="1297" t="str">
        <f t="shared" si="283"/>
        <v/>
      </c>
      <c r="KS56" s="1297" t="str">
        <f t="shared" si="284"/>
        <v/>
      </c>
      <c r="KT56" s="1297" t="str">
        <f t="shared" si="285"/>
        <v/>
      </c>
      <c r="KU56" s="1297" t="str">
        <f t="shared" si="286"/>
        <v/>
      </c>
      <c r="KV56" s="1297" t="str">
        <f t="shared" si="287"/>
        <v/>
      </c>
      <c r="KW56" s="1297" t="str">
        <f t="shared" si="288"/>
        <v/>
      </c>
      <c r="KX56" s="1297" t="str">
        <f t="shared" si="289"/>
        <v/>
      </c>
      <c r="KY56" s="1297" t="str">
        <f t="shared" si="290"/>
        <v/>
      </c>
      <c r="KZ56" s="1297" t="str">
        <f t="shared" si="291"/>
        <v/>
      </c>
      <c r="LA56" s="1297" t="str">
        <f t="shared" si="292"/>
        <v/>
      </c>
      <c r="LB56" s="1297" t="str">
        <f t="shared" si="293"/>
        <v/>
      </c>
      <c r="LC56" s="1297" t="str">
        <f t="shared" si="294"/>
        <v/>
      </c>
      <c r="LD56" s="1297" t="str">
        <f t="shared" si="295"/>
        <v/>
      </c>
      <c r="LE56" s="1297" t="str">
        <f t="shared" si="296"/>
        <v/>
      </c>
      <c r="LF56" s="1297" t="str">
        <f t="shared" si="297"/>
        <v/>
      </c>
      <c r="LG56" s="1297" t="str">
        <f t="shared" si="298"/>
        <v/>
      </c>
      <c r="LH56" s="1297" t="str">
        <f t="shared" si="299"/>
        <v/>
      </c>
      <c r="LI56" s="1297" t="str">
        <f t="shared" si="300"/>
        <v/>
      </c>
      <c r="LJ56" s="1297" t="str">
        <f t="shared" si="301"/>
        <v/>
      </c>
      <c r="LK56" s="1297" t="str">
        <f t="shared" si="302"/>
        <v/>
      </c>
      <c r="LL56" s="1297" t="str">
        <f t="shared" si="303"/>
        <v/>
      </c>
      <c r="LM56" s="1297" t="str">
        <f t="shared" si="304"/>
        <v/>
      </c>
      <c r="LN56" s="1297" t="str">
        <f t="shared" si="305"/>
        <v/>
      </c>
      <c r="LO56" s="1297" t="str">
        <f t="shared" si="306"/>
        <v/>
      </c>
      <c r="LP56" s="1297" t="str">
        <f t="shared" si="307"/>
        <v/>
      </c>
      <c r="LQ56" s="1297" t="str">
        <f t="shared" si="308"/>
        <v/>
      </c>
      <c r="LR56" s="1297" t="str">
        <f t="shared" si="309"/>
        <v/>
      </c>
      <c r="LS56" s="1297" t="str">
        <f t="shared" si="310"/>
        <v/>
      </c>
      <c r="LT56" s="1297" t="str">
        <f t="shared" si="311"/>
        <v/>
      </c>
      <c r="LU56" s="1297" t="str">
        <f t="shared" si="312"/>
        <v/>
      </c>
      <c r="LV56" s="1297" t="str">
        <f t="shared" si="313"/>
        <v/>
      </c>
      <c r="LW56" s="1297" t="str">
        <f t="shared" si="314"/>
        <v/>
      </c>
      <c r="LX56" s="1297" t="str">
        <f t="shared" si="315"/>
        <v/>
      </c>
      <c r="LY56" s="1297" t="str">
        <f t="shared" si="316"/>
        <v/>
      </c>
      <c r="LZ56" s="1297" t="str">
        <f t="shared" si="317"/>
        <v/>
      </c>
      <c r="MA56" s="1297" t="str">
        <f t="shared" si="318"/>
        <v/>
      </c>
      <c r="MB56" s="1297" t="str">
        <f t="shared" si="319"/>
        <v/>
      </c>
      <c r="MC56" s="1297" t="str">
        <f t="shared" si="320"/>
        <v/>
      </c>
      <c r="MD56" s="1297" t="str">
        <f t="shared" si="321"/>
        <v/>
      </c>
      <c r="ME56" s="1297" t="str">
        <f t="shared" si="322"/>
        <v/>
      </c>
      <c r="MF56" s="1297" t="str">
        <f t="shared" si="323"/>
        <v/>
      </c>
      <c r="MG56" s="1297" t="str">
        <f t="shared" si="324"/>
        <v/>
      </c>
      <c r="MH56" s="1297" t="str">
        <f t="shared" si="325"/>
        <v/>
      </c>
      <c r="MI56" s="1297" t="str">
        <f t="shared" si="326"/>
        <v/>
      </c>
      <c r="MJ56" s="1297" t="str">
        <f t="shared" si="327"/>
        <v/>
      </c>
      <c r="MK56" s="1297" t="str">
        <f t="shared" si="328"/>
        <v/>
      </c>
      <c r="ML56" s="1297" t="str">
        <f t="shared" si="329"/>
        <v/>
      </c>
      <c r="MM56" s="1297" t="str">
        <f t="shared" si="330"/>
        <v/>
      </c>
      <c r="MN56" s="1297" t="str">
        <f t="shared" si="331"/>
        <v/>
      </c>
      <c r="MO56" s="1297" t="str">
        <f t="shared" si="332"/>
        <v/>
      </c>
      <c r="MP56" s="1773" t="str">
        <f t="shared" si="333"/>
        <v/>
      </c>
      <c r="MQ56" s="1773" t="str">
        <f t="shared" si="334"/>
        <v/>
      </c>
      <c r="MR56" s="1773" t="str">
        <f t="shared" si="335"/>
        <v/>
      </c>
      <c r="MS56" s="1773" t="str">
        <f t="shared" si="336"/>
        <v/>
      </c>
      <c r="MT56" s="1773" t="str">
        <f t="shared" si="337"/>
        <v/>
      </c>
      <c r="MU56" s="251" t="str">
        <f t="shared" ref="MU56" si="643">IF(AND(C56="Efficiency",B56="NSP 120% AMI",NOT(N56="Common Space")),E56*F56,"")</f>
        <v/>
      </c>
      <c r="MV56" s="251" t="str">
        <f t="shared" ref="MV56" si="644">IF(AND(C56=1,B56="NSP 120% AMI",NOT(N56="Common Space")),E56*F56,"")</f>
        <v/>
      </c>
      <c r="MW56" s="251" t="str">
        <f t="shared" ref="MW56" si="645">IF(AND(C56=2,B56="NSP 120% AMI",NOT(N56="Common Space")),E56*F56,"")</f>
        <v/>
      </c>
      <c r="MX56" s="251" t="str">
        <f t="shared" ref="MX56" si="646">IF(AND(C56=3,B56="NSP 120% AMI",NOT(N56="Common Space")),E56*F56,"")</f>
        <v/>
      </c>
      <c r="MY56" s="251" t="str">
        <f t="shared" ref="MY56" si="647">IF(AND(C56=4,B56="NSP 120% AMI",NOT(N56="Common Space")),E56*F56,"")</f>
        <v/>
      </c>
      <c r="MZ56" s="251" t="str">
        <f t="shared" si="343"/>
        <v/>
      </c>
      <c r="NA56" s="251" t="str">
        <f t="shared" si="344"/>
        <v/>
      </c>
      <c r="NB56" s="251" t="str">
        <f t="shared" si="345"/>
        <v/>
      </c>
      <c r="NC56" s="251" t="str">
        <f t="shared" si="346"/>
        <v/>
      </c>
      <c r="ND56" s="251" t="str">
        <f t="shared" si="347"/>
        <v/>
      </c>
      <c r="NE56" s="251" t="str">
        <f t="shared" si="348"/>
        <v/>
      </c>
      <c r="NF56" s="251" t="str">
        <f t="shared" si="349"/>
        <v/>
      </c>
      <c r="NG56" s="251" t="str">
        <f t="shared" si="350"/>
        <v/>
      </c>
      <c r="NH56" s="251" t="str">
        <f t="shared" si="351"/>
        <v/>
      </c>
      <c r="NI56" s="251" t="str">
        <f t="shared" si="352"/>
        <v/>
      </c>
      <c r="NJ56" s="251" t="str">
        <f t="shared" si="353"/>
        <v/>
      </c>
      <c r="NK56" s="251" t="str">
        <f t="shared" si="354"/>
        <v/>
      </c>
      <c r="NL56" s="251" t="str">
        <f t="shared" si="355"/>
        <v/>
      </c>
      <c r="NM56" s="251" t="str">
        <f t="shared" si="356"/>
        <v/>
      </c>
      <c r="NN56" s="251" t="str">
        <f t="shared" si="357"/>
        <v/>
      </c>
      <c r="NO56" s="1185">
        <f t="shared" si="358"/>
        <v>0</v>
      </c>
      <c r="NP56" s="1185">
        <f t="shared" si="359"/>
        <v>0</v>
      </c>
      <c r="NQ56" s="1185">
        <f t="shared" si="360"/>
        <v>0</v>
      </c>
      <c r="NR56" s="1185">
        <f t="shared" si="361"/>
        <v>0</v>
      </c>
      <c r="NS56" s="1185">
        <f t="shared" si="362"/>
        <v>0</v>
      </c>
      <c r="NT56" s="1185">
        <f t="shared" si="368"/>
        <v>0</v>
      </c>
      <c r="NU56" s="1185">
        <f t="shared" si="369"/>
        <v>0</v>
      </c>
      <c r="NV56" s="1185">
        <f t="shared" si="370"/>
        <v>0</v>
      </c>
      <c r="NW56" s="1185">
        <f t="shared" si="371"/>
        <v>0</v>
      </c>
      <c r="NX56" s="1185">
        <f t="shared" si="372"/>
        <v>0</v>
      </c>
      <c r="NY56" s="1185">
        <f t="shared" si="363"/>
        <v>0</v>
      </c>
      <c r="NZ56" s="1185">
        <f t="shared" si="364"/>
        <v>0</v>
      </c>
      <c r="OA56" s="1185">
        <f t="shared" si="365"/>
        <v>0</v>
      </c>
      <c r="OB56" s="1185">
        <f t="shared" si="366"/>
        <v>0</v>
      </c>
      <c r="OC56" s="1185">
        <f t="shared" si="367"/>
        <v>0</v>
      </c>
      <c r="OY56" s="1794" t="s">
        <v>1195</v>
      </c>
      <c r="OZ56" s="1798">
        <v>52</v>
      </c>
    </row>
    <row r="57" spans="1:416" ht="12" customHeight="1">
      <c r="A57" s="53" t="str">
        <f t="shared" si="0"/>
        <v/>
      </c>
      <c r="B57" s="783"/>
      <c r="C57" s="88"/>
      <c r="D57" s="1190"/>
      <c r="E57" s="89"/>
      <c r="F57" s="89"/>
      <c r="G57" s="89"/>
      <c r="H57" s="89"/>
      <c r="I57" s="89"/>
      <c r="J57" s="550">
        <f>IF(C57="",0,HLOOKUP(C57,'Part IV-Utility Allowances'!$I$11:$M$25,15))</f>
        <v>0</v>
      </c>
      <c r="K57" s="474"/>
      <c r="L57" s="331">
        <f t="shared" si="1"/>
        <v>0</v>
      </c>
      <c r="M57" s="331">
        <f t="shared" si="2"/>
        <v>0</v>
      </c>
      <c r="N57" s="507"/>
      <c r="O57" s="1074"/>
      <c r="P57" s="507"/>
      <c r="Q57" s="90"/>
      <c r="R57" s="542"/>
      <c r="S57" s="543"/>
      <c r="T57" s="3725"/>
      <c r="U57" s="3726"/>
      <c r="V57" s="3726"/>
      <c r="W57" s="3727"/>
      <c r="X57" s="251" t="str">
        <f t="shared" si="3"/>
        <v/>
      </c>
      <c r="Y57" s="251" t="str">
        <f t="shared" si="4"/>
        <v/>
      </c>
      <c r="Z57" s="251" t="str">
        <f t="shared" si="5"/>
        <v/>
      </c>
      <c r="AA57" s="251" t="str">
        <f t="shared" si="6"/>
        <v/>
      </c>
      <c r="AB57" s="251" t="str">
        <f t="shared" si="7"/>
        <v/>
      </c>
      <c r="AC57" s="251" t="str">
        <f t="shared" si="8"/>
        <v/>
      </c>
      <c r="AD57" s="251" t="str">
        <f t="shared" si="9"/>
        <v/>
      </c>
      <c r="AE57" s="251" t="str">
        <f t="shared" si="10"/>
        <v/>
      </c>
      <c r="AF57" s="251" t="str">
        <f t="shared" si="11"/>
        <v/>
      </c>
      <c r="AG57" s="251" t="str">
        <f t="shared" si="12"/>
        <v/>
      </c>
      <c r="AH57" s="251" t="str">
        <f t="shared" si="13"/>
        <v/>
      </c>
      <c r="AI57" s="251" t="str">
        <f t="shared" si="14"/>
        <v/>
      </c>
      <c r="AJ57" s="251" t="str">
        <f t="shared" si="15"/>
        <v/>
      </c>
      <c r="AK57" s="251" t="str">
        <f t="shared" si="16"/>
        <v/>
      </c>
      <c r="AL57" s="251" t="str">
        <f t="shared" si="17"/>
        <v/>
      </c>
      <c r="AM57" s="251" t="str">
        <f t="shared" si="18"/>
        <v/>
      </c>
      <c r="AN57" s="251" t="str">
        <f t="shared" si="19"/>
        <v/>
      </c>
      <c r="AO57" s="251" t="str">
        <f t="shared" si="20"/>
        <v/>
      </c>
      <c r="AP57" s="251" t="str">
        <f t="shared" si="21"/>
        <v/>
      </c>
      <c r="AQ57" s="251" t="str">
        <f t="shared" si="22"/>
        <v/>
      </c>
      <c r="AR57" s="251" t="str">
        <f t="shared" si="23"/>
        <v/>
      </c>
      <c r="AS57" s="251" t="str">
        <f t="shared" si="24"/>
        <v/>
      </c>
      <c r="AT57" s="251" t="str">
        <f t="shared" si="25"/>
        <v/>
      </c>
      <c r="AU57" s="251" t="str">
        <f t="shared" si="26"/>
        <v/>
      </c>
      <c r="AV57" s="251" t="str">
        <f t="shared" si="27"/>
        <v/>
      </c>
      <c r="AW57" s="251" t="str">
        <f t="shared" si="28"/>
        <v/>
      </c>
      <c r="AX57" s="251" t="str">
        <f t="shared" si="29"/>
        <v/>
      </c>
      <c r="AY57" s="251" t="str">
        <f t="shared" si="30"/>
        <v/>
      </c>
      <c r="AZ57" s="251" t="str">
        <f t="shared" si="31"/>
        <v/>
      </c>
      <c r="BA57" s="251" t="str">
        <f t="shared" si="32"/>
        <v/>
      </c>
      <c r="BB57" s="251" t="str">
        <f t="shared" si="33"/>
        <v/>
      </c>
      <c r="BC57" s="251" t="str">
        <f t="shared" si="34"/>
        <v/>
      </c>
      <c r="BD57" s="251" t="str">
        <f t="shared" si="35"/>
        <v/>
      </c>
      <c r="BE57" s="251" t="str">
        <f t="shared" si="36"/>
        <v/>
      </c>
      <c r="BF57" s="251" t="str">
        <f t="shared" si="37"/>
        <v/>
      </c>
      <c r="BG57" s="251" t="str">
        <f t="shared" si="38"/>
        <v/>
      </c>
      <c r="BH57" s="251" t="str">
        <f t="shared" si="39"/>
        <v/>
      </c>
      <c r="BI57" s="251" t="str">
        <f t="shared" si="40"/>
        <v/>
      </c>
      <c r="BJ57" s="251" t="str">
        <f t="shared" si="41"/>
        <v/>
      </c>
      <c r="BK57" s="251" t="str">
        <f t="shared" si="42"/>
        <v/>
      </c>
      <c r="BL57" s="251" t="str">
        <f t="shared" si="43"/>
        <v/>
      </c>
      <c r="BM57" s="251" t="str">
        <f t="shared" si="44"/>
        <v/>
      </c>
      <c r="BN57" s="251" t="str">
        <f t="shared" si="45"/>
        <v/>
      </c>
      <c r="BO57" s="251" t="str">
        <f t="shared" si="46"/>
        <v/>
      </c>
      <c r="BP57" s="251" t="str">
        <f t="shared" si="47"/>
        <v/>
      </c>
      <c r="BQ57" s="251" t="str">
        <f t="shared" si="48"/>
        <v/>
      </c>
      <c r="BR57" s="251" t="str">
        <f t="shared" si="49"/>
        <v/>
      </c>
      <c r="BS57" s="251" t="str">
        <f t="shared" si="50"/>
        <v/>
      </c>
      <c r="BT57" s="251" t="str">
        <f t="shared" si="51"/>
        <v/>
      </c>
      <c r="BU57" s="251" t="str">
        <f t="shared" si="52"/>
        <v/>
      </c>
      <c r="BV57" s="251" t="str">
        <f t="shared" si="53"/>
        <v/>
      </c>
      <c r="BW57" s="251" t="str">
        <f t="shared" si="54"/>
        <v/>
      </c>
      <c r="BX57" s="251" t="str">
        <f t="shared" si="55"/>
        <v/>
      </c>
      <c r="BY57" s="251" t="str">
        <f t="shared" si="56"/>
        <v/>
      </c>
      <c r="BZ57" s="251" t="str">
        <f t="shared" si="57"/>
        <v/>
      </c>
      <c r="CA57" s="251" t="str">
        <f t="shared" si="58"/>
        <v/>
      </c>
      <c r="CB57" s="251" t="str">
        <f t="shared" si="59"/>
        <v/>
      </c>
      <c r="CC57" s="251" t="str">
        <f t="shared" si="60"/>
        <v/>
      </c>
      <c r="CD57" s="251" t="str">
        <f t="shared" si="61"/>
        <v/>
      </c>
      <c r="CE57" s="251" t="str">
        <f t="shared" si="62"/>
        <v/>
      </c>
      <c r="CF57" s="251" t="str">
        <f t="shared" si="63"/>
        <v/>
      </c>
      <c r="CG57" s="251" t="str">
        <f t="shared" si="64"/>
        <v/>
      </c>
      <c r="CH57" s="251" t="str">
        <f t="shared" si="65"/>
        <v/>
      </c>
      <c r="CI57" s="251" t="str">
        <f t="shared" si="66"/>
        <v/>
      </c>
      <c r="CJ57" s="251" t="str">
        <f t="shared" si="67"/>
        <v/>
      </c>
      <c r="CK57" s="251" t="str">
        <f t="shared" si="68"/>
        <v/>
      </c>
      <c r="CL57" s="251" t="str">
        <f t="shared" si="69"/>
        <v/>
      </c>
      <c r="CM57" s="251" t="str">
        <f t="shared" si="70"/>
        <v/>
      </c>
      <c r="CN57" s="251" t="str">
        <f t="shared" si="71"/>
        <v/>
      </c>
      <c r="CO57" s="251" t="str">
        <f t="shared" si="72"/>
        <v/>
      </c>
      <c r="CP57" s="251" t="str">
        <f t="shared" si="73"/>
        <v/>
      </c>
      <c r="CQ57" s="251" t="str">
        <f t="shared" si="74"/>
        <v/>
      </c>
      <c r="CR57" s="251" t="str">
        <f t="shared" si="75"/>
        <v/>
      </c>
      <c r="CS57" s="251" t="str">
        <f t="shared" si="76"/>
        <v/>
      </c>
      <c r="CT57" s="251" t="str">
        <f t="shared" si="77"/>
        <v/>
      </c>
      <c r="CU57" s="251" t="str">
        <f t="shared" si="78"/>
        <v/>
      </c>
      <c r="CV57" s="251" t="str">
        <f t="shared" si="79"/>
        <v/>
      </c>
      <c r="CW57" s="251" t="str">
        <f t="shared" si="80"/>
        <v/>
      </c>
      <c r="CX57" s="251" t="str">
        <f t="shared" si="81"/>
        <v/>
      </c>
      <c r="CY57" s="251" t="str">
        <f t="shared" si="82"/>
        <v/>
      </c>
      <c r="CZ57" s="251" t="str">
        <f t="shared" si="83"/>
        <v/>
      </c>
      <c r="DA57" s="251" t="str">
        <f t="shared" si="84"/>
        <v/>
      </c>
      <c r="DB57" s="251" t="str">
        <f t="shared" si="85"/>
        <v/>
      </c>
      <c r="DC57" s="251" t="str">
        <f t="shared" si="86"/>
        <v/>
      </c>
      <c r="DD57" s="251" t="str">
        <f t="shared" si="87"/>
        <v/>
      </c>
      <c r="DE57" s="251" t="str">
        <f t="shared" si="88"/>
        <v/>
      </c>
      <c r="DF57" s="251" t="str">
        <f t="shared" si="89"/>
        <v/>
      </c>
      <c r="DG57" s="251" t="str">
        <f t="shared" si="90"/>
        <v/>
      </c>
      <c r="DH57" s="251" t="str">
        <f t="shared" si="91"/>
        <v/>
      </c>
      <c r="DI57" s="251" t="str">
        <f t="shared" si="92"/>
        <v/>
      </c>
      <c r="DJ57" s="251" t="str">
        <f t="shared" si="93"/>
        <v/>
      </c>
      <c r="DK57" s="251" t="str">
        <f t="shared" si="94"/>
        <v/>
      </c>
      <c r="DL57" s="251" t="str">
        <f t="shared" si="95"/>
        <v/>
      </c>
      <c r="DM57" s="251" t="str">
        <f t="shared" si="96"/>
        <v/>
      </c>
      <c r="DN57" s="251" t="str">
        <f t="shared" si="97"/>
        <v/>
      </c>
      <c r="DO57" s="251" t="str">
        <f t="shared" si="98"/>
        <v/>
      </c>
      <c r="DP57" s="251" t="str">
        <f t="shared" si="99"/>
        <v/>
      </c>
      <c r="DQ57" s="251" t="str">
        <f t="shared" si="100"/>
        <v/>
      </c>
      <c r="DR57" s="251" t="str">
        <f t="shared" si="101"/>
        <v/>
      </c>
      <c r="DS57" s="251" t="str">
        <f t="shared" si="102"/>
        <v/>
      </c>
      <c r="DT57" s="251" t="str">
        <f t="shared" si="103"/>
        <v/>
      </c>
      <c r="DU57" s="251" t="str">
        <f t="shared" si="104"/>
        <v/>
      </c>
      <c r="DV57" s="251" t="str">
        <f t="shared" si="105"/>
        <v/>
      </c>
      <c r="DW57" s="251" t="str">
        <f t="shared" si="106"/>
        <v/>
      </c>
      <c r="DX57" s="251" t="str">
        <f t="shared" si="107"/>
        <v/>
      </c>
      <c r="DY57" s="251" t="str">
        <f t="shared" si="108"/>
        <v/>
      </c>
      <c r="DZ57" s="251" t="str">
        <f t="shared" si="109"/>
        <v/>
      </c>
      <c r="EA57" s="251" t="str">
        <f t="shared" si="110"/>
        <v/>
      </c>
      <c r="EB57" s="251" t="str">
        <f t="shared" si="111"/>
        <v/>
      </c>
      <c r="EC57" s="251" t="str">
        <f t="shared" si="112"/>
        <v/>
      </c>
      <c r="ED57" s="251" t="str">
        <f t="shared" si="113"/>
        <v/>
      </c>
      <c r="EE57" s="251" t="str">
        <f t="shared" si="114"/>
        <v/>
      </c>
      <c r="EF57" s="251" t="str">
        <f t="shared" si="115"/>
        <v/>
      </c>
      <c r="EG57" s="251" t="str">
        <f t="shared" si="116"/>
        <v/>
      </c>
      <c r="EH57" s="251" t="str">
        <f t="shared" si="117"/>
        <v/>
      </c>
      <c r="EI57" s="251" t="str">
        <f t="shared" si="118"/>
        <v/>
      </c>
      <c r="EJ57" s="251" t="str">
        <f t="shared" si="119"/>
        <v/>
      </c>
      <c r="EK57" s="251" t="str">
        <f t="shared" si="120"/>
        <v/>
      </c>
      <c r="EL57" s="251" t="str">
        <f t="shared" si="121"/>
        <v/>
      </c>
      <c r="EM57" s="251" t="str">
        <f t="shared" si="122"/>
        <v/>
      </c>
      <c r="EN57" s="251" t="str">
        <f t="shared" si="123"/>
        <v/>
      </c>
      <c r="EO57" s="251" t="str">
        <f t="shared" si="124"/>
        <v/>
      </c>
      <c r="EP57" s="251" t="str">
        <f t="shared" si="125"/>
        <v/>
      </c>
      <c r="EQ57" s="251" t="str">
        <f t="shared" si="126"/>
        <v/>
      </c>
      <c r="ER57" s="251" t="str">
        <f t="shared" si="127"/>
        <v/>
      </c>
      <c r="ES57" s="251" t="str">
        <f t="shared" si="128"/>
        <v/>
      </c>
      <c r="ET57" s="251" t="str">
        <f t="shared" si="129"/>
        <v/>
      </c>
      <c r="EU57" s="251" t="str">
        <f t="shared" si="130"/>
        <v/>
      </c>
      <c r="EV57" s="251" t="str">
        <f t="shared" si="131"/>
        <v/>
      </c>
      <c r="EW57" s="251" t="str">
        <f t="shared" si="132"/>
        <v/>
      </c>
      <c r="EX57" s="251" t="str">
        <f t="shared" si="133"/>
        <v/>
      </c>
      <c r="EY57" s="251" t="str">
        <f t="shared" si="134"/>
        <v/>
      </c>
      <c r="EZ57" s="251" t="str">
        <f t="shared" si="135"/>
        <v/>
      </c>
      <c r="FA57" s="251" t="str">
        <f t="shared" si="136"/>
        <v/>
      </c>
      <c r="FB57" s="251" t="str">
        <f t="shared" si="137"/>
        <v/>
      </c>
      <c r="FC57" s="251" t="str">
        <f t="shared" si="138"/>
        <v/>
      </c>
      <c r="FD57" s="251" t="str">
        <f t="shared" si="139"/>
        <v/>
      </c>
      <c r="FE57" s="251" t="str">
        <f t="shared" si="140"/>
        <v/>
      </c>
      <c r="FF57" s="251" t="str">
        <f t="shared" si="141"/>
        <v/>
      </c>
      <c r="FG57" s="251" t="str">
        <f t="shared" si="142"/>
        <v/>
      </c>
      <c r="FH57" s="251" t="str">
        <f t="shared" si="143"/>
        <v/>
      </c>
      <c r="FI57" s="251" t="str">
        <f t="shared" si="144"/>
        <v/>
      </c>
      <c r="FJ57" s="251" t="str">
        <f t="shared" si="145"/>
        <v/>
      </c>
      <c r="FK57" s="251" t="str">
        <f t="shared" si="146"/>
        <v/>
      </c>
      <c r="FL57" s="251" t="str">
        <f t="shared" si="147"/>
        <v/>
      </c>
      <c r="FM57" s="251" t="str">
        <f t="shared" si="148"/>
        <v/>
      </c>
      <c r="FN57" s="251" t="str">
        <f t="shared" si="149"/>
        <v/>
      </c>
      <c r="FO57" s="251" t="str">
        <f t="shared" si="150"/>
        <v/>
      </c>
      <c r="FP57" s="251" t="str">
        <f t="shared" si="151"/>
        <v/>
      </c>
      <c r="FQ57" s="251" t="str">
        <f t="shared" si="152"/>
        <v/>
      </c>
      <c r="FR57" s="251" t="str">
        <f t="shared" si="153"/>
        <v/>
      </c>
      <c r="FS57" s="251" t="str">
        <f t="shared" si="154"/>
        <v/>
      </c>
      <c r="FT57" s="251" t="str">
        <f t="shared" si="155"/>
        <v/>
      </c>
      <c r="FU57" s="251" t="str">
        <f t="shared" si="156"/>
        <v/>
      </c>
      <c r="FV57" s="251" t="str">
        <f t="shared" si="157"/>
        <v/>
      </c>
      <c r="FW57" s="251" t="str">
        <f t="shared" si="158"/>
        <v/>
      </c>
      <c r="FX57" s="251" t="str">
        <f t="shared" si="159"/>
        <v/>
      </c>
      <c r="FY57" s="251" t="str">
        <f t="shared" si="160"/>
        <v/>
      </c>
      <c r="FZ57" s="251" t="str">
        <f t="shared" si="161"/>
        <v/>
      </c>
      <c r="GA57" s="251" t="str">
        <f t="shared" si="162"/>
        <v/>
      </c>
      <c r="GB57" s="251" t="str">
        <f t="shared" si="163"/>
        <v/>
      </c>
      <c r="GC57" s="251" t="str">
        <f t="shared" si="164"/>
        <v/>
      </c>
      <c r="GD57" s="251" t="str">
        <f t="shared" si="165"/>
        <v/>
      </c>
      <c r="GE57" s="251" t="str">
        <f t="shared" si="166"/>
        <v/>
      </c>
      <c r="GF57" s="251" t="str">
        <f t="shared" si="167"/>
        <v/>
      </c>
      <c r="GG57" s="251" t="str">
        <f t="shared" si="168"/>
        <v/>
      </c>
      <c r="GH57" s="251" t="str">
        <f t="shared" si="169"/>
        <v/>
      </c>
      <c r="GI57" s="251" t="str">
        <f t="shared" si="170"/>
        <v/>
      </c>
      <c r="GJ57" s="251" t="str">
        <f t="shared" si="171"/>
        <v/>
      </c>
      <c r="GK57" s="251" t="str">
        <f t="shared" si="172"/>
        <v/>
      </c>
      <c r="GL57" s="251" t="str">
        <f t="shared" si="173"/>
        <v/>
      </c>
      <c r="GM57" s="251" t="str">
        <f t="shared" si="174"/>
        <v/>
      </c>
      <c r="GN57" s="251" t="str">
        <f t="shared" si="175"/>
        <v/>
      </c>
      <c r="GO57" s="251" t="str">
        <f t="shared" si="176"/>
        <v/>
      </c>
      <c r="GP57" s="251" t="str">
        <f t="shared" si="177"/>
        <v/>
      </c>
      <c r="GQ57" s="251" t="str">
        <f t="shared" si="178"/>
        <v/>
      </c>
      <c r="GR57" s="251" t="str">
        <f t="shared" si="179"/>
        <v/>
      </c>
      <c r="GS57" s="251" t="str">
        <f t="shared" si="180"/>
        <v/>
      </c>
      <c r="GT57" s="251" t="str">
        <f t="shared" si="181"/>
        <v/>
      </c>
      <c r="GU57" s="251" t="str">
        <f t="shared" si="182"/>
        <v/>
      </c>
      <c r="GV57" s="251" t="str">
        <f t="shared" si="183"/>
        <v/>
      </c>
      <c r="GW57" s="251" t="str">
        <f t="shared" si="184"/>
        <v/>
      </c>
      <c r="GX57" s="251" t="str">
        <f t="shared" si="185"/>
        <v/>
      </c>
      <c r="GY57" s="251" t="str">
        <f t="shared" si="186"/>
        <v/>
      </c>
      <c r="GZ57" s="251" t="str">
        <f t="shared" si="187"/>
        <v/>
      </c>
      <c r="HA57" s="251" t="str">
        <f t="shared" si="188"/>
        <v/>
      </c>
      <c r="HB57" s="251" t="str">
        <f t="shared" si="189"/>
        <v/>
      </c>
      <c r="HC57" s="251" t="str">
        <f t="shared" si="190"/>
        <v/>
      </c>
      <c r="HD57" s="251" t="str">
        <f t="shared" si="191"/>
        <v/>
      </c>
      <c r="HE57" s="251" t="str">
        <f t="shared" si="192"/>
        <v/>
      </c>
      <c r="HF57" s="251" t="str">
        <f t="shared" si="193"/>
        <v/>
      </c>
      <c r="HG57" s="251" t="str">
        <f t="shared" si="194"/>
        <v/>
      </c>
      <c r="HH57" s="251" t="str">
        <f t="shared" si="195"/>
        <v/>
      </c>
      <c r="HI57" s="251" t="str">
        <f t="shared" si="196"/>
        <v/>
      </c>
      <c r="HJ57" s="251" t="str">
        <f t="shared" si="197"/>
        <v/>
      </c>
      <c r="HK57" s="251" t="str">
        <f t="shared" si="198"/>
        <v/>
      </c>
      <c r="HL57" s="251" t="str">
        <f t="shared" si="199"/>
        <v/>
      </c>
      <c r="HM57" s="251" t="str">
        <f t="shared" si="200"/>
        <v/>
      </c>
      <c r="HN57" s="251" t="str">
        <f t="shared" si="201"/>
        <v/>
      </c>
      <c r="HO57" s="251" t="str">
        <f t="shared" si="202"/>
        <v/>
      </c>
      <c r="HP57" s="251" t="str">
        <f t="shared" si="203"/>
        <v/>
      </c>
      <c r="HQ57" s="251" t="str">
        <f t="shared" si="204"/>
        <v/>
      </c>
      <c r="HR57" s="251" t="str">
        <f t="shared" si="205"/>
        <v/>
      </c>
      <c r="HS57" s="251" t="str">
        <f t="shared" si="206"/>
        <v/>
      </c>
      <c r="HT57" s="251" t="str">
        <f t="shared" si="207"/>
        <v/>
      </c>
      <c r="HU57" s="251" t="str">
        <f t="shared" si="208"/>
        <v/>
      </c>
      <c r="HV57" s="251" t="str">
        <f t="shared" si="209"/>
        <v/>
      </c>
      <c r="HW57" s="251" t="str">
        <f t="shared" si="210"/>
        <v/>
      </c>
      <c r="HX57" s="251" t="str">
        <f t="shared" si="211"/>
        <v/>
      </c>
      <c r="HY57" s="251" t="str">
        <f t="shared" si="212"/>
        <v/>
      </c>
      <c r="HZ57" s="251" t="str">
        <f t="shared" si="213"/>
        <v/>
      </c>
      <c r="IA57" s="251" t="str">
        <f t="shared" si="214"/>
        <v/>
      </c>
      <c r="IB57" s="251" t="str">
        <f t="shared" si="215"/>
        <v/>
      </c>
      <c r="IC57" s="251" t="str">
        <f t="shared" si="216"/>
        <v/>
      </c>
      <c r="ID57" s="251" t="str">
        <f t="shared" si="217"/>
        <v/>
      </c>
      <c r="IE57" s="251" t="str">
        <f t="shared" si="218"/>
        <v/>
      </c>
      <c r="IF57" s="251" t="str">
        <f t="shared" si="219"/>
        <v/>
      </c>
      <c r="IG57" s="251" t="str">
        <f t="shared" si="220"/>
        <v/>
      </c>
      <c r="IH57" s="251" t="str">
        <f t="shared" si="221"/>
        <v/>
      </c>
      <c r="II57" s="251" t="str">
        <f t="shared" si="222"/>
        <v/>
      </c>
      <c r="IJ57" s="251" t="str">
        <f t="shared" si="223"/>
        <v/>
      </c>
      <c r="IK57" s="251" t="str">
        <f t="shared" si="224"/>
        <v/>
      </c>
      <c r="IL57" s="251" t="str">
        <f t="shared" si="225"/>
        <v/>
      </c>
      <c r="IM57" s="251" t="str">
        <f t="shared" si="226"/>
        <v/>
      </c>
      <c r="IN57" s="251" t="str">
        <f t="shared" si="227"/>
        <v/>
      </c>
      <c r="IO57" s="251" t="str">
        <f t="shared" si="228"/>
        <v/>
      </c>
      <c r="IP57" s="251" t="str">
        <f t="shared" si="229"/>
        <v/>
      </c>
      <c r="IQ57" s="251" t="str">
        <f t="shared" si="230"/>
        <v/>
      </c>
      <c r="IR57" s="251" t="str">
        <f t="shared" si="231"/>
        <v/>
      </c>
      <c r="IS57" s="251" t="str">
        <f t="shared" si="232"/>
        <v/>
      </c>
      <c r="IT57" s="251" t="str">
        <f t="shared" si="233"/>
        <v/>
      </c>
      <c r="IU57" s="251" t="str">
        <f t="shared" si="234"/>
        <v/>
      </c>
      <c r="IV57" s="251" t="str">
        <f t="shared" si="235"/>
        <v/>
      </c>
      <c r="IW57" s="251" t="str">
        <f t="shared" si="236"/>
        <v/>
      </c>
      <c r="IX57" s="251" t="str">
        <f t="shared" si="237"/>
        <v/>
      </c>
      <c r="IY57" s="251" t="str">
        <f t="shared" si="238"/>
        <v/>
      </c>
      <c r="IZ57" s="251" t="str">
        <f t="shared" si="239"/>
        <v/>
      </c>
      <c r="JA57" s="251" t="str">
        <f t="shared" si="240"/>
        <v/>
      </c>
      <c r="JB57" s="251" t="str">
        <f t="shared" si="241"/>
        <v/>
      </c>
      <c r="JC57" s="251" t="str">
        <f t="shared" si="242"/>
        <v/>
      </c>
      <c r="JD57" s="251" t="str">
        <f t="shared" si="243"/>
        <v/>
      </c>
      <c r="JE57" s="251" t="str">
        <f t="shared" si="244"/>
        <v/>
      </c>
      <c r="JF57" s="251" t="str">
        <f t="shared" si="245"/>
        <v/>
      </c>
      <c r="JG57" s="251" t="str">
        <f t="shared" si="246"/>
        <v/>
      </c>
      <c r="JH57" s="251" t="str">
        <f t="shared" si="247"/>
        <v/>
      </c>
      <c r="JI57" s="1297" t="str">
        <f t="shared" si="248"/>
        <v/>
      </c>
      <c r="JJ57" s="1297" t="str">
        <f t="shared" si="249"/>
        <v/>
      </c>
      <c r="JK57" s="1297" t="str">
        <f t="shared" si="250"/>
        <v/>
      </c>
      <c r="JL57" s="1297" t="str">
        <f t="shared" si="251"/>
        <v/>
      </c>
      <c r="JM57" s="1297" t="str">
        <f t="shared" si="252"/>
        <v/>
      </c>
      <c r="JN57" s="1297" t="str">
        <f t="shared" si="253"/>
        <v/>
      </c>
      <c r="JO57" s="1297" t="str">
        <f t="shared" si="254"/>
        <v/>
      </c>
      <c r="JP57" s="1297" t="str">
        <f t="shared" si="255"/>
        <v/>
      </c>
      <c r="JQ57" s="1297" t="str">
        <f t="shared" si="256"/>
        <v/>
      </c>
      <c r="JR57" s="1297" t="str">
        <f t="shared" si="257"/>
        <v/>
      </c>
      <c r="JS57" s="1297" t="str">
        <f t="shared" si="258"/>
        <v/>
      </c>
      <c r="JT57" s="1297" t="str">
        <f t="shared" si="259"/>
        <v/>
      </c>
      <c r="JU57" s="1297" t="str">
        <f t="shared" si="260"/>
        <v/>
      </c>
      <c r="JV57" s="1297" t="str">
        <f t="shared" si="261"/>
        <v/>
      </c>
      <c r="JW57" s="1297" t="str">
        <f t="shared" si="262"/>
        <v/>
      </c>
      <c r="JX57" s="1297" t="str">
        <f t="shared" si="263"/>
        <v/>
      </c>
      <c r="JY57" s="1297" t="str">
        <f t="shared" si="264"/>
        <v/>
      </c>
      <c r="JZ57" s="1297" t="str">
        <f t="shared" si="265"/>
        <v/>
      </c>
      <c r="KA57" s="1297" t="str">
        <f t="shared" si="266"/>
        <v/>
      </c>
      <c r="KB57" s="1297" t="str">
        <f t="shared" si="267"/>
        <v/>
      </c>
      <c r="KC57" s="1297" t="str">
        <f t="shared" si="268"/>
        <v/>
      </c>
      <c r="KD57" s="1297" t="str">
        <f t="shared" si="269"/>
        <v/>
      </c>
      <c r="KE57" s="1297" t="str">
        <f t="shared" si="270"/>
        <v/>
      </c>
      <c r="KF57" s="1297" t="str">
        <f t="shared" si="271"/>
        <v/>
      </c>
      <c r="KG57" s="1297" t="str">
        <f t="shared" si="272"/>
        <v/>
      </c>
      <c r="KH57" s="1297" t="str">
        <f t="shared" si="273"/>
        <v/>
      </c>
      <c r="KI57" s="1297" t="str">
        <f t="shared" si="274"/>
        <v/>
      </c>
      <c r="KJ57" s="1297" t="str">
        <f t="shared" si="275"/>
        <v/>
      </c>
      <c r="KK57" s="1297" t="str">
        <f t="shared" si="276"/>
        <v/>
      </c>
      <c r="KL57" s="1297" t="str">
        <f t="shared" si="277"/>
        <v/>
      </c>
      <c r="KM57" s="1297" t="str">
        <f t="shared" si="278"/>
        <v/>
      </c>
      <c r="KN57" s="1297" t="str">
        <f t="shared" si="279"/>
        <v/>
      </c>
      <c r="KO57" s="1297" t="str">
        <f t="shared" si="280"/>
        <v/>
      </c>
      <c r="KP57" s="1297" t="str">
        <f t="shared" si="281"/>
        <v/>
      </c>
      <c r="KQ57" s="1297" t="str">
        <f t="shared" si="282"/>
        <v/>
      </c>
      <c r="KR57" s="1297" t="str">
        <f t="shared" si="283"/>
        <v/>
      </c>
      <c r="KS57" s="1297" t="str">
        <f t="shared" si="284"/>
        <v/>
      </c>
      <c r="KT57" s="1297" t="str">
        <f t="shared" si="285"/>
        <v/>
      </c>
      <c r="KU57" s="1297" t="str">
        <f t="shared" si="286"/>
        <v/>
      </c>
      <c r="KV57" s="1297" t="str">
        <f t="shared" si="287"/>
        <v/>
      </c>
      <c r="KW57" s="1297" t="str">
        <f t="shared" si="288"/>
        <v/>
      </c>
      <c r="KX57" s="1297" t="str">
        <f t="shared" si="289"/>
        <v/>
      </c>
      <c r="KY57" s="1297" t="str">
        <f t="shared" si="290"/>
        <v/>
      </c>
      <c r="KZ57" s="1297" t="str">
        <f t="shared" si="291"/>
        <v/>
      </c>
      <c r="LA57" s="1297" t="str">
        <f t="shared" si="292"/>
        <v/>
      </c>
      <c r="LB57" s="1297" t="str">
        <f t="shared" si="293"/>
        <v/>
      </c>
      <c r="LC57" s="1297" t="str">
        <f t="shared" si="294"/>
        <v/>
      </c>
      <c r="LD57" s="1297" t="str">
        <f t="shared" si="295"/>
        <v/>
      </c>
      <c r="LE57" s="1297" t="str">
        <f t="shared" si="296"/>
        <v/>
      </c>
      <c r="LF57" s="1297" t="str">
        <f t="shared" si="297"/>
        <v/>
      </c>
      <c r="LG57" s="1297" t="str">
        <f t="shared" si="298"/>
        <v/>
      </c>
      <c r="LH57" s="1297" t="str">
        <f t="shared" si="299"/>
        <v/>
      </c>
      <c r="LI57" s="1297" t="str">
        <f t="shared" si="300"/>
        <v/>
      </c>
      <c r="LJ57" s="1297" t="str">
        <f t="shared" si="301"/>
        <v/>
      </c>
      <c r="LK57" s="1297" t="str">
        <f t="shared" si="302"/>
        <v/>
      </c>
      <c r="LL57" s="1297" t="str">
        <f t="shared" si="303"/>
        <v/>
      </c>
      <c r="LM57" s="1297" t="str">
        <f t="shared" si="304"/>
        <v/>
      </c>
      <c r="LN57" s="1297" t="str">
        <f t="shared" si="305"/>
        <v/>
      </c>
      <c r="LO57" s="1297" t="str">
        <f t="shared" si="306"/>
        <v/>
      </c>
      <c r="LP57" s="1297" t="str">
        <f t="shared" si="307"/>
        <v/>
      </c>
      <c r="LQ57" s="1297" t="str">
        <f t="shared" si="308"/>
        <v/>
      </c>
      <c r="LR57" s="1297" t="str">
        <f t="shared" si="309"/>
        <v/>
      </c>
      <c r="LS57" s="1297" t="str">
        <f t="shared" si="310"/>
        <v/>
      </c>
      <c r="LT57" s="1297" t="str">
        <f t="shared" si="311"/>
        <v/>
      </c>
      <c r="LU57" s="1297" t="str">
        <f t="shared" si="312"/>
        <v/>
      </c>
      <c r="LV57" s="1297" t="str">
        <f t="shared" si="313"/>
        <v/>
      </c>
      <c r="LW57" s="1297" t="str">
        <f t="shared" si="314"/>
        <v/>
      </c>
      <c r="LX57" s="1297" t="str">
        <f t="shared" si="315"/>
        <v/>
      </c>
      <c r="LY57" s="1297" t="str">
        <f t="shared" si="316"/>
        <v/>
      </c>
      <c r="LZ57" s="1297" t="str">
        <f t="shared" si="317"/>
        <v/>
      </c>
      <c r="MA57" s="1297" t="str">
        <f t="shared" si="318"/>
        <v/>
      </c>
      <c r="MB57" s="1297" t="str">
        <f t="shared" si="319"/>
        <v/>
      </c>
      <c r="MC57" s="1297" t="str">
        <f t="shared" si="320"/>
        <v/>
      </c>
      <c r="MD57" s="1297" t="str">
        <f t="shared" si="321"/>
        <v/>
      </c>
      <c r="ME57" s="1297" t="str">
        <f t="shared" si="322"/>
        <v/>
      </c>
      <c r="MF57" s="1297" t="str">
        <f t="shared" si="323"/>
        <v/>
      </c>
      <c r="MG57" s="1297" t="str">
        <f t="shared" si="324"/>
        <v/>
      </c>
      <c r="MH57" s="1297" t="str">
        <f t="shared" si="325"/>
        <v/>
      </c>
      <c r="MI57" s="1297" t="str">
        <f t="shared" si="326"/>
        <v/>
      </c>
      <c r="MJ57" s="1297" t="str">
        <f t="shared" si="327"/>
        <v/>
      </c>
      <c r="MK57" s="1297" t="str">
        <f t="shared" si="328"/>
        <v/>
      </c>
      <c r="ML57" s="1297" t="str">
        <f t="shared" si="329"/>
        <v/>
      </c>
      <c r="MM57" s="1297" t="str">
        <f t="shared" si="330"/>
        <v/>
      </c>
      <c r="MN57" s="1297" t="str">
        <f t="shared" si="331"/>
        <v/>
      </c>
      <c r="MO57" s="1297" t="str">
        <f t="shared" si="332"/>
        <v/>
      </c>
      <c r="MP57" s="1773" t="str">
        <f t="shared" si="333"/>
        <v/>
      </c>
      <c r="MQ57" s="1773" t="str">
        <f t="shared" si="334"/>
        <v/>
      </c>
      <c r="MR57" s="1773" t="str">
        <f t="shared" si="335"/>
        <v/>
      </c>
      <c r="MS57" s="1773" t="str">
        <f t="shared" si="336"/>
        <v/>
      </c>
      <c r="MT57" s="1773" t="str">
        <f t="shared" si="337"/>
        <v/>
      </c>
      <c r="MU57" s="251" t="str">
        <f t="shared" si="338"/>
        <v/>
      </c>
      <c r="MV57" s="251" t="str">
        <f t="shared" si="339"/>
        <v/>
      </c>
      <c r="MW57" s="251" t="str">
        <f t="shared" si="340"/>
        <v/>
      </c>
      <c r="MX57" s="251" t="str">
        <f t="shared" si="341"/>
        <v/>
      </c>
      <c r="MY57" s="251" t="str">
        <f t="shared" si="342"/>
        <v/>
      </c>
      <c r="MZ57" s="251" t="str">
        <f t="shared" si="343"/>
        <v/>
      </c>
      <c r="NA57" s="251" t="str">
        <f t="shared" si="344"/>
        <v/>
      </c>
      <c r="NB57" s="251" t="str">
        <f t="shared" si="345"/>
        <v/>
      </c>
      <c r="NC57" s="251" t="str">
        <f t="shared" si="346"/>
        <v/>
      </c>
      <c r="ND57" s="251" t="str">
        <f t="shared" si="347"/>
        <v/>
      </c>
      <c r="NE57" s="251" t="str">
        <f t="shared" si="348"/>
        <v/>
      </c>
      <c r="NF57" s="251" t="str">
        <f t="shared" si="349"/>
        <v/>
      </c>
      <c r="NG57" s="251" t="str">
        <f t="shared" si="350"/>
        <v/>
      </c>
      <c r="NH57" s="251" t="str">
        <f t="shared" si="351"/>
        <v/>
      </c>
      <c r="NI57" s="251" t="str">
        <f t="shared" si="352"/>
        <v/>
      </c>
      <c r="NJ57" s="251" t="str">
        <f t="shared" si="353"/>
        <v/>
      </c>
      <c r="NK57" s="251" t="str">
        <f t="shared" si="354"/>
        <v/>
      </c>
      <c r="NL57" s="251" t="str">
        <f t="shared" si="355"/>
        <v/>
      </c>
      <c r="NM57" s="251" t="str">
        <f t="shared" si="356"/>
        <v/>
      </c>
      <c r="NN57" s="251" t="str">
        <f t="shared" si="357"/>
        <v/>
      </c>
      <c r="NO57" s="1185">
        <f t="shared" si="358"/>
        <v>0</v>
      </c>
      <c r="NP57" s="1185">
        <f t="shared" si="359"/>
        <v>0</v>
      </c>
      <c r="NQ57" s="1185">
        <f t="shared" si="360"/>
        <v>0</v>
      </c>
      <c r="NR57" s="1185">
        <f t="shared" si="361"/>
        <v>0</v>
      </c>
      <c r="NS57" s="1185">
        <f t="shared" si="362"/>
        <v>0</v>
      </c>
      <c r="NT57" s="1185">
        <f t="shared" si="368"/>
        <v>0</v>
      </c>
      <c r="NU57" s="1185">
        <f t="shared" si="369"/>
        <v>0</v>
      </c>
      <c r="NV57" s="1185">
        <f t="shared" si="370"/>
        <v>0</v>
      </c>
      <c r="NW57" s="1185">
        <f t="shared" si="371"/>
        <v>0</v>
      </c>
      <c r="NX57" s="1185">
        <f t="shared" si="372"/>
        <v>0</v>
      </c>
      <c r="NY57" s="1185">
        <f t="shared" si="363"/>
        <v>0</v>
      </c>
      <c r="NZ57" s="1185">
        <f t="shared" si="364"/>
        <v>0</v>
      </c>
      <c r="OA57" s="1185">
        <f t="shared" si="365"/>
        <v>0</v>
      </c>
      <c r="OB57" s="1185">
        <f t="shared" si="366"/>
        <v>0</v>
      </c>
      <c r="OC57" s="1185">
        <f t="shared" si="367"/>
        <v>0</v>
      </c>
      <c r="OY57" s="1794" t="s">
        <v>1196</v>
      </c>
      <c r="OZ57" s="1799">
        <v>53</v>
      </c>
    </row>
    <row r="58" spans="1:416" s="77" customFormat="1" ht="12.75" customHeight="1">
      <c r="A58" s="2614">
        <f>COUNT(A11,A12,A13,A14,A15,A16,A17,A18,A19,A20,A21,A22,A23,A24,A25,A26,A27,A28,A29,A30,A31,A32,A33,A34,A35,A36,A37,A38,A39,A40,A41,A42,A43,A44,A45,A46,A47,A48,A49,A50,A51,A52,A53,A54,A55,A56,A57)</f>
        <v>0</v>
      </c>
      <c r="B58" s="3821" t="s">
        <v>1197</v>
      </c>
      <c r="C58" s="3822"/>
      <c r="D58" s="72" t="s">
        <v>1198</v>
      </c>
      <c r="E58" s="778">
        <f>SUM(E11:E57)</f>
        <v>96</v>
      </c>
      <c r="F58" s="776">
        <f>(E11*F11+E12*F12+E13*F13+E14*F14+E15*F15+E16*F16+E17*F17+E18*F18+E19*F19+E20*F20+E21*F21+E22*F22+E23*F23+E24*F24+E25*F25+E26*F26+E27*F27+E28*F28+E29*F29+E30*F30+E31*F31+E32*F32+E33*F33+E34*F34+E35*F35+E36*F36+E37*F37+E38*F38+E39*F39+E40*F40+E41*F41+E42*F42+E43*F43+E44*F44+E45*F45+E46*F46+E47*F47+E48*F48+E49*F49+E50*F50+E51*F51+E52*F52+E53*F53+E54*F54+E55*F55+E56*F56+E57*F57)</f>
        <v>96504</v>
      </c>
      <c r="H58" s="3823" t="s">
        <v>1199</v>
      </c>
      <c r="I58" s="2715" t="s">
        <v>1200</v>
      </c>
      <c r="J58" s="2716" t="str">
        <f>IF(P76=0,"",IF(SUM(P67:P71)/P76&gt;=0.4,"Pass","Fail"))</f>
        <v>Pass</v>
      </c>
      <c r="K58" s="320"/>
      <c r="L58" s="510" t="s">
        <v>1201</v>
      </c>
      <c r="M58" s="2717">
        <f>SUM(M11:M57)</f>
        <v>69353</v>
      </c>
      <c r="N58" s="43"/>
      <c r="O58" s="43"/>
      <c r="P58" s="43"/>
      <c r="Q58" s="43"/>
      <c r="R58" s="43"/>
      <c r="S58" s="43"/>
      <c r="T58" s="43"/>
      <c r="U58" s="43"/>
      <c r="V58" s="501"/>
      <c r="W58" s="321"/>
      <c r="X58" s="1186">
        <f t="shared" ref="X58:GJ58" si="648">SUM(X11:X57)</f>
        <v>0</v>
      </c>
      <c r="Y58" s="1186">
        <f t="shared" si="648"/>
        <v>0</v>
      </c>
      <c r="Z58" s="1186">
        <f t="shared" si="648"/>
        <v>0</v>
      </c>
      <c r="AA58" s="1186">
        <f t="shared" si="648"/>
        <v>0</v>
      </c>
      <c r="AB58" s="1186">
        <f t="shared" si="648"/>
        <v>0</v>
      </c>
      <c r="AC58" s="1186">
        <f t="shared" si="648"/>
        <v>0</v>
      </c>
      <c r="AD58" s="1186">
        <f t="shared" si="648"/>
        <v>0</v>
      </c>
      <c r="AE58" s="1186">
        <f t="shared" si="648"/>
        <v>0</v>
      </c>
      <c r="AF58" s="1186">
        <f t="shared" si="648"/>
        <v>0</v>
      </c>
      <c r="AG58" s="1186">
        <f t="shared" si="648"/>
        <v>0</v>
      </c>
      <c r="AH58" s="1186">
        <f t="shared" si="648"/>
        <v>0</v>
      </c>
      <c r="AI58" s="1186">
        <f t="shared" si="648"/>
        <v>19</v>
      </c>
      <c r="AJ58" s="1186">
        <f t="shared" si="648"/>
        <v>38</v>
      </c>
      <c r="AK58" s="1186">
        <f t="shared" si="648"/>
        <v>19</v>
      </c>
      <c r="AL58" s="1186">
        <f t="shared" si="648"/>
        <v>0</v>
      </c>
      <c r="AM58" s="1186">
        <f>SUM(AM11:AM57)</f>
        <v>0</v>
      </c>
      <c r="AN58" s="1186">
        <f>SUM(AN11:AN57)</f>
        <v>5</v>
      </c>
      <c r="AO58" s="1186">
        <f>SUM(AO11:AO57)</f>
        <v>10</v>
      </c>
      <c r="AP58" s="1186">
        <f>SUM(AP11:AP57)</f>
        <v>5</v>
      </c>
      <c r="AQ58" s="1186">
        <f>SUM(AQ11:AQ57)</f>
        <v>0</v>
      </c>
      <c r="AR58" s="1186">
        <f t="shared" si="648"/>
        <v>0</v>
      </c>
      <c r="AS58" s="1186">
        <f t="shared" si="648"/>
        <v>0</v>
      </c>
      <c r="AT58" s="1186">
        <f t="shared" si="648"/>
        <v>0</v>
      </c>
      <c r="AU58" s="1186">
        <f t="shared" si="648"/>
        <v>0</v>
      </c>
      <c r="AV58" s="1186">
        <f t="shared" si="648"/>
        <v>0</v>
      </c>
      <c r="AW58" s="1186">
        <f t="shared" si="648"/>
        <v>0</v>
      </c>
      <c r="AX58" s="1186">
        <f t="shared" si="648"/>
        <v>0</v>
      </c>
      <c r="AY58" s="1186">
        <f t="shared" si="648"/>
        <v>0</v>
      </c>
      <c r="AZ58" s="1186">
        <f t="shared" si="648"/>
        <v>0</v>
      </c>
      <c r="BA58" s="1186">
        <f t="shared" si="648"/>
        <v>0</v>
      </c>
      <c r="BB58" s="1186">
        <f>SUM(BB11:BB57)</f>
        <v>0</v>
      </c>
      <c r="BC58" s="1186">
        <f>SUM(BC11:BC57)</f>
        <v>0</v>
      </c>
      <c r="BD58" s="1186">
        <f>SUM(BD11:BD57)</f>
        <v>0</v>
      </c>
      <c r="BE58" s="1186">
        <f>SUM(BE11:BE57)</f>
        <v>0</v>
      </c>
      <c r="BF58" s="1186">
        <f>SUM(BF11:BF57)</f>
        <v>0</v>
      </c>
      <c r="BG58" s="1186">
        <f t="shared" si="648"/>
        <v>0</v>
      </c>
      <c r="BH58" s="1186">
        <f t="shared" si="648"/>
        <v>0</v>
      </c>
      <c r="BI58" s="1186">
        <f t="shared" si="648"/>
        <v>0</v>
      </c>
      <c r="BJ58" s="1186">
        <f t="shared" si="648"/>
        <v>0</v>
      </c>
      <c r="BK58" s="1186">
        <f t="shared" si="648"/>
        <v>0</v>
      </c>
      <c r="BL58" s="1186">
        <f>SUM(BL11:BL57)</f>
        <v>0</v>
      </c>
      <c r="BM58" s="1186">
        <f>SUM(BM11:BM57)</f>
        <v>0</v>
      </c>
      <c r="BN58" s="1186">
        <f>SUM(BN11:BN57)</f>
        <v>0</v>
      </c>
      <c r="BO58" s="1186">
        <f>SUM(BO11:BO57)</f>
        <v>0</v>
      </c>
      <c r="BP58" s="1186">
        <f>SUM(BP11:BP57)</f>
        <v>0</v>
      </c>
      <c r="BQ58" s="1186">
        <f t="shared" si="648"/>
        <v>0</v>
      </c>
      <c r="BR58" s="1186">
        <f t="shared" si="648"/>
        <v>0</v>
      </c>
      <c r="BS58" s="1186">
        <f t="shared" si="648"/>
        <v>0</v>
      </c>
      <c r="BT58" s="1186">
        <f t="shared" si="648"/>
        <v>0</v>
      </c>
      <c r="BU58" s="1186">
        <f t="shared" si="648"/>
        <v>0</v>
      </c>
      <c r="BV58" s="1186">
        <f>SUM(BV11:BV57)</f>
        <v>0</v>
      </c>
      <c r="BW58" s="1186">
        <f>SUM(BW11:BW57)</f>
        <v>0</v>
      </c>
      <c r="BX58" s="1186">
        <f>SUM(BX11:BX57)</f>
        <v>0</v>
      </c>
      <c r="BY58" s="1186">
        <f>SUM(BY11:BY57)</f>
        <v>0</v>
      </c>
      <c r="BZ58" s="1186">
        <f>SUM(BZ11:BZ57)</f>
        <v>0</v>
      </c>
      <c r="CA58" s="1186">
        <f t="shared" si="648"/>
        <v>0</v>
      </c>
      <c r="CB58" s="1186">
        <f t="shared" si="648"/>
        <v>0</v>
      </c>
      <c r="CC58" s="1186">
        <f t="shared" si="648"/>
        <v>0</v>
      </c>
      <c r="CD58" s="1186">
        <f t="shared" si="648"/>
        <v>0</v>
      </c>
      <c r="CE58" s="1186">
        <f t="shared" si="648"/>
        <v>0</v>
      </c>
      <c r="CF58" s="1186">
        <f t="shared" si="648"/>
        <v>0</v>
      </c>
      <c r="CG58" s="1186">
        <f t="shared" si="648"/>
        <v>0</v>
      </c>
      <c r="CH58" s="1186">
        <f t="shared" si="648"/>
        <v>0</v>
      </c>
      <c r="CI58" s="1186">
        <f t="shared" si="648"/>
        <v>0</v>
      </c>
      <c r="CJ58" s="1186">
        <f t="shared" si="648"/>
        <v>0</v>
      </c>
      <c r="CK58" s="1186">
        <f>SUM(CK11:CK57)</f>
        <v>0</v>
      </c>
      <c r="CL58" s="1186">
        <f>SUM(CL11:CL57)</f>
        <v>0</v>
      </c>
      <c r="CM58" s="1186">
        <f>SUM(CM11:CM57)</f>
        <v>0</v>
      </c>
      <c r="CN58" s="1186">
        <f>SUM(CN11:CN57)</f>
        <v>0</v>
      </c>
      <c r="CO58" s="1186">
        <f>SUM(CO11:CO57)</f>
        <v>0</v>
      </c>
      <c r="CP58" s="1186">
        <f t="shared" ref="CP58:CY58" si="649">SUM(CP11:CP57)</f>
        <v>0</v>
      </c>
      <c r="CQ58" s="1186">
        <f t="shared" si="649"/>
        <v>0</v>
      </c>
      <c r="CR58" s="1186">
        <f t="shared" si="649"/>
        <v>0</v>
      </c>
      <c r="CS58" s="1186">
        <f t="shared" si="649"/>
        <v>0</v>
      </c>
      <c r="CT58" s="1186">
        <f t="shared" si="649"/>
        <v>0</v>
      </c>
      <c r="CU58" s="1186">
        <f t="shared" si="649"/>
        <v>0</v>
      </c>
      <c r="CV58" s="1186">
        <f t="shared" si="649"/>
        <v>0</v>
      </c>
      <c r="CW58" s="1186">
        <f t="shared" si="649"/>
        <v>0</v>
      </c>
      <c r="CX58" s="1186">
        <f t="shared" si="649"/>
        <v>0</v>
      </c>
      <c r="CY58" s="1186">
        <f t="shared" si="649"/>
        <v>0</v>
      </c>
      <c r="CZ58" s="1186">
        <f t="shared" si="648"/>
        <v>0</v>
      </c>
      <c r="DA58" s="1186">
        <f t="shared" si="648"/>
        <v>0</v>
      </c>
      <c r="DB58" s="1186">
        <f t="shared" si="648"/>
        <v>0</v>
      </c>
      <c r="DC58" s="1186">
        <f t="shared" si="648"/>
        <v>0</v>
      </c>
      <c r="DD58" s="1186">
        <f t="shared" si="648"/>
        <v>0</v>
      </c>
      <c r="DE58" s="1186">
        <f t="shared" si="648"/>
        <v>0</v>
      </c>
      <c r="DF58" s="1186">
        <f t="shared" si="648"/>
        <v>0</v>
      </c>
      <c r="DG58" s="1186">
        <f t="shared" si="648"/>
        <v>0</v>
      </c>
      <c r="DH58" s="1186">
        <f t="shared" si="648"/>
        <v>0</v>
      </c>
      <c r="DI58" s="1186">
        <f t="shared" si="648"/>
        <v>0</v>
      </c>
      <c r="DJ58" s="1186">
        <f t="shared" si="648"/>
        <v>0</v>
      </c>
      <c r="DK58" s="1186">
        <f t="shared" si="648"/>
        <v>0</v>
      </c>
      <c r="DL58" s="1186">
        <f t="shared" si="648"/>
        <v>0</v>
      </c>
      <c r="DM58" s="1186">
        <f t="shared" si="648"/>
        <v>0</v>
      </c>
      <c r="DN58" s="1186">
        <f t="shared" si="648"/>
        <v>0</v>
      </c>
      <c r="DO58" s="1186">
        <f t="shared" si="648"/>
        <v>0</v>
      </c>
      <c r="DP58" s="1186">
        <f t="shared" si="648"/>
        <v>0</v>
      </c>
      <c r="DQ58" s="1186">
        <f t="shared" si="648"/>
        <v>0</v>
      </c>
      <c r="DR58" s="1186">
        <f t="shared" si="648"/>
        <v>0</v>
      </c>
      <c r="DS58" s="1186">
        <f t="shared" si="648"/>
        <v>0</v>
      </c>
      <c r="DT58" s="1186">
        <f t="shared" si="648"/>
        <v>0</v>
      </c>
      <c r="DU58" s="1186">
        <f t="shared" si="648"/>
        <v>0</v>
      </c>
      <c r="DV58" s="1186">
        <f t="shared" si="648"/>
        <v>0</v>
      </c>
      <c r="DW58" s="1186">
        <f t="shared" si="648"/>
        <v>0</v>
      </c>
      <c r="DX58" s="1186">
        <f t="shared" si="648"/>
        <v>0</v>
      </c>
      <c r="DY58" s="1186">
        <f t="shared" si="648"/>
        <v>0</v>
      </c>
      <c r="DZ58" s="1186">
        <f t="shared" si="648"/>
        <v>0</v>
      </c>
      <c r="EA58" s="1186">
        <f t="shared" si="648"/>
        <v>0</v>
      </c>
      <c r="EB58" s="1186">
        <f t="shared" si="648"/>
        <v>0</v>
      </c>
      <c r="EC58" s="1186">
        <f t="shared" si="648"/>
        <v>0</v>
      </c>
      <c r="ED58" s="1186">
        <f t="shared" si="648"/>
        <v>0</v>
      </c>
      <c r="EE58" s="1186">
        <f t="shared" si="648"/>
        <v>0</v>
      </c>
      <c r="EF58" s="1186">
        <f t="shared" si="648"/>
        <v>0</v>
      </c>
      <c r="EG58" s="1186">
        <f t="shared" si="648"/>
        <v>0</v>
      </c>
      <c r="EH58" s="1186">
        <f t="shared" si="648"/>
        <v>0</v>
      </c>
      <c r="EI58" s="1186">
        <f t="shared" ref="EI58:FL58" si="650">SUM(EI11:EI57)</f>
        <v>0</v>
      </c>
      <c r="EJ58" s="1186">
        <f t="shared" si="650"/>
        <v>0</v>
      </c>
      <c r="EK58" s="1186">
        <f t="shared" si="650"/>
        <v>0</v>
      </c>
      <c r="EL58" s="1186">
        <f t="shared" si="650"/>
        <v>0</v>
      </c>
      <c r="EM58" s="1186">
        <f t="shared" si="650"/>
        <v>0</v>
      </c>
      <c r="EN58" s="1186">
        <f t="shared" si="650"/>
        <v>0</v>
      </c>
      <c r="EO58" s="1186">
        <f t="shared" si="650"/>
        <v>0</v>
      </c>
      <c r="EP58" s="1186">
        <f t="shared" si="650"/>
        <v>0</v>
      </c>
      <c r="EQ58" s="1186">
        <f t="shared" si="650"/>
        <v>0</v>
      </c>
      <c r="ER58" s="1186">
        <f t="shared" si="650"/>
        <v>0</v>
      </c>
      <c r="ES58" s="1186">
        <f t="shared" si="650"/>
        <v>0</v>
      </c>
      <c r="ET58" s="1186">
        <f t="shared" si="650"/>
        <v>0</v>
      </c>
      <c r="EU58" s="1186">
        <f t="shared" si="650"/>
        <v>0</v>
      </c>
      <c r="EV58" s="1186">
        <f t="shared" si="650"/>
        <v>0</v>
      </c>
      <c r="EW58" s="1186">
        <f t="shared" si="650"/>
        <v>0</v>
      </c>
      <c r="EX58" s="1186">
        <f t="shared" si="650"/>
        <v>0</v>
      </c>
      <c r="EY58" s="1186">
        <f t="shared" si="650"/>
        <v>0</v>
      </c>
      <c r="EZ58" s="1186">
        <f t="shared" si="650"/>
        <v>0</v>
      </c>
      <c r="FA58" s="1186">
        <f t="shared" si="650"/>
        <v>0</v>
      </c>
      <c r="FB58" s="1186">
        <f t="shared" si="650"/>
        <v>0</v>
      </c>
      <c r="FC58" s="1186">
        <f t="shared" si="650"/>
        <v>0</v>
      </c>
      <c r="FD58" s="1186">
        <f t="shared" si="650"/>
        <v>0</v>
      </c>
      <c r="FE58" s="1186">
        <f t="shared" si="650"/>
        <v>0</v>
      </c>
      <c r="FF58" s="1186">
        <f t="shared" si="650"/>
        <v>0</v>
      </c>
      <c r="FG58" s="1186">
        <f t="shared" si="650"/>
        <v>0</v>
      </c>
      <c r="FH58" s="1186">
        <f t="shared" si="650"/>
        <v>0</v>
      </c>
      <c r="FI58" s="1186">
        <f t="shared" si="650"/>
        <v>0</v>
      </c>
      <c r="FJ58" s="1186">
        <f t="shared" si="650"/>
        <v>0</v>
      </c>
      <c r="FK58" s="1186">
        <f t="shared" si="650"/>
        <v>0</v>
      </c>
      <c r="FL58" s="1186">
        <f t="shared" si="650"/>
        <v>0</v>
      </c>
      <c r="FM58" s="1186">
        <f t="shared" si="648"/>
        <v>0</v>
      </c>
      <c r="FN58" s="1186">
        <f t="shared" si="648"/>
        <v>0</v>
      </c>
      <c r="FO58" s="1186">
        <f t="shared" si="648"/>
        <v>0</v>
      </c>
      <c r="FP58" s="1186">
        <f t="shared" si="648"/>
        <v>0</v>
      </c>
      <c r="FQ58" s="1186">
        <f t="shared" si="648"/>
        <v>0</v>
      </c>
      <c r="FR58" s="1186">
        <f t="shared" si="648"/>
        <v>0</v>
      </c>
      <c r="FS58" s="1186">
        <f t="shared" si="648"/>
        <v>0</v>
      </c>
      <c r="FT58" s="1186">
        <f t="shared" si="648"/>
        <v>0</v>
      </c>
      <c r="FU58" s="1186">
        <f t="shared" si="648"/>
        <v>0</v>
      </c>
      <c r="FV58" s="1186">
        <f t="shared" si="648"/>
        <v>0</v>
      </c>
      <c r="FW58" s="1186">
        <f t="shared" si="648"/>
        <v>0</v>
      </c>
      <c r="FX58" s="1186">
        <f t="shared" si="648"/>
        <v>0</v>
      </c>
      <c r="FY58" s="1186">
        <f t="shared" si="648"/>
        <v>0</v>
      </c>
      <c r="FZ58" s="1186">
        <f t="shared" si="648"/>
        <v>0</v>
      </c>
      <c r="GA58" s="1186">
        <f t="shared" si="648"/>
        <v>0</v>
      </c>
      <c r="GB58" s="1186">
        <f t="shared" si="648"/>
        <v>0</v>
      </c>
      <c r="GC58" s="1186">
        <f t="shared" si="648"/>
        <v>14611</v>
      </c>
      <c r="GD58" s="1186">
        <f t="shared" si="648"/>
        <v>39558</v>
      </c>
      <c r="GE58" s="1186">
        <f t="shared" si="648"/>
        <v>22230</v>
      </c>
      <c r="GF58" s="1186">
        <f t="shared" si="648"/>
        <v>0</v>
      </c>
      <c r="GG58" s="1186">
        <f t="shared" si="648"/>
        <v>0</v>
      </c>
      <c r="GH58" s="1186">
        <f t="shared" si="648"/>
        <v>3845</v>
      </c>
      <c r="GI58" s="1186">
        <f t="shared" si="648"/>
        <v>10410</v>
      </c>
      <c r="GJ58" s="1186">
        <f t="shared" si="648"/>
        <v>5850</v>
      </c>
      <c r="GK58" s="1186">
        <f t="shared" ref="GK58:JF58" si="651">SUM(GK11:GK57)</f>
        <v>0</v>
      </c>
      <c r="GL58" s="1186">
        <f>SUM(GL11:GL57)</f>
        <v>0</v>
      </c>
      <c r="GM58" s="1186">
        <f>SUM(GM11:GM57)</f>
        <v>0</v>
      </c>
      <c r="GN58" s="1186">
        <f>SUM(GN11:GN57)</f>
        <v>0</v>
      </c>
      <c r="GO58" s="1186">
        <f>SUM(GO11:GO57)</f>
        <v>0</v>
      </c>
      <c r="GP58" s="1186">
        <f>SUM(GP11:GP57)</f>
        <v>0</v>
      </c>
      <c r="GQ58" s="1186">
        <f t="shared" si="651"/>
        <v>0</v>
      </c>
      <c r="GR58" s="1186">
        <f t="shared" si="651"/>
        <v>0</v>
      </c>
      <c r="GS58" s="1186">
        <f t="shared" si="651"/>
        <v>0</v>
      </c>
      <c r="GT58" s="1186">
        <f t="shared" si="651"/>
        <v>0</v>
      </c>
      <c r="GU58" s="1186">
        <f t="shared" si="651"/>
        <v>0</v>
      </c>
      <c r="GV58" s="1186">
        <f>SUM(GV11:GV57)</f>
        <v>0</v>
      </c>
      <c r="GW58" s="1186">
        <f>SUM(GW11:GW57)</f>
        <v>0</v>
      </c>
      <c r="GX58" s="1186">
        <f>SUM(GX11:GX57)</f>
        <v>0</v>
      </c>
      <c r="GY58" s="1186">
        <f>SUM(GY11:GY57)</f>
        <v>0</v>
      </c>
      <c r="GZ58" s="1186">
        <f>SUM(GZ11:GZ57)</f>
        <v>0</v>
      </c>
      <c r="HA58" s="1186">
        <f t="shared" si="651"/>
        <v>0</v>
      </c>
      <c r="HB58" s="1186">
        <f t="shared" si="651"/>
        <v>0</v>
      </c>
      <c r="HC58" s="1186">
        <f t="shared" si="651"/>
        <v>0</v>
      </c>
      <c r="HD58" s="1186">
        <f t="shared" si="651"/>
        <v>0</v>
      </c>
      <c r="HE58" s="1186">
        <f t="shared" si="651"/>
        <v>0</v>
      </c>
      <c r="HF58" s="1186">
        <f t="shared" si="651"/>
        <v>0</v>
      </c>
      <c r="HG58" s="1186">
        <f t="shared" si="651"/>
        <v>0</v>
      </c>
      <c r="HH58" s="1186">
        <f t="shared" si="651"/>
        <v>0</v>
      </c>
      <c r="HI58" s="1186">
        <f t="shared" si="651"/>
        <v>0</v>
      </c>
      <c r="HJ58" s="1186">
        <f t="shared" si="651"/>
        <v>0</v>
      </c>
      <c r="HK58" s="1186">
        <f t="shared" si="651"/>
        <v>0</v>
      </c>
      <c r="HL58" s="1186">
        <f t="shared" si="651"/>
        <v>0</v>
      </c>
      <c r="HM58" s="1186">
        <f t="shared" si="651"/>
        <v>0</v>
      </c>
      <c r="HN58" s="1186">
        <f t="shared" si="651"/>
        <v>0</v>
      </c>
      <c r="HO58" s="1186">
        <f t="shared" si="651"/>
        <v>0</v>
      </c>
      <c r="HP58" s="1186">
        <f t="shared" si="651"/>
        <v>0</v>
      </c>
      <c r="HQ58" s="1186">
        <f t="shared" si="651"/>
        <v>0</v>
      </c>
      <c r="HR58" s="1186">
        <f t="shared" si="651"/>
        <v>0</v>
      </c>
      <c r="HS58" s="1186">
        <f t="shared" si="651"/>
        <v>0</v>
      </c>
      <c r="HT58" s="1186">
        <f t="shared" si="651"/>
        <v>0</v>
      </c>
      <c r="HU58" s="1186">
        <f t="shared" si="651"/>
        <v>0</v>
      </c>
      <c r="HV58" s="1186">
        <f t="shared" si="651"/>
        <v>0</v>
      </c>
      <c r="HW58" s="1186">
        <f t="shared" si="651"/>
        <v>0</v>
      </c>
      <c r="HX58" s="1186">
        <f t="shared" si="651"/>
        <v>0</v>
      </c>
      <c r="HY58" s="1186">
        <f t="shared" si="651"/>
        <v>0</v>
      </c>
      <c r="HZ58" s="1186">
        <f t="shared" si="651"/>
        <v>0</v>
      </c>
      <c r="IA58" s="1186">
        <f t="shared" si="651"/>
        <v>0</v>
      </c>
      <c r="IB58" s="1186">
        <f t="shared" si="651"/>
        <v>0</v>
      </c>
      <c r="IC58" s="1186">
        <f t="shared" si="651"/>
        <v>0</v>
      </c>
      <c r="ID58" s="1186">
        <f t="shared" si="651"/>
        <v>0</v>
      </c>
      <c r="IE58" s="1186">
        <f t="shared" si="651"/>
        <v>0</v>
      </c>
      <c r="IF58" s="1186">
        <f t="shared" si="651"/>
        <v>24</v>
      </c>
      <c r="IG58" s="1186">
        <f t="shared" si="651"/>
        <v>48</v>
      </c>
      <c r="IH58" s="1186">
        <f t="shared" si="651"/>
        <v>24</v>
      </c>
      <c r="II58" s="1186">
        <f t="shared" si="651"/>
        <v>0</v>
      </c>
      <c r="IJ58" s="1186">
        <f t="shared" si="651"/>
        <v>0</v>
      </c>
      <c r="IK58" s="1186">
        <f t="shared" si="651"/>
        <v>0</v>
      </c>
      <c r="IL58" s="1186">
        <f t="shared" si="651"/>
        <v>0</v>
      </c>
      <c r="IM58" s="1186">
        <f t="shared" si="651"/>
        <v>0</v>
      </c>
      <c r="IN58" s="1186">
        <f t="shared" si="651"/>
        <v>0</v>
      </c>
      <c r="IO58" s="1186">
        <f t="shared" si="651"/>
        <v>0</v>
      </c>
      <c r="IP58" s="1186">
        <f t="shared" si="651"/>
        <v>0</v>
      </c>
      <c r="IQ58" s="1186">
        <f t="shared" si="651"/>
        <v>0</v>
      </c>
      <c r="IR58" s="1186">
        <f t="shared" si="651"/>
        <v>0</v>
      </c>
      <c r="IS58" s="1186">
        <f t="shared" si="651"/>
        <v>0</v>
      </c>
      <c r="IT58" s="1186">
        <f t="shared" si="651"/>
        <v>0</v>
      </c>
      <c r="IU58" s="1186">
        <f t="shared" si="651"/>
        <v>0</v>
      </c>
      <c r="IV58" s="1186">
        <f t="shared" si="651"/>
        <v>0</v>
      </c>
      <c r="IW58" s="1186">
        <f t="shared" si="651"/>
        <v>0</v>
      </c>
      <c r="IX58" s="1186">
        <f t="shared" si="651"/>
        <v>0</v>
      </c>
      <c r="IY58" s="1186">
        <f t="shared" si="651"/>
        <v>0</v>
      </c>
      <c r="IZ58" s="1186">
        <f t="shared" si="651"/>
        <v>0</v>
      </c>
      <c r="JA58" s="1186">
        <f t="shared" si="651"/>
        <v>0</v>
      </c>
      <c r="JB58" s="1186">
        <f t="shared" si="651"/>
        <v>0</v>
      </c>
      <c r="JC58" s="1186">
        <f t="shared" si="651"/>
        <v>0</v>
      </c>
      <c r="JD58" s="1186">
        <f t="shared" si="651"/>
        <v>0</v>
      </c>
      <c r="JE58" s="1186">
        <f t="shared" si="651"/>
        <v>0</v>
      </c>
      <c r="JF58" s="1186">
        <f t="shared" si="651"/>
        <v>0</v>
      </c>
      <c r="JG58" s="1186">
        <f t="shared" ref="JG58:LP58" si="652">SUM(JG11:JG57)</f>
        <v>0</v>
      </c>
      <c r="JH58" s="1186">
        <f t="shared" si="652"/>
        <v>0</v>
      </c>
      <c r="JI58" s="1186">
        <f t="shared" si="652"/>
        <v>0</v>
      </c>
      <c r="JJ58" s="1186">
        <f t="shared" si="652"/>
        <v>24</v>
      </c>
      <c r="JK58" s="1186">
        <f t="shared" si="652"/>
        <v>48</v>
      </c>
      <c r="JL58" s="1186">
        <f t="shared" si="652"/>
        <v>24</v>
      </c>
      <c r="JM58" s="1186">
        <f t="shared" si="652"/>
        <v>0</v>
      </c>
      <c r="JN58" s="1186">
        <f t="shared" si="652"/>
        <v>0</v>
      </c>
      <c r="JO58" s="1186">
        <f t="shared" si="652"/>
        <v>0</v>
      </c>
      <c r="JP58" s="1186">
        <f t="shared" si="652"/>
        <v>0</v>
      </c>
      <c r="JQ58" s="1186">
        <f t="shared" si="652"/>
        <v>0</v>
      </c>
      <c r="JR58" s="1186">
        <f t="shared" si="652"/>
        <v>0</v>
      </c>
      <c r="JS58" s="1186">
        <f t="shared" si="652"/>
        <v>0</v>
      </c>
      <c r="JT58" s="1186">
        <f t="shared" si="652"/>
        <v>0</v>
      </c>
      <c r="JU58" s="1186">
        <f t="shared" si="652"/>
        <v>0</v>
      </c>
      <c r="JV58" s="1186">
        <f t="shared" si="652"/>
        <v>0</v>
      </c>
      <c r="JW58" s="1186">
        <f t="shared" si="652"/>
        <v>0</v>
      </c>
      <c r="JX58" s="1186">
        <f t="shared" si="652"/>
        <v>0</v>
      </c>
      <c r="JY58" s="1186">
        <f t="shared" si="652"/>
        <v>0</v>
      </c>
      <c r="JZ58" s="1186">
        <f t="shared" si="652"/>
        <v>0</v>
      </c>
      <c r="KA58" s="1186">
        <f t="shared" si="652"/>
        <v>0</v>
      </c>
      <c r="KB58" s="1186">
        <f t="shared" si="652"/>
        <v>0</v>
      </c>
      <c r="KC58" s="1186">
        <f t="shared" si="652"/>
        <v>0</v>
      </c>
      <c r="KD58" s="1186">
        <f t="shared" si="652"/>
        <v>0</v>
      </c>
      <c r="KE58" s="1186">
        <f t="shared" si="652"/>
        <v>0</v>
      </c>
      <c r="KF58" s="1186">
        <f t="shared" si="652"/>
        <v>0</v>
      </c>
      <c r="KG58" s="1186">
        <f t="shared" si="652"/>
        <v>0</v>
      </c>
      <c r="KH58" s="1186">
        <f t="shared" si="652"/>
        <v>0</v>
      </c>
      <c r="KI58" s="1186">
        <f t="shared" si="652"/>
        <v>0</v>
      </c>
      <c r="KJ58" s="1186">
        <f t="shared" si="652"/>
        <v>0</v>
      </c>
      <c r="KK58" s="1186">
        <f t="shared" si="652"/>
        <v>0</v>
      </c>
      <c r="KL58" s="1186">
        <f t="shared" si="652"/>
        <v>0</v>
      </c>
      <c r="KM58" s="1186">
        <f t="shared" si="652"/>
        <v>0</v>
      </c>
      <c r="KN58" s="1186">
        <f t="shared" si="652"/>
        <v>0</v>
      </c>
      <c r="KO58" s="1186">
        <f t="shared" si="652"/>
        <v>0</v>
      </c>
      <c r="KP58" s="1186">
        <f t="shared" si="652"/>
        <v>0</v>
      </c>
      <c r="KQ58" s="1186">
        <f t="shared" si="652"/>
        <v>0</v>
      </c>
      <c r="KR58" s="1186">
        <f t="shared" si="652"/>
        <v>0</v>
      </c>
      <c r="KS58" s="1186">
        <f t="shared" si="652"/>
        <v>0</v>
      </c>
      <c r="KT58" s="1186">
        <f t="shared" si="652"/>
        <v>0</v>
      </c>
      <c r="KU58" s="1186">
        <f t="shared" si="652"/>
        <v>0</v>
      </c>
      <c r="KV58" s="1186">
        <f t="shared" si="652"/>
        <v>0</v>
      </c>
      <c r="KW58" s="1186">
        <f t="shared" si="652"/>
        <v>0</v>
      </c>
      <c r="KX58" s="1186">
        <f t="shared" si="652"/>
        <v>0</v>
      </c>
      <c r="KY58" s="1186">
        <f t="shared" si="652"/>
        <v>0</v>
      </c>
      <c r="KZ58" s="1186">
        <f t="shared" si="652"/>
        <v>0</v>
      </c>
      <c r="LA58" s="1186">
        <f t="shared" si="652"/>
        <v>0</v>
      </c>
      <c r="LB58" s="1186">
        <f t="shared" si="652"/>
        <v>0</v>
      </c>
      <c r="LC58" s="1186">
        <f t="shared" si="652"/>
        <v>24</v>
      </c>
      <c r="LD58" s="1186">
        <f t="shared" si="652"/>
        <v>48</v>
      </c>
      <c r="LE58" s="1186">
        <f t="shared" si="652"/>
        <v>24</v>
      </c>
      <c r="LF58" s="1186">
        <f t="shared" si="652"/>
        <v>0</v>
      </c>
      <c r="LG58" s="1186">
        <f>SUM(LG11:LG57)</f>
        <v>0</v>
      </c>
      <c r="LH58" s="1186">
        <f>SUM(LH11:LH57)</f>
        <v>0</v>
      </c>
      <c r="LI58" s="1186">
        <f>SUM(LI11:LI57)</f>
        <v>0</v>
      </c>
      <c r="LJ58" s="1186">
        <f>SUM(LJ11:LJ57)</f>
        <v>0</v>
      </c>
      <c r="LK58" s="1186">
        <f>SUM(LK11:LK57)</f>
        <v>0</v>
      </c>
      <c r="LL58" s="1186">
        <f t="shared" si="652"/>
        <v>0</v>
      </c>
      <c r="LM58" s="1186">
        <f t="shared" si="652"/>
        <v>0</v>
      </c>
      <c r="LN58" s="1186">
        <f t="shared" si="652"/>
        <v>0</v>
      </c>
      <c r="LO58" s="1186">
        <f t="shared" si="652"/>
        <v>0</v>
      </c>
      <c r="LP58" s="1186">
        <f t="shared" si="652"/>
        <v>0</v>
      </c>
      <c r="LQ58" s="1186">
        <f>SUM(LQ11:LQ57)</f>
        <v>0</v>
      </c>
      <c r="LR58" s="1186">
        <f>SUM(LR11:LR57)</f>
        <v>0</v>
      </c>
      <c r="LS58" s="1186">
        <f>SUM(LS11:LS57)</f>
        <v>0</v>
      </c>
      <c r="LT58" s="1186">
        <f>SUM(LT11:LT57)</f>
        <v>0</v>
      </c>
      <c r="LU58" s="1186">
        <f>SUM(LU11:LU57)</f>
        <v>0</v>
      </c>
      <c r="LV58" s="1186">
        <f t="shared" ref="LV58:MJ58" si="653">SUM(LV11:LV57)</f>
        <v>0</v>
      </c>
      <c r="LW58" s="1186">
        <f t="shared" si="653"/>
        <v>0</v>
      </c>
      <c r="LX58" s="1186">
        <f t="shared" si="653"/>
        <v>0</v>
      </c>
      <c r="LY58" s="1186">
        <f t="shared" si="653"/>
        <v>0</v>
      </c>
      <c r="LZ58" s="1186">
        <f t="shared" si="653"/>
        <v>0</v>
      </c>
      <c r="MA58" s="1186">
        <f>SUM(MA11:MA57)</f>
        <v>0</v>
      </c>
      <c r="MB58" s="1186">
        <f>SUM(MB11:MB57)</f>
        <v>0</v>
      </c>
      <c r="MC58" s="1186">
        <f>SUM(MC11:MC57)</f>
        <v>0</v>
      </c>
      <c r="MD58" s="1186">
        <f>SUM(MD11:MD57)</f>
        <v>0</v>
      </c>
      <c r="ME58" s="1186">
        <f>SUM(ME11:ME57)</f>
        <v>0</v>
      </c>
      <c r="MF58" s="1186">
        <f t="shared" si="653"/>
        <v>0</v>
      </c>
      <c r="MG58" s="1186">
        <f t="shared" si="653"/>
        <v>0</v>
      </c>
      <c r="MH58" s="1186">
        <f t="shared" si="653"/>
        <v>0</v>
      </c>
      <c r="MI58" s="1186">
        <f t="shared" si="653"/>
        <v>0</v>
      </c>
      <c r="MJ58" s="1186">
        <f t="shared" si="653"/>
        <v>0</v>
      </c>
      <c r="MK58" s="1186">
        <f>SUM(MK11:MK57)</f>
        <v>0</v>
      </c>
      <c r="ML58" s="1186">
        <f>SUM(ML11:ML57)</f>
        <v>0</v>
      </c>
      <c r="MM58" s="1186">
        <f>SUM(MM11:MM57)</f>
        <v>0</v>
      </c>
      <c r="MN58" s="1186">
        <f>SUM(MN11:MN57)</f>
        <v>0</v>
      </c>
      <c r="MO58" s="1186">
        <f>SUM(MO11:MO57)</f>
        <v>0</v>
      </c>
      <c r="MP58" s="1186">
        <f t="shared" ref="MP58:OD58" si="654">SUM(MP11:MP57)</f>
        <v>0</v>
      </c>
      <c r="MQ58" s="1186">
        <f t="shared" si="654"/>
        <v>0</v>
      </c>
      <c r="MR58" s="1186">
        <f t="shared" si="654"/>
        <v>0</v>
      </c>
      <c r="MS58" s="1186">
        <f t="shared" si="654"/>
        <v>0</v>
      </c>
      <c r="MT58" s="1186">
        <f t="shared" si="654"/>
        <v>0</v>
      </c>
      <c r="MU58" s="1186">
        <f t="shared" si="654"/>
        <v>0</v>
      </c>
      <c r="MV58" s="1186">
        <f t="shared" si="654"/>
        <v>0</v>
      </c>
      <c r="MW58" s="1186">
        <f t="shared" si="654"/>
        <v>0</v>
      </c>
      <c r="MX58" s="1186">
        <f t="shared" si="654"/>
        <v>0</v>
      </c>
      <c r="MY58" s="1186">
        <f t="shared" si="654"/>
        <v>0</v>
      </c>
      <c r="MZ58" s="1186">
        <f t="shared" si="654"/>
        <v>0</v>
      </c>
      <c r="NA58" s="1186">
        <f t="shared" si="654"/>
        <v>0</v>
      </c>
      <c r="NB58" s="1186">
        <f t="shared" si="654"/>
        <v>0</v>
      </c>
      <c r="NC58" s="1186">
        <f t="shared" si="654"/>
        <v>0</v>
      </c>
      <c r="ND58" s="1186">
        <f t="shared" si="654"/>
        <v>0</v>
      </c>
      <c r="NE58" s="1186">
        <f t="shared" si="654"/>
        <v>0</v>
      </c>
      <c r="NF58" s="1186">
        <f t="shared" si="654"/>
        <v>0</v>
      </c>
      <c r="NG58" s="1186">
        <f t="shared" si="654"/>
        <v>0</v>
      </c>
      <c r="NH58" s="1186">
        <f t="shared" si="654"/>
        <v>0</v>
      </c>
      <c r="NI58" s="1186">
        <f t="shared" si="654"/>
        <v>0</v>
      </c>
      <c r="NJ58" s="1186">
        <f t="shared" si="654"/>
        <v>0</v>
      </c>
      <c r="NK58" s="1186">
        <f t="shared" si="654"/>
        <v>0</v>
      </c>
      <c r="NL58" s="1186">
        <f t="shared" si="654"/>
        <v>0</v>
      </c>
      <c r="NM58" s="1186">
        <f t="shared" si="654"/>
        <v>0</v>
      </c>
      <c r="NN58" s="1186">
        <f t="shared" si="654"/>
        <v>0</v>
      </c>
      <c r="NO58" s="1186">
        <f t="shared" si="654"/>
        <v>0</v>
      </c>
      <c r="NP58" s="1186">
        <f t="shared" si="654"/>
        <v>24</v>
      </c>
      <c r="NQ58" s="1186">
        <f t="shared" si="654"/>
        <v>48</v>
      </c>
      <c r="NR58" s="1186">
        <f t="shared" si="654"/>
        <v>24</v>
      </c>
      <c r="NS58" s="1186">
        <f t="shared" si="654"/>
        <v>0</v>
      </c>
      <c r="NT58" s="1186">
        <f t="shared" si="654"/>
        <v>0</v>
      </c>
      <c r="NU58" s="1186">
        <f t="shared" si="654"/>
        <v>0</v>
      </c>
      <c r="NV58" s="1186">
        <f t="shared" si="654"/>
        <v>0</v>
      </c>
      <c r="NW58" s="1186">
        <f t="shared" si="654"/>
        <v>0</v>
      </c>
      <c r="NX58" s="1186">
        <f t="shared" si="654"/>
        <v>0</v>
      </c>
      <c r="NY58" s="1186">
        <f t="shared" si="654"/>
        <v>0</v>
      </c>
      <c r="NZ58" s="1186">
        <f t="shared" si="654"/>
        <v>0</v>
      </c>
      <c r="OA58" s="1186">
        <f t="shared" si="654"/>
        <v>0</v>
      </c>
      <c r="OB58" s="1186">
        <f t="shared" si="654"/>
        <v>0</v>
      </c>
      <c r="OC58" s="1186">
        <f t="shared" si="654"/>
        <v>0</v>
      </c>
      <c r="OD58" s="1186">
        <f t="shared" si="654"/>
        <v>0</v>
      </c>
      <c r="OE58" s="251"/>
      <c r="OF58" s="251"/>
      <c r="OG58" s="251"/>
      <c r="OH58" s="251"/>
      <c r="OI58" s="251"/>
      <c r="OJ58" s="251"/>
      <c r="OK58" s="251"/>
      <c r="OL58" s="251"/>
      <c r="OM58" s="251"/>
      <c r="ON58" s="251"/>
      <c r="OO58" s="251"/>
      <c r="OP58" s="251"/>
      <c r="OQ58" s="251"/>
      <c r="OR58" s="251"/>
      <c r="OS58" s="251"/>
      <c r="OT58" s="251"/>
      <c r="OU58" s="251"/>
      <c r="OY58" s="1794" t="s">
        <v>1202</v>
      </c>
      <c r="OZ58" s="1799">
        <v>54</v>
      </c>
    </row>
    <row r="59" spans="1:416" s="77" customFormat="1" ht="13.95" customHeight="1">
      <c r="B59" s="3825">
        <f>IF(SUM(E18:E57)=0,"",(B18*E18+B19*E19+B20*E20+B21*E21+B22*E22+B23*E23+B24*E24+B25*E25+B26*E26+B27*E27+B28*E28+B29*E29+B30*E30+B31*E31+B32*E32+B33*E33+B34*E34+B35*E35+B36*E36+B37*E37+B38*E38+B39*E39+B40*E40+B41*E41+B42*E42+B43*E43+B44*E44+B45*E45+B46*E46+B47*E47+B48*E48+B49*E49+B50*E50+B51*E51+B52*E52+B53*E53+B54*E54+B55*E55+B56*E56+B57*E57)/SUM(E18:E57))</f>
        <v>57.916666666666664</v>
      </c>
      <c r="C59" s="3826"/>
      <c r="D59" s="2542" t="s">
        <v>1203</v>
      </c>
      <c r="E59" s="775">
        <f>SUM(E18:E57)</f>
        <v>96</v>
      </c>
      <c r="F59" s="777">
        <f>(E18*F18+E19*F19+E20*F20+E21*F21+E22*F22+E23*F23+E24*F24+E25*F25+E26*F26+E27*F27+E28*F28+E29*F29+E30*F30+E31*F31+E32*F32+E33*F33+E34*F34+E35*F35+E36*F36+E37*F37+E38*F38+E39*F39+E40*F40+E41*F41+E42*F42+E43*F43+E44*F44+E45*F45+E46*F46+E47*F47+E48*F48+E49*F49+E50*F50+E51*F51+E52*F52+E53*F53+E54*F54+E55*F55+E56*F56+E57*F57)</f>
        <v>96504</v>
      </c>
      <c r="H59" s="3824"/>
      <c r="I59" s="779" t="s">
        <v>1204</v>
      </c>
      <c r="J59" s="780" t="str">
        <f>IF(P76=0,"",IF(SUM(P68:P71)/P76&gt;=0.2,"Pass","Fail"))</f>
        <v>Pass</v>
      </c>
      <c r="K59" s="320"/>
      <c r="L59" s="72" t="s">
        <v>1205</v>
      </c>
      <c r="M59" s="2717">
        <f>M58*12</f>
        <v>832236</v>
      </c>
      <c r="N59" s="43"/>
      <c r="O59" s="43"/>
      <c r="P59" s="43"/>
      <c r="Q59" s="43"/>
      <c r="R59" s="43"/>
      <c r="S59" s="43"/>
      <c r="T59" s="43"/>
      <c r="U59" s="43"/>
      <c r="V59" s="43"/>
      <c r="W59" s="321"/>
      <c r="X59" s="1186"/>
      <c r="Y59" s="1186"/>
      <c r="Z59" s="1186"/>
      <c r="AA59" s="1186"/>
      <c r="AB59" s="1186"/>
      <c r="AC59" s="1186"/>
      <c r="AD59" s="1186"/>
      <c r="AE59" s="1186"/>
      <c r="AF59" s="1186"/>
      <c r="AG59" s="1186"/>
      <c r="AH59" s="1186"/>
      <c r="AI59" s="1186"/>
      <c r="AJ59" s="1186"/>
      <c r="AK59" s="1186"/>
      <c r="AL59" s="1186"/>
      <c r="AM59" s="1186"/>
      <c r="AN59" s="1186"/>
      <c r="AO59" s="1186"/>
      <c r="AP59" s="1186"/>
      <c r="AQ59" s="1186"/>
      <c r="AR59" s="1186"/>
      <c r="AS59" s="1186"/>
      <c r="AT59" s="1186"/>
      <c r="AU59" s="1186"/>
      <c r="AV59" s="1186"/>
      <c r="AW59" s="1186"/>
      <c r="AX59" s="1186"/>
      <c r="AY59" s="1186"/>
      <c r="AZ59" s="1186"/>
      <c r="BA59" s="1186"/>
      <c r="BB59" s="1186"/>
      <c r="BC59" s="1186"/>
      <c r="BD59" s="1186"/>
      <c r="BE59" s="1186"/>
      <c r="BF59" s="1186"/>
      <c r="BG59" s="1186"/>
      <c r="BH59" s="1186"/>
      <c r="BI59" s="1186"/>
      <c r="BJ59" s="1186"/>
      <c r="BK59" s="1186"/>
      <c r="BL59" s="1186"/>
      <c r="BM59" s="1186"/>
      <c r="BN59" s="1186"/>
      <c r="BO59" s="1186"/>
      <c r="BP59" s="1186"/>
      <c r="BQ59" s="1186"/>
      <c r="BR59" s="1186"/>
      <c r="BS59" s="1186"/>
      <c r="BT59" s="1186"/>
      <c r="BU59" s="1186"/>
      <c r="BV59" s="1186"/>
      <c r="BW59" s="1186"/>
      <c r="BX59" s="1186"/>
      <c r="BY59" s="1186"/>
      <c r="BZ59" s="1186"/>
      <c r="CA59" s="1186"/>
      <c r="CB59" s="1186"/>
      <c r="CC59" s="1186"/>
      <c r="CD59" s="1186"/>
      <c r="CE59" s="1186"/>
      <c r="CF59" s="1186"/>
      <c r="CG59" s="1186"/>
      <c r="CH59" s="1186"/>
      <c r="CI59" s="1186"/>
      <c r="CJ59" s="1186"/>
      <c r="CK59" s="1186"/>
      <c r="CL59" s="1186"/>
      <c r="CM59" s="1186"/>
      <c r="CN59" s="1186"/>
      <c r="CO59" s="1186"/>
      <c r="CP59" s="1186"/>
      <c r="CQ59" s="1186"/>
      <c r="CR59" s="1186"/>
      <c r="CS59" s="1186"/>
      <c r="CT59" s="1186"/>
      <c r="CU59" s="1186"/>
      <c r="CV59" s="1186"/>
      <c r="CW59" s="1186"/>
      <c r="CX59" s="1186"/>
      <c r="CY59" s="1186"/>
      <c r="CZ59" s="1186"/>
      <c r="DA59" s="1186"/>
      <c r="DB59" s="1186"/>
      <c r="DC59" s="1186"/>
      <c r="DD59" s="1186"/>
      <c r="DE59" s="1186"/>
      <c r="DF59" s="1186"/>
      <c r="DG59" s="1186"/>
      <c r="DH59" s="1186"/>
      <c r="DI59" s="1186"/>
      <c r="DJ59" s="1186"/>
      <c r="DK59" s="1186"/>
      <c r="DL59" s="1186"/>
      <c r="DM59" s="1186"/>
      <c r="DN59" s="1186"/>
      <c r="DO59" s="1186"/>
      <c r="DP59" s="1186"/>
      <c r="DQ59" s="1186"/>
      <c r="DR59" s="1186"/>
      <c r="DS59" s="1186"/>
      <c r="DT59" s="1186"/>
      <c r="DU59" s="1186"/>
      <c r="DV59" s="1186"/>
      <c r="DW59" s="1186"/>
      <c r="DX59" s="1186"/>
      <c r="DY59" s="1186"/>
      <c r="DZ59" s="1186"/>
      <c r="EA59" s="1186"/>
      <c r="EB59" s="1186"/>
      <c r="EC59" s="1186"/>
      <c r="ED59" s="1186"/>
      <c r="EE59" s="1186"/>
      <c r="EF59" s="1186"/>
      <c r="EG59" s="1186"/>
      <c r="EH59" s="1186"/>
      <c r="EI59" s="1186"/>
      <c r="EJ59" s="1186"/>
      <c r="EK59" s="1186"/>
      <c r="EL59" s="1186"/>
      <c r="EM59" s="1186"/>
      <c r="EN59" s="1186"/>
      <c r="EO59" s="1186"/>
      <c r="EP59" s="1186"/>
      <c r="EQ59" s="1186"/>
      <c r="ER59" s="1186"/>
      <c r="ES59" s="1186"/>
      <c r="ET59" s="1186"/>
      <c r="EU59" s="1186"/>
      <c r="EV59" s="1186"/>
      <c r="EW59" s="1186"/>
      <c r="EX59" s="1186"/>
      <c r="EY59" s="1186"/>
      <c r="EZ59" s="1186"/>
      <c r="FA59" s="1186"/>
      <c r="FB59" s="1186"/>
      <c r="FC59" s="1186"/>
      <c r="FD59" s="1186"/>
      <c r="FE59" s="1186"/>
      <c r="FF59" s="1186"/>
      <c r="FG59" s="1186"/>
      <c r="FH59" s="1186"/>
      <c r="FI59" s="1186"/>
      <c r="FJ59" s="1186"/>
      <c r="FK59" s="1186"/>
      <c r="FL59" s="1186"/>
      <c r="FM59" s="1186"/>
      <c r="FN59" s="1186"/>
      <c r="FO59" s="1186"/>
      <c r="FP59" s="1186"/>
      <c r="FQ59" s="1186"/>
      <c r="FR59" s="1186"/>
      <c r="FS59" s="1186"/>
      <c r="FT59" s="1186"/>
      <c r="FU59" s="1186"/>
      <c r="FV59" s="1186"/>
      <c r="FW59" s="1186"/>
      <c r="FX59" s="1186"/>
      <c r="FY59" s="1186"/>
      <c r="FZ59" s="1186"/>
      <c r="GA59" s="1186"/>
      <c r="GB59" s="1186"/>
      <c r="GC59" s="1186"/>
      <c r="GD59" s="1186"/>
      <c r="GE59" s="1186"/>
      <c r="GF59" s="1186"/>
      <c r="GG59" s="1186"/>
      <c r="GH59" s="1186"/>
      <c r="GI59" s="1186"/>
      <c r="GJ59" s="1186"/>
      <c r="GK59" s="1186"/>
      <c r="GL59" s="1186"/>
      <c r="GM59" s="1186"/>
      <c r="GN59" s="1186"/>
      <c r="GO59" s="1186"/>
      <c r="GP59" s="1186"/>
      <c r="GQ59" s="1186"/>
      <c r="GR59" s="1186"/>
      <c r="GS59" s="1186"/>
      <c r="GT59" s="1186"/>
      <c r="GU59" s="1186"/>
      <c r="GV59" s="1186"/>
      <c r="GW59" s="1186"/>
      <c r="GX59" s="1186"/>
      <c r="GY59" s="1186"/>
      <c r="GZ59" s="1186"/>
      <c r="HA59" s="1186"/>
      <c r="HB59" s="1186"/>
      <c r="HC59" s="1186"/>
      <c r="HD59" s="1186"/>
      <c r="HE59" s="1186"/>
      <c r="HF59" s="1186"/>
      <c r="HG59" s="1186"/>
      <c r="HH59" s="1186"/>
      <c r="HI59" s="1186"/>
      <c r="HJ59" s="1186"/>
      <c r="HK59" s="1186"/>
      <c r="HL59" s="1186"/>
      <c r="HM59" s="1186"/>
      <c r="HN59" s="1186"/>
      <c r="HO59" s="1186"/>
      <c r="HP59" s="1186"/>
      <c r="HQ59" s="1186"/>
      <c r="HR59" s="1186"/>
      <c r="HS59" s="1186"/>
      <c r="HT59" s="1186"/>
      <c r="HU59" s="1186"/>
      <c r="HV59" s="1186"/>
      <c r="HW59" s="1186"/>
      <c r="HX59" s="1186"/>
      <c r="HY59" s="1186"/>
      <c r="HZ59" s="1186"/>
      <c r="IA59" s="1186"/>
      <c r="IB59" s="1186"/>
      <c r="IC59" s="1186"/>
      <c r="ID59" s="1186"/>
      <c r="IE59" s="1186"/>
      <c r="IF59" s="1186"/>
      <c r="IG59" s="1186"/>
      <c r="IH59" s="1186"/>
      <c r="II59" s="1186"/>
      <c r="IJ59" s="1186"/>
      <c r="IK59" s="1186"/>
      <c r="IL59" s="1186"/>
      <c r="IM59" s="1186"/>
      <c r="IN59" s="1186"/>
      <c r="IO59" s="1186"/>
      <c r="IP59" s="1186"/>
      <c r="IQ59" s="1186"/>
      <c r="IR59" s="1186"/>
      <c r="IS59" s="1186"/>
      <c r="IT59" s="1186"/>
      <c r="IU59" s="1186"/>
      <c r="IV59" s="1186"/>
      <c r="IW59" s="1186"/>
      <c r="IX59" s="1186"/>
      <c r="IY59" s="1186"/>
      <c r="IZ59" s="1186"/>
      <c r="JA59" s="1186"/>
      <c r="JB59" s="1186"/>
      <c r="JC59" s="1186"/>
      <c r="JD59" s="1186"/>
      <c r="JE59" s="1186"/>
      <c r="JF59" s="1186"/>
      <c r="JG59" s="1186"/>
      <c r="JH59" s="1186"/>
      <c r="JI59" s="1186"/>
      <c r="JJ59" s="1186"/>
      <c r="JK59" s="1186"/>
      <c r="JL59" s="1186"/>
      <c r="JM59" s="1186"/>
      <c r="JN59" s="1186"/>
      <c r="JO59" s="1186"/>
      <c r="JP59" s="1186"/>
      <c r="JQ59" s="1186"/>
      <c r="JR59" s="1186"/>
      <c r="JS59" s="1186"/>
      <c r="JT59" s="1186"/>
      <c r="JU59" s="1186"/>
      <c r="JV59" s="1186"/>
      <c r="JW59" s="1186"/>
      <c r="JX59" s="1186"/>
      <c r="JY59" s="1186"/>
      <c r="JZ59" s="1186"/>
      <c r="KA59" s="1186"/>
      <c r="KB59" s="1186"/>
      <c r="KC59" s="1186"/>
      <c r="KD59" s="1186"/>
      <c r="KE59" s="1186"/>
      <c r="KF59" s="1186"/>
      <c r="KG59" s="1186"/>
      <c r="KH59" s="1186"/>
      <c r="KI59" s="1186"/>
      <c r="KJ59" s="1186"/>
      <c r="KK59" s="1186"/>
      <c r="KL59" s="1186"/>
      <c r="KM59" s="1186"/>
      <c r="KN59" s="1186"/>
      <c r="KO59" s="1186"/>
      <c r="KP59" s="1186"/>
      <c r="KQ59" s="1186"/>
      <c r="KR59" s="1186"/>
      <c r="KS59" s="1186"/>
      <c r="KT59" s="1186"/>
      <c r="KU59" s="1186"/>
      <c r="KV59" s="1186"/>
      <c r="KW59" s="1186"/>
      <c r="KX59" s="1186"/>
      <c r="KY59" s="1186"/>
      <c r="KZ59" s="1186"/>
      <c r="LA59" s="1186"/>
      <c r="LB59" s="1186"/>
      <c r="LC59" s="1186"/>
      <c r="LD59" s="1186"/>
      <c r="LE59" s="1186"/>
      <c r="LF59" s="1186"/>
      <c r="LG59" s="1186"/>
      <c r="LH59" s="1186"/>
      <c r="LI59" s="1186"/>
      <c r="LJ59" s="1186"/>
      <c r="LK59" s="1186"/>
      <c r="LL59" s="1186"/>
      <c r="LM59" s="1186"/>
      <c r="LN59" s="1186"/>
      <c r="LO59" s="1186"/>
      <c r="LP59" s="1186"/>
      <c r="LQ59" s="1186"/>
      <c r="LR59" s="1186"/>
      <c r="LS59" s="1186"/>
      <c r="LT59" s="1186"/>
      <c r="LU59" s="1186"/>
      <c r="LV59" s="1186"/>
      <c r="LW59" s="1186"/>
      <c r="LX59" s="1186"/>
      <c r="LY59" s="1186"/>
      <c r="LZ59" s="1186"/>
      <c r="MA59" s="1186"/>
      <c r="MB59" s="1186"/>
      <c r="MC59" s="1186"/>
      <c r="MD59" s="1186"/>
      <c r="ME59" s="1186"/>
      <c r="MF59" s="1186"/>
      <c r="MG59" s="1186"/>
      <c r="MH59" s="1186"/>
      <c r="MI59" s="1186"/>
      <c r="MJ59" s="1186"/>
      <c r="MK59" s="1186"/>
      <c r="ML59" s="1186"/>
      <c r="MM59" s="1186"/>
      <c r="MN59" s="1186"/>
      <c r="MO59" s="1186"/>
      <c r="MP59" s="1186"/>
      <c r="MQ59" s="1186"/>
      <c r="MR59" s="1186"/>
      <c r="MS59" s="1186"/>
      <c r="MT59" s="1186"/>
      <c r="MU59" s="1186"/>
      <c r="MV59" s="1186"/>
      <c r="MW59" s="1186"/>
      <c r="MX59" s="1186"/>
      <c r="MY59" s="1186"/>
      <c r="MZ59" s="1186"/>
      <c r="NA59" s="1186"/>
      <c r="NB59" s="1186"/>
      <c r="NC59" s="1186"/>
      <c r="ND59" s="1186"/>
      <c r="NE59" s="1186"/>
      <c r="NF59" s="1186"/>
      <c r="NG59" s="1186"/>
      <c r="NH59" s="1186"/>
      <c r="NI59" s="1186"/>
      <c r="NJ59" s="1186"/>
      <c r="NK59" s="1186"/>
      <c r="NL59" s="1186"/>
      <c r="NM59" s="1186"/>
      <c r="NN59" s="1186"/>
      <c r="NO59" s="251"/>
      <c r="NP59" s="251"/>
      <c r="NQ59" s="251"/>
      <c r="NR59" s="251"/>
      <c r="NS59" s="251"/>
      <c r="NT59" s="251"/>
      <c r="NU59" s="251"/>
      <c r="NV59" s="251"/>
      <c r="NW59" s="251"/>
      <c r="NX59" s="251"/>
      <c r="NY59" s="251"/>
      <c r="NZ59" s="251"/>
      <c r="OA59" s="251"/>
      <c r="OB59" s="251"/>
      <c r="OC59" s="251"/>
      <c r="OD59" s="251"/>
      <c r="OE59" s="251"/>
      <c r="OF59" s="251"/>
      <c r="OG59" s="251"/>
      <c r="OH59" s="251"/>
      <c r="OI59" s="251"/>
      <c r="OJ59" s="251"/>
      <c r="OK59" s="251"/>
      <c r="OL59" s="251"/>
      <c r="OM59" s="251"/>
      <c r="ON59" s="251"/>
      <c r="OO59" s="251"/>
      <c r="OP59" s="251"/>
      <c r="OQ59" s="251"/>
      <c r="OR59" s="251"/>
      <c r="OS59" s="251"/>
      <c r="OT59" s="251"/>
      <c r="OU59" s="251"/>
      <c r="OY59" s="1794" t="s">
        <v>1206</v>
      </c>
      <c r="OZ59" s="1799">
        <v>55</v>
      </c>
    </row>
    <row r="60" spans="1:416" ht="7.5" customHeight="1">
      <c r="A60" s="3827" t="s">
        <v>1207</v>
      </c>
      <c r="B60" s="3827"/>
      <c r="C60" s="3827"/>
      <c r="D60" s="3827"/>
      <c r="E60" s="3827"/>
      <c r="F60" s="3827"/>
      <c r="G60" s="3827"/>
      <c r="H60" s="3827"/>
      <c r="I60" s="3827"/>
      <c r="J60" s="3827"/>
      <c r="K60" s="3827"/>
      <c r="L60" s="3827"/>
      <c r="M60" s="3827"/>
      <c r="N60" s="3827"/>
      <c r="O60" s="3827"/>
      <c r="P60" s="3827"/>
      <c r="Q60" s="3827"/>
      <c r="R60" s="2539"/>
      <c r="S60" s="41"/>
      <c r="T60" s="41"/>
      <c r="U60" s="41"/>
      <c r="V60" s="41"/>
      <c r="W60" s="149"/>
      <c r="X60" s="1186"/>
      <c r="Y60" s="1186"/>
      <c r="Z60" s="1186"/>
      <c r="AA60" s="1186"/>
      <c r="AB60" s="1186"/>
      <c r="AC60" s="1186"/>
      <c r="AD60" s="1186"/>
      <c r="AE60" s="1186"/>
      <c r="AF60" s="1186"/>
      <c r="AG60" s="1186"/>
      <c r="AH60" s="1186"/>
      <c r="AI60" s="1186"/>
      <c r="AJ60" s="1186"/>
      <c r="AK60" s="1186"/>
      <c r="AL60" s="1186"/>
      <c r="AM60" s="1186"/>
      <c r="AN60" s="1186"/>
      <c r="AO60" s="1186"/>
      <c r="AP60" s="1186"/>
      <c r="AQ60" s="1186"/>
      <c r="AR60" s="1186"/>
      <c r="AS60" s="1186"/>
      <c r="AT60" s="1186"/>
      <c r="AU60" s="1186"/>
      <c r="AV60" s="1186"/>
      <c r="AW60" s="1186"/>
      <c r="AX60" s="1186"/>
      <c r="AY60" s="1186"/>
      <c r="AZ60" s="1186"/>
      <c r="BA60" s="1186"/>
      <c r="BB60" s="1186"/>
      <c r="BC60" s="1186"/>
      <c r="BD60" s="1186"/>
      <c r="BE60" s="1186"/>
      <c r="BF60" s="1186"/>
      <c r="BG60" s="1186"/>
      <c r="BH60" s="1186"/>
      <c r="BI60" s="1186"/>
      <c r="BJ60" s="1186"/>
      <c r="BK60" s="1186"/>
      <c r="BL60" s="1186"/>
      <c r="BM60" s="1186"/>
      <c r="BN60" s="1186"/>
      <c r="BO60" s="1186"/>
      <c r="BP60" s="1186"/>
      <c r="BQ60" s="1186"/>
      <c r="BR60" s="1186"/>
      <c r="BS60" s="1186"/>
      <c r="BT60" s="1186"/>
      <c r="BU60" s="1186"/>
      <c r="BV60" s="1186"/>
      <c r="BW60" s="1186"/>
      <c r="BX60" s="1186"/>
      <c r="BY60" s="1186"/>
      <c r="BZ60" s="1186"/>
      <c r="CA60" s="1186"/>
      <c r="CB60" s="1186"/>
      <c r="CC60" s="1186"/>
      <c r="CD60" s="1186"/>
      <c r="CE60" s="1186"/>
      <c r="CF60" s="1186"/>
      <c r="CG60" s="1186"/>
      <c r="CH60" s="1186"/>
      <c r="CI60" s="1186"/>
      <c r="CJ60" s="1186"/>
      <c r="CK60" s="1186"/>
      <c r="CL60" s="1186"/>
      <c r="CM60" s="1186"/>
      <c r="CN60" s="1186"/>
      <c r="CO60" s="1186"/>
      <c r="CP60" s="1186"/>
      <c r="CQ60" s="1186"/>
      <c r="CR60" s="1186"/>
      <c r="CS60" s="1186"/>
      <c r="CT60" s="1186"/>
      <c r="CU60" s="1186"/>
      <c r="CV60" s="1186"/>
      <c r="CW60" s="1186"/>
      <c r="CX60" s="1186"/>
      <c r="CY60" s="1186"/>
      <c r="CZ60" s="1186"/>
      <c r="DA60" s="1186"/>
      <c r="DB60" s="1186"/>
      <c r="DC60" s="1186"/>
      <c r="DD60" s="1186"/>
      <c r="DE60" s="1186"/>
      <c r="DF60" s="1186"/>
      <c r="DG60" s="1186"/>
      <c r="DH60" s="1186"/>
      <c r="DI60" s="1186"/>
      <c r="DJ60" s="1186"/>
      <c r="DK60" s="1186"/>
      <c r="DL60" s="1186"/>
      <c r="DM60" s="1186"/>
      <c r="DN60" s="1186"/>
      <c r="DO60" s="1186"/>
      <c r="DP60" s="1186"/>
      <c r="DQ60" s="1186"/>
      <c r="DR60" s="1186"/>
      <c r="DS60" s="1186"/>
      <c r="DT60" s="1186"/>
      <c r="DU60" s="1186"/>
      <c r="DV60" s="1186"/>
      <c r="DW60" s="1186"/>
      <c r="DX60" s="1186"/>
      <c r="DY60" s="1186"/>
      <c r="DZ60" s="1186"/>
      <c r="EA60" s="1186"/>
      <c r="EB60" s="1186"/>
      <c r="EC60" s="1186"/>
      <c r="ED60" s="1186"/>
      <c r="EE60" s="1186"/>
      <c r="EF60" s="1186"/>
      <c r="EG60" s="1186"/>
      <c r="EH60" s="1186"/>
      <c r="EI60" s="1186"/>
      <c r="EJ60" s="1186"/>
      <c r="EK60" s="1186"/>
      <c r="EL60" s="1186"/>
      <c r="EM60" s="1186"/>
      <c r="EN60" s="1186"/>
      <c r="EO60" s="1186"/>
      <c r="EP60" s="1186"/>
      <c r="EQ60" s="1186"/>
      <c r="ER60" s="1186"/>
      <c r="ES60" s="1186"/>
      <c r="ET60" s="1186"/>
      <c r="EU60" s="1186"/>
      <c r="EV60" s="1186"/>
      <c r="EW60" s="1186"/>
      <c r="EX60" s="1186"/>
      <c r="EY60" s="1186"/>
      <c r="EZ60" s="1186"/>
      <c r="FA60" s="1186"/>
      <c r="FB60" s="1186"/>
      <c r="FC60" s="1186"/>
      <c r="FD60" s="1186"/>
      <c r="FE60" s="1186"/>
      <c r="FF60" s="1186"/>
      <c r="FG60" s="1186"/>
      <c r="FH60" s="1186"/>
      <c r="FI60" s="1186"/>
      <c r="FJ60" s="1186"/>
      <c r="FK60" s="1186"/>
      <c r="FL60" s="1186"/>
      <c r="FM60" s="1186"/>
      <c r="FN60" s="1186"/>
      <c r="FO60" s="1186"/>
      <c r="FP60" s="1186"/>
      <c r="FQ60" s="1186"/>
      <c r="FR60" s="1186"/>
      <c r="FS60" s="1186"/>
      <c r="FT60" s="1186"/>
      <c r="FU60" s="1186"/>
      <c r="FV60" s="1186"/>
      <c r="FW60" s="1186"/>
      <c r="FX60" s="1186"/>
      <c r="FY60" s="1186"/>
      <c r="FZ60" s="1186"/>
      <c r="GA60" s="1186"/>
      <c r="GB60" s="1186"/>
      <c r="GC60" s="1186"/>
      <c r="GD60" s="1186"/>
      <c r="GE60" s="1186"/>
      <c r="GF60" s="1186"/>
      <c r="GG60" s="1186"/>
      <c r="GH60" s="1186"/>
      <c r="GI60" s="1186"/>
      <c r="GJ60" s="1186"/>
      <c r="GK60" s="1186"/>
      <c r="GL60" s="1186"/>
      <c r="GM60" s="1186"/>
      <c r="GN60" s="1186"/>
      <c r="GO60" s="1186"/>
      <c r="GP60" s="1186"/>
      <c r="GQ60" s="1186"/>
      <c r="GR60" s="1186"/>
      <c r="GS60" s="1186"/>
      <c r="GT60" s="1186"/>
      <c r="GU60" s="1186"/>
      <c r="GV60" s="1186"/>
      <c r="GW60" s="1186"/>
      <c r="GX60" s="1186"/>
      <c r="GY60" s="1186"/>
      <c r="GZ60" s="1186"/>
      <c r="HA60" s="1186"/>
      <c r="HB60" s="1186"/>
      <c r="HC60" s="1186"/>
      <c r="HD60" s="1186"/>
      <c r="HE60" s="1186"/>
      <c r="HF60" s="1186"/>
      <c r="HG60" s="1186"/>
      <c r="HH60" s="1186"/>
      <c r="HI60" s="1186"/>
      <c r="HJ60" s="1186"/>
      <c r="HK60" s="1186"/>
      <c r="HL60" s="1186"/>
      <c r="HM60" s="1186"/>
      <c r="HN60" s="1186"/>
      <c r="HO60" s="1186"/>
      <c r="HP60" s="1186"/>
      <c r="HQ60" s="1186"/>
      <c r="HR60" s="1186"/>
      <c r="HS60" s="1186"/>
      <c r="HT60" s="1186"/>
      <c r="HU60" s="1186"/>
      <c r="HV60" s="1186"/>
      <c r="HW60" s="1186"/>
      <c r="HX60" s="1186"/>
      <c r="HY60" s="1186"/>
      <c r="HZ60" s="1186"/>
      <c r="IA60" s="1186"/>
      <c r="IB60" s="1186"/>
      <c r="IC60" s="1186"/>
      <c r="ID60" s="1186"/>
      <c r="IE60" s="1186"/>
      <c r="IF60" s="1186"/>
      <c r="IG60" s="1186"/>
      <c r="IH60" s="1186"/>
      <c r="II60" s="1186"/>
      <c r="IJ60" s="1186"/>
      <c r="IK60" s="1186"/>
      <c r="IL60" s="1186"/>
      <c r="IM60" s="1186"/>
      <c r="IN60" s="1186"/>
      <c r="IO60" s="1186"/>
      <c r="IP60" s="1186"/>
      <c r="IQ60" s="1186"/>
      <c r="IR60" s="1186"/>
      <c r="IS60" s="1186"/>
      <c r="IT60" s="1186"/>
      <c r="IU60" s="1186"/>
      <c r="IV60" s="1186"/>
      <c r="IW60" s="1186"/>
      <c r="IX60" s="1186"/>
      <c r="IY60" s="1186"/>
      <c r="IZ60" s="1186"/>
      <c r="JA60" s="1186"/>
      <c r="JB60" s="1186"/>
      <c r="JC60" s="1186"/>
      <c r="JD60" s="1186"/>
      <c r="JE60" s="1186"/>
      <c r="JF60" s="1186"/>
      <c r="JG60" s="1186"/>
      <c r="JH60" s="1186"/>
      <c r="JI60" s="1186"/>
      <c r="JJ60" s="1186"/>
      <c r="JK60" s="1186"/>
      <c r="JL60" s="1186"/>
      <c r="JM60" s="1186"/>
      <c r="JN60" s="1186"/>
      <c r="JO60" s="1186"/>
      <c r="JP60" s="1186"/>
      <c r="JQ60" s="1186"/>
      <c r="JR60" s="1186"/>
      <c r="JS60" s="1186"/>
      <c r="JT60" s="1186"/>
      <c r="JU60" s="1186"/>
      <c r="JV60" s="1186"/>
      <c r="JW60" s="1186"/>
      <c r="JX60" s="1186"/>
      <c r="JY60" s="1186"/>
      <c r="JZ60" s="1186"/>
      <c r="KA60" s="1186"/>
      <c r="KB60" s="1186"/>
      <c r="KC60" s="1186"/>
      <c r="KD60" s="1186"/>
      <c r="KE60" s="1186"/>
      <c r="KF60" s="1186"/>
      <c r="KG60" s="1186"/>
      <c r="KH60" s="1186"/>
      <c r="KI60" s="1186"/>
      <c r="KJ60" s="1186"/>
      <c r="KK60" s="1186"/>
      <c r="KL60" s="1186"/>
      <c r="KM60" s="1186"/>
      <c r="KN60" s="1186"/>
      <c r="KO60" s="1186"/>
      <c r="KP60" s="1186"/>
      <c r="KQ60" s="1186"/>
      <c r="KR60" s="1186"/>
      <c r="KS60" s="1186"/>
      <c r="KT60" s="1186"/>
      <c r="KU60" s="1186"/>
      <c r="KV60" s="1186"/>
      <c r="KW60" s="1186"/>
      <c r="KX60" s="1186"/>
      <c r="KY60" s="1186"/>
      <c r="KZ60" s="1186"/>
      <c r="LA60" s="1186"/>
      <c r="LB60" s="1186"/>
      <c r="LC60" s="1186"/>
      <c r="LD60" s="1186"/>
      <c r="LE60" s="1186"/>
      <c r="LF60" s="1186"/>
      <c r="LG60" s="1186"/>
      <c r="LH60" s="1186"/>
      <c r="LI60" s="1186"/>
      <c r="LJ60" s="1186"/>
      <c r="LK60" s="1186"/>
      <c r="LL60" s="1186"/>
      <c r="LM60" s="1186"/>
      <c r="LN60" s="1186"/>
      <c r="LO60" s="1186"/>
      <c r="LP60" s="1186"/>
      <c r="LQ60" s="1186"/>
      <c r="LR60" s="1186"/>
      <c r="LS60" s="1186"/>
      <c r="LT60" s="1186"/>
      <c r="LU60" s="1186"/>
      <c r="LV60" s="1186"/>
      <c r="LW60" s="1186"/>
      <c r="LX60" s="1186"/>
      <c r="LY60" s="1186"/>
      <c r="LZ60" s="1186"/>
      <c r="MA60" s="1186"/>
      <c r="MB60" s="1186"/>
      <c r="MC60" s="1186"/>
      <c r="MD60" s="1186"/>
      <c r="ME60" s="1186"/>
      <c r="MF60" s="1186"/>
      <c r="MG60" s="1186"/>
      <c r="MH60" s="1186"/>
      <c r="MI60" s="1186"/>
      <c r="MJ60" s="1186"/>
      <c r="MK60" s="1186"/>
      <c r="ML60" s="1186"/>
      <c r="MM60" s="1186"/>
      <c r="MN60" s="1186"/>
      <c r="MO60" s="1186"/>
      <c r="MP60" s="1186"/>
      <c r="MQ60" s="1186"/>
      <c r="MR60" s="1186"/>
      <c r="MS60" s="1186"/>
      <c r="MT60" s="1186"/>
      <c r="MU60" s="1186"/>
      <c r="MV60" s="1186"/>
      <c r="MW60" s="1186"/>
      <c r="MX60" s="1186"/>
      <c r="MY60" s="1186"/>
      <c r="MZ60" s="1186"/>
      <c r="NA60" s="1186"/>
      <c r="NB60" s="1186"/>
      <c r="NC60" s="1186"/>
      <c r="ND60" s="1186"/>
      <c r="NE60" s="1186"/>
      <c r="NF60" s="1186"/>
      <c r="NG60" s="1186"/>
      <c r="NH60" s="1186"/>
      <c r="NI60" s="1186"/>
      <c r="NJ60" s="1186"/>
      <c r="NK60" s="1186"/>
      <c r="NL60" s="1186"/>
      <c r="NM60" s="1186"/>
      <c r="NN60" s="1186"/>
      <c r="OZ60" s="1799">
        <v>56</v>
      </c>
    </row>
    <row r="61" spans="1:416" ht="7.5" customHeight="1">
      <c r="A61" s="3827"/>
      <c r="B61" s="3827"/>
      <c r="C61" s="3827"/>
      <c r="D61" s="3827"/>
      <c r="E61" s="3827"/>
      <c r="F61" s="3827"/>
      <c r="G61" s="3827"/>
      <c r="H61" s="3827"/>
      <c r="I61" s="3827"/>
      <c r="J61" s="3827"/>
      <c r="K61" s="3827"/>
      <c r="L61" s="3827"/>
      <c r="M61" s="3827"/>
      <c r="N61" s="3827"/>
      <c r="O61" s="3827"/>
      <c r="P61" s="3827"/>
      <c r="Q61" s="3827"/>
      <c r="R61" s="2539"/>
      <c r="S61" s="41"/>
      <c r="T61" s="41"/>
      <c r="U61" s="41"/>
      <c r="V61" s="41"/>
      <c r="W61" s="149"/>
      <c r="X61" s="1186"/>
      <c r="Y61" s="1186"/>
      <c r="Z61" s="1186"/>
      <c r="AA61" s="1186"/>
      <c r="AB61" s="1186"/>
      <c r="AC61" s="1186"/>
      <c r="AD61" s="1186"/>
      <c r="AE61" s="1186"/>
      <c r="AF61" s="1186"/>
      <c r="AG61" s="1186"/>
      <c r="AH61" s="1186"/>
      <c r="AI61" s="1186"/>
      <c r="AJ61" s="1186"/>
      <c r="AK61" s="1186"/>
      <c r="AL61" s="1186"/>
      <c r="AM61" s="1186"/>
      <c r="AN61" s="1186"/>
      <c r="AO61" s="1186"/>
      <c r="AP61" s="1186"/>
      <c r="AQ61" s="1186"/>
      <c r="AR61" s="1186"/>
      <c r="AS61" s="1186"/>
      <c r="AT61" s="1186"/>
      <c r="AU61" s="1186"/>
      <c r="AV61" s="1186"/>
      <c r="AW61" s="1186"/>
      <c r="AX61" s="1186"/>
      <c r="AY61" s="1186"/>
      <c r="AZ61" s="1186"/>
      <c r="BA61" s="1186"/>
      <c r="BB61" s="1186"/>
      <c r="BC61" s="1186"/>
      <c r="BD61" s="1186"/>
      <c r="BE61" s="1186"/>
      <c r="BF61" s="1186"/>
      <c r="BG61" s="1186"/>
      <c r="BH61" s="1186"/>
      <c r="BI61" s="1186"/>
      <c r="BJ61" s="1186"/>
      <c r="BK61" s="1186"/>
      <c r="BL61" s="1186"/>
      <c r="BM61" s="1186"/>
      <c r="BN61" s="1186"/>
      <c r="BO61" s="1186"/>
      <c r="BP61" s="1186"/>
      <c r="BQ61" s="1186"/>
      <c r="BR61" s="1186"/>
      <c r="BS61" s="1186"/>
      <c r="BT61" s="1186"/>
      <c r="BU61" s="1186"/>
      <c r="BV61" s="1186"/>
      <c r="BW61" s="1186"/>
      <c r="BX61" s="1186"/>
      <c r="BY61" s="1186"/>
      <c r="BZ61" s="1186"/>
      <c r="CA61" s="1186"/>
      <c r="CB61" s="1186"/>
      <c r="CC61" s="1186"/>
      <c r="CD61" s="1186"/>
      <c r="CE61" s="1186"/>
      <c r="CF61" s="1186"/>
      <c r="CG61" s="1186"/>
      <c r="CH61" s="1186"/>
      <c r="CI61" s="1186"/>
      <c r="CJ61" s="1186"/>
      <c r="CK61" s="1186"/>
      <c r="CL61" s="1186"/>
      <c r="CM61" s="1186"/>
      <c r="CN61" s="1186"/>
      <c r="CO61" s="1186"/>
      <c r="CP61" s="1186"/>
      <c r="CQ61" s="1186"/>
      <c r="CR61" s="1186"/>
      <c r="CS61" s="1186"/>
      <c r="CT61" s="1186"/>
      <c r="CU61" s="1186"/>
      <c r="CV61" s="1186"/>
      <c r="CW61" s="1186"/>
      <c r="CX61" s="1186"/>
      <c r="CY61" s="1186"/>
      <c r="CZ61" s="1186"/>
      <c r="DA61" s="1186"/>
      <c r="DB61" s="1186"/>
      <c r="DC61" s="1186"/>
      <c r="DD61" s="1186"/>
      <c r="DE61" s="1186"/>
      <c r="DF61" s="1186"/>
      <c r="DG61" s="1186"/>
      <c r="DH61" s="1186"/>
      <c r="DI61" s="1186"/>
      <c r="DJ61" s="1186"/>
      <c r="DK61" s="1186"/>
      <c r="DL61" s="1186"/>
      <c r="DM61" s="1186"/>
      <c r="DN61" s="1186"/>
      <c r="DO61" s="1186"/>
      <c r="DP61" s="1186"/>
      <c r="DQ61" s="1186"/>
      <c r="DR61" s="1186"/>
      <c r="DS61" s="1186"/>
      <c r="DT61" s="1186"/>
      <c r="DU61" s="1186"/>
      <c r="DV61" s="1186"/>
      <c r="DW61" s="1186"/>
      <c r="DX61" s="1186"/>
      <c r="DY61" s="1186"/>
      <c r="DZ61" s="1186"/>
      <c r="EA61" s="1186"/>
      <c r="EB61" s="1186"/>
      <c r="EC61" s="1186"/>
      <c r="ED61" s="1186"/>
      <c r="EE61" s="1186"/>
      <c r="EF61" s="1186"/>
      <c r="EG61" s="1186"/>
      <c r="EH61" s="1186"/>
      <c r="EI61" s="1186"/>
      <c r="EJ61" s="1186"/>
      <c r="EK61" s="1186"/>
      <c r="EL61" s="1186"/>
      <c r="EM61" s="1186"/>
      <c r="EN61" s="1186"/>
      <c r="EO61" s="1186"/>
      <c r="EP61" s="1186"/>
      <c r="EQ61" s="1186"/>
      <c r="ER61" s="1186"/>
      <c r="ES61" s="1186"/>
      <c r="ET61" s="1186"/>
      <c r="EU61" s="1186"/>
      <c r="EV61" s="1186"/>
      <c r="EW61" s="1186"/>
      <c r="EX61" s="1186"/>
      <c r="EY61" s="1186"/>
      <c r="EZ61" s="1186"/>
      <c r="FA61" s="1186"/>
      <c r="FB61" s="1186"/>
      <c r="FC61" s="1186"/>
      <c r="FD61" s="1186"/>
      <c r="FE61" s="1186"/>
      <c r="FF61" s="1186"/>
      <c r="FG61" s="1186"/>
      <c r="FH61" s="1186"/>
      <c r="FI61" s="1186"/>
      <c r="FJ61" s="1186"/>
      <c r="FK61" s="1186"/>
      <c r="FL61" s="1186"/>
      <c r="FM61" s="1186"/>
      <c r="FN61" s="1186"/>
      <c r="FO61" s="1186"/>
      <c r="FP61" s="1186"/>
      <c r="FQ61" s="1186"/>
      <c r="FR61" s="1186"/>
      <c r="FS61" s="1186"/>
      <c r="FT61" s="1186"/>
      <c r="FU61" s="1186"/>
      <c r="FV61" s="1186"/>
      <c r="FW61" s="1186"/>
      <c r="FX61" s="1186"/>
      <c r="FY61" s="1186"/>
      <c r="FZ61" s="1186"/>
      <c r="GA61" s="1186"/>
      <c r="GB61" s="1186"/>
      <c r="GC61" s="1186"/>
      <c r="GD61" s="1186"/>
      <c r="GE61" s="1186"/>
      <c r="GF61" s="1186"/>
      <c r="GG61" s="1186"/>
      <c r="GH61" s="1186"/>
      <c r="GI61" s="1186"/>
      <c r="GJ61" s="1186"/>
      <c r="GK61" s="1186"/>
      <c r="GL61" s="1186"/>
      <c r="GM61" s="1186"/>
      <c r="GN61" s="1186"/>
      <c r="GO61" s="1186"/>
      <c r="GP61" s="1186"/>
      <c r="GQ61" s="1186"/>
      <c r="GR61" s="1186"/>
      <c r="GS61" s="1186"/>
      <c r="GT61" s="1186"/>
      <c r="GU61" s="1186"/>
      <c r="GV61" s="1186"/>
      <c r="GW61" s="1186"/>
      <c r="GX61" s="1186"/>
      <c r="GY61" s="1186"/>
      <c r="GZ61" s="1186"/>
      <c r="HA61" s="1186"/>
      <c r="HB61" s="1186"/>
      <c r="HC61" s="1186"/>
      <c r="HD61" s="1186"/>
      <c r="HE61" s="1186"/>
      <c r="HF61" s="1186"/>
      <c r="HG61" s="1186"/>
      <c r="HH61" s="1186"/>
      <c r="HI61" s="1186"/>
      <c r="HJ61" s="1186"/>
      <c r="HK61" s="1186"/>
      <c r="HL61" s="1186"/>
      <c r="HM61" s="1186"/>
      <c r="HN61" s="1186"/>
      <c r="HO61" s="1186"/>
      <c r="HP61" s="1186"/>
      <c r="HQ61" s="1186"/>
      <c r="HR61" s="1186"/>
      <c r="HS61" s="1186"/>
      <c r="HT61" s="1186"/>
      <c r="HU61" s="1186"/>
      <c r="HV61" s="1186"/>
      <c r="HW61" s="1186"/>
      <c r="HX61" s="1186"/>
      <c r="HY61" s="1186"/>
      <c r="HZ61" s="1186"/>
      <c r="IA61" s="1186"/>
      <c r="IB61" s="1186"/>
      <c r="IC61" s="1186"/>
      <c r="ID61" s="1186"/>
      <c r="IE61" s="1186"/>
      <c r="IF61" s="1186"/>
      <c r="IG61" s="1186"/>
      <c r="IH61" s="1186"/>
      <c r="II61" s="1186"/>
      <c r="IJ61" s="1186"/>
      <c r="IK61" s="1186"/>
      <c r="IL61" s="1186"/>
      <c r="IM61" s="1186"/>
      <c r="IN61" s="1186"/>
      <c r="IO61" s="1186"/>
      <c r="IP61" s="1186"/>
      <c r="IQ61" s="1186"/>
      <c r="IR61" s="1186"/>
      <c r="IS61" s="1186"/>
      <c r="IT61" s="1186"/>
      <c r="IU61" s="1186"/>
      <c r="IV61" s="1186"/>
      <c r="IW61" s="1186"/>
      <c r="IX61" s="1186"/>
      <c r="IY61" s="1186"/>
      <c r="IZ61" s="1186"/>
      <c r="JA61" s="1186"/>
      <c r="JB61" s="1186"/>
      <c r="JC61" s="1186"/>
      <c r="JD61" s="1186"/>
      <c r="JE61" s="1186"/>
      <c r="JF61" s="1186"/>
      <c r="JG61" s="1186"/>
      <c r="JH61" s="1186"/>
      <c r="JI61" s="1186"/>
      <c r="JJ61" s="1186"/>
      <c r="JK61" s="1186"/>
      <c r="JL61" s="1186"/>
      <c r="JM61" s="1186"/>
      <c r="JN61" s="1186"/>
      <c r="JO61" s="1186"/>
      <c r="JP61" s="1186"/>
      <c r="JQ61" s="1186"/>
      <c r="JR61" s="1186"/>
      <c r="JS61" s="1186"/>
      <c r="JT61" s="1186"/>
      <c r="JU61" s="1186"/>
      <c r="JV61" s="1186"/>
      <c r="JW61" s="1186"/>
      <c r="JX61" s="1186"/>
      <c r="JY61" s="1186"/>
      <c r="JZ61" s="1186"/>
      <c r="KA61" s="1186"/>
      <c r="KB61" s="1186"/>
      <c r="KC61" s="1186"/>
      <c r="KD61" s="1186"/>
      <c r="KE61" s="1186"/>
      <c r="KF61" s="1186"/>
      <c r="KG61" s="1186"/>
      <c r="KH61" s="1186"/>
      <c r="KI61" s="1186"/>
      <c r="KJ61" s="1186"/>
      <c r="KK61" s="1186"/>
      <c r="KL61" s="1186"/>
      <c r="KM61" s="1186"/>
      <c r="KN61" s="1186"/>
      <c r="KO61" s="1186"/>
      <c r="KP61" s="1186"/>
      <c r="KQ61" s="1186"/>
      <c r="KR61" s="1186"/>
      <c r="KS61" s="1186"/>
      <c r="KT61" s="1186"/>
      <c r="KU61" s="1186"/>
      <c r="KV61" s="1186"/>
      <c r="KW61" s="1186"/>
      <c r="KX61" s="1186"/>
      <c r="KY61" s="1186"/>
      <c r="KZ61" s="1186"/>
      <c r="LA61" s="1186"/>
      <c r="LB61" s="1186"/>
      <c r="LC61" s="1186"/>
      <c r="LD61" s="1186"/>
      <c r="LE61" s="1186"/>
      <c r="LF61" s="1186"/>
      <c r="LG61" s="1186"/>
      <c r="LH61" s="1186"/>
      <c r="LI61" s="1186"/>
      <c r="LJ61" s="1186"/>
      <c r="LK61" s="1186"/>
      <c r="LL61" s="1186"/>
      <c r="LM61" s="1186"/>
      <c r="LN61" s="1186"/>
      <c r="LO61" s="1186"/>
      <c r="LP61" s="1186"/>
      <c r="LQ61" s="1186"/>
      <c r="LR61" s="1186"/>
      <c r="LS61" s="1186"/>
      <c r="LT61" s="1186"/>
      <c r="LU61" s="1186"/>
      <c r="LV61" s="1186"/>
      <c r="LW61" s="1186"/>
      <c r="LX61" s="1186"/>
      <c r="LY61" s="1186"/>
      <c r="LZ61" s="1186"/>
      <c r="MA61" s="1186"/>
      <c r="MB61" s="1186"/>
      <c r="MC61" s="1186"/>
      <c r="MD61" s="1186"/>
      <c r="ME61" s="1186"/>
      <c r="MF61" s="1186"/>
      <c r="MG61" s="1186"/>
      <c r="MH61" s="1186"/>
      <c r="MI61" s="1186"/>
      <c r="MJ61" s="1186"/>
      <c r="MK61" s="1186"/>
      <c r="ML61" s="1186"/>
      <c r="MM61" s="1186"/>
      <c r="MN61" s="1186"/>
      <c r="MO61" s="1186"/>
      <c r="MP61" s="1186"/>
      <c r="MQ61" s="1186"/>
      <c r="MR61" s="1186"/>
      <c r="MS61" s="1186"/>
      <c r="MT61" s="1186"/>
      <c r="MU61" s="1186"/>
      <c r="MV61" s="1186"/>
      <c r="MW61" s="1186"/>
      <c r="MX61" s="1186"/>
      <c r="MY61" s="1186"/>
      <c r="MZ61" s="1186"/>
      <c r="NA61" s="1186"/>
      <c r="NB61" s="1186"/>
      <c r="NC61" s="1186"/>
      <c r="ND61" s="1186"/>
      <c r="NE61" s="1186"/>
      <c r="NF61" s="1186"/>
      <c r="NG61" s="1186"/>
      <c r="NH61" s="1186"/>
      <c r="NI61" s="1186"/>
      <c r="NJ61" s="1186"/>
      <c r="NK61" s="1186"/>
      <c r="NL61" s="1186"/>
      <c r="NM61" s="1186"/>
      <c r="NN61" s="1186"/>
      <c r="OZ61" s="1798">
        <v>57</v>
      </c>
    </row>
    <row r="62" spans="1:416" ht="14.7" customHeight="1">
      <c r="A62" s="6" t="s">
        <v>25</v>
      </c>
      <c r="B62" s="6" t="s">
        <v>1208</v>
      </c>
      <c r="C62" s="77"/>
      <c r="D62" s="77"/>
      <c r="E62" s="77"/>
      <c r="F62" s="77"/>
      <c r="G62" s="77"/>
      <c r="H62" s="77"/>
      <c r="I62" s="77"/>
      <c r="J62" s="77"/>
      <c r="K62" s="1295" t="s">
        <v>1209</v>
      </c>
      <c r="L62" s="77"/>
      <c r="M62" s="77"/>
      <c r="N62" s="77"/>
      <c r="O62" s="3819" t="s">
        <v>7715</v>
      </c>
      <c r="P62" s="3820"/>
      <c r="S62" s="3440" t="str">
        <f>B62</f>
        <v>UNIT SUMMARY</v>
      </c>
      <c r="T62" s="3440"/>
      <c r="U62" s="3440"/>
      <c r="V62" s="3440"/>
      <c r="AY62" s="253"/>
      <c r="BD62" s="253"/>
      <c r="MX62" s="255"/>
      <c r="NM62" s="251"/>
      <c r="OZ62" s="1799">
        <v>58</v>
      </c>
    </row>
    <row r="63" spans="1:416" ht="14.25" customHeight="1">
      <c r="A63" s="6"/>
      <c r="B63" s="6"/>
      <c r="C63" s="77"/>
      <c r="D63" s="77"/>
      <c r="E63" s="77"/>
      <c r="F63" s="77"/>
      <c r="G63" s="77"/>
      <c r="H63" s="77"/>
      <c r="I63" s="77"/>
      <c r="J63" s="77"/>
      <c r="K63" s="95" t="s">
        <v>1210</v>
      </c>
      <c r="L63" s="77"/>
      <c r="M63" s="77"/>
      <c r="N63" s="77"/>
      <c r="O63" s="3782" t="s">
        <v>7714</v>
      </c>
      <c r="P63" s="3783"/>
      <c r="S63" s="60"/>
      <c r="T63" s="60"/>
      <c r="U63" s="261"/>
      <c r="AY63" s="253"/>
      <c r="BD63" s="253"/>
      <c r="MX63" s="255"/>
      <c r="NM63" s="251"/>
      <c r="OZ63" s="1799">
        <v>59</v>
      </c>
    </row>
    <row r="64" spans="1:416" ht="14.7" customHeight="1">
      <c r="A64" s="6"/>
      <c r="B64" s="6" t="s">
        <v>1212</v>
      </c>
      <c r="C64" s="77"/>
      <c r="D64" s="77"/>
      <c r="E64" s="77"/>
      <c r="F64" s="77"/>
      <c r="G64" s="77"/>
      <c r="H64" s="35" t="s">
        <v>1213</v>
      </c>
      <c r="I64" s="35"/>
      <c r="J64" s="35"/>
      <c r="K64" s="2524" t="s">
        <v>772</v>
      </c>
      <c r="L64" s="57" t="s">
        <v>1214</v>
      </c>
      <c r="M64" s="57" t="s">
        <v>1215</v>
      </c>
      <c r="N64" s="57" t="s">
        <v>1216</v>
      </c>
      <c r="O64" s="57" t="s">
        <v>1217</v>
      </c>
      <c r="P64" s="57" t="s">
        <v>288</v>
      </c>
      <c r="S64" s="6" t="s">
        <v>793</v>
      </c>
      <c r="T64" s="6"/>
      <c r="U64" s="261"/>
      <c r="AR64" s="1298"/>
      <c r="AS64" s="1298"/>
      <c r="AT64" s="1298"/>
      <c r="AU64" s="1298"/>
      <c r="AV64" s="1298"/>
      <c r="AW64" s="1298"/>
      <c r="AY64" s="253"/>
      <c r="BB64" s="1298"/>
      <c r="BD64" s="253"/>
      <c r="MX64" s="255"/>
      <c r="NM64" s="251"/>
      <c r="OZ64" s="1798">
        <v>60</v>
      </c>
    </row>
    <row r="65" spans="1:520" ht="15" customHeight="1">
      <c r="A65" s="3784" t="s">
        <v>1218</v>
      </c>
      <c r="B65" s="3784"/>
      <c r="C65" s="43" t="s">
        <v>1219</v>
      </c>
      <c r="D65" s="43"/>
      <c r="E65" s="43"/>
      <c r="F65" s="43"/>
      <c r="G65" s="35"/>
      <c r="H65" s="48" t="s">
        <v>1220</v>
      </c>
      <c r="I65" s="13"/>
      <c r="J65" s="35"/>
      <c r="K65" s="2718">
        <f>X58</f>
        <v>0</v>
      </c>
      <c r="L65" s="2719">
        <f>Y58</f>
        <v>0</v>
      </c>
      <c r="M65" s="2719">
        <f>Z58</f>
        <v>0</v>
      </c>
      <c r="N65" s="2719">
        <f>AA58</f>
        <v>0</v>
      </c>
      <c r="O65" s="2720">
        <f>AB58</f>
        <v>0</v>
      </c>
      <c r="P65" s="2721">
        <f t="shared" ref="P65:P76" si="655">SUM(K65:O65)</f>
        <v>0</v>
      </c>
      <c r="Q65" s="3785" t="s">
        <v>1221</v>
      </c>
      <c r="R65" s="2590"/>
      <c r="S65" s="3777"/>
      <c r="T65" s="3778"/>
      <c r="U65" s="3778"/>
      <c r="V65" s="3778"/>
      <c r="W65" s="3779"/>
      <c r="X65" s="253"/>
      <c r="AA65" s="253"/>
      <c r="AB65" s="256"/>
      <c r="AC65" s="253"/>
      <c r="AF65" s="253"/>
      <c r="AG65" s="256"/>
      <c r="AH65" s="253"/>
      <c r="AK65" s="253"/>
      <c r="AL65" s="256"/>
      <c r="AM65" s="253"/>
      <c r="AP65" s="253"/>
      <c r="AQ65" s="256"/>
      <c r="AR65" s="257"/>
      <c r="AS65" s="257"/>
      <c r="AT65" s="257"/>
      <c r="AU65" s="257"/>
      <c r="AV65" s="257"/>
      <c r="AW65" s="257"/>
      <c r="AX65" s="256"/>
      <c r="AY65" s="253"/>
      <c r="BB65" s="257"/>
      <c r="BC65" s="256"/>
      <c r="BD65" s="253"/>
      <c r="MX65" s="255"/>
      <c r="NM65" s="251"/>
      <c r="OZ65" s="1799">
        <v>61</v>
      </c>
    </row>
    <row r="66" spans="1:520" ht="15" customHeight="1">
      <c r="A66" s="3784"/>
      <c r="B66" s="3784"/>
      <c r="C66" s="43"/>
      <c r="D66" s="43"/>
      <c r="E66" s="43"/>
      <c r="F66" s="43"/>
      <c r="G66" s="35"/>
      <c r="H66" s="48" t="s">
        <v>1222</v>
      </c>
      <c r="I66" s="13"/>
      <c r="J66" s="35"/>
      <c r="K66" s="787">
        <f>AC58</f>
        <v>0</v>
      </c>
      <c r="L66" s="788">
        <f>AD58</f>
        <v>0</v>
      </c>
      <c r="M66" s="788">
        <f>AE58</f>
        <v>0</v>
      </c>
      <c r="N66" s="788">
        <f>AF58</f>
        <v>0</v>
      </c>
      <c r="O66" s="789">
        <f>AG58</f>
        <v>0</v>
      </c>
      <c r="P66" s="762">
        <f t="shared" si="655"/>
        <v>0</v>
      </c>
      <c r="Q66" s="3785"/>
      <c r="R66" s="2590"/>
      <c r="S66" s="3758"/>
      <c r="T66" s="3759"/>
      <c r="U66" s="3759"/>
      <c r="V66" s="3759"/>
      <c r="W66" s="3760"/>
      <c r="X66" s="253"/>
      <c r="AA66" s="253"/>
      <c r="AB66" s="256"/>
      <c r="AC66" s="253"/>
      <c r="AF66" s="253"/>
      <c r="AG66" s="256"/>
      <c r="AH66" s="253"/>
      <c r="AK66" s="253"/>
      <c r="AL66" s="256"/>
      <c r="AM66" s="253"/>
      <c r="AP66" s="253"/>
      <c r="AQ66" s="256"/>
      <c r="AR66" s="257"/>
      <c r="AS66" s="257"/>
      <c r="AT66" s="257"/>
      <c r="AU66" s="257"/>
      <c r="AV66" s="257"/>
      <c r="AW66" s="257"/>
      <c r="AX66" s="256"/>
      <c r="AY66" s="253"/>
      <c r="BB66" s="257"/>
      <c r="BC66" s="256"/>
      <c r="BD66" s="253"/>
      <c r="MX66" s="255"/>
      <c r="NM66" s="251"/>
      <c r="OZ66" s="1799">
        <v>62</v>
      </c>
    </row>
    <row r="67" spans="1:520" ht="15" customHeight="1">
      <c r="A67" s="3784"/>
      <c r="B67" s="3784"/>
      <c r="C67" s="43"/>
      <c r="D67" s="43"/>
      <c r="E67" s="43"/>
      <c r="F67" s="43"/>
      <c r="G67" s="35"/>
      <c r="H67" s="48" t="s">
        <v>1223</v>
      </c>
      <c r="I67" s="13"/>
      <c r="J67" s="35"/>
      <c r="K67" s="787">
        <f>AH58</f>
        <v>0</v>
      </c>
      <c r="L67" s="788">
        <f>AI58</f>
        <v>19</v>
      </c>
      <c r="M67" s="788">
        <f>AJ58</f>
        <v>38</v>
      </c>
      <c r="N67" s="788">
        <f>AK58</f>
        <v>19</v>
      </c>
      <c r="O67" s="789">
        <f>AL58</f>
        <v>0</v>
      </c>
      <c r="P67" s="762">
        <f t="shared" si="655"/>
        <v>76</v>
      </c>
      <c r="Q67" s="3785"/>
      <c r="R67" s="2590"/>
      <c r="S67" s="3758"/>
      <c r="T67" s="3759"/>
      <c r="U67" s="3759"/>
      <c r="V67" s="3759"/>
      <c r="W67" s="3760"/>
      <c r="X67" s="253"/>
      <c r="AA67" s="253"/>
      <c r="AB67" s="256"/>
      <c r="AC67" s="253"/>
      <c r="AF67" s="253"/>
      <c r="AG67" s="256"/>
      <c r="AH67" s="253"/>
      <c r="AK67" s="253"/>
      <c r="AL67" s="256"/>
      <c r="AM67" s="253"/>
      <c r="AP67" s="253"/>
      <c r="AQ67" s="256"/>
      <c r="AR67" s="257"/>
      <c r="AS67" s="257"/>
      <c r="AT67" s="257"/>
      <c r="AU67" s="257"/>
      <c r="AV67" s="257"/>
      <c r="AW67" s="257"/>
      <c r="AX67" s="256"/>
      <c r="AY67" s="253"/>
      <c r="BB67" s="257"/>
      <c r="BC67" s="256"/>
      <c r="BD67" s="253"/>
      <c r="MX67" s="255"/>
      <c r="NM67" s="251"/>
      <c r="OZ67" s="1799">
        <v>63</v>
      </c>
    </row>
    <row r="68" spans="1:520" ht="15" customHeight="1">
      <c r="A68" s="3784"/>
      <c r="B68" s="3784"/>
      <c r="C68" s="43"/>
      <c r="D68" s="43"/>
      <c r="E68" s="43"/>
      <c r="F68" s="43"/>
      <c r="G68" s="35"/>
      <c r="H68" s="48" t="s">
        <v>1224</v>
      </c>
      <c r="I68" s="13"/>
      <c r="J68" s="655"/>
      <c r="K68" s="793">
        <f>AM58</f>
        <v>0</v>
      </c>
      <c r="L68" s="794">
        <f>AN58</f>
        <v>5</v>
      </c>
      <c r="M68" s="794">
        <f>AO58</f>
        <v>10</v>
      </c>
      <c r="N68" s="794">
        <f>AP58</f>
        <v>5</v>
      </c>
      <c r="O68" s="795">
        <f>AQ58</f>
        <v>0</v>
      </c>
      <c r="P68" s="332">
        <f t="shared" si="655"/>
        <v>20</v>
      </c>
      <c r="Q68" s="3785"/>
      <c r="R68" s="2590"/>
      <c r="S68" s="3758"/>
      <c r="T68" s="3759"/>
      <c r="U68" s="3759"/>
      <c r="V68" s="3759"/>
      <c r="W68" s="3760"/>
      <c r="X68" s="253"/>
      <c r="AA68" s="253"/>
      <c r="AB68" s="256"/>
      <c r="AC68" s="253"/>
      <c r="AF68" s="253"/>
      <c r="AG68" s="256"/>
      <c r="AH68" s="253"/>
      <c r="AK68" s="253"/>
      <c r="AL68" s="256"/>
      <c r="AM68" s="253"/>
      <c r="AP68" s="253"/>
      <c r="AQ68" s="256"/>
      <c r="AR68" s="257"/>
      <c r="AS68" s="257"/>
      <c r="AT68" s="257"/>
      <c r="AU68" s="257"/>
      <c r="AV68" s="257"/>
      <c r="AW68" s="257"/>
      <c r="AX68" s="256"/>
      <c r="AY68" s="253"/>
      <c r="BB68" s="257"/>
      <c r="BC68" s="256"/>
      <c r="BD68" s="253"/>
      <c r="MX68" s="255"/>
      <c r="NM68" s="251"/>
      <c r="OZ68" s="1799">
        <v>64</v>
      </c>
    </row>
    <row r="69" spans="1:520" ht="15" customHeight="1">
      <c r="A69" s="3784"/>
      <c r="B69" s="3784"/>
      <c r="C69" s="43"/>
      <c r="D69" s="43"/>
      <c r="E69" s="43"/>
      <c r="F69" s="43"/>
      <c r="G69" s="35"/>
      <c r="H69" s="48" t="s">
        <v>1225</v>
      </c>
      <c r="I69" s="13"/>
      <c r="J69" s="655"/>
      <c r="K69" s="787">
        <f>AR58</f>
        <v>0</v>
      </c>
      <c r="L69" s="788">
        <f>AS58</f>
        <v>0</v>
      </c>
      <c r="M69" s="788">
        <f>AT58</f>
        <v>0</v>
      </c>
      <c r="N69" s="788">
        <f>AU58</f>
        <v>0</v>
      </c>
      <c r="O69" s="789">
        <f>AV58</f>
        <v>0</v>
      </c>
      <c r="P69" s="762">
        <f t="shared" si="655"/>
        <v>0</v>
      </c>
      <c r="Q69" s="3785"/>
      <c r="R69" s="2590"/>
      <c r="S69" s="3758"/>
      <c r="T69" s="3759"/>
      <c r="U69" s="3759"/>
      <c r="V69" s="3759"/>
      <c r="W69" s="3760"/>
      <c r="X69" s="253"/>
      <c r="AA69" s="253"/>
      <c r="AB69" s="256"/>
      <c r="AC69" s="253"/>
      <c r="AF69" s="253"/>
      <c r="AG69" s="256"/>
      <c r="AH69" s="253"/>
      <c r="AK69" s="253"/>
      <c r="AL69" s="256"/>
      <c r="AM69" s="253"/>
      <c r="AP69" s="253"/>
      <c r="AQ69" s="256"/>
      <c r="AR69" s="257"/>
      <c r="AS69" s="257"/>
      <c r="AT69" s="257"/>
      <c r="AU69" s="257"/>
      <c r="AV69" s="257"/>
      <c r="AW69" s="257"/>
      <c r="AX69" s="256"/>
      <c r="AY69" s="253"/>
      <c r="BB69" s="257"/>
      <c r="BC69" s="256"/>
      <c r="BD69" s="253"/>
      <c r="MX69" s="255"/>
      <c r="NM69" s="251"/>
      <c r="OZ69" s="1799">
        <v>65</v>
      </c>
    </row>
    <row r="70" spans="1:520" ht="15" customHeight="1">
      <c r="A70" s="3784"/>
      <c r="B70" s="3784"/>
      <c r="C70" s="43"/>
      <c r="D70" s="43"/>
      <c r="E70" s="43"/>
      <c r="F70" s="43"/>
      <c r="G70" s="35"/>
      <c r="H70" s="48" t="s">
        <v>1226</v>
      </c>
      <c r="I70" s="13"/>
      <c r="J70" s="35"/>
      <c r="K70" s="787">
        <f>AW58</f>
        <v>0</v>
      </c>
      <c r="L70" s="788">
        <f>AX58</f>
        <v>0</v>
      </c>
      <c r="M70" s="788">
        <f>AY58</f>
        <v>0</v>
      </c>
      <c r="N70" s="788">
        <f>AZ58</f>
        <v>0</v>
      </c>
      <c r="O70" s="789">
        <f>BA58</f>
        <v>0</v>
      </c>
      <c r="P70" s="762">
        <f t="shared" si="655"/>
        <v>0</v>
      </c>
      <c r="Q70" s="3785"/>
      <c r="R70" s="2590"/>
      <c r="S70" s="3758"/>
      <c r="T70" s="3759"/>
      <c r="U70" s="3759"/>
      <c r="V70" s="3759"/>
      <c r="W70" s="3760"/>
      <c r="X70" s="253"/>
      <c r="AA70" s="253"/>
      <c r="AB70" s="256"/>
      <c r="AC70" s="253"/>
      <c r="AF70" s="253"/>
      <c r="AG70" s="256"/>
      <c r="AH70" s="253"/>
      <c r="AK70" s="253"/>
      <c r="AL70" s="256"/>
      <c r="AM70" s="253"/>
      <c r="AP70" s="253"/>
      <c r="AQ70" s="256"/>
      <c r="AR70" s="257"/>
      <c r="AS70" s="257"/>
      <c r="AT70" s="257"/>
      <c r="AU70" s="257"/>
      <c r="AV70" s="257"/>
      <c r="AW70" s="257"/>
      <c r="AX70" s="256"/>
      <c r="AY70" s="253"/>
      <c r="BB70" s="257"/>
      <c r="BC70" s="256"/>
      <c r="BD70" s="253"/>
      <c r="MX70" s="255"/>
      <c r="NM70" s="251"/>
      <c r="OZ70" s="1799">
        <v>66</v>
      </c>
    </row>
    <row r="71" spans="1:520" ht="15" customHeight="1">
      <c r="A71" s="3784"/>
      <c r="B71" s="3784"/>
      <c r="C71" s="3"/>
      <c r="D71" s="43"/>
      <c r="E71" s="43"/>
      <c r="F71" s="43"/>
      <c r="G71" s="35"/>
      <c r="H71" s="48" t="s">
        <v>1227</v>
      </c>
      <c r="I71" s="13"/>
      <c r="J71" s="35"/>
      <c r="K71" s="2358">
        <f>BB58</f>
        <v>0</v>
      </c>
      <c r="L71" s="2359">
        <f>BC58</f>
        <v>0</v>
      </c>
      <c r="M71" s="2359">
        <f>BD58</f>
        <v>0</v>
      </c>
      <c r="N71" s="2359">
        <f>BE58</f>
        <v>0</v>
      </c>
      <c r="O71" s="2360">
        <f>BF58</f>
        <v>0</v>
      </c>
      <c r="P71" s="332">
        <f t="shared" si="655"/>
        <v>0</v>
      </c>
      <c r="Q71" s="3785"/>
      <c r="R71" s="2590"/>
      <c r="S71" s="3758"/>
      <c r="T71" s="3759"/>
      <c r="U71" s="3759"/>
      <c r="V71" s="3759"/>
      <c r="W71" s="3760"/>
      <c r="X71" s="1184"/>
      <c r="AA71" s="253"/>
      <c r="AB71" s="256"/>
      <c r="AC71" s="1184"/>
      <c r="AF71" s="253"/>
      <c r="AG71" s="256"/>
      <c r="AH71" s="1184"/>
      <c r="AK71" s="253"/>
      <c r="AL71" s="256"/>
      <c r="AM71" s="1184"/>
      <c r="AP71" s="253"/>
      <c r="AQ71" s="256"/>
      <c r="AR71" s="257"/>
      <c r="AS71" s="257"/>
      <c r="AT71" s="257"/>
      <c r="AU71" s="257"/>
      <c r="AV71" s="257"/>
      <c r="AW71" s="257"/>
      <c r="AX71" s="256"/>
      <c r="AY71" s="253"/>
      <c r="BB71" s="257"/>
      <c r="BC71" s="256"/>
      <c r="BD71" s="253"/>
      <c r="MX71" s="255"/>
      <c r="NM71" s="251"/>
      <c r="OZ71" s="1798">
        <v>67</v>
      </c>
    </row>
    <row r="72" spans="1:520" ht="15" customHeight="1">
      <c r="A72" s="3784"/>
      <c r="B72" s="3784"/>
      <c r="C72" s="48" t="s">
        <v>1228</v>
      </c>
      <c r="D72" s="43"/>
      <c r="E72" s="43"/>
      <c r="F72" s="43"/>
      <c r="G72" s="35"/>
      <c r="H72" s="40"/>
      <c r="I72" s="25"/>
      <c r="J72" s="35"/>
      <c r="K72" s="2722">
        <f>SUM(K65:K71)</f>
        <v>0</v>
      </c>
      <c r="L72" s="2722">
        <f>SUM(L65:L71)</f>
        <v>24</v>
      </c>
      <c r="M72" s="2722">
        <f>SUM(M65:M71)</f>
        <v>48</v>
      </c>
      <c r="N72" s="2722">
        <f>SUM(N65:N71)</f>
        <v>24</v>
      </c>
      <c r="O72" s="2722">
        <f>SUM(O65:O71)</f>
        <v>0</v>
      </c>
      <c r="P72" s="2722">
        <f t="shared" si="655"/>
        <v>96</v>
      </c>
      <c r="Q72" s="3786"/>
      <c r="S72" s="3758"/>
      <c r="T72" s="3759"/>
      <c r="U72" s="3759"/>
      <c r="V72" s="3759"/>
      <c r="W72" s="3760"/>
      <c r="X72" s="1184"/>
      <c r="AA72" s="253"/>
      <c r="AB72" s="256"/>
      <c r="AC72" s="1184"/>
      <c r="AF72" s="253"/>
      <c r="AG72" s="256"/>
      <c r="AH72" s="1184"/>
      <c r="AK72" s="253"/>
      <c r="AL72" s="256"/>
      <c r="AM72" s="1184"/>
      <c r="AP72" s="253"/>
      <c r="AQ72" s="256"/>
      <c r="AR72" s="257"/>
      <c r="AS72" s="257"/>
      <c r="AT72" s="257"/>
      <c r="AU72" s="257"/>
      <c r="AV72" s="257"/>
      <c r="AW72" s="257"/>
      <c r="AX72" s="256"/>
      <c r="AY72" s="253"/>
      <c r="BB72" s="257"/>
      <c r="BC72" s="256"/>
      <c r="BD72" s="253"/>
      <c r="MX72" s="255"/>
      <c r="NM72" s="251"/>
      <c r="OZ72" s="1799">
        <v>68</v>
      </c>
    </row>
    <row r="73" spans="1:520" ht="15" customHeight="1">
      <c r="A73" s="3784"/>
      <c r="B73" s="3784"/>
      <c r="C73" s="77"/>
      <c r="D73" s="43"/>
      <c r="E73" s="43"/>
      <c r="F73" s="43"/>
      <c r="G73" s="35"/>
      <c r="H73" s="48" t="s">
        <v>1160</v>
      </c>
      <c r="I73" s="13"/>
      <c r="J73" s="35"/>
      <c r="K73" s="546">
        <f>BG58</f>
        <v>0</v>
      </c>
      <c r="L73" s="546">
        <f>BH58</f>
        <v>0</v>
      </c>
      <c r="M73" s="546">
        <f>BI58</f>
        <v>0</v>
      </c>
      <c r="N73" s="546">
        <f>BJ58</f>
        <v>0</v>
      </c>
      <c r="O73" s="546">
        <f>BK58</f>
        <v>0</v>
      </c>
      <c r="P73" s="546">
        <f t="shared" si="655"/>
        <v>0</v>
      </c>
      <c r="S73" s="3758"/>
      <c r="T73" s="3759"/>
      <c r="U73" s="3759"/>
      <c r="V73" s="3759"/>
      <c r="W73" s="3760"/>
      <c r="X73" s="253"/>
      <c r="AA73" s="253"/>
      <c r="AB73" s="256"/>
      <c r="AC73" s="253"/>
      <c r="AF73" s="253"/>
      <c r="AG73" s="256"/>
      <c r="AH73" s="253"/>
      <c r="AK73" s="253"/>
      <c r="AL73" s="256"/>
      <c r="AM73" s="253"/>
      <c r="AP73" s="253"/>
      <c r="AQ73" s="256"/>
      <c r="AR73" s="257"/>
      <c r="AS73" s="257"/>
      <c r="AT73" s="257"/>
      <c r="AU73" s="257"/>
      <c r="AV73" s="257"/>
      <c r="AW73" s="257"/>
      <c r="AX73" s="590"/>
      <c r="AY73" s="253"/>
      <c r="BB73" s="257"/>
      <c r="BC73" s="590"/>
      <c r="BD73" s="253"/>
      <c r="MX73" s="255"/>
      <c r="NM73" s="251"/>
      <c r="OZ73" s="1799">
        <v>69</v>
      </c>
    </row>
    <row r="74" spans="1:520" ht="15" customHeight="1">
      <c r="A74" s="3784"/>
      <c r="B74" s="3784"/>
      <c r="C74" s="763" t="s">
        <v>1229</v>
      </c>
      <c r="D74" s="763"/>
      <c r="E74" s="763"/>
      <c r="F74" s="763"/>
      <c r="G74" s="764"/>
      <c r="H74" s="972"/>
      <c r="I74" s="23"/>
      <c r="J74" s="764"/>
      <c r="K74" s="2723">
        <f>SUM(K72:K73)</f>
        <v>0</v>
      </c>
      <c r="L74" s="2723">
        <f>SUM(L72:L73)</f>
        <v>24</v>
      </c>
      <c r="M74" s="2723">
        <f>SUM(M72:M73)</f>
        <v>48</v>
      </c>
      <c r="N74" s="2723">
        <f>SUM(N72:N73)</f>
        <v>24</v>
      </c>
      <c r="O74" s="2723">
        <f>SUM(O72:O73)</f>
        <v>0</v>
      </c>
      <c r="P74" s="2723">
        <f t="shared" si="655"/>
        <v>96</v>
      </c>
      <c r="S74" s="3758"/>
      <c r="T74" s="3759"/>
      <c r="U74" s="3759"/>
      <c r="V74" s="3759"/>
      <c r="W74" s="3760"/>
      <c r="X74" s="253"/>
      <c r="AA74" s="253"/>
      <c r="AB74" s="256"/>
      <c r="AC74" s="253"/>
      <c r="AF74" s="253"/>
      <c r="AG74" s="256"/>
      <c r="AH74" s="253"/>
      <c r="AK74" s="253"/>
      <c r="AL74" s="256"/>
      <c r="AM74" s="253"/>
      <c r="AP74" s="253"/>
      <c r="AQ74" s="256"/>
      <c r="AR74" s="257"/>
      <c r="AS74" s="257"/>
      <c r="AT74" s="257"/>
      <c r="AU74" s="257"/>
      <c r="AV74" s="257"/>
      <c r="AW74" s="257"/>
      <c r="AX74" s="590"/>
      <c r="AY74" s="253"/>
      <c r="BB74" s="257"/>
      <c r="BC74" s="590"/>
      <c r="BD74" s="253"/>
      <c r="MX74" s="255"/>
      <c r="NM74" s="251"/>
      <c r="OZ74" s="1799">
        <v>70</v>
      </c>
    </row>
    <row r="75" spans="1:520" ht="15" customHeight="1">
      <c r="A75" s="3784"/>
      <c r="B75" s="3784"/>
      <c r="C75" s="77"/>
      <c r="D75" s="43"/>
      <c r="E75" s="43"/>
      <c r="F75" s="43"/>
      <c r="G75" s="35"/>
      <c r="H75" s="48" t="s">
        <v>1230</v>
      </c>
      <c r="I75" s="13"/>
      <c r="J75" s="35"/>
      <c r="K75" s="546">
        <f>FM58</f>
        <v>0</v>
      </c>
      <c r="L75" s="546">
        <f>FN58</f>
        <v>0</v>
      </c>
      <c r="M75" s="546">
        <f>FO58</f>
        <v>0</v>
      </c>
      <c r="N75" s="546">
        <f>FP58</f>
        <v>0</v>
      </c>
      <c r="O75" s="546">
        <f>FQ58</f>
        <v>0</v>
      </c>
      <c r="P75" s="546">
        <f t="shared" si="655"/>
        <v>0</v>
      </c>
      <c r="Q75" s="98" t="s">
        <v>1231</v>
      </c>
      <c r="S75" s="3758"/>
      <c r="T75" s="3759"/>
      <c r="U75" s="3759"/>
      <c r="V75" s="3759"/>
      <c r="W75" s="3760"/>
      <c r="X75" s="253"/>
      <c r="AA75" s="253"/>
      <c r="AB75" s="256"/>
      <c r="AC75" s="253"/>
      <c r="AF75" s="253"/>
      <c r="AG75" s="256"/>
      <c r="AH75" s="253"/>
      <c r="AK75" s="253"/>
      <c r="AL75" s="256"/>
      <c r="AM75" s="253"/>
      <c r="AP75" s="253"/>
      <c r="AQ75" s="256"/>
      <c r="AR75" s="257"/>
      <c r="AS75" s="257"/>
      <c r="AT75" s="257"/>
      <c r="AU75" s="257"/>
      <c r="AV75" s="257"/>
      <c r="AW75" s="257"/>
      <c r="AX75" s="256"/>
      <c r="AY75" s="253"/>
      <c r="BB75" s="257"/>
      <c r="BC75" s="256"/>
      <c r="BD75" s="253"/>
      <c r="MX75" s="255"/>
      <c r="NM75" s="251"/>
      <c r="OZ75" s="1799">
        <v>71</v>
      </c>
    </row>
    <row r="76" spans="1:520" ht="15" customHeight="1">
      <c r="A76" s="3784"/>
      <c r="B76" s="3784"/>
      <c r="C76" s="3" t="s">
        <v>1232</v>
      </c>
      <c r="D76" s="43"/>
      <c r="E76" s="43"/>
      <c r="F76" s="43"/>
      <c r="G76" s="35"/>
      <c r="H76" s="48"/>
      <c r="I76" s="13"/>
      <c r="J76" s="35"/>
      <c r="K76" s="2724">
        <f>SUM(K74:K75)</f>
        <v>0</v>
      </c>
      <c r="L76" s="2724">
        <f>SUM(L74:L75)</f>
        <v>24</v>
      </c>
      <c r="M76" s="2724">
        <f>SUM(M74:M75)</f>
        <v>48</v>
      </c>
      <c r="N76" s="2724">
        <f>SUM(N74:N75)</f>
        <v>24</v>
      </c>
      <c r="O76" s="2724">
        <f>SUM(O74:O75)</f>
        <v>0</v>
      </c>
      <c r="P76" s="2724">
        <f t="shared" si="655"/>
        <v>96</v>
      </c>
      <c r="S76" s="3725"/>
      <c r="T76" s="3726"/>
      <c r="U76" s="3726"/>
      <c r="V76" s="3726"/>
      <c r="W76" s="3727"/>
      <c r="X76" s="253"/>
      <c r="AA76" s="253"/>
      <c r="AB76" s="256"/>
      <c r="AC76" s="253"/>
      <c r="AF76" s="253"/>
      <c r="AG76" s="256"/>
      <c r="AH76" s="253"/>
      <c r="AK76" s="253"/>
      <c r="AL76" s="256"/>
      <c r="AM76" s="253"/>
      <c r="AP76" s="253"/>
      <c r="AQ76" s="256"/>
      <c r="AR76" s="257"/>
      <c r="AS76" s="257"/>
      <c r="AT76" s="257"/>
      <c r="AU76" s="257"/>
      <c r="AV76" s="257"/>
      <c r="AW76" s="257"/>
      <c r="AY76" s="253"/>
      <c r="BB76" s="257"/>
      <c r="BD76" s="253"/>
      <c r="MX76" s="255"/>
      <c r="NM76" s="251"/>
      <c r="OZ76" s="1799">
        <v>72</v>
      </c>
    </row>
    <row r="77" spans="1:520" ht="16.2" customHeight="1">
      <c r="A77" s="3784"/>
      <c r="B77" s="3784"/>
      <c r="C77" s="861"/>
      <c r="D77" s="861"/>
      <c r="E77" s="861"/>
      <c r="F77" s="861"/>
      <c r="G77" s="861"/>
      <c r="H77" s="973"/>
      <c r="I77" s="861"/>
      <c r="J77" s="861"/>
      <c r="K77" s="861"/>
      <c r="L77" s="861"/>
      <c r="M77" s="861"/>
      <c r="N77" s="861"/>
      <c r="O77" s="861"/>
      <c r="P77" s="861"/>
      <c r="Q77" s="251"/>
      <c r="X77" s="253"/>
      <c r="AA77" s="253"/>
      <c r="AB77" s="256"/>
      <c r="AC77" s="253"/>
      <c r="AF77" s="253"/>
      <c r="AG77" s="256"/>
      <c r="AH77" s="253"/>
      <c r="AK77" s="253"/>
      <c r="AL77" s="256"/>
      <c r="AM77" s="253"/>
      <c r="AP77" s="253"/>
      <c r="AQ77" s="256"/>
      <c r="AR77" s="253"/>
      <c r="AS77" s="253"/>
      <c r="AT77" s="253"/>
      <c r="AU77" s="253"/>
      <c r="AV77" s="253"/>
      <c r="AW77" s="253"/>
      <c r="AY77" s="253"/>
      <c r="BB77" s="253"/>
      <c r="BD77" s="253"/>
      <c r="MX77" s="255"/>
      <c r="NM77" s="251"/>
      <c r="OZ77" s="1801">
        <v>73</v>
      </c>
    </row>
    <row r="78" spans="1:520" ht="12" customHeight="1">
      <c r="A78" s="3784"/>
      <c r="B78" s="3784"/>
      <c r="C78" s="3787" t="s">
        <v>1233</v>
      </c>
      <c r="D78" s="3787"/>
      <c r="E78" s="3787"/>
      <c r="F78" s="3787"/>
      <c r="G78" s="861"/>
      <c r="H78" s="973"/>
      <c r="I78" s="861"/>
      <c r="J78" s="861"/>
      <c r="K78" s="978"/>
      <c r="L78" s="978"/>
      <c r="M78" s="978"/>
      <c r="N78" s="978"/>
      <c r="O78" s="978"/>
      <c r="P78" s="978"/>
      <c r="Q78" s="251"/>
      <c r="S78" s="135" t="str">
        <f>C78</f>
        <v xml:space="preserve">Income Limit Distribution among Bedroom Sizes </v>
      </c>
      <c r="U78" s="225"/>
      <c r="X78" s="253"/>
      <c r="AA78" s="253"/>
      <c r="AB78" s="256"/>
      <c r="AC78" s="253"/>
      <c r="AF78" s="253"/>
      <c r="AG78" s="256"/>
      <c r="AH78" s="253"/>
      <c r="AK78" s="253"/>
      <c r="AL78" s="256"/>
      <c r="AM78" s="253"/>
      <c r="AP78" s="253"/>
      <c r="AQ78" s="256"/>
      <c r="AR78" s="253"/>
      <c r="AS78" s="253"/>
      <c r="AT78" s="253"/>
      <c r="AU78" s="253"/>
      <c r="AV78" s="253"/>
      <c r="AW78" s="253"/>
      <c r="AY78" s="253"/>
      <c r="BB78" s="253"/>
      <c r="BD78" s="253"/>
      <c r="MX78" s="255"/>
      <c r="NM78" s="251"/>
      <c r="OZ78" s="1799">
        <v>74</v>
      </c>
    </row>
    <row r="79" spans="1:520" customFormat="1" ht="13.2" customHeight="1">
      <c r="A79" s="3784"/>
      <c r="B79" s="3784"/>
      <c r="C79" s="3787"/>
      <c r="D79" s="3787"/>
      <c r="E79" s="3787"/>
      <c r="F79" s="3787"/>
      <c r="G79" s="77"/>
      <c r="H79" s="48" t="s">
        <v>1220</v>
      </c>
      <c r="I79" s="13"/>
      <c r="J79" s="949"/>
      <c r="K79" s="2725" t="str">
        <f t="shared" ref="K79:P79" si="656">IF(OR(K65=0,K76=0),"",K65/K76)</f>
        <v/>
      </c>
      <c r="L79" s="2726" t="str">
        <f t="shared" si="656"/>
        <v/>
      </c>
      <c r="M79" s="2726" t="str">
        <f t="shared" si="656"/>
        <v/>
      </c>
      <c r="N79" s="2726" t="str">
        <f t="shared" si="656"/>
        <v/>
      </c>
      <c r="O79" s="2726" t="str">
        <f t="shared" si="656"/>
        <v/>
      </c>
      <c r="P79" s="2727" t="str">
        <f t="shared" si="656"/>
        <v/>
      </c>
      <c r="Q79" s="16" t="s">
        <v>1234</v>
      </c>
      <c r="S79" s="3777"/>
      <c r="T79" s="3778"/>
      <c r="U79" s="3778"/>
      <c r="V79" s="3778"/>
      <c r="W79" s="3779"/>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1"/>
      <c r="FZ79" s="251"/>
      <c r="GA79" s="251"/>
      <c r="GB79" s="251"/>
      <c r="GC79" s="251"/>
      <c r="GD79" s="251"/>
      <c r="GE79" s="251"/>
      <c r="GF79" s="251"/>
      <c r="GG79" s="251"/>
      <c r="GH79" s="251"/>
      <c r="GI79" s="251"/>
      <c r="GJ79" s="251"/>
      <c r="GK79" s="251"/>
      <c r="GL79" s="251"/>
      <c r="GM79" s="251"/>
      <c r="GN79" s="251"/>
      <c r="GO79" s="251"/>
      <c r="GP79" s="251"/>
      <c r="GQ79" s="251"/>
      <c r="GR79" s="251"/>
      <c r="GS79" s="251"/>
      <c r="GT79" s="251"/>
      <c r="GU79" s="251"/>
      <c r="GV79" s="251"/>
      <c r="GW79" s="251"/>
      <c r="GX79" s="251"/>
      <c r="GY79" s="251"/>
      <c r="GZ79" s="251"/>
      <c r="HA79" s="251"/>
      <c r="HB79" s="251"/>
      <c r="HC79" s="251"/>
      <c r="HD79" s="251"/>
      <c r="HE79" s="251"/>
      <c r="HF79" s="251"/>
      <c r="HG79" s="251"/>
      <c r="HH79" s="251"/>
      <c r="HI79" s="251"/>
      <c r="HJ79" s="251"/>
      <c r="HK79" s="251"/>
      <c r="HL79" s="251"/>
      <c r="HM79" s="251"/>
      <c r="HN79" s="251"/>
      <c r="HO79" s="251"/>
      <c r="HP79" s="251"/>
      <c r="HQ79" s="251"/>
      <c r="HR79" s="251"/>
      <c r="HS79" s="251"/>
      <c r="HT79" s="251"/>
      <c r="HU79" s="251"/>
      <c r="HV79" s="251"/>
      <c r="HW79" s="251"/>
      <c r="HX79" s="251"/>
      <c r="HY79" s="251"/>
      <c r="HZ79" s="251"/>
      <c r="IA79" s="251"/>
      <c r="IB79" s="251"/>
      <c r="IC79" s="251"/>
      <c r="ID79" s="251"/>
      <c r="IE79" s="251"/>
      <c r="IF79" s="251"/>
      <c r="IG79" s="251"/>
      <c r="IH79" s="251"/>
      <c r="II79" s="251"/>
      <c r="IJ79" s="251"/>
      <c r="IK79" s="251"/>
      <c r="IL79" s="251"/>
      <c r="IM79" s="251"/>
      <c r="IN79" s="251"/>
      <c r="IO79" s="251"/>
      <c r="IP79" s="251"/>
      <c r="IQ79" s="251"/>
      <c r="IR79" s="251"/>
      <c r="IS79" s="251"/>
      <c r="IT79" s="251"/>
      <c r="IU79" s="251"/>
      <c r="IV79" s="251"/>
      <c r="IW79" s="251"/>
      <c r="IX79" s="251"/>
      <c r="IY79" s="251"/>
      <c r="IZ79" s="251"/>
      <c r="JA79" s="251"/>
      <c r="JB79" s="251"/>
      <c r="JC79" s="251"/>
      <c r="JD79" s="251"/>
      <c r="JE79" s="251"/>
      <c r="JF79" s="251"/>
      <c r="JG79" s="251"/>
      <c r="JH79" s="251"/>
      <c r="JI79" s="251"/>
      <c r="JJ79" s="251"/>
      <c r="JK79" s="251"/>
      <c r="JL79" s="251"/>
      <c r="JM79" s="251"/>
      <c r="JN79" s="251"/>
      <c r="JO79" s="251"/>
      <c r="JP79" s="251"/>
      <c r="JQ79" s="251"/>
      <c r="JR79" s="251"/>
      <c r="JS79" s="251"/>
      <c r="JT79" s="251"/>
      <c r="JU79" s="251"/>
      <c r="JV79" s="251"/>
      <c r="JW79" s="251"/>
      <c r="JX79" s="251"/>
      <c r="JY79" s="251"/>
      <c r="JZ79" s="251"/>
      <c r="KA79" s="251"/>
      <c r="KB79" s="251"/>
      <c r="KC79" s="251"/>
      <c r="KD79" s="251"/>
      <c r="KE79" s="251"/>
      <c r="KF79" s="251"/>
      <c r="KG79" s="251"/>
      <c r="KH79" s="251"/>
      <c r="KI79" s="251"/>
      <c r="KJ79" s="251"/>
      <c r="KK79" s="251"/>
      <c r="KL79" s="251"/>
      <c r="KM79" s="251"/>
      <c r="KN79" s="251"/>
      <c r="KO79" s="251"/>
      <c r="KP79" s="251"/>
      <c r="KQ79" s="251"/>
      <c r="KR79" s="251"/>
      <c r="KS79" s="251"/>
      <c r="KT79" s="251"/>
      <c r="KU79" s="251"/>
      <c r="KV79" s="251"/>
      <c r="KW79" s="251"/>
      <c r="KX79" s="251"/>
      <c r="KY79" s="251"/>
      <c r="KZ79" s="251"/>
      <c r="LA79" s="251"/>
      <c r="LB79" s="251"/>
      <c r="LC79" s="251"/>
      <c r="LD79" s="251"/>
      <c r="LE79" s="251"/>
      <c r="LF79" s="251"/>
      <c r="LG79" s="251"/>
      <c r="LH79" s="251"/>
      <c r="LI79" s="251"/>
      <c r="LJ79" s="251"/>
      <c r="LK79" s="251"/>
      <c r="LL79" s="251"/>
      <c r="LM79" s="251"/>
      <c r="LN79" s="251"/>
      <c r="LO79" s="251"/>
      <c r="LP79" s="251"/>
      <c r="LQ79" s="251"/>
      <c r="LR79" s="251"/>
      <c r="LS79" s="251"/>
      <c r="LT79" s="251"/>
      <c r="LU79" s="251"/>
      <c r="LV79" s="251"/>
      <c r="LW79" s="251"/>
      <c r="LX79" s="251"/>
      <c r="LY79" s="251"/>
      <c r="LZ79" s="251"/>
      <c r="MA79" s="251"/>
      <c r="MB79" s="251"/>
      <c r="MC79" s="251"/>
      <c r="MD79" s="251"/>
      <c r="ME79" s="251"/>
      <c r="MF79" s="251"/>
      <c r="MG79" s="251"/>
      <c r="MH79" s="251"/>
      <c r="MI79" s="251"/>
      <c r="MJ79" s="251"/>
      <c r="MK79" s="251"/>
      <c r="ML79" s="251"/>
      <c r="MM79" s="251"/>
      <c r="MN79" s="251"/>
      <c r="MO79" s="251"/>
      <c r="MP79" s="251"/>
      <c r="MQ79" s="251"/>
      <c r="MR79" s="251"/>
      <c r="MS79" s="251"/>
      <c r="MT79" s="251"/>
      <c r="MU79" s="251"/>
      <c r="MV79" s="251"/>
      <c r="MW79" s="251"/>
      <c r="MX79" s="251"/>
      <c r="MY79" s="251"/>
      <c r="MZ79" s="251"/>
      <c r="NA79" s="251"/>
      <c r="NB79" s="251"/>
      <c r="NC79" s="251"/>
      <c r="ND79" s="251"/>
      <c r="NE79" s="251"/>
      <c r="NF79" s="251"/>
      <c r="NG79" s="251"/>
      <c r="NH79" s="251"/>
      <c r="NI79" s="251"/>
      <c r="NJ79" s="251"/>
      <c r="NK79" s="251"/>
      <c r="NL79" s="251"/>
      <c r="NM79" s="251"/>
      <c r="NN79" s="251"/>
      <c r="NO79" s="251"/>
      <c r="NP79" s="251"/>
      <c r="NQ79" s="251"/>
      <c r="NR79" s="251"/>
      <c r="NS79" s="251"/>
      <c r="NT79" s="251"/>
      <c r="NU79" s="251"/>
      <c r="NV79" s="251"/>
      <c r="NW79" s="251"/>
      <c r="NX79" s="251"/>
      <c r="NY79" s="251"/>
      <c r="NZ79" s="251"/>
      <c r="OA79" s="251"/>
      <c r="OB79" s="251"/>
      <c r="OC79" s="251"/>
      <c r="OD79" s="251"/>
      <c r="OE79" s="251"/>
      <c r="OF79" s="251"/>
      <c r="OG79" s="251"/>
      <c r="OH79" s="251"/>
      <c r="OI79" s="251"/>
      <c r="OJ79" s="251"/>
      <c r="OK79" s="251"/>
      <c r="OL79" s="251"/>
      <c r="OM79" s="251"/>
      <c r="ON79" s="251"/>
      <c r="OO79" s="251"/>
      <c r="OP79" s="251"/>
      <c r="OQ79" s="251"/>
      <c r="OR79" s="251"/>
      <c r="OS79" s="251"/>
      <c r="OT79" s="251"/>
      <c r="OU79" s="251"/>
      <c r="OV79" s="77"/>
      <c r="OW79" s="77"/>
      <c r="OX79" s="77"/>
      <c r="OY79" s="1794"/>
      <c r="OZ79" s="1798">
        <v>75</v>
      </c>
      <c r="PA79" s="77"/>
      <c r="PB79" s="77"/>
      <c r="PC79" s="77"/>
      <c r="PD79" s="77"/>
      <c r="PE79" s="77"/>
      <c r="PF79" s="77"/>
      <c r="PG79" s="77"/>
      <c r="PH79" s="77"/>
      <c r="PI79" s="77"/>
      <c r="PJ79" s="77"/>
      <c r="PK79" s="77"/>
      <c r="PL79" s="77"/>
      <c r="PM79" s="77"/>
      <c r="PN79" s="77"/>
      <c r="PO79" s="77"/>
      <c r="PP79" s="77"/>
      <c r="PQ79" s="77"/>
      <c r="PR79" s="77"/>
      <c r="PS79" s="77"/>
      <c r="PT79" s="77"/>
      <c r="PU79" s="77"/>
      <c r="PV79" s="77"/>
      <c r="PW79" s="77"/>
      <c r="PX79" s="77"/>
      <c r="PY79" s="77"/>
      <c r="PZ79" s="77"/>
      <c r="QA79" s="77"/>
      <c r="QB79" s="77"/>
      <c r="QC79" s="77"/>
      <c r="QD79" s="77"/>
      <c r="QE79" s="77"/>
      <c r="QF79" s="77"/>
      <c r="QG79" s="77"/>
      <c r="QH79" s="77"/>
      <c r="QI79" s="77"/>
      <c r="QJ79" s="77"/>
      <c r="QK79" s="77"/>
      <c r="QL79" s="77"/>
      <c r="QM79" s="77"/>
      <c r="QN79" s="77"/>
      <c r="QO79" s="77"/>
      <c r="QP79" s="77"/>
      <c r="QQ79" s="77"/>
      <c r="QR79" s="77"/>
      <c r="QS79" s="77"/>
      <c r="QT79" s="77"/>
      <c r="QU79" s="77"/>
      <c r="QV79" s="77"/>
      <c r="QW79" s="77"/>
      <c r="QX79" s="77"/>
      <c r="QY79" s="77"/>
      <c r="QZ79" s="77"/>
      <c r="RA79" s="77"/>
      <c r="RB79" s="77"/>
      <c r="RC79" s="77"/>
      <c r="RD79" s="77"/>
      <c r="RE79" s="77"/>
      <c r="RF79" s="77"/>
      <c r="RG79" s="77"/>
      <c r="RH79" s="77"/>
      <c r="RI79" s="77"/>
      <c r="RJ79" s="77"/>
      <c r="RK79" s="77"/>
      <c r="RL79" s="77"/>
      <c r="RM79" s="77"/>
      <c r="RN79" s="77"/>
      <c r="RO79" s="77"/>
      <c r="RP79" s="77"/>
      <c r="RQ79" s="77"/>
      <c r="RR79" s="77"/>
      <c r="RS79" s="77"/>
      <c r="RT79" s="77"/>
      <c r="RU79" s="77"/>
      <c r="RV79" s="77"/>
      <c r="RW79" s="77"/>
      <c r="RX79" s="77"/>
      <c r="RY79" s="77"/>
      <c r="RZ79" s="77"/>
      <c r="SA79" s="77"/>
      <c r="SB79" s="77"/>
      <c r="SC79" s="77"/>
      <c r="SD79" s="77"/>
      <c r="SE79" s="77"/>
      <c r="SF79" s="77"/>
      <c r="SG79" s="77"/>
      <c r="SH79" s="77"/>
      <c r="SI79" s="77"/>
      <c r="SJ79" s="77"/>
      <c r="SK79" s="77"/>
      <c r="SL79" s="77"/>
      <c r="SM79" s="77"/>
      <c r="SN79" s="77"/>
      <c r="SO79" s="77"/>
      <c r="SP79" s="77"/>
      <c r="SQ79" s="77"/>
      <c r="SR79" s="77"/>
      <c r="SS79" s="77"/>
      <c r="ST79" s="77"/>
      <c r="SU79" s="77"/>
      <c r="SV79" s="77"/>
      <c r="SW79" s="77"/>
      <c r="SX79" s="77"/>
      <c r="SY79" s="77"/>
      <c r="SZ79" s="77"/>
    </row>
    <row r="80" spans="1:520" customFormat="1">
      <c r="A80" s="3784"/>
      <c r="B80" s="3784"/>
      <c r="C80" s="490"/>
      <c r="D80" s="77"/>
      <c r="E80" s="77"/>
      <c r="F80" s="77"/>
      <c r="G80" s="77"/>
      <c r="H80" s="48" t="s">
        <v>1235</v>
      </c>
      <c r="I80" s="13"/>
      <c r="J80" s="43"/>
      <c r="K80" s="1010" t="str">
        <f>IF(OR(K65=0,P79="",K76=0),"",P79*K76)</f>
        <v/>
      </c>
      <c r="L80" s="1010" t="str">
        <f>IF(OR(L65=0,P79="",L76=0),"",P79*L76)</f>
        <v/>
      </c>
      <c r="M80" s="1010" t="str">
        <f>IF(OR(M65=0,P79="",M76=0),"",P79*M76)</f>
        <v/>
      </c>
      <c r="N80" s="1010" t="str">
        <f>IF(OR(N65=0,P79="",N76=0),"",P79*N76)</f>
        <v/>
      </c>
      <c r="O80" s="1010" t="str">
        <f>IF(OR(O65=0,P79="",O76=0),"",P79*O76)</f>
        <v/>
      </c>
      <c r="P80" s="1011" t="str">
        <f>IF(OR(P79="",P76=0),"",P79*P76)</f>
        <v/>
      </c>
      <c r="S80" s="3758"/>
      <c r="T80" s="3759"/>
      <c r="U80" s="3759"/>
      <c r="V80" s="3759"/>
      <c r="W80" s="3760"/>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P80" s="251"/>
      <c r="BQ80" s="251"/>
      <c r="BR80" s="251"/>
      <c r="BS80" s="251"/>
      <c r="BT80" s="251"/>
      <c r="BU80" s="251"/>
      <c r="BV80" s="251"/>
      <c r="BW80" s="251"/>
      <c r="BX80" s="251"/>
      <c r="BY80" s="251"/>
      <c r="BZ80" s="251"/>
      <c r="CA80" s="251"/>
      <c r="CB80" s="251"/>
      <c r="CC80" s="251"/>
      <c r="CD80" s="251"/>
      <c r="CE80" s="251"/>
      <c r="CF80" s="251"/>
      <c r="CG80" s="251"/>
      <c r="CH80" s="251"/>
      <c r="CI80" s="251"/>
      <c r="CJ80" s="251"/>
      <c r="CK80" s="251"/>
      <c r="CL80" s="251"/>
      <c r="CM80" s="251"/>
      <c r="CN80" s="251"/>
      <c r="CO80" s="251"/>
      <c r="CP80" s="251"/>
      <c r="CQ80" s="251"/>
      <c r="CR80" s="251"/>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1"/>
      <c r="EJ80" s="251"/>
      <c r="EK80" s="251"/>
      <c r="EL80" s="251"/>
      <c r="EM80" s="251"/>
      <c r="EN80" s="251"/>
      <c r="EO80" s="251"/>
      <c r="EP80" s="251"/>
      <c r="EQ80" s="251"/>
      <c r="ER80" s="251"/>
      <c r="ES80" s="251"/>
      <c r="ET80" s="251"/>
      <c r="EU80" s="251"/>
      <c r="EV80" s="251"/>
      <c r="EW80" s="251"/>
      <c r="EX80" s="251"/>
      <c r="EY80" s="251"/>
      <c r="EZ80" s="251"/>
      <c r="FA80" s="251"/>
      <c r="FB80" s="251"/>
      <c r="FC80" s="251"/>
      <c r="FD80" s="251"/>
      <c r="FE80" s="251"/>
      <c r="FF80" s="251"/>
      <c r="FG80" s="251"/>
      <c r="FH80" s="251"/>
      <c r="FI80" s="251"/>
      <c r="FJ80" s="251"/>
      <c r="FK80" s="251"/>
      <c r="FL80" s="251"/>
      <c r="FM80" s="251"/>
      <c r="FN80" s="251"/>
      <c r="FO80" s="251"/>
      <c r="FP80" s="251"/>
      <c r="FQ80" s="251"/>
      <c r="FR80" s="251"/>
      <c r="FS80" s="251"/>
      <c r="FT80" s="251"/>
      <c r="FU80" s="251"/>
      <c r="FV80" s="251"/>
      <c r="FW80" s="251"/>
      <c r="FX80" s="251"/>
      <c r="FY80" s="251"/>
      <c r="FZ80" s="251"/>
      <c r="GA80" s="251"/>
      <c r="GB80" s="251"/>
      <c r="GC80" s="251"/>
      <c r="GD80" s="251"/>
      <c r="GE80" s="251"/>
      <c r="GF80" s="251"/>
      <c r="GG80" s="251"/>
      <c r="GH80" s="251"/>
      <c r="GI80" s="251"/>
      <c r="GJ80" s="251"/>
      <c r="GK80" s="251"/>
      <c r="GL80" s="251"/>
      <c r="GM80" s="251"/>
      <c r="GN80" s="251"/>
      <c r="GO80" s="251"/>
      <c r="GP80" s="251"/>
      <c r="GQ80" s="251"/>
      <c r="GR80" s="251"/>
      <c r="GS80" s="251"/>
      <c r="GT80" s="251"/>
      <c r="GU80" s="251"/>
      <c r="GV80" s="251"/>
      <c r="GW80" s="251"/>
      <c r="GX80" s="251"/>
      <c r="GY80" s="251"/>
      <c r="GZ80" s="251"/>
      <c r="HA80" s="251"/>
      <c r="HB80" s="251"/>
      <c r="HC80" s="251"/>
      <c r="HD80" s="251"/>
      <c r="HE80" s="251"/>
      <c r="HF80" s="251"/>
      <c r="HG80" s="251"/>
      <c r="HH80" s="251"/>
      <c r="HI80" s="251"/>
      <c r="HJ80" s="251"/>
      <c r="HK80" s="251"/>
      <c r="HL80" s="251"/>
      <c r="HM80" s="251"/>
      <c r="HN80" s="251"/>
      <c r="HO80" s="251"/>
      <c r="HP80" s="251"/>
      <c r="HQ80" s="251"/>
      <c r="HR80" s="251"/>
      <c r="HS80" s="251"/>
      <c r="HT80" s="251"/>
      <c r="HU80" s="251"/>
      <c r="HV80" s="251"/>
      <c r="HW80" s="251"/>
      <c r="HX80" s="251"/>
      <c r="HY80" s="251"/>
      <c r="HZ80" s="251"/>
      <c r="IA80" s="251"/>
      <c r="IB80" s="251"/>
      <c r="IC80" s="251"/>
      <c r="ID80" s="251"/>
      <c r="IE80" s="251"/>
      <c r="IF80" s="251"/>
      <c r="IG80" s="251"/>
      <c r="IH80" s="251"/>
      <c r="II80" s="251"/>
      <c r="IJ80" s="251"/>
      <c r="IK80" s="251"/>
      <c r="IL80" s="251"/>
      <c r="IM80" s="251"/>
      <c r="IN80" s="251"/>
      <c r="IO80" s="251"/>
      <c r="IP80" s="251"/>
      <c r="IQ80" s="251"/>
      <c r="IR80" s="251"/>
      <c r="IS80" s="251"/>
      <c r="IT80" s="251"/>
      <c r="IU80" s="251"/>
      <c r="IV80" s="251"/>
      <c r="IW80" s="251"/>
      <c r="IX80" s="251"/>
      <c r="IY80" s="251"/>
      <c r="IZ80" s="251"/>
      <c r="JA80" s="251"/>
      <c r="JB80" s="251"/>
      <c r="JC80" s="251"/>
      <c r="JD80" s="251"/>
      <c r="JE80" s="251"/>
      <c r="JF80" s="251"/>
      <c r="JG80" s="251"/>
      <c r="JH80" s="251"/>
      <c r="JI80" s="251"/>
      <c r="JJ80" s="251"/>
      <c r="JK80" s="251"/>
      <c r="JL80" s="251"/>
      <c r="JM80" s="251"/>
      <c r="JN80" s="251"/>
      <c r="JO80" s="251"/>
      <c r="JP80" s="251"/>
      <c r="JQ80" s="251"/>
      <c r="JR80" s="251"/>
      <c r="JS80" s="251"/>
      <c r="JT80" s="251"/>
      <c r="JU80" s="251"/>
      <c r="JV80" s="251"/>
      <c r="JW80" s="251"/>
      <c r="JX80" s="251"/>
      <c r="JY80" s="251"/>
      <c r="JZ80" s="251"/>
      <c r="KA80" s="251"/>
      <c r="KB80" s="251"/>
      <c r="KC80" s="251"/>
      <c r="KD80" s="251"/>
      <c r="KE80" s="251"/>
      <c r="KF80" s="251"/>
      <c r="KG80" s="251"/>
      <c r="KH80" s="251"/>
      <c r="KI80" s="251"/>
      <c r="KJ80" s="251"/>
      <c r="KK80" s="251"/>
      <c r="KL80" s="251"/>
      <c r="KM80" s="251"/>
      <c r="KN80" s="251"/>
      <c r="KO80" s="251"/>
      <c r="KP80" s="251"/>
      <c r="KQ80" s="251"/>
      <c r="KR80" s="251"/>
      <c r="KS80" s="251"/>
      <c r="KT80" s="251"/>
      <c r="KU80" s="251"/>
      <c r="KV80" s="251"/>
      <c r="KW80" s="251"/>
      <c r="KX80" s="251"/>
      <c r="KY80" s="251"/>
      <c r="KZ80" s="251"/>
      <c r="LA80" s="251"/>
      <c r="LB80" s="251"/>
      <c r="LC80" s="251"/>
      <c r="LD80" s="251"/>
      <c r="LE80" s="251"/>
      <c r="LF80" s="251"/>
      <c r="LG80" s="251"/>
      <c r="LH80" s="251"/>
      <c r="LI80" s="251"/>
      <c r="LJ80" s="251"/>
      <c r="LK80" s="251"/>
      <c r="LL80" s="251"/>
      <c r="LM80" s="251"/>
      <c r="LN80" s="251"/>
      <c r="LO80" s="251"/>
      <c r="LP80" s="251"/>
      <c r="LQ80" s="251"/>
      <c r="LR80" s="251"/>
      <c r="LS80" s="251"/>
      <c r="LT80" s="251"/>
      <c r="LU80" s="251"/>
      <c r="LV80" s="251"/>
      <c r="LW80" s="251"/>
      <c r="LX80" s="251"/>
      <c r="LY80" s="251"/>
      <c r="LZ80" s="251"/>
      <c r="MA80" s="251"/>
      <c r="MB80" s="251"/>
      <c r="MC80" s="251"/>
      <c r="MD80" s="251"/>
      <c r="ME80" s="251"/>
      <c r="MF80" s="251"/>
      <c r="MG80" s="251"/>
      <c r="MH80" s="251"/>
      <c r="MI80" s="251"/>
      <c r="MJ80" s="251"/>
      <c r="MK80" s="251"/>
      <c r="ML80" s="251"/>
      <c r="MM80" s="251"/>
      <c r="MN80" s="251"/>
      <c r="MO80" s="251"/>
      <c r="MP80" s="251"/>
      <c r="MQ80" s="251"/>
      <c r="MR80" s="251"/>
      <c r="MS80" s="251"/>
      <c r="MT80" s="251"/>
      <c r="MU80" s="251"/>
      <c r="MV80" s="251"/>
      <c r="MW80" s="251"/>
      <c r="MX80" s="251"/>
      <c r="MY80" s="251"/>
      <c r="MZ80" s="251"/>
      <c r="NA80" s="251"/>
      <c r="NB80" s="251"/>
      <c r="NC80" s="251"/>
      <c r="ND80" s="251"/>
      <c r="NE80" s="251"/>
      <c r="NF80" s="251"/>
      <c r="NG80" s="251"/>
      <c r="NH80" s="251"/>
      <c r="NI80" s="251"/>
      <c r="NJ80" s="251"/>
      <c r="NK80" s="251"/>
      <c r="NL80" s="251"/>
      <c r="NM80" s="251"/>
      <c r="NN80" s="251"/>
      <c r="NO80" s="251"/>
      <c r="NP80" s="251"/>
      <c r="NQ80" s="251"/>
      <c r="NR80" s="251"/>
      <c r="NS80" s="251"/>
      <c r="NT80" s="251"/>
      <c r="NU80" s="251"/>
      <c r="NV80" s="251"/>
      <c r="NW80" s="251"/>
      <c r="NX80" s="251"/>
      <c r="NY80" s="251"/>
      <c r="NZ80" s="251"/>
      <c r="OA80" s="251"/>
      <c r="OB80" s="251"/>
      <c r="OC80" s="251"/>
      <c r="OD80" s="251"/>
      <c r="OE80" s="251"/>
      <c r="OF80" s="251"/>
      <c r="OG80" s="251"/>
      <c r="OH80" s="251"/>
      <c r="OI80" s="251"/>
      <c r="OJ80" s="251"/>
      <c r="OK80" s="251"/>
      <c r="OL80" s="251"/>
      <c r="OM80" s="251"/>
      <c r="ON80" s="251"/>
      <c r="OO80" s="251"/>
      <c r="OP80" s="251"/>
      <c r="OQ80" s="251"/>
      <c r="OR80" s="251"/>
      <c r="OS80" s="251"/>
      <c r="OT80" s="251"/>
      <c r="OU80" s="251"/>
      <c r="OV80" s="77"/>
      <c r="OW80" s="77"/>
      <c r="OX80" s="77"/>
      <c r="OY80" s="1794"/>
      <c r="OZ80" s="1799">
        <v>76</v>
      </c>
      <c r="PA80" s="77"/>
      <c r="PB80" s="77"/>
      <c r="PC80" s="77"/>
      <c r="PD80" s="77"/>
      <c r="PE80" s="77"/>
      <c r="PF80" s="77"/>
      <c r="PG80" s="77"/>
      <c r="PH80" s="77"/>
      <c r="PI80" s="77"/>
      <c r="PJ80" s="77"/>
      <c r="PK80" s="77"/>
      <c r="PL80" s="77"/>
      <c r="PM80" s="77"/>
      <c r="PN80" s="77"/>
      <c r="PO80" s="77"/>
      <c r="PP80" s="77"/>
      <c r="PQ80" s="77"/>
      <c r="PR80" s="77"/>
      <c r="PS80" s="77"/>
      <c r="PT80" s="77"/>
      <c r="PU80" s="77"/>
      <c r="PV80" s="77"/>
      <c r="PW80" s="77"/>
      <c r="PX80" s="77"/>
      <c r="PY80" s="77"/>
      <c r="PZ80" s="77"/>
      <c r="QA80" s="77"/>
      <c r="QB80" s="77"/>
      <c r="QC80" s="77"/>
      <c r="QD80" s="77"/>
      <c r="QE80" s="77"/>
      <c r="QF80" s="77"/>
      <c r="QG80" s="77"/>
      <c r="QH80" s="77"/>
      <c r="QI80" s="77"/>
      <c r="QJ80" s="77"/>
      <c r="QK80" s="77"/>
      <c r="QL80" s="77"/>
      <c r="QM80" s="77"/>
      <c r="QN80" s="77"/>
      <c r="QO80" s="77"/>
      <c r="QP80" s="77"/>
      <c r="QQ80" s="77"/>
      <c r="QR80" s="77"/>
      <c r="QS80" s="77"/>
      <c r="QT80" s="77"/>
      <c r="QU80" s="77"/>
      <c r="QV80" s="77"/>
      <c r="QW80" s="77"/>
      <c r="QX80" s="77"/>
      <c r="QY80" s="77"/>
      <c r="QZ80" s="77"/>
      <c r="RA80" s="77"/>
      <c r="RB80" s="77"/>
      <c r="RC80" s="77"/>
      <c r="RD80" s="77"/>
      <c r="RE80" s="77"/>
      <c r="RF80" s="77"/>
      <c r="RG80" s="77"/>
      <c r="RH80" s="77"/>
      <c r="RI80" s="77"/>
      <c r="RJ80" s="77"/>
      <c r="RK80" s="77"/>
      <c r="RL80" s="77"/>
      <c r="RM80" s="77"/>
      <c r="RN80" s="77"/>
      <c r="RO80" s="77"/>
      <c r="RP80" s="77"/>
      <c r="RQ80" s="77"/>
      <c r="RR80" s="77"/>
      <c r="RS80" s="77"/>
      <c r="RT80" s="77"/>
      <c r="RU80" s="77"/>
      <c r="RV80" s="77"/>
      <c r="RW80" s="77"/>
      <c r="RX80" s="77"/>
      <c r="RY80" s="77"/>
      <c r="RZ80" s="77"/>
      <c r="SA80" s="77"/>
      <c r="SB80" s="77"/>
      <c r="SC80" s="77"/>
      <c r="SD80" s="77"/>
      <c r="SE80" s="77"/>
      <c r="SF80" s="77"/>
      <c r="SG80" s="77"/>
      <c r="SH80" s="77"/>
      <c r="SI80" s="77"/>
      <c r="SJ80" s="77"/>
      <c r="SK80" s="77"/>
      <c r="SL80" s="77"/>
      <c r="SM80" s="77"/>
      <c r="SN80" s="77"/>
      <c r="SO80" s="77"/>
      <c r="SP80" s="77"/>
      <c r="SQ80" s="77"/>
      <c r="SR80" s="77"/>
      <c r="SS80" s="77"/>
      <c r="ST80" s="77"/>
      <c r="SU80" s="77"/>
      <c r="SV80" s="77"/>
      <c r="SW80" s="77"/>
      <c r="SX80" s="77"/>
      <c r="SY80" s="77"/>
      <c r="SZ80" s="77"/>
    </row>
    <row r="81" spans="1:520" customFormat="1">
      <c r="A81" s="3784"/>
      <c r="B81" s="3784"/>
      <c r="C81" s="490"/>
      <c r="D81" s="77"/>
      <c r="E81" s="77"/>
      <c r="F81" s="77"/>
      <c r="G81" s="1005"/>
      <c r="H81" s="974" t="s">
        <v>1236</v>
      </c>
      <c r="I81" s="950"/>
      <c r="J81" s="43"/>
      <c r="K81" s="1012" t="str">
        <f t="shared" ref="K81:P81" si="657">IF(OR(K80="",K65=0),"", K65-K80)</f>
        <v/>
      </c>
      <c r="L81" s="1013" t="str">
        <f t="shared" si="657"/>
        <v/>
      </c>
      <c r="M81" s="1013" t="str">
        <f t="shared" si="657"/>
        <v/>
      </c>
      <c r="N81" s="1013" t="str">
        <f t="shared" si="657"/>
        <v/>
      </c>
      <c r="O81" s="1013" t="str">
        <f t="shared" si="657"/>
        <v/>
      </c>
      <c r="P81" s="1014" t="str">
        <f t="shared" si="657"/>
        <v/>
      </c>
      <c r="S81" s="3758"/>
      <c r="T81" s="3759"/>
      <c r="U81" s="3759"/>
      <c r="V81" s="3759"/>
      <c r="W81" s="3760"/>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51"/>
      <c r="BT81" s="251"/>
      <c r="BU81" s="251"/>
      <c r="BV81" s="251"/>
      <c r="BW81" s="251"/>
      <c r="BX81" s="251"/>
      <c r="BY81" s="251"/>
      <c r="BZ81" s="251"/>
      <c r="CA81" s="251"/>
      <c r="CB81" s="251"/>
      <c r="CC81" s="251"/>
      <c r="CD81" s="251"/>
      <c r="CE81" s="251"/>
      <c r="CF81" s="251"/>
      <c r="CG81" s="251"/>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c r="GP81" s="251"/>
      <c r="GQ81" s="251"/>
      <c r="GR81" s="251"/>
      <c r="GS81" s="251"/>
      <c r="GT81" s="251"/>
      <c r="GU81" s="251"/>
      <c r="GV81" s="251"/>
      <c r="GW81" s="251"/>
      <c r="GX81" s="251"/>
      <c r="GY81" s="251"/>
      <c r="GZ81" s="251"/>
      <c r="HA81" s="251"/>
      <c r="HB81" s="251"/>
      <c r="HC81" s="251"/>
      <c r="HD81" s="251"/>
      <c r="HE81" s="251"/>
      <c r="HF81" s="251"/>
      <c r="HG81" s="251"/>
      <c r="HH81" s="251"/>
      <c r="HI81" s="251"/>
      <c r="HJ81" s="251"/>
      <c r="HK81" s="251"/>
      <c r="HL81" s="251"/>
      <c r="HM81" s="251"/>
      <c r="HN81" s="251"/>
      <c r="HO81" s="251"/>
      <c r="HP81" s="251"/>
      <c r="HQ81" s="251"/>
      <c r="HR81" s="251"/>
      <c r="HS81" s="251"/>
      <c r="HT81" s="251"/>
      <c r="HU81" s="251"/>
      <c r="HV81" s="251"/>
      <c r="HW81" s="251"/>
      <c r="HX81" s="251"/>
      <c r="HY81" s="251"/>
      <c r="HZ81" s="251"/>
      <c r="IA81" s="251"/>
      <c r="IB81" s="251"/>
      <c r="IC81" s="251"/>
      <c r="ID81" s="251"/>
      <c r="IE81" s="251"/>
      <c r="IF81" s="251"/>
      <c r="IG81" s="251"/>
      <c r="IH81" s="251"/>
      <c r="II81" s="251"/>
      <c r="IJ81" s="251"/>
      <c r="IK81" s="251"/>
      <c r="IL81" s="251"/>
      <c r="IM81" s="251"/>
      <c r="IN81" s="251"/>
      <c r="IO81" s="251"/>
      <c r="IP81" s="251"/>
      <c r="IQ81" s="251"/>
      <c r="IR81" s="251"/>
      <c r="IS81" s="251"/>
      <c r="IT81" s="251"/>
      <c r="IU81" s="251"/>
      <c r="IV81" s="251"/>
      <c r="IW81" s="251"/>
      <c r="IX81" s="251"/>
      <c r="IY81" s="251"/>
      <c r="IZ81" s="251"/>
      <c r="JA81" s="251"/>
      <c r="JB81" s="251"/>
      <c r="JC81" s="251"/>
      <c r="JD81" s="251"/>
      <c r="JE81" s="251"/>
      <c r="JF81" s="251"/>
      <c r="JG81" s="251"/>
      <c r="JH81" s="251"/>
      <c r="JI81" s="251"/>
      <c r="JJ81" s="251"/>
      <c r="JK81" s="251"/>
      <c r="JL81" s="251"/>
      <c r="JM81" s="251"/>
      <c r="JN81" s="251"/>
      <c r="JO81" s="251"/>
      <c r="JP81" s="251"/>
      <c r="JQ81" s="251"/>
      <c r="JR81" s="251"/>
      <c r="JS81" s="251"/>
      <c r="JT81" s="251"/>
      <c r="JU81" s="251"/>
      <c r="JV81" s="251"/>
      <c r="JW81" s="251"/>
      <c r="JX81" s="251"/>
      <c r="JY81" s="251"/>
      <c r="JZ81" s="251"/>
      <c r="KA81" s="251"/>
      <c r="KB81" s="251"/>
      <c r="KC81" s="251"/>
      <c r="KD81" s="251"/>
      <c r="KE81" s="251"/>
      <c r="KF81" s="251"/>
      <c r="KG81" s="251"/>
      <c r="KH81" s="251"/>
      <c r="KI81" s="251"/>
      <c r="KJ81" s="251"/>
      <c r="KK81" s="251"/>
      <c r="KL81" s="251"/>
      <c r="KM81" s="251"/>
      <c r="KN81" s="251"/>
      <c r="KO81" s="251"/>
      <c r="KP81" s="251"/>
      <c r="KQ81" s="251"/>
      <c r="KR81" s="251"/>
      <c r="KS81" s="251"/>
      <c r="KT81" s="251"/>
      <c r="KU81" s="251"/>
      <c r="KV81" s="251"/>
      <c r="KW81" s="251"/>
      <c r="KX81" s="251"/>
      <c r="KY81" s="251"/>
      <c r="KZ81" s="251"/>
      <c r="LA81" s="251"/>
      <c r="LB81" s="251"/>
      <c r="LC81" s="251"/>
      <c r="LD81" s="251"/>
      <c r="LE81" s="251"/>
      <c r="LF81" s="251"/>
      <c r="LG81" s="251"/>
      <c r="LH81" s="251"/>
      <c r="LI81" s="251"/>
      <c r="LJ81" s="251"/>
      <c r="LK81" s="251"/>
      <c r="LL81" s="251"/>
      <c r="LM81" s="251"/>
      <c r="LN81" s="251"/>
      <c r="LO81" s="251"/>
      <c r="LP81" s="251"/>
      <c r="LQ81" s="251"/>
      <c r="LR81" s="251"/>
      <c r="LS81" s="251"/>
      <c r="LT81" s="251"/>
      <c r="LU81" s="251"/>
      <c r="LV81" s="251"/>
      <c r="LW81" s="251"/>
      <c r="LX81" s="251"/>
      <c r="LY81" s="251"/>
      <c r="LZ81" s="251"/>
      <c r="MA81" s="251"/>
      <c r="MB81" s="251"/>
      <c r="MC81" s="251"/>
      <c r="MD81" s="251"/>
      <c r="ME81" s="251"/>
      <c r="MF81" s="251"/>
      <c r="MG81" s="251"/>
      <c r="MH81" s="251"/>
      <c r="MI81" s="251"/>
      <c r="MJ81" s="251"/>
      <c r="MK81" s="251"/>
      <c r="ML81" s="251"/>
      <c r="MM81" s="251"/>
      <c r="MN81" s="251"/>
      <c r="MO81" s="251"/>
      <c r="MP81" s="251"/>
      <c r="MQ81" s="251"/>
      <c r="MR81" s="251"/>
      <c r="MS81" s="251"/>
      <c r="MT81" s="251"/>
      <c r="MU81" s="251"/>
      <c r="MV81" s="251"/>
      <c r="MW81" s="251"/>
      <c r="MX81" s="251"/>
      <c r="MY81" s="251"/>
      <c r="MZ81" s="251"/>
      <c r="NA81" s="251"/>
      <c r="NB81" s="251"/>
      <c r="NC81" s="251"/>
      <c r="ND81" s="251"/>
      <c r="NE81" s="251"/>
      <c r="NF81" s="251"/>
      <c r="NG81" s="251"/>
      <c r="NH81" s="251"/>
      <c r="NI81" s="251"/>
      <c r="NJ81" s="251"/>
      <c r="NK81" s="251"/>
      <c r="NL81" s="251"/>
      <c r="NM81" s="251"/>
      <c r="NN81" s="251"/>
      <c r="NO81" s="251"/>
      <c r="NP81" s="251"/>
      <c r="NQ81" s="251"/>
      <c r="NR81" s="251"/>
      <c r="NS81" s="251"/>
      <c r="NT81" s="251"/>
      <c r="NU81" s="251"/>
      <c r="NV81" s="251"/>
      <c r="NW81" s="251"/>
      <c r="NX81" s="251"/>
      <c r="NY81" s="251"/>
      <c r="NZ81" s="251"/>
      <c r="OA81" s="251"/>
      <c r="OB81" s="251"/>
      <c r="OC81" s="251"/>
      <c r="OD81" s="251"/>
      <c r="OE81" s="251"/>
      <c r="OF81" s="251"/>
      <c r="OG81" s="251"/>
      <c r="OH81" s="251"/>
      <c r="OI81" s="251"/>
      <c r="OJ81" s="251"/>
      <c r="OK81" s="251"/>
      <c r="OL81" s="251"/>
      <c r="OM81" s="251"/>
      <c r="ON81" s="251"/>
      <c r="OO81" s="251"/>
      <c r="OP81" s="251"/>
      <c r="OQ81" s="251"/>
      <c r="OR81" s="251"/>
      <c r="OS81" s="251"/>
      <c r="OT81" s="251"/>
      <c r="OU81" s="251"/>
      <c r="OV81" s="77"/>
      <c r="OW81" s="77"/>
      <c r="OX81" s="77"/>
      <c r="OY81" s="1794"/>
      <c r="OZ81" s="1799">
        <v>77</v>
      </c>
      <c r="PA81" s="77"/>
      <c r="PB81" s="77"/>
      <c r="PC81" s="77"/>
      <c r="PD81" s="77"/>
      <c r="PE81" s="77"/>
      <c r="PF81" s="77"/>
      <c r="PG81" s="77"/>
      <c r="PH81" s="77"/>
      <c r="PI81" s="77"/>
      <c r="PJ81" s="77"/>
      <c r="PK81" s="77"/>
      <c r="PL81" s="77"/>
      <c r="PM81" s="77"/>
      <c r="PN81" s="77"/>
      <c r="PO81" s="77"/>
      <c r="PP81" s="77"/>
      <c r="PQ81" s="77"/>
      <c r="PR81" s="77"/>
      <c r="PS81" s="77"/>
      <c r="PT81" s="77"/>
      <c r="PU81" s="77"/>
      <c r="PV81" s="77"/>
      <c r="PW81" s="77"/>
      <c r="PX81" s="77"/>
      <c r="PY81" s="77"/>
      <c r="PZ81" s="77"/>
      <c r="QA81" s="77"/>
      <c r="QB81" s="77"/>
      <c r="QC81" s="77"/>
      <c r="QD81" s="77"/>
      <c r="QE81" s="77"/>
      <c r="QF81" s="77"/>
      <c r="QG81" s="77"/>
      <c r="QH81" s="77"/>
      <c r="QI81" s="77"/>
      <c r="QJ81" s="77"/>
      <c r="QK81" s="77"/>
      <c r="QL81" s="77"/>
      <c r="QM81" s="77"/>
      <c r="QN81" s="77"/>
      <c r="QO81" s="77"/>
      <c r="QP81" s="77"/>
      <c r="QQ81" s="77"/>
      <c r="QR81" s="77"/>
      <c r="QS81" s="77"/>
      <c r="QT81" s="77"/>
      <c r="QU81" s="77"/>
      <c r="QV81" s="77"/>
      <c r="QW81" s="77"/>
      <c r="QX81" s="77"/>
      <c r="QY81" s="77"/>
      <c r="QZ81" s="77"/>
      <c r="RA81" s="77"/>
      <c r="RB81" s="77"/>
      <c r="RC81" s="77"/>
      <c r="RD81" s="77"/>
      <c r="RE81" s="77"/>
      <c r="RF81" s="77"/>
      <c r="RG81" s="77"/>
      <c r="RH81" s="77"/>
      <c r="RI81" s="77"/>
      <c r="RJ81" s="77"/>
      <c r="RK81" s="77"/>
      <c r="RL81" s="77"/>
      <c r="RM81" s="77"/>
      <c r="RN81" s="77"/>
      <c r="RO81" s="77"/>
      <c r="RP81" s="77"/>
      <c r="RQ81" s="77"/>
      <c r="RR81" s="77"/>
      <c r="RS81" s="77"/>
      <c r="RT81" s="77"/>
      <c r="RU81" s="77"/>
      <c r="RV81" s="77"/>
      <c r="RW81" s="77"/>
      <c r="RX81" s="77"/>
      <c r="RY81" s="77"/>
      <c r="RZ81" s="77"/>
      <c r="SA81" s="77"/>
      <c r="SB81" s="77"/>
      <c r="SC81" s="77"/>
      <c r="SD81" s="77"/>
      <c r="SE81" s="77"/>
      <c r="SF81" s="77"/>
      <c r="SG81" s="77"/>
      <c r="SH81" s="77"/>
      <c r="SI81" s="77"/>
      <c r="SJ81" s="77"/>
      <c r="SK81" s="77"/>
      <c r="SL81" s="77"/>
      <c r="SM81" s="77"/>
      <c r="SN81" s="77"/>
      <c r="SO81" s="77"/>
      <c r="SP81" s="77"/>
      <c r="SQ81" s="77"/>
      <c r="SR81" s="77"/>
      <c r="SS81" s="77"/>
      <c r="ST81" s="77"/>
      <c r="SU81" s="77"/>
      <c r="SV81" s="77"/>
      <c r="SW81" s="77"/>
      <c r="SX81" s="77"/>
      <c r="SY81" s="77"/>
      <c r="SZ81" s="77"/>
    </row>
    <row r="82" spans="1:520" customFormat="1" ht="12.75" customHeight="1">
      <c r="A82" s="3784"/>
      <c r="B82" s="3784"/>
      <c r="C82" s="490"/>
      <c r="D82" s="3788" t="s">
        <v>1237</v>
      </c>
      <c r="E82" s="3788"/>
      <c r="F82" s="3788"/>
      <c r="G82" s="77"/>
      <c r="H82" s="48" t="s">
        <v>1222</v>
      </c>
      <c r="I82" s="13"/>
      <c r="J82" s="43"/>
      <c r="K82" s="969" t="str">
        <f t="shared" ref="K82:P82" si="658">IF(OR(K66=0,K76=0),"",K66/K76)</f>
        <v/>
      </c>
      <c r="L82" s="970" t="str">
        <f t="shared" si="658"/>
        <v/>
      </c>
      <c r="M82" s="970" t="str">
        <f t="shared" si="658"/>
        <v/>
      </c>
      <c r="N82" s="970" t="str">
        <f t="shared" si="658"/>
        <v/>
      </c>
      <c r="O82" s="970" t="str">
        <f t="shared" si="658"/>
        <v/>
      </c>
      <c r="P82" s="971" t="str">
        <f t="shared" si="658"/>
        <v/>
      </c>
      <c r="S82" s="3758"/>
      <c r="T82" s="3759"/>
      <c r="U82" s="3759"/>
      <c r="V82" s="3759"/>
      <c r="W82" s="3760"/>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c r="BR82" s="251"/>
      <c r="BS82" s="251"/>
      <c r="BT82" s="251"/>
      <c r="BU82" s="251"/>
      <c r="BV82" s="251"/>
      <c r="BW82" s="251"/>
      <c r="BX82" s="251"/>
      <c r="BY82" s="251"/>
      <c r="BZ82" s="251"/>
      <c r="CA82" s="251"/>
      <c r="CB82" s="251"/>
      <c r="CC82" s="251"/>
      <c r="CD82" s="251"/>
      <c r="CE82" s="251"/>
      <c r="CF82" s="251"/>
      <c r="CG82" s="251"/>
      <c r="CH82" s="251"/>
      <c r="CI82" s="251"/>
      <c r="CJ82" s="251"/>
      <c r="CK82" s="251"/>
      <c r="CL82" s="251"/>
      <c r="CM82" s="251"/>
      <c r="CN82" s="251"/>
      <c r="CO82" s="251"/>
      <c r="CP82" s="251"/>
      <c r="CQ82" s="251"/>
      <c r="CR82" s="251"/>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1"/>
      <c r="DW82" s="251"/>
      <c r="DX82" s="251"/>
      <c r="DY82" s="251"/>
      <c r="DZ82" s="251"/>
      <c r="EA82" s="251"/>
      <c r="EB82" s="251"/>
      <c r="EC82" s="251"/>
      <c r="ED82" s="251"/>
      <c r="EE82" s="251"/>
      <c r="EF82" s="251"/>
      <c r="EG82" s="251"/>
      <c r="EH82" s="251"/>
      <c r="EI82" s="251"/>
      <c r="EJ82" s="251"/>
      <c r="EK82" s="251"/>
      <c r="EL82" s="251"/>
      <c r="EM82" s="251"/>
      <c r="EN82" s="251"/>
      <c r="EO82" s="251"/>
      <c r="EP82" s="251"/>
      <c r="EQ82" s="251"/>
      <c r="ER82" s="251"/>
      <c r="ES82" s="251"/>
      <c r="ET82" s="251"/>
      <c r="EU82" s="251"/>
      <c r="EV82" s="251"/>
      <c r="EW82" s="251"/>
      <c r="EX82" s="251"/>
      <c r="EY82" s="251"/>
      <c r="EZ82" s="251"/>
      <c r="FA82" s="251"/>
      <c r="FB82" s="251"/>
      <c r="FC82" s="251"/>
      <c r="FD82" s="251"/>
      <c r="FE82" s="251"/>
      <c r="FF82" s="251"/>
      <c r="FG82" s="251"/>
      <c r="FH82" s="251"/>
      <c r="FI82" s="251"/>
      <c r="FJ82" s="251"/>
      <c r="FK82" s="251"/>
      <c r="FL82" s="251"/>
      <c r="FM82" s="251"/>
      <c r="FN82" s="251"/>
      <c r="FO82" s="251"/>
      <c r="FP82" s="251"/>
      <c r="FQ82" s="251"/>
      <c r="FR82" s="251"/>
      <c r="FS82" s="251"/>
      <c r="FT82" s="251"/>
      <c r="FU82" s="251"/>
      <c r="FV82" s="251"/>
      <c r="FW82" s="251"/>
      <c r="FX82" s="251"/>
      <c r="FY82" s="251"/>
      <c r="FZ82" s="251"/>
      <c r="GA82" s="251"/>
      <c r="GB82" s="251"/>
      <c r="GC82" s="251"/>
      <c r="GD82" s="251"/>
      <c r="GE82" s="251"/>
      <c r="GF82" s="251"/>
      <c r="GG82" s="251"/>
      <c r="GH82" s="251"/>
      <c r="GI82" s="251"/>
      <c r="GJ82" s="251"/>
      <c r="GK82" s="251"/>
      <c r="GL82" s="251"/>
      <c r="GM82" s="251"/>
      <c r="GN82" s="251"/>
      <c r="GO82" s="251"/>
      <c r="GP82" s="251"/>
      <c r="GQ82" s="251"/>
      <c r="GR82" s="251"/>
      <c r="GS82" s="251"/>
      <c r="GT82" s="251"/>
      <c r="GU82" s="251"/>
      <c r="GV82" s="251"/>
      <c r="GW82" s="251"/>
      <c r="GX82" s="251"/>
      <c r="GY82" s="251"/>
      <c r="GZ82" s="251"/>
      <c r="HA82" s="251"/>
      <c r="HB82" s="251"/>
      <c r="HC82" s="251"/>
      <c r="HD82" s="251"/>
      <c r="HE82" s="251"/>
      <c r="HF82" s="251"/>
      <c r="HG82" s="251"/>
      <c r="HH82" s="251"/>
      <c r="HI82" s="251"/>
      <c r="HJ82" s="251"/>
      <c r="HK82" s="251"/>
      <c r="HL82" s="251"/>
      <c r="HM82" s="251"/>
      <c r="HN82" s="251"/>
      <c r="HO82" s="251"/>
      <c r="HP82" s="251"/>
      <c r="HQ82" s="251"/>
      <c r="HR82" s="251"/>
      <c r="HS82" s="251"/>
      <c r="HT82" s="251"/>
      <c r="HU82" s="251"/>
      <c r="HV82" s="251"/>
      <c r="HW82" s="251"/>
      <c r="HX82" s="251"/>
      <c r="HY82" s="251"/>
      <c r="HZ82" s="251"/>
      <c r="IA82" s="251"/>
      <c r="IB82" s="251"/>
      <c r="IC82" s="251"/>
      <c r="ID82" s="251"/>
      <c r="IE82" s="251"/>
      <c r="IF82" s="251"/>
      <c r="IG82" s="251"/>
      <c r="IH82" s="251"/>
      <c r="II82" s="251"/>
      <c r="IJ82" s="251"/>
      <c r="IK82" s="251"/>
      <c r="IL82" s="251"/>
      <c r="IM82" s="251"/>
      <c r="IN82" s="251"/>
      <c r="IO82" s="251"/>
      <c r="IP82" s="251"/>
      <c r="IQ82" s="251"/>
      <c r="IR82" s="251"/>
      <c r="IS82" s="251"/>
      <c r="IT82" s="251"/>
      <c r="IU82" s="251"/>
      <c r="IV82" s="251"/>
      <c r="IW82" s="251"/>
      <c r="IX82" s="251"/>
      <c r="IY82" s="251"/>
      <c r="IZ82" s="251"/>
      <c r="JA82" s="251"/>
      <c r="JB82" s="251"/>
      <c r="JC82" s="251"/>
      <c r="JD82" s="251"/>
      <c r="JE82" s="251"/>
      <c r="JF82" s="251"/>
      <c r="JG82" s="251"/>
      <c r="JH82" s="251"/>
      <c r="JI82" s="251"/>
      <c r="JJ82" s="251"/>
      <c r="JK82" s="251"/>
      <c r="JL82" s="251"/>
      <c r="JM82" s="251"/>
      <c r="JN82" s="251"/>
      <c r="JO82" s="251"/>
      <c r="JP82" s="251"/>
      <c r="JQ82" s="251"/>
      <c r="JR82" s="251"/>
      <c r="JS82" s="251"/>
      <c r="JT82" s="251"/>
      <c r="JU82" s="251"/>
      <c r="JV82" s="251"/>
      <c r="JW82" s="251"/>
      <c r="JX82" s="251"/>
      <c r="JY82" s="251"/>
      <c r="JZ82" s="251"/>
      <c r="KA82" s="251"/>
      <c r="KB82" s="251"/>
      <c r="KC82" s="251"/>
      <c r="KD82" s="251"/>
      <c r="KE82" s="251"/>
      <c r="KF82" s="251"/>
      <c r="KG82" s="251"/>
      <c r="KH82" s="251"/>
      <c r="KI82" s="251"/>
      <c r="KJ82" s="251"/>
      <c r="KK82" s="251"/>
      <c r="KL82" s="251"/>
      <c r="KM82" s="251"/>
      <c r="KN82" s="251"/>
      <c r="KO82" s="251"/>
      <c r="KP82" s="251"/>
      <c r="KQ82" s="251"/>
      <c r="KR82" s="251"/>
      <c r="KS82" s="251"/>
      <c r="KT82" s="251"/>
      <c r="KU82" s="251"/>
      <c r="KV82" s="251"/>
      <c r="KW82" s="251"/>
      <c r="KX82" s="251"/>
      <c r="KY82" s="251"/>
      <c r="KZ82" s="251"/>
      <c r="LA82" s="251"/>
      <c r="LB82" s="251"/>
      <c r="LC82" s="251"/>
      <c r="LD82" s="251"/>
      <c r="LE82" s="251"/>
      <c r="LF82" s="251"/>
      <c r="LG82" s="251"/>
      <c r="LH82" s="251"/>
      <c r="LI82" s="251"/>
      <c r="LJ82" s="251"/>
      <c r="LK82" s="251"/>
      <c r="LL82" s="251"/>
      <c r="LM82" s="251"/>
      <c r="LN82" s="251"/>
      <c r="LO82" s="251"/>
      <c r="LP82" s="251"/>
      <c r="LQ82" s="251"/>
      <c r="LR82" s="251"/>
      <c r="LS82" s="251"/>
      <c r="LT82" s="251"/>
      <c r="LU82" s="251"/>
      <c r="LV82" s="251"/>
      <c r="LW82" s="251"/>
      <c r="LX82" s="251"/>
      <c r="LY82" s="251"/>
      <c r="LZ82" s="251"/>
      <c r="MA82" s="251"/>
      <c r="MB82" s="251"/>
      <c r="MC82" s="251"/>
      <c r="MD82" s="251"/>
      <c r="ME82" s="251"/>
      <c r="MF82" s="251"/>
      <c r="MG82" s="251"/>
      <c r="MH82" s="251"/>
      <c r="MI82" s="251"/>
      <c r="MJ82" s="251"/>
      <c r="MK82" s="251"/>
      <c r="ML82" s="251"/>
      <c r="MM82" s="251"/>
      <c r="MN82" s="251"/>
      <c r="MO82" s="251"/>
      <c r="MP82" s="251"/>
      <c r="MQ82" s="251"/>
      <c r="MR82" s="251"/>
      <c r="MS82" s="251"/>
      <c r="MT82" s="251"/>
      <c r="MU82" s="251"/>
      <c r="MV82" s="251"/>
      <c r="MW82" s="251"/>
      <c r="MX82" s="251"/>
      <c r="MY82" s="251"/>
      <c r="MZ82" s="251"/>
      <c r="NA82" s="251"/>
      <c r="NB82" s="251"/>
      <c r="NC82" s="251"/>
      <c r="ND82" s="251"/>
      <c r="NE82" s="251"/>
      <c r="NF82" s="251"/>
      <c r="NG82" s="251"/>
      <c r="NH82" s="251"/>
      <c r="NI82" s="251"/>
      <c r="NJ82" s="251"/>
      <c r="NK82" s="251"/>
      <c r="NL82" s="251"/>
      <c r="NM82" s="251"/>
      <c r="NN82" s="251"/>
      <c r="NO82" s="251"/>
      <c r="NP82" s="251"/>
      <c r="NQ82" s="251"/>
      <c r="NR82" s="251"/>
      <c r="NS82" s="251"/>
      <c r="NT82" s="251"/>
      <c r="NU82" s="251"/>
      <c r="NV82" s="251"/>
      <c r="NW82" s="251"/>
      <c r="NX82" s="251"/>
      <c r="NY82" s="251"/>
      <c r="NZ82" s="251"/>
      <c r="OA82" s="251"/>
      <c r="OB82" s="251"/>
      <c r="OC82" s="251"/>
      <c r="OD82" s="251"/>
      <c r="OE82" s="251"/>
      <c r="OF82" s="251"/>
      <c r="OG82" s="251"/>
      <c r="OH82" s="251"/>
      <c r="OI82" s="251"/>
      <c r="OJ82" s="251"/>
      <c r="OK82" s="251"/>
      <c r="OL82" s="251"/>
      <c r="OM82" s="251"/>
      <c r="ON82" s="251"/>
      <c r="OO82" s="251"/>
      <c r="OP82" s="251"/>
      <c r="OQ82" s="251"/>
      <c r="OR82" s="251"/>
      <c r="OS82" s="251"/>
      <c r="OT82" s="251"/>
      <c r="OU82" s="251"/>
      <c r="OV82" s="77"/>
      <c r="OW82" s="77"/>
      <c r="OX82" s="77"/>
      <c r="OY82" s="1794"/>
      <c r="OZ82" s="1798">
        <v>78</v>
      </c>
      <c r="PA82" s="77"/>
      <c r="PB82" s="77"/>
      <c r="PC82" s="77"/>
      <c r="PD82" s="77"/>
      <c r="PE82" s="77"/>
      <c r="PF82" s="77"/>
      <c r="PG82" s="77"/>
      <c r="PH82" s="77"/>
      <c r="PI82" s="77"/>
      <c r="PJ82" s="77"/>
      <c r="PK82" s="77"/>
      <c r="PL82" s="77"/>
      <c r="PM82" s="77"/>
      <c r="PN82" s="77"/>
      <c r="PO82" s="77"/>
      <c r="PP82" s="77"/>
      <c r="PQ82" s="77"/>
      <c r="PR82" s="77"/>
      <c r="PS82" s="77"/>
      <c r="PT82" s="77"/>
      <c r="PU82" s="77"/>
      <c r="PV82" s="77"/>
      <c r="PW82" s="77"/>
      <c r="PX82" s="77"/>
      <c r="PY82" s="77"/>
      <c r="PZ82" s="77"/>
      <c r="QA82" s="77"/>
      <c r="QB82" s="77"/>
      <c r="QC82" s="77"/>
      <c r="QD82" s="77"/>
      <c r="QE82" s="77"/>
      <c r="QF82" s="77"/>
      <c r="QG82" s="77"/>
      <c r="QH82" s="77"/>
      <c r="QI82" s="77"/>
      <c r="QJ82" s="77"/>
      <c r="QK82" s="77"/>
      <c r="QL82" s="77"/>
      <c r="QM82" s="77"/>
      <c r="QN82" s="77"/>
      <c r="QO82" s="77"/>
      <c r="QP82" s="77"/>
      <c r="QQ82" s="77"/>
      <c r="QR82" s="77"/>
      <c r="QS82" s="77"/>
      <c r="QT82" s="77"/>
      <c r="QU82" s="77"/>
      <c r="QV82" s="77"/>
      <c r="QW82" s="77"/>
      <c r="QX82" s="77"/>
      <c r="QY82" s="77"/>
      <c r="QZ82" s="77"/>
      <c r="RA82" s="77"/>
      <c r="RB82" s="77"/>
      <c r="RC82" s="77"/>
      <c r="RD82" s="77"/>
      <c r="RE82" s="77"/>
      <c r="RF82" s="77"/>
      <c r="RG82" s="77"/>
      <c r="RH82" s="77"/>
      <c r="RI82" s="77"/>
      <c r="RJ82" s="77"/>
      <c r="RK82" s="77"/>
      <c r="RL82" s="77"/>
      <c r="RM82" s="77"/>
      <c r="RN82" s="77"/>
      <c r="RO82" s="77"/>
      <c r="RP82" s="77"/>
      <c r="RQ82" s="77"/>
      <c r="RR82" s="77"/>
      <c r="RS82" s="77"/>
      <c r="RT82" s="77"/>
      <c r="RU82" s="77"/>
      <c r="RV82" s="77"/>
      <c r="RW82" s="77"/>
      <c r="RX82" s="77"/>
      <c r="RY82" s="77"/>
      <c r="RZ82" s="77"/>
      <c r="SA82" s="77"/>
      <c r="SB82" s="77"/>
      <c r="SC82" s="77"/>
      <c r="SD82" s="77"/>
      <c r="SE82" s="77"/>
      <c r="SF82" s="77"/>
      <c r="SG82" s="77"/>
      <c r="SH82" s="77"/>
      <c r="SI82" s="77"/>
      <c r="SJ82" s="77"/>
      <c r="SK82" s="77"/>
      <c r="SL82" s="77"/>
      <c r="SM82" s="77"/>
      <c r="SN82" s="77"/>
      <c r="SO82" s="77"/>
      <c r="SP82" s="77"/>
      <c r="SQ82" s="77"/>
      <c r="SR82" s="77"/>
      <c r="SS82" s="77"/>
      <c r="ST82" s="77"/>
      <c r="SU82" s="77"/>
      <c r="SV82" s="77"/>
      <c r="SW82" s="77"/>
      <c r="SX82" s="77"/>
      <c r="SY82" s="77"/>
      <c r="SZ82" s="77"/>
    </row>
    <row r="83" spans="1:520" customFormat="1">
      <c r="C83" s="490"/>
      <c r="D83" s="3788"/>
      <c r="E83" s="3788"/>
      <c r="F83" s="3788"/>
      <c r="G83" s="77"/>
      <c r="H83" s="48" t="s">
        <v>1235</v>
      </c>
      <c r="I83" s="13"/>
      <c r="J83" s="43"/>
      <c r="K83" s="1010" t="str">
        <f>IF(OR(K66=0,P82="",K76=0),"",P82*K76)</f>
        <v/>
      </c>
      <c r="L83" s="1010" t="str">
        <f>IF(OR(L66=0,P82="",L76=0),"",P82*L76)</f>
        <v/>
      </c>
      <c r="M83" s="1010" t="str">
        <f>IF(OR(M66=0,P82="",M76=0),"",P82*M76)</f>
        <v/>
      </c>
      <c r="N83" s="1010" t="str">
        <f>IF(OR(N66=0,P82="",N76=0),"",P82*N76)</f>
        <v/>
      </c>
      <c r="O83" s="1010" t="str">
        <f>IF(OR(O66=0,P82="",O76=0),"",P82*O76)</f>
        <v/>
      </c>
      <c r="P83" s="1011" t="str">
        <f>IF(OR(P82="",P76=0),"",P82*P76)</f>
        <v/>
      </c>
      <c r="S83" s="3758"/>
      <c r="T83" s="3759"/>
      <c r="U83" s="3759"/>
      <c r="V83" s="3759"/>
      <c r="W83" s="3760"/>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251"/>
      <c r="EK83" s="251"/>
      <c r="EL83" s="251"/>
      <c r="EM83" s="251"/>
      <c r="EN83" s="251"/>
      <c r="EO83" s="251"/>
      <c r="EP83" s="251"/>
      <c r="EQ83" s="251"/>
      <c r="ER83" s="251"/>
      <c r="ES83" s="251"/>
      <c r="ET83" s="251"/>
      <c r="EU83" s="251"/>
      <c r="EV83" s="251"/>
      <c r="EW83" s="251"/>
      <c r="EX83" s="251"/>
      <c r="EY83" s="251"/>
      <c r="EZ83" s="251"/>
      <c r="FA83" s="251"/>
      <c r="FB83" s="251"/>
      <c r="FC83" s="251"/>
      <c r="FD83" s="251"/>
      <c r="FE83" s="251"/>
      <c r="FF83" s="251"/>
      <c r="FG83" s="251"/>
      <c r="FH83" s="251"/>
      <c r="FI83" s="251"/>
      <c r="FJ83" s="251"/>
      <c r="FK83" s="251"/>
      <c r="FL83" s="251"/>
      <c r="FM83" s="251"/>
      <c r="FN83" s="251"/>
      <c r="FO83" s="251"/>
      <c r="FP83" s="251"/>
      <c r="FQ83" s="251"/>
      <c r="FR83" s="251"/>
      <c r="FS83" s="251"/>
      <c r="FT83" s="251"/>
      <c r="FU83" s="251"/>
      <c r="FV83" s="251"/>
      <c r="FW83" s="251"/>
      <c r="FX83" s="251"/>
      <c r="FY83" s="251"/>
      <c r="FZ83" s="251"/>
      <c r="GA83" s="251"/>
      <c r="GB83" s="251"/>
      <c r="GC83" s="251"/>
      <c r="GD83" s="251"/>
      <c r="GE83" s="251"/>
      <c r="GF83" s="251"/>
      <c r="GG83" s="251"/>
      <c r="GH83" s="251"/>
      <c r="GI83" s="251"/>
      <c r="GJ83" s="251"/>
      <c r="GK83" s="251"/>
      <c r="GL83" s="251"/>
      <c r="GM83" s="251"/>
      <c r="GN83" s="251"/>
      <c r="GO83" s="251"/>
      <c r="GP83" s="251"/>
      <c r="GQ83" s="251"/>
      <c r="GR83" s="251"/>
      <c r="GS83" s="251"/>
      <c r="GT83" s="251"/>
      <c r="GU83" s="251"/>
      <c r="GV83" s="251"/>
      <c r="GW83" s="251"/>
      <c r="GX83" s="251"/>
      <c r="GY83" s="251"/>
      <c r="GZ83" s="251"/>
      <c r="HA83" s="251"/>
      <c r="HB83" s="251"/>
      <c r="HC83" s="251"/>
      <c r="HD83" s="251"/>
      <c r="HE83" s="251"/>
      <c r="HF83" s="251"/>
      <c r="HG83" s="251"/>
      <c r="HH83" s="251"/>
      <c r="HI83" s="251"/>
      <c r="HJ83" s="251"/>
      <c r="HK83" s="251"/>
      <c r="HL83" s="251"/>
      <c r="HM83" s="251"/>
      <c r="HN83" s="251"/>
      <c r="HO83" s="251"/>
      <c r="HP83" s="251"/>
      <c r="HQ83" s="251"/>
      <c r="HR83" s="251"/>
      <c r="HS83" s="251"/>
      <c r="HT83" s="251"/>
      <c r="HU83" s="251"/>
      <c r="HV83" s="251"/>
      <c r="HW83" s="251"/>
      <c r="HX83" s="251"/>
      <c r="HY83" s="251"/>
      <c r="HZ83" s="251"/>
      <c r="IA83" s="251"/>
      <c r="IB83" s="251"/>
      <c r="IC83" s="251"/>
      <c r="ID83" s="251"/>
      <c r="IE83" s="251"/>
      <c r="IF83" s="251"/>
      <c r="IG83" s="251"/>
      <c r="IH83" s="251"/>
      <c r="II83" s="251"/>
      <c r="IJ83" s="251"/>
      <c r="IK83" s="251"/>
      <c r="IL83" s="251"/>
      <c r="IM83" s="251"/>
      <c r="IN83" s="251"/>
      <c r="IO83" s="251"/>
      <c r="IP83" s="251"/>
      <c r="IQ83" s="251"/>
      <c r="IR83" s="251"/>
      <c r="IS83" s="251"/>
      <c r="IT83" s="251"/>
      <c r="IU83" s="251"/>
      <c r="IV83" s="251"/>
      <c r="IW83" s="251"/>
      <c r="IX83" s="251"/>
      <c r="IY83" s="251"/>
      <c r="IZ83" s="251"/>
      <c r="JA83" s="251"/>
      <c r="JB83" s="251"/>
      <c r="JC83" s="251"/>
      <c r="JD83" s="251"/>
      <c r="JE83" s="251"/>
      <c r="JF83" s="251"/>
      <c r="JG83" s="251"/>
      <c r="JH83" s="251"/>
      <c r="JI83" s="251"/>
      <c r="JJ83" s="251"/>
      <c r="JK83" s="251"/>
      <c r="JL83" s="251"/>
      <c r="JM83" s="251"/>
      <c r="JN83" s="251"/>
      <c r="JO83" s="251"/>
      <c r="JP83" s="251"/>
      <c r="JQ83" s="251"/>
      <c r="JR83" s="251"/>
      <c r="JS83" s="251"/>
      <c r="JT83" s="251"/>
      <c r="JU83" s="251"/>
      <c r="JV83" s="251"/>
      <c r="JW83" s="251"/>
      <c r="JX83" s="251"/>
      <c r="JY83" s="251"/>
      <c r="JZ83" s="251"/>
      <c r="KA83" s="251"/>
      <c r="KB83" s="251"/>
      <c r="KC83" s="251"/>
      <c r="KD83" s="251"/>
      <c r="KE83" s="251"/>
      <c r="KF83" s="251"/>
      <c r="KG83" s="251"/>
      <c r="KH83" s="251"/>
      <c r="KI83" s="251"/>
      <c r="KJ83" s="251"/>
      <c r="KK83" s="251"/>
      <c r="KL83" s="251"/>
      <c r="KM83" s="251"/>
      <c r="KN83" s="251"/>
      <c r="KO83" s="251"/>
      <c r="KP83" s="251"/>
      <c r="KQ83" s="251"/>
      <c r="KR83" s="251"/>
      <c r="KS83" s="251"/>
      <c r="KT83" s="251"/>
      <c r="KU83" s="251"/>
      <c r="KV83" s="251"/>
      <c r="KW83" s="251"/>
      <c r="KX83" s="251"/>
      <c r="KY83" s="251"/>
      <c r="KZ83" s="251"/>
      <c r="LA83" s="251"/>
      <c r="LB83" s="251"/>
      <c r="LC83" s="251"/>
      <c r="LD83" s="251"/>
      <c r="LE83" s="251"/>
      <c r="LF83" s="251"/>
      <c r="LG83" s="251"/>
      <c r="LH83" s="251"/>
      <c r="LI83" s="251"/>
      <c r="LJ83" s="251"/>
      <c r="LK83" s="251"/>
      <c r="LL83" s="251"/>
      <c r="LM83" s="251"/>
      <c r="LN83" s="251"/>
      <c r="LO83" s="251"/>
      <c r="LP83" s="251"/>
      <c r="LQ83" s="251"/>
      <c r="LR83" s="251"/>
      <c r="LS83" s="251"/>
      <c r="LT83" s="251"/>
      <c r="LU83" s="251"/>
      <c r="LV83" s="251"/>
      <c r="LW83" s="251"/>
      <c r="LX83" s="251"/>
      <c r="LY83" s="251"/>
      <c r="LZ83" s="251"/>
      <c r="MA83" s="251"/>
      <c r="MB83" s="251"/>
      <c r="MC83" s="251"/>
      <c r="MD83" s="251"/>
      <c r="ME83" s="251"/>
      <c r="MF83" s="251"/>
      <c r="MG83" s="251"/>
      <c r="MH83" s="251"/>
      <c r="MI83" s="251"/>
      <c r="MJ83" s="251"/>
      <c r="MK83" s="251"/>
      <c r="ML83" s="251"/>
      <c r="MM83" s="251"/>
      <c r="MN83" s="251"/>
      <c r="MO83" s="251"/>
      <c r="MP83" s="251"/>
      <c r="MQ83" s="251"/>
      <c r="MR83" s="251"/>
      <c r="MS83" s="251"/>
      <c r="MT83" s="251"/>
      <c r="MU83" s="251"/>
      <c r="MV83" s="251"/>
      <c r="MW83" s="251"/>
      <c r="MX83" s="251"/>
      <c r="MY83" s="251"/>
      <c r="MZ83" s="251"/>
      <c r="NA83" s="251"/>
      <c r="NB83" s="251"/>
      <c r="NC83" s="251"/>
      <c r="ND83" s="251"/>
      <c r="NE83" s="251"/>
      <c r="NF83" s="251"/>
      <c r="NG83" s="251"/>
      <c r="NH83" s="251"/>
      <c r="NI83" s="251"/>
      <c r="NJ83" s="251"/>
      <c r="NK83" s="251"/>
      <c r="NL83" s="251"/>
      <c r="NM83" s="251"/>
      <c r="NN83" s="251"/>
      <c r="NO83" s="251"/>
      <c r="NP83" s="251"/>
      <c r="NQ83" s="251"/>
      <c r="NR83" s="251"/>
      <c r="NS83" s="251"/>
      <c r="NT83" s="251"/>
      <c r="NU83" s="251"/>
      <c r="NV83" s="251"/>
      <c r="NW83" s="251"/>
      <c r="NX83" s="251"/>
      <c r="NY83" s="251"/>
      <c r="NZ83" s="251"/>
      <c r="OA83" s="251"/>
      <c r="OB83" s="251"/>
      <c r="OC83" s="251"/>
      <c r="OD83" s="251"/>
      <c r="OE83" s="251"/>
      <c r="OF83" s="251"/>
      <c r="OG83" s="251"/>
      <c r="OH83" s="251"/>
      <c r="OI83" s="251"/>
      <c r="OJ83" s="251"/>
      <c r="OK83" s="251"/>
      <c r="OL83" s="251"/>
      <c r="OM83" s="251"/>
      <c r="ON83" s="251"/>
      <c r="OO83" s="251"/>
      <c r="OP83" s="251"/>
      <c r="OQ83" s="251"/>
      <c r="OR83" s="251"/>
      <c r="OS83" s="251"/>
      <c r="OT83" s="251"/>
      <c r="OU83" s="251"/>
      <c r="OV83" s="77"/>
      <c r="OW83" s="77"/>
      <c r="OX83" s="77"/>
      <c r="OY83" s="1794"/>
      <c r="OZ83" s="1799">
        <v>79</v>
      </c>
      <c r="PA83" s="77"/>
      <c r="PB83" s="77"/>
      <c r="PC83" s="77"/>
      <c r="PD83" s="77"/>
      <c r="PE83" s="77"/>
      <c r="PF83" s="77"/>
      <c r="PG83" s="77"/>
      <c r="PH83" s="77"/>
      <c r="PI83" s="77"/>
      <c r="PJ83" s="77"/>
      <c r="PK83" s="77"/>
      <c r="PL83" s="77"/>
      <c r="PM83" s="77"/>
      <c r="PN83" s="77"/>
      <c r="PO83" s="77"/>
      <c r="PP83" s="77"/>
      <c r="PQ83" s="77"/>
      <c r="PR83" s="77"/>
      <c r="PS83" s="77"/>
      <c r="PT83" s="77"/>
      <c r="PU83" s="77"/>
      <c r="PV83" s="77"/>
      <c r="PW83" s="77"/>
      <c r="PX83" s="77"/>
      <c r="PY83" s="77"/>
      <c r="PZ83" s="77"/>
      <c r="QA83" s="77"/>
      <c r="QB83" s="77"/>
      <c r="QC83" s="77"/>
      <c r="QD83" s="77"/>
      <c r="QE83" s="77"/>
      <c r="QF83" s="77"/>
      <c r="QG83" s="77"/>
      <c r="QH83" s="77"/>
      <c r="QI83" s="77"/>
      <c r="QJ83" s="77"/>
      <c r="QK83" s="77"/>
      <c r="QL83" s="77"/>
      <c r="QM83" s="77"/>
      <c r="QN83" s="77"/>
      <c r="QO83" s="77"/>
      <c r="QP83" s="77"/>
      <c r="QQ83" s="77"/>
      <c r="QR83" s="77"/>
      <c r="QS83" s="77"/>
      <c r="QT83" s="77"/>
      <c r="QU83" s="77"/>
      <c r="QV83" s="77"/>
      <c r="QW83" s="77"/>
      <c r="QX83" s="77"/>
      <c r="QY83" s="77"/>
      <c r="QZ83" s="77"/>
      <c r="RA83" s="77"/>
      <c r="RB83" s="77"/>
      <c r="RC83" s="77"/>
      <c r="RD83" s="77"/>
      <c r="RE83" s="77"/>
      <c r="RF83" s="77"/>
      <c r="RG83" s="77"/>
      <c r="RH83" s="77"/>
      <c r="RI83" s="77"/>
      <c r="RJ83" s="77"/>
      <c r="RK83" s="77"/>
      <c r="RL83" s="77"/>
      <c r="RM83" s="77"/>
      <c r="RN83" s="77"/>
      <c r="RO83" s="77"/>
      <c r="RP83" s="77"/>
      <c r="RQ83" s="77"/>
      <c r="RR83" s="77"/>
      <c r="RS83" s="77"/>
      <c r="RT83" s="77"/>
      <c r="RU83" s="77"/>
      <c r="RV83" s="77"/>
      <c r="RW83" s="77"/>
      <c r="RX83" s="77"/>
      <c r="RY83" s="77"/>
      <c r="RZ83" s="77"/>
      <c r="SA83" s="77"/>
      <c r="SB83" s="77"/>
      <c r="SC83" s="77"/>
      <c r="SD83" s="77"/>
      <c r="SE83" s="77"/>
      <c r="SF83" s="77"/>
      <c r="SG83" s="77"/>
      <c r="SH83" s="77"/>
      <c r="SI83" s="77"/>
      <c r="SJ83" s="77"/>
      <c r="SK83" s="77"/>
      <c r="SL83" s="77"/>
      <c r="SM83" s="77"/>
      <c r="SN83" s="77"/>
      <c r="SO83" s="77"/>
      <c r="SP83" s="77"/>
      <c r="SQ83" s="77"/>
      <c r="SR83" s="77"/>
      <c r="SS83" s="77"/>
      <c r="ST83" s="77"/>
      <c r="SU83" s="77"/>
      <c r="SV83" s="77"/>
      <c r="SW83" s="77"/>
      <c r="SX83" s="77"/>
      <c r="SY83" s="77"/>
      <c r="SZ83" s="77"/>
    </row>
    <row r="84" spans="1:520" customFormat="1">
      <c r="C84" s="490"/>
      <c r="D84" s="3788"/>
      <c r="E84" s="3788"/>
      <c r="F84" s="3788"/>
      <c r="G84" s="1005"/>
      <c r="H84" s="974" t="s">
        <v>1236</v>
      </c>
      <c r="I84" s="950"/>
      <c r="J84" s="43"/>
      <c r="K84" s="1012" t="str">
        <f t="shared" ref="K84:P84" si="659">IF(OR(K83="",K66=0),"", K66-K83)</f>
        <v/>
      </c>
      <c r="L84" s="1012" t="str">
        <f t="shared" si="659"/>
        <v/>
      </c>
      <c r="M84" s="1012" t="str">
        <f t="shared" si="659"/>
        <v/>
      </c>
      <c r="N84" s="1012" t="str">
        <f t="shared" si="659"/>
        <v/>
      </c>
      <c r="O84" s="1012" t="str">
        <f t="shared" si="659"/>
        <v/>
      </c>
      <c r="P84" s="1012" t="str">
        <f t="shared" si="659"/>
        <v/>
      </c>
      <c r="S84" s="3758"/>
      <c r="T84" s="3759"/>
      <c r="U84" s="3759"/>
      <c r="V84" s="3759"/>
      <c r="W84" s="3760"/>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c r="BU84" s="251"/>
      <c r="BV84" s="251"/>
      <c r="BW84" s="251"/>
      <c r="BX84" s="251"/>
      <c r="BY84" s="251"/>
      <c r="BZ84" s="251"/>
      <c r="CA84" s="251"/>
      <c r="CB84" s="251"/>
      <c r="CC84" s="251"/>
      <c r="CD84" s="251"/>
      <c r="CE84" s="251"/>
      <c r="CF84" s="251"/>
      <c r="CG84" s="251"/>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251"/>
      <c r="EK84" s="251"/>
      <c r="EL84" s="251"/>
      <c r="EM84" s="251"/>
      <c r="EN84" s="251"/>
      <c r="EO84" s="251"/>
      <c r="EP84" s="251"/>
      <c r="EQ84" s="251"/>
      <c r="ER84" s="251"/>
      <c r="ES84" s="251"/>
      <c r="ET84" s="251"/>
      <c r="EU84" s="251"/>
      <c r="EV84" s="251"/>
      <c r="EW84" s="251"/>
      <c r="EX84" s="251"/>
      <c r="EY84" s="251"/>
      <c r="EZ84" s="251"/>
      <c r="FA84" s="251"/>
      <c r="FB84" s="251"/>
      <c r="FC84" s="251"/>
      <c r="FD84" s="251"/>
      <c r="FE84" s="251"/>
      <c r="FF84" s="251"/>
      <c r="FG84" s="251"/>
      <c r="FH84" s="251"/>
      <c r="FI84" s="251"/>
      <c r="FJ84" s="251"/>
      <c r="FK84" s="251"/>
      <c r="FL84" s="251"/>
      <c r="FM84" s="251"/>
      <c r="FN84" s="251"/>
      <c r="FO84" s="251"/>
      <c r="FP84" s="251"/>
      <c r="FQ84" s="251"/>
      <c r="FR84" s="251"/>
      <c r="FS84" s="251"/>
      <c r="FT84" s="251"/>
      <c r="FU84" s="251"/>
      <c r="FV84" s="251"/>
      <c r="FW84" s="251"/>
      <c r="FX84" s="251"/>
      <c r="FY84" s="251"/>
      <c r="FZ84" s="251"/>
      <c r="GA84" s="251"/>
      <c r="GB84" s="251"/>
      <c r="GC84" s="251"/>
      <c r="GD84" s="251"/>
      <c r="GE84" s="251"/>
      <c r="GF84" s="251"/>
      <c r="GG84" s="251"/>
      <c r="GH84" s="251"/>
      <c r="GI84" s="251"/>
      <c r="GJ84" s="251"/>
      <c r="GK84" s="251"/>
      <c r="GL84" s="251"/>
      <c r="GM84" s="251"/>
      <c r="GN84" s="251"/>
      <c r="GO84" s="251"/>
      <c r="GP84" s="251"/>
      <c r="GQ84" s="251"/>
      <c r="GR84" s="251"/>
      <c r="GS84" s="251"/>
      <c r="GT84" s="251"/>
      <c r="GU84" s="251"/>
      <c r="GV84" s="251"/>
      <c r="GW84" s="251"/>
      <c r="GX84" s="251"/>
      <c r="GY84" s="251"/>
      <c r="GZ84" s="251"/>
      <c r="HA84" s="251"/>
      <c r="HB84" s="251"/>
      <c r="HC84" s="251"/>
      <c r="HD84" s="251"/>
      <c r="HE84" s="251"/>
      <c r="HF84" s="251"/>
      <c r="HG84" s="251"/>
      <c r="HH84" s="251"/>
      <c r="HI84" s="251"/>
      <c r="HJ84" s="251"/>
      <c r="HK84" s="251"/>
      <c r="HL84" s="251"/>
      <c r="HM84" s="251"/>
      <c r="HN84" s="251"/>
      <c r="HO84" s="251"/>
      <c r="HP84" s="251"/>
      <c r="HQ84" s="251"/>
      <c r="HR84" s="251"/>
      <c r="HS84" s="251"/>
      <c r="HT84" s="251"/>
      <c r="HU84" s="251"/>
      <c r="HV84" s="251"/>
      <c r="HW84" s="251"/>
      <c r="HX84" s="251"/>
      <c r="HY84" s="251"/>
      <c r="HZ84" s="251"/>
      <c r="IA84" s="251"/>
      <c r="IB84" s="251"/>
      <c r="IC84" s="251"/>
      <c r="ID84" s="251"/>
      <c r="IE84" s="251"/>
      <c r="IF84" s="251"/>
      <c r="IG84" s="251"/>
      <c r="IH84" s="251"/>
      <c r="II84" s="251"/>
      <c r="IJ84" s="251"/>
      <c r="IK84" s="251"/>
      <c r="IL84" s="251"/>
      <c r="IM84" s="251"/>
      <c r="IN84" s="251"/>
      <c r="IO84" s="251"/>
      <c r="IP84" s="251"/>
      <c r="IQ84" s="251"/>
      <c r="IR84" s="251"/>
      <c r="IS84" s="251"/>
      <c r="IT84" s="251"/>
      <c r="IU84" s="251"/>
      <c r="IV84" s="251"/>
      <c r="IW84" s="251"/>
      <c r="IX84" s="251"/>
      <c r="IY84" s="251"/>
      <c r="IZ84" s="251"/>
      <c r="JA84" s="251"/>
      <c r="JB84" s="251"/>
      <c r="JC84" s="251"/>
      <c r="JD84" s="251"/>
      <c r="JE84" s="251"/>
      <c r="JF84" s="251"/>
      <c r="JG84" s="251"/>
      <c r="JH84" s="251"/>
      <c r="JI84" s="251"/>
      <c r="JJ84" s="251"/>
      <c r="JK84" s="251"/>
      <c r="JL84" s="251"/>
      <c r="JM84" s="251"/>
      <c r="JN84" s="251"/>
      <c r="JO84" s="251"/>
      <c r="JP84" s="251"/>
      <c r="JQ84" s="251"/>
      <c r="JR84" s="251"/>
      <c r="JS84" s="251"/>
      <c r="JT84" s="251"/>
      <c r="JU84" s="251"/>
      <c r="JV84" s="251"/>
      <c r="JW84" s="251"/>
      <c r="JX84" s="251"/>
      <c r="JY84" s="251"/>
      <c r="JZ84" s="251"/>
      <c r="KA84" s="251"/>
      <c r="KB84" s="251"/>
      <c r="KC84" s="251"/>
      <c r="KD84" s="251"/>
      <c r="KE84" s="251"/>
      <c r="KF84" s="251"/>
      <c r="KG84" s="251"/>
      <c r="KH84" s="251"/>
      <c r="KI84" s="251"/>
      <c r="KJ84" s="251"/>
      <c r="KK84" s="251"/>
      <c r="KL84" s="251"/>
      <c r="KM84" s="251"/>
      <c r="KN84" s="251"/>
      <c r="KO84" s="251"/>
      <c r="KP84" s="251"/>
      <c r="KQ84" s="251"/>
      <c r="KR84" s="251"/>
      <c r="KS84" s="251"/>
      <c r="KT84" s="251"/>
      <c r="KU84" s="251"/>
      <c r="KV84" s="251"/>
      <c r="KW84" s="251"/>
      <c r="KX84" s="251"/>
      <c r="KY84" s="251"/>
      <c r="KZ84" s="251"/>
      <c r="LA84" s="251"/>
      <c r="LB84" s="251"/>
      <c r="LC84" s="251"/>
      <c r="LD84" s="251"/>
      <c r="LE84" s="251"/>
      <c r="LF84" s="251"/>
      <c r="LG84" s="251"/>
      <c r="LH84" s="251"/>
      <c r="LI84" s="251"/>
      <c r="LJ84" s="251"/>
      <c r="LK84" s="251"/>
      <c r="LL84" s="251"/>
      <c r="LM84" s="251"/>
      <c r="LN84" s="251"/>
      <c r="LO84" s="251"/>
      <c r="LP84" s="251"/>
      <c r="LQ84" s="251"/>
      <c r="LR84" s="251"/>
      <c r="LS84" s="251"/>
      <c r="LT84" s="251"/>
      <c r="LU84" s="251"/>
      <c r="LV84" s="251"/>
      <c r="LW84" s="251"/>
      <c r="LX84" s="251"/>
      <c r="LY84" s="251"/>
      <c r="LZ84" s="251"/>
      <c r="MA84" s="251"/>
      <c r="MB84" s="251"/>
      <c r="MC84" s="251"/>
      <c r="MD84" s="251"/>
      <c r="ME84" s="251"/>
      <c r="MF84" s="251"/>
      <c r="MG84" s="251"/>
      <c r="MH84" s="251"/>
      <c r="MI84" s="251"/>
      <c r="MJ84" s="251"/>
      <c r="MK84" s="251"/>
      <c r="ML84" s="251"/>
      <c r="MM84" s="251"/>
      <c r="MN84" s="251"/>
      <c r="MO84" s="251"/>
      <c r="MP84" s="251"/>
      <c r="MQ84" s="251"/>
      <c r="MR84" s="251"/>
      <c r="MS84" s="251"/>
      <c r="MT84" s="251"/>
      <c r="MU84" s="251"/>
      <c r="MV84" s="251"/>
      <c r="MW84" s="251"/>
      <c r="MX84" s="251"/>
      <c r="MY84" s="251"/>
      <c r="MZ84" s="251"/>
      <c r="NA84" s="251"/>
      <c r="NB84" s="251"/>
      <c r="NC84" s="251"/>
      <c r="ND84" s="251"/>
      <c r="NE84" s="251"/>
      <c r="NF84" s="251"/>
      <c r="NG84" s="251"/>
      <c r="NH84" s="251"/>
      <c r="NI84" s="251"/>
      <c r="NJ84" s="251"/>
      <c r="NK84" s="251"/>
      <c r="NL84" s="251"/>
      <c r="NM84" s="251"/>
      <c r="NN84" s="251"/>
      <c r="NO84" s="251"/>
      <c r="NP84" s="251"/>
      <c r="NQ84" s="251"/>
      <c r="NR84" s="251"/>
      <c r="NS84" s="251"/>
      <c r="NT84" s="251"/>
      <c r="NU84" s="251"/>
      <c r="NV84" s="251"/>
      <c r="NW84" s="251"/>
      <c r="NX84" s="251"/>
      <c r="NY84" s="251"/>
      <c r="NZ84" s="251"/>
      <c r="OA84" s="251"/>
      <c r="OB84" s="251"/>
      <c r="OC84" s="251"/>
      <c r="OD84" s="251"/>
      <c r="OE84" s="251"/>
      <c r="OF84" s="251"/>
      <c r="OG84" s="251"/>
      <c r="OH84" s="251"/>
      <c r="OI84" s="251"/>
      <c r="OJ84" s="251"/>
      <c r="OK84" s="251"/>
      <c r="OL84" s="251"/>
      <c r="OM84" s="251"/>
      <c r="ON84" s="251"/>
      <c r="OO84" s="251"/>
      <c r="OP84" s="251"/>
      <c r="OQ84" s="251"/>
      <c r="OR84" s="251"/>
      <c r="OS84" s="251"/>
      <c r="OT84" s="251"/>
      <c r="OU84" s="251"/>
      <c r="OV84" s="77"/>
      <c r="OW84" s="77"/>
      <c r="OX84" s="77"/>
      <c r="OY84" s="1794"/>
      <c r="OZ84" s="1799">
        <v>80</v>
      </c>
      <c r="PA84" s="77"/>
      <c r="PB84" s="77"/>
      <c r="PC84" s="77"/>
      <c r="PD84" s="77"/>
      <c r="PE84" s="77"/>
      <c r="PF84" s="77"/>
      <c r="PG84" s="77"/>
      <c r="PH84" s="77"/>
      <c r="PI84" s="77"/>
      <c r="PJ84" s="77"/>
      <c r="PK84" s="77"/>
      <c r="PL84" s="77"/>
      <c r="PM84" s="77"/>
      <c r="PN84" s="77"/>
      <c r="PO84" s="77"/>
      <c r="PP84" s="77"/>
      <c r="PQ84" s="77"/>
      <c r="PR84" s="77"/>
      <c r="PS84" s="77"/>
      <c r="PT84" s="77"/>
      <c r="PU84" s="77"/>
      <c r="PV84" s="77"/>
      <c r="PW84" s="77"/>
      <c r="PX84" s="77"/>
      <c r="PY84" s="77"/>
      <c r="PZ84" s="77"/>
      <c r="QA84" s="77"/>
      <c r="QB84" s="77"/>
      <c r="QC84" s="77"/>
      <c r="QD84" s="77"/>
      <c r="QE84" s="77"/>
      <c r="QF84" s="77"/>
      <c r="QG84" s="77"/>
      <c r="QH84" s="77"/>
      <c r="QI84" s="77"/>
      <c r="QJ84" s="77"/>
      <c r="QK84" s="77"/>
      <c r="QL84" s="77"/>
      <c r="QM84" s="77"/>
      <c r="QN84" s="77"/>
      <c r="QO84" s="77"/>
      <c r="QP84" s="77"/>
      <c r="QQ84" s="77"/>
      <c r="QR84" s="77"/>
      <c r="QS84" s="77"/>
      <c r="QT84" s="77"/>
      <c r="QU84" s="77"/>
      <c r="QV84" s="77"/>
      <c r="QW84" s="77"/>
      <c r="QX84" s="77"/>
      <c r="QY84" s="77"/>
      <c r="QZ84" s="77"/>
      <c r="RA84" s="77"/>
      <c r="RB84" s="77"/>
      <c r="RC84" s="77"/>
      <c r="RD84" s="77"/>
      <c r="RE84" s="77"/>
      <c r="RF84" s="77"/>
      <c r="RG84" s="77"/>
      <c r="RH84" s="77"/>
      <c r="RI84" s="77"/>
      <c r="RJ84" s="77"/>
      <c r="RK84" s="77"/>
      <c r="RL84" s="77"/>
      <c r="RM84" s="77"/>
      <c r="RN84" s="77"/>
      <c r="RO84" s="77"/>
      <c r="RP84" s="77"/>
      <c r="RQ84" s="77"/>
      <c r="RR84" s="77"/>
      <c r="RS84" s="77"/>
      <c r="RT84" s="77"/>
      <c r="RU84" s="77"/>
      <c r="RV84" s="77"/>
      <c r="RW84" s="77"/>
      <c r="RX84" s="77"/>
      <c r="RY84" s="77"/>
      <c r="RZ84" s="77"/>
      <c r="SA84" s="77"/>
      <c r="SB84" s="77"/>
      <c r="SC84" s="77"/>
      <c r="SD84" s="77"/>
      <c r="SE84" s="77"/>
      <c r="SF84" s="77"/>
      <c r="SG84" s="77"/>
      <c r="SH84" s="77"/>
      <c r="SI84" s="77"/>
      <c r="SJ84" s="77"/>
      <c r="SK84" s="77"/>
      <c r="SL84" s="77"/>
      <c r="SM84" s="77"/>
      <c r="SN84" s="77"/>
      <c r="SO84" s="77"/>
      <c r="SP84" s="77"/>
      <c r="SQ84" s="77"/>
      <c r="SR84" s="77"/>
      <c r="SS84" s="77"/>
      <c r="ST84" s="77"/>
      <c r="SU84" s="77"/>
      <c r="SV84" s="77"/>
      <c r="SW84" s="77"/>
      <c r="SX84" s="77"/>
      <c r="SY84" s="77"/>
      <c r="SZ84" s="77"/>
    </row>
    <row r="85" spans="1:520" customFormat="1">
      <c r="C85" s="115" t="s">
        <v>1238</v>
      </c>
      <c r="D85" s="3788"/>
      <c r="E85" s="3788"/>
      <c r="F85" s="3788"/>
      <c r="G85" s="77"/>
      <c r="H85" s="48" t="s">
        <v>1223</v>
      </c>
      <c r="I85" s="13"/>
      <c r="J85" s="43"/>
      <c r="K85" s="969" t="str">
        <f t="shared" ref="K85:P85" si="660">IF(OR(K67=0,K76=0),"",K67/K76)</f>
        <v/>
      </c>
      <c r="L85" s="970">
        <f t="shared" si="660"/>
        <v>0.79166666666666663</v>
      </c>
      <c r="M85" s="970">
        <f t="shared" si="660"/>
        <v>0.79166666666666663</v>
      </c>
      <c r="N85" s="970">
        <f t="shared" si="660"/>
        <v>0.79166666666666663</v>
      </c>
      <c r="O85" s="970" t="str">
        <f t="shared" si="660"/>
        <v/>
      </c>
      <c r="P85" s="971">
        <f t="shared" si="660"/>
        <v>0.79166666666666663</v>
      </c>
      <c r="S85" s="3758"/>
      <c r="T85" s="3759"/>
      <c r="U85" s="3759"/>
      <c r="V85" s="3759"/>
      <c r="W85" s="3760"/>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P85" s="251"/>
      <c r="BQ85" s="251"/>
      <c r="BR85" s="251"/>
      <c r="BS85" s="251"/>
      <c r="BT85" s="251"/>
      <c r="BU85" s="251"/>
      <c r="BV85" s="251"/>
      <c r="BW85" s="251"/>
      <c r="BX85" s="251"/>
      <c r="BY85" s="251"/>
      <c r="BZ85" s="251"/>
      <c r="CA85" s="251"/>
      <c r="CB85" s="251"/>
      <c r="CC85" s="251"/>
      <c r="CD85" s="251"/>
      <c r="CE85" s="251"/>
      <c r="CF85" s="251"/>
      <c r="CG85" s="251"/>
      <c r="CH85" s="251"/>
      <c r="CI85" s="251"/>
      <c r="CJ85" s="251"/>
      <c r="CK85" s="251"/>
      <c r="CL85" s="251"/>
      <c r="CM85" s="251"/>
      <c r="CN85" s="251"/>
      <c r="CO85" s="251"/>
      <c r="CP85" s="251"/>
      <c r="CQ85" s="251"/>
      <c r="CR85" s="251"/>
      <c r="CS85" s="251"/>
      <c r="CT85" s="251"/>
      <c r="CU85" s="251"/>
      <c r="CV85" s="251"/>
      <c r="CW85" s="251"/>
      <c r="CX85" s="251"/>
      <c r="CY85" s="251"/>
      <c r="CZ85" s="251"/>
      <c r="DA85" s="251"/>
      <c r="DB85" s="251"/>
      <c r="DC85" s="251"/>
      <c r="DD85" s="251"/>
      <c r="DE85" s="251"/>
      <c r="DF85" s="251"/>
      <c r="DG85" s="251"/>
      <c r="DH85" s="251"/>
      <c r="DI85" s="251"/>
      <c r="DJ85" s="251"/>
      <c r="DK85" s="251"/>
      <c r="DL85" s="251"/>
      <c r="DM85" s="251"/>
      <c r="DN85" s="251"/>
      <c r="DO85" s="251"/>
      <c r="DP85" s="251"/>
      <c r="DQ85" s="251"/>
      <c r="DR85" s="251"/>
      <c r="DS85" s="251"/>
      <c r="DT85" s="251"/>
      <c r="DU85" s="251"/>
      <c r="DV85" s="251"/>
      <c r="DW85" s="251"/>
      <c r="DX85" s="251"/>
      <c r="DY85" s="251"/>
      <c r="DZ85" s="251"/>
      <c r="EA85" s="251"/>
      <c r="EB85" s="251"/>
      <c r="EC85" s="251"/>
      <c r="ED85" s="251"/>
      <c r="EE85" s="251"/>
      <c r="EF85" s="251"/>
      <c r="EG85" s="251"/>
      <c r="EH85" s="251"/>
      <c r="EI85" s="251"/>
      <c r="EJ85" s="251"/>
      <c r="EK85" s="251"/>
      <c r="EL85" s="251"/>
      <c r="EM85" s="251"/>
      <c r="EN85" s="251"/>
      <c r="EO85" s="251"/>
      <c r="EP85" s="251"/>
      <c r="EQ85" s="251"/>
      <c r="ER85" s="251"/>
      <c r="ES85" s="251"/>
      <c r="ET85" s="251"/>
      <c r="EU85" s="251"/>
      <c r="EV85" s="251"/>
      <c r="EW85" s="251"/>
      <c r="EX85" s="251"/>
      <c r="EY85" s="251"/>
      <c r="EZ85" s="251"/>
      <c r="FA85" s="251"/>
      <c r="FB85" s="251"/>
      <c r="FC85" s="251"/>
      <c r="FD85" s="251"/>
      <c r="FE85" s="251"/>
      <c r="FF85" s="251"/>
      <c r="FG85" s="251"/>
      <c r="FH85" s="251"/>
      <c r="FI85" s="251"/>
      <c r="FJ85" s="251"/>
      <c r="FK85" s="251"/>
      <c r="FL85" s="251"/>
      <c r="FM85" s="251"/>
      <c r="FN85" s="251"/>
      <c r="FO85" s="251"/>
      <c r="FP85" s="251"/>
      <c r="FQ85" s="251"/>
      <c r="FR85" s="251"/>
      <c r="FS85" s="251"/>
      <c r="FT85" s="251"/>
      <c r="FU85" s="251"/>
      <c r="FV85" s="251"/>
      <c r="FW85" s="251"/>
      <c r="FX85" s="251"/>
      <c r="FY85" s="251"/>
      <c r="FZ85" s="251"/>
      <c r="GA85" s="251"/>
      <c r="GB85" s="251"/>
      <c r="GC85" s="251"/>
      <c r="GD85" s="251"/>
      <c r="GE85" s="251"/>
      <c r="GF85" s="251"/>
      <c r="GG85" s="251"/>
      <c r="GH85" s="251"/>
      <c r="GI85" s="251"/>
      <c r="GJ85" s="251"/>
      <c r="GK85" s="251"/>
      <c r="GL85" s="251"/>
      <c r="GM85" s="251"/>
      <c r="GN85" s="251"/>
      <c r="GO85" s="251"/>
      <c r="GP85" s="251"/>
      <c r="GQ85" s="251"/>
      <c r="GR85" s="251"/>
      <c r="GS85" s="251"/>
      <c r="GT85" s="251"/>
      <c r="GU85" s="251"/>
      <c r="GV85" s="251"/>
      <c r="GW85" s="251"/>
      <c r="GX85" s="251"/>
      <c r="GY85" s="251"/>
      <c r="GZ85" s="251"/>
      <c r="HA85" s="251"/>
      <c r="HB85" s="251"/>
      <c r="HC85" s="251"/>
      <c r="HD85" s="251"/>
      <c r="HE85" s="251"/>
      <c r="HF85" s="251"/>
      <c r="HG85" s="251"/>
      <c r="HH85" s="251"/>
      <c r="HI85" s="251"/>
      <c r="HJ85" s="251"/>
      <c r="HK85" s="251"/>
      <c r="HL85" s="251"/>
      <c r="HM85" s="251"/>
      <c r="HN85" s="251"/>
      <c r="HO85" s="251"/>
      <c r="HP85" s="251"/>
      <c r="HQ85" s="251"/>
      <c r="HR85" s="251"/>
      <c r="HS85" s="251"/>
      <c r="HT85" s="251"/>
      <c r="HU85" s="251"/>
      <c r="HV85" s="251"/>
      <c r="HW85" s="251"/>
      <c r="HX85" s="251"/>
      <c r="HY85" s="251"/>
      <c r="HZ85" s="251"/>
      <c r="IA85" s="251"/>
      <c r="IB85" s="251"/>
      <c r="IC85" s="251"/>
      <c r="ID85" s="251"/>
      <c r="IE85" s="251"/>
      <c r="IF85" s="251"/>
      <c r="IG85" s="251"/>
      <c r="IH85" s="251"/>
      <c r="II85" s="251"/>
      <c r="IJ85" s="251"/>
      <c r="IK85" s="251"/>
      <c r="IL85" s="251"/>
      <c r="IM85" s="251"/>
      <c r="IN85" s="251"/>
      <c r="IO85" s="251"/>
      <c r="IP85" s="251"/>
      <c r="IQ85" s="251"/>
      <c r="IR85" s="251"/>
      <c r="IS85" s="251"/>
      <c r="IT85" s="251"/>
      <c r="IU85" s="251"/>
      <c r="IV85" s="251"/>
      <c r="IW85" s="251"/>
      <c r="IX85" s="251"/>
      <c r="IY85" s="251"/>
      <c r="IZ85" s="251"/>
      <c r="JA85" s="251"/>
      <c r="JB85" s="251"/>
      <c r="JC85" s="251"/>
      <c r="JD85" s="251"/>
      <c r="JE85" s="251"/>
      <c r="JF85" s="251"/>
      <c r="JG85" s="251"/>
      <c r="JH85" s="251"/>
      <c r="JI85" s="251"/>
      <c r="JJ85" s="251"/>
      <c r="JK85" s="251"/>
      <c r="JL85" s="251"/>
      <c r="JM85" s="251"/>
      <c r="JN85" s="251"/>
      <c r="JO85" s="251"/>
      <c r="JP85" s="251"/>
      <c r="JQ85" s="251"/>
      <c r="JR85" s="251"/>
      <c r="JS85" s="251"/>
      <c r="JT85" s="251"/>
      <c r="JU85" s="251"/>
      <c r="JV85" s="251"/>
      <c r="JW85" s="251"/>
      <c r="JX85" s="251"/>
      <c r="JY85" s="251"/>
      <c r="JZ85" s="251"/>
      <c r="KA85" s="251"/>
      <c r="KB85" s="251"/>
      <c r="KC85" s="251"/>
      <c r="KD85" s="251"/>
      <c r="KE85" s="251"/>
      <c r="KF85" s="251"/>
      <c r="KG85" s="251"/>
      <c r="KH85" s="251"/>
      <c r="KI85" s="251"/>
      <c r="KJ85" s="251"/>
      <c r="KK85" s="251"/>
      <c r="KL85" s="251"/>
      <c r="KM85" s="251"/>
      <c r="KN85" s="251"/>
      <c r="KO85" s="251"/>
      <c r="KP85" s="251"/>
      <c r="KQ85" s="251"/>
      <c r="KR85" s="251"/>
      <c r="KS85" s="251"/>
      <c r="KT85" s="251"/>
      <c r="KU85" s="251"/>
      <c r="KV85" s="251"/>
      <c r="KW85" s="251"/>
      <c r="KX85" s="251"/>
      <c r="KY85" s="251"/>
      <c r="KZ85" s="251"/>
      <c r="LA85" s="251"/>
      <c r="LB85" s="251"/>
      <c r="LC85" s="251"/>
      <c r="LD85" s="251"/>
      <c r="LE85" s="251"/>
      <c r="LF85" s="251"/>
      <c r="LG85" s="251"/>
      <c r="LH85" s="251"/>
      <c r="LI85" s="251"/>
      <c r="LJ85" s="251"/>
      <c r="LK85" s="251"/>
      <c r="LL85" s="251"/>
      <c r="LM85" s="251"/>
      <c r="LN85" s="251"/>
      <c r="LO85" s="251"/>
      <c r="LP85" s="251"/>
      <c r="LQ85" s="251"/>
      <c r="LR85" s="251"/>
      <c r="LS85" s="251"/>
      <c r="LT85" s="251"/>
      <c r="LU85" s="251"/>
      <c r="LV85" s="251"/>
      <c r="LW85" s="251"/>
      <c r="LX85" s="251"/>
      <c r="LY85" s="251"/>
      <c r="LZ85" s="251"/>
      <c r="MA85" s="251"/>
      <c r="MB85" s="251"/>
      <c r="MC85" s="251"/>
      <c r="MD85" s="251"/>
      <c r="ME85" s="251"/>
      <c r="MF85" s="251"/>
      <c r="MG85" s="251"/>
      <c r="MH85" s="251"/>
      <c r="MI85" s="251"/>
      <c r="MJ85" s="251"/>
      <c r="MK85" s="251"/>
      <c r="ML85" s="251"/>
      <c r="MM85" s="251"/>
      <c r="MN85" s="251"/>
      <c r="MO85" s="251"/>
      <c r="MP85" s="251"/>
      <c r="MQ85" s="251"/>
      <c r="MR85" s="251"/>
      <c r="MS85" s="251"/>
      <c r="MT85" s="251"/>
      <c r="MU85" s="251"/>
      <c r="MV85" s="251"/>
      <c r="MW85" s="251"/>
      <c r="MX85" s="251"/>
      <c r="MY85" s="251"/>
      <c r="MZ85" s="251"/>
      <c r="NA85" s="251"/>
      <c r="NB85" s="251"/>
      <c r="NC85" s="251"/>
      <c r="ND85" s="251"/>
      <c r="NE85" s="251"/>
      <c r="NF85" s="251"/>
      <c r="NG85" s="251"/>
      <c r="NH85" s="251"/>
      <c r="NI85" s="251"/>
      <c r="NJ85" s="251"/>
      <c r="NK85" s="251"/>
      <c r="NL85" s="251"/>
      <c r="NM85" s="251"/>
      <c r="NN85" s="251"/>
      <c r="NO85" s="251"/>
      <c r="NP85" s="251"/>
      <c r="NQ85" s="251"/>
      <c r="NR85" s="251"/>
      <c r="NS85" s="251"/>
      <c r="NT85" s="251"/>
      <c r="NU85" s="251"/>
      <c r="NV85" s="251"/>
      <c r="NW85" s="251"/>
      <c r="NX85" s="251"/>
      <c r="NY85" s="251"/>
      <c r="NZ85" s="251"/>
      <c r="OA85" s="251"/>
      <c r="OB85" s="251"/>
      <c r="OC85" s="251"/>
      <c r="OD85" s="251"/>
      <c r="OE85" s="251"/>
      <c r="OF85" s="251"/>
      <c r="OG85" s="251"/>
      <c r="OH85" s="251"/>
      <c r="OI85" s="251"/>
      <c r="OJ85" s="251"/>
      <c r="OK85" s="251"/>
      <c r="OL85" s="251"/>
      <c r="OM85" s="251"/>
      <c r="ON85" s="251"/>
      <c r="OO85" s="251"/>
      <c r="OP85" s="251"/>
      <c r="OQ85" s="251"/>
      <c r="OR85" s="251"/>
      <c r="OS85" s="251"/>
      <c r="OT85" s="251"/>
      <c r="OU85" s="251"/>
      <c r="OV85" s="77"/>
      <c r="OW85" s="77"/>
      <c r="OX85" s="77"/>
      <c r="OY85" s="1794"/>
      <c r="OZ85" s="1799">
        <v>81</v>
      </c>
      <c r="PA85" s="77"/>
      <c r="PB85" s="77"/>
      <c r="PC85" s="77"/>
      <c r="PD85" s="77"/>
      <c r="PE85" s="77"/>
      <c r="PF85" s="77"/>
      <c r="PG85" s="77"/>
      <c r="PH85" s="77"/>
      <c r="PI85" s="77"/>
      <c r="PJ85" s="77"/>
      <c r="PK85" s="77"/>
      <c r="PL85" s="77"/>
      <c r="PM85" s="77"/>
      <c r="PN85" s="77"/>
      <c r="PO85" s="77"/>
      <c r="PP85" s="77"/>
      <c r="PQ85" s="77"/>
      <c r="PR85" s="77"/>
      <c r="PS85" s="77"/>
      <c r="PT85" s="77"/>
      <c r="PU85" s="77"/>
      <c r="PV85" s="77"/>
      <c r="PW85" s="77"/>
      <c r="PX85" s="77"/>
      <c r="PY85" s="77"/>
      <c r="PZ85" s="77"/>
      <c r="QA85" s="77"/>
      <c r="QB85" s="77"/>
      <c r="QC85" s="77"/>
      <c r="QD85" s="77"/>
      <c r="QE85" s="77"/>
      <c r="QF85" s="77"/>
      <c r="QG85" s="77"/>
      <c r="QH85" s="77"/>
      <c r="QI85" s="77"/>
      <c r="QJ85" s="77"/>
      <c r="QK85" s="77"/>
      <c r="QL85" s="77"/>
      <c r="QM85" s="77"/>
      <c r="QN85" s="77"/>
      <c r="QO85" s="77"/>
      <c r="QP85" s="77"/>
      <c r="QQ85" s="77"/>
      <c r="QR85" s="77"/>
      <c r="QS85" s="77"/>
      <c r="QT85" s="77"/>
      <c r="QU85" s="77"/>
      <c r="QV85" s="77"/>
      <c r="QW85" s="77"/>
      <c r="QX85" s="77"/>
      <c r="QY85" s="77"/>
      <c r="QZ85" s="77"/>
      <c r="RA85" s="77"/>
      <c r="RB85" s="77"/>
      <c r="RC85" s="77"/>
      <c r="RD85" s="77"/>
      <c r="RE85" s="77"/>
      <c r="RF85" s="77"/>
      <c r="RG85" s="77"/>
      <c r="RH85" s="77"/>
      <c r="RI85" s="77"/>
      <c r="RJ85" s="77"/>
      <c r="RK85" s="77"/>
      <c r="RL85" s="77"/>
      <c r="RM85" s="77"/>
      <c r="RN85" s="77"/>
      <c r="RO85" s="77"/>
      <c r="RP85" s="77"/>
      <c r="RQ85" s="77"/>
      <c r="RR85" s="77"/>
      <c r="RS85" s="77"/>
      <c r="RT85" s="77"/>
      <c r="RU85" s="77"/>
      <c r="RV85" s="77"/>
      <c r="RW85" s="77"/>
      <c r="RX85" s="77"/>
      <c r="RY85" s="77"/>
      <c r="RZ85" s="77"/>
      <c r="SA85" s="77"/>
      <c r="SB85" s="77"/>
      <c r="SC85" s="77"/>
      <c r="SD85" s="77"/>
      <c r="SE85" s="77"/>
      <c r="SF85" s="77"/>
      <c r="SG85" s="77"/>
      <c r="SH85" s="77"/>
      <c r="SI85" s="77"/>
      <c r="SJ85" s="77"/>
      <c r="SK85" s="77"/>
      <c r="SL85" s="77"/>
      <c r="SM85" s="77"/>
      <c r="SN85" s="77"/>
      <c r="SO85" s="77"/>
      <c r="SP85" s="77"/>
      <c r="SQ85" s="77"/>
      <c r="SR85" s="77"/>
      <c r="SS85" s="77"/>
      <c r="ST85" s="77"/>
      <c r="SU85" s="77"/>
      <c r="SV85" s="77"/>
      <c r="SW85" s="77"/>
      <c r="SX85" s="77"/>
      <c r="SY85" s="77"/>
      <c r="SZ85" s="77"/>
    </row>
    <row r="86" spans="1:520" customFormat="1" ht="15.75" customHeight="1">
      <c r="C86" s="115"/>
      <c r="D86" s="3788"/>
      <c r="E86" s="3788"/>
      <c r="F86" s="3788"/>
      <c r="G86" s="77"/>
      <c r="H86" s="48" t="s">
        <v>1235</v>
      </c>
      <c r="I86" s="13"/>
      <c r="J86" s="43"/>
      <c r="K86" s="1010" t="str">
        <f>IF(OR(K67=0,P85="",K76=0),"",P85*K76)</f>
        <v/>
      </c>
      <c r="L86" s="1010">
        <f>IF(OR(L67=0,P85="",L76=0),"",P85*L76)</f>
        <v>19</v>
      </c>
      <c r="M86" s="1010">
        <f>IF(OR(M67=0,P85="",M76=0),"",P85*M76)</f>
        <v>38</v>
      </c>
      <c r="N86" s="1010">
        <f>IF(OR(N67=0,P85="",N76=0),"",P85*N76)</f>
        <v>19</v>
      </c>
      <c r="O86" s="1010" t="str">
        <f>IF(OR(O67=0,P85="",O76=0),"",P85*O76)</f>
        <v/>
      </c>
      <c r="P86" s="1011">
        <f>IF(OR(P85="",P76=0),"",P85*P76)</f>
        <v>76</v>
      </c>
      <c r="S86" s="3725"/>
      <c r="T86" s="3726"/>
      <c r="U86" s="3726"/>
      <c r="V86" s="3726"/>
      <c r="W86" s="3727"/>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P86" s="251"/>
      <c r="BQ86" s="251"/>
      <c r="BR86" s="251"/>
      <c r="BS86" s="251"/>
      <c r="BT86" s="251"/>
      <c r="BU86" s="251"/>
      <c r="BV86" s="251"/>
      <c r="BW86" s="251"/>
      <c r="BX86" s="251"/>
      <c r="BY86" s="251"/>
      <c r="BZ86" s="251"/>
      <c r="CA86" s="251"/>
      <c r="CB86" s="251"/>
      <c r="CC86" s="251"/>
      <c r="CD86" s="251"/>
      <c r="CE86" s="251"/>
      <c r="CF86" s="251"/>
      <c r="CG86" s="251"/>
      <c r="CH86" s="251"/>
      <c r="CI86" s="251"/>
      <c r="CJ86" s="251"/>
      <c r="CK86" s="251"/>
      <c r="CL86" s="251"/>
      <c r="CM86" s="251"/>
      <c r="CN86" s="251"/>
      <c r="CO86" s="251"/>
      <c r="CP86" s="251"/>
      <c r="CQ86" s="251"/>
      <c r="CR86" s="251"/>
      <c r="CS86" s="251"/>
      <c r="CT86" s="251"/>
      <c r="CU86" s="251"/>
      <c r="CV86" s="251"/>
      <c r="CW86" s="251"/>
      <c r="CX86" s="251"/>
      <c r="CY86" s="251"/>
      <c r="CZ86" s="251"/>
      <c r="DA86" s="251"/>
      <c r="DB86" s="251"/>
      <c r="DC86" s="251"/>
      <c r="DD86" s="251"/>
      <c r="DE86" s="251"/>
      <c r="DF86" s="251"/>
      <c r="DG86" s="251"/>
      <c r="DH86" s="251"/>
      <c r="DI86" s="251"/>
      <c r="DJ86" s="251"/>
      <c r="DK86" s="251"/>
      <c r="DL86" s="251"/>
      <c r="DM86" s="251"/>
      <c r="DN86" s="251"/>
      <c r="DO86" s="251"/>
      <c r="DP86" s="251"/>
      <c r="DQ86" s="251"/>
      <c r="DR86" s="251"/>
      <c r="DS86" s="251"/>
      <c r="DT86" s="251"/>
      <c r="DU86" s="251"/>
      <c r="DV86" s="251"/>
      <c r="DW86" s="251"/>
      <c r="DX86" s="251"/>
      <c r="DY86" s="251"/>
      <c r="DZ86" s="251"/>
      <c r="EA86" s="251"/>
      <c r="EB86" s="251"/>
      <c r="EC86" s="251"/>
      <c r="ED86" s="251"/>
      <c r="EE86" s="251"/>
      <c r="EF86" s="251"/>
      <c r="EG86" s="251"/>
      <c r="EH86" s="251"/>
      <c r="EI86" s="251"/>
      <c r="EJ86" s="251"/>
      <c r="EK86" s="251"/>
      <c r="EL86" s="251"/>
      <c r="EM86" s="251"/>
      <c r="EN86" s="251"/>
      <c r="EO86" s="251"/>
      <c r="EP86" s="251"/>
      <c r="EQ86" s="251"/>
      <c r="ER86" s="251"/>
      <c r="ES86" s="251"/>
      <c r="ET86" s="251"/>
      <c r="EU86" s="251"/>
      <c r="EV86" s="251"/>
      <c r="EW86" s="251"/>
      <c r="EX86" s="251"/>
      <c r="EY86" s="251"/>
      <c r="EZ86" s="251"/>
      <c r="FA86" s="251"/>
      <c r="FB86" s="251"/>
      <c r="FC86" s="251"/>
      <c r="FD86" s="251"/>
      <c r="FE86" s="251"/>
      <c r="FF86" s="251"/>
      <c r="FG86" s="251"/>
      <c r="FH86" s="251"/>
      <c r="FI86" s="251"/>
      <c r="FJ86" s="251"/>
      <c r="FK86" s="251"/>
      <c r="FL86" s="251"/>
      <c r="FM86" s="251"/>
      <c r="FN86" s="251"/>
      <c r="FO86" s="251"/>
      <c r="FP86" s="251"/>
      <c r="FQ86" s="251"/>
      <c r="FR86" s="251"/>
      <c r="FS86" s="251"/>
      <c r="FT86" s="251"/>
      <c r="FU86" s="251"/>
      <c r="FV86" s="251"/>
      <c r="FW86" s="251"/>
      <c r="FX86" s="251"/>
      <c r="FY86" s="251"/>
      <c r="FZ86" s="251"/>
      <c r="GA86" s="251"/>
      <c r="GB86" s="251"/>
      <c r="GC86" s="251"/>
      <c r="GD86" s="251"/>
      <c r="GE86" s="251"/>
      <c r="GF86" s="251"/>
      <c r="GG86" s="251"/>
      <c r="GH86" s="251"/>
      <c r="GI86" s="251"/>
      <c r="GJ86" s="251"/>
      <c r="GK86" s="251"/>
      <c r="GL86" s="251"/>
      <c r="GM86" s="251"/>
      <c r="GN86" s="251"/>
      <c r="GO86" s="251"/>
      <c r="GP86" s="251"/>
      <c r="GQ86" s="251"/>
      <c r="GR86" s="251"/>
      <c r="GS86" s="251"/>
      <c r="GT86" s="251"/>
      <c r="GU86" s="251"/>
      <c r="GV86" s="251"/>
      <c r="GW86" s="251"/>
      <c r="GX86" s="251"/>
      <c r="GY86" s="251"/>
      <c r="GZ86" s="251"/>
      <c r="HA86" s="251"/>
      <c r="HB86" s="251"/>
      <c r="HC86" s="251"/>
      <c r="HD86" s="251"/>
      <c r="HE86" s="251"/>
      <c r="HF86" s="251"/>
      <c r="HG86" s="251"/>
      <c r="HH86" s="251"/>
      <c r="HI86" s="251"/>
      <c r="HJ86" s="251"/>
      <c r="HK86" s="251"/>
      <c r="HL86" s="251"/>
      <c r="HM86" s="251"/>
      <c r="HN86" s="251"/>
      <c r="HO86" s="251"/>
      <c r="HP86" s="251"/>
      <c r="HQ86" s="251"/>
      <c r="HR86" s="251"/>
      <c r="HS86" s="251"/>
      <c r="HT86" s="251"/>
      <c r="HU86" s="251"/>
      <c r="HV86" s="251"/>
      <c r="HW86" s="251"/>
      <c r="HX86" s="251"/>
      <c r="HY86" s="251"/>
      <c r="HZ86" s="251"/>
      <c r="IA86" s="251"/>
      <c r="IB86" s="251"/>
      <c r="IC86" s="251"/>
      <c r="ID86" s="251"/>
      <c r="IE86" s="251"/>
      <c r="IF86" s="251"/>
      <c r="IG86" s="251"/>
      <c r="IH86" s="251"/>
      <c r="II86" s="251"/>
      <c r="IJ86" s="251"/>
      <c r="IK86" s="251"/>
      <c r="IL86" s="251"/>
      <c r="IM86" s="251"/>
      <c r="IN86" s="251"/>
      <c r="IO86" s="251"/>
      <c r="IP86" s="251"/>
      <c r="IQ86" s="251"/>
      <c r="IR86" s="251"/>
      <c r="IS86" s="251"/>
      <c r="IT86" s="251"/>
      <c r="IU86" s="251"/>
      <c r="IV86" s="251"/>
      <c r="IW86" s="251"/>
      <c r="IX86" s="251"/>
      <c r="IY86" s="251"/>
      <c r="IZ86" s="251"/>
      <c r="JA86" s="251"/>
      <c r="JB86" s="251"/>
      <c r="JC86" s="251"/>
      <c r="JD86" s="251"/>
      <c r="JE86" s="251"/>
      <c r="JF86" s="251"/>
      <c r="JG86" s="251"/>
      <c r="JH86" s="251"/>
      <c r="JI86" s="251"/>
      <c r="JJ86" s="251"/>
      <c r="JK86" s="251"/>
      <c r="JL86" s="251"/>
      <c r="JM86" s="251"/>
      <c r="JN86" s="251"/>
      <c r="JO86" s="251"/>
      <c r="JP86" s="251"/>
      <c r="JQ86" s="251"/>
      <c r="JR86" s="251"/>
      <c r="JS86" s="251"/>
      <c r="JT86" s="251"/>
      <c r="JU86" s="251"/>
      <c r="JV86" s="251"/>
      <c r="JW86" s="251"/>
      <c r="JX86" s="251"/>
      <c r="JY86" s="251"/>
      <c r="JZ86" s="251"/>
      <c r="KA86" s="251"/>
      <c r="KB86" s="251"/>
      <c r="KC86" s="251"/>
      <c r="KD86" s="251"/>
      <c r="KE86" s="251"/>
      <c r="KF86" s="251"/>
      <c r="KG86" s="251"/>
      <c r="KH86" s="251"/>
      <c r="KI86" s="251"/>
      <c r="KJ86" s="251"/>
      <c r="KK86" s="251"/>
      <c r="KL86" s="251"/>
      <c r="KM86" s="251"/>
      <c r="KN86" s="251"/>
      <c r="KO86" s="251"/>
      <c r="KP86" s="251"/>
      <c r="KQ86" s="251"/>
      <c r="KR86" s="251"/>
      <c r="KS86" s="251"/>
      <c r="KT86" s="251"/>
      <c r="KU86" s="251"/>
      <c r="KV86" s="251"/>
      <c r="KW86" s="251"/>
      <c r="KX86" s="251"/>
      <c r="KY86" s="251"/>
      <c r="KZ86" s="251"/>
      <c r="LA86" s="251"/>
      <c r="LB86" s="251"/>
      <c r="LC86" s="251"/>
      <c r="LD86" s="251"/>
      <c r="LE86" s="251"/>
      <c r="LF86" s="251"/>
      <c r="LG86" s="251"/>
      <c r="LH86" s="251"/>
      <c r="LI86" s="251"/>
      <c r="LJ86" s="251"/>
      <c r="LK86" s="251"/>
      <c r="LL86" s="251"/>
      <c r="LM86" s="251"/>
      <c r="LN86" s="251"/>
      <c r="LO86" s="251"/>
      <c r="LP86" s="251"/>
      <c r="LQ86" s="251"/>
      <c r="LR86" s="251"/>
      <c r="LS86" s="251"/>
      <c r="LT86" s="251"/>
      <c r="LU86" s="251"/>
      <c r="LV86" s="251"/>
      <c r="LW86" s="251"/>
      <c r="LX86" s="251"/>
      <c r="LY86" s="251"/>
      <c r="LZ86" s="251"/>
      <c r="MA86" s="251"/>
      <c r="MB86" s="251"/>
      <c r="MC86" s="251"/>
      <c r="MD86" s="251"/>
      <c r="ME86" s="251"/>
      <c r="MF86" s="251"/>
      <c r="MG86" s="251"/>
      <c r="MH86" s="251"/>
      <c r="MI86" s="251"/>
      <c r="MJ86" s="251"/>
      <c r="MK86" s="251"/>
      <c r="ML86" s="251"/>
      <c r="MM86" s="251"/>
      <c r="MN86" s="251"/>
      <c r="MO86" s="251"/>
      <c r="MP86" s="251"/>
      <c r="MQ86" s="251"/>
      <c r="MR86" s="251"/>
      <c r="MS86" s="251"/>
      <c r="MT86" s="251"/>
      <c r="MU86" s="251"/>
      <c r="MV86" s="251"/>
      <c r="MW86" s="251"/>
      <c r="MX86" s="251"/>
      <c r="MY86" s="251"/>
      <c r="MZ86" s="251"/>
      <c r="NA86" s="251"/>
      <c r="NB86" s="251"/>
      <c r="NC86" s="251"/>
      <c r="ND86" s="251"/>
      <c r="NE86" s="251"/>
      <c r="NF86" s="251"/>
      <c r="NG86" s="251"/>
      <c r="NH86" s="251"/>
      <c r="NI86" s="251"/>
      <c r="NJ86" s="251"/>
      <c r="NK86" s="251"/>
      <c r="NL86" s="251"/>
      <c r="NM86" s="251"/>
      <c r="NN86" s="251"/>
      <c r="NO86" s="251"/>
      <c r="NP86" s="251"/>
      <c r="NQ86" s="251"/>
      <c r="NR86" s="251"/>
      <c r="NS86" s="251"/>
      <c r="NT86" s="251"/>
      <c r="NU86" s="251"/>
      <c r="NV86" s="251"/>
      <c r="NW86" s="251"/>
      <c r="NX86" s="251"/>
      <c r="NY86" s="251"/>
      <c r="NZ86" s="251"/>
      <c r="OA86" s="251"/>
      <c r="OB86" s="251"/>
      <c r="OC86" s="251"/>
      <c r="OD86" s="251"/>
      <c r="OE86" s="251"/>
      <c r="OF86" s="251"/>
      <c r="OG86" s="251"/>
      <c r="OH86" s="251"/>
      <c r="OI86" s="251"/>
      <c r="OJ86" s="251"/>
      <c r="OK86" s="251"/>
      <c r="OL86" s="251"/>
      <c r="OM86" s="251"/>
      <c r="ON86" s="251"/>
      <c r="OO86" s="251"/>
      <c r="OP86" s="251"/>
      <c r="OQ86" s="251"/>
      <c r="OR86" s="251"/>
      <c r="OS86" s="251"/>
      <c r="OT86" s="251"/>
      <c r="OU86" s="251"/>
      <c r="OV86" s="77"/>
      <c r="OW86" s="77"/>
      <c r="OX86" s="77"/>
      <c r="OY86" s="1794"/>
      <c r="OZ86" s="1799">
        <v>82</v>
      </c>
      <c r="PA86" s="77"/>
      <c r="PB86" s="77"/>
      <c r="PC86" s="77"/>
      <c r="PD86" s="77"/>
      <c r="PE86" s="77"/>
      <c r="PF86" s="77"/>
      <c r="PG86" s="77"/>
      <c r="PH86" s="77"/>
      <c r="PI86" s="77"/>
      <c r="PJ86" s="77"/>
      <c r="PK86" s="77"/>
      <c r="PL86" s="77"/>
      <c r="PM86" s="77"/>
      <c r="PN86" s="77"/>
      <c r="PO86" s="77"/>
      <c r="PP86" s="77"/>
      <c r="PQ86" s="77"/>
      <c r="PR86" s="77"/>
      <c r="PS86" s="77"/>
      <c r="PT86" s="77"/>
      <c r="PU86" s="77"/>
      <c r="PV86" s="77"/>
      <c r="PW86" s="77"/>
      <c r="PX86" s="77"/>
      <c r="PY86" s="77"/>
      <c r="PZ86" s="77"/>
      <c r="QA86" s="77"/>
      <c r="QB86" s="77"/>
      <c r="QC86" s="77"/>
      <c r="QD86" s="77"/>
      <c r="QE86" s="77"/>
      <c r="QF86" s="77"/>
      <c r="QG86" s="77"/>
      <c r="QH86" s="77"/>
      <c r="QI86" s="77"/>
      <c r="QJ86" s="77"/>
      <c r="QK86" s="77"/>
      <c r="QL86" s="77"/>
      <c r="QM86" s="77"/>
      <c r="QN86" s="77"/>
      <c r="QO86" s="77"/>
      <c r="QP86" s="77"/>
      <c r="QQ86" s="77"/>
      <c r="QR86" s="77"/>
      <c r="QS86" s="77"/>
      <c r="QT86" s="77"/>
      <c r="QU86" s="77"/>
      <c r="QV86" s="77"/>
      <c r="QW86" s="77"/>
      <c r="QX86" s="77"/>
      <c r="QY86" s="77"/>
      <c r="QZ86" s="77"/>
      <c r="RA86" s="77"/>
      <c r="RB86" s="77"/>
      <c r="RC86" s="77"/>
      <c r="RD86" s="77"/>
      <c r="RE86" s="77"/>
      <c r="RF86" s="77"/>
      <c r="RG86" s="77"/>
      <c r="RH86" s="77"/>
      <c r="RI86" s="77"/>
      <c r="RJ86" s="77"/>
      <c r="RK86" s="77"/>
      <c r="RL86" s="77"/>
      <c r="RM86" s="77"/>
      <c r="RN86" s="77"/>
      <c r="RO86" s="77"/>
      <c r="RP86" s="77"/>
      <c r="RQ86" s="77"/>
      <c r="RR86" s="77"/>
      <c r="RS86" s="77"/>
      <c r="RT86" s="77"/>
      <c r="RU86" s="77"/>
      <c r="RV86" s="77"/>
      <c r="RW86" s="77"/>
      <c r="RX86" s="77"/>
      <c r="RY86" s="77"/>
      <c r="RZ86" s="77"/>
      <c r="SA86" s="77"/>
      <c r="SB86" s="77"/>
      <c r="SC86" s="77"/>
      <c r="SD86" s="77"/>
      <c r="SE86" s="77"/>
      <c r="SF86" s="77"/>
      <c r="SG86" s="77"/>
      <c r="SH86" s="77"/>
      <c r="SI86" s="77"/>
      <c r="SJ86" s="77"/>
      <c r="SK86" s="77"/>
      <c r="SL86" s="77"/>
      <c r="SM86" s="77"/>
      <c r="SN86" s="77"/>
      <c r="SO86" s="77"/>
      <c r="SP86" s="77"/>
      <c r="SQ86" s="77"/>
      <c r="SR86" s="77"/>
      <c r="SS86" s="77"/>
      <c r="ST86" s="77"/>
      <c r="SU86" s="77"/>
      <c r="SV86" s="77"/>
      <c r="SW86" s="77"/>
      <c r="SX86" s="77"/>
      <c r="SY86" s="77"/>
      <c r="SZ86" s="77"/>
    </row>
    <row r="87" spans="1:520" customFormat="1" ht="15.75" customHeight="1">
      <c r="C87" s="115"/>
      <c r="D87" s="3788"/>
      <c r="E87" s="3788"/>
      <c r="F87" s="3788"/>
      <c r="G87" s="1005"/>
      <c r="H87" s="974" t="s">
        <v>1236</v>
      </c>
      <c r="I87" s="950"/>
      <c r="J87" s="43"/>
      <c r="K87" s="1012" t="str">
        <f t="shared" ref="K87:P87" si="661">IF(OR(K86="",K67=0),"", K67-K86)</f>
        <v/>
      </c>
      <c r="L87" s="1012">
        <f t="shared" si="661"/>
        <v>0</v>
      </c>
      <c r="M87" s="1012">
        <f t="shared" si="661"/>
        <v>0</v>
      </c>
      <c r="N87" s="1012">
        <f t="shared" si="661"/>
        <v>0</v>
      </c>
      <c r="O87" s="1012" t="str">
        <f t="shared" si="661"/>
        <v/>
      </c>
      <c r="P87" s="1012">
        <f t="shared" si="661"/>
        <v>0</v>
      </c>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P87" s="251"/>
      <c r="BQ87" s="251"/>
      <c r="BR87" s="251"/>
      <c r="BS87" s="251"/>
      <c r="BT87" s="251"/>
      <c r="BU87" s="251"/>
      <c r="BV87" s="251"/>
      <c r="BW87" s="251"/>
      <c r="BX87" s="251"/>
      <c r="BY87" s="251"/>
      <c r="BZ87" s="251"/>
      <c r="CA87" s="251"/>
      <c r="CB87" s="251"/>
      <c r="CC87" s="251"/>
      <c r="CD87" s="251"/>
      <c r="CE87" s="251"/>
      <c r="CF87" s="251"/>
      <c r="CG87" s="251"/>
      <c r="CH87" s="251"/>
      <c r="CI87" s="251"/>
      <c r="CJ87" s="251"/>
      <c r="CK87" s="251"/>
      <c r="CL87" s="251"/>
      <c r="CM87" s="251"/>
      <c r="CN87" s="251"/>
      <c r="CO87" s="251"/>
      <c r="CP87" s="251"/>
      <c r="CQ87" s="251"/>
      <c r="CR87" s="251"/>
      <c r="CS87" s="251"/>
      <c r="CT87" s="251"/>
      <c r="CU87" s="251"/>
      <c r="CV87" s="251"/>
      <c r="CW87" s="251"/>
      <c r="CX87" s="251"/>
      <c r="CY87" s="251"/>
      <c r="CZ87" s="251"/>
      <c r="DA87" s="251"/>
      <c r="DB87" s="251"/>
      <c r="DC87" s="251"/>
      <c r="DD87" s="251"/>
      <c r="DE87" s="251"/>
      <c r="DF87" s="251"/>
      <c r="DG87" s="251"/>
      <c r="DH87" s="251"/>
      <c r="DI87" s="251"/>
      <c r="DJ87" s="251"/>
      <c r="DK87" s="251"/>
      <c r="DL87" s="251"/>
      <c r="DM87" s="251"/>
      <c r="DN87" s="251"/>
      <c r="DO87" s="251"/>
      <c r="DP87" s="251"/>
      <c r="DQ87" s="251"/>
      <c r="DR87" s="251"/>
      <c r="DS87" s="251"/>
      <c r="DT87" s="251"/>
      <c r="DU87" s="251"/>
      <c r="DV87" s="251"/>
      <c r="DW87" s="251"/>
      <c r="DX87" s="251"/>
      <c r="DY87" s="251"/>
      <c r="DZ87" s="251"/>
      <c r="EA87" s="251"/>
      <c r="EB87" s="251"/>
      <c r="EC87" s="251"/>
      <c r="ED87" s="251"/>
      <c r="EE87" s="251"/>
      <c r="EF87" s="251"/>
      <c r="EG87" s="251"/>
      <c r="EH87" s="251"/>
      <c r="EI87" s="251"/>
      <c r="EJ87" s="251"/>
      <c r="EK87" s="251"/>
      <c r="EL87" s="251"/>
      <c r="EM87" s="251"/>
      <c r="EN87" s="251"/>
      <c r="EO87" s="251"/>
      <c r="EP87" s="251"/>
      <c r="EQ87" s="251"/>
      <c r="ER87" s="251"/>
      <c r="ES87" s="251"/>
      <c r="ET87" s="251"/>
      <c r="EU87" s="251"/>
      <c r="EV87" s="251"/>
      <c r="EW87" s="251"/>
      <c r="EX87" s="251"/>
      <c r="EY87" s="251"/>
      <c r="EZ87" s="251"/>
      <c r="FA87" s="251"/>
      <c r="FB87" s="251"/>
      <c r="FC87" s="251"/>
      <c r="FD87" s="251"/>
      <c r="FE87" s="251"/>
      <c r="FF87" s="251"/>
      <c r="FG87" s="251"/>
      <c r="FH87" s="251"/>
      <c r="FI87" s="251"/>
      <c r="FJ87" s="251"/>
      <c r="FK87" s="251"/>
      <c r="FL87" s="251"/>
      <c r="FM87" s="251"/>
      <c r="FN87" s="251"/>
      <c r="FO87" s="251"/>
      <c r="FP87" s="251"/>
      <c r="FQ87" s="251"/>
      <c r="FR87" s="251"/>
      <c r="FS87" s="251"/>
      <c r="FT87" s="251"/>
      <c r="FU87" s="251"/>
      <c r="FV87" s="251"/>
      <c r="FW87" s="251"/>
      <c r="FX87" s="251"/>
      <c r="FY87" s="251"/>
      <c r="FZ87" s="251"/>
      <c r="GA87" s="251"/>
      <c r="GB87" s="251"/>
      <c r="GC87" s="251"/>
      <c r="GD87" s="251"/>
      <c r="GE87" s="251"/>
      <c r="GF87" s="251"/>
      <c r="GG87" s="251"/>
      <c r="GH87" s="251"/>
      <c r="GI87" s="251"/>
      <c r="GJ87" s="251"/>
      <c r="GK87" s="251"/>
      <c r="GL87" s="251"/>
      <c r="GM87" s="251"/>
      <c r="GN87" s="251"/>
      <c r="GO87" s="251"/>
      <c r="GP87" s="251"/>
      <c r="GQ87" s="251"/>
      <c r="GR87" s="251"/>
      <c r="GS87" s="251"/>
      <c r="GT87" s="251"/>
      <c r="GU87" s="251"/>
      <c r="GV87" s="251"/>
      <c r="GW87" s="251"/>
      <c r="GX87" s="251"/>
      <c r="GY87" s="251"/>
      <c r="GZ87" s="251"/>
      <c r="HA87" s="251"/>
      <c r="HB87" s="251"/>
      <c r="HC87" s="251"/>
      <c r="HD87" s="251"/>
      <c r="HE87" s="251"/>
      <c r="HF87" s="251"/>
      <c r="HG87" s="251"/>
      <c r="HH87" s="251"/>
      <c r="HI87" s="251"/>
      <c r="HJ87" s="251"/>
      <c r="HK87" s="251"/>
      <c r="HL87" s="251"/>
      <c r="HM87" s="251"/>
      <c r="HN87" s="251"/>
      <c r="HO87" s="251"/>
      <c r="HP87" s="251"/>
      <c r="HQ87" s="251"/>
      <c r="HR87" s="251"/>
      <c r="HS87" s="251"/>
      <c r="HT87" s="251"/>
      <c r="HU87" s="251"/>
      <c r="HV87" s="251"/>
      <c r="HW87" s="251"/>
      <c r="HX87" s="251"/>
      <c r="HY87" s="251"/>
      <c r="HZ87" s="251"/>
      <c r="IA87" s="251"/>
      <c r="IB87" s="251"/>
      <c r="IC87" s="251"/>
      <c r="ID87" s="251"/>
      <c r="IE87" s="251"/>
      <c r="IF87" s="251"/>
      <c r="IG87" s="251"/>
      <c r="IH87" s="251"/>
      <c r="II87" s="251"/>
      <c r="IJ87" s="251"/>
      <c r="IK87" s="251"/>
      <c r="IL87" s="251"/>
      <c r="IM87" s="251"/>
      <c r="IN87" s="251"/>
      <c r="IO87" s="251"/>
      <c r="IP87" s="251"/>
      <c r="IQ87" s="251"/>
      <c r="IR87" s="251"/>
      <c r="IS87" s="251"/>
      <c r="IT87" s="251"/>
      <c r="IU87" s="251"/>
      <c r="IV87" s="251"/>
      <c r="IW87" s="251"/>
      <c r="IX87" s="251"/>
      <c r="IY87" s="251"/>
      <c r="IZ87" s="251"/>
      <c r="JA87" s="251"/>
      <c r="JB87" s="251"/>
      <c r="JC87" s="251"/>
      <c r="JD87" s="251"/>
      <c r="JE87" s="251"/>
      <c r="JF87" s="251"/>
      <c r="JG87" s="251"/>
      <c r="JH87" s="251"/>
      <c r="JI87" s="251"/>
      <c r="JJ87" s="251"/>
      <c r="JK87" s="251"/>
      <c r="JL87" s="251"/>
      <c r="JM87" s="251"/>
      <c r="JN87" s="251"/>
      <c r="JO87" s="251"/>
      <c r="JP87" s="251"/>
      <c r="JQ87" s="251"/>
      <c r="JR87" s="251"/>
      <c r="JS87" s="251"/>
      <c r="JT87" s="251"/>
      <c r="JU87" s="251"/>
      <c r="JV87" s="251"/>
      <c r="JW87" s="251"/>
      <c r="JX87" s="251"/>
      <c r="JY87" s="251"/>
      <c r="JZ87" s="251"/>
      <c r="KA87" s="251"/>
      <c r="KB87" s="251"/>
      <c r="KC87" s="251"/>
      <c r="KD87" s="251"/>
      <c r="KE87" s="251"/>
      <c r="KF87" s="251"/>
      <c r="KG87" s="251"/>
      <c r="KH87" s="251"/>
      <c r="KI87" s="251"/>
      <c r="KJ87" s="251"/>
      <c r="KK87" s="251"/>
      <c r="KL87" s="251"/>
      <c r="KM87" s="251"/>
      <c r="KN87" s="251"/>
      <c r="KO87" s="251"/>
      <c r="KP87" s="251"/>
      <c r="KQ87" s="251"/>
      <c r="KR87" s="251"/>
      <c r="KS87" s="251"/>
      <c r="KT87" s="251"/>
      <c r="KU87" s="251"/>
      <c r="KV87" s="251"/>
      <c r="KW87" s="251"/>
      <c r="KX87" s="251"/>
      <c r="KY87" s="251"/>
      <c r="KZ87" s="251"/>
      <c r="LA87" s="251"/>
      <c r="LB87" s="251"/>
      <c r="LC87" s="251"/>
      <c r="LD87" s="251"/>
      <c r="LE87" s="251"/>
      <c r="LF87" s="251"/>
      <c r="LG87" s="251"/>
      <c r="LH87" s="251"/>
      <c r="LI87" s="251"/>
      <c r="LJ87" s="251"/>
      <c r="LK87" s="251"/>
      <c r="LL87" s="251"/>
      <c r="LM87" s="251"/>
      <c r="LN87" s="251"/>
      <c r="LO87" s="251"/>
      <c r="LP87" s="251"/>
      <c r="LQ87" s="251"/>
      <c r="LR87" s="251"/>
      <c r="LS87" s="251"/>
      <c r="LT87" s="251"/>
      <c r="LU87" s="251"/>
      <c r="LV87" s="251"/>
      <c r="LW87" s="251"/>
      <c r="LX87" s="251"/>
      <c r="LY87" s="251"/>
      <c r="LZ87" s="251"/>
      <c r="MA87" s="251"/>
      <c r="MB87" s="251"/>
      <c r="MC87" s="251"/>
      <c r="MD87" s="251"/>
      <c r="ME87" s="251"/>
      <c r="MF87" s="251"/>
      <c r="MG87" s="251"/>
      <c r="MH87" s="251"/>
      <c r="MI87" s="251"/>
      <c r="MJ87" s="251"/>
      <c r="MK87" s="251"/>
      <c r="ML87" s="251"/>
      <c r="MM87" s="251"/>
      <c r="MN87" s="251"/>
      <c r="MO87" s="251"/>
      <c r="MP87" s="251"/>
      <c r="MQ87" s="251"/>
      <c r="MR87" s="251"/>
      <c r="MS87" s="251"/>
      <c r="MT87" s="251"/>
      <c r="MU87" s="251"/>
      <c r="MV87" s="251"/>
      <c r="MW87" s="251"/>
      <c r="MX87" s="251"/>
      <c r="MY87" s="251"/>
      <c r="MZ87" s="251"/>
      <c r="NA87" s="251"/>
      <c r="NB87" s="251"/>
      <c r="NC87" s="251"/>
      <c r="ND87" s="251"/>
      <c r="NE87" s="251"/>
      <c r="NF87" s="251"/>
      <c r="NG87" s="251"/>
      <c r="NH87" s="251"/>
      <c r="NI87" s="251"/>
      <c r="NJ87" s="251"/>
      <c r="NK87" s="251"/>
      <c r="NL87" s="251"/>
      <c r="NM87" s="251"/>
      <c r="NN87" s="251"/>
      <c r="NO87" s="251"/>
      <c r="NP87" s="251"/>
      <c r="NQ87" s="251"/>
      <c r="NR87" s="251"/>
      <c r="NS87" s="251"/>
      <c r="NT87" s="251"/>
      <c r="NU87" s="251"/>
      <c r="NV87" s="251"/>
      <c r="NW87" s="251"/>
      <c r="NX87" s="251"/>
      <c r="NY87" s="251"/>
      <c r="NZ87" s="251"/>
      <c r="OA87" s="251"/>
      <c r="OB87" s="251"/>
      <c r="OC87" s="251"/>
      <c r="OD87" s="251"/>
      <c r="OE87" s="251"/>
      <c r="OF87" s="251"/>
      <c r="OG87" s="251"/>
      <c r="OH87" s="251"/>
      <c r="OI87" s="251"/>
      <c r="OJ87" s="251"/>
      <c r="OK87" s="251"/>
      <c r="OL87" s="251"/>
      <c r="OM87" s="251"/>
      <c r="ON87" s="251"/>
      <c r="OO87" s="251"/>
      <c r="OP87" s="251"/>
      <c r="OQ87" s="251"/>
      <c r="OR87" s="251"/>
      <c r="OS87" s="251"/>
      <c r="OT87" s="251"/>
      <c r="OU87" s="251"/>
      <c r="OV87" s="77"/>
      <c r="OW87" s="77"/>
      <c r="OX87" s="77"/>
      <c r="OY87" s="1794"/>
      <c r="OZ87" s="1799">
        <v>83</v>
      </c>
      <c r="PA87" s="77"/>
      <c r="PB87" s="77"/>
      <c r="PC87" s="77"/>
      <c r="PD87" s="77"/>
      <c r="PE87" s="77"/>
      <c r="PF87" s="77"/>
      <c r="PG87" s="77"/>
      <c r="PH87" s="77"/>
      <c r="PI87" s="77"/>
      <c r="PJ87" s="77"/>
      <c r="PK87" s="77"/>
      <c r="PL87" s="77"/>
      <c r="PM87" s="77"/>
      <c r="PN87" s="77"/>
      <c r="PO87" s="77"/>
      <c r="PP87" s="77"/>
      <c r="PQ87" s="77"/>
      <c r="PR87" s="77"/>
      <c r="PS87" s="77"/>
      <c r="PT87" s="77"/>
      <c r="PU87" s="77"/>
      <c r="PV87" s="77"/>
      <c r="PW87" s="77"/>
      <c r="PX87" s="77"/>
      <c r="PY87" s="77"/>
      <c r="PZ87" s="77"/>
      <c r="QA87" s="77"/>
      <c r="QB87" s="77"/>
      <c r="QC87" s="77"/>
      <c r="QD87" s="77"/>
      <c r="QE87" s="77"/>
      <c r="QF87" s="77"/>
      <c r="QG87" s="77"/>
      <c r="QH87" s="77"/>
      <c r="QI87" s="77"/>
      <c r="QJ87" s="77"/>
      <c r="QK87" s="77"/>
      <c r="QL87" s="77"/>
      <c r="QM87" s="77"/>
      <c r="QN87" s="77"/>
      <c r="QO87" s="77"/>
      <c r="QP87" s="77"/>
      <c r="QQ87" s="77"/>
      <c r="QR87" s="77"/>
      <c r="QS87" s="77"/>
      <c r="QT87" s="77"/>
      <c r="QU87" s="77"/>
      <c r="QV87" s="77"/>
      <c r="QW87" s="77"/>
      <c r="QX87" s="77"/>
      <c r="QY87" s="77"/>
      <c r="QZ87" s="77"/>
      <c r="RA87" s="77"/>
      <c r="RB87" s="77"/>
      <c r="RC87" s="77"/>
      <c r="RD87" s="77"/>
      <c r="RE87" s="77"/>
      <c r="RF87" s="77"/>
      <c r="RG87" s="77"/>
      <c r="RH87" s="77"/>
      <c r="RI87" s="77"/>
      <c r="RJ87" s="77"/>
      <c r="RK87" s="77"/>
      <c r="RL87" s="77"/>
      <c r="RM87" s="77"/>
      <c r="RN87" s="77"/>
      <c r="RO87" s="77"/>
      <c r="RP87" s="77"/>
      <c r="RQ87" s="77"/>
      <c r="RR87" s="77"/>
      <c r="RS87" s="77"/>
      <c r="RT87" s="77"/>
      <c r="RU87" s="77"/>
      <c r="RV87" s="77"/>
      <c r="RW87" s="77"/>
      <c r="RX87" s="77"/>
      <c r="RY87" s="77"/>
      <c r="RZ87" s="77"/>
      <c r="SA87" s="77"/>
      <c r="SB87" s="77"/>
      <c r="SC87" s="77"/>
      <c r="SD87" s="77"/>
      <c r="SE87" s="77"/>
      <c r="SF87" s="77"/>
      <c r="SG87" s="77"/>
      <c r="SH87" s="77"/>
      <c r="SI87" s="77"/>
      <c r="SJ87" s="77"/>
      <c r="SK87" s="77"/>
      <c r="SL87" s="77"/>
      <c r="SM87" s="77"/>
      <c r="SN87" s="77"/>
      <c r="SO87" s="77"/>
      <c r="SP87" s="77"/>
      <c r="SQ87" s="77"/>
      <c r="SR87" s="77"/>
      <c r="SS87" s="77"/>
      <c r="ST87" s="77"/>
      <c r="SU87" s="77"/>
      <c r="SV87" s="77"/>
      <c r="SW87" s="77"/>
      <c r="SX87" s="77"/>
      <c r="SY87" s="77"/>
      <c r="SZ87" s="77"/>
    </row>
    <row r="88" spans="1:520" customFormat="1">
      <c r="C88" s="115" t="s">
        <v>1238</v>
      </c>
      <c r="D88" s="948"/>
      <c r="E88" s="948"/>
      <c r="F88" s="77"/>
      <c r="G88" s="77"/>
      <c r="H88" s="48" t="s">
        <v>1224</v>
      </c>
      <c r="I88" s="13"/>
      <c r="J88" s="43"/>
      <c r="K88" s="969" t="str">
        <f t="shared" ref="K88:P88" si="662">IF(OR(K68=0,K76=0),"",K68/K76)</f>
        <v/>
      </c>
      <c r="L88" s="970">
        <f t="shared" si="662"/>
        <v>0.20833333333333334</v>
      </c>
      <c r="M88" s="970">
        <f t="shared" si="662"/>
        <v>0.20833333333333334</v>
      </c>
      <c r="N88" s="970">
        <f t="shared" si="662"/>
        <v>0.20833333333333334</v>
      </c>
      <c r="O88" s="970" t="str">
        <f t="shared" si="662"/>
        <v/>
      </c>
      <c r="P88" s="971">
        <f t="shared" si="662"/>
        <v>0.20833333333333334</v>
      </c>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251"/>
      <c r="EK88" s="251"/>
      <c r="EL88" s="251"/>
      <c r="EM88" s="251"/>
      <c r="EN88" s="251"/>
      <c r="EO88" s="251"/>
      <c r="EP88" s="251"/>
      <c r="EQ88" s="251"/>
      <c r="ER88" s="251"/>
      <c r="ES88" s="251"/>
      <c r="ET88" s="251"/>
      <c r="EU88" s="251"/>
      <c r="EV88" s="251"/>
      <c r="EW88" s="251"/>
      <c r="EX88" s="251"/>
      <c r="EY88" s="251"/>
      <c r="EZ88" s="251"/>
      <c r="FA88" s="251"/>
      <c r="FB88" s="251"/>
      <c r="FC88" s="251"/>
      <c r="FD88" s="251"/>
      <c r="FE88" s="251"/>
      <c r="FF88" s="251"/>
      <c r="FG88" s="251"/>
      <c r="FH88" s="251"/>
      <c r="FI88" s="251"/>
      <c r="FJ88" s="251"/>
      <c r="FK88" s="251"/>
      <c r="FL88" s="251"/>
      <c r="FM88" s="251"/>
      <c r="FN88" s="251"/>
      <c r="FO88" s="251"/>
      <c r="FP88" s="251"/>
      <c r="FQ88" s="251"/>
      <c r="FR88" s="251"/>
      <c r="FS88" s="251"/>
      <c r="FT88" s="251"/>
      <c r="FU88" s="251"/>
      <c r="FV88" s="251"/>
      <c r="FW88" s="251"/>
      <c r="FX88" s="251"/>
      <c r="FY88" s="251"/>
      <c r="FZ88" s="251"/>
      <c r="GA88" s="251"/>
      <c r="GB88" s="251"/>
      <c r="GC88" s="251"/>
      <c r="GD88" s="251"/>
      <c r="GE88" s="251"/>
      <c r="GF88" s="251"/>
      <c r="GG88" s="251"/>
      <c r="GH88" s="251"/>
      <c r="GI88" s="251"/>
      <c r="GJ88" s="251"/>
      <c r="GK88" s="251"/>
      <c r="GL88" s="251"/>
      <c r="GM88" s="251"/>
      <c r="GN88" s="251"/>
      <c r="GO88" s="251"/>
      <c r="GP88" s="251"/>
      <c r="GQ88" s="251"/>
      <c r="GR88" s="251"/>
      <c r="GS88" s="251"/>
      <c r="GT88" s="251"/>
      <c r="GU88" s="251"/>
      <c r="GV88" s="251"/>
      <c r="GW88" s="251"/>
      <c r="GX88" s="251"/>
      <c r="GY88" s="251"/>
      <c r="GZ88" s="251"/>
      <c r="HA88" s="251"/>
      <c r="HB88" s="251"/>
      <c r="HC88" s="251"/>
      <c r="HD88" s="251"/>
      <c r="HE88" s="251"/>
      <c r="HF88" s="251"/>
      <c r="HG88" s="251"/>
      <c r="HH88" s="251"/>
      <c r="HI88" s="251"/>
      <c r="HJ88" s="251"/>
      <c r="HK88" s="251"/>
      <c r="HL88" s="251"/>
      <c r="HM88" s="251"/>
      <c r="HN88" s="251"/>
      <c r="HO88" s="251"/>
      <c r="HP88" s="251"/>
      <c r="HQ88" s="251"/>
      <c r="HR88" s="251"/>
      <c r="HS88" s="251"/>
      <c r="HT88" s="251"/>
      <c r="HU88" s="251"/>
      <c r="HV88" s="251"/>
      <c r="HW88" s="251"/>
      <c r="HX88" s="251"/>
      <c r="HY88" s="251"/>
      <c r="HZ88" s="251"/>
      <c r="IA88" s="251"/>
      <c r="IB88" s="251"/>
      <c r="IC88" s="251"/>
      <c r="ID88" s="251"/>
      <c r="IE88" s="251"/>
      <c r="IF88" s="251"/>
      <c r="IG88" s="251"/>
      <c r="IH88" s="251"/>
      <c r="II88" s="251"/>
      <c r="IJ88" s="251"/>
      <c r="IK88" s="251"/>
      <c r="IL88" s="251"/>
      <c r="IM88" s="251"/>
      <c r="IN88" s="251"/>
      <c r="IO88" s="251"/>
      <c r="IP88" s="251"/>
      <c r="IQ88" s="251"/>
      <c r="IR88" s="251"/>
      <c r="IS88" s="251"/>
      <c r="IT88" s="251"/>
      <c r="IU88" s="251"/>
      <c r="IV88" s="251"/>
      <c r="IW88" s="251"/>
      <c r="IX88" s="251"/>
      <c r="IY88" s="251"/>
      <c r="IZ88" s="251"/>
      <c r="JA88" s="251"/>
      <c r="JB88" s="251"/>
      <c r="JC88" s="251"/>
      <c r="JD88" s="251"/>
      <c r="JE88" s="251"/>
      <c r="JF88" s="251"/>
      <c r="JG88" s="251"/>
      <c r="JH88" s="251"/>
      <c r="JI88" s="251"/>
      <c r="JJ88" s="251"/>
      <c r="JK88" s="251"/>
      <c r="JL88" s="251"/>
      <c r="JM88" s="251"/>
      <c r="JN88" s="251"/>
      <c r="JO88" s="251"/>
      <c r="JP88" s="251"/>
      <c r="JQ88" s="251"/>
      <c r="JR88" s="251"/>
      <c r="JS88" s="251"/>
      <c r="JT88" s="251"/>
      <c r="JU88" s="251"/>
      <c r="JV88" s="251"/>
      <c r="JW88" s="251"/>
      <c r="JX88" s="251"/>
      <c r="JY88" s="251"/>
      <c r="JZ88" s="251"/>
      <c r="KA88" s="251"/>
      <c r="KB88" s="251"/>
      <c r="KC88" s="251"/>
      <c r="KD88" s="251"/>
      <c r="KE88" s="251"/>
      <c r="KF88" s="251"/>
      <c r="KG88" s="251"/>
      <c r="KH88" s="251"/>
      <c r="KI88" s="251"/>
      <c r="KJ88" s="251"/>
      <c r="KK88" s="251"/>
      <c r="KL88" s="251"/>
      <c r="KM88" s="251"/>
      <c r="KN88" s="251"/>
      <c r="KO88" s="251"/>
      <c r="KP88" s="251"/>
      <c r="KQ88" s="251"/>
      <c r="KR88" s="251"/>
      <c r="KS88" s="251"/>
      <c r="KT88" s="251"/>
      <c r="KU88" s="251"/>
      <c r="KV88" s="251"/>
      <c r="KW88" s="251"/>
      <c r="KX88" s="251"/>
      <c r="KY88" s="251"/>
      <c r="KZ88" s="251"/>
      <c r="LA88" s="251"/>
      <c r="LB88" s="251"/>
      <c r="LC88" s="251"/>
      <c r="LD88" s="251"/>
      <c r="LE88" s="251"/>
      <c r="LF88" s="251"/>
      <c r="LG88" s="251"/>
      <c r="LH88" s="251"/>
      <c r="LI88" s="251"/>
      <c r="LJ88" s="251"/>
      <c r="LK88" s="251"/>
      <c r="LL88" s="251"/>
      <c r="LM88" s="251"/>
      <c r="LN88" s="251"/>
      <c r="LO88" s="251"/>
      <c r="LP88" s="251"/>
      <c r="LQ88" s="251"/>
      <c r="LR88" s="251"/>
      <c r="LS88" s="251"/>
      <c r="LT88" s="251"/>
      <c r="LU88" s="251"/>
      <c r="LV88" s="251"/>
      <c r="LW88" s="251"/>
      <c r="LX88" s="251"/>
      <c r="LY88" s="251"/>
      <c r="LZ88" s="251"/>
      <c r="MA88" s="251"/>
      <c r="MB88" s="251"/>
      <c r="MC88" s="251"/>
      <c r="MD88" s="251"/>
      <c r="ME88" s="251"/>
      <c r="MF88" s="251"/>
      <c r="MG88" s="251"/>
      <c r="MH88" s="251"/>
      <c r="MI88" s="251"/>
      <c r="MJ88" s="251"/>
      <c r="MK88" s="251"/>
      <c r="ML88" s="251"/>
      <c r="MM88" s="251"/>
      <c r="MN88" s="251"/>
      <c r="MO88" s="251"/>
      <c r="MP88" s="251"/>
      <c r="MQ88" s="251"/>
      <c r="MR88" s="251"/>
      <c r="MS88" s="251"/>
      <c r="MT88" s="251"/>
      <c r="MU88" s="251"/>
      <c r="MV88" s="251"/>
      <c r="MW88" s="251"/>
      <c r="MX88" s="251"/>
      <c r="MY88" s="251"/>
      <c r="MZ88" s="251"/>
      <c r="NA88" s="251"/>
      <c r="NB88" s="251"/>
      <c r="NC88" s="251"/>
      <c r="ND88" s="251"/>
      <c r="NE88" s="251"/>
      <c r="NF88" s="251"/>
      <c r="NG88" s="251"/>
      <c r="NH88" s="251"/>
      <c r="NI88" s="251"/>
      <c r="NJ88" s="251"/>
      <c r="NK88" s="251"/>
      <c r="NL88" s="251"/>
      <c r="NM88" s="251"/>
      <c r="NN88" s="251"/>
      <c r="NO88" s="251"/>
      <c r="NP88" s="251"/>
      <c r="NQ88" s="251"/>
      <c r="NR88" s="251"/>
      <c r="NS88" s="251"/>
      <c r="NT88" s="251"/>
      <c r="NU88" s="251"/>
      <c r="NV88" s="251"/>
      <c r="NW88" s="251"/>
      <c r="NX88" s="251"/>
      <c r="NY88" s="251"/>
      <c r="NZ88" s="251"/>
      <c r="OA88" s="251"/>
      <c r="OB88" s="251"/>
      <c r="OC88" s="251"/>
      <c r="OD88" s="251"/>
      <c r="OE88" s="251"/>
      <c r="OF88" s="251"/>
      <c r="OG88" s="251"/>
      <c r="OH88" s="251"/>
      <c r="OI88" s="251"/>
      <c r="OJ88" s="251"/>
      <c r="OK88" s="251"/>
      <c r="OL88" s="251"/>
      <c r="OM88" s="251"/>
      <c r="ON88" s="251"/>
      <c r="OO88" s="251"/>
      <c r="OP88" s="251"/>
      <c r="OQ88" s="251"/>
      <c r="OR88" s="251"/>
      <c r="OS88" s="251"/>
      <c r="OT88" s="251"/>
      <c r="OU88" s="251"/>
      <c r="OV88" s="77"/>
      <c r="OW88" s="77"/>
      <c r="OX88" s="77"/>
      <c r="OY88" s="1794"/>
      <c r="OZ88" s="1801">
        <v>84</v>
      </c>
      <c r="PA88" s="77"/>
      <c r="PB88" s="77"/>
      <c r="PC88" s="77"/>
      <c r="PD88" s="77"/>
      <c r="PE88" s="77"/>
      <c r="PF88" s="77"/>
      <c r="PG88" s="77"/>
      <c r="PH88" s="77"/>
      <c r="PI88" s="77"/>
      <c r="PJ88" s="77"/>
      <c r="PK88" s="77"/>
      <c r="PL88" s="77"/>
      <c r="PM88" s="77"/>
      <c r="PN88" s="77"/>
      <c r="PO88" s="77"/>
      <c r="PP88" s="77"/>
      <c r="PQ88" s="77"/>
      <c r="PR88" s="77"/>
      <c r="PS88" s="77"/>
      <c r="PT88" s="77"/>
      <c r="PU88" s="77"/>
      <c r="PV88" s="77"/>
      <c r="PW88" s="77"/>
      <c r="PX88" s="77"/>
      <c r="PY88" s="77"/>
      <c r="PZ88" s="77"/>
      <c r="QA88" s="77"/>
      <c r="QB88" s="77"/>
      <c r="QC88" s="77"/>
      <c r="QD88" s="77"/>
      <c r="QE88" s="77"/>
      <c r="QF88" s="77"/>
      <c r="QG88" s="77"/>
      <c r="QH88" s="77"/>
      <c r="QI88" s="77"/>
      <c r="QJ88" s="77"/>
      <c r="QK88" s="77"/>
      <c r="QL88" s="77"/>
      <c r="QM88" s="77"/>
      <c r="QN88" s="77"/>
      <c r="QO88" s="77"/>
      <c r="QP88" s="77"/>
      <c r="QQ88" s="77"/>
      <c r="QR88" s="77"/>
      <c r="QS88" s="77"/>
      <c r="QT88" s="77"/>
      <c r="QU88" s="77"/>
      <c r="QV88" s="77"/>
      <c r="QW88" s="77"/>
      <c r="QX88" s="77"/>
      <c r="QY88" s="77"/>
      <c r="QZ88" s="77"/>
      <c r="RA88" s="77"/>
      <c r="RB88" s="77"/>
      <c r="RC88" s="77"/>
      <c r="RD88" s="77"/>
      <c r="RE88" s="77"/>
      <c r="RF88" s="77"/>
      <c r="RG88" s="77"/>
      <c r="RH88" s="77"/>
      <c r="RI88" s="77"/>
      <c r="RJ88" s="77"/>
      <c r="RK88" s="77"/>
      <c r="RL88" s="77"/>
      <c r="RM88" s="77"/>
      <c r="RN88" s="77"/>
      <c r="RO88" s="77"/>
      <c r="RP88" s="77"/>
      <c r="RQ88" s="77"/>
      <c r="RR88" s="77"/>
      <c r="RS88" s="77"/>
      <c r="RT88" s="77"/>
      <c r="RU88" s="77"/>
      <c r="RV88" s="77"/>
      <c r="RW88" s="77"/>
      <c r="RX88" s="77"/>
      <c r="RY88" s="77"/>
      <c r="RZ88" s="77"/>
      <c r="SA88" s="77"/>
      <c r="SB88" s="77"/>
      <c r="SC88" s="77"/>
      <c r="SD88" s="77"/>
      <c r="SE88" s="77"/>
      <c r="SF88" s="77"/>
      <c r="SG88" s="77"/>
      <c r="SH88" s="77"/>
      <c r="SI88" s="77"/>
      <c r="SJ88" s="77"/>
      <c r="SK88" s="77"/>
      <c r="SL88" s="77"/>
      <c r="SM88" s="77"/>
      <c r="SN88" s="77"/>
      <c r="SO88" s="77"/>
      <c r="SP88" s="77"/>
      <c r="SQ88" s="77"/>
      <c r="SR88" s="77"/>
      <c r="SS88" s="77"/>
      <c r="ST88" s="77"/>
      <c r="SU88" s="77"/>
      <c r="SV88" s="77"/>
      <c r="SW88" s="77"/>
      <c r="SX88" s="77"/>
      <c r="SY88" s="77"/>
      <c r="SZ88" s="77"/>
    </row>
    <row r="89" spans="1:520" customFormat="1">
      <c r="C89" s="115"/>
      <c r="D89" s="948"/>
      <c r="E89" s="948"/>
      <c r="F89" s="77"/>
      <c r="G89" s="77"/>
      <c r="H89" s="48" t="s">
        <v>1235</v>
      </c>
      <c r="I89" s="13"/>
      <c r="J89" s="43"/>
      <c r="K89" s="1010" t="str">
        <f>IF(OR(K68=0,P88="",K76=0),"",P88*K76)</f>
        <v/>
      </c>
      <c r="L89" s="1010">
        <f>IF(OR(L68=0,P88="",L76=0),"",P88*L76)</f>
        <v>5</v>
      </c>
      <c r="M89" s="1010">
        <f>IF(OR(M68=0,P88="",M76=0),"",P88*M76)</f>
        <v>10</v>
      </c>
      <c r="N89" s="1010">
        <f>IF(OR(N68=0,P88="",N76=0),"",P88*N76)</f>
        <v>5</v>
      </c>
      <c r="O89" s="1010" t="str">
        <f>IF(OR(O68=0,P88="",O76=0),"",P88*O76)</f>
        <v/>
      </c>
      <c r="P89" s="1011">
        <f>IF(OR(P88="",P76=0),"",P88*P76)</f>
        <v>20</v>
      </c>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51"/>
      <c r="BT89" s="251"/>
      <c r="BU89" s="251"/>
      <c r="BV89" s="251"/>
      <c r="BW89" s="251"/>
      <c r="BX89" s="251"/>
      <c r="BY89" s="251"/>
      <c r="BZ89" s="251"/>
      <c r="CA89" s="251"/>
      <c r="CB89" s="251"/>
      <c r="CC89" s="251"/>
      <c r="CD89" s="251"/>
      <c r="CE89" s="251"/>
      <c r="CF89" s="251"/>
      <c r="CG89" s="251"/>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1"/>
      <c r="DW89" s="251"/>
      <c r="DX89" s="251"/>
      <c r="DY89" s="251"/>
      <c r="DZ89" s="251"/>
      <c r="EA89" s="251"/>
      <c r="EB89" s="251"/>
      <c r="EC89" s="251"/>
      <c r="ED89" s="251"/>
      <c r="EE89" s="251"/>
      <c r="EF89" s="251"/>
      <c r="EG89" s="251"/>
      <c r="EH89" s="251"/>
      <c r="EI89" s="251"/>
      <c r="EJ89" s="251"/>
      <c r="EK89" s="251"/>
      <c r="EL89" s="251"/>
      <c r="EM89" s="251"/>
      <c r="EN89" s="251"/>
      <c r="EO89" s="251"/>
      <c r="EP89" s="251"/>
      <c r="EQ89" s="251"/>
      <c r="ER89" s="251"/>
      <c r="ES89" s="251"/>
      <c r="ET89" s="251"/>
      <c r="EU89" s="251"/>
      <c r="EV89" s="251"/>
      <c r="EW89" s="251"/>
      <c r="EX89" s="251"/>
      <c r="EY89" s="251"/>
      <c r="EZ89" s="251"/>
      <c r="FA89" s="251"/>
      <c r="FB89" s="251"/>
      <c r="FC89" s="251"/>
      <c r="FD89" s="251"/>
      <c r="FE89" s="251"/>
      <c r="FF89" s="251"/>
      <c r="FG89" s="251"/>
      <c r="FH89" s="251"/>
      <c r="FI89" s="251"/>
      <c r="FJ89" s="251"/>
      <c r="FK89" s="251"/>
      <c r="FL89" s="251"/>
      <c r="FM89" s="251"/>
      <c r="FN89" s="251"/>
      <c r="FO89" s="251"/>
      <c r="FP89" s="251"/>
      <c r="FQ89" s="251"/>
      <c r="FR89" s="251"/>
      <c r="FS89" s="251"/>
      <c r="FT89" s="251"/>
      <c r="FU89" s="251"/>
      <c r="FV89" s="251"/>
      <c r="FW89" s="251"/>
      <c r="FX89" s="251"/>
      <c r="FY89" s="251"/>
      <c r="FZ89" s="251"/>
      <c r="GA89" s="251"/>
      <c r="GB89" s="251"/>
      <c r="GC89" s="251"/>
      <c r="GD89" s="251"/>
      <c r="GE89" s="251"/>
      <c r="GF89" s="251"/>
      <c r="GG89" s="251"/>
      <c r="GH89" s="251"/>
      <c r="GI89" s="251"/>
      <c r="GJ89" s="251"/>
      <c r="GK89" s="251"/>
      <c r="GL89" s="251"/>
      <c r="GM89" s="251"/>
      <c r="GN89" s="251"/>
      <c r="GO89" s="251"/>
      <c r="GP89" s="251"/>
      <c r="GQ89" s="251"/>
      <c r="GR89" s="251"/>
      <c r="GS89" s="251"/>
      <c r="GT89" s="251"/>
      <c r="GU89" s="251"/>
      <c r="GV89" s="251"/>
      <c r="GW89" s="251"/>
      <c r="GX89" s="251"/>
      <c r="GY89" s="251"/>
      <c r="GZ89" s="251"/>
      <c r="HA89" s="251"/>
      <c r="HB89" s="251"/>
      <c r="HC89" s="251"/>
      <c r="HD89" s="251"/>
      <c r="HE89" s="251"/>
      <c r="HF89" s="251"/>
      <c r="HG89" s="251"/>
      <c r="HH89" s="251"/>
      <c r="HI89" s="251"/>
      <c r="HJ89" s="251"/>
      <c r="HK89" s="251"/>
      <c r="HL89" s="251"/>
      <c r="HM89" s="251"/>
      <c r="HN89" s="251"/>
      <c r="HO89" s="251"/>
      <c r="HP89" s="251"/>
      <c r="HQ89" s="251"/>
      <c r="HR89" s="251"/>
      <c r="HS89" s="251"/>
      <c r="HT89" s="251"/>
      <c r="HU89" s="251"/>
      <c r="HV89" s="251"/>
      <c r="HW89" s="251"/>
      <c r="HX89" s="251"/>
      <c r="HY89" s="251"/>
      <c r="HZ89" s="251"/>
      <c r="IA89" s="251"/>
      <c r="IB89" s="251"/>
      <c r="IC89" s="251"/>
      <c r="ID89" s="251"/>
      <c r="IE89" s="251"/>
      <c r="IF89" s="251"/>
      <c r="IG89" s="251"/>
      <c r="IH89" s="251"/>
      <c r="II89" s="251"/>
      <c r="IJ89" s="251"/>
      <c r="IK89" s="251"/>
      <c r="IL89" s="251"/>
      <c r="IM89" s="251"/>
      <c r="IN89" s="251"/>
      <c r="IO89" s="251"/>
      <c r="IP89" s="251"/>
      <c r="IQ89" s="251"/>
      <c r="IR89" s="251"/>
      <c r="IS89" s="251"/>
      <c r="IT89" s="251"/>
      <c r="IU89" s="251"/>
      <c r="IV89" s="251"/>
      <c r="IW89" s="251"/>
      <c r="IX89" s="251"/>
      <c r="IY89" s="251"/>
      <c r="IZ89" s="251"/>
      <c r="JA89" s="251"/>
      <c r="JB89" s="251"/>
      <c r="JC89" s="251"/>
      <c r="JD89" s="251"/>
      <c r="JE89" s="251"/>
      <c r="JF89" s="251"/>
      <c r="JG89" s="251"/>
      <c r="JH89" s="251"/>
      <c r="JI89" s="251"/>
      <c r="JJ89" s="251"/>
      <c r="JK89" s="251"/>
      <c r="JL89" s="251"/>
      <c r="JM89" s="251"/>
      <c r="JN89" s="251"/>
      <c r="JO89" s="251"/>
      <c r="JP89" s="251"/>
      <c r="JQ89" s="251"/>
      <c r="JR89" s="251"/>
      <c r="JS89" s="251"/>
      <c r="JT89" s="251"/>
      <c r="JU89" s="251"/>
      <c r="JV89" s="251"/>
      <c r="JW89" s="251"/>
      <c r="JX89" s="251"/>
      <c r="JY89" s="251"/>
      <c r="JZ89" s="251"/>
      <c r="KA89" s="251"/>
      <c r="KB89" s="251"/>
      <c r="KC89" s="251"/>
      <c r="KD89" s="251"/>
      <c r="KE89" s="251"/>
      <c r="KF89" s="251"/>
      <c r="KG89" s="251"/>
      <c r="KH89" s="251"/>
      <c r="KI89" s="251"/>
      <c r="KJ89" s="251"/>
      <c r="KK89" s="251"/>
      <c r="KL89" s="251"/>
      <c r="KM89" s="251"/>
      <c r="KN89" s="251"/>
      <c r="KO89" s="251"/>
      <c r="KP89" s="251"/>
      <c r="KQ89" s="251"/>
      <c r="KR89" s="251"/>
      <c r="KS89" s="251"/>
      <c r="KT89" s="251"/>
      <c r="KU89" s="251"/>
      <c r="KV89" s="251"/>
      <c r="KW89" s="251"/>
      <c r="KX89" s="251"/>
      <c r="KY89" s="251"/>
      <c r="KZ89" s="251"/>
      <c r="LA89" s="251"/>
      <c r="LB89" s="251"/>
      <c r="LC89" s="251"/>
      <c r="LD89" s="251"/>
      <c r="LE89" s="251"/>
      <c r="LF89" s="251"/>
      <c r="LG89" s="251"/>
      <c r="LH89" s="251"/>
      <c r="LI89" s="251"/>
      <c r="LJ89" s="251"/>
      <c r="LK89" s="251"/>
      <c r="LL89" s="251"/>
      <c r="LM89" s="251"/>
      <c r="LN89" s="251"/>
      <c r="LO89" s="251"/>
      <c r="LP89" s="251"/>
      <c r="LQ89" s="251"/>
      <c r="LR89" s="251"/>
      <c r="LS89" s="251"/>
      <c r="LT89" s="251"/>
      <c r="LU89" s="251"/>
      <c r="LV89" s="251"/>
      <c r="LW89" s="251"/>
      <c r="LX89" s="251"/>
      <c r="LY89" s="251"/>
      <c r="LZ89" s="251"/>
      <c r="MA89" s="251"/>
      <c r="MB89" s="251"/>
      <c r="MC89" s="251"/>
      <c r="MD89" s="251"/>
      <c r="ME89" s="251"/>
      <c r="MF89" s="251"/>
      <c r="MG89" s="251"/>
      <c r="MH89" s="251"/>
      <c r="MI89" s="251"/>
      <c r="MJ89" s="251"/>
      <c r="MK89" s="251"/>
      <c r="ML89" s="251"/>
      <c r="MM89" s="251"/>
      <c r="MN89" s="251"/>
      <c r="MO89" s="251"/>
      <c r="MP89" s="251"/>
      <c r="MQ89" s="251"/>
      <c r="MR89" s="251"/>
      <c r="MS89" s="251"/>
      <c r="MT89" s="251"/>
      <c r="MU89" s="251"/>
      <c r="MV89" s="251"/>
      <c r="MW89" s="251"/>
      <c r="MX89" s="251"/>
      <c r="MY89" s="251"/>
      <c r="MZ89" s="251"/>
      <c r="NA89" s="251"/>
      <c r="NB89" s="251"/>
      <c r="NC89" s="251"/>
      <c r="ND89" s="251"/>
      <c r="NE89" s="251"/>
      <c r="NF89" s="251"/>
      <c r="NG89" s="251"/>
      <c r="NH89" s="251"/>
      <c r="NI89" s="251"/>
      <c r="NJ89" s="251"/>
      <c r="NK89" s="251"/>
      <c r="NL89" s="251"/>
      <c r="NM89" s="251"/>
      <c r="NN89" s="251"/>
      <c r="NO89" s="251"/>
      <c r="NP89" s="251"/>
      <c r="NQ89" s="251"/>
      <c r="NR89" s="251"/>
      <c r="NS89" s="251"/>
      <c r="NT89" s="251"/>
      <c r="NU89" s="251"/>
      <c r="NV89" s="251"/>
      <c r="NW89" s="251"/>
      <c r="NX89" s="251"/>
      <c r="NY89" s="251"/>
      <c r="NZ89" s="251"/>
      <c r="OA89" s="251"/>
      <c r="OB89" s="251"/>
      <c r="OC89" s="251"/>
      <c r="OD89" s="251"/>
      <c r="OE89" s="251"/>
      <c r="OF89" s="251"/>
      <c r="OG89" s="251"/>
      <c r="OH89" s="251"/>
      <c r="OI89" s="251"/>
      <c r="OJ89" s="251"/>
      <c r="OK89" s="251"/>
      <c r="OL89" s="251"/>
      <c r="OM89" s="251"/>
      <c r="ON89" s="251"/>
      <c r="OO89" s="251"/>
      <c r="OP89" s="251"/>
      <c r="OQ89" s="251"/>
      <c r="OR89" s="251"/>
      <c r="OS89" s="251"/>
      <c r="OT89" s="251"/>
      <c r="OU89" s="251"/>
      <c r="OV89" s="77"/>
      <c r="OW89" s="77"/>
      <c r="OX89" s="77"/>
      <c r="OY89" s="1794"/>
      <c r="OZ89" s="1799">
        <v>85</v>
      </c>
      <c r="PA89" s="77"/>
      <c r="PB89" s="77"/>
      <c r="PC89" s="77"/>
      <c r="PD89" s="77"/>
      <c r="PE89" s="77"/>
      <c r="PF89" s="77"/>
      <c r="PG89" s="77"/>
      <c r="PH89" s="77"/>
      <c r="PI89" s="77"/>
      <c r="PJ89" s="77"/>
      <c r="PK89" s="77"/>
      <c r="PL89" s="77"/>
      <c r="PM89" s="77"/>
      <c r="PN89" s="77"/>
      <c r="PO89" s="77"/>
      <c r="PP89" s="77"/>
      <c r="PQ89" s="77"/>
      <c r="PR89" s="77"/>
      <c r="PS89" s="77"/>
      <c r="PT89" s="77"/>
      <c r="PU89" s="77"/>
      <c r="PV89" s="77"/>
      <c r="PW89" s="77"/>
      <c r="PX89" s="77"/>
      <c r="PY89" s="77"/>
      <c r="PZ89" s="77"/>
      <c r="QA89" s="77"/>
      <c r="QB89" s="77"/>
      <c r="QC89" s="77"/>
      <c r="QD89" s="77"/>
      <c r="QE89" s="77"/>
      <c r="QF89" s="77"/>
      <c r="QG89" s="77"/>
      <c r="QH89" s="77"/>
      <c r="QI89" s="77"/>
      <c r="QJ89" s="77"/>
      <c r="QK89" s="77"/>
      <c r="QL89" s="77"/>
      <c r="QM89" s="77"/>
      <c r="QN89" s="77"/>
      <c r="QO89" s="77"/>
      <c r="QP89" s="77"/>
      <c r="QQ89" s="77"/>
      <c r="QR89" s="77"/>
      <c r="QS89" s="77"/>
      <c r="QT89" s="77"/>
      <c r="QU89" s="77"/>
      <c r="QV89" s="77"/>
      <c r="QW89" s="77"/>
      <c r="QX89" s="77"/>
      <c r="QY89" s="77"/>
      <c r="QZ89" s="77"/>
      <c r="RA89" s="77"/>
      <c r="RB89" s="77"/>
      <c r="RC89" s="77"/>
      <c r="RD89" s="77"/>
      <c r="RE89" s="77"/>
      <c r="RF89" s="77"/>
      <c r="RG89" s="77"/>
      <c r="RH89" s="77"/>
      <c r="RI89" s="77"/>
      <c r="RJ89" s="77"/>
      <c r="RK89" s="77"/>
      <c r="RL89" s="77"/>
      <c r="RM89" s="77"/>
      <c r="RN89" s="77"/>
      <c r="RO89" s="77"/>
      <c r="RP89" s="77"/>
      <c r="RQ89" s="77"/>
      <c r="RR89" s="77"/>
      <c r="RS89" s="77"/>
      <c r="RT89" s="77"/>
      <c r="RU89" s="77"/>
      <c r="RV89" s="77"/>
      <c r="RW89" s="77"/>
      <c r="RX89" s="77"/>
      <c r="RY89" s="77"/>
      <c r="RZ89" s="77"/>
      <c r="SA89" s="77"/>
      <c r="SB89" s="77"/>
      <c r="SC89" s="77"/>
      <c r="SD89" s="77"/>
      <c r="SE89" s="77"/>
      <c r="SF89" s="77"/>
      <c r="SG89" s="77"/>
      <c r="SH89" s="77"/>
      <c r="SI89" s="77"/>
      <c r="SJ89" s="77"/>
      <c r="SK89" s="77"/>
      <c r="SL89" s="77"/>
      <c r="SM89" s="77"/>
      <c r="SN89" s="77"/>
      <c r="SO89" s="77"/>
      <c r="SP89" s="77"/>
      <c r="SQ89" s="77"/>
      <c r="SR89" s="77"/>
      <c r="SS89" s="77"/>
      <c r="ST89" s="77"/>
      <c r="SU89" s="77"/>
      <c r="SV89" s="77"/>
      <c r="SW89" s="77"/>
      <c r="SX89" s="77"/>
      <c r="SY89" s="77"/>
      <c r="SZ89" s="77"/>
    </row>
    <row r="90" spans="1:520" customFormat="1">
      <c r="C90" s="115"/>
      <c r="D90" s="948"/>
      <c r="E90" s="948"/>
      <c r="F90" s="77"/>
      <c r="G90" s="1005"/>
      <c r="H90" s="974" t="s">
        <v>1236</v>
      </c>
      <c r="I90" s="950"/>
      <c r="J90" s="43"/>
      <c r="K90" s="1012" t="str">
        <f t="shared" ref="K90:P90" si="663">IF(OR(K89="",K68=0),"", K68-K89)</f>
        <v/>
      </c>
      <c r="L90" s="1012">
        <f t="shared" si="663"/>
        <v>0</v>
      </c>
      <c r="M90" s="1012">
        <f t="shared" si="663"/>
        <v>0</v>
      </c>
      <c r="N90" s="1012">
        <f t="shared" si="663"/>
        <v>0</v>
      </c>
      <c r="O90" s="1012" t="str">
        <f t="shared" si="663"/>
        <v/>
      </c>
      <c r="P90" s="1012">
        <f t="shared" si="663"/>
        <v>0</v>
      </c>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51"/>
      <c r="BT90" s="251"/>
      <c r="BU90" s="251"/>
      <c r="BV90" s="251"/>
      <c r="BW90" s="251"/>
      <c r="BX90" s="251"/>
      <c r="BY90" s="251"/>
      <c r="BZ90" s="251"/>
      <c r="CA90" s="251"/>
      <c r="CB90" s="251"/>
      <c r="CC90" s="251"/>
      <c r="CD90" s="251"/>
      <c r="CE90" s="251"/>
      <c r="CF90" s="251"/>
      <c r="CG90" s="251"/>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1"/>
      <c r="DW90" s="251"/>
      <c r="DX90" s="251"/>
      <c r="DY90" s="251"/>
      <c r="DZ90" s="251"/>
      <c r="EA90" s="251"/>
      <c r="EB90" s="251"/>
      <c r="EC90" s="251"/>
      <c r="ED90" s="251"/>
      <c r="EE90" s="251"/>
      <c r="EF90" s="251"/>
      <c r="EG90" s="251"/>
      <c r="EH90" s="251"/>
      <c r="EI90" s="251"/>
      <c r="EJ90" s="251"/>
      <c r="EK90" s="251"/>
      <c r="EL90" s="251"/>
      <c r="EM90" s="251"/>
      <c r="EN90" s="251"/>
      <c r="EO90" s="251"/>
      <c r="EP90" s="251"/>
      <c r="EQ90" s="251"/>
      <c r="ER90" s="251"/>
      <c r="ES90" s="251"/>
      <c r="ET90" s="251"/>
      <c r="EU90" s="251"/>
      <c r="EV90" s="251"/>
      <c r="EW90" s="251"/>
      <c r="EX90" s="251"/>
      <c r="EY90" s="251"/>
      <c r="EZ90" s="251"/>
      <c r="FA90" s="251"/>
      <c r="FB90" s="251"/>
      <c r="FC90" s="251"/>
      <c r="FD90" s="251"/>
      <c r="FE90" s="251"/>
      <c r="FF90" s="251"/>
      <c r="FG90" s="251"/>
      <c r="FH90" s="251"/>
      <c r="FI90" s="251"/>
      <c r="FJ90" s="251"/>
      <c r="FK90" s="251"/>
      <c r="FL90" s="251"/>
      <c r="FM90" s="251"/>
      <c r="FN90" s="251"/>
      <c r="FO90" s="251"/>
      <c r="FP90" s="251"/>
      <c r="FQ90" s="251"/>
      <c r="FR90" s="251"/>
      <c r="FS90" s="251"/>
      <c r="FT90" s="251"/>
      <c r="FU90" s="251"/>
      <c r="FV90" s="251"/>
      <c r="FW90" s="251"/>
      <c r="FX90" s="251"/>
      <c r="FY90" s="251"/>
      <c r="FZ90" s="251"/>
      <c r="GA90" s="251"/>
      <c r="GB90" s="251"/>
      <c r="GC90" s="251"/>
      <c r="GD90" s="251"/>
      <c r="GE90" s="251"/>
      <c r="GF90" s="251"/>
      <c r="GG90" s="251"/>
      <c r="GH90" s="251"/>
      <c r="GI90" s="251"/>
      <c r="GJ90" s="251"/>
      <c r="GK90" s="251"/>
      <c r="GL90" s="251"/>
      <c r="GM90" s="251"/>
      <c r="GN90" s="251"/>
      <c r="GO90" s="251"/>
      <c r="GP90" s="251"/>
      <c r="GQ90" s="251"/>
      <c r="GR90" s="251"/>
      <c r="GS90" s="251"/>
      <c r="GT90" s="251"/>
      <c r="GU90" s="251"/>
      <c r="GV90" s="251"/>
      <c r="GW90" s="251"/>
      <c r="GX90" s="251"/>
      <c r="GY90" s="251"/>
      <c r="GZ90" s="251"/>
      <c r="HA90" s="251"/>
      <c r="HB90" s="251"/>
      <c r="HC90" s="251"/>
      <c r="HD90" s="251"/>
      <c r="HE90" s="251"/>
      <c r="HF90" s="251"/>
      <c r="HG90" s="251"/>
      <c r="HH90" s="251"/>
      <c r="HI90" s="251"/>
      <c r="HJ90" s="251"/>
      <c r="HK90" s="251"/>
      <c r="HL90" s="251"/>
      <c r="HM90" s="251"/>
      <c r="HN90" s="251"/>
      <c r="HO90" s="251"/>
      <c r="HP90" s="251"/>
      <c r="HQ90" s="251"/>
      <c r="HR90" s="251"/>
      <c r="HS90" s="251"/>
      <c r="HT90" s="251"/>
      <c r="HU90" s="251"/>
      <c r="HV90" s="251"/>
      <c r="HW90" s="251"/>
      <c r="HX90" s="251"/>
      <c r="HY90" s="251"/>
      <c r="HZ90" s="251"/>
      <c r="IA90" s="251"/>
      <c r="IB90" s="251"/>
      <c r="IC90" s="251"/>
      <c r="ID90" s="251"/>
      <c r="IE90" s="251"/>
      <c r="IF90" s="251"/>
      <c r="IG90" s="251"/>
      <c r="IH90" s="251"/>
      <c r="II90" s="251"/>
      <c r="IJ90" s="251"/>
      <c r="IK90" s="251"/>
      <c r="IL90" s="251"/>
      <c r="IM90" s="251"/>
      <c r="IN90" s="251"/>
      <c r="IO90" s="251"/>
      <c r="IP90" s="251"/>
      <c r="IQ90" s="251"/>
      <c r="IR90" s="251"/>
      <c r="IS90" s="251"/>
      <c r="IT90" s="251"/>
      <c r="IU90" s="251"/>
      <c r="IV90" s="251"/>
      <c r="IW90" s="251"/>
      <c r="IX90" s="251"/>
      <c r="IY90" s="251"/>
      <c r="IZ90" s="251"/>
      <c r="JA90" s="251"/>
      <c r="JB90" s="251"/>
      <c r="JC90" s="251"/>
      <c r="JD90" s="251"/>
      <c r="JE90" s="251"/>
      <c r="JF90" s="251"/>
      <c r="JG90" s="251"/>
      <c r="JH90" s="251"/>
      <c r="JI90" s="251"/>
      <c r="JJ90" s="251"/>
      <c r="JK90" s="251"/>
      <c r="JL90" s="251"/>
      <c r="JM90" s="251"/>
      <c r="JN90" s="251"/>
      <c r="JO90" s="251"/>
      <c r="JP90" s="251"/>
      <c r="JQ90" s="251"/>
      <c r="JR90" s="251"/>
      <c r="JS90" s="251"/>
      <c r="JT90" s="251"/>
      <c r="JU90" s="251"/>
      <c r="JV90" s="251"/>
      <c r="JW90" s="251"/>
      <c r="JX90" s="251"/>
      <c r="JY90" s="251"/>
      <c r="JZ90" s="251"/>
      <c r="KA90" s="251"/>
      <c r="KB90" s="251"/>
      <c r="KC90" s="251"/>
      <c r="KD90" s="251"/>
      <c r="KE90" s="251"/>
      <c r="KF90" s="251"/>
      <c r="KG90" s="251"/>
      <c r="KH90" s="251"/>
      <c r="KI90" s="251"/>
      <c r="KJ90" s="251"/>
      <c r="KK90" s="251"/>
      <c r="KL90" s="251"/>
      <c r="KM90" s="251"/>
      <c r="KN90" s="251"/>
      <c r="KO90" s="251"/>
      <c r="KP90" s="251"/>
      <c r="KQ90" s="251"/>
      <c r="KR90" s="251"/>
      <c r="KS90" s="251"/>
      <c r="KT90" s="251"/>
      <c r="KU90" s="251"/>
      <c r="KV90" s="251"/>
      <c r="KW90" s="251"/>
      <c r="KX90" s="251"/>
      <c r="KY90" s="251"/>
      <c r="KZ90" s="251"/>
      <c r="LA90" s="251"/>
      <c r="LB90" s="251"/>
      <c r="LC90" s="251"/>
      <c r="LD90" s="251"/>
      <c r="LE90" s="251"/>
      <c r="LF90" s="251"/>
      <c r="LG90" s="251"/>
      <c r="LH90" s="251"/>
      <c r="LI90" s="251"/>
      <c r="LJ90" s="251"/>
      <c r="LK90" s="251"/>
      <c r="LL90" s="251"/>
      <c r="LM90" s="251"/>
      <c r="LN90" s="251"/>
      <c r="LO90" s="251"/>
      <c r="LP90" s="251"/>
      <c r="LQ90" s="251"/>
      <c r="LR90" s="251"/>
      <c r="LS90" s="251"/>
      <c r="LT90" s="251"/>
      <c r="LU90" s="251"/>
      <c r="LV90" s="251"/>
      <c r="LW90" s="251"/>
      <c r="LX90" s="251"/>
      <c r="LY90" s="251"/>
      <c r="LZ90" s="251"/>
      <c r="MA90" s="251"/>
      <c r="MB90" s="251"/>
      <c r="MC90" s="251"/>
      <c r="MD90" s="251"/>
      <c r="ME90" s="251"/>
      <c r="MF90" s="251"/>
      <c r="MG90" s="251"/>
      <c r="MH90" s="251"/>
      <c r="MI90" s="251"/>
      <c r="MJ90" s="251"/>
      <c r="MK90" s="251"/>
      <c r="ML90" s="251"/>
      <c r="MM90" s="251"/>
      <c r="MN90" s="251"/>
      <c r="MO90" s="251"/>
      <c r="MP90" s="251"/>
      <c r="MQ90" s="251"/>
      <c r="MR90" s="251"/>
      <c r="MS90" s="251"/>
      <c r="MT90" s="251"/>
      <c r="MU90" s="251"/>
      <c r="MV90" s="251"/>
      <c r="MW90" s="251"/>
      <c r="MX90" s="251"/>
      <c r="MY90" s="251"/>
      <c r="MZ90" s="251"/>
      <c r="NA90" s="251"/>
      <c r="NB90" s="251"/>
      <c r="NC90" s="251"/>
      <c r="ND90" s="251"/>
      <c r="NE90" s="251"/>
      <c r="NF90" s="251"/>
      <c r="NG90" s="251"/>
      <c r="NH90" s="251"/>
      <c r="NI90" s="251"/>
      <c r="NJ90" s="251"/>
      <c r="NK90" s="251"/>
      <c r="NL90" s="251"/>
      <c r="NM90" s="251"/>
      <c r="NN90" s="251"/>
      <c r="NO90" s="251"/>
      <c r="NP90" s="251"/>
      <c r="NQ90" s="251"/>
      <c r="NR90" s="251"/>
      <c r="NS90" s="251"/>
      <c r="NT90" s="251"/>
      <c r="NU90" s="251"/>
      <c r="NV90" s="251"/>
      <c r="NW90" s="251"/>
      <c r="NX90" s="251"/>
      <c r="NY90" s="251"/>
      <c r="NZ90" s="251"/>
      <c r="OA90" s="251"/>
      <c r="OB90" s="251"/>
      <c r="OC90" s="251"/>
      <c r="OD90" s="251"/>
      <c r="OE90" s="251"/>
      <c r="OF90" s="251"/>
      <c r="OG90" s="251"/>
      <c r="OH90" s="251"/>
      <c r="OI90" s="251"/>
      <c r="OJ90" s="251"/>
      <c r="OK90" s="251"/>
      <c r="OL90" s="251"/>
      <c r="OM90" s="251"/>
      <c r="ON90" s="251"/>
      <c r="OO90" s="251"/>
      <c r="OP90" s="251"/>
      <c r="OQ90" s="251"/>
      <c r="OR90" s="251"/>
      <c r="OS90" s="251"/>
      <c r="OT90" s="251"/>
      <c r="OU90" s="251"/>
      <c r="OV90" s="77"/>
      <c r="OW90" s="77"/>
      <c r="OX90" s="77"/>
      <c r="OY90" s="1794"/>
      <c r="OZ90" s="1798">
        <v>86</v>
      </c>
      <c r="PA90" s="77"/>
      <c r="PB90" s="77"/>
      <c r="PC90" s="77"/>
      <c r="PD90" s="77"/>
      <c r="PE90" s="77"/>
      <c r="PF90" s="77"/>
      <c r="PG90" s="77"/>
      <c r="PH90" s="77"/>
      <c r="PI90" s="77"/>
      <c r="PJ90" s="77"/>
      <c r="PK90" s="77"/>
      <c r="PL90" s="77"/>
      <c r="PM90" s="77"/>
      <c r="PN90" s="77"/>
      <c r="PO90" s="77"/>
      <c r="PP90" s="77"/>
      <c r="PQ90" s="77"/>
      <c r="PR90" s="77"/>
      <c r="PS90" s="77"/>
      <c r="PT90" s="77"/>
      <c r="PU90" s="77"/>
      <c r="PV90" s="77"/>
      <c r="PW90" s="77"/>
      <c r="PX90" s="77"/>
      <c r="PY90" s="77"/>
      <c r="PZ90" s="77"/>
      <c r="QA90" s="77"/>
      <c r="QB90" s="77"/>
      <c r="QC90" s="77"/>
      <c r="QD90" s="77"/>
      <c r="QE90" s="77"/>
      <c r="QF90" s="77"/>
      <c r="QG90" s="77"/>
      <c r="QH90" s="77"/>
      <c r="QI90" s="77"/>
      <c r="QJ90" s="77"/>
      <c r="QK90" s="77"/>
      <c r="QL90" s="77"/>
      <c r="QM90" s="77"/>
      <c r="QN90" s="77"/>
      <c r="QO90" s="77"/>
      <c r="QP90" s="77"/>
      <c r="QQ90" s="77"/>
      <c r="QR90" s="77"/>
      <c r="QS90" s="77"/>
      <c r="QT90" s="77"/>
      <c r="QU90" s="77"/>
      <c r="QV90" s="77"/>
      <c r="QW90" s="77"/>
      <c r="QX90" s="77"/>
      <c r="QY90" s="77"/>
      <c r="QZ90" s="77"/>
      <c r="RA90" s="77"/>
      <c r="RB90" s="77"/>
      <c r="RC90" s="77"/>
      <c r="RD90" s="77"/>
      <c r="RE90" s="77"/>
      <c r="RF90" s="77"/>
      <c r="RG90" s="77"/>
      <c r="RH90" s="77"/>
      <c r="RI90" s="77"/>
      <c r="RJ90" s="77"/>
      <c r="RK90" s="77"/>
      <c r="RL90" s="77"/>
      <c r="RM90" s="77"/>
      <c r="RN90" s="77"/>
      <c r="RO90" s="77"/>
      <c r="RP90" s="77"/>
      <c r="RQ90" s="77"/>
      <c r="RR90" s="77"/>
      <c r="RS90" s="77"/>
      <c r="RT90" s="77"/>
      <c r="RU90" s="77"/>
      <c r="RV90" s="77"/>
      <c r="RW90" s="77"/>
      <c r="RX90" s="77"/>
      <c r="RY90" s="77"/>
      <c r="RZ90" s="77"/>
      <c r="SA90" s="77"/>
      <c r="SB90" s="77"/>
      <c r="SC90" s="77"/>
      <c r="SD90" s="77"/>
      <c r="SE90" s="77"/>
      <c r="SF90" s="77"/>
      <c r="SG90" s="77"/>
      <c r="SH90" s="77"/>
      <c r="SI90" s="77"/>
      <c r="SJ90" s="77"/>
      <c r="SK90" s="77"/>
      <c r="SL90" s="77"/>
      <c r="SM90" s="77"/>
      <c r="SN90" s="77"/>
      <c r="SO90" s="77"/>
      <c r="SP90" s="77"/>
      <c r="SQ90" s="77"/>
      <c r="SR90" s="77"/>
      <c r="SS90" s="77"/>
      <c r="ST90" s="77"/>
      <c r="SU90" s="77"/>
      <c r="SV90" s="77"/>
      <c r="SW90" s="77"/>
      <c r="SX90" s="77"/>
      <c r="SY90" s="77"/>
      <c r="SZ90" s="77"/>
    </row>
    <row r="91" spans="1:520" customFormat="1">
      <c r="C91" s="115" t="s">
        <v>1238</v>
      </c>
      <c r="D91" s="948"/>
      <c r="E91" s="948"/>
      <c r="F91" s="77"/>
      <c r="G91" s="77"/>
      <c r="H91" s="48" t="s">
        <v>1225</v>
      </c>
      <c r="I91" s="13"/>
      <c r="J91" s="43"/>
      <c r="K91" s="969" t="str">
        <f t="shared" ref="K91:P91" si="664">IF(OR(K69=0,K76=0),"",K69/K76)</f>
        <v/>
      </c>
      <c r="L91" s="970" t="str">
        <f t="shared" si="664"/>
        <v/>
      </c>
      <c r="M91" s="970" t="str">
        <f t="shared" si="664"/>
        <v/>
      </c>
      <c r="N91" s="970" t="str">
        <f t="shared" si="664"/>
        <v/>
      </c>
      <c r="O91" s="970" t="str">
        <f t="shared" si="664"/>
        <v/>
      </c>
      <c r="P91" s="971" t="str">
        <f t="shared" si="664"/>
        <v/>
      </c>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251"/>
      <c r="BO91" s="251"/>
      <c r="BP91" s="251"/>
      <c r="BQ91" s="251"/>
      <c r="BR91" s="251"/>
      <c r="BS91" s="251"/>
      <c r="BT91" s="251"/>
      <c r="BU91" s="251"/>
      <c r="BV91" s="251"/>
      <c r="BW91" s="251"/>
      <c r="BX91" s="251"/>
      <c r="BY91" s="251"/>
      <c r="BZ91" s="251"/>
      <c r="CA91" s="251"/>
      <c r="CB91" s="251"/>
      <c r="CC91" s="251"/>
      <c r="CD91" s="251"/>
      <c r="CE91" s="251"/>
      <c r="CF91" s="251"/>
      <c r="CG91" s="251"/>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1"/>
      <c r="DW91" s="251"/>
      <c r="DX91" s="251"/>
      <c r="DY91" s="251"/>
      <c r="DZ91" s="251"/>
      <c r="EA91" s="251"/>
      <c r="EB91" s="251"/>
      <c r="EC91" s="251"/>
      <c r="ED91" s="251"/>
      <c r="EE91" s="251"/>
      <c r="EF91" s="251"/>
      <c r="EG91" s="251"/>
      <c r="EH91" s="251"/>
      <c r="EI91" s="251"/>
      <c r="EJ91" s="251"/>
      <c r="EK91" s="251"/>
      <c r="EL91" s="251"/>
      <c r="EM91" s="251"/>
      <c r="EN91" s="251"/>
      <c r="EO91" s="251"/>
      <c r="EP91" s="251"/>
      <c r="EQ91" s="251"/>
      <c r="ER91" s="251"/>
      <c r="ES91" s="251"/>
      <c r="ET91" s="251"/>
      <c r="EU91" s="251"/>
      <c r="EV91" s="251"/>
      <c r="EW91" s="251"/>
      <c r="EX91" s="251"/>
      <c r="EY91" s="251"/>
      <c r="EZ91" s="251"/>
      <c r="FA91" s="251"/>
      <c r="FB91" s="251"/>
      <c r="FC91" s="251"/>
      <c r="FD91" s="251"/>
      <c r="FE91" s="251"/>
      <c r="FF91" s="251"/>
      <c r="FG91" s="251"/>
      <c r="FH91" s="251"/>
      <c r="FI91" s="251"/>
      <c r="FJ91" s="251"/>
      <c r="FK91" s="251"/>
      <c r="FL91" s="251"/>
      <c r="FM91" s="251"/>
      <c r="FN91" s="251"/>
      <c r="FO91" s="251"/>
      <c r="FP91" s="251"/>
      <c r="FQ91" s="251"/>
      <c r="FR91" s="251"/>
      <c r="FS91" s="251"/>
      <c r="FT91" s="251"/>
      <c r="FU91" s="251"/>
      <c r="FV91" s="251"/>
      <c r="FW91" s="251"/>
      <c r="FX91" s="251"/>
      <c r="FY91" s="251"/>
      <c r="FZ91" s="251"/>
      <c r="GA91" s="251"/>
      <c r="GB91" s="251"/>
      <c r="GC91" s="251"/>
      <c r="GD91" s="251"/>
      <c r="GE91" s="251"/>
      <c r="GF91" s="251"/>
      <c r="GG91" s="251"/>
      <c r="GH91" s="251"/>
      <c r="GI91" s="251"/>
      <c r="GJ91" s="251"/>
      <c r="GK91" s="251"/>
      <c r="GL91" s="251"/>
      <c r="GM91" s="251"/>
      <c r="GN91" s="251"/>
      <c r="GO91" s="251"/>
      <c r="GP91" s="251"/>
      <c r="GQ91" s="251"/>
      <c r="GR91" s="251"/>
      <c r="GS91" s="251"/>
      <c r="GT91" s="251"/>
      <c r="GU91" s="251"/>
      <c r="GV91" s="251"/>
      <c r="GW91" s="251"/>
      <c r="GX91" s="251"/>
      <c r="GY91" s="251"/>
      <c r="GZ91" s="251"/>
      <c r="HA91" s="251"/>
      <c r="HB91" s="251"/>
      <c r="HC91" s="251"/>
      <c r="HD91" s="251"/>
      <c r="HE91" s="251"/>
      <c r="HF91" s="251"/>
      <c r="HG91" s="251"/>
      <c r="HH91" s="251"/>
      <c r="HI91" s="251"/>
      <c r="HJ91" s="251"/>
      <c r="HK91" s="251"/>
      <c r="HL91" s="251"/>
      <c r="HM91" s="251"/>
      <c r="HN91" s="251"/>
      <c r="HO91" s="251"/>
      <c r="HP91" s="251"/>
      <c r="HQ91" s="251"/>
      <c r="HR91" s="251"/>
      <c r="HS91" s="251"/>
      <c r="HT91" s="251"/>
      <c r="HU91" s="251"/>
      <c r="HV91" s="251"/>
      <c r="HW91" s="251"/>
      <c r="HX91" s="251"/>
      <c r="HY91" s="251"/>
      <c r="HZ91" s="251"/>
      <c r="IA91" s="251"/>
      <c r="IB91" s="251"/>
      <c r="IC91" s="251"/>
      <c r="ID91" s="251"/>
      <c r="IE91" s="251"/>
      <c r="IF91" s="251"/>
      <c r="IG91" s="251"/>
      <c r="IH91" s="251"/>
      <c r="II91" s="251"/>
      <c r="IJ91" s="251"/>
      <c r="IK91" s="251"/>
      <c r="IL91" s="251"/>
      <c r="IM91" s="251"/>
      <c r="IN91" s="251"/>
      <c r="IO91" s="251"/>
      <c r="IP91" s="251"/>
      <c r="IQ91" s="251"/>
      <c r="IR91" s="251"/>
      <c r="IS91" s="251"/>
      <c r="IT91" s="251"/>
      <c r="IU91" s="251"/>
      <c r="IV91" s="251"/>
      <c r="IW91" s="251"/>
      <c r="IX91" s="251"/>
      <c r="IY91" s="251"/>
      <c r="IZ91" s="251"/>
      <c r="JA91" s="251"/>
      <c r="JB91" s="251"/>
      <c r="JC91" s="251"/>
      <c r="JD91" s="251"/>
      <c r="JE91" s="251"/>
      <c r="JF91" s="251"/>
      <c r="JG91" s="251"/>
      <c r="JH91" s="251"/>
      <c r="JI91" s="251"/>
      <c r="JJ91" s="251"/>
      <c r="JK91" s="251"/>
      <c r="JL91" s="251"/>
      <c r="JM91" s="251"/>
      <c r="JN91" s="251"/>
      <c r="JO91" s="251"/>
      <c r="JP91" s="251"/>
      <c r="JQ91" s="251"/>
      <c r="JR91" s="251"/>
      <c r="JS91" s="251"/>
      <c r="JT91" s="251"/>
      <c r="JU91" s="251"/>
      <c r="JV91" s="251"/>
      <c r="JW91" s="251"/>
      <c r="JX91" s="251"/>
      <c r="JY91" s="251"/>
      <c r="JZ91" s="251"/>
      <c r="KA91" s="251"/>
      <c r="KB91" s="251"/>
      <c r="KC91" s="251"/>
      <c r="KD91" s="251"/>
      <c r="KE91" s="251"/>
      <c r="KF91" s="251"/>
      <c r="KG91" s="251"/>
      <c r="KH91" s="251"/>
      <c r="KI91" s="251"/>
      <c r="KJ91" s="251"/>
      <c r="KK91" s="251"/>
      <c r="KL91" s="251"/>
      <c r="KM91" s="251"/>
      <c r="KN91" s="251"/>
      <c r="KO91" s="251"/>
      <c r="KP91" s="251"/>
      <c r="KQ91" s="251"/>
      <c r="KR91" s="251"/>
      <c r="KS91" s="251"/>
      <c r="KT91" s="251"/>
      <c r="KU91" s="251"/>
      <c r="KV91" s="251"/>
      <c r="KW91" s="251"/>
      <c r="KX91" s="251"/>
      <c r="KY91" s="251"/>
      <c r="KZ91" s="251"/>
      <c r="LA91" s="251"/>
      <c r="LB91" s="251"/>
      <c r="LC91" s="251"/>
      <c r="LD91" s="251"/>
      <c r="LE91" s="251"/>
      <c r="LF91" s="251"/>
      <c r="LG91" s="251"/>
      <c r="LH91" s="251"/>
      <c r="LI91" s="251"/>
      <c r="LJ91" s="251"/>
      <c r="LK91" s="251"/>
      <c r="LL91" s="251"/>
      <c r="LM91" s="251"/>
      <c r="LN91" s="251"/>
      <c r="LO91" s="251"/>
      <c r="LP91" s="251"/>
      <c r="LQ91" s="251"/>
      <c r="LR91" s="251"/>
      <c r="LS91" s="251"/>
      <c r="LT91" s="251"/>
      <c r="LU91" s="251"/>
      <c r="LV91" s="251"/>
      <c r="LW91" s="251"/>
      <c r="LX91" s="251"/>
      <c r="LY91" s="251"/>
      <c r="LZ91" s="251"/>
      <c r="MA91" s="251"/>
      <c r="MB91" s="251"/>
      <c r="MC91" s="251"/>
      <c r="MD91" s="251"/>
      <c r="ME91" s="251"/>
      <c r="MF91" s="251"/>
      <c r="MG91" s="251"/>
      <c r="MH91" s="251"/>
      <c r="MI91" s="251"/>
      <c r="MJ91" s="251"/>
      <c r="MK91" s="251"/>
      <c r="ML91" s="251"/>
      <c r="MM91" s="251"/>
      <c r="MN91" s="251"/>
      <c r="MO91" s="251"/>
      <c r="MP91" s="251"/>
      <c r="MQ91" s="251"/>
      <c r="MR91" s="251"/>
      <c r="MS91" s="251"/>
      <c r="MT91" s="251"/>
      <c r="MU91" s="251"/>
      <c r="MV91" s="251"/>
      <c r="MW91" s="251"/>
      <c r="MX91" s="251"/>
      <c r="MY91" s="251"/>
      <c r="MZ91" s="251"/>
      <c r="NA91" s="251"/>
      <c r="NB91" s="251"/>
      <c r="NC91" s="251"/>
      <c r="ND91" s="251"/>
      <c r="NE91" s="251"/>
      <c r="NF91" s="251"/>
      <c r="NG91" s="251"/>
      <c r="NH91" s="251"/>
      <c r="NI91" s="251"/>
      <c r="NJ91" s="251"/>
      <c r="NK91" s="251"/>
      <c r="NL91" s="251"/>
      <c r="NM91" s="251"/>
      <c r="NN91" s="251"/>
      <c r="NO91" s="251"/>
      <c r="NP91" s="251"/>
      <c r="NQ91" s="251"/>
      <c r="NR91" s="251"/>
      <c r="NS91" s="251"/>
      <c r="NT91" s="251"/>
      <c r="NU91" s="251"/>
      <c r="NV91" s="251"/>
      <c r="NW91" s="251"/>
      <c r="NX91" s="251"/>
      <c r="NY91" s="251"/>
      <c r="NZ91" s="251"/>
      <c r="OA91" s="251"/>
      <c r="OB91" s="251"/>
      <c r="OC91" s="251"/>
      <c r="OD91" s="251"/>
      <c r="OE91" s="251"/>
      <c r="OF91" s="251"/>
      <c r="OG91" s="251"/>
      <c r="OH91" s="251"/>
      <c r="OI91" s="251"/>
      <c r="OJ91" s="251"/>
      <c r="OK91" s="251"/>
      <c r="OL91" s="251"/>
      <c r="OM91" s="251"/>
      <c r="ON91" s="251"/>
      <c r="OO91" s="251"/>
      <c r="OP91" s="251"/>
      <c r="OQ91" s="251"/>
      <c r="OR91" s="251"/>
      <c r="OS91" s="251"/>
      <c r="OT91" s="251"/>
      <c r="OU91" s="251"/>
      <c r="OV91" s="77"/>
      <c r="OW91" s="77"/>
      <c r="OX91" s="77"/>
      <c r="OY91" s="1794"/>
      <c r="OZ91" s="1799">
        <v>87</v>
      </c>
      <c r="PA91" s="77"/>
      <c r="PB91" s="77"/>
      <c r="PC91" s="77"/>
      <c r="PD91" s="77"/>
      <c r="PE91" s="77"/>
      <c r="PF91" s="77"/>
      <c r="PG91" s="77"/>
      <c r="PH91" s="77"/>
      <c r="PI91" s="77"/>
      <c r="PJ91" s="77"/>
      <c r="PK91" s="77"/>
      <c r="PL91" s="77"/>
      <c r="PM91" s="77"/>
      <c r="PN91" s="77"/>
      <c r="PO91" s="77"/>
      <c r="PP91" s="77"/>
      <c r="PQ91" s="77"/>
      <c r="PR91" s="77"/>
      <c r="PS91" s="77"/>
      <c r="PT91" s="77"/>
      <c r="PU91" s="77"/>
      <c r="PV91" s="77"/>
      <c r="PW91" s="77"/>
      <c r="PX91" s="77"/>
      <c r="PY91" s="77"/>
      <c r="PZ91" s="77"/>
      <c r="QA91" s="77"/>
      <c r="QB91" s="77"/>
      <c r="QC91" s="77"/>
      <c r="QD91" s="77"/>
      <c r="QE91" s="77"/>
      <c r="QF91" s="77"/>
      <c r="QG91" s="77"/>
      <c r="QH91" s="77"/>
      <c r="QI91" s="77"/>
      <c r="QJ91" s="77"/>
      <c r="QK91" s="77"/>
      <c r="QL91" s="77"/>
      <c r="QM91" s="77"/>
      <c r="QN91" s="77"/>
      <c r="QO91" s="77"/>
      <c r="QP91" s="77"/>
      <c r="QQ91" s="77"/>
      <c r="QR91" s="77"/>
      <c r="QS91" s="77"/>
      <c r="QT91" s="77"/>
      <c r="QU91" s="77"/>
      <c r="QV91" s="77"/>
      <c r="QW91" s="77"/>
      <c r="QX91" s="77"/>
      <c r="QY91" s="77"/>
      <c r="QZ91" s="77"/>
      <c r="RA91" s="77"/>
      <c r="RB91" s="77"/>
      <c r="RC91" s="77"/>
      <c r="RD91" s="77"/>
      <c r="RE91" s="77"/>
      <c r="RF91" s="77"/>
      <c r="RG91" s="77"/>
      <c r="RH91" s="77"/>
      <c r="RI91" s="77"/>
      <c r="RJ91" s="77"/>
      <c r="RK91" s="77"/>
      <c r="RL91" s="77"/>
      <c r="RM91" s="77"/>
      <c r="RN91" s="77"/>
      <c r="RO91" s="77"/>
      <c r="RP91" s="77"/>
      <c r="RQ91" s="77"/>
      <c r="RR91" s="77"/>
      <c r="RS91" s="77"/>
      <c r="RT91" s="77"/>
      <c r="RU91" s="77"/>
      <c r="RV91" s="77"/>
      <c r="RW91" s="77"/>
      <c r="RX91" s="77"/>
      <c r="RY91" s="77"/>
      <c r="RZ91" s="77"/>
      <c r="SA91" s="77"/>
      <c r="SB91" s="77"/>
      <c r="SC91" s="77"/>
      <c r="SD91" s="77"/>
      <c r="SE91" s="77"/>
      <c r="SF91" s="77"/>
      <c r="SG91" s="77"/>
      <c r="SH91" s="77"/>
      <c r="SI91" s="77"/>
      <c r="SJ91" s="77"/>
      <c r="SK91" s="77"/>
      <c r="SL91" s="77"/>
      <c r="SM91" s="77"/>
      <c r="SN91" s="77"/>
      <c r="SO91" s="77"/>
      <c r="SP91" s="77"/>
      <c r="SQ91" s="77"/>
      <c r="SR91" s="77"/>
      <c r="SS91" s="77"/>
      <c r="ST91" s="77"/>
      <c r="SU91" s="77"/>
      <c r="SV91" s="77"/>
      <c r="SW91" s="77"/>
      <c r="SX91" s="77"/>
      <c r="SY91" s="77"/>
      <c r="SZ91" s="77"/>
    </row>
    <row r="92" spans="1:520" customFormat="1">
      <c r="C92" s="115"/>
      <c r="D92" s="77"/>
      <c r="E92" s="77"/>
      <c r="F92" s="77"/>
      <c r="G92" s="77"/>
      <c r="H92" s="48" t="s">
        <v>1235</v>
      </c>
      <c r="I92" s="13"/>
      <c r="J92" s="43"/>
      <c r="K92" s="1010" t="str">
        <f>IF(OR(K69=0,P91="",K76=0),"",P91*K76)</f>
        <v/>
      </c>
      <c r="L92" s="1010" t="str">
        <f>IF(OR(L69=0,P91="",L76=0),"",P91*L76)</f>
        <v/>
      </c>
      <c r="M92" s="1010" t="str">
        <f>IF(OR(M69=0,P91="",M76=0),"",P91*M76)</f>
        <v/>
      </c>
      <c r="N92" s="1010" t="str">
        <f>IF(OR(N69=0,P91="",N76=0),"",P91*N76)</f>
        <v/>
      </c>
      <c r="O92" s="1010" t="str">
        <f>IF(OR(O69=0,P91="",O76=0),"",P91*O76)</f>
        <v/>
      </c>
      <c r="P92" s="1011" t="str">
        <f>IF(OR(P91="",P76=0),"",P91*P76)</f>
        <v/>
      </c>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51"/>
      <c r="BT92" s="251"/>
      <c r="BU92" s="251"/>
      <c r="BV92" s="251"/>
      <c r="BW92" s="251"/>
      <c r="BX92" s="251"/>
      <c r="BY92" s="251"/>
      <c r="BZ92" s="251"/>
      <c r="CA92" s="251"/>
      <c r="CB92" s="251"/>
      <c r="CC92" s="251"/>
      <c r="CD92" s="251"/>
      <c r="CE92" s="251"/>
      <c r="CF92" s="251"/>
      <c r="CG92" s="251"/>
      <c r="CH92" s="251"/>
      <c r="CI92" s="251"/>
      <c r="CJ92" s="251"/>
      <c r="CK92" s="251"/>
      <c r="CL92" s="251"/>
      <c r="CM92" s="251"/>
      <c r="CN92" s="251"/>
      <c r="CO92" s="251"/>
      <c r="CP92" s="251"/>
      <c r="CQ92" s="251"/>
      <c r="CR92" s="251"/>
      <c r="CS92" s="251"/>
      <c r="CT92" s="251"/>
      <c r="CU92" s="251"/>
      <c r="CV92" s="251"/>
      <c r="CW92" s="251"/>
      <c r="CX92" s="251"/>
      <c r="CY92" s="251"/>
      <c r="CZ92" s="251"/>
      <c r="DA92" s="251"/>
      <c r="DB92" s="251"/>
      <c r="DC92" s="251"/>
      <c r="DD92" s="251"/>
      <c r="DE92" s="251"/>
      <c r="DF92" s="251"/>
      <c r="DG92" s="251"/>
      <c r="DH92" s="251"/>
      <c r="DI92" s="251"/>
      <c r="DJ92" s="251"/>
      <c r="DK92" s="251"/>
      <c r="DL92" s="251"/>
      <c r="DM92" s="251"/>
      <c r="DN92" s="251"/>
      <c r="DO92" s="251"/>
      <c r="DP92" s="251"/>
      <c r="DQ92" s="251"/>
      <c r="DR92" s="251"/>
      <c r="DS92" s="251"/>
      <c r="DT92" s="251"/>
      <c r="DU92" s="251"/>
      <c r="DV92" s="251"/>
      <c r="DW92" s="251"/>
      <c r="DX92" s="251"/>
      <c r="DY92" s="251"/>
      <c r="DZ92" s="251"/>
      <c r="EA92" s="251"/>
      <c r="EB92" s="251"/>
      <c r="EC92" s="251"/>
      <c r="ED92" s="251"/>
      <c r="EE92" s="251"/>
      <c r="EF92" s="251"/>
      <c r="EG92" s="251"/>
      <c r="EH92" s="251"/>
      <c r="EI92" s="251"/>
      <c r="EJ92" s="251"/>
      <c r="EK92" s="251"/>
      <c r="EL92" s="251"/>
      <c r="EM92" s="251"/>
      <c r="EN92" s="251"/>
      <c r="EO92" s="251"/>
      <c r="EP92" s="251"/>
      <c r="EQ92" s="251"/>
      <c r="ER92" s="251"/>
      <c r="ES92" s="251"/>
      <c r="ET92" s="251"/>
      <c r="EU92" s="251"/>
      <c r="EV92" s="251"/>
      <c r="EW92" s="251"/>
      <c r="EX92" s="251"/>
      <c r="EY92" s="251"/>
      <c r="EZ92" s="251"/>
      <c r="FA92" s="251"/>
      <c r="FB92" s="251"/>
      <c r="FC92" s="251"/>
      <c r="FD92" s="251"/>
      <c r="FE92" s="251"/>
      <c r="FF92" s="251"/>
      <c r="FG92" s="251"/>
      <c r="FH92" s="251"/>
      <c r="FI92" s="251"/>
      <c r="FJ92" s="251"/>
      <c r="FK92" s="251"/>
      <c r="FL92" s="251"/>
      <c r="FM92" s="251"/>
      <c r="FN92" s="251"/>
      <c r="FO92" s="251"/>
      <c r="FP92" s="251"/>
      <c r="FQ92" s="251"/>
      <c r="FR92" s="251"/>
      <c r="FS92" s="251"/>
      <c r="FT92" s="251"/>
      <c r="FU92" s="251"/>
      <c r="FV92" s="251"/>
      <c r="FW92" s="251"/>
      <c r="FX92" s="251"/>
      <c r="FY92" s="251"/>
      <c r="FZ92" s="251"/>
      <c r="GA92" s="251"/>
      <c r="GB92" s="251"/>
      <c r="GC92" s="251"/>
      <c r="GD92" s="251"/>
      <c r="GE92" s="251"/>
      <c r="GF92" s="251"/>
      <c r="GG92" s="251"/>
      <c r="GH92" s="251"/>
      <c r="GI92" s="251"/>
      <c r="GJ92" s="251"/>
      <c r="GK92" s="251"/>
      <c r="GL92" s="251"/>
      <c r="GM92" s="251"/>
      <c r="GN92" s="251"/>
      <c r="GO92" s="251"/>
      <c r="GP92" s="251"/>
      <c r="GQ92" s="251"/>
      <c r="GR92" s="251"/>
      <c r="GS92" s="251"/>
      <c r="GT92" s="251"/>
      <c r="GU92" s="251"/>
      <c r="GV92" s="251"/>
      <c r="GW92" s="251"/>
      <c r="GX92" s="251"/>
      <c r="GY92" s="251"/>
      <c r="GZ92" s="251"/>
      <c r="HA92" s="251"/>
      <c r="HB92" s="251"/>
      <c r="HC92" s="251"/>
      <c r="HD92" s="251"/>
      <c r="HE92" s="251"/>
      <c r="HF92" s="251"/>
      <c r="HG92" s="251"/>
      <c r="HH92" s="251"/>
      <c r="HI92" s="251"/>
      <c r="HJ92" s="251"/>
      <c r="HK92" s="251"/>
      <c r="HL92" s="251"/>
      <c r="HM92" s="251"/>
      <c r="HN92" s="251"/>
      <c r="HO92" s="251"/>
      <c r="HP92" s="251"/>
      <c r="HQ92" s="251"/>
      <c r="HR92" s="251"/>
      <c r="HS92" s="251"/>
      <c r="HT92" s="251"/>
      <c r="HU92" s="251"/>
      <c r="HV92" s="251"/>
      <c r="HW92" s="251"/>
      <c r="HX92" s="251"/>
      <c r="HY92" s="251"/>
      <c r="HZ92" s="251"/>
      <c r="IA92" s="251"/>
      <c r="IB92" s="251"/>
      <c r="IC92" s="251"/>
      <c r="ID92" s="251"/>
      <c r="IE92" s="251"/>
      <c r="IF92" s="251"/>
      <c r="IG92" s="251"/>
      <c r="IH92" s="251"/>
      <c r="II92" s="251"/>
      <c r="IJ92" s="251"/>
      <c r="IK92" s="251"/>
      <c r="IL92" s="251"/>
      <c r="IM92" s="251"/>
      <c r="IN92" s="251"/>
      <c r="IO92" s="251"/>
      <c r="IP92" s="251"/>
      <c r="IQ92" s="251"/>
      <c r="IR92" s="251"/>
      <c r="IS92" s="251"/>
      <c r="IT92" s="251"/>
      <c r="IU92" s="251"/>
      <c r="IV92" s="251"/>
      <c r="IW92" s="251"/>
      <c r="IX92" s="251"/>
      <c r="IY92" s="251"/>
      <c r="IZ92" s="251"/>
      <c r="JA92" s="251"/>
      <c r="JB92" s="251"/>
      <c r="JC92" s="251"/>
      <c r="JD92" s="251"/>
      <c r="JE92" s="251"/>
      <c r="JF92" s="251"/>
      <c r="JG92" s="251"/>
      <c r="JH92" s="251"/>
      <c r="JI92" s="251"/>
      <c r="JJ92" s="251"/>
      <c r="JK92" s="251"/>
      <c r="JL92" s="251"/>
      <c r="JM92" s="251"/>
      <c r="JN92" s="251"/>
      <c r="JO92" s="251"/>
      <c r="JP92" s="251"/>
      <c r="JQ92" s="251"/>
      <c r="JR92" s="251"/>
      <c r="JS92" s="251"/>
      <c r="JT92" s="251"/>
      <c r="JU92" s="251"/>
      <c r="JV92" s="251"/>
      <c r="JW92" s="251"/>
      <c r="JX92" s="251"/>
      <c r="JY92" s="251"/>
      <c r="JZ92" s="251"/>
      <c r="KA92" s="251"/>
      <c r="KB92" s="251"/>
      <c r="KC92" s="251"/>
      <c r="KD92" s="251"/>
      <c r="KE92" s="251"/>
      <c r="KF92" s="251"/>
      <c r="KG92" s="251"/>
      <c r="KH92" s="251"/>
      <c r="KI92" s="251"/>
      <c r="KJ92" s="251"/>
      <c r="KK92" s="251"/>
      <c r="KL92" s="251"/>
      <c r="KM92" s="251"/>
      <c r="KN92" s="251"/>
      <c r="KO92" s="251"/>
      <c r="KP92" s="251"/>
      <c r="KQ92" s="251"/>
      <c r="KR92" s="251"/>
      <c r="KS92" s="251"/>
      <c r="KT92" s="251"/>
      <c r="KU92" s="251"/>
      <c r="KV92" s="251"/>
      <c r="KW92" s="251"/>
      <c r="KX92" s="251"/>
      <c r="KY92" s="251"/>
      <c r="KZ92" s="251"/>
      <c r="LA92" s="251"/>
      <c r="LB92" s="251"/>
      <c r="LC92" s="251"/>
      <c r="LD92" s="251"/>
      <c r="LE92" s="251"/>
      <c r="LF92" s="251"/>
      <c r="LG92" s="251"/>
      <c r="LH92" s="251"/>
      <c r="LI92" s="251"/>
      <c r="LJ92" s="251"/>
      <c r="LK92" s="251"/>
      <c r="LL92" s="251"/>
      <c r="LM92" s="251"/>
      <c r="LN92" s="251"/>
      <c r="LO92" s="251"/>
      <c r="LP92" s="251"/>
      <c r="LQ92" s="251"/>
      <c r="LR92" s="251"/>
      <c r="LS92" s="251"/>
      <c r="LT92" s="251"/>
      <c r="LU92" s="251"/>
      <c r="LV92" s="251"/>
      <c r="LW92" s="251"/>
      <c r="LX92" s="251"/>
      <c r="LY92" s="251"/>
      <c r="LZ92" s="251"/>
      <c r="MA92" s="251"/>
      <c r="MB92" s="251"/>
      <c r="MC92" s="251"/>
      <c r="MD92" s="251"/>
      <c r="ME92" s="251"/>
      <c r="MF92" s="251"/>
      <c r="MG92" s="251"/>
      <c r="MH92" s="251"/>
      <c r="MI92" s="251"/>
      <c r="MJ92" s="251"/>
      <c r="MK92" s="251"/>
      <c r="ML92" s="251"/>
      <c r="MM92" s="251"/>
      <c r="MN92" s="251"/>
      <c r="MO92" s="251"/>
      <c r="MP92" s="251"/>
      <c r="MQ92" s="251"/>
      <c r="MR92" s="251"/>
      <c r="MS92" s="251"/>
      <c r="MT92" s="251"/>
      <c r="MU92" s="251"/>
      <c r="MV92" s="251"/>
      <c r="MW92" s="251"/>
      <c r="MX92" s="251"/>
      <c r="MY92" s="251"/>
      <c r="MZ92" s="251"/>
      <c r="NA92" s="251"/>
      <c r="NB92" s="251"/>
      <c r="NC92" s="251"/>
      <c r="ND92" s="251"/>
      <c r="NE92" s="251"/>
      <c r="NF92" s="251"/>
      <c r="NG92" s="251"/>
      <c r="NH92" s="251"/>
      <c r="NI92" s="251"/>
      <c r="NJ92" s="251"/>
      <c r="NK92" s="251"/>
      <c r="NL92" s="251"/>
      <c r="NM92" s="251"/>
      <c r="NN92" s="251"/>
      <c r="NO92" s="251"/>
      <c r="NP92" s="251"/>
      <c r="NQ92" s="251"/>
      <c r="NR92" s="251"/>
      <c r="NS92" s="251"/>
      <c r="NT92" s="251"/>
      <c r="NU92" s="251"/>
      <c r="NV92" s="251"/>
      <c r="NW92" s="251"/>
      <c r="NX92" s="251"/>
      <c r="NY92" s="251"/>
      <c r="NZ92" s="251"/>
      <c r="OA92" s="251"/>
      <c r="OB92" s="251"/>
      <c r="OC92" s="251"/>
      <c r="OD92" s="251"/>
      <c r="OE92" s="251"/>
      <c r="OF92" s="251"/>
      <c r="OG92" s="251"/>
      <c r="OH92" s="251"/>
      <c r="OI92" s="251"/>
      <c r="OJ92" s="251"/>
      <c r="OK92" s="251"/>
      <c r="OL92" s="251"/>
      <c r="OM92" s="251"/>
      <c r="ON92" s="251"/>
      <c r="OO92" s="251"/>
      <c r="OP92" s="251"/>
      <c r="OQ92" s="251"/>
      <c r="OR92" s="251"/>
      <c r="OS92" s="251"/>
      <c r="OT92" s="251"/>
      <c r="OU92" s="251"/>
      <c r="OV92" s="77"/>
      <c r="OW92" s="77"/>
      <c r="OX92" s="77"/>
      <c r="OY92" s="1794"/>
      <c r="OZ92" s="1799">
        <v>88</v>
      </c>
      <c r="PA92" s="77"/>
      <c r="PB92" s="77"/>
      <c r="PC92" s="77"/>
      <c r="PD92" s="77"/>
      <c r="PE92" s="77"/>
      <c r="PF92" s="77"/>
      <c r="PG92" s="77"/>
      <c r="PH92" s="77"/>
      <c r="PI92" s="77"/>
      <c r="PJ92" s="77"/>
      <c r="PK92" s="77"/>
      <c r="PL92" s="77"/>
      <c r="PM92" s="77"/>
      <c r="PN92" s="77"/>
      <c r="PO92" s="77"/>
      <c r="PP92" s="77"/>
      <c r="PQ92" s="77"/>
      <c r="PR92" s="77"/>
      <c r="PS92" s="77"/>
      <c r="PT92" s="77"/>
      <c r="PU92" s="77"/>
      <c r="PV92" s="77"/>
      <c r="PW92" s="77"/>
      <c r="PX92" s="77"/>
      <c r="PY92" s="77"/>
      <c r="PZ92" s="77"/>
      <c r="QA92" s="77"/>
      <c r="QB92" s="77"/>
      <c r="QC92" s="77"/>
      <c r="QD92" s="77"/>
      <c r="QE92" s="77"/>
      <c r="QF92" s="77"/>
      <c r="QG92" s="77"/>
      <c r="QH92" s="77"/>
      <c r="QI92" s="77"/>
      <c r="QJ92" s="77"/>
      <c r="QK92" s="77"/>
      <c r="QL92" s="77"/>
      <c r="QM92" s="77"/>
      <c r="QN92" s="77"/>
      <c r="QO92" s="77"/>
      <c r="QP92" s="77"/>
      <c r="QQ92" s="77"/>
      <c r="QR92" s="77"/>
      <c r="QS92" s="77"/>
      <c r="QT92" s="77"/>
      <c r="QU92" s="77"/>
      <c r="QV92" s="77"/>
      <c r="QW92" s="77"/>
      <c r="QX92" s="77"/>
      <c r="QY92" s="77"/>
      <c r="QZ92" s="77"/>
      <c r="RA92" s="77"/>
      <c r="RB92" s="77"/>
      <c r="RC92" s="77"/>
      <c r="RD92" s="77"/>
      <c r="RE92" s="77"/>
      <c r="RF92" s="77"/>
      <c r="RG92" s="77"/>
      <c r="RH92" s="77"/>
      <c r="RI92" s="77"/>
      <c r="RJ92" s="77"/>
      <c r="RK92" s="77"/>
      <c r="RL92" s="77"/>
      <c r="RM92" s="77"/>
      <c r="RN92" s="77"/>
      <c r="RO92" s="77"/>
      <c r="RP92" s="77"/>
      <c r="RQ92" s="77"/>
      <c r="RR92" s="77"/>
      <c r="RS92" s="77"/>
      <c r="RT92" s="77"/>
      <c r="RU92" s="77"/>
      <c r="RV92" s="77"/>
      <c r="RW92" s="77"/>
      <c r="RX92" s="77"/>
      <c r="RY92" s="77"/>
      <c r="RZ92" s="77"/>
      <c r="SA92" s="77"/>
      <c r="SB92" s="77"/>
      <c r="SC92" s="77"/>
      <c r="SD92" s="77"/>
      <c r="SE92" s="77"/>
      <c r="SF92" s="77"/>
      <c r="SG92" s="77"/>
      <c r="SH92" s="77"/>
      <c r="SI92" s="77"/>
      <c r="SJ92" s="77"/>
      <c r="SK92" s="77"/>
      <c r="SL92" s="77"/>
      <c r="SM92" s="77"/>
      <c r="SN92" s="77"/>
      <c r="SO92" s="77"/>
      <c r="SP92" s="77"/>
      <c r="SQ92" s="77"/>
      <c r="SR92" s="77"/>
      <c r="SS92" s="77"/>
      <c r="ST92" s="77"/>
      <c r="SU92" s="77"/>
      <c r="SV92" s="77"/>
      <c r="SW92" s="77"/>
      <c r="SX92" s="77"/>
      <c r="SY92" s="77"/>
      <c r="SZ92" s="77"/>
    </row>
    <row r="93" spans="1:520" customFormat="1">
      <c r="C93" s="115"/>
      <c r="D93" s="77"/>
      <c r="E93" s="77"/>
      <c r="F93" s="77"/>
      <c r="G93" s="1005"/>
      <c r="H93" s="974" t="s">
        <v>1236</v>
      </c>
      <c r="I93" s="950"/>
      <c r="J93" s="43"/>
      <c r="K93" s="1012" t="str">
        <f t="shared" ref="K93:P93" si="665">IF(OR(K92="",K69=0),"", K69-K92)</f>
        <v/>
      </c>
      <c r="L93" s="1012" t="str">
        <f t="shared" si="665"/>
        <v/>
      </c>
      <c r="M93" s="1012" t="str">
        <f t="shared" si="665"/>
        <v/>
      </c>
      <c r="N93" s="1012" t="str">
        <f t="shared" si="665"/>
        <v/>
      </c>
      <c r="O93" s="1012" t="str">
        <f t="shared" si="665"/>
        <v/>
      </c>
      <c r="P93" s="1012" t="str">
        <f t="shared" si="665"/>
        <v/>
      </c>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c r="BT93" s="251"/>
      <c r="BU93" s="251"/>
      <c r="BV93" s="251"/>
      <c r="BW93" s="251"/>
      <c r="BX93" s="251"/>
      <c r="BY93" s="251"/>
      <c r="BZ93" s="251"/>
      <c r="CA93" s="251"/>
      <c r="CB93" s="251"/>
      <c r="CC93" s="251"/>
      <c r="CD93" s="251"/>
      <c r="CE93" s="251"/>
      <c r="CF93" s="251"/>
      <c r="CG93" s="251"/>
      <c r="CH93" s="251"/>
      <c r="CI93" s="251"/>
      <c r="CJ93" s="251"/>
      <c r="CK93" s="251"/>
      <c r="CL93" s="251"/>
      <c r="CM93" s="251"/>
      <c r="CN93" s="251"/>
      <c r="CO93" s="251"/>
      <c r="CP93" s="251"/>
      <c r="CQ93" s="251"/>
      <c r="CR93" s="251"/>
      <c r="CS93" s="251"/>
      <c r="CT93" s="251"/>
      <c r="CU93" s="251"/>
      <c r="CV93" s="251"/>
      <c r="CW93" s="251"/>
      <c r="CX93" s="251"/>
      <c r="CY93" s="251"/>
      <c r="CZ93" s="251"/>
      <c r="DA93" s="251"/>
      <c r="DB93" s="251"/>
      <c r="DC93" s="251"/>
      <c r="DD93" s="251"/>
      <c r="DE93" s="251"/>
      <c r="DF93" s="251"/>
      <c r="DG93" s="251"/>
      <c r="DH93" s="251"/>
      <c r="DI93" s="251"/>
      <c r="DJ93" s="251"/>
      <c r="DK93" s="251"/>
      <c r="DL93" s="251"/>
      <c r="DM93" s="251"/>
      <c r="DN93" s="251"/>
      <c r="DO93" s="251"/>
      <c r="DP93" s="251"/>
      <c r="DQ93" s="251"/>
      <c r="DR93" s="251"/>
      <c r="DS93" s="251"/>
      <c r="DT93" s="251"/>
      <c r="DU93" s="251"/>
      <c r="DV93" s="251"/>
      <c r="DW93" s="251"/>
      <c r="DX93" s="251"/>
      <c r="DY93" s="251"/>
      <c r="DZ93" s="251"/>
      <c r="EA93" s="251"/>
      <c r="EB93" s="251"/>
      <c r="EC93" s="251"/>
      <c r="ED93" s="251"/>
      <c r="EE93" s="251"/>
      <c r="EF93" s="251"/>
      <c r="EG93" s="251"/>
      <c r="EH93" s="251"/>
      <c r="EI93" s="251"/>
      <c r="EJ93" s="251"/>
      <c r="EK93" s="251"/>
      <c r="EL93" s="251"/>
      <c r="EM93" s="251"/>
      <c r="EN93" s="251"/>
      <c r="EO93" s="251"/>
      <c r="EP93" s="251"/>
      <c r="EQ93" s="251"/>
      <c r="ER93" s="251"/>
      <c r="ES93" s="251"/>
      <c r="ET93" s="251"/>
      <c r="EU93" s="251"/>
      <c r="EV93" s="251"/>
      <c r="EW93" s="251"/>
      <c r="EX93" s="251"/>
      <c r="EY93" s="251"/>
      <c r="EZ93" s="251"/>
      <c r="FA93" s="251"/>
      <c r="FB93" s="251"/>
      <c r="FC93" s="251"/>
      <c r="FD93" s="251"/>
      <c r="FE93" s="251"/>
      <c r="FF93" s="251"/>
      <c r="FG93" s="251"/>
      <c r="FH93" s="251"/>
      <c r="FI93" s="251"/>
      <c r="FJ93" s="251"/>
      <c r="FK93" s="251"/>
      <c r="FL93" s="251"/>
      <c r="FM93" s="251"/>
      <c r="FN93" s="251"/>
      <c r="FO93" s="251"/>
      <c r="FP93" s="251"/>
      <c r="FQ93" s="251"/>
      <c r="FR93" s="251"/>
      <c r="FS93" s="251"/>
      <c r="FT93" s="251"/>
      <c r="FU93" s="251"/>
      <c r="FV93" s="251"/>
      <c r="FW93" s="251"/>
      <c r="FX93" s="251"/>
      <c r="FY93" s="251"/>
      <c r="FZ93" s="251"/>
      <c r="GA93" s="251"/>
      <c r="GB93" s="251"/>
      <c r="GC93" s="251"/>
      <c r="GD93" s="251"/>
      <c r="GE93" s="251"/>
      <c r="GF93" s="251"/>
      <c r="GG93" s="251"/>
      <c r="GH93" s="251"/>
      <c r="GI93" s="251"/>
      <c r="GJ93" s="251"/>
      <c r="GK93" s="251"/>
      <c r="GL93" s="251"/>
      <c r="GM93" s="251"/>
      <c r="GN93" s="251"/>
      <c r="GO93" s="251"/>
      <c r="GP93" s="251"/>
      <c r="GQ93" s="251"/>
      <c r="GR93" s="251"/>
      <c r="GS93" s="251"/>
      <c r="GT93" s="251"/>
      <c r="GU93" s="251"/>
      <c r="GV93" s="251"/>
      <c r="GW93" s="251"/>
      <c r="GX93" s="251"/>
      <c r="GY93" s="251"/>
      <c r="GZ93" s="251"/>
      <c r="HA93" s="251"/>
      <c r="HB93" s="251"/>
      <c r="HC93" s="251"/>
      <c r="HD93" s="251"/>
      <c r="HE93" s="251"/>
      <c r="HF93" s="251"/>
      <c r="HG93" s="251"/>
      <c r="HH93" s="251"/>
      <c r="HI93" s="251"/>
      <c r="HJ93" s="251"/>
      <c r="HK93" s="251"/>
      <c r="HL93" s="251"/>
      <c r="HM93" s="251"/>
      <c r="HN93" s="251"/>
      <c r="HO93" s="251"/>
      <c r="HP93" s="251"/>
      <c r="HQ93" s="251"/>
      <c r="HR93" s="251"/>
      <c r="HS93" s="251"/>
      <c r="HT93" s="251"/>
      <c r="HU93" s="251"/>
      <c r="HV93" s="251"/>
      <c r="HW93" s="251"/>
      <c r="HX93" s="251"/>
      <c r="HY93" s="251"/>
      <c r="HZ93" s="251"/>
      <c r="IA93" s="251"/>
      <c r="IB93" s="251"/>
      <c r="IC93" s="251"/>
      <c r="ID93" s="251"/>
      <c r="IE93" s="251"/>
      <c r="IF93" s="251"/>
      <c r="IG93" s="251"/>
      <c r="IH93" s="251"/>
      <c r="II93" s="251"/>
      <c r="IJ93" s="251"/>
      <c r="IK93" s="251"/>
      <c r="IL93" s="251"/>
      <c r="IM93" s="251"/>
      <c r="IN93" s="251"/>
      <c r="IO93" s="251"/>
      <c r="IP93" s="251"/>
      <c r="IQ93" s="251"/>
      <c r="IR93" s="251"/>
      <c r="IS93" s="251"/>
      <c r="IT93" s="251"/>
      <c r="IU93" s="251"/>
      <c r="IV93" s="251"/>
      <c r="IW93" s="251"/>
      <c r="IX93" s="251"/>
      <c r="IY93" s="251"/>
      <c r="IZ93" s="251"/>
      <c r="JA93" s="251"/>
      <c r="JB93" s="251"/>
      <c r="JC93" s="251"/>
      <c r="JD93" s="251"/>
      <c r="JE93" s="251"/>
      <c r="JF93" s="251"/>
      <c r="JG93" s="251"/>
      <c r="JH93" s="251"/>
      <c r="JI93" s="251"/>
      <c r="JJ93" s="251"/>
      <c r="JK93" s="251"/>
      <c r="JL93" s="251"/>
      <c r="JM93" s="251"/>
      <c r="JN93" s="251"/>
      <c r="JO93" s="251"/>
      <c r="JP93" s="251"/>
      <c r="JQ93" s="251"/>
      <c r="JR93" s="251"/>
      <c r="JS93" s="251"/>
      <c r="JT93" s="251"/>
      <c r="JU93" s="251"/>
      <c r="JV93" s="251"/>
      <c r="JW93" s="251"/>
      <c r="JX93" s="251"/>
      <c r="JY93" s="251"/>
      <c r="JZ93" s="251"/>
      <c r="KA93" s="251"/>
      <c r="KB93" s="251"/>
      <c r="KC93" s="251"/>
      <c r="KD93" s="251"/>
      <c r="KE93" s="251"/>
      <c r="KF93" s="251"/>
      <c r="KG93" s="251"/>
      <c r="KH93" s="251"/>
      <c r="KI93" s="251"/>
      <c r="KJ93" s="251"/>
      <c r="KK93" s="251"/>
      <c r="KL93" s="251"/>
      <c r="KM93" s="251"/>
      <c r="KN93" s="251"/>
      <c r="KO93" s="251"/>
      <c r="KP93" s="251"/>
      <c r="KQ93" s="251"/>
      <c r="KR93" s="251"/>
      <c r="KS93" s="251"/>
      <c r="KT93" s="251"/>
      <c r="KU93" s="251"/>
      <c r="KV93" s="251"/>
      <c r="KW93" s="251"/>
      <c r="KX93" s="251"/>
      <c r="KY93" s="251"/>
      <c r="KZ93" s="251"/>
      <c r="LA93" s="251"/>
      <c r="LB93" s="251"/>
      <c r="LC93" s="251"/>
      <c r="LD93" s="251"/>
      <c r="LE93" s="251"/>
      <c r="LF93" s="251"/>
      <c r="LG93" s="251"/>
      <c r="LH93" s="251"/>
      <c r="LI93" s="251"/>
      <c r="LJ93" s="251"/>
      <c r="LK93" s="251"/>
      <c r="LL93" s="251"/>
      <c r="LM93" s="251"/>
      <c r="LN93" s="251"/>
      <c r="LO93" s="251"/>
      <c r="LP93" s="251"/>
      <c r="LQ93" s="251"/>
      <c r="LR93" s="251"/>
      <c r="LS93" s="251"/>
      <c r="LT93" s="251"/>
      <c r="LU93" s="251"/>
      <c r="LV93" s="251"/>
      <c r="LW93" s="251"/>
      <c r="LX93" s="251"/>
      <c r="LY93" s="251"/>
      <c r="LZ93" s="251"/>
      <c r="MA93" s="251"/>
      <c r="MB93" s="251"/>
      <c r="MC93" s="251"/>
      <c r="MD93" s="251"/>
      <c r="ME93" s="251"/>
      <c r="MF93" s="251"/>
      <c r="MG93" s="251"/>
      <c r="MH93" s="251"/>
      <c r="MI93" s="251"/>
      <c r="MJ93" s="251"/>
      <c r="MK93" s="251"/>
      <c r="ML93" s="251"/>
      <c r="MM93" s="251"/>
      <c r="MN93" s="251"/>
      <c r="MO93" s="251"/>
      <c r="MP93" s="251"/>
      <c r="MQ93" s="251"/>
      <c r="MR93" s="251"/>
      <c r="MS93" s="251"/>
      <c r="MT93" s="251"/>
      <c r="MU93" s="251"/>
      <c r="MV93" s="251"/>
      <c r="MW93" s="251"/>
      <c r="MX93" s="251"/>
      <c r="MY93" s="251"/>
      <c r="MZ93" s="251"/>
      <c r="NA93" s="251"/>
      <c r="NB93" s="251"/>
      <c r="NC93" s="251"/>
      <c r="ND93" s="251"/>
      <c r="NE93" s="251"/>
      <c r="NF93" s="251"/>
      <c r="NG93" s="251"/>
      <c r="NH93" s="251"/>
      <c r="NI93" s="251"/>
      <c r="NJ93" s="251"/>
      <c r="NK93" s="251"/>
      <c r="NL93" s="251"/>
      <c r="NM93" s="251"/>
      <c r="NN93" s="251"/>
      <c r="NO93" s="251"/>
      <c r="NP93" s="251"/>
      <c r="NQ93" s="251"/>
      <c r="NR93" s="251"/>
      <c r="NS93" s="251"/>
      <c r="NT93" s="251"/>
      <c r="NU93" s="251"/>
      <c r="NV93" s="251"/>
      <c r="NW93" s="251"/>
      <c r="NX93" s="251"/>
      <c r="NY93" s="251"/>
      <c r="NZ93" s="251"/>
      <c r="OA93" s="251"/>
      <c r="OB93" s="251"/>
      <c r="OC93" s="251"/>
      <c r="OD93" s="251"/>
      <c r="OE93" s="251"/>
      <c r="OF93" s="251"/>
      <c r="OG93" s="251"/>
      <c r="OH93" s="251"/>
      <c r="OI93" s="251"/>
      <c r="OJ93" s="251"/>
      <c r="OK93" s="251"/>
      <c r="OL93" s="251"/>
      <c r="OM93" s="251"/>
      <c r="ON93" s="251"/>
      <c r="OO93" s="251"/>
      <c r="OP93" s="251"/>
      <c r="OQ93" s="251"/>
      <c r="OR93" s="251"/>
      <c r="OS93" s="251"/>
      <c r="OT93" s="251"/>
      <c r="OU93" s="251"/>
      <c r="OV93" s="77"/>
      <c r="OW93" s="77"/>
      <c r="OX93" s="77"/>
      <c r="OY93" s="1794"/>
      <c r="OZ93" s="1798">
        <v>89</v>
      </c>
      <c r="PA93" s="77"/>
      <c r="PB93" s="77"/>
      <c r="PC93" s="77"/>
      <c r="PD93" s="77"/>
      <c r="PE93" s="77"/>
      <c r="PF93" s="77"/>
      <c r="PG93" s="77"/>
      <c r="PH93" s="77"/>
      <c r="PI93" s="77"/>
      <c r="PJ93" s="77"/>
      <c r="PK93" s="77"/>
      <c r="PL93" s="77"/>
      <c r="PM93" s="77"/>
      <c r="PN93" s="77"/>
      <c r="PO93" s="77"/>
      <c r="PP93" s="77"/>
      <c r="PQ93" s="77"/>
      <c r="PR93" s="77"/>
      <c r="PS93" s="77"/>
      <c r="PT93" s="77"/>
      <c r="PU93" s="77"/>
      <c r="PV93" s="77"/>
      <c r="PW93" s="77"/>
      <c r="PX93" s="77"/>
      <c r="PY93" s="77"/>
      <c r="PZ93" s="77"/>
      <c r="QA93" s="77"/>
      <c r="QB93" s="77"/>
      <c r="QC93" s="77"/>
      <c r="QD93" s="77"/>
      <c r="QE93" s="77"/>
      <c r="QF93" s="77"/>
      <c r="QG93" s="77"/>
      <c r="QH93" s="77"/>
      <c r="QI93" s="77"/>
      <c r="QJ93" s="77"/>
      <c r="QK93" s="77"/>
      <c r="QL93" s="77"/>
      <c r="QM93" s="77"/>
      <c r="QN93" s="77"/>
      <c r="QO93" s="77"/>
      <c r="QP93" s="77"/>
      <c r="QQ93" s="77"/>
      <c r="QR93" s="77"/>
      <c r="QS93" s="77"/>
      <c r="QT93" s="77"/>
      <c r="QU93" s="77"/>
      <c r="QV93" s="77"/>
      <c r="QW93" s="77"/>
      <c r="QX93" s="77"/>
      <c r="QY93" s="77"/>
      <c r="QZ93" s="77"/>
      <c r="RA93" s="77"/>
      <c r="RB93" s="77"/>
      <c r="RC93" s="77"/>
      <c r="RD93" s="77"/>
      <c r="RE93" s="77"/>
      <c r="RF93" s="77"/>
      <c r="RG93" s="77"/>
      <c r="RH93" s="77"/>
      <c r="RI93" s="77"/>
      <c r="RJ93" s="77"/>
      <c r="RK93" s="77"/>
      <c r="RL93" s="77"/>
      <c r="RM93" s="77"/>
      <c r="RN93" s="77"/>
      <c r="RO93" s="77"/>
      <c r="RP93" s="77"/>
      <c r="RQ93" s="77"/>
      <c r="RR93" s="77"/>
      <c r="RS93" s="77"/>
      <c r="RT93" s="77"/>
      <c r="RU93" s="77"/>
      <c r="RV93" s="77"/>
      <c r="RW93" s="77"/>
      <c r="RX93" s="77"/>
      <c r="RY93" s="77"/>
      <c r="RZ93" s="77"/>
      <c r="SA93" s="77"/>
      <c r="SB93" s="77"/>
      <c r="SC93" s="77"/>
      <c r="SD93" s="77"/>
      <c r="SE93" s="77"/>
      <c r="SF93" s="77"/>
      <c r="SG93" s="77"/>
      <c r="SH93" s="77"/>
      <c r="SI93" s="77"/>
      <c r="SJ93" s="77"/>
      <c r="SK93" s="77"/>
      <c r="SL93" s="77"/>
      <c r="SM93" s="77"/>
      <c r="SN93" s="77"/>
      <c r="SO93" s="77"/>
      <c r="SP93" s="77"/>
      <c r="SQ93" s="77"/>
      <c r="SR93" s="77"/>
      <c r="SS93" s="77"/>
      <c r="ST93" s="77"/>
      <c r="SU93" s="77"/>
      <c r="SV93" s="77"/>
      <c r="SW93" s="77"/>
      <c r="SX93" s="77"/>
      <c r="SY93" s="77"/>
      <c r="SZ93" s="77"/>
    </row>
    <row r="94" spans="1:520" customFormat="1">
      <c r="C94" s="115" t="s">
        <v>1238</v>
      </c>
      <c r="D94" s="77"/>
      <c r="E94" s="77"/>
      <c r="F94" s="77"/>
      <c r="G94" s="77"/>
      <c r="H94" s="48" t="s">
        <v>1226</v>
      </c>
      <c r="I94" s="13"/>
      <c r="J94" s="43"/>
      <c r="K94" s="969" t="str">
        <f t="shared" ref="K94:P94" si="666">IF(OR(K70=0,K76=0),"",K70/K76)</f>
        <v/>
      </c>
      <c r="L94" s="970" t="str">
        <f t="shared" si="666"/>
        <v/>
      </c>
      <c r="M94" s="970" t="str">
        <f t="shared" si="666"/>
        <v/>
      </c>
      <c r="N94" s="970" t="str">
        <f t="shared" si="666"/>
        <v/>
      </c>
      <c r="O94" s="970" t="str">
        <f t="shared" si="666"/>
        <v/>
      </c>
      <c r="P94" s="971" t="str">
        <f t="shared" si="666"/>
        <v/>
      </c>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c r="BT94" s="251"/>
      <c r="BU94" s="251"/>
      <c r="BV94" s="251"/>
      <c r="BW94" s="251"/>
      <c r="BX94" s="251"/>
      <c r="BY94" s="251"/>
      <c r="BZ94" s="251"/>
      <c r="CA94" s="251"/>
      <c r="CB94" s="251"/>
      <c r="CC94" s="251"/>
      <c r="CD94" s="251"/>
      <c r="CE94" s="251"/>
      <c r="CF94" s="251"/>
      <c r="CG94" s="251"/>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1"/>
      <c r="DW94" s="251"/>
      <c r="DX94" s="251"/>
      <c r="DY94" s="251"/>
      <c r="DZ94" s="251"/>
      <c r="EA94" s="251"/>
      <c r="EB94" s="251"/>
      <c r="EC94" s="251"/>
      <c r="ED94" s="251"/>
      <c r="EE94" s="251"/>
      <c r="EF94" s="251"/>
      <c r="EG94" s="251"/>
      <c r="EH94" s="251"/>
      <c r="EI94" s="251"/>
      <c r="EJ94" s="251"/>
      <c r="EK94" s="251"/>
      <c r="EL94" s="251"/>
      <c r="EM94" s="251"/>
      <c r="EN94" s="251"/>
      <c r="EO94" s="251"/>
      <c r="EP94" s="251"/>
      <c r="EQ94" s="251"/>
      <c r="ER94" s="251"/>
      <c r="ES94" s="251"/>
      <c r="ET94" s="251"/>
      <c r="EU94" s="251"/>
      <c r="EV94" s="251"/>
      <c r="EW94" s="251"/>
      <c r="EX94" s="251"/>
      <c r="EY94" s="251"/>
      <c r="EZ94" s="251"/>
      <c r="FA94" s="251"/>
      <c r="FB94" s="251"/>
      <c r="FC94" s="251"/>
      <c r="FD94" s="251"/>
      <c r="FE94" s="251"/>
      <c r="FF94" s="251"/>
      <c r="FG94" s="251"/>
      <c r="FH94" s="251"/>
      <c r="FI94" s="251"/>
      <c r="FJ94" s="251"/>
      <c r="FK94" s="251"/>
      <c r="FL94" s="251"/>
      <c r="FM94" s="251"/>
      <c r="FN94" s="251"/>
      <c r="FO94" s="251"/>
      <c r="FP94" s="251"/>
      <c r="FQ94" s="251"/>
      <c r="FR94" s="251"/>
      <c r="FS94" s="251"/>
      <c r="FT94" s="251"/>
      <c r="FU94" s="251"/>
      <c r="FV94" s="251"/>
      <c r="FW94" s="251"/>
      <c r="FX94" s="251"/>
      <c r="FY94" s="251"/>
      <c r="FZ94" s="251"/>
      <c r="GA94" s="251"/>
      <c r="GB94" s="251"/>
      <c r="GC94" s="251"/>
      <c r="GD94" s="251"/>
      <c r="GE94" s="251"/>
      <c r="GF94" s="251"/>
      <c r="GG94" s="251"/>
      <c r="GH94" s="251"/>
      <c r="GI94" s="251"/>
      <c r="GJ94" s="251"/>
      <c r="GK94" s="251"/>
      <c r="GL94" s="251"/>
      <c r="GM94" s="251"/>
      <c r="GN94" s="251"/>
      <c r="GO94" s="251"/>
      <c r="GP94" s="251"/>
      <c r="GQ94" s="251"/>
      <c r="GR94" s="251"/>
      <c r="GS94" s="251"/>
      <c r="GT94" s="251"/>
      <c r="GU94" s="251"/>
      <c r="GV94" s="251"/>
      <c r="GW94" s="251"/>
      <c r="GX94" s="251"/>
      <c r="GY94" s="251"/>
      <c r="GZ94" s="251"/>
      <c r="HA94" s="251"/>
      <c r="HB94" s="251"/>
      <c r="HC94" s="251"/>
      <c r="HD94" s="251"/>
      <c r="HE94" s="251"/>
      <c r="HF94" s="251"/>
      <c r="HG94" s="251"/>
      <c r="HH94" s="251"/>
      <c r="HI94" s="251"/>
      <c r="HJ94" s="251"/>
      <c r="HK94" s="251"/>
      <c r="HL94" s="251"/>
      <c r="HM94" s="251"/>
      <c r="HN94" s="251"/>
      <c r="HO94" s="251"/>
      <c r="HP94" s="251"/>
      <c r="HQ94" s="251"/>
      <c r="HR94" s="251"/>
      <c r="HS94" s="251"/>
      <c r="HT94" s="251"/>
      <c r="HU94" s="251"/>
      <c r="HV94" s="251"/>
      <c r="HW94" s="251"/>
      <c r="HX94" s="251"/>
      <c r="HY94" s="251"/>
      <c r="HZ94" s="251"/>
      <c r="IA94" s="251"/>
      <c r="IB94" s="251"/>
      <c r="IC94" s="251"/>
      <c r="ID94" s="251"/>
      <c r="IE94" s="251"/>
      <c r="IF94" s="251"/>
      <c r="IG94" s="251"/>
      <c r="IH94" s="251"/>
      <c r="II94" s="251"/>
      <c r="IJ94" s="251"/>
      <c r="IK94" s="251"/>
      <c r="IL94" s="251"/>
      <c r="IM94" s="251"/>
      <c r="IN94" s="251"/>
      <c r="IO94" s="251"/>
      <c r="IP94" s="251"/>
      <c r="IQ94" s="251"/>
      <c r="IR94" s="251"/>
      <c r="IS94" s="251"/>
      <c r="IT94" s="251"/>
      <c r="IU94" s="251"/>
      <c r="IV94" s="251"/>
      <c r="IW94" s="251"/>
      <c r="IX94" s="251"/>
      <c r="IY94" s="251"/>
      <c r="IZ94" s="251"/>
      <c r="JA94" s="251"/>
      <c r="JB94" s="251"/>
      <c r="JC94" s="251"/>
      <c r="JD94" s="251"/>
      <c r="JE94" s="251"/>
      <c r="JF94" s="251"/>
      <c r="JG94" s="251"/>
      <c r="JH94" s="251"/>
      <c r="JI94" s="251"/>
      <c r="JJ94" s="251"/>
      <c r="JK94" s="251"/>
      <c r="JL94" s="251"/>
      <c r="JM94" s="251"/>
      <c r="JN94" s="251"/>
      <c r="JO94" s="251"/>
      <c r="JP94" s="251"/>
      <c r="JQ94" s="251"/>
      <c r="JR94" s="251"/>
      <c r="JS94" s="251"/>
      <c r="JT94" s="251"/>
      <c r="JU94" s="251"/>
      <c r="JV94" s="251"/>
      <c r="JW94" s="251"/>
      <c r="JX94" s="251"/>
      <c r="JY94" s="251"/>
      <c r="JZ94" s="251"/>
      <c r="KA94" s="251"/>
      <c r="KB94" s="251"/>
      <c r="KC94" s="251"/>
      <c r="KD94" s="251"/>
      <c r="KE94" s="251"/>
      <c r="KF94" s="251"/>
      <c r="KG94" s="251"/>
      <c r="KH94" s="251"/>
      <c r="KI94" s="251"/>
      <c r="KJ94" s="251"/>
      <c r="KK94" s="251"/>
      <c r="KL94" s="251"/>
      <c r="KM94" s="251"/>
      <c r="KN94" s="251"/>
      <c r="KO94" s="251"/>
      <c r="KP94" s="251"/>
      <c r="KQ94" s="251"/>
      <c r="KR94" s="251"/>
      <c r="KS94" s="251"/>
      <c r="KT94" s="251"/>
      <c r="KU94" s="251"/>
      <c r="KV94" s="251"/>
      <c r="KW94" s="251"/>
      <c r="KX94" s="251"/>
      <c r="KY94" s="251"/>
      <c r="KZ94" s="251"/>
      <c r="LA94" s="251"/>
      <c r="LB94" s="251"/>
      <c r="LC94" s="251"/>
      <c r="LD94" s="251"/>
      <c r="LE94" s="251"/>
      <c r="LF94" s="251"/>
      <c r="LG94" s="251"/>
      <c r="LH94" s="251"/>
      <c r="LI94" s="251"/>
      <c r="LJ94" s="251"/>
      <c r="LK94" s="251"/>
      <c r="LL94" s="251"/>
      <c r="LM94" s="251"/>
      <c r="LN94" s="251"/>
      <c r="LO94" s="251"/>
      <c r="LP94" s="251"/>
      <c r="LQ94" s="251"/>
      <c r="LR94" s="251"/>
      <c r="LS94" s="251"/>
      <c r="LT94" s="251"/>
      <c r="LU94" s="251"/>
      <c r="LV94" s="251"/>
      <c r="LW94" s="251"/>
      <c r="LX94" s="251"/>
      <c r="LY94" s="251"/>
      <c r="LZ94" s="251"/>
      <c r="MA94" s="251"/>
      <c r="MB94" s="251"/>
      <c r="MC94" s="251"/>
      <c r="MD94" s="251"/>
      <c r="ME94" s="251"/>
      <c r="MF94" s="251"/>
      <c r="MG94" s="251"/>
      <c r="MH94" s="251"/>
      <c r="MI94" s="251"/>
      <c r="MJ94" s="251"/>
      <c r="MK94" s="251"/>
      <c r="ML94" s="251"/>
      <c r="MM94" s="251"/>
      <c r="MN94" s="251"/>
      <c r="MO94" s="251"/>
      <c r="MP94" s="251"/>
      <c r="MQ94" s="251"/>
      <c r="MR94" s="251"/>
      <c r="MS94" s="251"/>
      <c r="MT94" s="251"/>
      <c r="MU94" s="251"/>
      <c r="MV94" s="251"/>
      <c r="MW94" s="251"/>
      <c r="MX94" s="251"/>
      <c r="MY94" s="251"/>
      <c r="MZ94" s="251"/>
      <c r="NA94" s="251"/>
      <c r="NB94" s="251"/>
      <c r="NC94" s="251"/>
      <c r="ND94" s="251"/>
      <c r="NE94" s="251"/>
      <c r="NF94" s="251"/>
      <c r="NG94" s="251"/>
      <c r="NH94" s="251"/>
      <c r="NI94" s="251"/>
      <c r="NJ94" s="251"/>
      <c r="NK94" s="251"/>
      <c r="NL94" s="251"/>
      <c r="NM94" s="251"/>
      <c r="NN94" s="251"/>
      <c r="NO94" s="251"/>
      <c r="NP94" s="251"/>
      <c r="NQ94" s="251"/>
      <c r="NR94" s="251"/>
      <c r="NS94" s="251"/>
      <c r="NT94" s="251"/>
      <c r="NU94" s="251"/>
      <c r="NV94" s="251"/>
      <c r="NW94" s="251"/>
      <c r="NX94" s="251"/>
      <c r="NY94" s="251"/>
      <c r="NZ94" s="251"/>
      <c r="OA94" s="251"/>
      <c r="OB94" s="251"/>
      <c r="OC94" s="251"/>
      <c r="OD94" s="251"/>
      <c r="OE94" s="251"/>
      <c r="OF94" s="251"/>
      <c r="OG94" s="251"/>
      <c r="OH94" s="251"/>
      <c r="OI94" s="251"/>
      <c r="OJ94" s="251"/>
      <c r="OK94" s="251"/>
      <c r="OL94" s="251"/>
      <c r="OM94" s="251"/>
      <c r="ON94" s="251"/>
      <c r="OO94" s="251"/>
      <c r="OP94" s="251"/>
      <c r="OQ94" s="251"/>
      <c r="OR94" s="251"/>
      <c r="OS94" s="251"/>
      <c r="OT94" s="251"/>
      <c r="OU94" s="251"/>
      <c r="OV94" s="77"/>
      <c r="OW94" s="77"/>
      <c r="OX94" s="77"/>
      <c r="OY94" s="1794"/>
      <c r="OZ94" s="1799">
        <v>90</v>
      </c>
      <c r="PA94" s="77"/>
      <c r="PB94" s="77"/>
      <c r="PC94" s="77"/>
      <c r="PD94" s="77"/>
      <c r="PE94" s="77"/>
      <c r="PF94" s="77"/>
      <c r="PG94" s="77"/>
      <c r="PH94" s="77"/>
      <c r="PI94" s="77"/>
      <c r="PJ94" s="77"/>
      <c r="PK94" s="77"/>
      <c r="PL94" s="77"/>
      <c r="PM94" s="77"/>
      <c r="PN94" s="77"/>
      <c r="PO94" s="77"/>
      <c r="PP94" s="77"/>
      <c r="PQ94" s="77"/>
      <c r="PR94" s="77"/>
      <c r="PS94" s="77"/>
      <c r="PT94" s="77"/>
      <c r="PU94" s="77"/>
      <c r="PV94" s="77"/>
      <c r="PW94" s="77"/>
      <c r="PX94" s="77"/>
      <c r="PY94" s="77"/>
      <c r="PZ94" s="77"/>
      <c r="QA94" s="77"/>
      <c r="QB94" s="77"/>
      <c r="QC94" s="77"/>
      <c r="QD94" s="77"/>
      <c r="QE94" s="77"/>
      <c r="QF94" s="77"/>
      <c r="QG94" s="77"/>
      <c r="QH94" s="77"/>
      <c r="QI94" s="77"/>
      <c r="QJ94" s="77"/>
      <c r="QK94" s="77"/>
      <c r="QL94" s="77"/>
      <c r="QM94" s="77"/>
      <c r="QN94" s="77"/>
      <c r="QO94" s="77"/>
      <c r="QP94" s="77"/>
      <c r="QQ94" s="77"/>
      <c r="QR94" s="77"/>
      <c r="QS94" s="77"/>
      <c r="QT94" s="77"/>
      <c r="QU94" s="77"/>
      <c r="QV94" s="77"/>
      <c r="QW94" s="77"/>
      <c r="QX94" s="77"/>
      <c r="QY94" s="77"/>
      <c r="QZ94" s="77"/>
      <c r="RA94" s="77"/>
      <c r="RB94" s="77"/>
      <c r="RC94" s="77"/>
      <c r="RD94" s="77"/>
      <c r="RE94" s="77"/>
      <c r="RF94" s="77"/>
      <c r="RG94" s="77"/>
      <c r="RH94" s="77"/>
      <c r="RI94" s="77"/>
      <c r="RJ94" s="77"/>
      <c r="RK94" s="77"/>
      <c r="RL94" s="77"/>
      <c r="RM94" s="77"/>
      <c r="RN94" s="77"/>
      <c r="RO94" s="77"/>
      <c r="RP94" s="77"/>
      <c r="RQ94" s="77"/>
      <c r="RR94" s="77"/>
      <c r="RS94" s="77"/>
      <c r="RT94" s="77"/>
      <c r="RU94" s="77"/>
      <c r="RV94" s="77"/>
      <c r="RW94" s="77"/>
      <c r="RX94" s="77"/>
      <c r="RY94" s="77"/>
      <c r="RZ94" s="77"/>
      <c r="SA94" s="77"/>
      <c r="SB94" s="77"/>
      <c r="SC94" s="77"/>
      <c r="SD94" s="77"/>
      <c r="SE94" s="77"/>
      <c r="SF94" s="77"/>
      <c r="SG94" s="77"/>
      <c r="SH94" s="77"/>
      <c r="SI94" s="77"/>
      <c r="SJ94" s="77"/>
      <c r="SK94" s="77"/>
      <c r="SL94" s="77"/>
      <c r="SM94" s="77"/>
      <c r="SN94" s="77"/>
      <c r="SO94" s="77"/>
      <c r="SP94" s="77"/>
      <c r="SQ94" s="77"/>
      <c r="SR94" s="77"/>
      <c r="SS94" s="77"/>
      <c r="ST94" s="77"/>
      <c r="SU94" s="77"/>
      <c r="SV94" s="77"/>
      <c r="SW94" s="77"/>
      <c r="SX94" s="77"/>
      <c r="SY94" s="77"/>
      <c r="SZ94" s="77"/>
    </row>
    <row r="95" spans="1:520" customFormat="1">
      <c r="C95" s="115"/>
      <c r="D95" s="77"/>
      <c r="E95" s="77"/>
      <c r="F95" s="77"/>
      <c r="G95" s="77"/>
      <c r="H95" s="48" t="s">
        <v>1235</v>
      </c>
      <c r="I95" s="13"/>
      <c r="J95" s="43"/>
      <c r="K95" s="1010" t="str">
        <f>IF(OR(K70=0,P94="",K76=0),"",P94*K76)</f>
        <v/>
      </c>
      <c r="L95" s="1010" t="str">
        <f>IF(OR(L70=0,P94="",L76=0),"",P94*L76)</f>
        <v/>
      </c>
      <c r="M95" s="1010" t="str">
        <f>IF(OR(M70=0,P94="",M76=0),"",P94*M76)</f>
        <v/>
      </c>
      <c r="N95" s="1010" t="str">
        <f>IF(OR(N70=0,P94="",N76=0),"",P94*N76)</f>
        <v/>
      </c>
      <c r="O95" s="1010" t="str">
        <f>IF(OR(O70=0,P94="",O76=0),"",P94*O76)</f>
        <v/>
      </c>
      <c r="P95" s="1011" t="str">
        <f>IF(OR(P94="",P76=0),"",P94*P76)</f>
        <v/>
      </c>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c r="BT95" s="251"/>
      <c r="BU95" s="251"/>
      <c r="BV95" s="251"/>
      <c r="BW95" s="251"/>
      <c r="BX95" s="251"/>
      <c r="BY95" s="251"/>
      <c r="BZ95" s="251"/>
      <c r="CA95" s="251"/>
      <c r="CB95" s="251"/>
      <c r="CC95" s="251"/>
      <c r="CD95" s="251"/>
      <c r="CE95" s="251"/>
      <c r="CF95" s="251"/>
      <c r="CG95" s="251"/>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1"/>
      <c r="DW95" s="251"/>
      <c r="DX95" s="251"/>
      <c r="DY95" s="251"/>
      <c r="DZ95" s="251"/>
      <c r="EA95" s="251"/>
      <c r="EB95" s="251"/>
      <c r="EC95" s="251"/>
      <c r="ED95" s="251"/>
      <c r="EE95" s="251"/>
      <c r="EF95" s="251"/>
      <c r="EG95" s="251"/>
      <c r="EH95" s="251"/>
      <c r="EI95" s="251"/>
      <c r="EJ95" s="251"/>
      <c r="EK95" s="251"/>
      <c r="EL95" s="251"/>
      <c r="EM95" s="251"/>
      <c r="EN95" s="251"/>
      <c r="EO95" s="251"/>
      <c r="EP95" s="251"/>
      <c r="EQ95" s="251"/>
      <c r="ER95" s="251"/>
      <c r="ES95" s="251"/>
      <c r="ET95" s="251"/>
      <c r="EU95" s="251"/>
      <c r="EV95" s="251"/>
      <c r="EW95" s="251"/>
      <c r="EX95" s="251"/>
      <c r="EY95" s="251"/>
      <c r="EZ95" s="251"/>
      <c r="FA95" s="251"/>
      <c r="FB95" s="251"/>
      <c r="FC95" s="251"/>
      <c r="FD95" s="251"/>
      <c r="FE95" s="251"/>
      <c r="FF95" s="251"/>
      <c r="FG95" s="251"/>
      <c r="FH95" s="251"/>
      <c r="FI95" s="251"/>
      <c r="FJ95" s="251"/>
      <c r="FK95" s="251"/>
      <c r="FL95" s="251"/>
      <c r="FM95" s="251"/>
      <c r="FN95" s="251"/>
      <c r="FO95" s="251"/>
      <c r="FP95" s="251"/>
      <c r="FQ95" s="251"/>
      <c r="FR95" s="251"/>
      <c r="FS95" s="251"/>
      <c r="FT95" s="251"/>
      <c r="FU95" s="251"/>
      <c r="FV95" s="251"/>
      <c r="FW95" s="251"/>
      <c r="FX95" s="251"/>
      <c r="FY95" s="251"/>
      <c r="FZ95" s="251"/>
      <c r="GA95" s="251"/>
      <c r="GB95" s="251"/>
      <c r="GC95" s="251"/>
      <c r="GD95" s="251"/>
      <c r="GE95" s="251"/>
      <c r="GF95" s="251"/>
      <c r="GG95" s="251"/>
      <c r="GH95" s="251"/>
      <c r="GI95" s="251"/>
      <c r="GJ95" s="251"/>
      <c r="GK95" s="251"/>
      <c r="GL95" s="251"/>
      <c r="GM95" s="251"/>
      <c r="GN95" s="251"/>
      <c r="GO95" s="251"/>
      <c r="GP95" s="251"/>
      <c r="GQ95" s="251"/>
      <c r="GR95" s="251"/>
      <c r="GS95" s="251"/>
      <c r="GT95" s="251"/>
      <c r="GU95" s="251"/>
      <c r="GV95" s="251"/>
      <c r="GW95" s="251"/>
      <c r="GX95" s="251"/>
      <c r="GY95" s="251"/>
      <c r="GZ95" s="251"/>
      <c r="HA95" s="251"/>
      <c r="HB95" s="251"/>
      <c r="HC95" s="251"/>
      <c r="HD95" s="251"/>
      <c r="HE95" s="251"/>
      <c r="HF95" s="251"/>
      <c r="HG95" s="251"/>
      <c r="HH95" s="251"/>
      <c r="HI95" s="251"/>
      <c r="HJ95" s="251"/>
      <c r="HK95" s="251"/>
      <c r="HL95" s="251"/>
      <c r="HM95" s="251"/>
      <c r="HN95" s="251"/>
      <c r="HO95" s="251"/>
      <c r="HP95" s="251"/>
      <c r="HQ95" s="251"/>
      <c r="HR95" s="251"/>
      <c r="HS95" s="251"/>
      <c r="HT95" s="251"/>
      <c r="HU95" s="251"/>
      <c r="HV95" s="251"/>
      <c r="HW95" s="251"/>
      <c r="HX95" s="251"/>
      <c r="HY95" s="251"/>
      <c r="HZ95" s="251"/>
      <c r="IA95" s="251"/>
      <c r="IB95" s="251"/>
      <c r="IC95" s="251"/>
      <c r="ID95" s="251"/>
      <c r="IE95" s="251"/>
      <c r="IF95" s="251"/>
      <c r="IG95" s="251"/>
      <c r="IH95" s="251"/>
      <c r="II95" s="251"/>
      <c r="IJ95" s="251"/>
      <c r="IK95" s="251"/>
      <c r="IL95" s="251"/>
      <c r="IM95" s="251"/>
      <c r="IN95" s="251"/>
      <c r="IO95" s="251"/>
      <c r="IP95" s="251"/>
      <c r="IQ95" s="251"/>
      <c r="IR95" s="251"/>
      <c r="IS95" s="251"/>
      <c r="IT95" s="251"/>
      <c r="IU95" s="251"/>
      <c r="IV95" s="251"/>
      <c r="IW95" s="251"/>
      <c r="IX95" s="251"/>
      <c r="IY95" s="251"/>
      <c r="IZ95" s="251"/>
      <c r="JA95" s="251"/>
      <c r="JB95" s="251"/>
      <c r="JC95" s="251"/>
      <c r="JD95" s="251"/>
      <c r="JE95" s="251"/>
      <c r="JF95" s="251"/>
      <c r="JG95" s="251"/>
      <c r="JH95" s="251"/>
      <c r="JI95" s="251"/>
      <c r="JJ95" s="251"/>
      <c r="JK95" s="251"/>
      <c r="JL95" s="251"/>
      <c r="JM95" s="251"/>
      <c r="JN95" s="251"/>
      <c r="JO95" s="251"/>
      <c r="JP95" s="251"/>
      <c r="JQ95" s="251"/>
      <c r="JR95" s="251"/>
      <c r="JS95" s="251"/>
      <c r="JT95" s="251"/>
      <c r="JU95" s="251"/>
      <c r="JV95" s="251"/>
      <c r="JW95" s="251"/>
      <c r="JX95" s="251"/>
      <c r="JY95" s="251"/>
      <c r="JZ95" s="251"/>
      <c r="KA95" s="251"/>
      <c r="KB95" s="251"/>
      <c r="KC95" s="251"/>
      <c r="KD95" s="251"/>
      <c r="KE95" s="251"/>
      <c r="KF95" s="251"/>
      <c r="KG95" s="251"/>
      <c r="KH95" s="251"/>
      <c r="KI95" s="251"/>
      <c r="KJ95" s="251"/>
      <c r="KK95" s="251"/>
      <c r="KL95" s="251"/>
      <c r="KM95" s="251"/>
      <c r="KN95" s="251"/>
      <c r="KO95" s="251"/>
      <c r="KP95" s="251"/>
      <c r="KQ95" s="251"/>
      <c r="KR95" s="251"/>
      <c r="KS95" s="251"/>
      <c r="KT95" s="251"/>
      <c r="KU95" s="251"/>
      <c r="KV95" s="251"/>
      <c r="KW95" s="251"/>
      <c r="KX95" s="251"/>
      <c r="KY95" s="251"/>
      <c r="KZ95" s="251"/>
      <c r="LA95" s="251"/>
      <c r="LB95" s="251"/>
      <c r="LC95" s="251"/>
      <c r="LD95" s="251"/>
      <c r="LE95" s="251"/>
      <c r="LF95" s="251"/>
      <c r="LG95" s="251"/>
      <c r="LH95" s="251"/>
      <c r="LI95" s="251"/>
      <c r="LJ95" s="251"/>
      <c r="LK95" s="251"/>
      <c r="LL95" s="251"/>
      <c r="LM95" s="251"/>
      <c r="LN95" s="251"/>
      <c r="LO95" s="251"/>
      <c r="LP95" s="251"/>
      <c r="LQ95" s="251"/>
      <c r="LR95" s="251"/>
      <c r="LS95" s="251"/>
      <c r="LT95" s="251"/>
      <c r="LU95" s="251"/>
      <c r="LV95" s="251"/>
      <c r="LW95" s="251"/>
      <c r="LX95" s="251"/>
      <c r="LY95" s="251"/>
      <c r="LZ95" s="251"/>
      <c r="MA95" s="251"/>
      <c r="MB95" s="251"/>
      <c r="MC95" s="251"/>
      <c r="MD95" s="251"/>
      <c r="ME95" s="251"/>
      <c r="MF95" s="251"/>
      <c r="MG95" s="251"/>
      <c r="MH95" s="251"/>
      <c r="MI95" s="251"/>
      <c r="MJ95" s="251"/>
      <c r="MK95" s="251"/>
      <c r="ML95" s="251"/>
      <c r="MM95" s="251"/>
      <c r="MN95" s="251"/>
      <c r="MO95" s="251"/>
      <c r="MP95" s="251"/>
      <c r="MQ95" s="251"/>
      <c r="MR95" s="251"/>
      <c r="MS95" s="251"/>
      <c r="MT95" s="251"/>
      <c r="MU95" s="251"/>
      <c r="MV95" s="251"/>
      <c r="MW95" s="251"/>
      <c r="MX95" s="251"/>
      <c r="MY95" s="251"/>
      <c r="MZ95" s="251"/>
      <c r="NA95" s="251"/>
      <c r="NB95" s="251"/>
      <c r="NC95" s="251"/>
      <c r="ND95" s="251"/>
      <c r="NE95" s="251"/>
      <c r="NF95" s="251"/>
      <c r="NG95" s="251"/>
      <c r="NH95" s="251"/>
      <c r="NI95" s="251"/>
      <c r="NJ95" s="251"/>
      <c r="NK95" s="251"/>
      <c r="NL95" s="251"/>
      <c r="NM95" s="251"/>
      <c r="NN95" s="251"/>
      <c r="NO95" s="251"/>
      <c r="NP95" s="251"/>
      <c r="NQ95" s="251"/>
      <c r="NR95" s="251"/>
      <c r="NS95" s="251"/>
      <c r="NT95" s="251"/>
      <c r="NU95" s="251"/>
      <c r="NV95" s="251"/>
      <c r="NW95" s="251"/>
      <c r="NX95" s="251"/>
      <c r="NY95" s="251"/>
      <c r="NZ95" s="251"/>
      <c r="OA95" s="251"/>
      <c r="OB95" s="251"/>
      <c r="OC95" s="251"/>
      <c r="OD95" s="251"/>
      <c r="OE95" s="251"/>
      <c r="OF95" s="251"/>
      <c r="OG95" s="251"/>
      <c r="OH95" s="251"/>
      <c r="OI95" s="251"/>
      <c r="OJ95" s="251"/>
      <c r="OK95" s="251"/>
      <c r="OL95" s="251"/>
      <c r="OM95" s="251"/>
      <c r="ON95" s="251"/>
      <c r="OO95" s="251"/>
      <c r="OP95" s="251"/>
      <c r="OQ95" s="251"/>
      <c r="OR95" s="251"/>
      <c r="OS95" s="251"/>
      <c r="OT95" s="251"/>
      <c r="OU95" s="251"/>
      <c r="OV95" s="77"/>
      <c r="OW95" s="77"/>
      <c r="OX95" s="77"/>
      <c r="OY95" s="1794"/>
      <c r="OZ95" s="1799">
        <v>91</v>
      </c>
      <c r="PA95" s="77"/>
      <c r="PB95" s="77"/>
      <c r="PC95" s="77"/>
      <c r="PD95" s="77"/>
      <c r="PE95" s="77"/>
      <c r="PF95" s="77"/>
      <c r="PG95" s="77"/>
      <c r="PH95" s="77"/>
      <c r="PI95" s="77"/>
      <c r="PJ95" s="77"/>
      <c r="PK95" s="77"/>
      <c r="PL95" s="77"/>
      <c r="PM95" s="77"/>
      <c r="PN95" s="77"/>
      <c r="PO95" s="77"/>
      <c r="PP95" s="77"/>
      <c r="PQ95" s="77"/>
      <c r="PR95" s="77"/>
      <c r="PS95" s="77"/>
      <c r="PT95" s="77"/>
      <c r="PU95" s="77"/>
      <c r="PV95" s="77"/>
      <c r="PW95" s="77"/>
      <c r="PX95" s="77"/>
      <c r="PY95" s="77"/>
      <c r="PZ95" s="77"/>
      <c r="QA95" s="77"/>
      <c r="QB95" s="77"/>
      <c r="QC95" s="77"/>
      <c r="QD95" s="77"/>
      <c r="QE95" s="77"/>
      <c r="QF95" s="77"/>
      <c r="QG95" s="77"/>
      <c r="QH95" s="77"/>
      <c r="QI95" s="77"/>
      <c r="QJ95" s="77"/>
      <c r="QK95" s="77"/>
      <c r="QL95" s="77"/>
      <c r="QM95" s="77"/>
      <c r="QN95" s="77"/>
      <c r="QO95" s="77"/>
      <c r="QP95" s="77"/>
      <c r="QQ95" s="77"/>
      <c r="QR95" s="77"/>
      <c r="QS95" s="77"/>
      <c r="QT95" s="77"/>
      <c r="QU95" s="77"/>
      <c r="QV95" s="77"/>
      <c r="QW95" s="77"/>
      <c r="QX95" s="77"/>
      <c r="QY95" s="77"/>
      <c r="QZ95" s="77"/>
      <c r="RA95" s="77"/>
      <c r="RB95" s="77"/>
      <c r="RC95" s="77"/>
      <c r="RD95" s="77"/>
      <c r="RE95" s="77"/>
      <c r="RF95" s="77"/>
      <c r="RG95" s="77"/>
      <c r="RH95" s="77"/>
      <c r="RI95" s="77"/>
      <c r="RJ95" s="77"/>
      <c r="RK95" s="77"/>
      <c r="RL95" s="77"/>
      <c r="RM95" s="77"/>
      <c r="RN95" s="77"/>
      <c r="RO95" s="77"/>
      <c r="RP95" s="77"/>
      <c r="RQ95" s="77"/>
      <c r="RR95" s="77"/>
      <c r="RS95" s="77"/>
      <c r="RT95" s="77"/>
      <c r="RU95" s="77"/>
      <c r="RV95" s="77"/>
      <c r="RW95" s="77"/>
      <c r="RX95" s="77"/>
      <c r="RY95" s="77"/>
      <c r="RZ95" s="77"/>
      <c r="SA95" s="77"/>
      <c r="SB95" s="77"/>
      <c r="SC95" s="77"/>
      <c r="SD95" s="77"/>
      <c r="SE95" s="77"/>
      <c r="SF95" s="77"/>
      <c r="SG95" s="77"/>
      <c r="SH95" s="77"/>
      <c r="SI95" s="77"/>
      <c r="SJ95" s="77"/>
      <c r="SK95" s="77"/>
      <c r="SL95" s="77"/>
      <c r="SM95" s="77"/>
      <c r="SN95" s="77"/>
      <c r="SO95" s="77"/>
      <c r="SP95" s="77"/>
      <c r="SQ95" s="77"/>
      <c r="SR95" s="77"/>
      <c r="SS95" s="77"/>
      <c r="ST95" s="77"/>
      <c r="SU95" s="77"/>
      <c r="SV95" s="77"/>
      <c r="SW95" s="77"/>
      <c r="SX95" s="77"/>
      <c r="SY95" s="77"/>
      <c r="SZ95" s="77"/>
    </row>
    <row r="96" spans="1:520" customFormat="1">
      <c r="C96" s="115"/>
      <c r="D96" s="77"/>
      <c r="E96" s="77"/>
      <c r="F96" s="77"/>
      <c r="G96" s="1005"/>
      <c r="H96" s="974" t="s">
        <v>1236</v>
      </c>
      <c r="I96" s="950"/>
      <c r="J96" s="43"/>
      <c r="K96" s="1012" t="str">
        <f t="shared" ref="K96:P96" si="667">IF(OR(K95="",K70=0),"", K70-K95)</f>
        <v/>
      </c>
      <c r="L96" s="1012" t="str">
        <f t="shared" si="667"/>
        <v/>
      </c>
      <c r="M96" s="1012" t="str">
        <f t="shared" si="667"/>
        <v/>
      </c>
      <c r="N96" s="1012" t="str">
        <f t="shared" si="667"/>
        <v/>
      </c>
      <c r="O96" s="1012" t="str">
        <f t="shared" si="667"/>
        <v/>
      </c>
      <c r="P96" s="1012" t="str">
        <f t="shared" si="667"/>
        <v/>
      </c>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c r="BT96" s="251"/>
      <c r="BU96" s="251"/>
      <c r="BV96" s="251"/>
      <c r="BW96" s="251"/>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1"/>
      <c r="CU96" s="251"/>
      <c r="CV96" s="251"/>
      <c r="CW96" s="251"/>
      <c r="CX96" s="251"/>
      <c r="CY96" s="251"/>
      <c r="CZ96" s="251"/>
      <c r="DA96" s="251"/>
      <c r="DB96" s="251"/>
      <c r="DC96" s="251"/>
      <c r="DD96" s="251"/>
      <c r="DE96" s="251"/>
      <c r="DF96" s="251"/>
      <c r="DG96" s="251"/>
      <c r="DH96" s="251"/>
      <c r="DI96" s="251"/>
      <c r="DJ96" s="251"/>
      <c r="DK96" s="251"/>
      <c r="DL96" s="251"/>
      <c r="DM96" s="251"/>
      <c r="DN96" s="251"/>
      <c r="DO96" s="251"/>
      <c r="DP96" s="251"/>
      <c r="DQ96" s="251"/>
      <c r="DR96" s="251"/>
      <c r="DS96" s="251"/>
      <c r="DT96" s="251"/>
      <c r="DU96" s="251"/>
      <c r="DV96" s="251"/>
      <c r="DW96" s="251"/>
      <c r="DX96" s="251"/>
      <c r="DY96" s="251"/>
      <c r="DZ96" s="251"/>
      <c r="EA96" s="251"/>
      <c r="EB96" s="251"/>
      <c r="EC96" s="251"/>
      <c r="ED96" s="251"/>
      <c r="EE96" s="251"/>
      <c r="EF96" s="251"/>
      <c r="EG96" s="251"/>
      <c r="EH96" s="251"/>
      <c r="EI96" s="251"/>
      <c r="EJ96" s="251"/>
      <c r="EK96" s="251"/>
      <c r="EL96" s="251"/>
      <c r="EM96" s="251"/>
      <c r="EN96" s="251"/>
      <c r="EO96" s="251"/>
      <c r="EP96" s="251"/>
      <c r="EQ96" s="251"/>
      <c r="ER96" s="251"/>
      <c r="ES96" s="251"/>
      <c r="ET96" s="251"/>
      <c r="EU96" s="251"/>
      <c r="EV96" s="251"/>
      <c r="EW96" s="251"/>
      <c r="EX96" s="251"/>
      <c r="EY96" s="251"/>
      <c r="EZ96" s="251"/>
      <c r="FA96" s="251"/>
      <c r="FB96" s="251"/>
      <c r="FC96" s="251"/>
      <c r="FD96" s="251"/>
      <c r="FE96" s="251"/>
      <c r="FF96" s="251"/>
      <c r="FG96" s="251"/>
      <c r="FH96" s="251"/>
      <c r="FI96" s="251"/>
      <c r="FJ96" s="251"/>
      <c r="FK96" s="251"/>
      <c r="FL96" s="251"/>
      <c r="FM96" s="251"/>
      <c r="FN96" s="251"/>
      <c r="FO96" s="251"/>
      <c r="FP96" s="251"/>
      <c r="FQ96" s="251"/>
      <c r="FR96" s="251"/>
      <c r="FS96" s="251"/>
      <c r="FT96" s="251"/>
      <c r="FU96" s="251"/>
      <c r="FV96" s="251"/>
      <c r="FW96" s="251"/>
      <c r="FX96" s="251"/>
      <c r="FY96" s="251"/>
      <c r="FZ96" s="251"/>
      <c r="GA96" s="251"/>
      <c r="GB96" s="251"/>
      <c r="GC96" s="251"/>
      <c r="GD96" s="251"/>
      <c r="GE96" s="251"/>
      <c r="GF96" s="251"/>
      <c r="GG96" s="251"/>
      <c r="GH96" s="251"/>
      <c r="GI96" s="251"/>
      <c r="GJ96" s="251"/>
      <c r="GK96" s="251"/>
      <c r="GL96" s="251"/>
      <c r="GM96" s="251"/>
      <c r="GN96" s="251"/>
      <c r="GO96" s="251"/>
      <c r="GP96" s="251"/>
      <c r="GQ96" s="251"/>
      <c r="GR96" s="251"/>
      <c r="GS96" s="251"/>
      <c r="GT96" s="251"/>
      <c r="GU96" s="251"/>
      <c r="GV96" s="251"/>
      <c r="GW96" s="251"/>
      <c r="GX96" s="251"/>
      <c r="GY96" s="251"/>
      <c r="GZ96" s="251"/>
      <c r="HA96" s="251"/>
      <c r="HB96" s="251"/>
      <c r="HC96" s="251"/>
      <c r="HD96" s="251"/>
      <c r="HE96" s="251"/>
      <c r="HF96" s="251"/>
      <c r="HG96" s="251"/>
      <c r="HH96" s="251"/>
      <c r="HI96" s="251"/>
      <c r="HJ96" s="251"/>
      <c r="HK96" s="251"/>
      <c r="HL96" s="251"/>
      <c r="HM96" s="251"/>
      <c r="HN96" s="251"/>
      <c r="HO96" s="251"/>
      <c r="HP96" s="251"/>
      <c r="HQ96" s="251"/>
      <c r="HR96" s="251"/>
      <c r="HS96" s="251"/>
      <c r="HT96" s="251"/>
      <c r="HU96" s="251"/>
      <c r="HV96" s="251"/>
      <c r="HW96" s="251"/>
      <c r="HX96" s="251"/>
      <c r="HY96" s="251"/>
      <c r="HZ96" s="251"/>
      <c r="IA96" s="251"/>
      <c r="IB96" s="251"/>
      <c r="IC96" s="251"/>
      <c r="ID96" s="251"/>
      <c r="IE96" s="251"/>
      <c r="IF96" s="251"/>
      <c r="IG96" s="251"/>
      <c r="IH96" s="251"/>
      <c r="II96" s="251"/>
      <c r="IJ96" s="251"/>
      <c r="IK96" s="251"/>
      <c r="IL96" s="251"/>
      <c r="IM96" s="251"/>
      <c r="IN96" s="251"/>
      <c r="IO96" s="251"/>
      <c r="IP96" s="251"/>
      <c r="IQ96" s="251"/>
      <c r="IR96" s="251"/>
      <c r="IS96" s="251"/>
      <c r="IT96" s="251"/>
      <c r="IU96" s="251"/>
      <c r="IV96" s="251"/>
      <c r="IW96" s="251"/>
      <c r="IX96" s="251"/>
      <c r="IY96" s="251"/>
      <c r="IZ96" s="251"/>
      <c r="JA96" s="251"/>
      <c r="JB96" s="251"/>
      <c r="JC96" s="251"/>
      <c r="JD96" s="251"/>
      <c r="JE96" s="251"/>
      <c r="JF96" s="251"/>
      <c r="JG96" s="251"/>
      <c r="JH96" s="251"/>
      <c r="JI96" s="251"/>
      <c r="JJ96" s="251"/>
      <c r="JK96" s="251"/>
      <c r="JL96" s="251"/>
      <c r="JM96" s="251"/>
      <c r="JN96" s="251"/>
      <c r="JO96" s="251"/>
      <c r="JP96" s="251"/>
      <c r="JQ96" s="251"/>
      <c r="JR96" s="251"/>
      <c r="JS96" s="251"/>
      <c r="JT96" s="251"/>
      <c r="JU96" s="251"/>
      <c r="JV96" s="251"/>
      <c r="JW96" s="251"/>
      <c r="JX96" s="251"/>
      <c r="JY96" s="251"/>
      <c r="JZ96" s="251"/>
      <c r="KA96" s="251"/>
      <c r="KB96" s="251"/>
      <c r="KC96" s="251"/>
      <c r="KD96" s="251"/>
      <c r="KE96" s="251"/>
      <c r="KF96" s="251"/>
      <c r="KG96" s="251"/>
      <c r="KH96" s="251"/>
      <c r="KI96" s="251"/>
      <c r="KJ96" s="251"/>
      <c r="KK96" s="251"/>
      <c r="KL96" s="251"/>
      <c r="KM96" s="251"/>
      <c r="KN96" s="251"/>
      <c r="KO96" s="251"/>
      <c r="KP96" s="251"/>
      <c r="KQ96" s="251"/>
      <c r="KR96" s="251"/>
      <c r="KS96" s="251"/>
      <c r="KT96" s="251"/>
      <c r="KU96" s="251"/>
      <c r="KV96" s="251"/>
      <c r="KW96" s="251"/>
      <c r="KX96" s="251"/>
      <c r="KY96" s="251"/>
      <c r="KZ96" s="251"/>
      <c r="LA96" s="251"/>
      <c r="LB96" s="251"/>
      <c r="LC96" s="251"/>
      <c r="LD96" s="251"/>
      <c r="LE96" s="251"/>
      <c r="LF96" s="251"/>
      <c r="LG96" s="251"/>
      <c r="LH96" s="251"/>
      <c r="LI96" s="251"/>
      <c r="LJ96" s="251"/>
      <c r="LK96" s="251"/>
      <c r="LL96" s="251"/>
      <c r="LM96" s="251"/>
      <c r="LN96" s="251"/>
      <c r="LO96" s="251"/>
      <c r="LP96" s="251"/>
      <c r="LQ96" s="251"/>
      <c r="LR96" s="251"/>
      <c r="LS96" s="251"/>
      <c r="LT96" s="251"/>
      <c r="LU96" s="251"/>
      <c r="LV96" s="251"/>
      <c r="LW96" s="251"/>
      <c r="LX96" s="251"/>
      <c r="LY96" s="251"/>
      <c r="LZ96" s="251"/>
      <c r="MA96" s="251"/>
      <c r="MB96" s="251"/>
      <c r="MC96" s="251"/>
      <c r="MD96" s="251"/>
      <c r="ME96" s="251"/>
      <c r="MF96" s="251"/>
      <c r="MG96" s="251"/>
      <c r="MH96" s="251"/>
      <c r="MI96" s="251"/>
      <c r="MJ96" s="251"/>
      <c r="MK96" s="251"/>
      <c r="ML96" s="251"/>
      <c r="MM96" s="251"/>
      <c r="MN96" s="251"/>
      <c r="MO96" s="251"/>
      <c r="MP96" s="251"/>
      <c r="MQ96" s="251"/>
      <c r="MR96" s="251"/>
      <c r="MS96" s="251"/>
      <c r="MT96" s="251"/>
      <c r="MU96" s="251"/>
      <c r="MV96" s="251"/>
      <c r="MW96" s="251"/>
      <c r="MX96" s="251"/>
      <c r="MY96" s="251"/>
      <c r="MZ96" s="251"/>
      <c r="NA96" s="251"/>
      <c r="NB96" s="251"/>
      <c r="NC96" s="251"/>
      <c r="ND96" s="251"/>
      <c r="NE96" s="251"/>
      <c r="NF96" s="251"/>
      <c r="NG96" s="251"/>
      <c r="NH96" s="251"/>
      <c r="NI96" s="251"/>
      <c r="NJ96" s="251"/>
      <c r="NK96" s="251"/>
      <c r="NL96" s="251"/>
      <c r="NM96" s="251"/>
      <c r="NN96" s="251"/>
      <c r="NO96" s="251"/>
      <c r="NP96" s="251"/>
      <c r="NQ96" s="251"/>
      <c r="NR96" s="251"/>
      <c r="NS96" s="251"/>
      <c r="NT96" s="251"/>
      <c r="NU96" s="251"/>
      <c r="NV96" s="251"/>
      <c r="NW96" s="251"/>
      <c r="NX96" s="251"/>
      <c r="NY96" s="251"/>
      <c r="NZ96" s="251"/>
      <c r="OA96" s="251"/>
      <c r="OB96" s="251"/>
      <c r="OC96" s="251"/>
      <c r="OD96" s="251"/>
      <c r="OE96" s="251"/>
      <c r="OF96" s="251"/>
      <c r="OG96" s="251"/>
      <c r="OH96" s="251"/>
      <c r="OI96" s="251"/>
      <c r="OJ96" s="251"/>
      <c r="OK96" s="251"/>
      <c r="OL96" s="251"/>
      <c r="OM96" s="251"/>
      <c r="ON96" s="251"/>
      <c r="OO96" s="251"/>
      <c r="OP96" s="251"/>
      <c r="OQ96" s="251"/>
      <c r="OR96" s="251"/>
      <c r="OS96" s="251"/>
      <c r="OT96" s="251"/>
      <c r="OU96" s="251"/>
      <c r="OV96" s="77"/>
      <c r="OW96" s="77"/>
      <c r="OX96" s="77"/>
      <c r="OY96" s="1794"/>
      <c r="OZ96" s="1799">
        <v>92</v>
      </c>
      <c r="PA96" s="77"/>
      <c r="PB96" s="77"/>
      <c r="PC96" s="77"/>
      <c r="PD96" s="77"/>
      <c r="PE96" s="77"/>
      <c r="PF96" s="77"/>
      <c r="PG96" s="77"/>
      <c r="PH96" s="77"/>
      <c r="PI96" s="77"/>
      <c r="PJ96" s="77"/>
      <c r="PK96" s="77"/>
      <c r="PL96" s="77"/>
      <c r="PM96" s="77"/>
      <c r="PN96" s="77"/>
      <c r="PO96" s="77"/>
      <c r="PP96" s="77"/>
      <c r="PQ96" s="77"/>
      <c r="PR96" s="77"/>
      <c r="PS96" s="77"/>
      <c r="PT96" s="77"/>
      <c r="PU96" s="77"/>
      <c r="PV96" s="77"/>
      <c r="PW96" s="77"/>
      <c r="PX96" s="77"/>
      <c r="PY96" s="77"/>
      <c r="PZ96" s="77"/>
      <c r="QA96" s="77"/>
      <c r="QB96" s="77"/>
      <c r="QC96" s="77"/>
      <c r="QD96" s="77"/>
      <c r="QE96" s="77"/>
      <c r="QF96" s="77"/>
      <c r="QG96" s="77"/>
      <c r="QH96" s="77"/>
      <c r="QI96" s="77"/>
      <c r="QJ96" s="77"/>
      <c r="QK96" s="77"/>
      <c r="QL96" s="77"/>
      <c r="QM96" s="77"/>
      <c r="QN96" s="77"/>
      <c r="QO96" s="77"/>
      <c r="QP96" s="77"/>
      <c r="QQ96" s="77"/>
      <c r="QR96" s="77"/>
      <c r="QS96" s="77"/>
      <c r="QT96" s="77"/>
      <c r="QU96" s="77"/>
      <c r="QV96" s="77"/>
      <c r="QW96" s="77"/>
      <c r="QX96" s="77"/>
      <c r="QY96" s="77"/>
      <c r="QZ96" s="77"/>
      <c r="RA96" s="77"/>
      <c r="RB96" s="77"/>
      <c r="RC96" s="77"/>
      <c r="RD96" s="77"/>
      <c r="RE96" s="77"/>
      <c r="RF96" s="77"/>
      <c r="RG96" s="77"/>
      <c r="RH96" s="77"/>
      <c r="RI96" s="77"/>
      <c r="RJ96" s="77"/>
      <c r="RK96" s="77"/>
      <c r="RL96" s="77"/>
      <c r="RM96" s="77"/>
      <c r="RN96" s="77"/>
      <c r="RO96" s="77"/>
      <c r="RP96" s="77"/>
      <c r="RQ96" s="77"/>
      <c r="RR96" s="77"/>
      <c r="RS96" s="77"/>
      <c r="RT96" s="77"/>
      <c r="RU96" s="77"/>
      <c r="RV96" s="77"/>
      <c r="RW96" s="77"/>
      <c r="RX96" s="77"/>
      <c r="RY96" s="77"/>
      <c r="RZ96" s="77"/>
      <c r="SA96" s="77"/>
      <c r="SB96" s="77"/>
      <c r="SC96" s="77"/>
      <c r="SD96" s="77"/>
      <c r="SE96" s="77"/>
      <c r="SF96" s="77"/>
      <c r="SG96" s="77"/>
      <c r="SH96" s="77"/>
      <c r="SI96" s="77"/>
      <c r="SJ96" s="77"/>
      <c r="SK96" s="77"/>
      <c r="SL96" s="77"/>
      <c r="SM96" s="77"/>
      <c r="SN96" s="77"/>
      <c r="SO96" s="77"/>
      <c r="SP96" s="77"/>
      <c r="SQ96" s="77"/>
      <c r="SR96" s="77"/>
      <c r="SS96" s="77"/>
      <c r="ST96" s="77"/>
      <c r="SU96" s="77"/>
      <c r="SV96" s="77"/>
      <c r="SW96" s="77"/>
      <c r="SX96" s="77"/>
      <c r="SY96" s="77"/>
      <c r="SZ96" s="77"/>
    </row>
    <row r="97" spans="1:520" customFormat="1">
      <c r="C97" s="115" t="s">
        <v>1238</v>
      </c>
      <c r="D97" s="77"/>
      <c r="E97" s="77"/>
      <c r="F97" s="77"/>
      <c r="G97" s="77"/>
      <c r="H97" s="48" t="s">
        <v>1227</v>
      </c>
      <c r="I97" s="13"/>
      <c r="J97" s="43"/>
      <c r="K97" s="969" t="str">
        <f t="shared" ref="K97:P97" si="668">IF(OR(K71=0,K76=0),"",K71/K76)</f>
        <v/>
      </c>
      <c r="L97" s="970" t="str">
        <f t="shared" si="668"/>
        <v/>
      </c>
      <c r="M97" s="970" t="str">
        <f t="shared" si="668"/>
        <v/>
      </c>
      <c r="N97" s="970" t="str">
        <f t="shared" si="668"/>
        <v/>
      </c>
      <c r="O97" s="970" t="str">
        <f t="shared" si="668"/>
        <v/>
      </c>
      <c r="P97" s="971" t="str">
        <f t="shared" si="668"/>
        <v/>
      </c>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1"/>
      <c r="CR97" s="251"/>
      <c r="CS97" s="251"/>
      <c r="CT97" s="251"/>
      <c r="CU97" s="251"/>
      <c r="CV97" s="251"/>
      <c r="CW97" s="251"/>
      <c r="CX97" s="251"/>
      <c r="CY97" s="251"/>
      <c r="CZ97" s="251"/>
      <c r="DA97" s="251"/>
      <c r="DB97" s="251"/>
      <c r="DC97" s="251"/>
      <c r="DD97" s="251"/>
      <c r="DE97" s="251"/>
      <c r="DF97" s="251"/>
      <c r="DG97" s="251"/>
      <c r="DH97" s="251"/>
      <c r="DI97" s="251"/>
      <c r="DJ97" s="251"/>
      <c r="DK97" s="251"/>
      <c r="DL97" s="251"/>
      <c r="DM97" s="251"/>
      <c r="DN97" s="251"/>
      <c r="DO97" s="251"/>
      <c r="DP97" s="251"/>
      <c r="DQ97" s="251"/>
      <c r="DR97" s="251"/>
      <c r="DS97" s="251"/>
      <c r="DT97" s="251"/>
      <c r="DU97" s="251"/>
      <c r="DV97" s="251"/>
      <c r="DW97" s="251"/>
      <c r="DX97" s="251"/>
      <c r="DY97" s="251"/>
      <c r="DZ97" s="251"/>
      <c r="EA97" s="251"/>
      <c r="EB97" s="251"/>
      <c r="EC97" s="251"/>
      <c r="ED97" s="251"/>
      <c r="EE97" s="251"/>
      <c r="EF97" s="251"/>
      <c r="EG97" s="251"/>
      <c r="EH97" s="251"/>
      <c r="EI97" s="251"/>
      <c r="EJ97" s="251"/>
      <c r="EK97" s="251"/>
      <c r="EL97" s="251"/>
      <c r="EM97" s="251"/>
      <c r="EN97" s="251"/>
      <c r="EO97" s="251"/>
      <c r="EP97" s="251"/>
      <c r="EQ97" s="251"/>
      <c r="ER97" s="251"/>
      <c r="ES97" s="251"/>
      <c r="ET97" s="251"/>
      <c r="EU97" s="251"/>
      <c r="EV97" s="251"/>
      <c r="EW97" s="251"/>
      <c r="EX97" s="251"/>
      <c r="EY97" s="251"/>
      <c r="EZ97" s="251"/>
      <c r="FA97" s="251"/>
      <c r="FB97" s="251"/>
      <c r="FC97" s="251"/>
      <c r="FD97" s="251"/>
      <c r="FE97" s="251"/>
      <c r="FF97" s="251"/>
      <c r="FG97" s="251"/>
      <c r="FH97" s="251"/>
      <c r="FI97" s="251"/>
      <c r="FJ97" s="251"/>
      <c r="FK97" s="251"/>
      <c r="FL97" s="251"/>
      <c r="FM97" s="251"/>
      <c r="FN97" s="251"/>
      <c r="FO97" s="251"/>
      <c r="FP97" s="251"/>
      <c r="FQ97" s="251"/>
      <c r="FR97" s="251"/>
      <c r="FS97" s="251"/>
      <c r="FT97" s="251"/>
      <c r="FU97" s="251"/>
      <c r="FV97" s="251"/>
      <c r="FW97" s="251"/>
      <c r="FX97" s="251"/>
      <c r="FY97" s="251"/>
      <c r="FZ97" s="251"/>
      <c r="GA97" s="251"/>
      <c r="GB97" s="251"/>
      <c r="GC97" s="251"/>
      <c r="GD97" s="251"/>
      <c r="GE97" s="251"/>
      <c r="GF97" s="251"/>
      <c r="GG97" s="251"/>
      <c r="GH97" s="251"/>
      <c r="GI97" s="251"/>
      <c r="GJ97" s="251"/>
      <c r="GK97" s="251"/>
      <c r="GL97" s="251"/>
      <c r="GM97" s="251"/>
      <c r="GN97" s="251"/>
      <c r="GO97" s="251"/>
      <c r="GP97" s="251"/>
      <c r="GQ97" s="251"/>
      <c r="GR97" s="251"/>
      <c r="GS97" s="251"/>
      <c r="GT97" s="251"/>
      <c r="GU97" s="251"/>
      <c r="GV97" s="251"/>
      <c r="GW97" s="251"/>
      <c r="GX97" s="251"/>
      <c r="GY97" s="251"/>
      <c r="GZ97" s="251"/>
      <c r="HA97" s="251"/>
      <c r="HB97" s="251"/>
      <c r="HC97" s="251"/>
      <c r="HD97" s="251"/>
      <c r="HE97" s="251"/>
      <c r="HF97" s="251"/>
      <c r="HG97" s="251"/>
      <c r="HH97" s="251"/>
      <c r="HI97" s="251"/>
      <c r="HJ97" s="251"/>
      <c r="HK97" s="251"/>
      <c r="HL97" s="251"/>
      <c r="HM97" s="251"/>
      <c r="HN97" s="251"/>
      <c r="HO97" s="251"/>
      <c r="HP97" s="251"/>
      <c r="HQ97" s="251"/>
      <c r="HR97" s="251"/>
      <c r="HS97" s="251"/>
      <c r="HT97" s="251"/>
      <c r="HU97" s="251"/>
      <c r="HV97" s="251"/>
      <c r="HW97" s="251"/>
      <c r="HX97" s="251"/>
      <c r="HY97" s="251"/>
      <c r="HZ97" s="251"/>
      <c r="IA97" s="251"/>
      <c r="IB97" s="251"/>
      <c r="IC97" s="251"/>
      <c r="ID97" s="251"/>
      <c r="IE97" s="251"/>
      <c r="IF97" s="251"/>
      <c r="IG97" s="251"/>
      <c r="IH97" s="251"/>
      <c r="II97" s="251"/>
      <c r="IJ97" s="251"/>
      <c r="IK97" s="251"/>
      <c r="IL97" s="251"/>
      <c r="IM97" s="251"/>
      <c r="IN97" s="251"/>
      <c r="IO97" s="251"/>
      <c r="IP97" s="251"/>
      <c r="IQ97" s="251"/>
      <c r="IR97" s="251"/>
      <c r="IS97" s="251"/>
      <c r="IT97" s="251"/>
      <c r="IU97" s="251"/>
      <c r="IV97" s="251"/>
      <c r="IW97" s="251"/>
      <c r="IX97" s="251"/>
      <c r="IY97" s="251"/>
      <c r="IZ97" s="251"/>
      <c r="JA97" s="251"/>
      <c r="JB97" s="251"/>
      <c r="JC97" s="251"/>
      <c r="JD97" s="251"/>
      <c r="JE97" s="251"/>
      <c r="JF97" s="251"/>
      <c r="JG97" s="251"/>
      <c r="JH97" s="251"/>
      <c r="JI97" s="251"/>
      <c r="JJ97" s="251"/>
      <c r="JK97" s="251"/>
      <c r="JL97" s="251"/>
      <c r="JM97" s="251"/>
      <c r="JN97" s="251"/>
      <c r="JO97" s="251"/>
      <c r="JP97" s="251"/>
      <c r="JQ97" s="251"/>
      <c r="JR97" s="251"/>
      <c r="JS97" s="251"/>
      <c r="JT97" s="251"/>
      <c r="JU97" s="251"/>
      <c r="JV97" s="251"/>
      <c r="JW97" s="251"/>
      <c r="JX97" s="251"/>
      <c r="JY97" s="251"/>
      <c r="JZ97" s="251"/>
      <c r="KA97" s="251"/>
      <c r="KB97" s="251"/>
      <c r="KC97" s="251"/>
      <c r="KD97" s="251"/>
      <c r="KE97" s="251"/>
      <c r="KF97" s="251"/>
      <c r="KG97" s="251"/>
      <c r="KH97" s="251"/>
      <c r="KI97" s="251"/>
      <c r="KJ97" s="251"/>
      <c r="KK97" s="251"/>
      <c r="KL97" s="251"/>
      <c r="KM97" s="251"/>
      <c r="KN97" s="251"/>
      <c r="KO97" s="251"/>
      <c r="KP97" s="251"/>
      <c r="KQ97" s="251"/>
      <c r="KR97" s="251"/>
      <c r="KS97" s="251"/>
      <c r="KT97" s="251"/>
      <c r="KU97" s="251"/>
      <c r="KV97" s="251"/>
      <c r="KW97" s="251"/>
      <c r="KX97" s="251"/>
      <c r="KY97" s="251"/>
      <c r="KZ97" s="251"/>
      <c r="LA97" s="251"/>
      <c r="LB97" s="251"/>
      <c r="LC97" s="251"/>
      <c r="LD97" s="251"/>
      <c r="LE97" s="251"/>
      <c r="LF97" s="251"/>
      <c r="LG97" s="251"/>
      <c r="LH97" s="251"/>
      <c r="LI97" s="251"/>
      <c r="LJ97" s="251"/>
      <c r="LK97" s="251"/>
      <c r="LL97" s="251"/>
      <c r="LM97" s="251"/>
      <c r="LN97" s="251"/>
      <c r="LO97" s="251"/>
      <c r="LP97" s="251"/>
      <c r="LQ97" s="251"/>
      <c r="LR97" s="251"/>
      <c r="LS97" s="251"/>
      <c r="LT97" s="251"/>
      <c r="LU97" s="251"/>
      <c r="LV97" s="251"/>
      <c r="LW97" s="251"/>
      <c r="LX97" s="251"/>
      <c r="LY97" s="251"/>
      <c r="LZ97" s="251"/>
      <c r="MA97" s="251"/>
      <c r="MB97" s="251"/>
      <c r="MC97" s="251"/>
      <c r="MD97" s="251"/>
      <c r="ME97" s="251"/>
      <c r="MF97" s="251"/>
      <c r="MG97" s="251"/>
      <c r="MH97" s="251"/>
      <c r="MI97" s="251"/>
      <c r="MJ97" s="251"/>
      <c r="MK97" s="251"/>
      <c r="ML97" s="251"/>
      <c r="MM97" s="251"/>
      <c r="MN97" s="251"/>
      <c r="MO97" s="251"/>
      <c r="MP97" s="251"/>
      <c r="MQ97" s="251"/>
      <c r="MR97" s="251"/>
      <c r="MS97" s="251"/>
      <c r="MT97" s="251"/>
      <c r="MU97" s="251"/>
      <c r="MV97" s="251"/>
      <c r="MW97" s="251"/>
      <c r="MX97" s="251"/>
      <c r="MY97" s="251"/>
      <c r="MZ97" s="251"/>
      <c r="NA97" s="251"/>
      <c r="NB97" s="251"/>
      <c r="NC97" s="251"/>
      <c r="ND97" s="251"/>
      <c r="NE97" s="251"/>
      <c r="NF97" s="251"/>
      <c r="NG97" s="251"/>
      <c r="NH97" s="251"/>
      <c r="NI97" s="251"/>
      <c r="NJ97" s="251"/>
      <c r="NK97" s="251"/>
      <c r="NL97" s="251"/>
      <c r="NM97" s="251"/>
      <c r="NN97" s="251"/>
      <c r="NO97" s="251"/>
      <c r="NP97" s="251"/>
      <c r="NQ97" s="251"/>
      <c r="NR97" s="251"/>
      <c r="NS97" s="251"/>
      <c r="NT97" s="251"/>
      <c r="NU97" s="251"/>
      <c r="NV97" s="251"/>
      <c r="NW97" s="251"/>
      <c r="NX97" s="251"/>
      <c r="NY97" s="251"/>
      <c r="NZ97" s="251"/>
      <c r="OA97" s="251"/>
      <c r="OB97" s="251"/>
      <c r="OC97" s="251"/>
      <c r="OD97" s="251"/>
      <c r="OE97" s="251"/>
      <c r="OF97" s="251"/>
      <c r="OG97" s="251"/>
      <c r="OH97" s="251"/>
      <c r="OI97" s="251"/>
      <c r="OJ97" s="251"/>
      <c r="OK97" s="251"/>
      <c r="OL97" s="251"/>
      <c r="OM97" s="251"/>
      <c r="ON97" s="251"/>
      <c r="OO97" s="251"/>
      <c r="OP97" s="251"/>
      <c r="OQ97" s="251"/>
      <c r="OR97" s="251"/>
      <c r="OS97" s="251"/>
      <c r="OT97" s="251"/>
      <c r="OU97" s="251"/>
      <c r="OV97" s="77"/>
      <c r="OW97" s="77"/>
      <c r="OX97" s="77"/>
      <c r="OY97" s="1794"/>
      <c r="OZ97" s="1799">
        <v>93</v>
      </c>
      <c r="PA97" s="77"/>
      <c r="PB97" s="77"/>
      <c r="PC97" s="77"/>
      <c r="PD97" s="77"/>
      <c r="PE97" s="77"/>
      <c r="PF97" s="77"/>
      <c r="PG97" s="77"/>
      <c r="PH97" s="77"/>
      <c r="PI97" s="77"/>
      <c r="PJ97" s="77"/>
      <c r="PK97" s="77"/>
      <c r="PL97" s="77"/>
      <c r="PM97" s="77"/>
      <c r="PN97" s="77"/>
      <c r="PO97" s="77"/>
      <c r="PP97" s="77"/>
      <c r="PQ97" s="77"/>
      <c r="PR97" s="77"/>
      <c r="PS97" s="77"/>
      <c r="PT97" s="77"/>
      <c r="PU97" s="77"/>
      <c r="PV97" s="77"/>
      <c r="PW97" s="77"/>
      <c r="PX97" s="77"/>
      <c r="PY97" s="77"/>
      <c r="PZ97" s="77"/>
      <c r="QA97" s="77"/>
      <c r="QB97" s="77"/>
      <c r="QC97" s="77"/>
      <c r="QD97" s="77"/>
      <c r="QE97" s="77"/>
      <c r="QF97" s="77"/>
      <c r="QG97" s="77"/>
      <c r="QH97" s="77"/>
      <c r="QI97" s="77"/>
      <c r="QJ97" s="77"/>
      <c r="QK97" s="77"/>
      <c r="QL97" s="77"/>
      <c r="QM97" s="77"/>
      <c r="QN97" s="77"/>
      <c r="QO97" s="77"/>
      <c r="QP97" s="77"/>
      <c r="QQ97" s="77"/>
      <c r="QR97" s="77"/>
      <c r="QS97" s="77"/>
      <c r="QT97" s="77"/>
      <c r="QU97" s="77"/>
      <c r="QV97" s="77"/>
      <c r="QW97" s="77"/>
      <c r="QX97" s="77"/>
      <c r="QY97" s="77"/>
      <c r="QZ97" s="77"/>
      <c r="RA97" s="77"/>
      <c r="RB97" s="77"/>
      <c r="RC97" s="77"/>
      <c r="RD97" s="77"/>
      <c r="RE97" s="77"/>
      <c r="RF97" s="77"/>
      <c r="RG97" s="77"/>
      <c r="RH97" s="77"/>
      <c r="RI97" s="77"/>
      <c r="RJ97" s="77"/>
      <c r="RK97" s="77"/>
      <c r="RL97" s="77"/>
      <c r="RM97" s="77"/>
      <c r="RN97" s="77"/>
      <c r="RO97" s="77"/>
      <c r="RP97" s="77"/>
      <c r="RQ97" s="77"/>
      <c r="RR97" s="77"/>
      <c r="RS97" s="77"/>
      <c r="RT97" s="77"/>
      <c r="RU97" s="77"/>
      <c r="RV97" s="77"/>
      <c r="RW97" s="77"/>
      <c r="RX97" s="77"/>
      <c r="RY97" s="77"/>
      <c r="RZ97" s="77"/>
      <c r="SA97" s="77"/>
      <c r="SB97" s="77"/>
      <c r="SC97" s="77"/>
      <c r="SD97" s="77"/>
      <c r="SE97" s="77"/>
      <c r="SF97" s="77"/>
      <c r="SG97" s="77"/>
      <c r="SH97" s="77"/>
      <c r="SI97" s="77"/>
      <c r="SJ97" s="77"/>
      <c r="SK97" s="77"/>
      <c r="SL97" s="77"/>
      <c r="SM97" s="77"/>
      <c r="SN97" s="77"/>
      <c r="SO97" s="77"/>
      <c r="SP97" s="77"/>
      <c r="SQ97" s="77"/>
      <c r="SR97" s="77"/>
      <c r="SS97" s="77"/>
      <c r="ST97" s="77"/>
      <c r="SU97" s="77"/>
      <c r="SV97" s="77"/>
      <c r="SW97" s="77"/>
      <c r="SX97" s="77"/>
      <c r="SY97" s="77"/>
      <c r="SZ97" s="77"/>
    </row>
    <row r="98" spans="1:520" customFormat="1">
      <c r="C98" s="115"/>
      <c r="D98" s="948"/>
      <c r="E98" s="948"/>
      <c r="F98" s="77"/>
      <c r="G98" s="77"/>
      <c r="H98" s="48" t="s">
        <v>1235</v>
      </c>
      <c r="I98" s="13"/>
      <c r="J98" s="43"/>
      <c r="K98" s="1010" t="str">
        <f>IF(OR(K71=0,P97="",K76=0),"",P97*K76)</f>
        <v/>
      </c>
      <c r="L98" s="1010" t="str">
        <f>IF(OR(L71=0,P97="",L76=0),"",P97*L76)</f>
        <v/>
      </c>
      <c r="M98" s="1010" t="str">
        <f>IF(OR(M71=0,P97="",M76=0),"",P97*M76)</f>
        <v/>
      </c>
      <c r="N98" s="1010" t="str">
        <f>IF(OR(N71=0,P97="",N76=0),"",P97*N76)</f>
        <v/>
      </c>
      <c r="O98" s="1010" t="str">
        <f>IF(OR(O71=0,P97="",O76=0),"",P97*O76)</f>
        <v/>
      </c>
      <c r="P98" s="1011" t="str">
        <f>IF(OR(P97="",P76=0),"",P97*P76)</f>
        <v/>
      </c>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51"/>
      <c r="BT98" s="251"/>
      <c r="BU98" s="251"/>
      <c r="BV98" s="251"/>
      <c r="BW98" s="251"/>
      <c r="BX98" s="251"/>
      <c r="BY98" s="251"/>
      <c r="BZ98" s="251"/>
      <c r="CA98" s="251"/>
      <c r="CB98" s="251"/>
      <c r="CC98" s="251"/>
      <c r="CD98" s="251"/>
      <c r="CE98" s="251"/>
      <c r="CF98" s="251"/>
      <c r="CG98" s="251"/>
      <c r="CH98" s="251"/>
      <c r="CI98" s="251"/>
      <c r="CJ98" s="251"/>
      <c r="CK98" s="251"/>
      <c r="CL98" s="251"/>
      <c r="CM98" s="251"/>
      <c r="CN98" s="251"/>
      <c r="CO98" s="251"/>
      <c r="CP98" s="251"/>
      <c r="CQ98" s="251"/>
      <c r="CR98" s="251"/>
      <c r="CS98" s="251"/>
      <c r="CT98" s="251"/>
      <c r="CU98" s="251"/>
      <c r="CV98" s="251"/>
      <c r="CW98" s="251"/>
      <c r="CX98" s="251"/>
      <c r="CY98" s="251"/>
      <c r="CZ98" s="251"/>
      <c r="DA98" s="251"/>
      <c r="DB98" s="251"/>
      <c r="DC98" s="251"/>
      <c r="DD98" s="251"/>
      <c r="DE98" s="251"/>
      <c r="DF98" s="251"/>
      <c r="DG98" s="251"/>
      <c r="DH98" s="251"/>
      <c r="DI98" s="251"/>
      <c r="DJ98" s="251"/>
      <c r="DK98" s="251"/>
      <c r="DL98" s="251"/>
      <c r="DM98" s="251"/>
      <c r="DN98" s="251"/>
      <c r="DO98" s="251"/>
      <c r="DP98" s="251"/>
      <c r="DQ98" s="251"/>
      <c r="DR98" s="251"/>
      <c r="DS98" s="251"/>
      <c r="DT98" s="251"/>
      <c r="DU98" s="251"/>
      <c r="DV98" s="251"/>
      <c r="DW98" s="251"/>
      <c r="DX98" s="251"/>
      <c r="DY98" s="251"/>
      <c r="DZ98" s="251"/>
      <c r="EA98" s="251"/>
      <c r="EB98" s="251"/>
      <c r="EC98" s="251"/>
      <c r="ED98" s="251"/>
      <c r="EE98" s="251"/>
      <c r="EF98" s="251"/>
      <c r="EG98" s="251"/>
      <c r="EH98" s="251"/>
      <c r="EI98" s="251"/>
      <c r="EJ98" s="251"/>
      <c r="EK98" s="251"/>
      <c r="EL98" s="251"/>
      <c r="EM98" s="251"/>
      <c r="EN98" s="251"/>
      <c r="EO98" s="251"/>
      <c r="EP98" s="251"/>
      <c r="EQ98" s="251"/>
      <c r="ER98" s="251"/>
      <c r="ES98" s="251"/>
      <c r="ET98" s="251"/>
      <c r="EU98" s="251"/>
      <c r="EV98" s="251"/>
      <c r="EW98" s="251"/>
      <c r="EX98" s="251"/>
      <c r="EY98" s="251"/>
      <c r="EZ98" s="251"/>
      <c r="FA98" s="251"/>
      <c r="FB98" s="251"/>
      <c r="FC98" s="251"/>
      <c r="FD98" s="251"/>
      <c r="FE98" s="251"/>
      <c r="FF98" s="251"/>
      <c r="FG98" s="251"/>
      <c r="FH98" s="251"/>
      <c r="FI98" s="251"/>
      <c r="FJ98" s="251"/>
      <c r="FK98" s="251"/>
      <c r="FL98" s="251"/>
      <c r="FM98" s="251"/>
      <c r="FN98" s="251"/>
      <c r="FO98" s="251"/>
      <c r="FP98" s="251"/>
      <c r="FQ98" s="251"/>
      <c r="FR98" s="251"/>
      <c r="FS98" s="251"/>
      <c r="FT98" s="251"/>
      <c r="FU98" s="251"/>
      <c r="FV98" s="251"/>
      <c r="FW98" s="251"/>
      <c r="FX98" s="251"/>
      <c r="FY98" s="251"/>
      <c r="FZ98" s="251"/>
      <c r="GA98" s="251"/>
      <c r="GB98" s="251"/>
      <c r="GC98" s="251"/>
      <c r="GD98" s="251"/>
      <c r="GE98" s="251"/>
      <c r="GF98" s="251"/>
      <c r="GG98" s="251"/>
      <c r="GH98" s="251"/>
      <c r="GI98" s="251"/>
      <c r="GJ98" s="251"/>
      <c r="GK98" s="251"/>
      <c r="GL98" s="251"/>
      <c r="GM98" s="251"/>
      <c r="GN98" s="251"/>
      <c r="GO98" s="251"/>
      <c r="GP98" s="251"/>
      <c r="GQ98" s="251"/>
      <c r="GR98" s="251"/>
      <c r="GS98" s="251"/>
      <c r="GT98" s="251"/>
      <c r="GU98" s="251"/>
      <c r="GV98" s="251"/>
      <c r="GW98" s="251"/>
      <c r="GX98" s="251"/>
      <c r="GY98" s="251"/>
      <c r="GZ98" s="251"/>
      <c r="HA98" s="251"/>
      <c r="HB98" s="251"/>
      <c r="HC98" s="251"/>
      <c r="HD98" s="251"/>
      <c r="HE98" s="251"/>
      <c r="HF98" s="251"/>
      <c r="HG98" s="251"/>
      <c r="HH98" s="251"/>
      <c r="HI98" s="251"/>
      <c r="HJ98" s="251"/>
      <c r="HK98" s="251"/>
      <c r="HL98" s="251"/>
      <c r="HM98" s="251"/>
      <c r="HN98" s="251"/>
      <c r="HO98" s="251"/>
      <c r="HP98" s="251"/>
      <c r="HQ98" s="251"/>
      <c r="HR98" s="251"/>
      <c r="HS98" s="251"/>
      <c r="HT98" s="251"/>
      <c r="HU98" s="251"/>
      <c r="HV98" s="251"/>
      <c r="HW98" s="251"/>
      <c r="HX98" s="251"/>
      <c r="HY98" s="251"/>
      <c r="HZ98" s="251"/>
      <c r="IA98" s="251"/>
      <c r="IB98" s="251"/>
      <c r="IC98" s="251"/>
      <c r="ID98" s="251"/>
      <c r="IE98" s="251"/>
      <c r="IF98" s="251"/>
      <c r="IG98" s="251"/>
      <c r="IH98" s="251"/>
      <c r="II98" s="251"/>
      <c r="IJ98" s="251"/>
      <c r="IK98" s="251"/>
      <c r="IL98" s="251"/>
      <c r="IM98" s="251"/>
      <c r="IN98" s="251"/>
      <c r="IO98" s="251"/>
      <c r="IP98" s="251"/>
      <c r="IQ98" s="251"/>
      <c r="IR98" s="251"/>
      <c r="IS98" s="251"/>
      <c r="IT98" s="251"/>
      <c r="IU98" s="251"/>
      <c r="IV98" s="251"/>
      <c r="IW98" s="251"/>
      <c r="IX98" s="251"/>
      <c r="IY98" s="251"/>
      <c r="IZ98" s="251"/>
      <c r="JA98" s="251"/>
      <c r="JB98" s="251"/>
      <c r="JC98" s="251"/>
      <c r="JD98" s="251"/>
      <c r="JE98" s="251"/>
      <c r="JF98" s="251"/>
      <c r="JG98" s="251"/>
      <c r="JH98" s="251"/>
      <c r="JI98" s="251"/>
      <c r="JJ98" s="251"/>
      <c r="JK98" s="251"/>
      <c r="JL98" s="251"/>
      <c r="JM98" s="251"/>
      <c r="JN98" s="251"/>
      <c r="JO98" s="251"/>
      <c r="JP98" s="251"/>
      <c r="JQ98" s="251"/>
      <c r="JR98" s="251"/>
      <c r="JS98" s="251"/>
      <c r="JT98" s="251"/>
      <c r="JU98" s="251"/>
      <c r="JV98" s="251"/>
      <c r="JW98" s="251"/>
      <c r="JX98" s="251"/>
      <c r="JY98" s="251"/>
      <c r="JZ98" s="251"/>
      <c r="KA98" s="251"/>
      <c r="KB98" s="251"/>
      <c r="KC98" s="251"/>
      <c r="KD98" s="251"/>
      <c r="KE98" s="251"/>
      <c r="KF98" s="251"/>
      <c r="KG98" s="251"/>
      <c r="KH98" s="251"/>
      <c r="KI98" s="251"/>
      <c r="KJ98" s="251"/>
      <c r="KK98" s="251"/>
      <c r="KL98" s="251"/>
      <c r="KM98" s="251"/>
      <c r="KN98" s="251"/>
      <c r="KO98" s="251"/>
      <c r="KP98" s="251"/>
      <c r="KQ98" s="251"/>
      <c r="KR98" s="251"/>
      <c r="KS98" s="251"/>
      <c r="KT98" s="251"/>
      <c r="KU98" s="251"/>
      <c r="KV98" s="251"/>
      <c r="KW98" s="251"/>
      <c r="KX98" s="251"/>
      <c r="KY98" s="251"/>
      <c r="KZ98" s="251"/>
      <c r="LA98" s="251"/>
      <c r="LB98" s="251"/>
      <c r="LC98" s="251"/>
      <c r="LD98" s="251"/>
      <c r="LE98" s="251"/>
      <c r="LF98" s="251"/>
      <c r="LG98" s="251"/>
      <c r="LH98" s="251"/>
      <c r="LI98" s="251"/>
      <c r="LJ98" s="251"/>
      <c r="LK98" s="251"/>
      <c r="LL98" s="251"/>
      <c r="LM98" s="251"/>
      <c r="LN98" s="251"/>
      <c r="LO98" s="251"/>
      <c r="LP98" s="251"/>
      <c r="LQ98" s="251"/>
      <c r="LR98" s="251"/>
      <c r="LS98" s="251"/>
      <c r="LT98" s="251"/>
      <c r="LU98" s="251"/>
      <c r="LV98" s="251"/>
      <c r="LW98" s="251"/>
      <c r="LX98" s="251"/>
      <c r="LY98" s="251"/>
      <c r="LZ98" s="251"/>
      <c r="MA98" s="251"/>
      <c r="MB98" s="251"/>
      <c r="MC98" s="251"/>
      <c r="MD98" s="251"/>
      <c r="ME98" s="251"/>
      <c r="MF98" s="251"/>
      <c r="MG98" s="251"/>
      <c r="MH98" s="251"/>
      <c r="MI98" s="251"/>
      <c r="MJ98" s="251"/>
      <c r="MK98" s="251"/>
      <c r="ML98" s="251"/>
      <c r="MM98" s="251"/>
      <c r="MN98" s="251"/>
      <c r="MO98" s="251"/>
      <c r="MP98" s="251"/>
      <c r="MQ98" s="251"/>
      <c r="MR98" s="251"/>
      <c r="MS98" s="251"/>
      <c r="MT98" s="251"/>
      <c r="MU98" s="251"/>
      <c r="MV98" s="251"/>
      <c r="MW98" s="251"/>
      <c r="MX98" s="251"/>
      <c r="MY98" s="251"/>
      <c r="MZ98" s="251"/>
      <c r="NA98" s="251"/>
      <c r="NB98" s="251"/>
      <c r="NC98" s="251"/>
      <c r="ND98" s="251"/>
      <c r="NE98" s="251"/>
      <c r="NF98" s="251"/>
      <c r="NG98" s="251"/>
      <c r="NH98" s="251"/>
      <c r="NI98" s="251"/>
      <c r="NJ98" s="251"/>
      <c r="NK98" s="251"/>
      <c r="NL98" s="251"/>
      <c r="NM98" s="251"/>
      <c r="NN98" s="251"/>
      <c r="NO98" s="251"/>
      <c r="NP98" s="251"/>
      <c r="NQ98" s="251"/>
      <c r="NR98" s="251"/>
      <c r="NS98" s="251"/>
      <c r="NT98" s="251"/>
      <c r="NU98" s="251"/>
      <c r="NV98" s="251"/>
      <c r="NW98" s="251"/>
      <c r="NX98" s="251"/>
      <c r="NY98" s="251"/>
      <c r="NZ98" s="251"/>
      <c r="OA98" s="251"/>
      <c r="OB98" s="251"/>
      <c r="OC98" s="251"/>
      <c r="OD98" s="251"/>
      <c r="OE98" s="251"/>
      <c r="OF98" s="251"/>
      <c r="OG98" s="251"/>
      <c r="OH98" s="251"/>
      <c r="OI98" s="251"/>
      <c r="OJ98" s="251"/>
      <c r="OK98" s="251"/>
      <c r="OL98" s="251"/>
      <c r="OM98" s="251"/>
      <c r="ON98" s="251"/>
      <c r="OO98" s="251"/>
      <c r="OP98" s="251"/>
      <c r="OQ98" s="251"/>
      <c r="OR98" s="251"/>
      <c r="OS98" s="251"/>
      <c r="OT98" s="251"/>
      <c r="OU98" s="251"/>
      <c r="OV98" s="77"/>
      <c r="OW98" s="77"/>
      <c r="OX98" s="77"/>
      <c r="OY98" s="1794"/>
      <c r="OZ98" s="1799">
        <v>94</v>
      </c>
      <c r="PA98" s="77"/>
      <c r="PB98" s="77"/>
      <c r="PC98" s="77"/>
      <c r="PD98" s="77"/>
      <c r="PE98" s="77"/>
      <c r="PF98" s="77"/>
      <c r="PG98" s="77"/>
      <c r="PH98" s="77"/>
      <c r="PI98" s="77"/>
      <c r="PJ98" s="77"/>
      <c r="PK98" s="77"/>
      <c r="PL98" s="77"/>
      <c r="PM98" s="77"/>
      <c r="PN98" s="77"/>
      <c r="PO98" s="77"/>
      <c r="PP98" s="77"/>
      <c r="PQ98" s="77"/>
      <c r="PR98" s="77"/>
      <c r="PS98" s="77"/>
      <c r="PT98" s="77"/>
      <c r="PU98" s="77"/>
      <c r="PV98" s="77"/>
      <c r="PW98" s="77"/>
      <c r="PX98" s="77"/>
      <c r="PY98" s="77"/>
      <c r="PZ98" s="77"/>
      <c r="QA98" s="77"/>
      <c r="QB98" s="77"/>
      <c r="QC98" s="77"/>
      <c r="QD98" s="77"/>
      <c r="QE98" s="77"/>
      <c r="QF98" s="77"/>
      <c r="QG98" s="77"/>
      <c r="QH98" s="77"/>
      <c r="QI98" s="77"/>
      <c r="QJ98" s="77"/>
      <c r="QK98" s="77"/>
      <c r="QL98" s="77"/>
      <c r="QM98" s="77"/>
      <c r="QN98" s="77"/>
      <c r="QO98" s="77"/>
      <c r="QP98" s="77"/>
      <c r="QQ98" s="77"/>
      <c r="QR98" s="77"/>
      <c r="QS98" s="77"/>
      <c r="QT98" s="77"/>
      <c r="QU98" s="77"/>
      <c r="QV98" s="77"/>
      <c r="QW98" s="77"/>
      <c r="QX98" s="77"/>
      <c r="QY98" s="77"/>
      <c r="QZ98" s="77"/>
      <c r="RA98" s="77"/>
      <c r="RB98" s="77"/>
      <c r="RC98" s="77"/>
      <c r="RD98" s="77"/>
      <c r="RE98" s="77"/>
      <c r="RF98" s="77"/>
      <c r="RG98" s="77"/>
      <c r="RH98" s="77"/>
      <c r="RI98" s="77"/>
      <c r="RJ98" s="77"/>
      <c r="RK98" s="77"/>
      <c r="RL98" s="77"/>
      <c r="RM98" s="77"/>
      <c r="RN98" s="77"/>
      <c r="RO98" s="77"/>
      <c r="RP98" s="77"/>
      <c r="RQ98" s="77"/>
      <c r="RR98" s="77"/>
      <c r="RS98" s="77"/>
      <c r="RT98" s="77"/>
      <c r="RU98" s="77"/>
      <c r="RV98" s="77"/>
      <c r="RW98" s="77"/>
      <c r="RX98" s="77"/>
      <c r="RY98" s="77"/>
      <c r="RZ98" s="77"/>
      <c r="SA98" s="77"/>
      <c r="SB98" s="77"/>
      <c r="SC98" s="77"/>
      <c r="SD98" s="77"/>
      <c r="SE98" s="77"/>
      <c r="SF98" s="77"/>
      <c r="SG98" s="77"/>
      <c r="SH98" s="77"/>
      <c r="SI98" s="77"/>
      <c r="SJ98" s="77"/>
      <c r="SK98" s="77"/>
      <c r="SL98" s="77"/>
      <c r="SM98" s="77"/>
      <c r="SN98" s="77"/>
      <c r="SO98" s="77"/>
      <c r="SP98" s="77"/>
      <c r="SQ98" s="77"/>
      <c r="SR98" s="77"/>
      <c r="SS98" s="77"/>
      <c r="ST98" s="77"/>
      <c r="SU98" s="77"/>
      <c r="SV98" s="77"/>
      <c r="SW98" s="77"/>
      <c r="SX98" s="77"/>
      <c r="SY98" s="77"/>
      <c r="SZ98" s="77"/>
    </row>
    <row r="99" spans="1:520" customFormat="1">
      <c r="C99" s="115"/>
      <c r="D99" s="948"/>
      <c r="E99" s="948"/>
      <c r="F99" s="77"/>
      <c r="G99" s="1005"/>
      <c r="H99" s="974" t="s">
        <v>1236</v>
      </c>
      <c r="I99" s="950"/>
      <c r="J99" s="43"/>
      <c r="K99" s="1015" t="str">
        <f t="shared" ref="K99:P99" si="669">IF(OR(K98="",K71=0),"", K71-K98)</f>
        <v/>
      </c>
      <c r="L99" s="1015" t="str">
        <f t="shared" si="669"/>
        <v/>
      </c>
      <c r="M99" s="1015" t="str">
        <f t="shared" si="669"/>
        <v/>
      </c>
      <c r="N99" s="1015" t="str">
        <f t="shared" si="669"/>
        <v/>
      </c>
      <c r="O99" s="1015" t="str">
        <f t="shared" si="669"/>
        <v/>
      </c>
      <c r="P99" s="1015" t="str">
        <f t="shared" si="669"/>
        <v/>
      </c>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1"/>
      <c r="BO99" s="251"/>
      <c r="BP99" s="251"/>
      <c r="BQ99" s="251"/>
      <c r="BR99" s="251"/>
      <c r="BS99" s="251"/>
      <c r="BT99" s="251"/>
      <c r="BU99" s="251"/>
      <c r="BV99" s="251"/>
      <c r="BW99" s="251"/>
      <c r="BX99" s="251"/>
      <c r="BY99" s="251"/>
      <c r="BZ99" s="251"/>
      <c r="CA99" s="251"/>
      <c r="CB99" s="251"/>
      <c r="CC99" s="251"/>
      <c r="CD99" s="251"/>
      <c r="CE99" s="251"/>
      <c r="CF99" s="251"/>
      <c r="CG99" s="251"/>
      <c r="CH99" s="251"/>
      <c r="CI99" s="251"/>
      <c r="CJ99" s="251"/>
      <c r="CK99" s="251"/>
      <c r="CL99" s="251"/>
      <c r="CM99" s="251"/>
      <c r="CN99" s="251"/>
      <c r="CO99" s="251"/>
      <c r="CP99" s="251"/>
      <c r="CQ99" s="251"/>
      <c r="CR99" s="251"/>
      <c r="CS99" s="251"/>
      <c r="CT99" s="251"/>
      <c r="CU99" s="251"/>
      <c r="CV99" s="251"/>
      <c r="CW99" s="251"/>
      <c r="CX99" s="251"/>
      <c r="CY99" s="251"/>
      <c r="CZ99" s="251"/>
      <c r="DA99" s="251"/>
      <c r="DB99" s="251"/>
      <c r="DC99" s="251"/>
      <c r="DD99" s="251"/>
      <c r="DE99" s="251"/>
      <c r="DF99" s="251"/>
      <c r="DG99" s="251"/>
      <c r="DH99" s="251"/>
      <c r="DI99" s="251"/>
      <c r="DJ99" s="251"/>
      <c r="DK99" s="251"/>
      <c r="DL99" s="251"/>
      <c r="DM99" s="251"/>
      <c r="DN99" s="251"/>
      <c r="DO99" s="251"/>
      <c r="DP99" s="251"/>
      <c r="DQ99" s="251"/>
      <c r="DR99" s="251"/>
      <c r="DS99" s="251"/>
      <c r="DT99" s="251"/>
      <c r="DU99" s="251"/>
      <c r="DV99" s="251"/>
      <c r="DW99" s="251"/>
      <c r="DX99" s="251"/>
      <c r="DY99" s="251"/>
      <c r="DZ99" s="251"/>
      <c r="EA99" s="251"/>
      <c r="EB99" s="251"/>
      <c r="EC99" s="251"/>
      <c r="ED99" s="251"/>
      <c r="EE99" s="251"/>
      <c r="EF99" s="251"/>
      <c r="EG99" s="251"/>
      <c r="EH99" s="251"/>
      <c r="EI99" s="251"/>
      <c r="EJ99" s="251"/>
      <c r="EK99" s="251"/>
      <c r="EL99" s="251"/>
      <c r="EM99" s="251"/>
      <c r="EN99" s="251"/>
      <c r="EO99" s="251"/>
      <c r="EP99" s="251"/>
      <c r="EQ99" s="251"/>
      <c r="ER99" s="251"/>
      <c r="ES99" s="251"/>
      <c r="ET99" s="251"/>
      <c r="EU99" s="251"/>
      <c r="EV99" s="251"/>
      <c r="EW99" s="251"/>
      <c r="EX99" s="251"/>
      <c r="EY99" s="251"/>
      <c r="EZ99" s="251"/>
      <c r="FA99" s="251"/>
      <c r="FB99" s="251"/>
      <c r="FC99" s="251"/>
      <c r="FD99" s="251"/>
      <c r="FE99" s="251"/>
      <c r="FF99" s="251"/>
      <c r="FG99" s="251"/>
      <c r="FH99" s="251"/>
      <c r="FI99" s="251"/>
      <c r="FJ99" s="251"/>
      <c r="FK99" s="251"/>
      <c r="FL99" s="251"/>
      <c r="FM99" s="251"/>
      <c r="FN99" s="251"/>
      <c r="FO99" s="251"/>
      <c r="FP99" s="251"/>
      <c r="FQ99" s="251"/>
      <c r="FR99" s="251"/>
      <c r="FS99" s="251"/>
      <c r="FT99" s="251"/>
      <c r="FU99" s="251"/>
      <c r="FV99" s="251"/>
      <c r="FW99" s="251"/>
      <c r="FX99" s="251"/>
      <c r="FY99" s="251"/>
      <c r="FZ99" s="251"/>
      <c r="GA99" s="251"/>
      <c r="GB99" s="251"/>
      <c r="GC99" s="251"/>
      <c r="GD99" s="251"/>
      <c r="GE99" s="251"/>
      <c r="GF99" s="251"/>
      <c r="GG99" s="251"/>
      <c r="GH99" s="251"/>
      <c r="GI99" s="251"/>
      <c r="GJ99" s="251"/>
      <c r="GK99" s="251"/>
      <c r="GL99" s="251"/>
      <c r="GM99" s="251"/>
      <c r="GN99" s="251"/>
      <c r="GO99" s="251"/>
      <c r="GP99" s="251"/>
      <c r="GQ99" s="251"/>
      <c r="GR99" s="251"/>
      <c r="GS99" s="251"/>
      <c r="GT99" s="251"/>
      <c r="GU99" s="251"/>
      <c r="GV99" s="251"/>
      <c r="GW99" s="251"/>
      <c r="GX99" s="251"/>
      <c r="GY99" s="251"/>
      <c r="GZ99" s="251"/>
      <c r="HA99" s="251"/>
      <c r="HB99" s="251"/>
      <c r="HC99" s="251"/>
      <c r="HD99" s="251"/>
      <c r="HE99" s="251"/>
      <c r="HF99" s="251"/>
      <c r="HG99" s="251"/>
      <c r="HH99" s="251"/>
      <c r="HI99" s="251"/>
      <c r="HJ99" s="251"/>
      <c r="HK99" s="251"/>
      <c r="HL99" s="251"/>
      <c r="HM99" s="251"/>
      <c r="HN99" s="251"/>
      <c r="HO99" s="251"/>
      <c r="HP99" s="251"/>
      <c r="HQ99" s="251"/>
      <c r="HR99" s="251"/>
      <c r="HS99" s="251"/>
      <c r="HT99" s="251"/>
      <c r="HU99" s="251"/>
      <c r="HV99" s="251"/>
      <c r="HW99" s="251"/>
      <c r="HX99" s="251"/>
      <c r="HY99" s="251"/>
      <c r="HZ99" s="251"/>
      <c r="IA99" s="251"/>
      <c r="IB99" s="251"/>
      <c r="IC99" s="251"/>
      <c r="ID99" s="251"/>
      <c r="IE99" s="251"/>
      <c r="IF99" s="251"/>
      <c r="IG99" s="251"/>
      <c r="IH99" s="251"/>
      <c r="II99" s="251"/>
      <c r="IJ99" s="251"/>
      <c r="IK99" s="251"/>
      <c r="IL99" s="251"/>
      <c r="IM99" s="251"/>
      <c r="IN99" s="251"/>
      <c r="IO99" s="251"/>
      <c r="IP99" s="251"/>
      <c r="IQ99" s="251"/>
      <c r="IR99" s="251"/>
      <c r="IS99" s="251"/>
      <c r="IT99" s="251"/>
      <c r="IU99" s="251"/>
      <c r="IV99" s="251"/>
      <c r="IW99" s="251"/>
      <c r="IX99" s="251"/>
      <c r="IY99" s="251"/>
      <c r="IZ99" s="251"/>
      <c r="JA99" s="251"/>
      <c r="JB99" s="251"/>
      <c r="JC99" s="251"/>
      <c r="JD99" s="251"/>
      <c r="JE99" s="251"/>
      <c r="JF99" s="251"/>
      <c r="JG99" s="251"/>
      <c r="JH99" s="251"/>
      <c r="JI99" s="251"/>
      <c r="JJ99" s="251"/>
      <c r="JK99" s="251"/>
      <c r="JL99" s="251"/>
      <c r="JM99" s="251"/>
      <c r="JN99" s="251"/>
      <c r="JO99" s="251"/>
      <c r="JP99" s="251"/>
      <c r="JQ99" s="251"/>
      <c r="JR99" s="251"/>
      <c r="JS99" s="251"/>
      <c r="JT99" s="251"/>
      <c r="JU99" s="251"/>
      <c r="JV99" s="251"/>
      <c r="JW99" s="251"/>
      <c r="JX99" s="251"/>
      <c r="JY99" s="251"/>
      <c r="JZ99" s="251"/>
      <c r="KA99" s="251"/>
      <c r="KB99" s="251"/>
      <c r="KC99" s="251"/>
      <c r="KD99" s="251"/>
      <c r="KE99" s="251"/>
      <c r="KF99" s="251"/>
      <c r="KG99" s="251"/>
      <c r="KH99" s="251"/>
      <c r="KI99" s="251"/>
      <c r="KJ99" s="251"/>
      <c r="KK99" s="251"/>
      <c r="KL99" s="251"/>
      <c r="KM99" s="251"/>
      <c r="KN99" s="251"/>
      <c r="KO99" s="251"/>
      <c r="KP99" s="251"/>
      <c r="KQ99" s="251"/>
      <c r="KR99" s="251"/>
      <c r="KS99" s="251"/>
      <c r="KT99" s="251"/>
      <c r="KU99" s="251"/>
      <c r="KV99" s="251"/>
      <c r="KW99" s="251"/>
      <c r="KX99" s="251"/>
      <c r="KY99" s="251"/>
      <c r="KZ99" s="251"/>
      <c r="LA99" s="251"/>
      <c r="LB99" s="251"/>
      <c r="LC99" s="251"/>
      <c r="LD99" s="251"/>
      <c r="LE99" s="251"/>
      <c r="LF99" s="251"/>
      <c r="LG99" s="251"/>
      <c r="LH99" s="251"/>
      <c r="LI99" s="251"/>
      <c r="LJ99" s="251"/>
      <c r="LK99" s="251"/>
      <c r="LL99" s="251"/>
      <c r="LM99" s="251"/>
      <c r="LN99" s="251"/>
      <c r="LO99" s="251"/>
      <c r="LP99" s="251"/>
      <c r="LQ99" s="251"/>
      <c r="LR99" s="251"/>
      <c r="LS99" s="251"/>
      <c r="LT99" s="251"/>
      <c r="LU99" s="251"/>
      <c r="LV99" s="251"/>
      <c r="LW99" s="251"/>
      <c r="LX99" s="251"/>
      <c r="LY99" s="251"/>
      <c r="LZ99" s="251"/>
      <c r="MA99" s="251"/>
      <c r="MB99" s="251"/>
      <c r="MC99" s="251"/>
      <c r="MD99" s="251"/>
      <c r="ME99" s="251"/>
      <c r="MF99" s="251"/>
      <c r="MG99" s="251"/>
      <c r="MH99" s="251"/>
      <c r="MI99" s="251"/>
      <c r="MJ99" s="251"/>
      <c r="MK99" s="251"/>
      <c r="ML99" s="251"/>
      <c r="MM99" s="251"/>
      <c r="MN99" s="251"/>
      <c r="MO99" s="251"/>
      <c r="MP99" s="251"/>
      <c r="MQ99" s="251"/>
      <c r="MR99" s="251"/>
      <c r="MS99" s="251"/>
      <c r="MT99" s="251"/>
      <c r="MU99" s="251"/>
      <c r="MV99" s="251"/>
      <c r="MW99" s="251"/>
      <c r="MX99" s="251"/>
      <c r="MY99" s="251"/>
      <c r="MZ99" s="251"/>
      <c r="NA99" s="251"/>
      <c r="NB99" s="251"/>
      <c r="NC99" s="251"/>
      <c r="ND99" s="251"/>
      <c r="NE99" s="251"/>
      <c r="NF99" s="251"/>
      <c r="NG99" s="251"/>
      <c r="NH99" s="251"/>
      <c r="NI99" s="251"/>
      <c r="NJ99" s="251"/>
      <c r="NK99" s="251"/>
      <c r="NL99" s="251"/>
      <c r="NM99" s="251"/>
      <c r="NN99" s="251"/>
      <c r="NO99" s="251"/>
      <c r="NP99" s="251"/>
      <c r="NQ99" s="251"/>
      <c r="NR99" s="251"/>
      <c r="NS99" s="251"/>
      <c r="NT99" s="251"/>
      <c r="NU99" s="251"/>
      <c r="NV99" s="251"/>
      <c r="NW99" s="251"/>
      <c r="NX99" s="251"/>
      <c r="NY99" s="251"/>
      <c r="NZ99" s="251"/>
      <c r="OA99" s="251"/>
      <c r="OB99" s="251"/>
      <c r="OC99" s="251"/>
      <c r="OD99" s="251"/>
      <c r="OE99" s="251"/>
      <c r="OF99" s="251"/>
      <c r="OG99" s="251"/>
      <c r="OH99" s="251"/>
      <c r="OI99" s="251"/>
      <c r="OJ99" s="251"/>
      <c r="OK99" s="251"/>
      <c r="OL99" s="251"/>
      <c r="OM99" s="251"/>
      <c r="ON99" s="251"/>
      <c r="OO99" s="251"/>
      <c r="OP99" s="251"/>
      <c r="OQ99" s="251"/>
      <c r="OR99" s="251"/>
      <c r="OS99" s="251"/>
      <c r="OT99" s="251"/>
      <c r="OU99" s="251"/>
      <c r="OV99" s="77"/>
      <c r="OW99" s="77"/>
      <c r="OX99" s="77"/>
      <c r="OY99" s="1794"/>
      <c r="OZ99" s="1801">
        <v>95</v>
      </c>
      <c r="PA99" s="77"/>
      <c r="PB99" s="77"/>
      <c r="PC99" s="77"/>
      <c r="PD99" s="77"/>
      <c r="PE99" s="77"/>
      <c r="PF99" s="77"/>
      <c r="PG99" s="77"/>
      <c r="PH99" s="77"/>
      <c r="PI99" s="77"/>
      <c r="PJ99" s="77"/>
      <c r="PK99" s="77"/>
      <c r="PL99" s="77"/>
      <c r="PM99" s="77"/>
      <c r="PN99" s="77"/>
      <c r="PO99" s="77"/>
      <c r="PP99" s="77"/>
      <c r="PQ99" s="77"/>
      <c r="PR99" s="77"/>
      <c r="PS99" s="77"/>
      <c r="PT99" s="77"/>
      <c r="PU99" s="77"/>
      <c r="PV99" s="77"/>
      <c r="PW99" s="77"/>
      <c r="PX99" s="77"/>
      <c r="PY99" s="77"/>
      <c r="PZ99" s="77"/>
      <c r="QA99" s="77"/>
      <c r="QB99" s="77"/>
      <c r="QC99" s="77"/>
      <c r="QD99" s="77"/>
      <c r="QE99" s="77"/>
      <c r="QF99" s="77"/>
      <c r="QG99" s="77"/>
      <c r="QH99" s="77"/>
      <c r="QI99" s="77"/>
      <c r="QJ99" s="77"/>
      <c r="QK99" s="77"/>
      <c r="QL99" s="77"/>
      <c r="QM99" s="77"/>
      <c r="QN99" s="77"/>
      <c r="QO99" s="77"/>
      <c r="QP99" s="77"/>
      <c r="QQ99" s="77"/>
      <c r="QR99" s="77"/>
      <c r="QS99" s="77"/>
      <c r="QT99" s="77"/>
      <c r="QU99" s="77"/>
      <c r="QV99" s="77"/>
      <c r="QW99" s="77"/>
      <c r="QX99" s="77"/>
      <c r="QY99" s="77"/>
      <c r="QZ99" s="77"/>
      <c r="RA99" s="77"/>
      <c r="RB99" s="77"/>
      <c r="RC99" s="77"/>
      <c r="RD99" s="77"/>
      <c r="RE99" s="77"/>
      <c r="RF99" s="77"/>
      <c r="RG99" s="77"/>
      <c r="RH99" s="77"/>
      <c r="RI99" s="77"/>
      <c r="RJ99" s="77"/>
      <c r="RK99" s="77"/>
      <c r="RL99" s="77"/>
      <c r="RM99" s="77"/>
      <c r="RN99" s="77"/>
      <c r="RO99" s="77"/>
      <c r="RP99" s="77"/>
      <c r="RQ99" s="77"/>
      <c r="RR99" s="77"/>
      <c r="RS99" s="77"/>
      <c r="RT99" s="77"/>
      <c r="RU99" s="77"/>
      <c r="RV99" s="77"/>
      <c r="RW99" s="77"/>
      <c r="RX99" s="77"/>
      <c r="RY99" s="77"/>
      <c r="RZ99" s="77"/>
      <c r="SA99" s="77"/>
      <c r="SB99" s="77"/>
      <c r="SC99" s="77"/>
      <c r="SD99" s="77"/>
      <c r="SE99" s="77"/>
      <c r="SF99" s="77"/>
      <c r="SG99" s="77"/>
      <c r="SH99" s="77"/>
      <c r="SI99" s="77"/>
      <c r="SJ99" s="77"/>
      <c r="SK99" s="77"/>
      <c r="SL99" s="77"/>
      <c r="SM99" s="77"/>
      <c r="SN99" s="77"/>
      <c r="SO99" s="77"/>
      <c r="SP99" s="77"/>
      <c r="SQ99" s="77"/>
      <c r="SR99" s="77"/>
      <c r="SS99" s="77"/>
      <c r="ST99" s="77"/>
      <c r="SU99" s="77"/>
      <c r="SV99" s="77"/>
      <c r="SW99" s="77"/>
      <c r="SX99" s="77"/>
      <c r="SY99" s="77"/>
      <c r="SZ99" s="77"/>
    </row>
    <row r="100" spans="1:520" ht="12" customHeight="1">
      <c r="A100" s="786"/>
      <c r="B100" s="786"/>
      <c r="C100" s="43"/>
      <c r="D100" s="43"/>
      <c r="E100" s="43"/>
      <c r="F100" s="43"/>
      <c r="G100" s="35"/>
      <c r="H100" s="48"/>
      <c r="I100" s="13"/>
      <c r="J100" s="35"/>
      <c r="K100" s="2361"/>
      <c r="L100" s="2361"/>
      <c r="M100" s="2361"/>
      <c r="N100" s="2361"/>
      <c r="O100" s="2361"/>
      <c r="P100" s="2361"/>
      <c r="U100" s="225"/>
      <c r="X100" s="253"/>
      <c r="AA100" s="253"/>
      <c r="AB100" s="256"/>
      <c r="AC100" s="253"/>
      <c r="AF100" s="253"/>
      <c r="AG100" s="256"/>
      <c r="AH100" s="253"/>
      <c r="AK100" s="253"/>
      <c r="AL100" s="256"/>
      <c r="AM100" s="253"/>
      <c r="AP100" s="253"/>
      <c r="AQ100" s="256"/>
      <c r="AR100" s="253"/>
      <c r="AS100" s="253"/>
      <c r="AT100" s="253"/>
      <c r="AU100" s="253"/>
      <c r="AV100" s="253"/>
      <c r="AW100" s="253"/>
      <c r="AY100" s="253"/>
      <c r="BB100" s="253"/>
      <c r="BD100" s="253"/>
      <c r="MX100" s="255"/>
      <c r="NM100" s="251"/>
      <c r="OZ100" s="1799">
        <v>96</v>
      </c>
    </row>
    <row r="101" spans="1:520" ht="9" customHeight="1">
      <c r="A101" s="786"/>
      <c r="B101" s="786"/>
      <c r="C101" s="43"/>
      <c r="D101" s="43"/>
      <c r="E101" s="43"/>
      <c r="F101" s="43"/>
      <c r="G101" s="35"/>
      <c r="H101" s="48"/>
      <c r="I101" s="13"/>
      <c r="J101" s="35"/>
      <c r="K101" s="2361"/>
      <c r="L101" s="2361"/>
      <c r="M101" s="2361"/>
      <c r="N101" s="2361"/>
      <c r="O101" s="2361"/>
      <c r="P101" s="2361"/>
      <c r="S101" s="135" t="str">
        <f>C102</f>
        <v>PBRA-Assisted</v>
      </c>
      <c r="U101" s="225"/>
      <c r="X101" s="253"/>
      <c r="AA101" s="253"/>
      <c r="AB101" s="256"/>
      <c r="AC101" s="253"/>
      <c r="AF101" s="253"/>
      <c r="AG101" s="256"/>
      <c r="AH101" s="253"/>
      <c r="AK101" s="253"/>
      <c r="AL101" s="256"/>
      <c r="AM101" s="253"/>
      <c r="AP101" s="253"/>
      <c r="AQ101" s="256"/>
      <c r="AR101" s="253"/>
      <c r="AS101" s="253"/>
      <c r="AT101" s="253"/>
      <c r="AU101" s="253"/>
      <c r="AV101" s="253"/>
      <c r="AW101" s="253"/>
      <c r="AY101" s="253"/>
      <c r="BB101" s="253"/>
      <c r="BD101" s="253"/>
      <c r="MX101" s="255"/>
      <c r="NM101" s="251"/>
      <c r="OZ101" s="1798">
        <v>97</v>
      </c>
    </row>
    <row r="102" spans="1:520" ht="15" customHeight="1">
      <c r="A102" s="786"/>
      <c r="B102" s="786"/>
      <c r="C102" s="43" t="s">
        <v>1239</v>
      </c>
      <c r="D102" s="43"/>
      <c r="E102" s="48"/>
      <c r="F102" s="43"/>
      <c r="G102" s="35"/>
      <c r="H102" s="48" t="s">
        <v>1220</v>
      </c>
      <c r="I102" s="13"/>
      <c r="J102" s="35"/>
      <c r="K102" s="2728">
        <f>CP58</f>
        <v>0</v>
      </c>
      <c r="L102" s="2729">
        <f>CQ58</f>
        <v>0</v>
      </c>
      <c r="M102" s="2729">
        <f>CR58</f>
        <v>0</v>
      </c>
      <c r="N102" s="2729">
        <f>CS58</f>
        <v>0</v>
      </c>
      <c r="O102" s="2730">
        <f>CT58</f>
        <v>0</v>
      </c>
      <c r="P102" s="2721">
        <f t="shared" ref="P102:P109" si="670">SUM(K102:O102)</f>
        <v>0</v>
      </c>
      <c r="S102" s="3777"/>
      <c r="T102" s="3778"/>
      <c r="U102" s="3778"/>
      <c r="V102" s="3778"/>
      <c r="W102" s="3779"/>
      <c r="X102" s="253"/>
      <c r="AA102" s="253"/>
      <c r="AB102" s="256"/>
      <c r="AC102" s="253"/>
      <c r="AF102" s="253"/>
      <c r="AG102" s="256"/>
      <c r="AH102" s="253"/>
      <c r="AK102" s="253"/>
      <c r="AL102" s="256"/>
      <c r="AM102" s="253"/>
      <c r="AP102" s="253"/>
      <c r="AQ102" s="256"/>
      <c r="AR102" s="257"/>
      <c r="AS102" s="257"/>
      <c r="AT102" s="257"/>
      <c r="AU102" s="257"/>
      <c r="AV102" s="257"/>
      <c r="AW102" s="257"/>
      <c r="AX102" s="256"/>
      <c r="AY102" s="253"/>
      <c r="BB102" s="257"/>
      <c r="BC102" s="256"/>
      <c r="BD102" s="253"/>
      <c r="MX102" s="255"/>
      <c r="NM102" s="251"/>
      <c r="OZ102" s="1799">
        <v>98</v>
      </c>
    </row>
    <row r="103" spans="1:520" ht="15" customHeight="1">
      <c r="A103" s="786"/>
      <c r="B103" s="786"/>
      <c r="C103" s="13" t="s">
        <v>1240</v>
      </c>
      <c r="D103" s="43"/>
      <c r="E103" s="48"/>
      <c r="F103" s="43"/>
      <c r="G103" s="35"/>
      <c r="H103" s="48" t="s">
        <v>1222</v>
      </c>
      <c r="I103" s="13"/>
      <c r="J103" s="35"/>
      <c r="K103" s="787">
        <f>CK58</f>
        <v>0</v>
      </c>
      <c r="L103" s="788">
        <f>CL58</f>
        <v>0</v>
      </c>
      <c r="M103" s="788">
        <f>CM58</f>
        <v>0</v>
      </c>
      <c r="N103" s="788">
        <f>CN58</f>
        <v>0</v>
      </c>
      <c r="O103" s="789">
        <f>CO58</f>
        <v>0</v>
      </c>
      <c r="P103" s="762">
        <f t="shared" si="670"/>
        <v>0</v>
      </c>
      <c r="S103" s="3758"/>
      <c r="T103" s="3759"/>
      <c r="U103" s="3759"/>
      <c r="V103" s="3759"/>
      <c r="W103" s="3760"/>
      <c r="X103" s="253"/>
      <c r="AA103" s="253"/>
      <c r="AB103" s="256"/>
      <c r="AC103" s="253"/>
      <c r="AF103" s="253"/>
      <c r="AG103" s="256"/>
      <c r="AH103" s="253"/>
      <c r="AK103" s="253"/>
      <c r="AL103" s="256"/>
      <c r="AM103" s="253"/>
      <c r="AP103" s="253"/>
      <c r="AQ103" s="256"/>
      <c r="AR103" s="257"/>
      <c r="AS103" s="257"/>
      <c r="AT103" s="257"/>
      <c r="AU103" s="257"/>
      <c r="AV103" s="257"/>
      <c r="AW103" s="257"/>
      <c r="AX103" s="256"/>
      <c r="AY103" s="253"/>
      <c r="BB103" s="257"/>
      <c r="BC103" s="256"/>
      <c r="BD103" s="253"/>
      <c r="MX103" s="255"/>
      <c r="NM103" s="251"/>
      <c r="OZ103" s="1799">
        <v>99</v>
      </c>
    </row>
    <row r="104" spans="1:520" ht="14.55" customHeight="1">
      <c r="A104" s="786"/>
      <c r="B104" s="786"/>
      <c r="C104" s="43"/>
      <c r="D104" s="43"/>
      <c r="E104" s="48"/>
      <c r="F104" s="43"/>
      <c r="G104" s="35"/>
      <c r="H104" s="48" t="s">
        <v>1223</v>
      </c>
      <c r="I104" s="13"/>
      <c r="J104" s="35"/>
      <c r="K104" s="787">
        <f>CF58</f>
        <v>0</v>
      </c>
      <c r="L104" s="788">
        <f>CG58</f>
        <v>0</v>
      </c>
      <c r="M104" s="788">
        <f>CH58</f>
        <v>0</v>
      </c>
      <c r="N104" s="788">
        <f>CI58</f>
        <v>0</v>
      </c>
      <c r="O104" s="789">
        <f>CJ58</f>
        <v>0</v>
      </c>
      <c r="P104" s="762">
        <f t="shared" si="670"/>
        <v>0</v>
      </c>
      <c r="S104" s="3758"/>
      <c r="T104" s="3759"/>
      <c r="U104" s="3759"/>
      <c r="V104" s="3759"/>
      <c r="W104" s="3760"/>
      <c r="X104" s="253"/>
      <c r="AA104" s="253"/>
      <c r="AB104" s="256"/>
      <c r="AC104" s="253"/>
      <c r="AF104" s="253"/>
      <c r="AG104" s="256"/>
      <c r="AH104" s="253"/>
      <c r="AK104" s="253"/>
      <c r="AL104" s="256"/>
      <c r="AM104" s="253"/>
      <c r="AP104" s="253"/>
      <c r="AQ104" s="256"/>
      <c r="AR104" s="257"/>
      <c r="AS104" s="257"/>
      <c r="AT104" s="257"/>
      <c r="AU104" s="257"/>
      <c r="AV104" s="257"/>
      <c r="AW104" s="257"/>
      <c r="AX104" s="256"/>
      <c r="AY104" s="253"/>
      <c r="BB104" s="257"/>
      <c r="BC104" s="256"/>
      <c r="BD104" s="253"/>
      <c r="MX104" s="255"/>
      <c r="NM104" s="251"/>
      <c r="OZ104" s="1798">
        <v>100</v>
      </c>
    </row>
    <row r="105" spans="1:520" ht="15" customHeight="1">
      <c r="A105" s="786"/>
      <c r="B105" s="786"/>
      <c r="C105" s="43"/>
      <c r="D105" s="43"/>
      <c r="E105" s="48"/>
      <c r="F105" s="43"/>
      <c r="G105" s="35"/>
      <c r="H105" s="48" t="s">
        <v>1224</v>
      </c>
      <c r="I105" s="13"/>
      <c r="J105" s="655"/>
      <c r="K105" s="793">
        <f>CA58</f>
        <v>0</v>
      </c>
      <c r="L105" s="794">
        <f>CB58</f>
        <v>0</v>
      </c>
      <c r="M105" s="794">
        <f>CC58</f>
        <v>0</v>
      </c>
      <c r="N105" s="794">
        <f>CD58</f>
        <v>0</v>
      </c>
      <c r="O105" s="795">
        <f>CE58</f>
        <v>0</v>
      </c>
      <c r="P105" s="332">
        <f t="shared" si="670"/>
        <v>0</v>
      </c>
      <c r="S105" s="3758"/>
      <c r="T105" s="3759"/>
      <c r="U105" s="3759"/>
      <c r="V105" s="3759"/>
      <c r="W105" s="3760"/>
      <c r="X105" s="253"/>
      <c r="AA105" s="253"/>
      <c r="AB105" s="256"/>
      <c r="AC105" s="253"/>
      <c r="AF105" s="253"/>
      <c r="AG105" s="256"/>
      <c r="AH105" s="253"/>
      <c r="AK105" s="253"/>
      <c r="AL105" s="256"/>
      <c r="AM105" s="253"/>
      <c r="AP105" s="253"/>
      <c r="AQ105" s="256"/>
      <c r="AR105" s="257"/>
      <c r="AS105" s="257"/>
      <c r="AT105" s="257"/>
      <c r="AU105" s="257"/>
      <c r="AV105" s="257"/>
      <c r="AW105" s="257"/>
      <c r="AX105" s="256"/>
      <c r="AY105" s="253"/>
      <c r="BB105" s="257"/>
      <c r="BC105" s="256"/>
      <c r="BD105" s="253"/>
      <c r="MX105" s="255"/>
      <c r="NM105" s="251"/>
      <c r="OZ105" s="1799">
        <v>101</v>
      </c>
    </row>
    <row r="106" spans="1:520" ht="15" customHeight="1">
      <c r="A106" s="786"/>
      <c r="B106" s="786"/>
      <c r="C106" s="43"/>
      <c r="D106" s="43"/>
      <c r="E106" s="48"/>
      <c r="F106" s="43"/>
      <c r="G106" s="35"/>
      <c r="H106" s="48" t="s">
        <v>1225</v>
      </c>
      <c r="I106" s="13"/>
      <c r="J106" s="655"/>
      <c r="K106" s="787">
        <f>BV58</f>
        <v>0</v>
      </c>
      <c r="L106" s="788">
        <f>BW58</f>
        <v>0</v>
      </c>
      <c r="M106" s="788">
        <f>BX58</f>
        <v>0</v>
      </c>
      <c r="N106" s="788">
        <f>BY58</f>
        <v>0</v>
      </c>
      <c r="O106" s="789">
        <f>BZ58</f>
        <v>0</v>
      </c>
      <c r="P106" s="762">
        <f t="shared" si="670"/>
        <v>0</v>
      </c>
      <c r="S106" s="3758"/>
      <c r="T106" s="3759"/>
      <c r="U106" s="3759"/>
      <c r="V106" s="3759"/>
      <c r="W106" s="3760"/>
      <c r="X106" s="253"/>
      <c r="AA106" s="253"/>
      <c r="AB106" s="256"/>
      <c r="AC106" s="253"/>
      <c r="AF106" s="253"/>
      <c r="AG106" s="256"/>
      <c r="AH106" s="253"/>
      <c r="AK106" s="253"/>
      <c r="AL106" s="256"/>
      <c r="AM106" s="253"/>
      <c r="AP106" s="253"/>
      <c r="AQ106" s="256"/>
      <c r="AR106" s="257"/>
      <c r="AS106" s="257"/>
      <c r="AT106" s="257"/>
      <c r="AU106" s="257"/>
      <c r="AV106" s="257"/>
      <c r="AW106" s="257"/>
      <c r="AX106" s="256"/>
      <c r="AY106" s="253"/>
      <c r="BB106" s="257"/>
      <c r="BC106" s="256"/>
      <c r="BD106" s="253"/>
      <c r="MX106" s="255"/>
      <c r="NM106" s="251"/>
      <c r="OZ106" s="1799">
        <v>102</v>
      </c>
    </row>
    <row r="107" spans="1:520" ht="15" customHeight="1">
      <c r="A107" s="785"/>
      <c r="B107" s="785"/>
      <c r="C107" s="43"/>
      <c r="D107" s="43"/>
      <c r="E107" s="48"/>
      <c r="F107" s="43"/>
      <c r="G107" s="35"/>
      <c r="H107" s="48" t="s">
        <v>1226</v>
      </c>
      <c r="I107" s="13"/>
      <c r="J107" s="35"/>
      <c r="K107" s="787">
        <f>BQ58</f>
        <v>0</v>
      </c>
      <c r="L107" s="788">
        <f>BR58</f>
        <v>0</v>
      </c>
      <c r="M107" s="788">
        <f>BS58</f>
        <v>0</v>
      </c>
      <c r="N107" s="788">
        <f>BT58</f>
        <v>0</v>
      </c>
      <c r="O107" s="789">
        <f>BU58</f>
        <v>0</v>
      </c>
      <c r="P107" s="762">
        <f t="shared" si="670"/>
        <v>0</v>
      </c>
      <c r="S107" s="3758"/>
      <c r="T107" s="3759"/>
      <c r="U107" s="3759"/>
      <c r="V107" s="3759"/>
      <c r="W107" s="3760"/>
      <c r="X107" s="253"/>
      <c r="AA107" s="253"/>
      <c r="AB107" s="256"/>
      <c r="AC107" s="253"/>
      <c r="AF107" s="253"/>
      <c r="AG107" s="256"/>
      <c r="AH107" s="253"/>
      <c r="AK107" s="253"/>
      <c r="AL107" s="256"/>
      <c r="AM107" s="253"/>
      <c r="AP107" s="253"/>
      <c r="AQ107" s="256"/>
      <c r="AR107" s="257"/>
      <c r="AS107" s="257"/>
      <c r="AT107" s="257"/>
      <c r="AU107" s="257"/>
      <c r="AV107" s="257"/>
      <c r="AW107" s="257"/>
      <c r="AX107" s="256"/>
      <c r="AY107" s="253"/>
      <c r="BB107" s="257"/>
      <c r="BC107" s="256"/>
      <c r="BD107" s="253"/>
      <c r="MX107" s="255"/>
      <c r="NM107" s="251"/>
      <c r="OZ107" s="1799">
        <v>103</v>
      </c>
    </row>
    <row r="108" spans="1:520" ht="15" customHeight="1">
      <c r="A108" s="785"/>
      <c r="B108" s="785"/>
      <c r="C108" s="77"/>
      <c r="D108" s="43"/>
      <c r="E108" s="48"/>
      <c r="F108" s="43"/>
      <c r="G108" s="35"/>
      <c r="H108" s="48" t="s">
        <v>1227</v>
      </c>
      <c r="I108" s="13"/>
      <c r="J108" s="35"/>
      <c r="K108" s="790">
        <f>BL58</f>
        <v>0</v>
      </c>
      <c r="L108" s="791">
        <f>BM58</f>
        <v>0</v>
      </c>
      <c r="M108" s="791">
        <f>BN58</f>
        <v>0</v>
      </c>
      <c r="N108" s="791">
        <f>BO58</f>
        <v>0</v>
      </c>
      <c r="O108" s="792">
        <f>BP58</f>
        <v>0</v>
      </c>
      <c r="P108" s="546">
        <f t="shared" si="670"/>
        <v>0</v>
      </c>
      <c r="S108" s="3758"/>
      <c r="T108" s="3759"/>
      <c r="U108" s="3759"/>
      <c r="V108" s="3759"/>
      <c r="W108" s="3760"/>
      <c r="X108" s="256"/>
      <c r="AA108" s="253"/>
      <c r="AB108" s="256"/>
      <c r="AC108" s="256"/>
      <c r="AF108" s="253"/>
      <c r="AG108" s="256"/>
      <c r="AH108" s="256"/>
      <c r="AK108" s="253"/>
      <c r="AL108" s="256"/>
      <c r="AM108" s="256"/>
      <c r="AP108" s="253"/>
      <c r="AQ108" s="256"/>
      <c r="AR108" s="257"/>
      <c r="AS108" s="257"/>
      <c r="AT108" s="257"/>
      <c r="AU108" s="257"/>
      <c r="AV108" s="257"/>
      <c r="AW108" s="257"/>
      <c r="AX108" s="256"/>
      <c r="AY108" s="253"/>
      <c r="BB108" s="257"/>
      <c r="BC108" s="256"/>
      <c r="BD108" s="253"/>
      <c r="MX108" s="255"/>
      <c r="NM108" s="251"/>
      <c r="OZ108" s="1799">
        <v>104</v>
      </c>
    </row>
    <row r="109" spans="1:520" ht="15" customHeight="1">
      <c r="A109" s="785"/>
      <c r="B109" s="785"/>
      <c r="C109" s="3"/>
      <c r="D109" s="43"/>
      <c r="E109" s="48"/>
      <c r="F109" s="43"/>
      <c r="G109" s="35"/>
      <c r="H109" s="92" t="s">
        <v>288</v>
      </c>
      <c r="I109" s="38"/>
      <c r="J109" s="35"/>
      <c r="K109" s="2724">
        <f>SUM(K102:K108)</f>
        <v>0</v>
      </c>
      <c r="L109" s="2724">
        <f>SUM(L102:L108)</f>
        <v>0</v>
      </c>
      <c r="M109" s="2724">
        <f>SUM(M102:M108)</f>
        <v>0</v>
      </c>
      <c r="N109" s="2724">
        <f>SUM(N102:N108)</f>
        <v>0</v>
      </c>
      <c r="O109" s="2724">
        <f>SUM(O102:O108)</f>
        <v>0</v>
      </c>
      <c r="P109" s="2724">
        <f t="shared" si="670"/>
        <v>0</v>
      </c>
      <c r="S109" s="3725"/>
      <c r="T109" s="3726"/>
      <c r="U109" s="3726"/>
      <c r="V109" s="3726"/>
      <c r="W109" s="3727"/>
      <c r="X109" s="1184"/>
      <c r="AA109" s="253"/>
      <c r="AB109" s="256"/>
      <c r="AC109" s="1184"/>
      <c r="AF109" s="253"/>
      <c r="AG109" s="256"/>
      <c r="AH109" s="1184"/>
      <c r="AK109" s="253"/>
      <c r="AL109" s="256"/>
      <c r="AM109" s="1184"/>
      <c r="AP109" s="253"/>
      <c r="AQ109" s="256"/>
      <c r="AR109" s="257"/>
      <c r="AS109" s="257"/>
      <c r="AT109" s="257"/>
      <c r="AU109" s="257"/>
      <c r="AV109" s="257"/>
      <c r="AW109" s="257"/>
      <c r="AX109" s="256"/>
      <c r="AY109" s="253"/>
      <c r="BB109" s="257"/>
      <c r="BC109" s="256"/>
      <c r="BD109" s="253"/>
      <c r="MX109" s="255"/>
      <c r="NM109" s="251"/>
      <c r="OZ109" s="1798">
        <v>105</v>
      </c>
    </row>
    <row r="110" spans="1:520" ht="5.0999999999999996" customHeight="1" thickBot="1">
      <c r="A110" s="785"/>
      <c r="B110" s="785"/>
      <c r="C110" s="43"/>
      <c r="D110" s="43"/>
      <c r="E110" s="43"/>
      <c r="F110" s="43"/>
      <c r="G110" s="35"/>
      <c r="H110" s="48"/>
      <c r="I110" s="13"/>
      <c r="J110" s="35"/>
      <c r="K110" s="2361"/>
      <c r="L110" s="2361"/>
      <c r="M110" s="2361"/>
      <c r="N110" s="2361"/>
      <c r="O110" s="2361"/>
      <c r="P110" s="2361"/>
      <c r="U110" s="225"/>
      <c r="X110" s="253"/>
      <c r="AA110" s="253"/>
      <c r="AB110" s="256"/>
      <c r="AC110" s="253"/>
      <c r="AF110" s="253"/>
      <c r="AG110" s="256"/>
      <c r="AH110" s="253"/>
      <c r="AK110" s="253"/>
      <c r="AL110" s="256"/>
      <c r="AM110" s="253"/>
      <c r="AP110" s="253"/>
      <c r="AQ110" s="256"/>
      <c r="AR110" s="253"/>
      <c r="AS110" s="253"/>
      <c r="AT110" s="253"/>
      <c r="AU110" s="253"/>
      <c r="AV110" s="253"/>
      <c r="AW110" s="253"/>
      <c r="AY110" s="253"/>
      <c r="BB110" s="253"/>
      <c r="BD110" s="253"/>
      <c r="MX110" s="255"/>
      <c r="NM110" s="251"/>
      <c r="OZ110" s="1799">
        <v>106</v>
      </c>
    </row>
    <row r="111" spans="1:520" ht="14.7" customHeight="1" thickBot="1">
      <c r="A111" s="6" t="s">
        <v>25</v>
      </c>
      <c r="B111" s="6" t="s">
        <v>1241</v>
      </c>
      <c r="C111" s="77"/>
      <c r="D111" s="77"/>
      <c r="E111" s="77"/>
      <c r="F111" s="77"/>
      <c r="G111" s="77"/>
      <c r="H111" s="40"/>
      <c r="I111" s="77"/>
      <c r="J111" s="77"/>
      <c r="K111" s="77"/>
      <c r="L111" s="3771" t="str">
        <f>O62</f>
        <v>40% of Units at 60% of AMI</v>
      </c>
      <c r="M111" s="3772"/>
      <c r="N111" s="3772"/>
      <c r="O111" s="3773"/>
      <c r="P111" s="35"/>
      <c r="S111" s="3" t="str">
        <f>B111</f>
        <v>UNIT SUMMARY (Continued)</v>
      </c>
      <c r="T111" s="3"/>
      <c r="U111" s="3"/>
      <c r="V111" s="3"/>
      <c r="AY111" s="253"/>
      <c r="BD111" s="253"/>
      <c r="MX111" s="255"/>
      <c r="NM111" s="251"/>
      <c r="OZ111" s="1799">
        <v>107</v>
      </c>
    </row>
    <row r="112" spans="1:520" ht="9" customHeight="1">
      <c r="A112" s="6"/>
      <c r="B112" s="6"/>
      <c r="C112" s="77"/>
      <c r="D112" s="77"/>
      <c r="E112" s="77"/>
      <c r="F112" s="77"/>
      <c r="G112" s="77"/>
      <c r="H112" s="40"/>
      <c r="I112" s="77"/>
      <c r="J112" s="77"/>
      <c r="K112" s="77"/>
      <c r="L112" s="77"/>
      <c r="M112" s="77"/>
      <c r="N112" s="77"/>
      <c r="O112" s="77"/>
      <c r="P112" s="35"/>
      <c r="S112" s="135" t="str">
        <f>C113</f>
        <v>PHA Operating Subsidy-Assisted</v>
      </c>
      <c r="T112" s="60"/>
      <c r="U112" s="261"/>
      <c r="AY112" s="253"/>
      <c r="BD112" s="253"/>
      <c r="MX112" s="255"/>
      <c r="NM112" s="251"/>
      <c r="OZ112" s="1799">
        <v>108</v>
      </c>
    </row>
    <row r="113" spans="1:416" ht="13.5" customHeight="1">
      <c r="A113" s="785"/>
      <c r="B113" s="785"/>
      <c r="C113" s="229" t="s">
        <v>1242</v>
      </c>
      <c r="D113" s="229"/>
      <c r="E113" s="229"/>
      <c r="F113" s="43"/>
      <c r="G113" s="35"/>
      <c r="H113" s="48" t="s">
        <v>1220</v>
      </c>
      <c r="I113" s="13"/>
      <c r="J113" s="35"/>
      <c r="K113" s="2728">
        <f>DY58</f>
        <v>0</v>
      </c>
      <c r="L113" s="2729">
        <f>DZ58</f>
        <v>0</v>
      </c>
      <c r="M113" s="2729">
        <f>EA58</f>
        <v>0</v>
      </c>
      <c r="N113" s="2729">
        <f>EB58</f>
        <v>0</v>
      </c>
      <c r="O113" s="2730">
        <f>EC58</f>
        <v>0</v>
      </c>
      <c r="P113" s="2721">
        <f t="shared" ref="P113:P120" si="671">SUM(K113:O113)</f>
        <v>0</v>
      </c>
      <c r="S113" s="3777"/>
      <c r="T113" s="3778"/>
      <c r="U113" s="3778"/>
      <c r="V113" s="3778"/>
      <c r="W113" s="3779"/>
      <c r="X113" s="253"/>
      <c r="AA113" s="253"/>
      <c r="AB113" s="256"/>
      <c r="AC113" s="253"/>
      <c r="AF113" s="253"/>
      <c r="AG113" s="256"/>
      <c r="AH113" s="253"/>
      <c r="AK113" s="253"/>
      <c r="AL113" s="256"/>
      <c r="AM113" s="253"/>
      <c r="AP113" s="253"/>
      <c r="AQ113" s="256"/>
      <c r="AR113" s="257"/>
      <c r="AS113" s="257"/>
      <c r="AT113" s="257"/>
      <c r="AU113" s="257"/>
      <c r="AV113" s="257"/>
      <c r="AW113" s="257"/>
      <c r="AX113" s="256"/>
      <c r="AY113" s="253"/>
      <c r="BB113" s="257"/>
      <c r="BC113" s="256"/>
      <c r="BD113" s="253"/>
      <c r="MX113" s="255"/>
      <c r="NM113" s="251"/>
      <c r="OZ113" s="1799">
        <v>109</v>
      </c>
    </row>
    <row r="114" spans="1:416" ht="13.5" customHeight="1">
      <c r="A114" s="785"/>
      <c r="B114" s="785"/>
      <c r="C114" s="13" t="s">
        <v>1240</v>
      </c>
      <c r="D114" s="229"/>
      <c r="E114" s="229"/>
      <c r="F114" s="43"/>
      <c r="G114" s="35"/>
      <c r="H114" s="48" t="s">
        <v>1222</v>
      </c>
      <c r="I114" s="13"/>
      <c r="J114" s="35"/>
      <c r="K114" s="787">
        <f>DT58</f>
        <v>0</v>
      </c>
      <c r="L114" s="788">
        <f>DU58</f>
        <v>0</v>
      </c>
      <c r="M114" s="788">
        <f>DV58</f>
        <v>0</v>
      </c>
      <c r="N114" s="788">
        <f>DW58</f>
        <v>0</v>
      </c>
      <c r="O114" s="789">
        <f>DX58</f>
        <v>0</v>
      </c>
      <c r="P114" s="762">
        <f t="shared" si="671"/>
        <v>0</v>
      </c>
      <c r="S114" s="3758"/>
      <c r="T114" s="3759"/>
      <c r="U114" s="3759"/>
      <c r="V114" s="3759"/>
      <c r="W114" s="3760"/>
      <c r="X114" s="253"/>
      <c r="AA114" s="253"/>
      <c r="AB114" s="256"/>
      <c r="AC114" s="253"/>
      <c r="AF114" s="253"/>
      <c r="AG114" s="256"/>
      <c r="AH114" s="253"/>
      <c r="AK114" s="253"/>
      <c r="AL114" s="256"/>
      <c r="AM114" s="253"/>
      <c r="AP114" s="253"/>
      <c r="AQ114" s="256"/>
      <c r="AR114" s="257"/>
      <c r="AS114" s="257"/>
      <c r="AT114" s="257"/>
      <c r="AU114" s="257"/>
      <c r="AV114" s="257"/>
      <c r="AW114" s="257"/>
      <c r="AX114" s="256"/>
      <c r="AY114" s="253"/>
      <c r="BB114" s="257"/>
      <c r="BC114" s="256"/>
      <c r="BD114" s="253"/>
      <c r="MX114" s="255"/>
      <c r="NM114" s="251"/>
      <c r="OZ114" s="1799">
        <v>110</v>
      </c>
    </row>
    <row r="115" spans="1:416" ht="13.5" customHeight="1">
      <c r="A115" s="785"/>
      <c r="B115" s="785"/>
      <c r="C115" s="229"/>
      <c r="D115" s="229"/>
      <c r="E115" s="229"/>
      <c r="F115" s="43"/>
      <c r="G115" s="35"/>
      <c r="H115" s="48" t="s">
        <v>1223</v>
      </c>
      <c r="I115" s="13"/>
      <c r="J115" s="35"/>
      <c r="K115" s="787">
        <f>DO58</f>
        <v>0</v>
      </c>
      <c r="L115" s="788">
        <f>DP58</f>
        <v>0</v>
      </c>
      <c r="M115" s="788">
        <f>DQ58</f>
        <v>0</v>
      </c>
      <c r="N115" s="788">
        <f>DR58</f>
        <v>0</v>
      </c>
      <c r="O115" s="789">
        <f>DS58</f>
        <v>0</v>
      </c>
      <c r="P115" s="762">
        <f t="shared" si="671"/>
        <v>0</v>
      </c>
      <c r="S115" s="3758"/>
      <c r="T115" s="3759"/>
      <c r="U115" s="3759"/>
      <c r="V115" s="3759"/>
      <c r="W115" s="3760"/>
      <c r="X115" s="253"/>
      <c r="AA115" s="253"/>
      <c r="AB115" s="256"/>
      <c r="AC115" s="253"/>
      <c r="AF115" s="253"/>
      <c r="AG115" s="256"/>
      <c r="AH115" s="253"/>
      <c r="AK115" s="253"/>
      <c r="AL115" s="256"/>
      <c r="AM115" s="253"/>
      <c r="AP115" s="253"/>
      <c r="AQ115" s="256"/>
      <c r="AR115" s="257"/>
      <c r="AS115" s="257"/>
      <c r="AT115" s="257"/>
      <c r="AU115" s="257"/>
      <c r="AV115" s="257"/>
      <c r="AW115" s="257"/>
      <c r="AX115" s="256"/>
      <c r="AY115" s="253"/>
      <c r="BB115" s="257"/>
      <c r="BC115" s="256"/>
      <c r="BD115" s="253"/>
      <c r="MX115" s="255"/>
      <c r="NM115" s="251"/>
      <c r="OZ115" s="1801">
        <v>111</v>
      </c>
    </row>
    <row r="116" spans="1:416" ht="13.5" customHeight="1">
      <c r="A116" s="785"/>
      <c r="B116" s="785"/>
      <c r="C116" s="229"/>
      <c r="D116" s="229"/>
      <c r="E116" s="229"/>
      <c r="F116" s="43"/>
      <c r="G116" s="35"/>
      <c r="H116" s="48" t="s">
        <v>1224</v>
      </c>
      <c r="I116" s="13"/>
      <c r="J116" s="655"/>
      <c r="K116" s="793">
        <f>DJ58</f>
        <v>0</v>
      </c>
      <c r="L116" s="794">
        <f>DK58</f>
        <v>0</v>
      </c>
      <c r="M116" s="794">
        <f>DL58</f>
        <v>0</v>
      </c>
      <c r="N116" s="794">
        <f>DM58</f>
        <v>0</v>
      </c>
      <c r="O116" s="795">
        <f>DN58</f>
        <v>0</v>
      </c>
      <c r="P116" s="332">
        <f t="shared" si="671"/>
        <v>0</v>
      </c>
      <c r="S116" s="3758"/>
      <c r="T116" s="3759"/>
      <c r="U116" s="3759"/>
      <c r="V116" s="3759"/>
      <c r="W116" s="3760"/>
      <c r="X116" s="253"/>
      <c r="AA116" s="253"/>
      <c r="AB116" s="256"/>
      <c r="AC116" s="253"/>
      <c r="AF116" s="253"/>
      <c r="AG116" s="256"/>
      <c r="AH116" s="253"/>
      <c r="AK116" s="253"/>
      <c r="AL116" s="256"/>
      <c r="AM116" s="253"/>
      <c r="AP116" s="253"/>
      <c r="AQ116" s="256"/>
      <c r="AR116" s="257"/>
      <c r="AS116" s="257"/>
      <c r="AT116" s="257"/>
      <c r="AU116" s="257"/>
      <c r="AV116" s="257"/>
      <c r="AW116" s="257"/>
      <c r="AX116" s="256"/>
      <c r="AY116" s="253"/>
      <c r="BB116" s="257"/>
      <c r="BC116" s="256"/>
      <c r="BD116" s="253"/>
      <c r="MX116" s="255"/>
      <c r="NM116" s="251"/>
      <c r="OZ116" s="1799">
        <v>112</v>
      </c>
    </row>
    <row r="117" spans="1:416" ht="13.5" customHeight="1">
      <c r="A117" s="785"/>
      <c r="B117" s="785"/>
      <c r="C117" s="229"/>
      <c r="D117" s="229"/>
      <c r="E117" s="229"/>
      <c r="F117" s="43"/>
      <c r="G117" s="35"/>
      <c r="H117" s="48" t="s">
        <v>1225</v>
      </c>
      <c r="I117" s="13"/>
      <c r="J117" s="655"/>
      <c r="K117" s="787">
        <f>DE58</f>
        <v>0</v>
      </c>
      <c r="L117" s="788">
        <f>DF58</f>
        <v>0</v>
      </c>
      <c r="M117" s="788">
        <f>DG58</f>
        <v>0</v>
      </c>
      <c r="N117" s="788">
        <f>DH58</f>
        <v>0</v>
      </c>
      <c r="O117" s="789">
        <f>DI58</f>
        <v>0</v>
      </c>
      <c r="P117" s="762">
        <f t="shared" si="671"/>
        <v>0</v>
      </c>
      <c r="S117" s="3758"/>
      <c r="T117" s="3759"/>
      <c r="U117" s="3759"/>
      <c r="V117" s="3759"/>
      <c r="W117" s="3760"/>
      <c r="X117" s="253"/>
      <c r="AA117" s="253"/>
      <c r="AB117" s="256"/>
      <c r="AC117" s="253"/>
      <c r="AF117" s="253"/>
      <c r="AG117" s="256"/>
      <c r="AH117" s="253"/>
      <c r="AK117" s="253"/>
      <c r="AL117" s="256"/>
      <c r="AM117" s="253"/>
      <c r="AP117" s="253"/>
      <c r="AQ117" s="256"/>
      <c r="AR117" s="257"/>
      <c r="AS117" s="257"/>
      <c r="AT117" s="257"/>
      <c r="AU117" s="257"/>
      <c r="AV117" s="257"/>
      <c r="AW117" s="257"/>
      <c r="AX117" s="256"/>
      <c r="AY117" s="253"/>
      <c r="BB117" s="257"/>
      <c r="BC117" s="256"/>
      <c r="BD117" s="253"/>
      <c r="MX117" s="255"/>
      <c r="NM117" s="251"/>
      <c r="OZ117" s="1798">
        <v>113</v>
      </c>
    </row>
    <row r="118" spans="1:416" ht="13.5" customHeight="1">
      <c r="A118" s="785"/>
      <c r="B118" s="785"/>
      <c r="C118" s="229"/>
      <c r="D118" s="229"/>
      <c r="E118" s="229"/>
      <c r="F118" s="43"/>
      <c r="G118" s="35"/>
      <c r="H118" s="48" t="s">
        <v>1226</v>
      </c>
      <c r="I118" s="13"/>
      <c r="J118" s="35"/>
      <c r="K118" s="787">
        <f>CZ58</f>
        <v>0</v>
      </c>
      <c r="L118" s="788">
        <f>DA58</f>
        <v>0</v>
      </c>
      <c r="M118" s="788">
        <f>DB58</f>
        <v>0</v>
      </c>
      <c r="N118" s="788">
        <f>DC58</f>
        <v>0</v>
      </c>
      <c r="O118" s="789">
        <f>DD58</f>
        <v>0</v>
      </c>
      <c r="P118" s="762">
        <f t="shared" si="671"/>
        <v>0</v>
      </c>
      <c r="S118" s="3758"/>
      <c r="T118" s="3759"/>
      <c r="U118" s="3759"/>
      <c r="V118" s="3759"/>
      <c r="W118" s="3760"/>
      <c r="X118" s="253"/>
      <c r="AA118" s="253"/>
      <c r="AB118" s="256"/>
      <c r="AC118" s="253"/>
      <c r="AF118" s="253"/>
      <c r="AG118" s="256"/>
      <c r="AH118" s="253"/>
      <c r="AK118" s="253"/>
      <c r="AL118" s="256"/>
      <c r="AM118" s="253"/>
      <c r="AP118" s="253"/>
      <c r="AQ118" s="256"/>
      <c r="AR118" s="257"/>
      <c r="AS118" s="257"/>
      <c r="AT118" s="257"/>
      <c r="AU118" s="257"/>
      <c r="AV118" s="257"/>
      <c r="AW118" s="257"/>
      <c r="AX118" s="256"/>
      <c r="AY118" s="253"/>
      <c r="BB118" s="257"/>
      <c r="BC118" s="256"/>
      <c r="BD118" s="253"/>
      <c r="MX118" s="255"/>
      <c r="NM118" s="251"/>
      <c r="OZ118" s="1799">
        <v>114</v>
      </c>
    </row>
    <row r="119" spans="1:416" ht="13.5" customHeight="1">
      <c r="A119" s="785"/>
      <c r="B119" s="785"/>
      <c r="C119" s="229"/>
      <c r="D119" s="229"/>
      <c r="E119" s="229"/>
      <c r="F119" s="43"/>
      <c r="G119" s="35"/>
      <c r="H119" s="48" t="s">
        <v>1227</v>
      </c>
      <c r="I119" s="13"/>
      <c r="J119" s="35"/>
      <c r="K119" s="790">
        <f>CU58</f>
        <v>0</v>
      </c>
      <c r="L119" s="791">
        <f>CV58</f>
        <v>0</v>
      </c>
      <c r="M119" s="791">
        <f>CW58</f>
        <v>0</v>
      </c>
      <c r="N119" s="791">
        <f>CX58</f>
        <v>0</v>
      </c>
      <c r="O119" s="792">
        <f>CY58</f>
        <v>0</v>
      </c>
      <c r="P119" s="546">
        <f t="shared" si="671"/>
        <v>0</v>
      </c>
      <c r="S119" s="3758"/>
      <c r="T119" s="3759"/>
      <c r="U119" s="3759"/>
      <c r="V119" s="3759"/>
      <c r="W119" s="3760"/>
      <c r="X119" s="256"/>
      <c r="AA119" s="253"/>
      <c r="AB119" s="256"/>
      <c r="AC119" s="256"/>
      <c r="AF119" s="253"/>
      <c r="AG119" s="256"/>
      <c r="AH119" s="256"/>
      <c r="AK119" s="253"/>
      <c r="AL119" s="256"/>
      <c r="AM119" s="256"/>
      <c r="AP119" s="253"/>
      <c r="AQ119" s="256"/>
      <c r="AR119" s="257"/>
      <c r="AS119" s="257"/>
      <c r="AT119" s="257"/>
      <c r="AU119" s="257"/>
      <c r="AV119" s="257"/>
      <c r="AW119" s="257"/>
      <c r="AX119" s="256"/>
      <c r="AY119" s="253"/>
      <c r="BB119" s="257"/>
      <c r="BC119" s="256"/>
      <c r="BD119" s="253"/>
      <c r="MX119" s="255"/>
      <c r="NM119" s="251"/>
      <c r="OZ119" s="1799">
        <v>115</v>
      </c>
    </row>
    <row r="120" spans="1:416" ht="15" customHeight="1">
      <c r="A120" s="785"/>
      <c r="B120" s="785"/>
      <c r="C120" s="35"/>
      <c r="D120" s="43"/>
      <c r="E120" s="48"/>
      <c r="F120" s="43"/>
      <c r="G120" s="35"/>
      <c r="H120" s="92" t="s">
        <v>288</v>
      </c>
      <c r="I120" s="38"/>
      <c r="J120" s="35"/>
      <c r="K120" s="2724">
        <f>SUM(K113:K119)</f>
        <v>0</v>
      </c>
      <c r="L120" s="2724">
        <f>SUM(L113:L119)</f>
        <v>0</v>
      </c>
      <c r="M120" s="2724">
        <f>SUM(M113:M119)</f>
        <v>0</v>
      </c>
      <c r="N120" s="2724">
        <f>SUM(N113:N119)</f>
        <v>0</v>
      </c>
      <c r="O120" s="2724">
        <f>SUM(O113:O119)</f>
        <v>0</v>
      </c>
      <c r="P120" s="2724">
        <f t="shared" si="671"/>
        <v>0</v>
      </c>
      <c r="S120" s="3725"/>
      <c r="T120" s="3726"/>
      <c r="U120" s="3726"/>
      <c r="V120" s="3726"/>
      <c r="W120" s="3727"/>
      <c r="X120" s="1184"/>
      <c r="AA120" s="253"/>
      <c r="AB120" s="256"/>
      <c r="AC120" s="1184"/>
      <c r="AF120" s="253"/>
      <c r="AG120" s="256"/>
      <c r="AH120" s="1184"/>
      <c r="AK120" s="253"/>
      <c r="AL120" s="256"/>
      <c r="AM120" s="1184"/>
      <c r="AP120" s="253"/>
      <c r="AQ120" s="256"/>
      <c r="AR120" s="257"/>
      <c r="AS120" s="257"/>
      <c r="AT120" s="257"/>
      <c r="AU120" s="257"/>
      <c r="AV120" s="257"/>
      <c r="AW120" s="257"/>
      <c r="AX120" s="256"/>
      <c r="AY120" s="253"/>
      <c r="BB120" s="257"/>
      <c r="BC120" s="256"/>
      <c r="BD120" s="253"/>
      <c r="MX120" s="255"/>
      <c r="NM120" s="251"/>
      <c r="OZ120" s="1798">
        <v>116</v>
      </c>
    </row>
    <row r="121" spans="1:416" ht="9" customHeight="1">
      <c r="A121" s="6"/>
      <c r="B121" s="6"/>
      <c r="C121" s="77"/>
      <c r="D121" s="77"/>
      <c r="E121" s="77"/>
      <c r="F121" s="77"/>
      <c r="G121" s="77"/>
      <c r="H121" s="40"/>
      <c r="I121" s="77"/>
      <c r="J121" s="77"/>
      <c r="K121" s="77"/>
      <c r="L121" s="77"/>
      <c r="M121" s="77"/>
      <c r="N121" s="77"/>
      <c r="O121" s="77"/>
      <c r="P121" s="35"/>
      <c r="S121" s="135" t="str">
        <f>C122</f>
        <v>PBV</v>
      </c>
      <c r="T121" s="60"/>
      <c r="U121" s="261"/>
      <c r="AY121" s="253"/>
      <c r="BD121" s="253"/>
      <c r="MX121" s="255"/>
      <c r="NM121" s="251"/>
      <c r="OZ121" s="1799">
        <v>117</v>
      </c>
    </row>
    <row r="122" spans="1:416" ht="13.5" customHeight="1">
      <c r="A122" s="785"/>
      <c r="B122" s="785"/>
      <c r="C122" s="229" t="s">
        <v>1243</v>
      </c>
      <c r="D122" s="229"/>
      <c r="E122" s="229"/>
      <c r="F122" s="43"/>
      <c r="G122" s="35"/>
      <c r="H122" s="48" t="s">
        <v>1220</v>
      </c>
      <c r="I122" s="13"/>
      <c r="J122" s="35"/>
      <c r="K122" s="2728">
        <f>ED58</f>
        <v>0</v>
      </c>
      <c r="L122" s="2729">
        <f t="shared" ref="L122:O122" si="672">EE58</f>
        <v>0</v>
      </c>
      <c r="M122" s="2729">
        <f t="shared" si="672"/>
        <v>0</v>
      </c>
      <c r="N122" s="2729">
        <f t="shared" si="672"/>
        <v>0</v>
      </c>
      <c r="O122" s="2730">
        <f t="shared" si="672"/>
        <v>0</v>
      </c>
      <c r="P122" s="2721">
        <f t="shared" ref="P122:P129" si="673">SUM(K122:O122)</f>
        <v>0</v>
      </c>
      <c r="S122" s="3777"/>
      <c r="T122" s="3778"/>
      <c r="U122" s="3778"/>
      <c r="V122" s="3778"/>
      <c r="W122" s="3779"/>
      <c r="X122" s="253"/>
      <c r="AA122" s="253"/>
      <c r="AB122" s="256"/>
      <c r="AC122" s="253"/>
      <c r="AF122" s="253"/>
      <c r="AG122" s="256"/>
      <c r="AH122" s="253"/>
      <c r="AK122" s="253"/>
      <c r="AL122" s="256"/>
      <c r="AM122" s="253"/>
      <c r="AP122" s="253"/>
      <c r="AQ122" s="256"/>
      <c r="AR122" s="257"/>
      <c r="AS122" s="257"/>
      <c r="AT122" s="257"/>
      <c r="AU122" s="257"/>
      <c r="AV122" s="257"/>
      <c r="AW122" s="257"/>
      <c r="AX122" s="256"/>
      <c r="AY122" s="253"/>
      <c r="BB122" s="257"/>
      <c r="BC122" s="256"/>
      <c r="BD122" s="253"/>
      <c r="MX122" s="255"/>
      <c r="NM122" s="251"/>
      <c r="OZ122" s="1799">
        <v>118</v>
      </c>
    </row>
    <row r="123" spans="1:416" ht="13.5" customHeight="1">
      <c r="A123" s="785"/>
      <c r="B123" s="785"/>
      <c r="C123" s="13" t="s">
        <v>1240</v>
      </c>
      <c r="D123" s="229"/>
      <c r="E123" s="229"/>
      <c r="F123" s="43"/>
      <c r="G123" s="35"/>
      <c r="H123" s="48" t="s">
        <v>1222</v>
      </c>
      <c r="I123" s="13"/>
      <c r="J123" s="35"/>
      <c r="K123" s="787">
        <f>EI58</f>
        <v>0</v>
      </c>
      <c r="L123" s="788">
        <f t="shared" ref="L123:O123" si="674">EJ58</f>
        <v>0</v>
      </c>
      <c r="M123" s="788">
        <f t="shared" si="674"/>
        <v>0</v>
      </c>
      <c r="N123" s="788">
        <f t="shared" si="674"/>
        <v>0</v>
      </c>
      <c r="O123" s="789">
        <f t="shared" si="674"/>
        <v>0</v>
      </c>
      <c r="P123" s="762">
        <f t="shared" si="673"/>
        <v>0</v>
      </c>
      <c r="S123" s="3758"/>
      <c r="T123" s="3759"/>
      <c r="U123" s="3759"/>
      <c r="V123" s="3759"/>
      <c r="W123" s="3760"/>
      <c r="X123" s="253"/>
      <c r="AA123" s="253"/>
      <c r="AB123" s="256"/>
      <c r="AC123" s="253"/>
      <c r="AF123" s="253"/>
      <c r="AG123" s="256"/>
      <c r="AH123" s="253"/>
      <c r="AK123" s="253"/>
      <c r="AL123" s="256"/>
      <c r="AM123" s="253"/>
      <c r="AP123" s="253"/>
      <c r="AQ123" s="256"/>
      <c r="AR123" s="257"/>
      <c r="AS123" s="257"/>
      <c r="AT123" s="257"/>
      <c r="AU123" s="257"/>
      <c r="AV123" s="257"/>
      <c r="AW123" s="257"/>
      <c r="AX123" s="256"/>
      <c r="AY123" s="253"/>
      <c r="BB123" s="257"/>
      <c r="BC123" s="256"/>
      <c r="BD123" s="253"/>
      <c r="MX123" s="255"/>
      <c r="NM123" s="251"/>
      <c r="OZ123" s="1799">
        <v>119</v>
      </c>
    </row>
    <row r="124" spans="1:416" ht="13.5" customHeight="1">
      <c r="A124" s="785"/>
      <c r="B124" s="785"/>
      <c r="C124" s="229"/>
      <c r="D124" s="229"/>
      <c r="E124" s="229"/>
      <c r="F124" s="43"/>
      <c r="G124" s="35"/>
      <c r="H124" s="48" t="s">
        <v>1223</v>
      </c>
      <c r="I124" s="13"/>
      <c r="J124" s="35"/>
      <c r="K124" s="787">
        <f>EN58</f>
        <v>0</v>
      </c>
      <c r="L124" s="788">
        <f t="shared" ref="L124:O124" si="675">EO58</f>
        <v>0</v>
      </c>
      <c r="M124" s="788">
        <f t="shared" si="675"/>
        <v>0</v>
      </c>
      <c r="N124" s="788">
        <f t="shared" si="675"/>
        <v>0</v>
      </c>
      <c r="O124" s="789">
        <f t="shared" si="675"/>
        <v>0</v>
      </c>
      <c r="P124" s="762">
        <f t="shared" si="673"/>
        <v>0</v>
      </c>
      <c r="S124" s="3758"/>
      <c r="T124" s="3759"/>
      <c r="U124" s="3759"/>
      <c r="V124" s="3759"/>
      <c r="W124" s="3760"/>
      <c r="X124" s="253"/>
      <c r="AA124" s="253"/>
      <c r="AB124" s="256"/>
      <c r="AC124" s="253"/>
      <c r="AF124" s="253"/>
      <c r="AG124" s="256"/>
      <c r="AH124" s="253"/>
      <c r="AK124" s="253"/>
      <c r="AL124" s="256"/>
      <c r="AM124" s="253"/>
      <c r="AP124" s="253"/>
      <c r="AQ124" s="256"/>
      <c r="AR124" s="257"/>
      <c r="AS124" s="257"/>
      <c r="AT124" s="257"/>
      <c r="AU124" s="257"/>
      <c r="AV124" s="257"/>
      <c r="AW124" s="257"/>
      <c r="AX124" s="256"/>
      <c r="AY124" s="253"/>
      <c r="BB124" s="257"/>
      <c r="BC124" s="256"/>
      <c r="BD124" s="253"/>
      <c r="MX124" s="255"/>
      <c r="NM124" s="251"/>
      <c r="OZ124" s="1799">
        <v>120</v>
      </c>
    </row>
    <row r="125" spans="1:416" ht="13.5" customHeight="1">
      <c r="A125" s="785"/>
      <c r="B125" s="785"/>
      <c r="C125" s="229"/>
      <c r="D125" s="229"/>
      <c r="E125" s="229"/>
      <c r="F125" s="43"/>
      <c r="G125" s="35"/>
      <c r="H125" s="48" t="s">
        <v>1224</v>
      </c>
      <c r="I125" s="13"/>
      <c r="J125" s="655"/>
      <c r="K125" s="793">
        <f>ES58</f>
        <v>0</v>
      </c>
      <c r="L125" s="794">
        <f t="shared" ref="L125:O125" si="676">ET58</f>
        <v>0</v>
      </c>
      <c r="M125" s="794">
        <f t="shared" si="676"/>
        <v>0</v>
      </c>
      <c r="N125" s="794">
        <f t="shared" si="676"/>
        <v>0</v>
      </c>
      <c r="O125" s="795">
        <f t="shared" si="676"/>
        <v>0</v>
      </c>
      <c r="P125" s="332">
        <f t="shared" si="673"/>
        <v>0</v>
      </c>
      <c r="S125" s="3758"/>
      <c r="T125" s="3759"/>
      <c r="U125" s="3759"/>
      <c r="V125" s="3759"/>
      <c r="W125" s="3760"/>
      <c r="X125" s="253"/>
      <c r="AA125" s="253"/>
      <c r="AB125" s="256"/>
      <c r="AC125" s="253"/>
      <c r="AF125" s="253"/>
      <c r="AG125" s="256"/>
      <c r="AH125" s="253"/>
      <c r="AK125" s="253"/>
      <c r="AL125" s="256"/>
      <c r="AM125" s="253"/>
      <c r="AP125" s="253"/>
      <c r="AQ125" s="256"/>
      <c r="AR125" s="257"/>
      <c r="AS125" s="257"/>
      <c r="AT125" s="257"/>
      <c r="AU125" s="257"/>
      <c r="AV125" s="257"/>
      <c r="AW125" s="257"/>
      <c r="AX125" s="256"/>
      <c r="AY125" s="253"/>
      <c r="BB125" s="257"/>
      <c r="BC125" s="256"/>
      <c r="BD125" s="253"/>
      <c r="MX125" s="255"/>
      <c r="NM125" s="251"/>
      <c r="OZ125" s="1799">
        <v>121</v>
      </c>
    </row>
    <row r="126" spans="1:416" ht="13.5" customHeight="1">
      <c r="A126" s="785"/>
      <c r="B126" s="785"/>
      <c r="C126" s="229"/>
      <c r="D126" s="229"/>
      <c r="E126" s="229"/>
      <c r="F126" s="43"/>
      <c r="G126" s="35"/>
      <c r="H126" s="48" t="s">
        <v>1225</v>
      </c>
      <c r="I126" s="13"/>
      <c r="J126" s="655"/>
      <c r="K126" s="787">
        <f>EX58</f>
        <v>0</v>
      </c>
      <c r="L126" s="788">
        <f t="shared" ref="L126:O126" si="677">EY58</f>
        <v>0</v>
      </c>
      <c r="M126" s="788">
        <f t="shared" si="677"/>
        <v>0</v>
      </c>
      <c r="N126" s="788">
        <f t="shared" si="677"/>
        <v>0</v>
      </c>
      <c r="O126" s="789">
        <f t="shared" si="677"/>
        <v>0</v>
      </c>
      <c r="P126" s="762">
        <f t="shared" si="673"/>
        <v>0</v>
      </c>
      <c r="S126" s="3758"/>
      <c r="T126" s="3759"/>
      <c r="U126" s="3759"/>
      <c r="V126" s="3759"/>
      <c r="W126" s="3760"/>
      <c r="X126" s="253"/>
      <c r="AA126" s="253"/>
      <c r="AB126" s="256"/>
      <c r="AC126" s="253"/>
      <c r="AF126" s="253"/>
      <c r="AG126" s="256"/>
      <c r="AH126" s="253"/>
      <c r="AK126" s="253"/>
      <c r="AL126" s="256"/>
      <c r="AM126" s="253"/>
      <c r="AP126" s="253"/>
      <c r="AQ126" s="256"/>
      <c r="AR126" s="257"/>
      <c r="AS126" s="257"/>
      <c r="AT126" s="257"/>
      <c r="AU126" s="257"/>
      <c r="AV126" s="257"/>
      <c r="AW126" s="257"/>
      <c r="AX126" s="256"/>
      <c r="AY126" s="253"/>
      <c r="BB126" s="257"/>
      <c r="BC126" s="256"/>
      <c r="BD126" s="253"/>
      <c r="MX126" s="255"/>
      <c r="NM126" s="251"/>
      <c r="OZ126" s="1801">
        <v>122</v>
      </c>
    </row>
    <row r="127" spans="1:416" ht="13.5" customHeight="1">
      <c r="A127" s="785"/>
      <c r="B127" s="785"/>
      <c r="C127" s="229"/>
      <c r="D127" s="229"/>
      <c r="E127" s="229"/>
      <c r="F127" s="43"/>
      <c r="G127" s="35"/>
      <c r="H127" s="48" t="s">
        <v>1226</v>
      </c>
      <c r="I127" s="13"/>
      <c r="J127" s="35"/>
      <c r="K127" s="787">
        <f>FC58</f>
        <v>0</v>
      </c>
      <c r="L127" s="788">
        <f t="shared" ref="L127:O127" si="678">FD58</f>
        <v>0</v>
      </c>
      <c r="M127" s="788">
        <f t="shared" si="678"/>
        <v>0</v>
      </c>
      <c r="N127" s="788">
        <f t="shared" si="678"/>
        <v>0</v>
      </c>
      <c r="O127" s="789">
        <f t="shared" si="678"/>
        <v>0</v>
      </c>
      <c r="P127" s="762">
        <f t="shared" si="673"/>
        <v>0</v>
      </c>
      <c r="S127" s="3758"/>
      <c r="T127" s="3759"/>
      <c r="U127" s="3759"/>
      <c r="V127" s="3759"/>
      <c r="W127" s="3760"/>
      <c r="X127" s="253"/>
      <c r="AA127" s="253"/>
      <c r="AB127" s="256"/>
      <c r="AC127" s="253"/>
      <c r="AF127" s="253"/>
      <c r="AG127" s="256"/>
      <c r="AH127" s="253"/>
      <c r="AK127" s="253"/>
      <c r="AL127" s="256"/>
      <c r="AM127" s="253"/>
      <c r="AP127" s="253"/>
      <c r="AQ127" s="256"/>
      <c r="AR127" s="257"/>
      <c r="AS127" s="257"/>
      <c r="AT127" s="257"/>
      <c r="AU127" s="257"/>
      <c r="AV127" s="257"/>
      <c r="AW127" s="257"/>
      <c r="AX127" s="256"/>
      <c r="AY127" s="253"/>
      <c r="BB127" s="257"/>
      <c r="BC127" s="256"/>
      <c r="BD127" s="253"/>
      <c r="MX127" s="255"/>
      <c r="NM127" s="251"/>
      <c r="OZ127" s="1799">
        <v>123</v>
      </c>
    </row>
    <row r="128" spans="1:416" ht="13.5" customHeight="1">
      <c r="A128" s="785"/>
      <c r="B128" s="785"/>
      <c r="C128" s="229"/>
      <c r="D128" s="229"/>
      <c r="E128" s="229"/>
      <c r="F128" s="43"/>
      <c r="G128" s="35"/>
      <c r="H128" s="48" t="s">
        <v>1227</v>
      </c>
      <c r="I128" s="13"/>
      <c r="J128" s="35"/>
      <c r="K128" s="790">
        <f>FH58</f>
        <v>0</v>
      </c>
      <c r="L128" s="791">
        <f t="shared" ref="L128:O128" si="679">FI58</f>
        <v>0</v>
      </c>
      <c r="M128" s="791">
        <f t="shared" si="679"/>
        <v>0</v>
      </c>
      <c r="N128" s="791">
        <f t="shared" si="679"/>
        <v>0</v>
      </c>
      <c r="O128" s="792">
        <f t="shared" si="679"/>
        <v>0</v>
      </c>
      <c r="P128" s="546">
        <f t="shared" si="673"/>
        <v>0</v>
      </c>
      <c r="S128" s="3758"/>
      <c r="T128" s="3759"/>
      <c r="U128" s="3759"/>
      <c r="V128" s="3759"/>
      <c r="W128" s="3760"/>
      <c r="X128" s="256"/>
      <c r="AA128" s="253"/>
      <c r="AB128" s="256"/>
      <c r="AC128" s="256"/>
      <c r="AF128" s="253"/>
      <c r="AG128" s="256"/>
      <c r="AH128" s="256"/>
      <c r="AK128" s="253"/>
      <c r="AL128" s="256"/>
      <c r="AM128" s="256"/>
      <c r="AP128" s="253"/>
      <c r="AQ128" s="256"/>
      <c r="AR128" s="257"/>
      <c r="AS128" s="257"/>
      <c r="AT128" s="257"/>
      <c r="AU128" s="257"/>
      <c r="AV128" s="257"/>
      <c r="AW128" s="257"/>
      <c r="AX128" s="256"/>
      <c r="AY128" s="253"/>
      <c r="BB128" s="257"/>
      <c r="BC128" s="256"/>
      <c r="BD128" s="253"/>
      <c r="MX128" s="255"/>
      <c r="NM128" s="251"/>
      <c r="OZ128" s="1798">
        <v>124</v>
      </c>
    </row>
    <row r="129" spans="1:416" ht="15" customHeight="1">
      <c r="A129" s="785"/>
      <c r="B129" s="785"/>
      <c r="C129" s="35"/>
      <c r="D129" s="43"/>
      <c r="E129" s="48"/>
      <c r="F129" s="43"/>
      <c r="G129" s="35"/>
      <c r="H129" s="92" t="s">
        <v>288</v>
      </c>
      <c r="I129" s="38"/>
      <c r="J129" s="35"/>
      <c r="K129" s="2724">
        <f>SUM(K122:K128)</f>
        <v>0</v>
      </c>
      <c r="L129" s="2724">
        <f>SUM(L122:L128)</f>
        <v>0</v>
      </c>
      <c r="M129" s="2724">
        <f>SUM(M122:M128)</f>
        <v>0</v>
      </c>
      <c r="N129" s="2724">
        <f>SUM(N122:N128)</f>
        <v>0</v>
      </c>
      <c r="O129" s="2724">
        <f>SUM(O122:O128)</f>
        <v>0</v>
      </c>
      <c r="P129" s="2724">
        <f t="shared" si="673"/>
        <v>0</v>
      </c>
      <c r="S129" s="3725"/>
      <c r="T129" s="3726"/>
      <c r="U129" s="3726"/>
      <c r="V129" s="3726"/>
      <c r="W129" s="3727"/>
      <c r="X129" s="1184"/>
      <c r="AA129" s="253"/>
      <c r="AB129" s="256"/>
      <c r="AC129" s="1184"/>
      <c r="AF129" s="253"/>
      <c r="AG129" s="256"/>
      <c r="AH129" s="1184"/>
      <c r="AK129" s="253"/>
      <c r="AL129" s="256"/>
      <c r="AM129" s="1184"/>
      <c r="AP129" s="253"/>
      <c r="AQ129" s="256"/>
      <c r="AR129" s="257"/>
      <c r="AS129" s="257"/>
      <c r="AT129" s="257"/>
      <c r="AU129" s="257"/>
      <c r="AV129" s="257"/>
      <c r="AW129" s="257"/>
      <c r="AX129" s="256"/>
      <c r="AY129" s="253"/>
      <c r="BB129" s="257"/>
      <c r="BC129" s="256"/>
      <c r="BD129" s="253"/>
      <c r="MX129" s="255"/>
      <c r="NM129" s="251"/>
      <c r="OZ129" s="1799">
        <v>125</v>
      </c>
    </row>
    <row r="130" spans="1:416" ht="9" customHeight="1">
      <c r="A130" s="785"/>
      <c r="B130" s="785"/>
      <c r="C130" s="77"/>
      <c r="D130" s="490"/>
      <c r="E130" s="48"/>
      <c r="F130" s="43"/>
      <c r="G130" s="35"/>
      <c r="H130" s="48"/>
      <c r="I130" s="13"/>
      <c r="J130" s="35"/>
      <c r="K130" s="2361"/>
      <c r="L130" s="2361"/>
      <c r="M130" s="2361"/>
      <c r="N130" s="2361"/>
      <c r="O130" s="2361"/>
      <c r="P130" s="2361"/>
      <c r="S130" s="135" t="str">
        <f>C131</f>
        <v>Type of Construction Activity</v>
      </c>
      <c r="U130" s="225"/>
      <c r="X130" s="253"/>
      <c r="AA130" s="253"/>
      <c r="AB130" s="256"/>
      <c r="AC130" s="253"/>
      <c r="AF130" s="253"/>
      <c r="AG130" s="256"/>
      <c r="AH130" s="253"/>
      <c r="AK130" s="253"/>
      <c r="AL130" s="256"/>
      <c r="AM130" s="253"/>
      <c r="AP130" s="253"/>
      <c r="AQ130" s="256"/>
      <c r="AR130" s="253"/>
      <c r="AS130" s="253"/>
      <c r="AT130" s="253"/>
      <c r="AU130" s="253"/>
      <c r="AV130" s="253"/>
      <c r="AW130" s="253"/>
      <c r="AY130" s="253"/>
      <c r="BB130" s="253"/>
      <c r="BD130" s="253"/>
      <c r="MX130" s="255"/>
      <c r="NM130" s="251"/>
      <c r="OZ130" s="1799">
        <v>126</v>
      </c>
    </row>
    <row r="131" spans="1:416" ht="13.05" customHeight="1">
      <c r="A131" s="785"/>
      <c r="B131" s="785"/>
      <c r="C131" s="3775" t="s">
        <v>1244</v>
      </c>
      <c r="D131" s="3775"/>
      <c r="E131" s="48" t="s">
        <v>1245</v>
      </c>
      <c r="F131" s="43"/>
      <c r="G131" s="35"/>
      <c r="H131" s="48" t="s">
        <v>1246</v>
      </c>
      <c r="I131" s="13"/>
      <c r="J131" s="35"/>
      <c r="K131" s="2718">
        <f>HP58</f>
        <v>0</v>
      </c>
      <c r="L131" s="2719">
        <f>HQ58</f>
        <v>0</v>
      </c>
      <c r="M131" s="2719">
        <f>HR58</f>
        <v>0</v>
      </c>
      <c r="N131" s="2719">
        <f>HS58</f>
        <v>0</v>
      </c>
      <c r="O131" s="2720">
        <f>HT58</f>
        <v>0</v>
      </c>
      <c r="P131" s="2721">
        <f t="shared" ref="P131:P141" si="680">SUM(K131:O131)</f>
        <v>0</v>
      </c>
      <c r="S131" s="3777"/>
      <c r="T131" s="3778"/>
      <c r="U131" s="3778"/>
      <c r="V131" s="3778"/>
      <c r="W131" s="3779"/>
      <c r="X131" s="253"/>
      <c r="AA131" s="253"/>
      <c r="AB131" s="256"/>
      <c r="AC131" s="253"/>
      <c r="AF131" s="253"/>
      <c r="AG131" s="256"/>
      <c r="AH131" s="253"/>
      <c r="AK131" s="253"/>
      <c r="AL131" s="256"/>
      <c r="AM131" s="253"/>
      <c r="AP131" s="253"/>
      <c r="AQ131" s="256"/>
      <c r="AR131" s="257"/>
      <c r="AS131" s="257"/>
      <c r="AT131" s="257"/>
      <c r="AU131" s="257"/>
      <c r="AV131" s="257"/>
      <c r="AW131" s="257"/>
      <c r="BB131" s="257"/>
      <c r="LF131" s="251"/>
      <c r="LK131" s="251"/>
      <c r="LP131" s="251"/>
      <c r="LU131" s="251"/>
      <c r="LV131" s="251"/>
      <c r="LW131" s="251"/>
      <c r="LX131" s="251"/>
      <c r="LY131" s="251"/>
      <c r="LZ131" s="251"/>
      <c r="MA131" s="251"/>
      <c r="MB131" s="251"/>
      <c r="MC131" s="251"/>
      <c r="MD131" s="251"/>
      <c r="ME131" s="251"/>
      <c r="MF131" s="251"/>
      <c r="MG131" s="251"/>
      <c r="MH131" s="251"/>
      <c r="MI131" s="251"/>
      <c r="MJ131" s="251"/>
      <c r="MK131" s="251"/>
      <c r="ML131" s="251"/>
      <c r="MM131" s="251"/>
      <c r="MN131" s="251"/>
      <c r="MO131" s="251"/>
      <c r="MP131" s="251"/>
      <c r="MX131" s="255"/>
      <c r="NM131" s="251"/>
      <c r="OZ131" s="1798">
        <v>127</v>
      </c>
    </row>
    <row r="132" spans="1:416" ht="13.05" customHeight="1">
      <c r="A132" s="785"/>
      <c r="B132" s="785"/>
      <c r="C132" s="3775"/>
      <c r="D132" s="3775"/>
      <c r="E132" s="48"/>
      <c r="F132" s="43"/>
      <c r="G132" s="35"/>
      <c r="H132" s="48" t="s">
        <v>1160</v>
      </c>
      <c r="I132" s="13"/>
      <c r="J132" s="35"/>
      <c r="K132" s="2358">
        <f>HU58</f>
        <v>0</v>
      </c>
      <c r="L132" s="2359">
        <f>HV58</f>
        <v>0</v>
      </c>
      <c r="M132" s="2359">
        <f>HW58</f>
        <v>0</v>
      </c>
      <c r="N132" s="2359">
        <f>HX58</f>
        <v>0</v>
      </c>
      <c r="O132" s="2360">
        <f>HY58</f>
        <v>0</v>
      </c>
      <c r="P132" s="546">
        <f t="shared" si="680"/>
        <v>0</v>
      </c>
      <c r="S132" s="3758"/>
      <c r="T132" s="3759"/>
      <c r="U132" s="3759"/>
      <c r="V132" s="3759"/>
      <c r="W132" s="3760"/>
      <c r="X132" s="253"/>
      <c r="AA132" s="253"/>
      <c r="AB132" s="256"/>
      <c r="AC132" s="253"/>
      <c r="AF132" s="253"/>
      <c r="AG132" s="256"/>
      <c r="AH132" s="253"/>
      <c r="AK132" s="253"/>
      <c r="AL132" s="256"/>
      <c r="AM132" s="253"/>
      <c r="AP132" s="253"/>
      <c r="AQ132" s="256"/>
      <c r="AR132" s="257"/>
      <c r="AS132" s="257"/>
      <c r="AT132" s="257"/>
      <c r="AU132" s="257"/>
      <c r="AV132" s="257"/>
      <c r="AW132" s="257"/>
      <c r="AX132" s="590"/>
      <c r="AY132" s="253"/>
      <c r="BB132" s="257"/>
      <c r="BC132" s="590"/>
      <c r="BD132" s="253"/>
      <c r="MX132" s="255"/>
      <c r="NM132" s="251"/>
      <c r="OZ132" s="1799">
        <v>128</v>
      </c>
    </row>
    <row r="133" spans="1:416" ht="14.25" customHeight="1">
      <c r="A133" s="785"/>
      <c r="B133" s="785"/>
      <c r="C133" s="3775"/>
      <c r="D133" s="3775"/>
      <c r="E133" s="48"/>
      <c r="F133" s="43"/>
      <c r="G133" s="35"/>
      <c r="H133" s="92" t="s">
        <v>1247</v>
      </c>
      <c r="I133" s="482" t="s">
        <v>1248</v>
      </c>
      <c r="J133" s="1509">
        <f>IF(P76=0,0,P133/P76)</f>
        <v>0</v>
      </c>
      <c r="K133" s="2731">
        <f>SUM(K131:K132)+HZ58</f>
        <v>0</v>
      </c>
      <c r="L133" s="2731">
        <f>SUM(L131:L132)+IA58</f>
        <v>0</v>
      </c>
      <c r="M133" s="2731">
        <f>SUM(M131:M132)+IB58</f>
        <v>0</v>
      </c>
      <c r="N133" s="2731">
        <f>SUM(N131:N132)+IC58</f>
        <v>0</v>
      </c>
      <c r="O133" s="2731">
        <f>SUM(O131:O132)+ID58</f>
        <v>0</v>
      </c>
      <c r="P133" s="2731">
        <f t="shared" si="680"/>
        <v>0</v>
      </c>
      <c r="S133" s="3758"/>
      <c r="T133" s="3759"/>
      <c r="U133" s="3759"/>
      <c r="V133" s="3759"/>
      <c r="W133" s="3760"/>
      <c r="X133" s="1184"/>
      <c r="AA133" s="253"/>
      <c r="AB133" s="256"/>
      <c r="AC133" s="1184"/>
      <c r="AF133" s="253"/>
      <c r="AG133" s="256"/>
      <c r="AH133" s="1184"/>
      <c r="AK133" s="253"/>
      <c r="AL133" s="256"/>
      <c r="AM133" s="1184"/>
      <c r="AP133" s="253"/>
      <c r="AQ133" s="256"/>
      <c r="AR133" s="257"/>
      <c r="AS133" s="257"/>
      <c r="AT133" s="257"/>
      <c r="AU133" s="257"/>
      <c r="AV133" s="257"/>
      <c r="AW133" s="257"/>
      <c r="AX133" s="256"/>
      <c r="AY133" s="253"/>
      <c r="BB133" s="257"/>
      <c r="BC133" s="256"/>
      <c r="BD133" s="253"/>
      <c r="MX133" s="255"/>
      <c r="NM133" s="251"/>
      <c r="OZ133" s="1799">
        <v>129</v>
      </c>
    </row>
    <row r="134" spans="1:416" ht="13.05" customHeight="1">
      <c r="A134" s="785"/>
      <c r="B134" s="785"/>
      <c r="C134" s="3775"/>
      <c r="D134" s="3775"/>
      <c r="E134" s="48" t="s">
        <v>1249</v>
      </c>
      <c r="F134" s="43"/>
      <c r="G134" s="35"/>
      <c r="H134" s="48" t="s">
        <v>1246</v>
      </c>
      <c r="I134" s="13"/>
      <c r="J134" s="35"/>
      <c r="K134" s="2718">
        <f>IE58</f>
        <v>0</v>
      </c>
      <c r="L134" s="2719">
        <f>IF58</f>
        <v>24</v>
      </c>
      <c r="M134" s="2719">
        <f>IG58</f>
        <v>48</v>
      </c>
      <c r="N134" s="2719">
        <f>IH58</f>
        <v>24</v>
      </c>
      <c r="O134" s="2720">
        <f>II58</f>
        <v>0</v>
      </c>
      <c r="P134" s="2721">
        <f t="shared" si="680"/>
        <v>96</v>
      </c>
      <c r="S134" s="3758"/>
      <c r="T134" s="3759"/>
      <c r="U134" s="3759"/>
      <c r="V134" s="3759"/>
      <c r="W134" s="3760"/>
      <c r="X134" s="253"/>
      <c r="AA134" s="253"/>
      <c r="AB134" s="256"/>
      <c r="AC134" s="253"/>
      <c r="AF134" s="253"/>
      <c r="AG134" s="256"/>
      <c r="AH134" s="253"/>
      <c r="AK134" s="253"/>
      <c r="AL134" s="256"/>
      <c r="AM134" s="253"/>
      <c r="AP134" s="253"/>
      <c r="AQ134" s="256"/>
      <c r="AR134" s="257"/>
      <c r="AS134" s="257"/>
      <c r="AT134" s="257"/>
      <c r="AU134" s="257"/>
      <c r="AV134" s="257"/>
      <c r="AW134" s="257"/>
      <c r="BB134" s="257"/>
      <c r="LF134" s="251"/>
      <c r="LK134" s="251"/>
      <c r="LP134" s="251"/>
      <c r="LU134" s="251"/>
      <c r="LV134" s="251"/>
      <c r="LW134" s="251"/>
      <c r="LX134" s="251"/>
      <c r="LY134" s="251"/>
      <c r="LZ134" s="251"/>
      <c r="MA134" s="251"/>
      <c r="MB134" s="251"/>
      <c r="MC134" s="251"/>
      <c r="MD134" s="251"/>
      <c r="ME134" s="251"/>
      <c r="MF134" s="251"/>
      <c r="MG134" s="251"/>
      <c r="MH134" s="251"/>
      <c r="MI134" s="251"/>
      <c r="MJ134" s="251"/>
      <c r="MK134" s="251"/>
      <c r="ML134" s="251"/>
      <c r="MM134" s="251"/>
      <c r="MN134" s="251"/>
      <c r="MO134" s="251"/>
      <c r="MP134" s="251"/>
      <c r="MX134" s="255"/>
      <c r="NM134" s="251"/>
      <c r="OZ134" s="1799">
        <v>130</v>
      </c>
    </row>
    <row r="135" spans="1:416" ht="13.05" customHeight="1">
      <c r="A135" s="785"/>
      <c r="B135" s="785"/>
      <c r="C135" s="3775"/>
      <c r="D135" s="3775"/>
      <c r="E135" s="48"/>
      <c r="F135" s="43"/>
      <c r="G135" s="35"/>
      <c r="H135" s="48" t="s">
        <v>1160</v>
      </c>
      <c r="I135" s="13"/>
      <c r="J135" s="35"/>
      <c r="K135" s="2358">
        <f>IJ58</f>
        <v>0</v>
      </c>
      <c r="L135" s="2359">
        <f>IK58</f>
        <v>0</v>
      </c>
      <c r="M135" s="2359">
        <f>IL58</f>
        <v>0</v>
      </c>
      <c r="N135" s="2359">
        <f>IM58</f>
        <v>0</v>
      </c>
      <c r="O135" s="2360">
        <f>IN58</f>
        <v>0</v>
      </c>
      <c r="P135" s="546">
        <f t="shared" si="680"/>
        <v>0</v>
      </c>
      <c r="S135" s="3758"/>
      <c r="T135" s="3759"/>
      <c r="U135" s="3759"/>
      <c r="V135" s="3759"/>
      <c r="W135" s="3760"/>
      <c r="X135" s="253"/>
      <c r="AA135" s="253"/>
      <c r="AB135" s="256"/>
      <c r="AC135" s="253"/>
      <c r="AF135" s="253"/>
      <c r="AG135" s="256"/>
      <c r="AH135" s="253"/>
      <c r="AK135" s="253"/>
      <c r="AL135" s="256"/>
      <c r="AM135" s="253"/>
      <c r="AP135" s="253"/>
      <c r="AQ135" s="256"/>
      <c r="AR135" s="257"/>
      <c r="AS135" s="257"/>
      <c r="AT135" s="257"/>
      <c r="AU135" s="257"/>
      <c r="AV135" s="257"/>
      <c r="AW135" s="257"/>
      <c r="AX135" s="590"/>
      <c r="AY135" s="253"/>
      <c r="BB135" s="257"/>
      <c r="BC135" s="590"/>
      <c r="BD135" s="253"/>
      <c r="MX135" s="255"/>
      <c r="NM135" s="251"/>
      <c r="OZ135" s="1799">
        <v>131</v>
      </c>
    </row>
    <row r="136" spans="1:416" ht="14.25" customHeight="1">
      <c r="A136" s="785"/>
      <c r="B136" s="785"/>
      <c r="C136" s="3775"/>
      <c r="D136" s="3775"/>
      <c r="E136" s="48"/>
      <c r="F136" s="43"/>
      <c r="G136" s="35"/>
      <c r="H136" s="92" t="s">
        <v>1247</v>
      </c>
      <c r="I136" s="482" t="s">
        <v>1248</v>
      </c>
      <c r="J136" s="1509">
        <f>IF(P76=0,0,P136/P76)</f>
        <v>1</v>
      </c>
      <c r="K136" s="2731">
        <f>SUM(K134:K135)+IO58</f>
        <v>0</v>
      </c>
      <c r="L136" s="2731">
        <f>SUM(L134:L135)+IP58</f>
        <v>24</v>
      </c>
      <c r="M136" s="2731">
        <f>SUM(M134:M135)+IQ58</f>
        <v>48</v>
      </c>
      <c r="N136" s="2731">
        <f>SUM(N134:N135)+IR58</f>
        <v>24</v>
      </c>
      <c r="O136" s="2731">
        <f>SUM(O134:O135)+IS58</f>
        <v>0</v>
      </c>
      <c r="P136" s="2731">
        <f t="shared" si="680"/>
        <v>96</v>
      </c>
      <c r="S136" s="3758"/>
      <c r="T136" s="3759"/>
      <c r="U136" s="3759"/>
      <c r="V136" s="3759"/>
      <c r="W136" s="3760"/>
      <c r="X136" s="1184"/>
      <c r="AA136" s="253"/>
      <c r="AB136" s="256"/>
      <c r="AC136" s="1184"/>
      <c r="AF136" s="253"/>
      <c r="AG136" s="256"/>
      <c r="AH136" s="1184"/>
      <c r="AK136" s="253"/>
      <c r="AL136" s="256"/>
      <c r="AM136" s="1184"/>
      <c r="AP136" s="253"/>
      <c r="AQ136" s="256"/>
      <c r="AR136" s="257"/>
      <c r="AS136" s="257"/>
      <c r="AT136" s="257"/>
      <c r="AU136" s="257"/>
      <c r="AV136" s="257"/>
      <c r="AW136" s="257"/>
      <c r="AX136" s="256"/>
      <c r="AY136" s="253"/>
      <c r="BB136" s="257"/>
      <c r="BC136" s="256"/>
      <c r="BD136" s="253"/>
      <c r="MX136" s="255"/>
      <c r="NM136" s="251"/>
      <c r="OZ136" s="1798">
        <v>132</v>
      </c>
    </row>
    <row r="137" spans="1:416" ht="13.05" customHeight="1">
      <c r="A137" s="785"/>
      <c r="B137" s="785"/>
      <c r="C137" s="508"/>
      <c r="D137" s="43"/>
      <c r="E137" s="3780" t="s">
        <v>1250</v>
      </c>
      <c r="F137" s="3780"/>
      <c r="G137" s="35"/>
      <c r="H137" s="48" t="s">
        <v>1246</v>
      </c>
      <c r="I137" s="13"/>
      <c r="J137" s="35"/>
      <c r="K137" s="2718">
        <f>IT58</f>
        <v>0</v>
      </c>
      <c r="L137" s="2719">
        <f>IU58</f>
        <v>0</v>
      </c>
      <c r="M137" s="2719">
        <f>IV58</f>
        <v>0</v>
      </c>
      <c r="N137" s="2719">
        <f>IW58</f>
        <v>0</v>
      </c>
      <c r="O137" s="2720">
        <f>IX58</f>
        <v>0</v>
      </c>
      <c r="P137" s="2721">
        <f t="shared" si="680"/>
        <v>0</v>
      </c>
      <c r="S137" s="3758"/>
      <c r="T137" s="3759"/>
      <c r="U137" s="3759"/>
      <c r="V137" s="3759"/>
      <c r="W137" s="3760"/>
      <c r="X137" s="253"/>
      <c r="AA137" s="253"/>
      <c r="AB137" s="256"/>
      <c r="AC137" s="253"/>
      <c r="AF137" s="253"/>
      <c r="AG137" s="256"/>
      <c r="AH137" s="253"/>
      <c r="AK137" s="253"/>
      <c r="AL137" s="256"/>
      <c r="AM137" s="253"/>
      <c r="AP137" s="253"/>
      <c r="AQ137" s="256"/>
      <c r="AR137" s="257"/>
      <c r="AS137" s="257"/>
      <c r="AT137" s="257"/>
      <c r="AU137" s="257"/>
      <c r="AV137" s="257"/>
      <c r="AW137" s="257"/>
      <c r="BB137" s="257"/>
      <c r="LF137" s="251"/>
      <c r="LK137" s="251"/>
      <c r="LP137" s="251"/>
      <c r="LU137" s="251"/>
      <c r="LV137" s="251"/>
      <c r="LW137" s="251"/>
      <c r="LX137" s="251"/>
      <c r="LY137" s="251"/>
      <c r="LZ137" s="251"/>
      <c r="MA137" s="251"/>
      <c r="MB137" s="251"/>
      <c r="MC137" s="251"/>
      <c r="MD137" s="251"/>
      <c r="ME137" s="251"/>
      <c r="MF137" s="251"/>
      <c r="MG137" s="251"/>
      <c r="MH137" s="251"/>
      <c r="MI137" s="251"/>
      <c r="MJ137" s="251"/>
      <c r="MK137" s="251"/>
      <c r="ML137" s="251"/>
      <c r="MM137" s="251"/>
      <c r="MN137" s="251"/>
      <c r="MO137" s="251"/>
      <c r="MP137" s="251"/>
      <c r="MX137" s="255"/>
      <c r="NM137" s="251"/>
      <c r="OZ137" s="1799">
        <v>133</v>
      </c>
    </row>
    <row r="138" spans="1:416" ht="13.05" customHeight="1">
      <c r="A138" s="785"/>
      <c r="B138" s="785"/>
      <c r="C138" s="508"/>
      <c r="D138" s="43"/>
      <c r="E138" s="3780"/>
      <c r="F138" s="3780"/>
      <c r="G138" s="35"/>
      <c r="H138" s="48" t="s">
        <v>1160</v>
      </c>
      <c r="I138" s="13"/>
      <c r="J138" s="35"/>
      <c r="K138" s="2358">
        <f>IY58</f>
        <v>0</v>
      </c>
      <c r="L138" s="2359">
        <f>IZ58</f>
        <v>0</v>
      </c>
      <c r="M138" s="2359">
        <f>JA58</f>
        <v>0</v>
      </c>
      <c r="N138" s="2359">
        <f>JB58</f>
        <v>0</v>
      </c>
      <c r="O138" s="2360">
        <f>JC58</f>
        <v>0</v>
      </c>
      <c r="P138" s="546">
        <f t="shared" si="680"/>
        <v>0</v>
      </c>
      <c r="S138" s="3758"/>
      <c r="T138" s="3759"/>
      <c r="U138" s="3759"/>
      <c r="V138" s="3759"/>
      <c r="W138" s="3760"/>
      <c r="X138" s="253"/>
      <c r="AA138" s="253"/>
      <c r="AB138" s="256"/>
      <c r="AC138" s="253"/>
      <c r="AF138" s="253"/>
      <c r="AG138" s="256"/>
      <c r="AH138" s="253"/>
      <c r="AK138" s="253"/>
      <c r="AL138" s="256"/>
      <c r="AM138" s="253"/>
      <c r="AP138" s="253"/>
      <c r="AQ138" s="256"/>
      <c r="AR138" s="257"/>
      <c r="AS138" s="257"/>
      <c r="AT138" s="257"/>
      <c r="AU138" s="257"/>
      <c r="AV138" s="257"/>
      <c r="AW138" s="257"/>
      <c r="AX138" s="590"/>
      <c r="AY138" s="253"/>
      <c r="BB138" s="257"/>
      <c r="BC138" s="590"/>
      <c r="BD138" s="253"/>
      <c r="MX138" s="255"/>
      <c r="NM138" s="251"/>
      <c r="OZ138" s="1799">
        <v>134</v>
      </c>
    </row>
    <row r="139" spans="1:416" ht="14.25" customHeight="1">
      <c r="A139" s="785"/>
      <c r="B139" s="785"/>
      <c r="C139" s="508"/>
      <c r="D139" s="43"/>
      <c r="E139" s="48"/>
      <c r="F139" s="43"/>
      <c r="G139" s="35"/>
      <c r="H139" s="92" t="s">
        <v>1247</v>
      </c>
      <c r="I139" s="482" t="s">
        <v>1248</v>
      </c>
      <c r="J139" s="1509">
        <f>IF(P76=0,0,P139/P76)</f>
        <v>0</v>
      </c>
      <c r="K139" s="2731">
        <f>SUM(K137:K138)+JD58</f>
        <v>0</v>
      </c>
      <c r="L139" s="2731">
        <f>SUM(L137:L138)+JE58</f>
        <v>0</v>
      </c>
      <c r="M139" s="2731">
        <f>SUM(M137:M138)+JF58</f>
        <v>0</v>
      </c>
      <c r="N139" s="2731">
        <f>SUM(N137:N138)+JG58</f>
        <v>0</v>
      </c>
      <c r="O139" s="2731">
        <f>SUM(O137:O138)+JH58</f>
        <v>0</v>
      </c>
      <c r="P139" s="2731">
        <f t="shared" si="680"/>
        <v>0</v>
      </c>
      <c r="S139" s="3758"/>
      <c r="T139" s="3759"/>
      <c r="U139" s="3759"/>
      <c r="V139" s="3759"/>
      <c r="W139" s="3760"/>
      <c r="X139" s="1184"/>
      <c r="AA139" s="253"/>
      <c r="AB139" s="256"/>
      <c r="AC139" s="1184"/>
      <c r="AF139" s="253"/>
      <c r="AG139" s="256"/>
      <c r="AH139" s="1184"/>
      <c r="AK139" s="253"/>
      <c r="AL139" s="256"/>
      <c r="AM139" s="1184"/>
      <c r="AP139" s="253"/>
      <c r="AQ139" s="256"/>
      <c r="AR139" s="257"/>
      <c r="AS139" s="257"/>
      <c r="AT139" s="257"/>
      <c r="AU139" s="257"/>
      <c r="AV139" s="257"/>
      <c r="AW139" s="257"/>
      <c r="AX139" s="256"/>
      <c r="AY139" s="253"/>
      <c r="BB139" s="257"/>
      <c r="BC139" s="256"/>
      <c r="BD139" s="253"/>
      <c r="MX139" s="255"/>
      <c r="NM139" s="251"/>
      <c r="OZ139" s="1799">
        <v>135</v>
      </c>
    </row>
    <row r="140" spans="1:416" ht="14.25" customHeight="1">
      <c r="A140" s="785"/>
      <c r="B140" s="785"/>
      <c r="C140" s="508"/>
      <c r="D140" s="43"/>
      <c r="E140" s="48" t="s">
        <v>1251</v>
      </c>
      <c r="F140" s="43"/>
      <c r="G140" s="98"/>
      <c r="H140" s="54"/>
      <c r="I140" s="35"/>
      <c r="J140" s="35"/>
      <c r="K140" s="2732"/>
      <c r="L140" s="2732"/>
      <c r="M140" s="2732"/>
      <c r="N140" s="2732"/>
      <c r="O140" s="2732"/>
      <c r="P140" s="2733">
        <f t="shared" si="680"/>
        <v>0</v>
      </c>
      <c r="S140" s="3758"/>
      <c r="T140" s="3759"/>
      <c r="U140" s="3759"/>
      <c r="V140" s="3759"/>
      <c r="W140" s="3760"/>
      <c r="X140" s="253"/>
      <c r="AA140" s="253"/>
      <c r="AB140" s="256"/>
      <c r="AC140" s="253"/>
      <c r="AF140" s="253"/>
      <c r="AG140" s="256"/>
      <c r="AH140" s="253"/>
      <c r="AK140" s="253"/>
      <c r="AL140" s="256"/>
      <c r="AM140" s="253"/>
      <c r="AP140" s="253"/>
      <c r="AQ140" s="256"/>
      <c r="AR140" s="257"/>
      <c r="AS140" s="257"/>
      <c r="AT140" s="257"/>
      <c r="AU140" s="257"/>
      <c r="AV140" s="257"/>
      <c r="AW140" s="257"/>
      <c r="AX140" s="590"/>
      <c r="AY140" s="253"/>
      <c r="BB140" s="257"/>
      <c r="BC140" s="590"/>
      <c r="BD140" s="253"/>
      <c r="MX140" s="255"/>
      <c r="NM140" s="251"/>
      <c r="OZ140" s="1799">
        <v>136</v>
      </c>
    </row>
    <row r="141" spans="1:416" ht="14.25" customHeight="1">
      <c r="A141" s="3781" t="str">
        <f>IF(AND('Part III-A-Uses of Funds'!$T$180="Yes",'Part VIII Scoring Criteria'!$AA$305&gt;0,P141&lt;1),"SHOW HISTORIC UNITS HERE &gt;&gt;&gt;&gt;","")</f>
        <v/>
      </c>
      <c r="B141" s="3781"/>
      <c r="C141" s="3781"/>
      <c r="D141" s="3781"/>
      <c r="E141" s="274" t="s">
        <v>1252</v>
      </c>
      <c r="F141" s="43"/>
      <c r="G141" s="98"/>
      <c r="H141" s="54"/>
      <c r="I141" s="35"/>
      <c r="J141" s="35"/>
      <c r="K141" s="2362"/>
      <c r="L141" s="2362"/>
      <c r="M141" s="2362"/>
      <c r="N141" s="2362"/>
      <c r="O141" s="2362"/>
      <c r="P141" s="2363">
        <f t="shared" si="680"/>
        <v>0</v>
      </c>
      <c r="S141" s="3758"/>
      <c r="T141" s="3759"/>
      <c r="U141" s="3759"/>
      <c r="V141" s="3759"/>
      <c r="W141" s="3760"/>
      <c r="X141" s="253"/>
      <c r="AA141" s="253"/>
      <c r="AB141" s="256"/>
      <c r="AC141" s="253"/>
      <c r="AF141" s="253"/>
      <c r="AG141" s="256"/>
      <c r="AH141" s="253"/>
      <c r="AK141" s="253"/>
      <c r="AL141" s="256"/>
      <c r="AM141" s="253"/>
      <c r="AP141" s="253"/>
      <c r="AQ141" s="256"/>
      <c r="AR141" s="257"/>
      <c r="AS141" s="257"/>
      <c r="AT141" s="257"/>
      <c r="AU141" s="257"/>
      <c r="AV141" s="257"/>
      <c r="AW141" s="257"/>
      <c r="AX141" s="590"/>
      <c r="AY141" s="253"/>
      <c r="BB141" s="257"/>
      <c r="BC141" s="590"/>
      <c r="BD141" s="253"/>
      <c r="MX141" s="255"/>
      <c r="NM141" s="251"/>
      <c r="OZ141" s="1799">
        <v>137</v>
      </c>
    </row>
    <row r="142" spans="1:416" ht="9" customHeight="1">
      <c r="A142" s="603"/>
      <c r="B142" s="603"/>
      <c r="C142" s="603"/>
      <c r="D142" s="603"/>
      <c r="E142" s="274"/>
      <c r="F142" s="43"/>
      <c r="G142" s="98"/>
      <c r="H142" s="54"/>
      <c r="I142" s="35"/>
      <c r="J142" s="35"/>
      <c r="K142" s="13"/>
      <c r="L142" s="13"/>
      <c r="M142" s="13"/>
      <c r="N142" s="13"/>
      <c r="O142" s="13"/>
      <c r="P142" s="13"/>
      <c r="S142" s="3758"/>
      <c r="T142" s="3759"/>
      <c r="U142" s="3759"/>
      <c r="V142" s="3759"/>
      <c r="W142" s="3760"/>
      <c r="X142" s="253"/>
      <c r="AA142" s="253"/>
      <c r="AB142" s="256"/>
      <c r="AC142" s="253"/>
      <c r="AF142" s="253"/>
      <c r="AG142" s="256"/>
      <c r="AH142" s="253"/>
      <c r="AK142" s="253"/>
      <c r="AL142" s="256"/>
      <c r="AM142" s="253"/>
      <c r="AP142" s="253"/>
      <c r="AQ142" s="256"/>
      <c r="AR142" s="257"/>
      <c r="AS142" s="257"/>
      <c r="AT142" s="257"/>
      <c r="AU142" s="257"/>
      <c r="AV142" s="257"/>
      <c r="AW142" s="257"/>
      <c r="AX142" s="590"/>
      <c r="AY142" s="253"/>
      <c r="BB142" s="257"/>
      <c r="BC142" s="590"/>
      <c r="BD142" s="253"/>
      <c r="MX142" s="255"/>
      <c r="NM142" s="251"/>
      <c r="OZ142" s="1801">
        <v>138</v>
      </c>
    </row>
    <row r="143" spans="1:416" ht="13.5" customHeight="1">
      <c r="A143" s="603"/>
      <c r="B143" s="603"/>
      <c r="C143" s="603"/>
      <c r="D143" s="603"/>
      <c r="E143" s="48" t="s">
        <v>1253</v>
      </c>
      <c r="F143" s="43"/>
      <c r="G143" s="98"/>
      <c r="H143" s="54"/>
      <c r="I143" s="35"/>
      <c r="J143" s="35"/>
      <c r="K143" s="2734">
        <f>K152+K156+K160+K162+K164+K166</f>
        <v>0</v>
      </c>
      <c r="L143" s="2735">
        <f>L152+L156+L160+L162+L164+L166</f>
        <v>0</v>
      </c>
      <c r="M143" s="2735">
        <f>M152+M156+M160+M162+M164+M166</f>
        <v>0</v>
      </c>
      <c r="N143" s="2735">
        <f>N152+N156+N160+N162+N164+N166</f>
        <v>0</v>
      </c>
      <c r="O143" s="2736">
        <f>O152+O156+O160+O162+O164+O166</f>
        <v>0</v>
      </c>
      <c r="P143" s="2737">
        <f>SUM(K143:O143)</f>
        <v>0</v>
      </c>
      <c r="S143" s="3725"/>
      <c r="T143" s="3726"/>
      <c r="U143" s="3726"/>
      <c r="V143" s="3726"/>
      <c r="W143" s="3727"/>
      <c r="X143" s="253"/>
      <c r="AA143" s="253"/>
      <c r="AB143" s="256"/>
      <c r="AC143" s="253"/>
      <c r="AF143" s="253"/>
      <c r="AG143" s="256"/>
      <c r="AH143" s="253"/>
      <c r="AK143" s="253"/>
      <c r="AL143" s="256"/>
      <c r="AM143" s="253"/>
      <c r="AP143" s="253"/>
      <c r="AQ143" s="256"/>
      <c r="AR143" s="257"/>
      <c r="AS143" s="257"/>
      <c r="AT143" s="257"/>
      <c r="AU143" s="257"/>
      <c r="AV143" s="257"/>
      <c r="AW143" s="257"/>
      <c r="AX143" s="590"/>
      <c r="AY143" s="253"/>
      <c r="BB143" s="257"/>
      <c r="BC143" s="590"/>
      <c r="BD143" s="253"/>
      <c r="MX143" s="255"/>
      <c r="NM143" s="251"/>
      <c r="OZ143" s="1799">
        <v>139</v>
      </c>
    </row>
    <row r="144" spans="1:416" ht="14.25" customHeight="1">
      <c r="A144" s="77"/>
      <c r="B144" s="77"/>
      <c r="C144" s="77"/>
      <c r="D144" s="43"/>
      <c r="E144" s="48"/>
      <c r="F144" s="43"/>
      <c r="G144" s="98"/>
      <c r="H144" s="54"/>
      <c r="I144" s="35"/>
      <c r="J144" s="35"/>
      <c r="K144" s="2361"/>
      <c r="L144" s="2361"/>
      <c r="M144" s="2361"/>
      <c r="N144" s="2361"/>
      <c r="O144" s="2361"/>
      <c r="P144" s="2361"/>
      <c r="U144" s="225"/>
      <c r="X144" s="253"/>
      <c r="AA144" s="253"/>
      <c r="AB144" s="256"/>
      <c r="AC144" s="253"/>
      <c r="AF144" s="253"/>
      <c r="AG144" s="256"/>
      <c r="AH144" s="253"/>
      <c r="AK144" s="253"/>
      <c r="AL144" s="256"/>
      <c r="AM144" s="253"/>
      <c r="AP144" s="253"/>
      <c r="AQ144" s="256"/>
      <c r="AR144" s="253"/>
      <c r="AS144" s="253"/>
      <c r="AT144" s="253"/>
      <c r="AU144" s="253"/>
      <c r="AV144" s="253"/>
      <c r="AW144" s="253"/>
      <c r="AY144" s="253"/>
      <c r="BB144" s="253"/>
      <c r="BD144" s="253"/>
      <c r="MX144" s="255"/>
      <c r="NM144" s="251"/>
      <c r="OZ144" s="1798">
        <v>140</v>
      </c>
    </row>
    <row r="145" spans="1:528" ht="13.5" customHeight="1">
      <c r="A145" s="77"/>
      <c r="B145" s="77"/>
      <c r="C145" s="3775" t="s">
        <v>1254</v>
      </c>
      <c r="D145" s="3775"/>
      <c r="E145" s="48" t="s">
        <v>1255</v>
      </c>
      <c r="F145" s="43"/>
      <c r="G145" s="98"/>
      <c r="H145" s="54"/>
      <c r="I145" s="35"/>
      <c r="J145" s="35"/>
      <c r="K145" s="2738" t="s">
        <v>7474</v>
      </c>
      <c r="L145" s="43" t="s">
        <v>1256</v>
      </c>
      <c r="M145" s="98"/>
      <c r="N145" s="54"/>
      <c r="O145" s="35"/>
      <c r="P145" s="35"/>
      <c r="S145" s="135"/>
      <c r="U145" s="225"/>
      <c r="X145" s="253"/>
      <c r="AA145" s="253"/>
      <c r="AB145" s="256"/>
      <c r="AC145" s="253"/>
      <c r="AF145" s="253"/>
      <c r="AG145" s="256"/>
      <c r="AH145" s="253"/>
      <c r="AK145" s="253"/>
      <c r="AL145" s="256"/>
      <c r="AM145" s="253"/>
      <c r="AP145" s="253"/>
      <c r="AQ145" s="256"/>
      <c r="AR145" s="253"/>
      <c r="AS145" s="253"/>
      <c r="AT145" s="253"/>
      <c r="AU145" s="253"/>
      <c r="AV145" s="253"/>
      <c r="AW145" s="253"/>
      <c r="AY145" s="253"/>
      <c r="BB145" s="253"/>
      <c r="BD145" s="253"/>
      <c r="MX145" s="255"/>
      <c r="NM145" s="251"/>
      <c r="OZ145" s="1799">
        <v>141</v>
      </c>
    </row>
    <row r="146" spans="1:528" ht="13.5" customHeight="1">
      <c r="A146" s="77"/>
      <c r="B146" s="77"/>
      <c r="C146" s="3775"/>
      <c r="D146" s="3775"/>
      <c r="E146" s="48"/>
      <c r="F146" s="77"/>
      <c r="G146" s="77"/>
      <c r="H146" s="77"/>
      <c r="I146" s="77"/>
      <c r="J146" s="77"/>
      <c r="K146" s="2364" t="s">
        <v>7474</v>
      </c>
      <c r="L146" s="3775" t="s">
        <v>1257</v>
      </c>
      <c r="M146" s="3775"/>
      <c r="N146" s="3775"/>
      <c r="O146" s="3775"/>
      <c r="P146" s="3775"/>
      <c r="S146" s="135"/>
      <c r="U146" s="225"/>
      <c r="X146" s="253"/>
      <c r="AA146" s="253"/>
      <c r="AB146" s="256"/>
      <c r="AC146" s="253"/>
      <c r="AF146" s="253"/>
      <c r="AG146" s="256"/>
      <c r="AH146" s="253"/>
      <c r="AK146" s="253"/>
      <c r="AL146" s="256"/>
      <c r="AM146" s="253"/>
      <c r="AP146" s="253"/>
      <c r="AQ146" s="256"/>
      <c r="AR146" s="253"/>
      <c r="AS146" s="253"/>
      <c r="AT146" s="253"/>
      <c r="AU146" s="253"/>
      <c r="AV146" s="253"/>
      <c r="AW146" s="253"/>
      <c r="AY146" s="253"/>
      <c r="BB146" s="253"/>
      <c r="BD146" s="253"/>
      <c r="MX146" s="255"/>
      <c r="NM146" s="251"/>
      <c r="OZ146" s="1799">
        <v>142</v>
      </c>
    </row>
    <row r="147" spans="1:528" ht="14.25" customHeight="1">
      <c r="A147" s="77"/>
      <c r="B147" s="77"/>
      <c r="C147" s="3775"/>
      <c r="D147" s="3775"/>
      <c r="E147" s="48"/>
      <c r="F147" s="77"/>
      <c r="G147" s="77"/>
      <c r="H147" s="77"/>
      <c r="I147" s="77"/>
      <c r="J147" s="77"/>
      <c r="K147" s="2361"/>
      <c r="L147" s="3775"/>
      <c r="M147" s="3775"/>
      <c r="N147" s="3775"/>
      <c r="O147" s="3775"/>
      <c r="P147" s="3775"/>
      <c r="S147" s="135"/>
      <c r="U147" s="225"/>
      <c r="X147" s="253"/>
      <c r="AA147" s="253"/>
      <c r="AB147" s="256"/>
      <c r="AC147" s="253"/>
      <c r="AF147" s="253"/>
      <c r="AG147" s="256"/>
      <c r="AH147" s="253"/>
      <c r="AK147" s="253"/>
      <c r="AL147" s="256"/>
      <c r="AM147" s="253"/>
      <c r="AP147" s="253"/>
      <c r="AQ147" s="256"/>
      <c r="AR147" s="253"/>
      <c r="AS147" s="253"/>
      <c r="AT147" s="253"/>
      <c r="AU147" s="253"/>
      <c r="AV147" s="253"/>
      <c r="AW147" s="253"/>
      <c r="AY147" s="253"/>
      <c r="BB147" s="253"/>
      <c r="BD147" s="253"/>
      <c r="MX147" s="255"/>
      <c r="NM147" s="251"/>
      <c r="OZ147" s="1798">
        <v>143</v>
      </c>
    </row>
    <row r="148" spans="1:528" ht="3" customHeight="1" thickBot="1">
      <c r="A148" s="77"/>
      <c r="B148" s="77"/>
      <c r="C148" s="2538"/>
      <c r="D148" s="2538"/>
      <c r="E148" s="48"/>
      <c r="F148" s="77"/>
      <c r="G148" s="77"/>
      <c r="H148" s="77"/>
      <c r="I148" s="77"/>
      <c r="J148" s="77"/>
      <c r="K148" s="2361"/>
      <c r="L148" s="2538"/>
      <c r="M148" s="2538"/>
      <c r="N148" s="2538"/>
      <c r="O148" s="2538"/>
      <c r="P148" s="2538"/>
      <c r="S148" s="135"/>
      <c r="U148" s="225"/>
      <c r="X148" s="253"/>
      <c r="AA148" s="253"/>
      <c r="AB148" s="256"/>
      <c r="AC148" s="253"/>
      <c r="AF148" s="253"/>
      <c r="AG148" s="256"/>
      <c r="AH148" s="253"/>
      <c r="AK148" s="253"/>
      <c r="AL148" s="256"/>
      <c r="AM148" s="253"/>
      <c r="AP148" s="253"/>
      <c r="AQ148" s="256"/>
      <c r="AR148" s="253"/>
      <c r="AS148" s="253"/>
      <c r="AT148" s="253"/>
      <c r="AU148" s="253"/>
      <c r="AV148" s="253"/>
      <c r="AW148" s="253"/>
      <c r="AY148" s="253"/>
      <c r="BB148" s="253"/>
      <c r="BD148" s="253"/>
      <c r="MX148" s="255"/>
      <c r="NM148" s="251"/>
      <c r="OZ148" s="1799">
        <v>144</v>
      </c>
    </row>
    <row r="149" spans="1:528" ht="14.25" customHeight="1" thickBot="1">
      <c r="A149" s="6" t="s">
        <v>25</v>
      </c>
      <c r="B149" s="6" t="s">
        <v>1241</v>
      </c>
      <c r="C149" s="77"/>
      <c r="D149" s="77"/>
      <c r="E149" s="77"/>
      <c r="F149" s="77"/>
      <c r="G149" s="77"/>
      <c r="H149" s="40"/>
      <c r="I149" s="77"/>
      <c r="J149" s="77"/>
      <c r="K149" s="77"/>
      <c r="L149" s="3771" t="str">
        <f>$O$62</f>
        <v>40% of Units at 60% of AMI</v>
      </c>
      <c r="M149" s="3772"/>
      <c r="N149" s="3772"/>
      <c r="O149" s="3773"/>
      <c r="P149" s="2361"/>
      <c r="S149" s="135" t="str">
        <f>C150</f>
        <v xml:space="preserve">Building Type: (for Utility Allowance, Monitoring Fees, etc)
</v>
      </c>
      <c r="U149" s="225"/>
      <c r="X149" s="253"/>
      <c r="AA149" s="253"/>
      <c r="AB149" s="256"/>
      <c r="AC149" s="253"/>
      <c r="AF149" s="253"/>
      <c r="AG149" s="256"/>
      <c r="AH149" s="253"/>
      <c r="AK149" s="253"/>
      <c r="AL149" s="256"/>
      <c r="AM149" s="253"/>
      <c r="AP149" s="253"/>
      <c r="AQ149" s="256"/>
      <c r="AR149" s="253"/>
      <c r="AS149" s="253"/>
      <c r="AT149" s="253"/>
      <c r="AU149" s="253"/>
      <c r="AV149" s="253"/>
      <c r="AW149" s="253"/>
      <c r="AY149" s="253"/>
      <c r="BB149" s="253"/>
      <c r="BD149" s="253"/>
      <c r="MX149" s="255"/>
      <c r="NM149" s="251"/>
      <c r="OZ149" s="1799">
        <v>145</v>
      </c>
    </row>
    <row r="150" spans="1:528" ht="14.25" customHeight="1">
      <c r="A150" s="77"/>
      <c r="B150" s="77"/>
      <c r="C150" s="3774" t="s">
        <v>1258</v>
      </c>
      <c r="D150" s="3774"/>
      <c r="E150" s="651" t="s">
        <v>649</v>
      </c>
      <c r="F150" s="2365"/>
      <c r="G150" s="652"/>
      <c r="H150" s="975"/>
      <c r="I150" s="653"/>
      <c r="J150" s="654"/>
      <c r="K150" s="2739">
        <f t="shared" ref="K150:P150" si="681">SUM(K151:K158)</f>
        <v>0</v>
      </c>
      <c r="L150" s="2740">
        <f t="shared" si="681"/>
        <v>24</v>
      </c>
      <c r="M150" s="2740">
        <f t="shared" si="681"/>
        <v>48</v>
      </c>
      <c r="N150" s="2740">
        <f t="shared" si="681"/>
        <v>24</v>
      </c>
      <c r="O150" s="2741">
        <f t="shared" si="681"/>
        <v>0</v>
      </c>
      <c r="P150" s="2742">
        <f t="shared" si="681"/>
        <v>96</v>
      </c>
      <c r="S150" s="3777"/>
      <c r="T150" s="3778"/>
      <c r="U150" s="3778"/>
      <c r="V150" s="3778"/>
      <c r="W150" s="3779"/>
      <c r="X150" s="253"/>
      <c r="AA150" s="253"/>
      <c r="AB150" s="256"/>
      <c r="AC150" s="253"/>
      <c r="AF150" s="253"/>
      <c r="AG150" s="256"/>
      <c r="AH150" s="253"/>
      <c r="AK150" s="253"/>
      <c r="AL150" s="256"/>
      <c r="AM150" s="253"/>
      <c r="AP150" s="253"/>
      <c r="AQ150" s="256"/>
      <c r="AR150" s="257"/>
      <c r="AS150" s="257"/>
      <c r="AT150" s="257"/>
      <c r="AU150" s="257"/>
      <c r="AV150" s="257"/>
      <c r="AW150" s="257"/>
      <c r="BB150" s="257"/>
      <c r="LF150" s="251"/>
      <c r="LK150" s="251"/>
      <c r="LP150" s="251"/>
      <c r="LU150" s="251"/>
      <c r="LV150" s="251"/>
      <c r="LW150" s="251"/>
      <c r="LX150" s="251"/>
      <c r="LY150" s="251"/>
      <c r="LZ150" s="251"/>
      <c r="MA150" s="251"/>
      <c r="MB150" s="251"/>
      <c r="MC150" s="251"/>
      <c r="MD150" s="251"/>
      <c r="ME150" s="251"/>
      <c r="MF150" s="251"/>
      <c r="MG150" s="251"/>
      <c r="MH150" s="251"/>
      <c r="MI150" s="251"/>
      <c r="MJ150" s="251"/>
      <c r="MK150" s="251"/>
      <c r="ML150" s="251"/>
      <c r="MM150" s="251"/>
      <c r="MN150" s="251"/>
      <c r="MO150" s="251"/>
      <c r="MP150" s="251"/>
      <c r="MX150" s="255"/>
      <c r="NM150" s="251"/>
      <c r="OZ150" s="1799">
        <v>146</v>
      </c>
    </row>
    <row r="151" spans="1:528" ht="14.25" customHeight="1">
      <c r="A151" s="77"/>
      <c r="B151" s="77"/>
      <c r="C151" s="3775"/>
      <c r="D151" s="3775"/>
      <c r="E151" s="48"/>
      <c r="F151" s="43"/>
      <c r="G151" s="35"/>
      <c r="H151" s="947" t="s">
        <v>1259</v>
      </c>
      <c r="I151" s="16"/>
      <c r="J151" s="655"/>
      <c r="K151" s="787">
        <f>LB58</f>
        <v>0</v>
      </c>
      <c r="L151" s="788">
        <f>LC58</f>
        <v>24</v>
      </c>
      <c r="M151" s="788">
        <f>LD58</f>
        <v>48</v>
      </c>
      <c r="N151" s="788">
        <f>LE58</f>
        <v>24</v>
      </c>
      <c r="O151" s="789">
        <f>LF58</f>
        <v>0</v>
      </c>
      <c r="P151" s="762">
        <f t="shared" ref="P151:P166" si="682">SUM(K151:O151)</f>
        <v>96</v>
      </c>
      <c r="S151" s="3758"/>
      <c r="T151" s="3759"/>
      <c r="U151" s="3759"/>
      <c r="V151" s="3759"/>
      <c r="W151" s="3760"/>
      <c r="X151" s="253"/>
      <c r="AA151" s="253"/>
      <c r="AB151" s="256"/>
      <c r="AC151" s="253"/>
      <c r="AF151" s="253"/>
      <c r="AG151" s="256"/>
      <c r="AH151" s="253"/>
      <c r="AK151" s="253"/>
      <c r="AL151" s="256"/>
      <c r="AM151" s="253"/>
      <c r="AP151" s="253"/>
      <c r="AQ151" s="256"/>
      <c r="AR151" s="257"/>
      <c r="AS151" s="257"/>
      <c r="AT151" s="257"/>
      <c r="AU151" s="257"/>
      <c r="AV151" s="257"/>
      <c r="AW151" s="257"/>
      <c r="BB151" s="257"/>
      <c r="LF151" s="251"/>
      <c r="LK151" s="251"/>
      <c r="LP151" s="251"/>
      <c r="LU151" s="251"/>
      <c r="LV151" s="251"/>
      <c r="LW151" s="251"/>
      <c r="LX151" s="251"/>
      <c r="LY151" s="251"/>
      <c r="LZ151" s="251"/>
      <c r="MA151" s="251"/>
      <c r="MB151" s="251"/>
      <c r="MC151" s="251"/>
      <c r="MD151" s="251"/>
      <c r="ME151" s="251"/>
      <c r="MF151" s="251"/>
      <c r="MG151" s="251"/>
      <c r="MH151" s="251"/>
      <c r="MI151" s="251"/>
      <c r="MJ151" s="251"/>
      <c r="MK151" s="251"/>
      <c r="ML151" s="251"/>
      <c r="MM151" s="251"/>
      <c r="MN151" s="251"/>
      <c r="MO151" s="251"/>
      <c r="MP151" s="251"/>
      <c r="MX151" s="255"/>
      <c r="NM151" s="251"/>
      <c r="OZ151" s="1799">
        <v>147</v>
      </c>
    </row>
    <row r="152" spans="1:528" ht="14.25" customHeight="1">
      <c r="A152" s="77"/>
      <c r="B152" s="77"/>
      <c r="C152" s="3775"/>
      <c r="D152" s="3775"/>
      <c r="E152" s="48"/>
      <c r="F152" s="43"/>
      <c r="G152" s="35"/>
      <c r="H152" s="976" t="s">
        <v>1253</v>
      </c>
      <c r="I152" s="44"/>
      <c r="J152" s="655"/>
      <c r="K152" s="1139">
        <f>LL58</f>
        <v>0</v>
      </c>
      <c r="L152" s="1140">
        <f>LM58</f>
        <v>0</v>
      </c>
      <c r="M152" s="1140">
        <f>LN58</f>
        <v>0</v>
      </c>
      <c r="N152" s="1140">
        <f>LO58</f>
        <v>0</v>
      </c>
      <c r="O152" s="1141">
        <f>LP58</f>
        <v>0</v>
      </c>
      <c r="P152" s="1151">
        <f t="shared" si="682"/>
        <v>0</v>
      </c>
      <c r="S152" s="3758"/>
      <c r="T152" s="3759"/>
      <c r="U152" s="3759"/>
      <c r="V152" s="3759"/>
      <c r="W152" s="3760"/>
      <c r="X152" s="253"/>
      <c r="AA152" s="253"/>
      <c r="AB152" s="256"/>
      <c r="AC152" s="253"/>
      <c r="AF152" s="253"/>
      <c r="AG152" s="256"/>
      <c r="AH152" s="253"/>
      <c r="AK152" s="253"/>
      <c r="AL152" s="256"/>
      <c r="AM152" s="253"/>
      <c r="AP152" s="253"/>
      <c r="AQ152" s="256"/>
      <c r="AR152" s="257"/>
      <c r="AS152" s="257"/>
      <c r="AT152" s="257"/>
      <c r="AU152" s="257"/>
      <c r="AV152" s="257"/>
      <c r="AW152" s="257"/>
      <c r="BB152" s="257"/>
      <c r="LF152" s="251"/>
      <c r="LK152" s="251"/>
      <c r="LP152" s="251"/>
      <c r="LU152" s="251"/>
      <c r="LV152" s="251"/>
      <c r="LW152" s="251"/>
      <c r="LX152" s="251"/>
      <c r="LY152" s="251"/>
      <c r="LZ152" s="251"/>
      <c r="MA152" s="251"/>
      <c r="MB152" s="251"/>
      <c r="MC152" s="251"/>
      <c r="MD152" s="251"/>
      <c r="ME152" s="251"/>
      <c r="MF152" s="251"/>
      <c r="MG152" s="251"/>
      <c r="MH152" s="251"/>
      <c r="MI152" s="251"/>
      <c r="MJ152" s="251"/>
      <c r="MK152" s="251"/>
      <c r="ML152" s="251"/>
      <c r="MM152" s="251"/>
      <c r="MN152" s="251"/>
      <c r="MO152" s="251"/>
      <c r="MP152" s="251"/>
      <c r="MX152" s="255"/>
      <c r="NM152" s="251"/>
      <c r="OZ152" s="1799">
        <v>148</v>
      </c>
    </row>
    <row r="153" spans="1:528" ht="14.25" customHeight="1">
      <c r="A153" s="77"/>
      <c r="B153" s="77"/>
      <c r="C153" s="3775"/>
      <c r="D153" s="3775"/>
      <c r="E153" s="48"/>
      <c r="F153" s="43"/>
      <c r="G153" s="35"/>
      <c r="H153" s="947" t="s">
        <v>1260</v>
      </c>
      <c r="I153" s="16"/>
      <c r="J153" s="655"/>
      <c r="K153" s="787">
        <f>LG58</f>
        <v>0</v>
      </c>
      <c r="L153" s="788">
        <f>LH58</f>
        <v>0</v>
      </c>
      <c r="M153" s="788">
        <f>LI58</f>
        <v>0</v>
      </c>
      <c r="N153" s="788">
        <f>LJ58</f>
        <v>0</v>
      </c>
      <c r="O153" s="789">
        <f>LK58</f>
        <v>0</v>
      </c>
      <c r="P153" s="762">
        <f t="shared" si="682"/>
        <v>0</v>
      </c>
      <c r="S153" s="3758"/>
      <c r="T153" s="3759"/>
      <c r="U153" s="3759"/>
      <c r="V153" s="3759"/>
      <c r="W153" s="3760"/>
      <c r="X153" s="253"/>
      <c r="AA153" s="253"/>
      <c r="AB153" s="256"/>
      <c r="AC153" s="253"/>
      <c r="AF153" s="253"/>
      <c r="AG153" s="256"/>
      <c r="AH153" s="253"/>
      <c r="AK153" s="253"/>
      <c r="AL153" s="256"/>
      <c r="AM153" s="253"/>
      <c r="AP153" s="253"/>
      <c r="AQ153" s="256"/>
      <c r="AR153" s="257"/>
      <c r="AS153" s="257"/>
      <c r="AT153" s="257"/>
      <c r="AU153" s="257"/>
      <c r="AV153" s="257"/>
      <c r="AW153" s="257"/>
      <c r="BB153" s="257"/>
      <c r="LF153" s="251"/>
      <c r="LK153" s="251"/>
      <c r="LP153" s="251"/>
      <c r="LU153" s="251"/>
      <c r="LV153" s="251"/>
      <c r="LW153" s="251"/>
      <c r="LX153" s="251"/>
      <c r="LY153" s="251"/>
      <c r="LZ153" s="251"/>
      <c r="MA153" s="251"/>
      <c r="MB153" s="251"/>
      <c r="MC153" s="251"/>
      <c r="MD153" s="251"/>
      <c r="ME153" s="251"/>
      <c r="MF153" s="251"/>
      <c r="MG153" s="251"/>
      <c r="MH153" s="251"/>
      <c r="MI153" s="251"/>
      <c r="MJ153" s="251"/>
      <c r="MK153" s="251"/>
      <c r="ML153" s="251"/>
      <c r="MM153" s="251"/>
      <c r="MN153" s="251"/>
      <c r="MO153" s="251"/>
      <c r="MP153" s="251"/>
      <c r="MX153" s="255"/>
      <c r="NM153" s="251"/>
      <c r="OZ153" s="1801">
        <v>149</v>
      </c>
    </row>
    <row r="154" spans="1:528" ht="14.25" customHeight="1">
      <c r="A154" s="77"/>
      <c r="B154" s="77"/>
      <c r="C154" s="3775"/>
      <c r="D154" s="3775"/>
      <c r="E154" s="48"/>
      <c r="F154" s="43"/>
      <c r="G154" s="35"/>
      <c r="H154" s="976" t="s">
        <v>1253</v>
      </c>
      <c r="I154" s="44"/>
      <c r="J154" s="655"/>
      <c r="K154" s="1139">
        <f>LQ58</f>
        <v>0</v>
      </c>
      <c r="L154" s="1140">
        <f>LR58</f>
        <v>0</v>
      </c>
      <c r="M154" s="1140">
        <f>LS58</f>
        <v>0</v>
      </c>
      <c r="N154" s="1140">
        <f>LT58</f>
        <v>0</v>
      </c>
      <c r="O154" s="1141">
        <f>LU58</f>
        <v>0</v>
      </c>
      <c r="P154" s="1151">
        <f t="shared" si="682"/>
        <v>0</v>
      </c>
      <c r="S154" s="3758"/>
      <c r="T154" s="3759"/>
      <c r="U154" s="3759"/>
      <c r="V154" s="3759"/>
      <c r="W154" s="3760"/>
      <c r="X154" s="253"/>
      <c r="AA154" s="253"/>
      <c r="AB154" s="256"/>
      <c r="AC154" s="253"/>
      <c r="AF154" s="253"/>
      <c r="AG154" s="256"/>
      <c r="AH154" s="253"/>
      <c r="AK154" s="253"/>
      <c r="AL154" s="256"/>
      <c r="AM154" s="253"/>
      <c r="AP154" s="253"/>
      <c r="AQ154" s="256"/>
      <c r="AR154" s="257"/>
      <c r="AS154" s="257"/>
      <c r="AT154" s="257"/>
      <c r="AU154" s="257"/>
      <c r="AV154" s="257"/>
      <c r="AW154" s="257"/>
      <c r="BB154" s="257"/>
      <c r="LF154" s="251"/>
      <c r="LK154" s="251"/>
      <c r="LP154" s="251"/>
      <c r="LU154" s="251"/>
      <c r="LV154" s="251"/>
      <c r="LW154" s="251"/>
      <c r="LX154" s="251"/>
      <c r="LY154" s="251"/>
      <c r="LZ154" s="251"/>
      <c r="MA154" s="251"/>
      <c r="MB154" s="251"/>
      <c r="MC154" s="251"/>
      <c r="MD154" s="251"/>
      <c r="ME154" s="251"/>
      <c r="MF154" s="251"/>
      <c r="MG154" s="251"/>
      <c r="MH154" s="251"/>
      <c r="MI154" s="251"/>
      <c r="MJ154" s="251"/>
      <c r="MK154" s="251"/>
      <c r="ML154" s="251"/>
      <c r="MM154" s="251"/>
      <c r="MN154" s="251"/>
      <c r="MO154" s="251"/>
      <c r="MP154" s="251"/>
      <c r="MX154" s="255"/>
      <c r="NM154" s="251"/>
      <c r="OZ154" s="1799">
        <v>150</v>
      </c>
    </row>
    <row r="155" spans="1:528" ht="14.25" customHeight="1">
      <c r="A155" s="77"/>
      <c r="B155" s="77"/>
      <c r="C155" s="3775"/>
      <c r="D155" s="3775"/>
      <c r="E155" s="48"/>
      <c r="F155" s="43"/>
      <c r="G155" s="35"/>
      <c r="H155" s="947" t="s">
        <v>1261</v>
      </c>
      <c r="I155" s="16"/>
      <c r="J155" s="35"/>
      <c r="K155" s="796">
        <f>LV58</f>
        <v>0</v>
      </c>
      <c r="L155" s="797">
        <f>LW58</f>
        <v>0</v>
      </c>
      <c r="M155" s="797">
        <f>LX58</f>
        <v>0</v>
      </c>
      <c r="N155" s="797">
        <f>LY58</f>
        <v>0</v>
      </c>
      <c r="O155" s="798">
        <f>LZ58</f>
        <v>0</v>
      </c>
      <c r="P155" s="2366">
        <f t="shared" si="682"/>
        <v>0</v>
      </c>
      <c r="S155" s="3758"/>
      <c r="T155" s="3759"/>
      <c r="U155" s="3759"/>
      <c r="V155" s="3759"/>
      <c r="W155" s="3760"/>
      <c r="X155" s="253"/>
      <c r="AA155" s="253"/>
      <c r="AB155" s="256"/>
      <c r="AC155" s="253"/>
      <c r="AF155" s="253"/>
      <c r="AG155" s="256"/>
      <c r="AH155" s="253"/>
      <c r="AK155" s="253"/>
      <c r="AL155" s="256"/>
      <c r="AM155" s="253"/>
      <c r="AP155" s="253"/>
      <c r="AQ155" s="256"/>
      <c r="AR155" s="257"/>
      <c r="AS155" s="257"/>
      <c r="AT155" s="257"/>
      <c r="AU155" s="257"/>
      <c r="AV155" s="257"/>
      <c r="AW155" s="257"/>
      <c r="BB155" s="257"/>
      <c r="LF155" s="251"/>
      <c r="LK155" s="251"/>
      <c r="LP155" s="251"/>
      <c r="LU155" s="251"/>
      <c r="LV155" s="251"/>
      <c r="LW155" s="251"/>
      <c r="LX155" s="251"/>
      <c r="LY155" s="251"/>
      <c r="LZ155" s="251"/>
      <c r="MA155" s="251"/>
      <c r="MB155" s="251"/>
      <c r="MC155" s="251"/>
      <c r="MD155" s="251"/>
      <c r="ME155" s="251"/>
      <c r="MF155" s="251"/>
      <c r="MG155" s="251"/>
      <c r="MH155" s="251"/>
      <c r="MI155" s="251"/>
      <c r="MJ155" s="251"/>
      <c r="MK155" s="251"/>
      <c r="ML155" s="251"/>
      <c r="MM155" s="251"/>
      <c r="MN155" s="251"/>
      <c r="MO155" s="251"/>
      <c r="MP155" s="251"/>
      <c r="MX155" s="255"/>
      <c r="NM155" s="251"/>
      <c r="NN155" s="251"/>
      <c r="OZ155" s="1798">
        <v>151</v>
      </c>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c r="RK155" s="35"/>
      <c r="RL155" s="35"/>
      <c r="RM155" s="35"/>
      <c r="RN155" s="35"/>
      <c r="RO155" s="35"/>
      <c r="RP155" s="35"/>
      <c r="RQ155" s="35"/>
      <c r="RR155" s="35"/>
      <c r="RS155" s="35"/>
      <c r="RT155" s="35"/>
      <c r="RU155" s="35"/>
      <c r="RV155" s="35"/>
      <c r="RW155" s="35"/>
      <c r="RX155" s="35"/>
      <c r="RY155" s="35"/>
      <c r="RZ155" s="35"/>
      <c r="SA155" s="35"/>
      <c r="SB155" s="35"/>
      <c r="SC155" s="35"/>
      <c r="SD155" s="35"/>
      <c r="SE155" s="35"/>
      <c r="SF155" s="35"/>
      <c r="SG155" s="35"/>
      <c r="SH155" s="35"/>
      <c r="SI155" s="35"/>
      <c r="SJ155" s="35"/>
      <c r="SK155" s="35"/>
      <c r="SL155" s="35"/>
      <c r="SM155" s="35"/>
      <c r="SN155" s="35"/>
      <c r="SO155" s="35"/>
      <c r="SP155" s="35"/>
      <c r="SQ155" s="35"/>
      <c r="SR155" s="35"/>
      <c r="SS155" s="35"/>
      <c r="ST155" s="35"/>
      <c r="SU155" s="35"/>
      <c r="SV155" s="35"/>
      <c r="SW155" s="35"/>
      <c r="SX155" s="35"/>
      <c r="SY155" s="35"/>
      <c r="SZ155" s="35"/>
      <c r="TA155" s="35"/>
      <c r="TB155" s="35"/>
      <c r="TC155" s="35"/>
      <c r="TD155" s="35"/>
      <c r="TE155" s="35"/>
      <c r="TF155" s="35"/>
      <c r="TG155" s="35"/>
      <c r="TH155" s="35"/>
    </row>
    <row r="156" spans="1:528" ht="14.25" customHeight="1">
      <c r="A156" s="77"/>
      <c r="B156" s="77"/>
      <c r="C156" s="3775"/>
      <c r="D156" s="3775"/>
      <c r="E156" s="48"/>
      <c r="F156" s="43"/>
      <c r="G156" s="35"/>
      <c r="H156" s="976" t="s">
        <v>1253</v>
      </c>
      <c r="I156" s="44"/>
      <c r="J156" s="35"/>
      <c r="K156" s="1147">
        <f>MF58</f>
        <v>0</v>
      </c>
      <c r="L156" s="1148">
        <f>MG58</f>
        <v>0</v>
      </c>
      <c r="M156" s="1148">
        <f>MH58</f>
        <v>0</v>
      </c>
      <c r="N156" s="1148">
        <f>MI58</f>
        <v>0</v>
      </c>
      <c r="O156" s="1149">
        <f>MJ58</f>
        <v>0</v>
      </c>
      <c r="P156" s="1150">
        <f t="shared" si="682"/>
        <v>0</v>
      </c>
      <c r="S156" s="3758"/>
      <c r="T156" s="3759"/>
      <c r="U156" s="3759"/>
      <c r="V156" s="3759"/>
      <c r="W156" s="3760"/>
      <c r="X156" s="253"/>
      <c r="AA156" s="253"/>
      <c r="AB156" s="256"/>
      <c r="AC156" s="253"/>
      <c r="AF156" s="253"/>
      <c r="AG156" s="256"/>
      <c r="AH156" s="253"/>
      <c r="AK156" s="253"/>
      <c r="AL156" s="256"/>
      <c r="AM156" s="253"/>
      <c r="AP156" s="253"/>
      <c r="AQ156" s="256"/>
      <c r="AR156" s="257"/>
      <c r="AS156" s="257"/>
      <c r="AT156" s="257"/>
      <c r="AU156" s="257"/>
      <c r="AV156" s="257"/>
      <c r="AW156" s="257"/>
      <c r="BB156" s="257"/>
      <c r="LF156" s="251"/>
      <c r="LK156" s="251"/>
      <c r="LP156" s="251"/>
      <c r="LU156" s="251"/>
      <c r="LV156" s="251"/>
      <c r="LW156" s="251"/>
      <c r="LX156" s="251"/>
      <c r="LY156" s="251"/>
      <c r="LZ156" s="251"/>
      <c r="MA156" s="251"/>
      <c r="MB156" s="251"/>
      <c r="MC156" s="251"/>
      <c r="MD156" s="251"/>
      <c r="ME156" s="251"/>
      <c r="MF156" s="251"/>
      <c r="MG156" s="251"/>
      <c r="MH156" s="251"/>
      <c r="MI156" s="251"/>
      <c r="MJ156" s="251"/>
      <c r="MK156" s="251"/>
      <c r="ML156" s="251"/>
      <c r="MM156" s="251"/>
      <c r="MN156" s="251"/>
      <c r="MO156" s="251"/>
      <c r="MP156" s="251"/>
      <c r="MX156" s="255"/>
      <c r="NM156" s="251"/>
      <c r="NN156" s="251"/>
      <c r="OZ156" s="1799">
        <v>152</v>
      </c>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c r="RK156" s="35"/>
      <c r="RL156" s="35"/>
      <c r="RM156" s="35"/>
      <c r="RN156" s="35"/>
      <c r="RO156" s="35"/>
      <c r="RP156" s="35"/>
      <c r="RQ156" s="35"/>
      <c r="RR156" s="35"/>
      <c r="RS156" s="35"/>
      <c r="RT156" s="35"/>
      <c r="RU156" s="35"/>
      <c r="RV156" s="35"/>
      <c r="RW156" s="35"/>
      <c r="RX156" s="35"/>
      <c r="RY156" s="35"/>
      <c r="RZ156" s="35"/>
      <c r="SA156" s="35"/>
      <c r="SB156" s="35"/>
      <c r="SC156" s="35"/>
      <c r="SD156" s="35"/>
      <c r="SE156" s="35"/>
      <c r="SF156" s="35"/>
      <c r="SG156" s="35"/>
      <c r="SH156" s="35"/>
      <c r="SI156" s="35"/>
      <c r="SJ156" s="35"/>
      <c r="SK156" s="35"/>
      <c r="SL156" s="35"/>
      <c r="SM156" s="35"/>
      <c r="SN156" s="35"/>
      <c r="SO156" s="35"/>
      <c r="SP156" s="35"/>
      <c r="SQ156" s="35"/>
      <c r="SR156" s="35"/>
      <c r="SS156" s="35"/>
      <c r="ST156" s="35"/>
      <c r="SU156" s="35"/>
      <c r="SV156" s="35"/>
      <c r="SW156" s="35"/>
      <c r="SX156" s="35"/>
      <c r="SY156" s="35"/>
      <c r="SZ156" s="35"/>
      <c r="TA156" s="35"/>
      <c r="TB156" s="35"/>
      <c r="TC156" s="35"/>
      <c r="TD156" s="35"/>
      <c r="TE156" s="35"/>
      <c r="TF156" s="35"/>
      <c r="TG156" s="35"/>
      <c r="TH156" s="35"/>
    </row>
    <row r="157" spans="1:528" ht="14.25" customHeight="1">
      <c r="A157" s="77"/>
      <c r="B157" s="77"/>
      <c r="C157" s="3775"/>
      <c r="D157" s="3775"/>
      <c r="E157" s="48"/>
      <c r="F157" s="43"/>
      <c r="G157" s="35"/>
      <c r="H157" s="947" t="s">
        <v>1262</v>
      </c>
      <c r="I157" s="16"/>
      <c r="J157" s="35"/>
      <c r="K157" s="796">
        <f>MA58</f>
        <v>0</v>
      </c>
      <c r="L157" s="797">
        <f>MB58</f>
        <v>0</v>
      </c>
      <c r="M157" s="797">
        <f>MC58</f>
        <v>0</v>
      </c>
      <c r="N157" s="797">
        <f>MD58</f>
        <v>0</v>
      </c>
      <c r="O157" s="798">
        <f>ME58</f>
        <v>0</v>
      </c>
      <c r="P157" s="2366">
        <f t="shared" si="682"/>
        <v>0</v>
      </c>
      <c r="S157" s="3758"/>
      <c r="T157" s="3759"/>
      <c r="U157" s="3759"/>
      <c r="V157" s="3759"/>
      <c r="W157" s="3760"/>
      <c r="X157" s="253"/>
      <c r="AA157" s="253"/>
      <c r="AB157" s="256"/>
      <c r="AC157" s="253"/>
      <c r="AF157" s="253"/>
      <c r="AG157" s="256"/>
      <c r="AH157" s="253"/>
      <c r="AK157" s="253"/>
      <c r="AL157" s="256"/>
      <c r="AM157" s="253"/>
      <c r="AP157" s="253"/>
      <c r="AQ157" s="256"/>
      <c r="AR157" s="257"/>
      <c r="AS157" s="257"/>
      <c r="AT157" s="257"/>
      <c r="AU157" s="257"/>
      <c r="AV157" s="257"/>
      <c r="AW157" s="257"/>
      <c r="BB157" s="257"/>
      <c r="LF157" s="251"/>
      <c r="LK157" s="251"/>
      <c r="LP157" s="251"/>
      <c r="LU157" s="251"/>
      <c r="LV157" s="251"/>
      <c r="LW157" s="251"/>
      <c r="LX157" s="251"/>
      <c r="LY157" s="251"/>
      <c r="LZ157" s="251"/>
      <c r="MA157" s="251"/>
      <c r="MB157" s="251"/>
      <c r="MC157" s="251"/>
      <c r="MD157" s="251"/>
      <c r="ME157" s="251"/>
      <c r="MF157" s="251"/>
      <c r="MG157" s="251"/>
      <c r="MH157" s="251"/>
      <c r="MI157" s="251"/>
      <c r="MJ157" s="251"/>
      <c r="MK157" s="251"/>
      <c r="ML157" s="251"/>
      <c r="MM157" s="251"/>
      <c r="MN157" s="251"/>
      <c r="MO157" s="251"/>
      <c r="MP157" s="251"/>
      <c r="MX157" s="255"/>
      <c r="NM157" s="251"/>
      <c r="NN157" s="251"/>
      <c r="OZ157" s="1799">
        <v>153</v>
      </c>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c r="RK157" s="35"/>
      <c r="RL157" s="35"/>
      <c r="RM157" s="35"/>
      <c r="RN157" s="35"/>
      <c r="RO157" s="35"/>
      <c r="RP157" s="35"/>
      <c r="RQ157" s="35"/>
      <c r="RR157" s="35"/>
      <c r="RS157" s="35"/>
      <c r="RT157" s="35"/>
      <c r="RU157" s="35"/>
      <c r="RV157" s="35"/>
      <c r="RW157" s="35"/>
      <c r="RX157" s="35"/>
      <c r="RY157" s="35"/>
      <c r="RZ157" s="35"/>
      <c r="SA157" s="35"/>
      <c r="SB157" s="35"/>
      <c r="SC157" s="35"/>
      <c r="SD157" s="35"/>
      <c r="SE157" s="35"/>
      <c r="SF157" s="35"/>
      <c r="SG157" s="35"/>
      <c r="SH157" s="35"/>
      <c r="SI157" s="35"/>
      <c r="SJ157" s="35"/>
      <c r="SK157" s="35"/>
      <c r="SL157" s="35"/>
      <c r="SM157" s="35"/>
      <c r="SN157" s="35"/>
      <c r="SO157" s="35"/>
      <c r="SP157" s="35"/>
      <c r="SQ157" s="35"/>
      <c r="SR157" s="35"/>
      <c r="SS157" s="35"/>
      <c r="ST157" s="35"/>
      <c r="SU157" s="35"/>
      <c r="SV157" s="35"/>
      <c r="SW157" s="35"/>
      <c r="SX157" s="35"/>
      <c r="SY157" s="35"/>
      <c r="SZ157" s="35"/>
      <c r="TA157" s="35"/>
      <c r="TB157" s="35"/>
      <c r="TC157" s="35"/>
      <c r="TD157" s="35"/>
      <c r="TE157" s="35"/>
      <c r="TF157" s="35"/>
      <c r="TG157" s="35"/>
      <c r="TH157" s="35"/>
    </row>
    <row r="158" spans="1:528" ht="14.25" customHeight="1">
      <c r="A158" s="77"/>
      <c r="B158" s="77"/>
      <c r="C158" s="3775"/>
      <c r="D158" s="3775"/>
      <c r="E158" s="48"/>
      <c r="F158" s="43"/>
      <c r="G158" s="35"/>
      <c r="H158" s="976" t="s">
        <v>1253</v>
      </c>
      <c r="I158" s="44"/>
      <c r="J158" s="35"/>
      <c r="K158" s="1147">
        <f>MK58</f>
        <v>0</v>
      </c>
      <c r="L158" s="1148">
        <f>ML58</f>
        <v>0</v>
      </c>
      <c r="M158" s="1148">
        <f>MM58</f>
        <v>0</v>
      </c>
      <c r="N158" s="1148">
        <f>MN58</f>
        <v>0</v>
      </c>
      <c r="O158" s="1149">
        <f>MO58</f>
        <v>0</v>
      </c>
      <c r="P158" s="1150">
        <f t="shared" si="682"/>
        <v>0</v>
      </c>
      <c r="S158" s="3758"/>
      <c r="T158" s="3759"/>
      <c r="U158" s="3759"/>
      <c r="V158" s="3759"/>
      <c r="W158" s="3760"/>
      <c r="X158" s="253"/>
      <c r="AA158" s="253"/>
      <c r="AB158" s="256"/>
      <c r="AC158" s="253"/>
      <c r="AF158" s="253"/>
      <c r="AG158" s="256"/>
      <c r="AH158" s="253"/>
      <c r="AK158" s="253"/>
      <c r="AL158" s="256"/>
      <c r="AM158" s="253"/>
      <c r="AP158" s="253"/>
      <c r="AQ158" s="256"/>
      <c r="AR158" s="257"/>
      <c r="AS158" s="257"/>
      <c r="AT158" s="257"/>
      <c r="AU158" s="257"/>
      <c r="AV158" s="257"/>
      <c r="AW158" s="257"/>
      <c r="BB158" s="257"/>
      <c r="LF158" s="251"/>
      <c r="LK158" s="251"/>
      <c r="LP158" s="251"/>
      <c r="LU158" s="251"/>
      <c r="LV158" s="251"/>
      <c r="LW158" s="251"/>
      <c r="LX158" s="251"/>
      <c r="LY158" s="251"/>
      <c r="LZ158" s="251"/>
      <c r="MA158" s="251"/>
      <c r="MB158" s="251"/>
      <c r="MC158" s="251"/>
      <c r="MD158" s="251"/>
      <c r="ME158" s="251"/>
      <c r="MF158" s="251"/>
      <c r="MG158" s="251"/>
      <c r="MH158" s="251"/>
      <c r="MI158" s="251"/>
      <c r="MJ158" s="251"/>
      <c r="MK158" s="251"/>
      <c r="ML158" s="251"/>
      <c r="MM158" s="251"/>
      <c r="MN158" s="251"/>
      <c r="MO158" s="251"/>
      <c r="MP158" s="251"/>
      <c r="MX158" s="255"/>
      <c r="NM158" s="251"/>
      <c r="NN158" s="251"/>
      <c r="OZ158" s="1798">
        <v>154</v>
      </c>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c r="RK158" s="35"/>
      <c r="RL158" s="35"/>
      <c r="RM158" s="35"/>
      <c r="RN158" s="35"/>
      <c r="RO158" s="35"/>
      <c r="RP158" s="35"/>
      <c r="RQ158" s="35"/>
      <c r="RR158" s="35"/>
      <c r="RS158" s="35"/>
      <c r="RT158" s="35"/>
      <c r="RU158" s="35"/>
      <c r="RV158" s="35"/>
      <c r="RW158" s="35"/>
      <c r="RX158" s="35"/>
      <c r="RY158" s="35"/>
      <c r="RZ158" s="35"/>
      <c r="SA158" s="35"/>
      <c r="SB158" s="35"/>
      <c r="SC158" s="35"/>
      <c r="SD158" s="35"/>
      <c r="SE158" s="35"/>
      <c r="SF158" s="35"/>
      <c r="SG158" s="35"/>
      <c r="SH158" s="35"/>
      <c r="SI158" s="35"/>
      <c r="SJ158" s="35"/>
      <c r="SK158" s="35"/>
      <c r="SL158" s="35"/>
      <c r="SM158" s="35"/>
      <c r="SN158" s="35"/>
      <c r="SO158" s="35"/>
      <c r="SP158" s="35"/>
      <c r="SQ158" s="35"/>
      <c r="SR158" s="35"/>
      <c r="SS158" s="35"/>
      <c r="ST158" s="35"/>
      <c r="SU158" s="35"/>
      <c r="SV158" s="35"/>
      <c r="SW158" s="35"/>
      <c r="SX158" s="35"/>
      <c r="SY158" s="35"/>
      <c r="SZ158" s="35"/>
      <c r="TA158" s="35"/>
      <c r="TB158" s="35"/>
      <c r="TC158" s="35"/>
      <c r="TD158" s="35"/>
      <c r="TE158" s="35"/>
      <c r="TF158" s="35"/>
      <c r="TG158" s="35"/>
      <c r="TH158" s="35"/>
    </row>
    <row r="159" spans="1:528" ht="14.25" customHeight="1">
      <c r="A159" s="77"/>
      <c r="B159" s="77"/>
      <c r="C159" s="2538"/>
      <c r="D159" s="2538"/>
      <c r="E159" s="48" t="s">
        <v>1263</v>
      </c>
      <c r="F159" s="43"/>
      <c r="G159" s="35"/>
      <c r="H159" s="947"/>
      <c r="I159" s="16"/>
      <c r="J159" s="35"/>
      <c r="K159" s="2718">
        <f>JN58</f>
        <v>0</v>
      </c>
      <c r="L159" s="2719">
        <f>JO58</f>
        <v>0</v>
      </c>
      <c r="M159" s="2719">
        <f>JP58</f>
        <v>0</v>
      </c>
      <c r="N159" s="2719">
        <f>JQ58</f>
        <v>0</v>
      </c>
      <c r="O159" s="2720">
        <f>JR58</f>
        <v>0</v>
      </c>
      <c r="P159" s="2743">
        <f t="shared" si="682"/>
        <v>0</v>
      </c>
      <c r="S159" s="3758"/>
      <c r="T159" s="3759"/>
      <c r="U159" s="3759"/>
      <c r="V159" s="3759"/>
      <c r="W159" s="3760"/>
      <c r="X159" s="253"/>
      <c r="AA159" s="253"/>
      <c r="AB159" s="256"/>
      <c r="AC159" s="253"/>
      <c r="AF159" s="253"/>
      <c r="AG159" s="256"/>
      <c r="AH159" s="253"/>
      <c r="AK159" s="253"/>
      <c r="AL159" s="256"/>
      <c r="AM159" s="253"/>
      <c r="AP159" s="253"/>
      <c r="AQ159" s="256"/>
      <c r="AR159" s="257"/>
      <c r="AS159" s="257"/>
      <c r="AT159" s="257"/>
      <c r="AU159" s="257"/>
      <c r="AV159" s="257"/>
      <c r="AW159" s="257"/>
      <c r="AX159" s="590"/>
      <c r="AY159" s="253"/>
      <c r="BB159" s="257"/>
      <c r="BC159" s="590"/>
      <c r="BD159" s="253"/>
      <c r="MX159" s="255"/>
      <c r="NM159" s="251"/>
      <c r="NN159" s="251"/>
      <c r="OZ159" s="1799">
        <v>155</v>
      </c>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c r="RK159" s="35"/>
      <c r="RL159" s="35"/>
      <c r="RM159" s="35"/>
      <c r="RN159" s="35"/>
      <c r="RO159" s="35"/>
      <c r="RP159" s="35"/>
      <c r="RQ159" s="35"/>
      <c r="RR159" s="35"/>
      <c r="RS159" s="35"/>
      <c r="RT159" s="35"/>
      <c r="RU159" s="35"/>
      <c r="RV159" s="35"/>
      <c r="RW159" s="35"/>
      <c r="RX159" s="35"/>
      <c r="RY159" s="35"/>
      <c r="RZ159" s="35"/>
      <c r="SA159" s="35"/>
      <c r="SB159" s="35"/>
      <c r="SC159" s="35"/>
      <c r="SD159" s="35"/>
      <c r="SE159" s="35"/>
      <c r="SF159" s="35"/>
      <c r="SG159" s="35"/>
      <c r="SH159" s="35"/>
      <c r="SI159" s="35"/>
      <c r="SJ159" s="35"/>
      <c r="SK159" s="35"/>
      <c r="SL159" s="35"/>
      <c r="SM159" s="35"/>
      <c r="SN159" s="35"/>
      <c r="SO159" s="35"/>
      <c r="SP159" s="35"/>
      <c r="SQ159" s="35"/>
      <c r="SR159" s="35"/>
      <c r="SS159" s="35"/>
      <c r="ST159" s="35"/>
      <c r="SU159" s="35"/>
      <c r="SV159" s="35"/>
      <c r="SW159" s="35"/>
      <c r="SX159" s="35"/>
      <c r="SY159" s="35"/>
      <c r="SZ159" s="35"/>
      <c r="TA159" s="35"/>
      <c r="TB159" s="35"/>
      <c r="TC159" s="35"/>
      <c r="TD159" s="35"/>
      <c r="TE159" s="35"/>
      <c r="TF159" s="35"/>
      <c r="TG159" s="35"/>
      <c r="TH159" s="35"/>
    </row>
    <row r="160" spans="1:528" ht="14.25" customHeight="1">
      <c r="A160" s="77"/>
      <c r="B160" s="77"/>
      <c r="C160" s="2538"/>
      <c r="D160" s="2538"/>
      <c r="E160" s="48"/>
      <c r="F160" s="43"/>
      <c r="G160" s="35"/>
      <c r="H160" s="976" t="s">
        <v>1253</v>
      </c>
      <c r="I160" s="44"/>
      <c r="J160" s="35"/>
      <c r="K160" s="1139">
        <f>JS58</f>
        <v>0</v>
      </c>
      <c r="L160" s="1140">
        <f>JT58</f>
        <v>0</v>
      </c>
      <c r="M160" s="1140">
        <f>JU58</f>
        <v>0</v>
      </c>
      <c r="N160" s="1140">
        <f>JV58</f>
        <v>0</v>
      </c>
      <c r="O160" s="1141">
        <f>JW58</f>
        <v>0</v>
      </c>
      <c r="P160" s="1142">
        <f t="shared" si="682"/>
        <v>0</v>
      </c>
      <c r="S160" s="3758"/>
      <c r="T160" s="3759"/>
      <c r="U160" s="3759"/>
      <c r="V160" s="3759"/>
      <c r="W160" s="3760"/>
      <c r="X160" s="253"/>
      <c r="AA160" s="253"/>
      <c r="AB160" s="256"/>
      <c r="AC160" s="253"/>
      <c r="AF160" s="253"/>
      <c r="AG160" s="256"/>
      <c r="AH160" s="253"/>
      <c r="AK160" s="253"/>
      <c r="AL160" s="256"/>
      <c r="AM160" s="253"/>
      <c r="AP160" s="253"/>
      <c r="AQ160" s="256"/>
      <c r="AR160" s="257"/>
      <c r="AS160" s="257"/>
      <c r="AT160" s="257"/>
      <c r="AU160" s="257"/>
      <c r="AV160" s="257"/>
      <c r="AW160" s="257"/>
      <c r="AX160" s="590"/>
      <c r="AY160" s="253"/>
      <c r="BB160" s="257"/>
      <c r="BC160" s="590"/>
      <c r="BD160" s="253"/>
      <c r="MX160" s="255"/>
      <c r="NM160" s="251"/>
      <c r="NN160" s="251"/>
      <c r="OZ160" s="1799">
        <v>156</v>
      </c>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c r="RK160" s="35"/>
      <c r="RL160" s="35"/>
      <c r="RM160" s="35"/>
      <c r="RN160" s="35"/>
      <c r="RO160" s="35"/>
      <c r="RP160" s="35"/>
      <c r="RQ160" s="35"/>
      <c r="RR160" s="35"/>
      <c r="RS160" s="35"/>
      <c r="RT160" s="35"/>
      <c r="RU160" s="35"/>
      <c r="RV160" s="35"/>
      <c r="RW160" s="35"/>
      <c r="RX160" s="35"/>
      <c r="RY160" s="35"/>
      <c r="RZ160" s="35"/>
      <c r="SA160" s="35"/>
      <c r="SB160" s="35"/>
      <c r="SC160" s="35"/>
      <c r="SD160" s="35"/>
      <c r="SE160" s="35"/>
      <c r="SF160" s="35"/>
      <c r="SG160" s="35"/>
      <c r="SH160" s="35"/>
      <c r="SI160" s="35"/>
      <c r="SJ160" s="35"/>
      <c r="SK160" s="35"/>
      <c r="SL160" s="35"/>
      <c r="SM160" s="35"/>
      <c r="SN160" s="35"/>
      <c r="SO160" s="35"/>
      <c r="SP160" s="35"/>
      <c r="SQ160" s="35"/>
      <c r="SR160" s="35"/>
      <c r="SS160" s="35"/>
      <c r="ST160" s="35"/>
      <c r="SU160" s="35"/>
      <c r="SV160" s="35"/>
      <c r="SW160" s="35"/>
      <c r="SX160" s="35"/>
      <c r="SY160" s="35"/>
      <c r="SZ160" s="35"/>
      <c r="TA160" s="35"/>
      <c r="TB160" s="35"/>
      <c r="TC160" s="35"/>
      <c r="TD160" s="35"/>
      <c r="TE160" s="35"/>
      <c r="TF160" s="35"/>
      <c r="TG160" s="35"/>
      <c r="TH160" s="35"/>
    </row>
    <row r="161" spans="1:528" ht="14.25" customHeight="1">
      <c r="A161" s="77"/>
      <c r="B161" s="77"/>
      <c r="C161" s="2538"/>
      <c r="D161" s="2538"/>
      <c r="E161" s="48" t="s">
        <v>651</v>
      </c>
      <c r="F161" s="43"/>
      <c r="G161" s="35"/>
      <c r="H161" s="947"/>
      <c r="I161" s="16"/>
      <c r="J161" s="35"/>
      <c r="K161" s="796">
        <f>KR58</f>
        <v>0</v>
      </c>
      <c r="L161" s="797">
        <f>KS58</f>
        <v>0</v>
      </c>
      <c r="M161" s="797">
        <f>KT58</f>
        <v>0</v>
      </c>
      <c r="N161" s="797">
        <f>KU58</f>
        <v>0</v>
      </c>
      <c r="O161" s="798">
        <f>KV58</f>
        <v>0</v>
      </c>
      <c r="P161" s="1138">
        <f t="shared" si="682"/>
        <v>0</v>
      </c>
      <c r="S161" s="3758"/>
      <c r="T161" s="3759"/>
      <c r="U161" s="3759"/>
      <c r="V161" s="3759"/>
      <c r="W161" s="3760"/>
      <c r="X161" s="253"/>
      <c r="AA161" s="253"/>
      <c r="AB161" s="256"/>
      <c r="AC161" s="253"/>
      <c r="AF161" s="253"/>
      <c r="AG161" s="256"/>
      <c r="AH161" s="253"/>
      <c r="AK161" s="253"/>
      <c r="AL161" s="256"/>
      <c r="AM161" s="253"/>
      <c r="AP161" s="253"/>
      <c r="AQ161" s="256"/>
      <c r="AR161" s="257"/>
      <c r="AS161" s="257"/>
      <c r="AT161" s="257"/>
      <c r="AU161" s="257"/>
      <c r="AV161" s="257"/>
      <c r="AW161" s="257"/>
      <c r="BB161" s="257"/>
      <c r="LF161" s="251"/>
      <c r="LK161" s="251"/>
      <c r="LP161" s="251"/>
      <c r="LU161" s="251"/>
      <c r="LV161" s="251"/>
      <c r="LW161" s="251"/>
      <c r="LX161" s="251"/>
      <c r="LY161" s="251"/>
      <c r="LZ161" s="251"/>
      <c r="MA161" s="251"/>
      <c r="MB161" s="251"/>
      <c r="MC161" s="251"/>
      <c r="MD161" s="251"/>
      <c r="ME161" s="251"/>
      <c r="MF161" s="251"/>
      <c r="MG161" s="251"/>
      <c r="MH161" s="251"/>
      <c r="MI161" s="251"/>
      <c r="MJ161" s="251"/>
      <c r="MK161" s="251"/>
      <c r="ML161" s="251"/>
      <c r="MM161" s="251"/>
      <c r="MN161" s="251"/>
      <c r="MO161" s="251"/>
      <c r="MP161" s="251"/>
      <c r="MX161" s="255"/>
      <c r="NM161" s="251"/>
      <c r="NN161" s="251"/>
      <c r="OZ161" s="1799">
        <v>157</v>
      </c>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c r="RK161" s="35"/>
      <c r="RL161" s="35"/>
      <c r="RM161" s="35"/>
      <c r="RN161" s="35"/>
      <c r="RO161" s="35"/>
      <c r="RP161" s="35"/>
      <c r="RQ161" s="35"/>
      <c r="RR161" s="35"/>
      <c r="RS161" s="35"/>
      <c r="RT161" s="35"/>
      <c r="RU161" s="35"/>
      <c r="RV161" s="35"/>
      <c r="RW161" s="35"/>
      <c r="RX161" s="35"/>
      <c r="RY161" s="35"/>
      <c r="RZ161" s="35"/>
      <c r="SA161" s="35"/>
      <c r="SB161" s="35"/>
      <c r="SC161" s="35"/>
      <c r="SD161" s="35"/>
      <c r="SE161" s="35"/>
      <c r="SF161" s="35"/>
      <c r="SG161" s="35"/>
      <c r="SH161" s="35"/>
      <c r="SI161" s="35"/>
      <c r="SJ161" s="35"/>
      <c r="SK161" s="35"/>
      <c r="SL161" s="35"/>
      <c r="SM161" s="35"/>
      <c r="SN161" s="35"/>
      <c r="SO161" s="35"/>
      <c r="SP161" s="35"/>
      <c r="SQ161" s="35"/>
      <c r="SR161" s="35"/>
      <c r="SS161" s="35"/>
      <c r="ST161" s="35"/>
      <c r="SU161" s="35"/>
      <c r="SV161" s="35"/>
      <c r="SW161" s="35"/>
      <c r="SX161" s="35"/>
      <c r="SY161" s="35"/>
      <c r="SZ161" s="35"/>
      <c r="TA161" s="35"/>
      <c r="TB161" s="35"/>
      <c r="TC161" s="35"/>
      <c r="TD161" s="35"/>
      <c r="TE161" s="35"/>
      <c r="TF161" s="35"/>
      <c r="TG161" s="35"/>
      <c r="TH161" s="35"/>
    </row>
    <row r="162" spans="1:528" ht="14.25" customHeight="1">
      <c r="A162" s="77"/>
      <c r="B162" s="77"/>
      <c r="C162" s="2538"/>
      <c r="D162" s="2538"/>
      <c r="E162" s="48"/>
      <c r="F162" s="43"/>
      <c r="G162" s="35"/>
      <c r="H162" s="976" t="s">
        <v>1253</v>
      </c>
      <c r="I162" s="44"/>
      <c r="J162" s="35"/>
      <c r="K162" s="1139">
        <f>KW58</f>
        <v>0</v>
      </c>
      <c r="L162" s="1140">
        <f>KX58</f>
        <v>0</v>
      </c>
      <c r="M162" s="1140">
        <f>KY58</f>
        <v>0</v>
      </c>
      <c r="N162" s="1140">
        <f>KZ58</f>
        <v>0</v>
      </c>
      <c r="O162" s="1141">
        <f>LA58</f>
        <v>0</v>
      </c>
      <c r="P162" s="1142">
        <f t="shared" si="682"/>
        <v>0</v>
      </c>
      <c r="S162" s="3758"/>
      <c r="T162" s="3759"/>
      <c r="U162" s="3759"/>
      <c r="V162" s="3759"/>
      <c r="W162" s="3760"/>
      <c r="X162" s="253"/>
      <c r="AA162" s="253"/>
      <c r="AB162" s="256"/>
      <c r="AC162" s="253"/>
      <c r="AF162" s="253"/>
      <c r="AG162" s="256"/>
      <c r="AH162" s="253"/>
      <c r="AK162" s="253"/>
      <c r="AL162" s="256"/>
      <c r="AM162" s="253"/>
      <c r="AP162" s="253"/>
      <c r="AQ162" s="256"/>
      <c r="AR162" s="257"/>
      <c r="AS162" s="257"/>
      <c r="AT162" s="257"/>
      <c r="AU162" s="257"/>
      <c r="AV162" s="257"/>
      <c r="AW162" s="257"/>
      <c r="BB162" s="257"/>
      <c r="LF162" s="251"/>
      <c r="LK162" s="251"/>
      <c r="LP162" s="251"/>
      <c r="LU162" s="251"/>
      <c r="LV162" s="251"/>
      <c r="LW162" s="251"/>
      <c r="LX162" s="251"/>
      <c r="LY162" s="251"/>
      <c r="LZ162" s="251"/>
      <c r="MA162" s="251"/>
      <c r="MB162" s="251"/>
      <c r="MC162" s="251"/>
      <c r="MD162" s="251"/>
      <c r="ME162" s="251"/>
      <c r="MF162" s="251"/>
      <c r="MG162" s="251"/>
      <c r="MH162" s="251"/>
      <c r="MI162" s="251"/>
      <c r="MJ162" s="251"/>
      <c r="MK162" s="251"/>
      <c r="ML162" s="251"/>
      <c r="MM162" s="251"/>
      <c r="MN162" s="251"/>
      <c r="MO162" s="251"/>
      <c r="MP162" s="251"/>
      <c r="MX162" s="255"/>
      <c r="NM162" s="251"/>
      <c r="NN162" s="251"/>
      <c r="OZ162" s="1799">
        <v>158</v>
      </c>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c r="RK162" s="35"/>
      <c r="RL162" s="35"/>
      <c r="RM162" s="35"/>
      <c r="RN162" s="35"/>
      <c r="RO162" s="35"/>
      <c r="RP162" s="35"/>
      <c r="RQ162" s="35"/>
      <c r="RR162" s="35"/>
      <c r="RS162" s="35"/>
      <c r="RT162" s="35"/>
      <c r="RU162" s="35"/>
      <c r="RV162" s="35"/>
      <c r="RW162" s="35"/>
      <c r="RX162" s="35"/>
      <c r="RY162" s="35"/>
      <c r="RZ162" s="35"/>
      <c r="SA162" s="35"/>
      <c r="SB162" s="35"/>
      <c r="SC162" s="35"/>
      <c r="SD162" s="35"/>
      <c r="SE162" s="35"/>
      <c r="SF162" s="35"/>
      <c r="SG162" s="35"/>
      <c r="SH162" s="35"/>
      <c r="SI162" s="35"/>
      <c r="SJ162" s="35"/>
      <c r="SK162" s="35"/>
      <c r="SL162" s="35"/>
      <c r="SM162" s="35"/>
      <c r="SN162" s="35"/>
      <c r="SO162" s="35"/>
      <c r="SP162" s="35"/>
      <c r="SQ162" s="35"/>
      <c r="SR162" s="35"/>
      <c r="SS162" s="35"/>
      <c r="ST162" s="35"/>
      <c r="SU162" s="35"/>
      <c r="SV162" s="35"/>
      <c r="SW162" s="35"/>
      <c r="SX162" s="35"/>
      <c r="SY162" s="35"/>
      <c r="SZ162" s="35"/>
      <c r="TA162" s="35"/>
      <c r="TB162" s="35"/>
      <c r="TC162" s="35"/>
      <c r="TD162" s="35"/>
      <c r="TE162" s="35"/>
      <c r="TF162" s="35"/>
      <c r="TG162" s="35"/>
      <c r="TH162" s="35"/>
    </row>
    <row r="163" spans="1:528" ht="14.25" customHeight="1">
      <c r="A163" s="77"/>
      <c r="B163" s="77"/>
      <c r="C163" s="2538"/>
      <c r="D163" s="2538"/>
      <c r="E163" s="48" t="s">
        <v>642</v>
      </c>
      <c r="F163" s="43"/>
      <c r="G163" s="35"/>
      <c r="H163" s="947"/>
      <c r="I163" s="16"/>
      <c r="J163" s="35"/>
      <c r="K163" s="796">
        <f>KH58</f>
        <v>0</v>
      </c>
      <c r="L163" s="797">
        <f>KI58</f>
        <v>0</v>
      </c>
      <c r="M163" s="797">
        <f>KJ58</f>
        <v>0</v>
      </c>
      <c r="N163" s="797">
        <f>KK58</f>
        <v>0</v>
      </c>
      <c r="O163" s="798">
        <f>KL58</f>
        <v>0</v>
      </c>
      <c r="P163" s="1138">
        <f t="shared" si="682"/>
        <v>0</v>
      </c>
      <c r="S163" s="3758"/>
      <c r="T163" s="3759"/>
      <c r="U163" s="3759"/>
      <c r="V163" s="3759"/>
      <c r="W163" s="3760"/>
      <c r="X163" s="253"/>
      <c r="AA163" s="253"/>
      <c r="AB163" s="256"/>
      <c r="AC163" s="253"/>
      <c r="AF163" s="253"/>
      <c r="AG163" s="256"/>
      <c r="AH163" s="253"/>
      <c r="AK163" s="253"/>
      <c r="AL163" s="256"/>
      <c r="AM163" s="253"/>
      <c r="AP163" s="253"/>
      <c r="AQ163" s="256"/>
      <c r="AR163" s="257"/>
      <c r="AS163" s="257"/>
      <c r="AT163" s="257"/>
      <c r="AU163" s="257"/>
      <c r="AV163" s="257"/>
      <c r="AW163" s="257"/>
      <c r="AX163" s="590"/>
      <c r="AY163" s="253"/>
      <c r="BB163" s="257"/>
      <c r="BC163" s="590"/>
      <c r="BD163" s="253"/>
      <c r="MX163" s="255"/>
      <c r="NM163" s="251"/>
      <c r="NN163" s="251"/>
      <c r="OZ163" s="1799">
        <v>159</v>
      </c>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c r="RK163" s="35"/>
      <c r="RL163" s="35"/>
      <c r="RM163" s="35"/>
      <c r="RN163" s="35"/>
      <c r="RO163" s="35"/>
      <c r="RP163" s="35"/>
      <c r="RQ163" s="35"/>
      <c r="RR163" s="35"/>
      <c r="RS163" s="35"/>
      <c r="RT163" s="35"/>
      <c r="RU163" s="35"/>
      <c r="RV163" s="35"/>
      <c r="RW163" s="35"/>
      <c r="RX163" s="35"/>
      <c r="RY163" s="35"/>
      <c r="RZ163" s="35"/>
      <c r="SA163" s="35"/>
      <c r="SB163" s="35"/>
      <c r="SC163" s="35"/>
      <c r="SD163" s="35"/>
      <c r="SE163" s="35"/>
      <c r="SF163" s="35"/>
      <c r="SG163" s="35"/>
      <c r="SH163" s="35"/>
      <c r="SI163" s="35"/>
      <c r="SJ163" s="35"/>
      <c r="SK163" s="35"/>
      <c r="SL163" s="35"/>
      <c r="SM163" s="35"/>
      <c r="SN163" s="35"/>
      <c r="SO163" s="35"/>
      <c r="SP163" s="35"/>
      <c r="SQ163" s="35"/>
      <c r="SR163" s="35"/>
      <c r="SS163" s="35"/>
      <c r="ST163" s="35"/>
      <c r="SU163" s="35"/>
      <c r="SV163" s="35"/>
      <c r="SW163" s="35"/>
      <c r="SX163" s="35"/>
      <c r="SY163" s="35"/>
      <c r="SZ163" s="35"/>
      <c r="TA163" s="35"/>
      <c r="TB163" s="35"/>
      <c r="TC163" s="35"/>
      <c r="TD163" s="35"/>
      <c r="TE163" s="35"/>
      <c r="TF163" s="35"/>
      <c r="TG163" s="35"/>
      <c r="TH163" s="35"/>
    </row>
    <row r="164" spans="1:528" ht="14.25" customHeight="1">
      <c r="A164" s="77"/>
      <c r="B164" s="77"/>
      <c r="C164" s="2538"/>
      <c r="D164" s="2538"/>
      <c r="E164" s="48"/>
      <c r="F164" s="43"/>
      <c r="G164" s="35"/>
      <c r="H164" s="976" t="s">
        <v>1253</v>
      </c>
      <c r="I164" s="44"/>
      <c r="J164" s="35"/>
      <c r="K164" s="1147">
        <f>KM58</f>
        <v>0</v>
      </c>
      <c r="L164" s="1148">
        <f>KN58</f>
        <v>0</v>
      </c>
      <c r="M164" s="1148">
        <f>KO58</f>
        <v>0</v>
      </c>
      <c r="N164" s="1148">
        <f>KP58</f>
        <v>0</v>
      </c>
      <c r="O164" s="1149">
        <f>KQ58</f>
        <v>0</v>
      </c>
      <c r="P164" s="1142">
        <f t="shared" si="682"/>
        <v>0</v>
      </c>
      <c r="S164" s="3758"/>
      <c r="T164" s="3759"/>
      <c r="U164" s="3759"/>
      <c r="V164" s="3759"/>
      <c r="W164" s="3760"/>
      <c r="X164" s="253"/>
      <c r="AA164" s="253"/>
      <c r="AB164" s="256"/>
      <c r="AC164" s="253"/>
      <c r="AF164" s="253"/>
      <c r="AG164" s="256"/>
      <c r="AH164" s="253"/>
      <c r="AK164" s="253"/>
      <c r="AL164" s="256"/>
      <c r="AM164" s="253"/>
      <c r="AP164" s="253"/>
      <c r="AQ164" s="256"/>
      <c r="AR164" s="257"/>
      <c r="AS164" s="257"/>
      <c r="AT164" s="257"/>
      <c r="AU164" s="257"/>
      <c r="AV164" s="257"/>
      <c r="AW164" s="257"/>
      <c r="AX164" s="590"/>
      <c r="AY164" s="253"/>
      <c r="BB164" s="257"/>
      <c r="BC164" s="590"/>
      <c r="BD164" s="253"/>
      <c r="MX164" s="255"/>
      <c r="NM164" s="251"/>
      <c r="NN164" s="251"/>
      <c r="OZ164" s="1798">
        <v>160</v>
      </c>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c r="RK164" s="35"/>
      <c r="RL164" s="35"/>
      <c r="RM164" s="35"/>
      <c r="RN164" s="35"/>
      <c r="RO164" s="35"/>
      <c r="RP164" s="35"/>
      <c r="RQ164" s="35"/>
      <c r="RR164" s="35"/>
      <c r="RS164" s="35"/>
      <c r="RT164" s="35"/>
      <c r="RU164" s="35"/>
      <c r="RV164" s="35"/>
      <c r="RW164" s="35"/>
      <c r="RX164" s="35"/>
      <c r="RY164" s="35"/>
      <c r="RZ164" s="35"/>
      <c r="SA164" s="35"/>
      <c r="SB164" s="35"/>
      <c r="SC164" s="35"/>
      <c r="SD164" s="35"/>
      <c r="SE164" s="35"/>
      <c r="SF164" s="35"/>
      <c r="SG164" s="35"/>
      <c r="SH164" s="35"/>
      <c r="SI164" s="35"/>
      <c r="SJ164" s="35"/>
      <c r="SK164" s="35"/>
      <c r="SL164" s="35"/>
      <c r="SM164" s="35"/>
      <c r="SN164" s="35"/>
      <c r="SO164" s="35"/>
      <c r="SP164" s="35"/>
      <c r="SQ164" s="35"/>
      <c r="SR164" s="35"/>
      <c r="SS164" s="35"/>
      <c r="ST164" s="35"/>
      <c r="SU164" s="35"/>
      <c r="SV164" s="35"/>
      <c r="SW164" s="35"/>
      <c r="SX164" s="35"/>
      <c r="SY164" s="35"/>
      <c r="SZ164" s="35"/>
      <c r="TA164" s="35"/>
      <c r="TB164" s="35"/>
      <c r="TC164" s="35"/>
      <c r="TD164" s="35"/>
      <c r="TE164" s="35"/>
      <c r="TF164" s="35"/>
      <c r="TG164" s="35"/>
      <c r="TH164" s="35"/>
    </row>
    <row r="165" spans="1:528" ht="14.25" customHeight="1">
      <c r="A165" s="77"/>
      <c r="B165" s="77"/>
      <c r="C165" s="2538"/>
      <c r="D165" s="2538"/>
      <c r="E165" s="40" t="s">
        <v>1264</v>
      </c>
      <c r="F165" s="43"/>
      <c r="G165" s="35"/>
      <c r="H165" s="947"/>
      <c r="I165" s="16"/>
      <c r="J165" s="35"/>
      <c r="K165" s="796">
        <f>JX58</f>
        <v>0</v>
      </c>
      <c r="L165" s="797">
        <f>JY58</f>
        <v>0</v>
      </c>
      <c r="M165" s="797">
        <f>JZ58</f>
        <v>0</v>
      </c>
      <c r="N165" s="797">
        <f>KA58</f>
        <v>0</v>
      </c>
      <c r="O165" s="798">
        <f>KB58</f>
        <v>0</v>
      </c>
      <c r="P165" s="1138">
        <f t="shared" si="682"/>
        <v>0</v>
      </c>
      <c r="S165" s="3758"/>
      <c r="T165" s="3759"/>
      <c r="U165" s="3759"/>
      <c r="V165" s="3759"/>
      <c r="W165" s="3760"/>
      <c r="X165" s="253"/>
      <c r="AA165" s="253"/>
      <c r="AB165" s="256"/>
      <c r="AC165" s="253"/>
      <c r="AF165" s="253"/>
      <c r="AG165" s="256"/>
      <c r="AH165" s="253"/>
      <c r="AK165" s="253"/>
      <c r="AL165" s="256"/>
      <c r="AM165" s="253"/>
      <c r="AP165" s="253"/>
      <c r="AQ165" s="256"/>
      <c r="AR165" s="257"/>
      <c r="AS165" s="257"/>
      <c r="AT165" s="257"/>
      <c r="AU165" s="257"/>
      <c r="AV165" s="257"/>
      <c r="AW165" s="257"/>
      <c r="BB165" s="257"/>
      <c r="LF165" s="251"/>
      <c r="LK165" s="251"/>
      <c r="LP165" s="251"/>
      <c r="LU165" s="251"/>
      <c r="LV165" s="251"/>
      <c r="LW165" s="251"/>
      <c r="LX165" s="251"/>
      <c r="LY165" s="251"/>
      <c r="LZ165" s="251"/>
      <c r="MA165" s="251"/>
      <c r="MB165" s="251"/>
      <c r="MC165" s="251"/>
      <c r="MD165" s="251"/>
      <c r="ME165" s="251"/>
      <c r="MF165" s="251"/>
      <c r="MG165" s="251"/>
      <c r="MH165" s="251"/>
      <c r="MI165" s="251"/>
      <c r="MJ165" s="251"/>
      <c r="MK165" s="251"/>
      <c r="ML165" s="251"/>
      <c r="MM165" s="251"/>
      <c r="MN165" s="251"/>
      <c r="MO165" s="251"/>
      <c r="MP165" s="251"/>
      <c r="MX165" s="255"/>
      <c r="NM165" s="251"/>
      <c r="NN165" s="251"/>
      <c r="OZ165" s="1799">
        <v>161</v>
      </c>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c r="RK165" s="35"/>
      <c r="RL165" s="35"/>
      <c r="RM165" s="35"/>
      <c r="RN165" s="35"/>
      <c r="RO165" s="35"/>
      <c r="RP165" s="35"/>
      <c r="RQ165" s="35"/>
      <c r="RR165" s="35"/>
      <c r="RS165" s="35"/>
      <c r="RT165" s="35"/>
      <c r="RU165" s="35"/>
      <c r="RV165" s="35"/>
      <c r="RW165" s="35"/>
      <c r="RX165" s="35"/>
      <c r="RY165" s="35"/>
      <c r="RZ165" s="35"/>
      <c r="SA165" s="35"/>
      <c r="SB165" s="35"/>
      <c r="SC165" s="35"/>
      <c r="SD165" s="35"/>
      <c r="SE165" s="35"/>
      <c r="SF165" s="35"/>
      <c r="SG165" s="35"/>
      <c r="SH165" s="35"/>
      <c r="SI165" s="35"/>
      <c r="SJ165" s="35"/>
      <c r="SK165" s="35"/>
      <c r="SL165" s="35"/>
      <c r="SM165" s="35"/>
      <c r="SN165" s="35"/>
      <c r="SO165" s="35"/>
      <c r="SP165" s="35"/>
      <c r="SQ165" s="35"/>
      <c r="SR165" s="35"/>
      <c r="SS165" s="35"/>
      <c r="ST165" s="35"/>
      <c r="SU165" s="35"/>
      <c r="SV165" s="35"/>
      <c r="SW165" s="35"/>
      <c r="SX165" s="35"/>
      <c r="SY165" s="35"/>
      <c r="SZ165" s="35"/>
      <c r="TA165" s="35"/>
      <c r="TB165" s="35"/>
      <c r="TC165" s="35"/>
      <c r="TD165" s="35"/>
      <c r="TE165" s="35"/>
      <c r="TF165" s="35"/>
      <c r="TG165" s="35"/>
      <c r="TH165" s="35"/>
    </row>
    <row r="166" spans="1:528" ht="14.25" customHeight="1">
      <c r="A166" s="77"/>
      <c r="B166" s="77"/>
      <c r="C166" s="1137"/>
      <c r="D166" s="1137"/>
      <c r="E166" s="40"/>
      <c r="F166" s="43"/>
      <c r="G166" s="35"/>
      <c r="H166" s="976" t="s">
        <v>1253</v>
      </c>
      <c r="I166" s="44"/>
      <c r="J166" s="35"/>
      <c r="K166" s="1143">
        <f>KC58</f>
        <v>0</v>
      </c>
      <c r="L166" s="1144">
        <f>KD58</f>
        <v>0</v>
      </c>
      <c r="M166" s="1144">
        <f>KE58</f>
        <v>0</v>
      </c>
      <c r="N166" s="1144">
        <f>KF58</f>
        <v>0</v>
      </c>
      <c r="O166" s="1145">
        <f>KG58</f>
        <v>0</v>
      </c>
      <c r="P166" s="1146">
        <f t="shared" si="682"/>
        <v>0</v>
      </c>
      <c r="S166" s="3725"/>
      <c r="T166" s="3726"/>
      <c r="U166" s="3726"/>
      <c r="V166" s="3726"/>
      <c r="W166" s="3727"/>
      <c r="X166" s="253"/>
      <c r="AA166" s="253"/>
      <c r="AB166" s="256"/>
      <c r="AC166" s="253"/>
      <c r="AF166" s="253"/>
      <c r="AG166" s="256"/>
      <c r="AH166" s="253"/>
      <c r="AK166" s="253"/>
      <c r="AL166" s="256"/>
      <c r="AM166" s="253"/>
      <c r="AP166" s="253"/>
      <c r="AQ166" s="256"/>
      <c r="AR166" s="257"/>
      <c r="AS166" s="257"/>
      <c r="AT166" s="257"/>
      <c r="AU166" s="257"/>
      <c r="AV166" s="257"/>
      <c r="AW166" s="257"/>
      <c r="BB166" s="257"/>
      <c r="LF166" s="251"/>
      <c r="LK166" s="251"/>
      <c r="LP166" s="251"/>
      <c r="LU166" s="251"/>
      <c r="LV166" s="251"/>
      <c r="LW166" s="251"/>
      <c r="LX166" s="251"/>
      <c r="LY166" s="251"/>
      <c r="LZ166" s="251"/>
      <c r="MA166" s="251"/>
      <c r="MB166" s="251"/>
      <c r="MC166" s="251"/>
      <c r="MD166" s="251"/>
      <c r="ME166" s="251"/>
      <c r="MF166" s="251"/>
      <c r="MG166" s="251"/>
      <c r="MH166" s="251"/>
      <c r="MI166" s="251"/>
      <c r="MJ166" s="251"/>
      <c r="MK166" s="251"/>
      <c r="ML166" s="251"/>
      <c r="MM166" s="251"/>
      <c r="MN166" s="251"/>
      <c r="MO166" s="251"/>
      <c r="MP166" s="251"/>
      <c r="MX166" s="255"/>
      <c r="NM166" s="251"/>
      <c r="NN166" s="251"/>
      <c r="OZ166" s="1799">
        <v>162</v>
      </c>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c r="RK166" s="35"/>
      <c r="RL166" s="35"/>
      <c r="RM166" s="35"/>
      <c r="RN166" s="35"/>
      <c r="RO166" s="35"/>
      <c r="RP166" s="35"/>
      <c r="RQ166" s="35"/>
      <c r="RR166" s="35"/>
      <c r="RS166" s="35"/>
      <c r="RT166" s="35"/>
      <c r="RU166" s="35"/>
      <c r="RV166" s="35"/>
      <c r="RW166" s="35"/>
      <c r="RX166" s="35"/>
      <c r="RY166" s="35"/>
      <c r="RZ166" s="35"/>
      <c r="SA166" s="35"/>
      <c r="SB166" s="35"/>
      <c r="SC166" s="35"/>
      <c r="SD166" s="35"/>
      <c r="SE166" s="35"/>
      <c r="SF166" s="35"/>
      <c r="SG166" s="35"/>
      <c r="SH166" s="35"/>
      <c r="SI166" s="35"/>
      <c r="SJ166" s="35"/>
      <c r="SK166" s="35"/>
      <c r="SL166" s="35"/>
      <c r="SM166" s="35"/>
      <c r="SN166" s="35"/>
      <c r="SO166" s="35"/>
      <c r="SP166" s="35"/>
      <c r="SQ166" s="35"/>
      <c r="SR166" s="35"/>
      <c r="SS166" s="35"/>
      <c r="ST166" s="35"/>
      <c r="SU166" s="35"/>
      <c r="SV166" s="35"/>
      <c r="SW166" s="35"/>
      <c r="SX166" s="35"/>
      <c r="SY166" s="35"/>
      <c r="SZ166" s="35"/>
      <c r="TA166" s="35"/>
      <c r="TB166" s="35"/>
      <c r="TC166" s="35"/>
      <c r="TD166" s="35"/>
      <c r="TE166" s="35"/>
      <c r="TF166" s="35"/>
      <c r="TG166" s="35"/>
      <c r="TH166" s="35"/>
    </row>
    <row r="167" spans="1:528" ht="12.75" customHeight="1">
      <c r="A167" s="77"/>
      <c r="B167" s="77"/>
      <c r="C167" s="77"/>
      <c r="D167" s="77"/>
      <c r="E167" s="77"/>
      <c r="F167" s="77"/>
      <c r="G167" s="77"/>
      <c r="H167" s="77"/>
      <c r="I167" s="77"/>
      <c r="J167" s="77"/>
      <c r="K167" s="77"/>
      <c r="L167" s="77"/>
      <c r="M167" s="77"/>
      <c r="N167" s="77"/>
      <c r="O167" s="77"/>
      <c r="P167" s="35"/>
      <c r="S167" s="3440"/>
      <c r="T167" s="3440"/>
      <c r="U167" s="3440"/>
      <c r="V167" s="3440"/>
      <c r="AY167" s="253"/>
      <c r="BD167" s="253"/>
      <c r="MX167" s="255"/>
      <c r="NM167" s="251"/>
      <c r="NN167" s="251"/>
      <c r="OZ167" s="1799">
        <v>163</v>
      </c>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c r="RK167" s="35"/>
      <c r="RL167" s="35"/>
      <c r="RM167" s="35"/>
      <c r="RN167" s="35"/>
      <c r="RO167" s="35"/>
      <c r="RP167" s="35"/>
      <c r="RQ167" s="35"/>
      <c r="RR167" s="35"/>
      <c r="RS167" s="35"/>
      <c r="RT167" s="35"/>
      <c r="RU167" s="35"/>
      <c r="RV167" s="35"/>
      <c r="RW167" s="35"/>
      <c r="RX167" s="35"/>
      <c r="RY167" s="35"/>
      <c r="RZ167" s="35"/>
      <c r="SA167" s="35"/>
      <c r="SB167" s="35"/>
      <c r="SC167" s="35"/>
      <c r="SD167" s="35"/>
      <c r="SE167" s="35"/>
      <c r="SF167" s="35"/>
      <c r="SG167" s="35"/>
      <c r="SH167" s="35"/>
      <c r="SI167" s="35"/>
      <c r="SJ167" s="35"/>
      <c r="SK167" s="35"/>
      <c r="SL167" s="35"/>
      <c r="SM167" s="35"/>
      <c r="SN167" s="35"/>
      <c r="SO167" s="35"/>
      <c r="SP167" s="35"/>
      <c r="SQ167" s="35"/>
      <c r="SR167" s="35"/>
      <c r="SS167" s="35"/>
      <c r="ST167" s="35"/>
      <c r="SU167" s="35"/>
      <c r="SV167" s="35"/>
      <c r="SW167" s="35"/>
      <c r="SX167" s="35"/>
      <c r="SY167" s="35"/>
      <c r="SZ167" s="35"/>
      <c r="TA167" s="35"/>
      <c r="TB167" s="35"/>
      <c r="TC167" s="35"/>
      <c r="TD167" s="35"/>
      <c r="TE167" s="35"/>
      <c r="TF167" s="35"/>
      <c r="TG167" s="35"/>
      <c r="TH167" s="35"/>
    </row>
    <row r="168" spans="1:528" ht="9" customHeight="1">
      <c r="A168" s="6"/>
      <c r="B168" s="6"/>
      <c r="C168" s="77"/>
      <c r="D168" s="77"/>
      <c r="E168" s="77"/>
      <c r="F168" s="77"/>
      <c r="G168" s="77"/>
      <c r="H168" s="40"/>
      <c r="I168" s="77"/>
      <c r="J168" s="77"/>
      <c r="K168" s="77"/>
      <c r="L168" s="77"/>
      <c r="M168" s="77"/>
      <c r="N168" s="77"/>
      <c r="O168" s="77"/>
      <c r="P168" s="35"/>
      <c r="Q168" s="490"/>
      <c r="S168" s="95" t="str">
        <f>C169</f>
        <v>Building Type:
(for Cost Limit purposes only - see Application Instructions for further detail)</v>
      </c>
      <c r="T168" s="60"/>
      <c r="U168" s="261"/>
      <c r="AY168" s="253"/>
      <c r="BD168" s="253"/>
      <c r="MX168" s="255"/>
      <c r="NM168" s="251"/>
      <c r="NN168" s="251"/>
      <c r="OZ168" s="1799">
        <v>164</v>
      </c>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c r="RK168" s="35"/>
      <c r="RL168" s="35"/>
      <c r="RM168" s="35"/>
      <c r="RN168" s="35"/>
      <c r="RO168" s="35"/>
      <c r="RP168" s="35"/>
      <c r="RQ168" s="35"/>
      <c r="RR168" s="35"/>
      <c r="RS168" s="35"/>
      <c r="RT168" s="35"/>
      <c r="RU168" s="35"/>
      <c r="RV168" s="35"/>
      <c r="RW168" s="35"/>
      <c r="RX168" s="35"/>
      <c r="RY168" s="35"/>
      <c r="RZ168" s="35"/>
      <c r="SA168" s="35"/>
      <c r="SB168" s="35"/>
      <c r="SC168" s="35"/>
      <c r="SD168" s="35"/>
      <c r="SE168" s="35"/>
      <c r="SF168" s="35"/>
      <c r="SG168" s="35"/>
      <c r="SH168" s="35"/>
      <c r="SI168" s="35"/>
      <c r="SJ168" s="35"/>
      <c r="SK168" s="35"/>
      <c r="SL168" s="35"/>
      <c r="SM168" s="35"/>
      <c r="SN168" s="35"/>
      <c r="SO168" s="35"/>
      <c r="SP168" s="35"/>
      <c r="SQ168" s="35"/>
      <c r="SR168" s="35"/>
      <c r="SS168" s="35"/>
      <c r="ST168" s="35"/>
      <c r="SU168" s="35"/>
      <c r="SV168" s="35"/>
      <c r="SW168" s="35"/>
      <c r="SX168" s="35"/>
      <c r="SY168" s="35"/>
      <c r="SZ168" s="35"/>
      <c r="TA168" s="35"/>
      <c r="TB168" s="35"/>
      <c r="TC168" s="35"/>
      <c r="TD168" s="35"/>
      <c r="TE168" s="35"/>
      <c r="TF168" s="35"/>
      <c r="TG168" s="35"/>
      <c r="TH168" s="35"/>
    </row>
    <row r="169" spans="1:528" ht="14.25" customHeight="1">
      <c r="A169" s="77"/>
      <c r="B169" s="77"/>
      <c r="C169" s="3774" t="s">
        <v>1265</v>
      </c>
      <c r="D169" s="3774"/>
      <c r="E169" s="651" t="s">
        <v>1266</v>
      </c>
      <c r="F169" s="652"/>
      <c r="G169" s="653"/>
      <c r="H169" s="977"/>
      <c r="I169" s="656"/>
      <c r="J169" s="654"/>
      <c r="K169" s="2718">
        <f t="shared" ref="K169:O170" si="683">K159+K163+K165</f>
        <v>0</v>
      </c>
      <c r="L169" s="2719">
        <f t="shared" si="683"/>
        <v>0</v>
      </c>
      <c r="M169" s="2719">
        <f t="shared" si="683"/>
        <v>0</v>
      </c>
      <c r="N169" s="2719">
        <f t="shared" si="683"/>
        <v>0</v>
      </c>
      <c r="O169" s="2720">
        <f t="shared" si="683"/>
        <v>0</v>
      </c>
      <c r="P169" s="2743">
        <f t="shared" ref="P169:P176" si="684">SUM(K169:O169)</f>
        <v>0</v>
      </c>
      <c r="S169" s="3777"/>
      <c r="T169" s="3778"/>
      <c r="U169" s="3778"/>
      <c r="V169" s="3778"/>
      <c r="W169" s="3779"/>
      <c r="X169" s="253"/>
      <c r="AA169" s="253"/>
      <c r="AB169" s="256"/>
      <c r="AC169" s="253"/>
      <c r="AF169" s="253"/>
      <c r="AG169" s="256"/>
      <c r="AH169" s="253"/>
      <c r="AK169" s="253"/>
      <c r="AL169" s="256"/>
      <c r="AM169" s="253"/>
      <c r="AP169" s="253"/>
      <c r="AQ169" s="256"/>
      <c r="AR169" s="257"/>
      <c r="AS169" s="257"/>
      <c r="AT169" s="257"/>
      <c r="AU169" s="257"/>
      <c r="AV169" s="257"/>
      <c r="AW169" s="257"/>
      <c r="BB169" s="257"/>
      <c r="LF169" s="251"/>
      <c r="LK169" s="251"/>
      <c r="LP169" s="251"/>
      <c r="LU169" s="251"/>
      <c r="LV169" s="251"/>
      <c r="LW169" s="251"/>
      <c r="LX169" s="251"/>
      <c r="LY169" s="251"/>
      <c r="LZ169" s="251"/>
      <c r="MA169" s="251"/>
      <c r="MB169" s="251"/>
      <c r="MC169" s="251"/>
      <c r="MD169" s="251"/>
      <c r="ME169" s="251"/>
      <c r="MF169" s="251"/>
      <c r="MG169" s="251"/>
      <c r="MH169" s="251"/>
      <c r="MI169" s="251"/>
      <c r="MJ169" s="251"/>
      <c r="MK169" s="251"/>
      <c r="ML169" s="251"/>
      <c r="MM169" s="251"/>
      <c r="MN169" s="251"/>
      <c r="MO169" s="251"/>
      <c r="MP169" s="251"/>
      <c r="MX169" s="255"/>
      <c r="NM169" s="251"/>
      <c r="NN169" s="251"/>
      <c r="OZ169" s="1799">
        <v>165</v>
      </c>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c r="RK169" s="35"/>
      <c r="RL169" s="35"/>
      <c r="RM169" s="35"/>
      <c r="RN169" s="35"/>
      <c r="RO169" s="35"/>
      <c r="RP169" s="35"/>
      <c r="RQ169" s="35"/>
      <c r="RR169" s="35"/>
      <c r="RS169" s="35"/>
      <c r="RT169" s="35"/>
      <c r="RU169" s="35"/>
      <c r="RV169" s="35"/>
      <c r="RW169" s="35"/>
      <c r="RX169" s="35"/>
      <c r="RY169" s="35"/>
      <c r="RZ169" s="35"/>
      <c r="SA169" s="35"/>
      <c r="SB169" s="35"/>
      <c r="SC169" s="35"/>
      <c r="SD169" s="35"/>
      <c r="SE169" s="35"/>
      <c r="SF169" s="35"/>
      <c r="SG169" s="35"/>
      <c r="SH169" s="35"/>
      <c r="SI169" s="35"/>
      <c r="SJ169" s="35"/>
      <c r="SK169" s="35"/>
      <c r="SL169" s="35"/>
      <c r="SM169" s="35"/>
      <c r="SN169" s="35"/>
      <c r="SO169" s="35"/>
      <c r="SP169" s="35"/>
      <c r="SQ169" s="35"/>
      <c r="SR169" s="35"/>
      <c r="SS169" s="35"/>
      <c r="ST169" s="35"/>
      <c r="SU169" s="35"/>
      <c r="SV169" s="35"/>
      <c r="SW169" s="35"/>
      <c r="SX169" s="35"/>
      <c r="SY169" s="35"/>
      <c r="SZ169" s="35"/>
      <c r="TA169" s="35"/>
      <c r="TB169" s="35"/>
      <c r="TC169" s="35"/>
      <c r="TD169" s="35"/>
      <c r="TE169" s="35"/>
      <c r="TF169" s="35"/>
      <c r="TG169" s="35"/>
      <c r="TH169" s="35"/>
    </row>
    <row r="170" spans="1:528" ht="14.25" customHeight="1">
      <c r="A170" s="77"/>
      <c r="B170" s="77"/>
      <c r="C170" s="3775"/>
      <c r="D170" s="3775"/>
      <c r="E170" s="48"/>
      <c r="F170" s="98"/>
      <c r="G170" s="35"/>
      <c r="H170" s="976" t="s">
        <v>1253</v>
      </c>
      <c r="I170" s="44"/>
      <c r="J170" s="655"/>
      <c r="K170" s="1139">
        <f t="shared" si="683"/>
        <v>0</v>
      </c>
      <c r="L170" s="1140">
        <f t="shared" si="683"/>
        <v>0</v>
      </c>
      <c r="M170" s="1140">
        <f t="shared" si="683"/>
        <v>0</v>
      </c>
      <c r="N170" s="1140">
        <f t="shared" si="683"/>
        <v>0</v>
      </c>
      <c r="O170" s="1141">
        <f t="shared" si="683"/>
        <v>0</v>
      </c>
      <c r="P170" s="1142">
        <f t="shared" si="684"/>
        <v>0</v>
      </c>
      <c r="S170" s="3758"/>
      <c r="T170" s="3759"/>
      <c r="U170" s="3759"/>
      <c r="V170" s="3759"/>
      <c r="W170" s="3760"/>
      <c r="X170" s="253"/>
      <c r="AA170" s="253"/>
      <c r="AB170" s="256"/>
      <c r="AC170" s="253"/>
      <c r="AF170" s="253"/>
      <c r="AG170" s="256"/>
      <c r="AH170" s="253"/>
      <c r="AK170" s="253"/>
      <c r="AL170" s="256"/>
      <c r="AM170" s="253"/>
      <c r="AP170" s="253"/>
      <c r="AQ170" s="256"/>
      <c r="AR170" s="257"/>
      <c r="AS170" s="257"/>
      <c r="AT170" s="257"/>
      <c r="AU170" s="257"/>
      <c r="AV170" s="257"/>
      <c r="AW170" s="257"/>
      <c r="BB170" s="257"/>
      <c r="LF170" s="251"/>
      <c r="LK170" s="251"/>
      <c r="LP170" s="251"/>
      <c r="LU170" s="251"/>
      <c r="LV170" s="251"/>
      <c r="LW170" s="251"/>
      <c r="LX170" s="251"/>
      <c r="LY170" s="251"/>
      <c r="LZ170" s="251"/>
      <c r="MA170" s="251"/>
      <c r="MB170" s="251"/>
      <c r="MC170" s="251"/>
      <c r="MD170" s="251"/>
      <c r="ME170" s="251"/>
      <c r="MF170" s="251"/>
      <c r="MG170" s="251"/>
      <c r="MH170" s="251"/>
      <c r="MI170" s="251"/>
      <c r="MJ170" s="251"/>
      <c r="MK170" s="251"/>
      <c r="ML170" s="251"/>
      <c r="MM170" s="251"/>
      <c r="MN170" s="251"/>
      <c r="MO170" s="251"/>
      <c r="MP170" s="251"/>
      <c r="MX170" s="255"/>
      <c r="NM170" s="251"/>
      <c r="NN170" s="251"/>
      <c r="OZ170" s="1801">
        <v>166</v>
      </c>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c r="RK170" s="35"/>
      <c r="RL170" s="35"/>
      <c r="RM170" s="35"/>
      <c r="RN170" s="35"/>
      <c r="RO170" s="35"/>
      <c r="RP170" s="35"/>
      <c r="RQ170" s="35"/>
      <c r="RR170" s="35"/>
      <c r="RS170" s="35"/>
      <c r="RT170" s="35"/>
      <c r="RU170" s="35"/>
      <c r="RV170" s="35"/>
      <c r="RW170" s="35"/>
      <c r="RX170" s="35"/>
      <c r="RY170" s="35"/>
      <c r="RZ170" s="35"/>
      <c r="SA170" s="35"/>
      <c r="SB170" s="35"/>
      <c r="SC170" s="35"/>
      <c r="SD170" s="35"/>
      <c r="SE170" s="35"/>
      <c r="SF170" s="35"/>
      <c r="SG170" s="35"/>
      <c r="SH170" s="35"/>
      <c r="SI170" s="35"/>
      <c r="SJ170" s="35"/>
      <c r="SK170" s="35"/>
      <c r="SL170" s="35"/>
      <c r="SM170" s="35"/>
      <c r="SN170" s="35"/>
      <c r="SO170" s="35"/>
      <c r="SP170" s="35"/>
      <c r="SQ170" s="35"/>
      <c r="SR170" s="35"/>
      <c r="SS170" s="35"/>
      <c r="ST170" s="35"/>
      <c r="SU170" s="35"/>
      <c r="SV170" s="35"/>
      <c r="SW170" s="35"/>
      <c r="SX170" s="35"/>
      <c r="SY170" s="35"/>
      <c r="SZ170" s="35"/>
      <c r="TA170" s="35"/>
      <c r="TB170" s="35"/>
      <c r="TC170" s="35"/>
      <c r="TD170" s="35"/>
      <c r="TE170" s="35"/>
      <c r="TF170" s="35"/>
      <c r="TG170" s="35"/>
      <c r="TH170" s="35"/>
    </row>
    <row r="171" spans="1:528" ht="14.25" customHeight="1">
      <c r="A171" s="77"/>
      <c r="B171" s="77"/>
      <c r="C171" s="3775"/>
      <c r="D171" s="3775"/>
      <c r="E171" s="48" t="s">
        <v>1267</v>
      </c>
      <c r="F171" s="98"/>
      <c r="G171" s="35"/>
      <c r="H171" s="135"/>
      <c r="I171" s="98"/>
      <c r="J171" s="655"/>
      <c r="K171" s="796">
        <f t="shared" ref="K171:O172" si="685">K161</f>
        <v>0</v>
      </c>
      <c r="L171" s="797">
        <f t="shared" si="685"/>
        <v>0</v>
      </c>
      <c r="M171" s="797">
        <f t="shared" si="685"/>
        <v>0</v>
      </c>
      <c r="N171" s="797">
        <f t="shared" si="685"/>
        <v>0</v>
      </c>
      <c r="O171" s="798">
        <f t="shared" si="685"/>
        <v>0</v>
      </c>
      <c r="P171" s="1138">
        <f t="shared" si="684"/>
        <v>0</v>
      </c>
      <c r="S171" s="3758"/>
      <c r="T171" s="3759"/>
      <c r="U171" s="3759"/>
      <c r="V171" s="3759"/>
      <c r="W171" s="3760"/>
      <c r="X171" s="253"/>
      <c r="AA171" s="253"/>
      <c r="AB171" s="256"/>
      <c r="AC171" s="253"/>
      <c r="AF171" s="253"/>
      <c r="AG171" s="256"/>
      <c r="AH171" s="253"/>
      <c r="AK171" s="253"/>
      <c r="AL171" s="256"/>
      <c r="AM171" s="253"/>
      <c r="AP171" s="253"/>
      <c r="AQ171" s="256"/>
      <c r="AR171" s="257"/>
      <c r="AS171" s="257"/>
      <c r="AT171" s="257"/>
      <c r="AU171" s="257"/>
      <c r="AV171" s="257"/>
      <c r="AW171" s="257"/>
      <c r="BB171" s="257"/>
      <c r="LF171" s="251"/>
      <c r="LK171" s="251"/>
      <c r="LP171" s="251"/>
      <c r="LU171" s="251"/>
      <c r="LV171" s="251"/>
      <c r="LW171" s="251"/>
      <c r="LX171" s="251"/>
      <c r="LY171" s="251"/>
      <c r="LZ171" s="251"/>
      <c r="MA171" s="251"/>
      <c r="MB171" s="251"/>
      <c r="MC171" s="251"/>
      <c r="MD171" s="251"/>
      <c r="ME171" s="251"/>
      <c r="MF171" s="251"/>
      <c r="MG171" s="251"/>
      <c r="MH171" s="251"/>
      <c r="MI171" s="251"/>
      <c r="MJ171" s="251"/>
      <c r="MK171" s="251"/>
      <c r="ML171" s="251"/>
      <c r="MM171" s="251"/>
      <c r="MN171" s="251"/>
      <c r="MO171" s="251"/>
      <c r="MP171" s="251"/>
      <c r="MX171" s="255"/>
      <c r="NM171" s="251"/>
      <c r="NN171" s="251"/>
      <c r="OZ171" s="1799">
        <v>167</v>
      </c>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c r="RK171" s="35"/>
      <c r="RL171" s="35"/>
      <c r="RM171" s="35"/>
      <c r="RN171" s="35"/>
      <c r="RO171" s="35"/>
      <c r="RP171" s="35"/>
      <c r="RQ171" s="35"/>
      <c r="RR171" s="35"/>
      <c r="RS171" s="35"/>
      <c r="RT171" s="35"/>
      <c r="RU171" s="35"/>
      <c r="RV171" s="35"/>
      <c r="RW171" s="35"/>
      <c r="RX171" s="35"/>
      <c r="RY171" s="35"/>
      <c r="RZ171" s="35"/>
      <c r="SA171" s="35"/>
      <c r="SB171" s="35"/>
      <c r="SC171" s="35"/>
      <c r="SD171" s="35"/>
      <c r="SE171" s="35"/>
      <c r="SF171" s="35"/>
      <c r="SG171" s="35"/>
      <c r="SH171" s="35"/>
      <c r="SI171" s="35"/>
      <c r="SJ171" s="35"/>
      <c r="SK171" s="35"/>
      <c r="SL171" s="35"/>
      <c r="SM171" s="35"/>
      <c r="SN171" s="35"/>
      <c r="SO171" s="35"/>
      <c r="SP171" s="35"/>
      <c r="SQ171" s="35"/>
      <c r="SR171" s="35"/>
      <c r="SS171" s="35"/>
      <c r="ST171" s="35"/>
      <c r="SU171" s="35"/>
      <c r="SV171" s="35"/>
      <c r="SW171" s="35"/>
      <c r="SX171" s="35"/>
      <c r="SY171" s="35"/>
      <c r="SZ171" s="35"/>
      <c r="TA171" s="35"/>
      <c r="TB171" s="35"/>
      <c r="TC171" s="35"/>
      <c r="TD171" s="35"/>
      <c r="TE171" s="35"/>
      <c r="TF171" s="35"/>
      <c r="TG171" s="35"/>
      <c r="TH171" s="35"/>
    </row>
    <row r="172" spans="1:528" ht="14.25" customHeight="1">
      <c r="A172" s="77"/>
      <c r="B172" s="77"/>
      <c r="C172" s="3775"/>
      <c r="D172" s="3775"/>
      <c r="E172" s="48"/>
      <c r="F172" s="98"/>
      <c r="G172" s="35"/>
      <c r="H172" s="976" t="s">
        <v>1253</v>
      </c>
      <c r="I172" s="44"/>
      <c r="J172" s="655"/>
      <c r="K172" s="1139">
        <f t="shared" si="685"/>
        <v>0</v>
      </c>
      <c r="L172" s="1140">
        <f t="shared" si="685"/>
        <v>0</v>
      </c>
      <c r="M172" s="1140">
        <f t="shared" si="685"/>
        <v>0</v>
      </c>
      <c r="N172" s="1140">
        <f t="shared" si="685"/>
        <v>0</v>
      </c>
      <c r="O172" s="1141">
        <f t="shared" si="685"/>
        <v>0</v>
      </c>
      <c r="P172" s="1142">
        <f t="shared" si="684"/>
        <v>0</v>
      </c>
      <c r="S172" s="3758"/>
      <c r="T172" s="3759"/>
      <c r="U172" s="3759"/>
      <c r="V172" s="3759"/>
      <c r="W172" s="3760"/>
      <c r="X172" s="253"/>
      <c r="AA172" s="253"/>
      <c r="AB172" s="256"/>
      <c r="AC172" s="253"/>
      <c r="AF172" s="253"/>
      <c r="AG172" s="256"/>
      <c r="AH172" s="253"/>
      <c r="AK172" s="253"/>
      <c r="AL172" s="256"/>
      <c r="AM172" s="253"/>
      <c r="AP172" s="253"/>
      <c r="AQ172" s="256"/>
      <c r="AR172" s="257"/>
      <c r="AS172" s="257"/>
      <c r="AT172" s="257"/>
      <c r="AU172" s="257"/>
      <c r="AV172" s="257"/>
      <c r="AW172" s="257"/>
      <c r="BB172" s="257"/>
      <c r="LF172" s="251"/>
      <c r="LK172" s="251"/>
      <c r="LP172" s="251"/>
      <c r="LU172" s="251"/>
      <c r="LV172" s="251"/>
      <c r="LW172" s="251"/>
      <c r="LX172" s="251"/>
      <c r="LY172" s="251"/>
      <c r="LZ172" s="251"/>
      <c r="MA172" s="251"/>
      <c r="MB172" s="251"/>
      <c r="MC172" s="251"/>
      <c r="MD172" s="251"/>
      <c r="ME172" s="251"/>
      <c r="MF172" s="251"/>
      <c r="MG172" s="251"/>
      <c r="MH172" s="251"/>
      <c r="MI172" s="251"/>
      <c r="MJ172" s="251"/>
      <c r="MK172" s="251"/>
      <c r="ML172" s="251"/>
      <c r="MM172" s="251"/>
      <c r="MN172" s="251"/>
      <c r="MO172" s="251"/>
      <c r="MP172" s="251"/>
      <c r="MX172" s="255"/>
      <c r="NM172" s="251"/>
      <c r="NN172" s="251"/>
      <c r="OZ172" s="1798">
        <v>168</v>
      </c>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c r="RK172" s="35"/>
      <c r="RL172" s="35"/>
      <c r="RM172" s="35"/>
      <c r="RN172" s="35"/>
      <c r="RO172" s="35"/>
      <c r="RP172" s="35"/>
      <c r="RQ172" s="35"/>
      <c r="RR172" s="35"/>
      <c r="RS172" s="35"/>
      <c r="RT172" s="35"/>
      <c r="RU172" s="35"/>
      <c r="RV172" s="35"/>
      <c r="RW172" s="35"/>
      <c r="RX172" s="35"/>
      <c r="RY172" s="35"/>
      <c r="RZ172" s="35"/>
      <c r="SA172" s="35"/>
      <c r="SB172" s="35"/>
      <c r="SC172" s="35"/>
      <c r="SD172" s="35"/>
      <c r="SE172" s="35"/>
      <c r="SF172" s="35"/>
      <c r="SG172" s="35"/>
      <c r="SH172" s="35"/>
      <c r="SI172" s="35"/>
      <c r="SJ172" s="35"/>
      <c r="SK172" s="35"/>
      <c r="SL172" s="35"/>
      <c r="SM172" s="35"/>
      <c r="SN172" s="35"/>
      <c r="SO172" s="35"/>
      <c r="SP172" s="35"/>
      <c r="SQ172" s="35"/>
      <c r="SR172" s="35"/>
      <c r="SS172" s="35"/>
      <c r="ST172" s="35"/>
      <c r="SU172" s="35"/>
      <c r="SV172" s="35"/>
      <c r="SW172" s="35"/>
      <c r="SX172" s="35"/>
      <c r="SY172" s="35"/>
      <c r="SZ172" s="35"/>
      <c r="TA172" s="35"/>
      <c r="TB172" s="35"/>
      <c r="TC172" s="35"/>
      <c r="TD172" s="35"/>
      <c r="TE172" s="35"/>
      <c r="TF172" s="35"/>
      <c r="TG172" s="35"/>
      <c r="TH172" s="35"/>
    </row>
    <row r="173" spans="1:528" ht="14.25" customHeight="1">
      <c r="A173" s="77"/>
      <c r="B173" s="77"/>
      <c r="C173" s="3775"/>
      <c r="D173" s="3775"/>
      <c r="E173" s="48" t="s">
        <v>1268</v>
      </c>
      <c r="F173" s="98"/>
      <c r="G173" s="35"/>
      <c r="H173" s="947"/>
      <c r="I173" s="16"/>
      <c r="J173" s="655"/>
      <c r="K173" s="796">
        <f t="shared" ref="K173:O176" si="686">K151+K155</f>
        <v>0</v>
      </c>
      <c r="L173" s="797">
        <f t="shared" si="686"/>
        <v>24</v>
      </c>
      <c r="M173" s="797">
        <f t="shared" si="686"/>
        <v>48</v>
      </c>
      <c r="N173" s="797">
        <f t="shared" si="686"/>
        <v>24</v>
      </c>
      <c r="O173" s="798">
        <f t="shared" si="686"/>
        <v>0</v>
      </c>
      <c r="P173" s="1138">
        <f t="shared" si="684"/>
        <v>96</v>
      </c>
      <c r="S173" s="3758"/>
      <c r="T173" s="3759"/>
      <c r="U173" s="3759"/>
      <c r="V173" s="3759"/>
      <c r="W173" s="3760"/>
      <c r="X173" s="253"/>
      <c r="AA173" s="253"/>
      <c r="AB173" s="256"/>
      <c r="AC173" s="253"/>
      <c r="AF173" s="253"/>
      <c r="AG173" s="256"/>
      <c r="AH173" s="253"/>
      <c r="AK173" s="253"/>
      <c r="AL173" s="256"/>
      <c r="AM173" s="253"/>
      <c r="AP173" s="253"/>
      <c r="AQ173" s="256"/>
      <c r="AR173" s="257"/>
      <c r="AS173" s="257"/>
      <c r="AT173" s="257"/>
      <c r="AU173" s="257"/>
      <c r="AV173" s="257"/>
      <c r="AW173" s="257"/>
      <c r="BB173" s="257"/>
      <c r="LF173" s="251"/>
      <c r="LK173" s="251"/>
      <c r="LP173" s="251"/>
      <c r="LU173" s="251"/>
      <c r="LV173" s="251"/>
      <c r="LW173" s="251"/>
      <c r="LX173" s="251"/>
      <c r="LY173" s="251"/>
      <c r="LZ173" s="251"/>
      <c r="MA173" s="251"/>
      <c r="MB173" s="251"/>
      <c r="MC173" s="251"/>
      <c r="MD173" s="251"/>
      <c r="ME173" s="251"/>
      <c r="MF173" s="251"/>
      <c r="MG173" s="251"/>
      <c r="MH173" s="251"/>
      <c r="MI173" s="251"/>
      <c r="MJ173" s="251"/>
      <c r="MK173" s="251"/>
      <c r="ML173" s="251"/>
      <c r="MM173" s="251"/>
      <c r="MN173" s="251"/>
      <c r="MO173" s="251"/>
      <c r="MP173" s="251"/>
      <c r="MX173" s="255"/>
      <c r="NM173" s="251"/>
      <c r="NN173" s="251"/>
      <c r="OZ173" s="1799">
        <v>169</v>
      </c>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row>
    <row r="174" spans="1:528" ht="14.25" customHeight="1">
      <c r="A174" s="77"/>
      <c r="B174" s="77"/>
      <c r="C174" s="3775"/>
      <c r="D174" s="3775"/>
      <c r="E174" s="48"/>
      <c r="F174" s="98"/>
      <c r="G174" s="35"/>
      <c r="H174" s="976" t="s">
        <v>1253</v>
      </c>
      <c r="I174" s="44"/>
      <c r="J174" s="655"/>
      <c r="K174" s="1139">
        <f t="shared" si="686"/>
        <v>0</v>
      </c>
      <c r="L174" s="1140">
        <f t="shared" si="686"/>
        <v>0</v>
      </c>
      <c r="M174" s="1140">
        <f t="shared" si="686"/>
        <v>0</v>
      </c>
      <c r="N174" s="1140">
        <f t="shared" si="686"/>
        <v>0</v>
      </c>
      <c r="O174" s="1141">
        <f t="shared" si="686"/>
        <v>0</v>
      </c>
      <c r="P174" s="1142">
        <f t="shared" si="684"/>
        <v>0</v>
      </c>
      <c r="S174" s="3758"/>
      <c r="T174" s="3759"/>
      <c r="U174" s="3759"/>
      <c r="V174" s="3759"/>
      <c r="W174" s="3760"/>
      <c r="X174" s="253"/>
      <c r="AA174" s="253"/>
      <c r="AB174" s="256"/>
      <c r="AC174" s="253"/>
      <c r="AF174" s="253"/>
      <c r="AG174" s="256"/>
      <c r="AH174" s="253"/>
      <c r="AK174" s="253"/>
      <c r="AL174" s="256"/>
      <c r="AM174" s="253"/>
      <c r="AP174" s="253"/>
      <c r="AQ174" s="256"/>
      <c r="AR174" s="257"/>
      <c r="AS174" s="257"/>
      <c r="AT174" s="257"/>
      <c r="AU174" s="257"/>
      <c r="AV174" s="257"/>
      <c r="AW174" s="257"/>
      <c r="BB174" s="257"/>
      <c r="LF174" s="251"/>
      <c r="LK174" s="251"/>
      <c r="LP174" s="251"/>
      <c r="LU174" s="251"/>
      <c r="LV174" s="251"/>
      <c r="LW174" s="251"/>
      <c r="LX174" s="251"/>
      <c r="LY174" s="251"/>
      <c r="LZ174" s="251"/>
      <c r="MA174" s="251"/>
      <c r="MB174" s="251"/>
      <c r="MC174" s="251"/>
      <c r="MD174" s="251"/>
      <c r="ME174" s="251"/>
      <c r="MF174" s="251"/>
      <c r="MG174" s="251"/>
      <c r="MH174" s="251"/>
      <c r="MI174" s="251"/>
      <c r="MJ174" s="251"/>
      <c r="MK174" s="251"/>
      <c r="ML174" s="251"/>
      <c r="MM174" s="251"/>
      <c r="MN174" s="251"/>
      <c r="MO174" s="251"/>
      <c r="MP174" s="251"/>
      <c r="MX174" s="255"/>
      <c r="NM174" s="251"/>
      <c r="NN174" s="251"/>
      <c r="OZ174" s="1799">
        <v>170</v>
      </c>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row>
    <row r="175" spans="1:528" ht="14.25" customHeight="1">
      <c r="A175" s="77"/>
      <c r="B175" s="77"/>
      <c r="C175" s="3775"/>
      <c r="D175" s="3775"/>
      <c r="E175" s="48" t="s">
        <v>1269</v>
      </c>
      <c r="F175" s="98"/>
      <c r="G175" s="35"/>
      <c r="H175" s="947"/>
      <c r="I175" s="16"/>
      <c r="J175" s="655"/>
      <c r="K175" s="796">
        <f t="shared" si="686"/>
        <v>0</v>
      </c>
      <c r="L175" s="797">
        <f t="shared" si="686"/>
        <v>0</v>
      </c>
      <c r="M175" s="797">
        <f t="shared" si="686"/>
        <v>0</v>
      </c>
      <c r="N175" s="797">
        <f t="shared" si="686"/>
        <v>0</v>
      </c>
      <c r="O175" s="798">
        <f t="shared" si="686"/>
        <v>0</v>
      </c>
      <c r="P175" s="1138">
        <f t="shared" si="684"/>
        <v>0</v>
      </c>
      <c r="S175" s="3758"/>
      <c r="T175" s="3759"/>
      <c r="U175" s="3759"/>
      <c r="V175" s="3759"/>
      <c r="W175" s="3760"/>
      <c r="X175" s="253"/>
      <c r="AA175" s="253"/>
      <c r="AB175" s="256"/>
      <c r="AC175" s="253"/>
      <c r="AF175" s="253"/>
      <c r="AG175" s="256"/>
      <c r="AH175" s="253"/>
      <c r="AK175" s="253"/>
      <c r="AL175" s="256"/>
      <c r="AM175" s="253"/>
      <c r="AP175" s="253"/>
      <c r="AQ175" s="256"/>
      <c r="AR175" s="257"/>
      <c r="AS175" s="257"/>
      <c r="AT175" s="257"/>
      <c r="AU175" s="257"/>
      <c r="AV175" s="257"/>
      <c r="AW175" s="257"/>
      <c r="BB175" s="257"/>
      <c r="LF175" s="251"/>
      <c r="LK175" s="251"/>
      <c r="LP175" s="251"/>
      <c r="LU175" s="251"/>
      <c r="LV175" s="251"/>
      <c r="LW175" s="251"/>
      <c r="LX175" s="251"/>
      <c r="LY175" s="251"/>
      <c r="LZ175" s="251"/>
      <c r="MA175" s="251"/>
      <c r="MB175" s="251"/>
      <c r="MC175" s="251"/>
      <c r="MD175" s="251"/>
      <c r="ME175" s="251"/>
      <c r="MF175" s="251"/>
      <c r="MG175" s="251"/>
      <c r="MH175" s="251"/>
      <c r="MI175" s="251"/>
      <c r="MJ175" s="251"/>
      <c r="MK175" s="251"/>
      <c r="ML175" s="251"/>
      <c r="MM175" s="251"/>
      <c r="MN175" s="251"/>
      <c r="MO175" s="251"/>
      <c r="MP175" s="251"/>
      <c r="MX175" s="255"/>
      <c r="NM175" s="251"/>
      <c r="NN175" s="251"/>
      <c r="OZ175" s="1798">
        <v>171</v>
      </c>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row>
    <row r="176" spans="1:528" ht="14.25" customHeight="1">
      <c r="A176" s="77"/>
      <c r="B176" s="77"/>
      <c r="C176" s="43"/>
      <c r="D176" s="43"/>
      <c r="E176" s="146"/>
      <c r="F176" s="98"/>
      <c r="G176" s="35"/>
      <c r="H176" s="976" t="s">
        <v>1253</v>
      </c>
      <c r="I176" s="44"/>
      <c r="J176" s="35"/>
      <c r="K176" s="1143">
        <f t="shared" si="686"/>
        <v>0</v>
      </c>
      <c r="L176" s="1144">
        <f t="shared" si="686"/>
        <v>0</v>
      </c>
      <c r="M176" s="1144">
        <f t="shared" si="686"/>
        <v>0</v>
      </c>
      <c r="N176" s="1144">
        <f t="shared" si="686"/>
        <v>0</v>
      </c>
      <c r="O176" s="1145">
        <f t="shared" si="686"/>
        <v>0</v>
      </c>
      <c r="P176" s="1146">
        <f t="shared" si="684"/>
        <v>0</v>
      </c>
      <c r="Q176" s="3776" t="s">
        <v>1270</v>
      </c>
      <c r="S176" s="3725"/>
      <c r="T176" s="3726"/>
      <c r="U176" s="3726"/>
      <c r="V176" s="3726"/>
      <c r="W176" s="3727"/>
      <c r="X176" s="253"/>
      <c r="AA176" s="253"/>
      <c r="AB176" s="256"/>
      <c r="AC176" s="253"/>
      <c r="AF176" s="253"/>
      <c r="AG176" s="256"/>
      <c r="AH176" s="253"/>
      <c r="AK176" s="253"/>
      <c r="AL176" s="256"/>
      <c r="AM176" s="253"/>
      <c r="AP176" s="253"/>
      <c r="AQ176" s="256"/>
      <c r="AR176" s="257"/>
      <c r="AS176" s="257"/>
      <c r="AT176" s="257"/>
      <c r="AU176" s="257"/>
      <c r="AV176" s="257"/>
      <c r="AW176" s="257"/>
      <c r="BB176" s="257"/>
      <c r="LF176" s="251"/>
      <c r="LK176" s="251"/>
      <c r="LP176" s="251"/>
      <c r="LU176" s="251"/>
      <c r="LV176" s="251"/>
      <c r="LW176" s="251"/>
      <c r="LX176" s="251"/>
      <c r="LY176" s="251"/>
      <c r="LZ176" s="251"/>
      <c r="MA176" s="251"/>
      <c r="MB176" s="251"/>
      <c r="MC176" s="251"/>
      <c r="MD176" s="251"/>
      <c r="ME176" s="251"/>
      <c r="MF176" s="251"/>
      <c r="MG176" s="251"/>
      <c r="MH176" s="251"/>
      <c r="MI176" s="251"/>
      <c r="MJ176" s="251"/>
      <c r="MK176" s="251"/>
      <c r="ML176" s="251"/>
      <c r="MM176" s="251"/>
      <c r="MN176" s="251"/>
      <c r="MO176" s="251"/>
      <c r="MP176" s="251"/>
      <c r="MX176" s="255"/>
      <c r="NM176" s="251"/>
      <c r="NN176" s="251"/>
      <c r="OZ176" s="1799">
        <v>172</v>
      </c>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row>
    <row r="177" spans="1:528" ht="12" customHeight="1">
      <c r="A177" s="785"/>
      <c r="B177" s="785"/>
      <c r="C177" s="77"/>
      <c r="D177" s="490"/>
      <c r="E177" s="48"/>
      <c r="F177" s="43"/>
      <c r="G177" s="35"/>
      <c r="H177" s="13"/>
      <c r="I177" s="13"/>
      <c r="J177" s="35"/>
      <c r="K177" s="2361"/>
      <c r="L177" s="2361"/>
      <c r="M177" s="2361"/>
      <c r="N177" s="2361"/>
      <c r="O177" s="2361"/>
      <c r="P177" s="2361"/>
      <c r="Q177" s="3776"/>
      <c r="S177" s="96"/>
      <c r="U177" s="225"/>
      <c r="X177" s="253"/>
      <c r="AA177" s="253"/>
      <c r="AB177" s="256"/>
      <c r="AC177" s="253"/>
      <c r="AF177" s="253"/>
      <c r="AG177" s="256"/>
      <c r="AH177" s="253"/>
      <c r="AK177" s="253"/>
      <c r="AL177" s="256"/>
      <c r="AM177" s="253"/>
      <c r="AP177" s="253"/>
      <c r="AQ177" s="256"/>
      <c r="AR177" s="253"/>
      <c r="AS177" s="253"/>
      <c r="AT177" s="253"/>
      <c r="AU177" s="253"/>
      <c r="AV177" s="253"/>
      <c r="AW177" s="253"/>
      <c r="AY177" s="253"/>
      <c r="BB177" s="253"/>
      <c r="BD177" s="253"/>
      <c r="MX177" s="255"/>
      <c r="NM177" s="251"/>
      <c r="NN177" s="251"/>
      <c r="OZ177" s="1799">
        <v>173</v>
      </c>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row>
    <row r="178" spans="1:528" ht="12" customHeight="1">
      <c r="A178" s="6"/>
      <c r="B178" s="6" t="s">
        <v>1271</v>
      </c>
      <c r="C178" s="43"/>
      <c r="D178" s="43"/>
      <c r="E178" s="43"/>
      <c r="F178" s="43"/>
      <c r="G178" s="35"/>
      <c r="H178" s="16"/>
      <c r="I178" s="16"/>
      <c r="J178" s="35"/>
      <c r="K178" s="2367"/>
      <c r="L178" s="2367"/>
      <c r="M178" s="2367"/>
      <c r="N178" s="2367"/>
      <c r="O178" s="2367"/>
      <c r="P178" s="2367"/>
      <c r="Q178" s="3776"/>
      <c r="S178" s="3418" t="str">
        <f>B178</f>
        <v>UNIT SQUARE FOOTAGE</v>
      </c>
      <c r="T178" s="3418"/>
      <c r="U178" s="3418"/>
      <c r="X178" s="253"/>
      <c r="AA178" s="253"/>
      <c r="AB178" s="256"/>
      <c r="AC178" s="253"/>
      <c r="AF178" s="253"/>
      <c r="AG178" s="256"/>
      <c r="AH178" s="253"/>
      <c r="AK178" s="253"/>
      <c r="AL178" s="256"/>
      <c r="AM178" s="253"/>
      <c r="AP178" s="253"/>
      <c r="AQ178" s="256"/>
      <c r="AR178" s="253"/>
      <c r="AS178" s="253"/>
      <c r="AT178" s="253"/>
      <c r="AU178" s="253"/>
      <c r="AV178" s="253"/>
      <c r="AW178" s="253"/>
      <c r="AY178" s="253"/>
      <c r="BB178" s="253"/>
      <c r="BD178" s="253"/>
      <c r="MX178" s="255"/>
      <c r="NM178" s="251"/>
      <c r="NN178" s="251"/>
      <c r="OZ178" s="1799">
        <v>174</v>
      </c>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c r="RK178" s="35"/>
      <c r="RL178" s="35"/>
      <c r="RM178" s="35"/>
      <c r="RN178" s="35"/>
      <c r="RO178" s="35"/>
      <c r="RP178" s="35"/>
      <c r="RQ178" s="35"/>
      <c r="RR178" s="35"/>
      <c r="RS178" s="35"/>
      <c r="RT178" s="35"/>
      <c r="RU178" s="35"/>
      <c r="RV178" s="35"/>
      <c r="RW178" s="35"/>
      <c r="RX178" s="35"/>
      <c r="RY178" s="35"/>
      <c r="RZ178" s="35"/>
      <c r="SA178" s="35"/>
      <c r="SB178" s="35"/>
      <c r="SC178" s="35"/>
      <c r="SD178" s="35"/>
      <c r="SE178" s="35"/>
      <c r="SF178" s="35"/>
      <c r="SG178" s="35"/>
      <c r="SH178" s="35"/>
      <c r="SI178" s="35"/>
      <c r="SJ178" s="35"/>
      <c r="SK178" s="35"/>
      <c r="SL178" s="35"/>
      <c r="SM178" s="35"/>
      <c r="SN178" s="35"/>
      <c r="SO178" s="35"/>
      <c r="SP178" s="35"/>
      <c r="SQ178" s="35"/>
      <c r="SR178" s="35"/>
      <c r="SS178" s="35"/>
      <c r="ST178" s="35"/>
      <c r="SU178" s="35"/>
      <c r="SV178" s="35"/>
      <c r="SW178" s="35"/>
      <c r="SX178" s="35"/>
      <c r="SY178" s="35"/>
      <c r="SZ178" s="35"/>
      <c r="TA178" s="35"/>
      <c r="TB178" s="35"/>
      <c r="TC178" s="35"/>
      <c r="TD178" s="35"/>
      <c r="TE178" s="35"/>
      <c r="TF178" s="35"/>
      <c r="TG178" s="35"/>
      <c r="TH178" s="35"/>
    </row>
    <row r="179" spans="1:528" ht="14.25" customHeight="1">
      <c r="A179" s="77"/>
      <c r="B179" s="77"/>
      <c r="C179" s="43" t="s">
        <v>1272</v>
      </c>
      <c r="D179" s="43"/>
      <c r="E179" s="43"/>
      <c r="F179" s="43"/>
      <c r="G179" s="35"/>
      <c r="H179" s="40" t="s">
        <v>1220</v>
      </c>
      <c r="I179" s="25"/>
      <c r="J179" s="35"/>
      <c r="K179" s="2728">
        <f>FR58</f>
        <v>0</v>
      </c>
      <c r="L179" s="2729">
        <f>FS58</f>
        <v>0</v>
      </c>
      <c r="M179" s="2729">
        <f>FT58</f>
        <v>0</v>
      </c>
      <c r="N179" s="2729">
        <f>FU58</f>
        <v>0</v>
      </c>
      <c r="O179" s="2730">
        <f>FV58</f>
        <v>0</v>
      </c>
      <c r="P179" s="2744">
        <f t="shared" ref="P179:P185" si="687">SUM(K179:O179)</f>
        <v>0</v>
      </c>
      <c r="Q179" s="880" t="str">
        <f t="shared" ref="Q179:Q185" si="688">IF(OR(P65=0,P65=""),"",P179/P65)</f>
        <v/>
      </c>
      <c r="S179" s="3777"/>
      <c r="T179" s="3778"/>
      <c r="U179" s="3778"/>
      <c r="V179" s="3778"/>
      <c r="W179" s="3779"/>
      <c r="X179" s="253"/>
      <c r="AA179" s="253"/>
      <c r="AB179" s="256"/>
      <c r="AC179" s="253"/>
      <c r="AF179" s="253"/>
      <c r="AG179" s="256"/>
      <c r="AH179" s="253"/>
      <c r="AK179" s="253"/>
      <c r="AL179" s="256"/>
      <c r="AM179" s="253"/>
      <c r="AP179" s="253"/>
      <c r="AQ179" s="256"/>
      <c r="AR179" s="257"/>
      <c r="AS179" s="257"/>
      <c r="AT179" s="257"/>
      <c r="AU179" s="257"/>
      <c r="AV179" s="257"/>
      <c r="AW179" s="257"/>
      <c r="AY179" s="253"/>
      <c r="BB179" s="257"/>
      <c r="BD179" s="253"/>
      <c r="MX179" s="255"/>
      <c r="NM179" s="251"/>
      <c r="NN179" s="251"/>
      <c r="OZ179" s="1799">
        <v>175</v>
      </c>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c r="RK179" s="35"/>
      <c r="RL179" s="35"/>
      <c r="RM179" s="35"/>
      <c r="RN179" s="35"/>
      <c r="RO179" s="35"/>
      <c r="RP179" s="35"/>
      <c r="RQ179" s="35"/>
      <c r="RR179" s="35"/>
      <c r="RS179" s="35"/>
      <c r="RT179" s="35"/>
      <c r="RU179" s="35"/>
      <c r="RV179" s="35"/>
      <c r="RW179" s="35"/>
      <c r="RX179" s="35"/>
      <c r="RY179" s="35"/>
      <c r="RZ179" s="35"/>
      <c r="SA179" s="35"/>
      <c r="SB179" s="35"/>
      <c r="SC179" s="35"/>
      <c r="SD179" s="35"/>
      <c r="SE179" s="35"/>
      <c r="SF179" s="35"/>
      <c r="SG179" s="35"/>
      <c r="SH179" s="35"/>
      <c r="SI179" s="35"/>
      <c r="SJ179" s="35"/>
      <c r="SK179" s="35"/>
      <c r="SL179" s="35"/>
      <c r="SM179" s="35"/>
      <c r="SN179" s="35"/>
      <c r="SO179" s="35"/>
      <c r="SP179" s="35"/>
      <c r="SQ179" s="35"/>
      <c r="SR179" s="35"/>
      <c r="SS179" s="35"/>
      <c r="ST179" s="35"/>
      <c r="SU179" s="35"/>
      <c r="SV179" s="35"/>
      <c r="SW179" s="35"/>
      <c r="SX179" s="35"/>
      <c r="SY179" s="35"/>
      <c r="SZ179" s="35"/>
      <c r="TA179" s="35"/>
      <c r="TB179" s="35"/>
      <c r="TC179" s="35"/>
      <c r="TD179" s="35"/>
      <c r="TE179" s="35"/>
      <c r="TF179" s="35"/>
      <c r="TG179" s="35"/>
      <c r="TH179" s="35"/>
    </row>
    <row r="180" spans="1:528" ht="14.25" customHeight="1">
      <c r="A180" s="77"/>
      <c r="B180" s="77"/>
      <c r="C180" s="43"/>
      <c r="D180" s="43"/>
      <c r="E180" s="43"/>
      <c r="F180" s="43"/>
      <c r="G180" s="35"/>
      <c r="H180" s="947" t="s">
        <v>1222</v>
      </c>
      <c r="I180" s="16"/>
      <c r="J180" s="35"/>
      <c r="K180" s="799">
        <f>FW58</f>
        <v>0</v>
      </c>
      <c r="L180" s="800">
        <f>FX58</f>
        <v>0</v>
      </c>
      <c r="M180" s="800">
        <f>FY58</f>
        <v>0</v>
      </c>
      <c r="N180" s="800">
        <f>FZ58</f>
        <v>0</v>
      </c>
      <c r="O180" s="801">
        <f>GA58</f>
        <v>0</v>
      </c>
      <c r="P180" s="760">
        <f t="shared" si="687"/>
        <v>0</v>
      </c>
      <c r="Q180" s="880" t="str">
        <f t="shared" si="688"/>
        <v/>
      </c>
      <c r="S180" s="3758"/>
      <c r="T180" s="3759"/>
      <c r="U180" s="3759"/>
      <c r="V180" s="3759"/>
      <c r="W180" s="3760"/>
      <c r="X180" s="253"/>
      <c r="AA180" s="253"/>
      <c r="AB180" s="256"/>
      <c r="AC180" s="253"/>
      <c r="AF180" s="253"/>
      <c r="AG180" s="256"/>
      <c r="AH180" s="253"/>
      <c r="AK180" s="253"/>
      <c r="AL180" s="256"/>
      <c r="AM180" s="253"/>
      <c r="AP180" s="253"/>
      <c r="AQ180" s="256"/>
      <c r="AR180" s="257"/>
      <c r="AS180" s="257"/>
      <c r="AT180" s="257"/>
      <c r="AU180" s="257"/>
      <c r="AV180" s="257"/>
      <c r="AW180" s="257"/>
      <c r="AY180" s="253"/>
      <c r="BB180" s="257"/>
      <c r="BD180" s="253"/>
      <c r="MX180" s="255"/>
      <c r="NM180" s="251"/>
      <c r="NN180" s="251"/>
      <c r="OZ180" s="1799">
        <v>176</v>
      </c>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c r="RK180" s="35"/>
      <c r="RL180" s="35"/>
      <c r="RM180" s="35"/>
      <c r="RN180" s="35"/>
      <c r="RO180" s="35"/>
      <c r="RP180" s="35"/>
      <c r="RQ180" s="35"/>
      <c r="RR180" s="35"/>
      <c r="RS180" s="35"/>
      <c r="RT180" s="35"/>
      <c r="RU180" s="35"/>
      <c r="RV180" s="35"/>
      <c r="RW180" s="35"/>
      <c r="RX180" s="35"/>
      <c r="RY180" s="35"/>
      <c r="RZ180" s="35"/>
      <c r="SA180" s="35"/>
      <c r="SB180" s="35"/>
      <c r="SC180" s="35"/>
      <c r="SD180" s="35"/>
      <c r="SE180" s="35"/>
      <c r="SF180" s="35"/>
      <c r="SG180" s="35"/>
      <c r="SH180" s="35"/>
      <c r="SI180" s="35"/>
      <c r="SJ180" s="35"/>
      <c r="SK180" s="35"/>
      <c r="SL180" s="35"/>
      <c r="SM180" s="35"/>
      <c r="SN180" s="35"/>
      <c r="SO180" s="35"/>
      <c r="SP180" s="35"/>
      <c r="SQ180" s="35"/>
      <c r="SR180" s="35"/>
      <c r="SS180" s="35"/>
      <c r="ST180" s="35"/>
      <c r="SU180" s="35"/>
      <c r="SV180" s="35"/>
      <c r="SW180" s="35"/>
      <c r="SX180" s="35"/>
      <c r="SY180" s="35"/>
      <c r="SZ180" s="35"/>
      <c r="TA180" s="35"/>
      <c r="TB180" s="35"/>
      <c r="TC180" s="35"/>
      <c r="TD180" s="35"/>
      <c r="TE180" s="35"/>
      <c r="TF180" s="35"/>
      <c r="TG180" s="35"/>
      <c r="TH180" s="35"/>
    </row>
    <row r="181" spans="1:528" ht="14.25" customHeight="1">
      <c r="A181" s="77"/>
      <c r="B181" s="77"/>
      <c r="C181" s="43"/>
      <c r="D181" s="43"/>
      <c r="E181" s="43"/>
      <c r="F181" s="43"/>
      <c r="G181" s="35"/>
      <c r="H181" s="947" t="s">
        <v>1223</v>
      </c>
      <c r="I181" s="16"/>
      <c r="J181" s="35"/>
      <c r="K181" s="799">
        <f>GB58</f>
        <v>0</v>
      </c>
      <c r="L181" s="800">
        <f>GC58</f>
        <v>14611</v>
      </c>
      <c r="M181" s="800">
        <f>GD58</f>
        <v>39558</v>
      </c>
      <c r="N181" s="800">
        <f>GE58</f>
        <v>22230</v>
      </c>
      <c r="O181" s="801">
        <f>GF58</f>
        <v>0</v>
      </c>
      <c r="P181" s="760">
        <f t="shared" si="687"/>
        <v>76399</v>
      </c>
      <c r="Q181" s="880">
        <f t="shared" si="688"/>
        <v>1005.25</v>
      </c>
      <c r="S181" s="3758"/>
      <c r="T181" s="3759"/>
      <c r="U181" s="3759"/>
      <c r="V181" s="3759"/>
      <c r="W181" s="3760"/>
      <c r="X181" s="253"/>
      <c r="AA181" s="253"/>
      <c r="AB181" s="256"/>
      <c r="AC181" s="253"/>
      <c r="AF181" s="253"/>
      <c r="AG181" s="256"/>
      <c r="AH181" s="253"/>
      <c r="AK181" s="253"/>
      <c r="AL181" s="256"/>
      <c r="AM181" s="253"/>
      <c r="AP181" s="253"/>
      <c r="AQ181" s="256"/>
      <c r="AR181" s="257"/>
      <c r="AS181" s="257"/>
      <c r="AT181" s="257"/>
      <c r="AU181" s="257"/>
      <c r="AV181" s="257"/>
      <c r="AW181" s="257"/>
      <c r="AY181" s="253"/>
      <c r="BB181" s="257"/>
      <c r="BD181" s="253"/>
      <c r="MX181" s="255"/>
      <c r="NM181" s="251"/>
      <c r="NN181" s="251"/>
      <c r="OZ181" s="1801">
        <v>177</v>
      </c>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c r="RK181" s="35"/>
      <c r="RL181" s="35"/>
      <c r="RM181" s="35"/>
      <c r="RN181" s="35"/>
      <c r="RO181" s="35"/>
      <c r="RP181" s="35"/>
      <c r="RQ181" s="35"/>
      <c r="RR181" s="35"/>
      <c r="RS181" s="35"/>
      <c r="RT181" s="35"/>
      <c r="RU181" s="35"/>
      <c r="RV181" s="35"/>
      <c r="RW181" s="35"/>
      <c r="RX181" s="35"/>
      <c r="RY181" s="35"/>
      <c r="RZ181" s="35"/>
      <c r="SA181" s="35"/>
      <c r="SB181" s="35"/>
      <c r="SC181" s="35"/>
      <c r="SD181" s="35"/>
      <c r="SE181" s="35"/>
      <c r="SF181" s="35"/>
      <c r="SG181" s="35"/>
      <c r="SH181" s="35"/>
      <c r="SI181" s="35"/>
      <c r="SJ181" s="35"/>
      <c r="SK181" s="35"/>
      <c r="SL181" s="35"/>
      <c r="SM181" s="35"/>
      <c r="SN181" s="35"/>
      <c r="SO181" s="35"/>
      <c r="SP181" s="35"/>
      <c r="SQ181" s="35"/>
      <c r="SR181" s="35"/>
      <c r="SS181" s="35"/>
      <c r="ST181" s="35"/>
      <c r="SU181" s="35"/>
      <c r="SV181" s="35"/>
      <c r="SW181" s="35"/>
      <c r="SX181" s="35"/>
      <c r="SY181" s="35"/>
      <c r="SZ181" s="35"/>
      <c r="TA181" s="35"/>
      <c r="TB181" s="35"/>
      <c r="TC181" s="35"/>
      <c r="TD181" s="35"/>
      <c r="TE181" s="35"/>
      <c r="TF181" s="35"/>
      <c r="TG181" s="35"/>
      <c r="TH181" s="35"/>
    </row>
    <row r="182" spans="1:528" ht="14.25" customHeight="1">
      <c r="A182" s="77"/>
      <c r="B182" s="77"/>
      <c r="C182" s="43"/>
      <c r="D182" s="43"/>
      <c r="E182" s="43"/>
      <c r="F182" s="43"/>
      <c r="G182" s="35"/>
      <c r="H182" s="947" t="s">
        <v>1224</v>
      </c>
      <c r="I182" s="16"/>
      <c r="J182" s="655"/>
      <c r="K182" s="846">
        <f>GG58</f>
        <v>0</v>
      </c>
      <c r="L182" s="847">
        <f>GH58</f>
        <v>3845</v>
      </c>
      <c r="M182" s="847">
        <f>GI58</f>
        <v>10410</v>
      </c>
      <c r="N182" s="847">
        <f>GJ58</f>
        <v>5850</v>
      </c>
      <c r="O182" s="848">
        <f>GK58</f>
        <v>0</v>
      </c>
      <c r="P182" s="849">
        <f t="shared" si="687"/>
        <v>20105</v>
      </c>
      <c r="Q182" s="880">
        <f t="shared" si="688"/>
        <v>1005.25</v>
      </c>
      <c r="S182" s="3758"/>
      <c r="T182" s="3759"/>
      <c r="U182" s="3759"/>
      <c r="V182" s="3759"/>
      <c r="W182" s="3760"/>
      <c r="X182" s="253"/>
      <c r="AA182" s="253"/>
      <c r="AB182" s="256"/>
      <c r="AC182" s="253"/>
      <c r="AF182" s="253"/>
      <c r="AG182" s="256"/>
      <c r="AH182" s="253"/>
      <c r="AK182" s="253"/>
      <c r="AL182" s="256"/>
      <c r="AM182" s="253"/>
      <c r="AP182" s="253"/>
      <c r="AQ182" s="256"/>
      <c r="AR182" s="257"/>
      <c r="AS182" s="257"/>
      <c r="AT182" s="257"/>
      <c r="AU182" s="257"/>
      <c r="AV182" s="257"/>
      <c r="AW182" s="257"/>
      <c r="AY182" s="253"/>
      <c r="BB182" s="257"/>
      <c r="BD182" s="253"/>
      <c r="MX182" s="255"/>
      <c r="NM182" s="251"/>
      <c r="NN182" s="251"/>
      <c r="OZ182" s="1799">
        <v>178</v>
      </c>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c r="RK182" s="35"/>
      <c r="RL182" s="35"/>
      <c r="RM182" s="35"/>
      <c r="RN182" s="35"/>
      <c r="RO182" s="35"/>
      <c r="RP182" s="35"/>
      <c r="RQ182" s="35"/>
      <c r="RR182" s="35"/>
      <c r="RS182" s="35"/>
      <c r="RT182" s="35"/>
      <c r="RU182" s="35"/>
      <c r="RV182" s="35"/>
      <c r="RW182" s="35"/>
      <c r="RX182" s="35"/>
      <c r="RY182" s="35"/>
      <c r="RZ182" s="35"/>
      <c r="SA182" s="35"/>
      <c r="SB182" s="35"/>
      <c r="SC182" s="35"/>
      <c r="SD182" s="35"/>
      <c r="SE182" s="35"/>
      <c r="SF182" s="35"/>
      <c r="SG182" s="35"/>
      <c r="SH182" s="35"/>
      <c r="SI182" s="35"/>
      <c r="SJ182" s="35"/>
      <c r="SK182" s="35"/>
      <c r="SL182" s="35"/>
      <c r="SM182" s="35"/>
      <c r="SN182" s="35"/>
      <c r="SO182" s="35"/>
      <c r="SP182" s="35"/>
      <c r="SQ182" s="35"/>
      <c r="SR182" s="35"/>
      <c r="SS182" s="35"/>
      <c r="ST182" s="35"/>
      <c r="SU182" s="35"/>
      <c r="SV182" s="35"/>
      <c r="SW182" s="35"/>
      <c r="SX182" s="35"/>
      <c r="SY182" s="35"/>
      <c r="SZ182" s="35"/>
      <c r="TA182" s="35"/>
      <c r="TB182" s="35"/>
      <c r="TC182" s="35"/>
      <c r="TD182" s="35"/>
      <c r="TE182" s="35"/>
      <c r="TF182" s="35"/>
      <c r="TG182" s="35"/>
      <c r="TH182" s="35"/>
    </row>
    <row r="183" spans="1:528" ht="14.25" customHeight="1">
      <c r="A183" s="77"/>
      <c r="B183" s="77"/>
      <c r="C183" s="43"/>
      <c r="D183" s="43"/>
      <c r="E183" s="43"/>
      <c r="F183" s="43"/>
      <c r="G183" s="35"/>
      <c r="H183" s="947" t="s">
        <v>1225</v>
      </c>
      <c r="I183" s="16"/>
      <c r="J183" s="655"/>
      <c r="K183" s="799">
        <f>GL58</f>
        <v>0</v>
      </c>
      <c r="L183" s="800">
        <f>GM58</f>
        <v>0</v>
      </c>
      <c r="M183" s="800">
        <f>GN58</f>
        <v>0</v>
      </c>
      <c r="N183" s="800">
        <f>GO58</f>
        <v>0</v>
      </c>
      <c r="O183" s="801">
        <f>GP58</f>
        <v>0</v>
      </c>
      <c r="P183" s="760">
        <f t="shared" si="687"/>
        <v>0</v>
      </c>
      <c r="Q183" s="880" t="str">
        <f t="shared" si="688"/>
        <v/>
      </c>
      <c r="S183" s="3758"/>
      <c r="T183" s="3759"/>
      <c r="U183" s="3759"/>
      <c r="V183" s="3759"/>
      <c r="W183" s="3760"/>
      <c r="X183" s="253"/>
      <c r="AA183" s="253"/>
      <c r="AB183" s="256"/>
      <c r="AC183" s="253"/>
      <c r="AF183" s="253"/>
      <c r="AG183" s="256"/>
      <c r="AH183" s="253"/>
      <c r="AK183" s="253"/>
      <c r="AL183" s="256"/>
      <c r="AM183" s="253"/>
      <c r="AP183" s="253"/>
      <c r="AQ183" s="256"/>
      <c r="AR183" s="257"/>
      <c r="AS183" s="257"/>
      <c r="AT183" s="257"/>
      <c r="AU183" s="257"/>
      <c r="AV183" s="257"/>
      <c r="AW183" s="257"/>
      <c r="AY183" s="253"/>
      <c r="BB183" s="257"/>
      <c r="BD183" s="253"/>
      <c r="MX183" s="255"/>
      <c r="NM183" s="251"/>
      <c r="NN183" s="251"/>
      <c r="OZ183" s="1798">
        <v>179</v>
      </c>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c r="RK183" s="35"/>
      <c r="RL183" s="35"/>
      <c r="RM183" s="35"/>
      <c r="RN183" s="35"/>
      <c r="RO183" s="35"/>
      <c r="RP183" s="35"/>
      <c r="RQ183" s="35"/>
      <c r="RR183" s="35"/>
      <c r="RS183" s="35"/>
      <c r="RT183" s="35"/>
      <c r="RU183" s="35"/>
      <c r="RV183" s="35"/>
      <c r="RW183" s="35"/>
      <c r="RX183" s="35"/>
      <c r="RY183" s="35"/>
      <c r="RZ183" s="35"/>
      <c r="SA183" s="35"/>
      <c r="SB183" s="35"/>
      <c r="SC183" s="35"/>
      <c r="SD183" s="35"/>
      <c r="SE183" s="35"/>
      <c r="SF183" s="35"/>
      <c r="SG183" s="35"/>
      <c r="SH183" s="35"/>
      <c r="SI183" s="35"/>
      <c r="SJ183" s="35"/>
      <c r="SK183" s="35"/>
      <c r="SL183" s="35"/>
      <c r="SM183" s="35"/>
      <c r="SN183" s="35"/>
      <c r="SO183" s="35"/>
      <c r="SP183" s="35"/>
      <c r="SQ183" s="35"/>
      <c r="SR183" s="35"/>
      <c r="SS183" s="35"/>
      <c r="ST183" s="35"/>
      <c r="SU183" s="35"/>
      <c r="SV183" s="35"/>
      <c r="SW183" s="35"/>
      <c r="SX183" s="35"/>
      <c r="SY183" s="35"/>
      <c r="SZ183" s="35"/>
      <c r="TA183" s="35"/>
      <c r="TB183" s="35"/>
      <c r="TC183" s="35"/>
      <c r="TD183" s="35"/>
      <c r="TE183" s="35"/>
      <c r="TF183" s="35"/>
      <c r="TG183" s="35"/>
      <c r="TH183" s="35"/>
    </row>
    <row r="184" spans="1:528" ht="14.25" customHeight="1">
      <c r="A184" s="77"/>
      <c r="B184" s="77"/>
      <c r="C184" s="43"/>
      <c r="D184" s="43"/>
      <c r="E184" s="43"/>
      <c r="F184" s="43"/>
      <c r="G184" s="35"/>
      <c r="H184" s="947" t="s">
        <v>1226</v>
      </c>
      <c r="I184" s="16"/>
      <c r="J184" s="35"/>
      <c r="K184" s="799">
        <f>GQ58</f>
        <v>0</v>
      </c>
      <c r="L184" s="800">
        <f>GR58</f>
        <v>0</v>
      </c>
      <c r="M184" s="800">
        <f>GS58</f>
        <v>0</v>
      </c>
      <c r="N184" s="800">
        <f>GT58</f>
        <v>0</v>
      </c>
      <c r="O184" s="801">
        <f>GU58</f>
        <v>0</v>
      </c>
      <c r="P184" s="760">
        <f t="shared" si="687"/>
        <v>0</v>
      </c>
      <c r="Q184" s="880" t="str">
        <f t="shared" si="688"/>
        <v/>
      </c>
      <c r="S184" s="3758"/>
      <c r="T184" s="3759"/>
      <c r="U184" s="3759"/>
      <c r="V184" s="3759"/>
      <c r="W184" s="3760"/>
      <c r="X184" s="253"/>
      <c r="AA184" s="253"/>
      <c r="AB184" s="256"/>
      <c r="AC184" s="253"/>
      <c r="AF184" s="253"/>
      <c r="AG184" s="256"/>
      <c r="AH184" s="253"/>
      <c r="AK184" s="253"/>
      <c r="AL184" s="256"/>
      <c r="AM184" s="253"/>
      <c r="AP184" s="253"/>
      <c r="AQ184" s="256"/>
      <c r="AR184" s="257"/>
      <c r="AS184" s="257"/>
      <c r="AT184" s="257"/>
      <c r="AU184" s="257"/>
      <c r="AV184" s="257"/>
      <c r="AW184" s="257"/>
      <c r="AY184" s="253"/>
      <c r="BB184" s="257"/>
      <c r="BD184" s="253"/>
      <c r="MX184" s="255"/>
      <c r="NM184" s="251"/>
      <c r="NN184" s="251"/>
      <c r="OZ184" s="1799">
        <v>180</v>
      </c>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c r="RK184" s="35"/>
      <c r="RL184" s="35"/>
      <c r="RM184" s="35"/>
      <c r="RN184" s="35"/>
      <c r="RO184" s="35"/>
      <c r="RP184" s="35"/>
      <c r="RQ184" s="35"/>
      <c r="RR184" s="35"/>
      <c r="RS184" s="35"/>
      <c r="RT184" s="35"/>
      <c r="RU184" s="35"/>
      <c r="RV184" s="35"/>
      <c r="RW184" s="35"/>
      <c r="RX184" s="35"/>
      <c r="RY184" s="35"/>
      <c r="RZ184" s="35"/>
      <c r="SA184" s="35"/>
      <c r="SB184" s="35"/>
      <c r="SC184" s="35"/>
      <c r="SD184" s="35"/>
      <c r="SE184" s="35"/>
      <c r="SF184" s="35"/>
      <c r="SG184" s="35"/>
      <c r="SH184" s="35"/>
      <c r="SI184" s="35"/>
      <c r="SJ184" s="35"/>
      <c r="SK184" s="35"/>
      <c r="SL184" s="35"/>
      <c r="SM184" s="35"/>
      <c r="SN184" s="35"/>
      <c r="SO184" s="35"/>
      <c r="SP184" s="35"/>
      <c r="SQ184" s="35"/>
      <c r="SR184" s="35"/>
      <c r="SS184" s="35"/>
      <c r="ST184" s="35"/>
      <c r="SU184" s="35"/>
      <c r="SV184" s="35"/>
      <c r="SW184" s="35"/>
      <c r="SX184" s="35"/>
      <c r="SY184" s="35"/>
      <c r="SZ184" s="35"/>
      <c r="TA184" s="35"/>
      <c r="TB184" s="35"/>
      <c r="TC184" s="35"/>
      <c r="TD184" s="35"/>
      <c r="TE184" s="35"/>
      <c r="TF184" s="35"/>
      <c r="TG184" s="35"/>
      <c r="TH184" s="35"/>
    </row>
    <row r="185" spans="1:528" ht="14.25" customHeight="1">
      <c r="A185" s="77"/>
      <c r="B185" s="77"/>
      <c r="C185" s="3"/>
      <c r="D185" s="43"/>
      <c r="E185" s="43"/>
      <c r="F185" s="43"/>
      <c r="G185" s="35"/>
      <c r="H185" s="40" t="s">
        <v>1227</v>
      </c>
      <c r="I185" s="25"/>
      <c r="J185" s="35"/>
      <c r="K185" s="790">
        <f>GV58</f>
        <v>0</v>
      </c>
      <c r="L185" s="791">
        <f>GW58</f>
        <v>0</v>
      </c>
      <c r="M185" s="791">
        <f>GX58</f>
        <v>0</v>
      </c>
      <c r="N185" s="791">
        <f>GY58</f>
        <v>0</v>
      </c>
      <c r="O185" s="792">
        <f>GZ58</f>
        <v>0</v>
      </c>
      <c r="P185" s="761">
        <f t="shared" si="687"/>
        <v>0</v>
      </c>
      <c r="Q185" s="880" t="str">
        <f t="shared" si="688"/>
        <v/>
      </c>
      <c r="S185" s="3758"/>
      <c r="T185" s="3759"/>
      <c r="U185" s="3759"/>
      <c r="V185" s="3759"/>
      <c r="W185" s="3760"/>
      <c r="X185" s="1184"/>
      <c r="AA185" s="253"/>
      <c r="AB185" s="256"/>
      <c r="AC185" s="1184"/>
      <c r="AF185" s="253"/>
      <c r="AG185" s="256"/>
      <c r="AH185" s="1184"/>
      <c r="AK185" s="253"/>
      <c r="AL185" s="256"/>
      <c r="AM185" s="1184"/>
      <c r="AP185" s="253"/>
      <c r="AQ185" s="256"/>
      <c r="AR185" s="257"/>
      <c r="AS185" s="257"/>
      <c r="AT185" s="257"/>
      <c r="AU185" s="257"/>
      <c r="AV185" s="257"/>
      <c r="AW185" s="257"/>
      <c r="AX185" s="253"/>
      <c r="AY185" s="253"/>
      <c r="BB185" s="257"/>
      <c r="BC185" s="253"/>
      <c r="BD185" s="253"/>
      <c r="MX185" s="255"/>
      <c r="NM185" s="251"/>
      <c r="NN185" s="251"/>
      <c r="OZ185" s="1799">
        <v>181</v>
      </c>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c r="RK185" s="35"/>
      <c r="RL185" s="35"/>
      <c r="RM185" s="35"/>
      <c r="RN185" s="35"/>
      <c r="RO185" s="35"/>
      <c r="RP185" s="35"/>
      <c r="RQ185" s="35"/>
      <c r="RR185" s="35"/>
      <c r="RS185" s="35"/>
      <c r="RT185" s="35"/>
      <c r="RU185" s="35"/>
      <c r="RV185" s="35"/>
      <c r="RW185" s="35"/>
      <c r="RX185" s="35"/>
      <c r="RY185" s="35"/>
      <c r="RZ185" s="35"/>
      <c r="SA185" s="35"/>
      <c r="SB185" s="35"/>
      <c r="SC185" s="35"/>
      <c r="SD185" s="35"/>
      <c r="SE185" s="35"/>
      <c r="SF185" s="35"/>
      <c r="SG185" s="35"/>
      <c r="SH185" s="35"/>
      <c r="SI185" s="35"/>
      <c r="SJ185" s="35"/>
      <c r="SK185" s="35"/>
      <c r="SL185" s="35"/>
      <c r="SM185" s="35"/>
      <c r="SN185" s="35"/>
      <c r="SO185" s="35"/>
      <c r="SP185" s="35"/>
      <c r="SQ185" s="35"/>
      <c r="SR185" s="35"/>
      <c r="SS185" s="35"/>
      <c r="ST185" s="35"/>
      <c r="SU185" s="35"/>
      <c r="SV185" s="35"/>
      <c r="SW185" s="35"/>
      <c r="SX185" s="35"/>
      <c r="SY185" s="35"/>
      <c r="SZ185" s="35"/>
      <c r="TA185" s="35"/>
      <c r="TB185" s="35"/>
      <c r="TC185" s="35"/>
      <c r="TD185" s="35"/>
      <c r="TE185" s="35"/>
      <c r="TF185" s="35"/>
      <c r="TG185" s="35"/>
      <c r="TH185" s="35"/>
    </row>
    <row r="186" spans="1:528" ht="14.25" customHeight="1">
      <c r="A186" s="77"/>
      <c r="B186" s="77"/>
      <c r="C186" s="3"/>
      <c r="D186" s="43"/>
      <c r="E186" s="43"/>
      <c r="F186" s="43"/>
      <c r="G186" s="35"/>
      <c r="H186" s="976" t="s">
        <v>1273</v>
      </c>
      <c r="I186" s="44"/>
      <c r="J186" s="764"/>
      <c r="K186" s="2745">
        <f>SUM(K179:K185)</f>
        <v>0</v>
      </c>
      <c r="L186" s="2745">
        <f>SUM(L179:L185)</f>
        <v>18456</v>
      </c>
      <c r="M186" s="2745">
        <f>SUM(M179:M185)</f>
        <v>49968</v>
      </c>
      <c r="N186" s="2745">
        <f>SUM(N179:N185)</f>
        <v>28080</v>
      </c>
      <c r="O186" s="2745">
        <f>SUM(O179:O185)</f>
        <v>0</v>
      </c>
      <c r="P186" s="2745">
        <f>SUM(K186:O186)</f>
        <v>96504</v>
      </c>
      <c r="S186" s="3758"/>
      <c r="T186" s="3759"/>
      <c r="U186" s="3759"/>
      <c r="V186" s="3759"/>
      <c r="W186" s="3760"/>
      <c r="X186" s="1184"/>
      <c r="AA186" s="253"/>
      <c r="AB186" s="256"/>
      <c r="AC186" s="1184"/>
      <c r="AF186" s="253"/>
      <c r="AG186" s="256"/>
      <c r="AH186" s="1184"/>
      <c r="AK186" s="253"/>
      <c r="AL186" s="256"/>
      <c r="AM186" s="1184"/>
      <c r="AP186" s="253"/>
      <c r="AQ186" s="256"/>
      <c r="AR186" s="257"/>
      <c r="AS186" s="257"/>
      <c r="AT186" s="257"/>
      <c r="AU186" s="257"/>
      <c r="AV186" s="257"/>
      <c r="AW186" s="257"/>
      <c r="AX186" s="253"/>
      <c r="AY186" s="253"/>
      <c r="BB186" s="257"/>
      <c r="BC186" s="253"/>
      <c r="BD186" s="253"/>
      <c r="MX186" s="255"/>
      <c r="NM186" s="251"/>
      <c r="NN186" s="251"/>
      <c r="OZ186" s="1798">
        <v>182</v>
      </c>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c r="RK186" s="35"/>
      <c r="RL186" s="35"/>
      <c r="RM186" s="35"/>
      <c r="RN186" s="35"/>
      <c r="RO186" s="35"/>
      <c r="RP186" s="35"/>
      <c r="RQ186" s="35"/>
      <c r="RR186" s="35"/>
      <c r="RS186" s="35"/>
      <c r="RT186" s="35"/>
      <c r="RU186" s="35"/>
      <c r="RV186" s="35"/>
      <c r="RW186" s="35"/>
      <c r="RX186" s="35"/>
      <c r="RY186" s="35"/>
      <c r="RZ186" s="35"/>
      <c r="SA186" s="35"/>
      <c r="SB186" s="35"/>
      <c r="SC186" s="35"/>
      <c r="SD186" s="35"/>
      <c r="SE186" s="35"/>
      <c r="SF186" s="35"/>
      <c r="SG186" s="35"/>
      <c r="SH186" s="35"/>
      <c r="SI186" s="35"/>
      <c r="SJ186" s="35"/>
      <c r="SK186" s="35"/>
      <c r="SL186" s="35"/>
      <c r="SM186" s="35"/>
      <c r="SN186" s="35"/>
      <c r="SO186" s="35"/>
      <c r="SP186" s="35"/>
      <c r="SQ186" s="35"/>
      <c r="SR186" s="35"/>
      <c r="SS186" s="35"/>
      <c r="ST186" s="35"/>
      <c r="SU186" s="35"/>
      <c r="SV186" s="35"/>
      <c r="SW186" s="35"/>
      <c r="SX186" s="35"/>
      <c r="SY186" s="35"/>
      <c r="SZ186" s="35"/>
      <c r="TA186" s="35"/>
      <c r="TB186" s="35"/>
      <c r="TC186" s="35"/>
      <c r="TD186" s="35"/>
      <c r="TE186" s="35"/>
      <c r="TF186" s="35"/>
      <c r="TG186" s="35"/>
      <c r="TH186" s="35"/>
    </row>
    <row r="187" spans="1:528" ht="14.25" customHeight="1">
      <c r="A187" s="77"/>
      <c r="B187" s="77"/>
      <c r="C187" s="43" t="s">
        <v>1160</v>
      </c>
      <c r="D187" s="43"/>
      <c r="E187" s="43"/>
      <c r="F187" s="43"/>
      <c r="G187" s="43"/>
      <c r="H187" s="35"/>
      <c r="I187" s="35"/>
      <c r="J187" s="35"/>
      <c r="K187" s="2746">
        <f>HA58</f>
        <v>0</v>
      </c>
      <c r="L187" s="2747">
        <f>HB58</f>
        <v>0</v>
      </c>
      <c r="M187" s="2747">
        <f>HC58</f>
        <v>0</v>
      </c>
      <c r="N187" s="2747">
        <f>HD58</f>
        <v>0</v>
      </c>
      <c r="O187" s="2748">
        <f>HE58</f>
        <v>0</v>
      </c>
      <c r="P187" s="761">
        <f>SUM(K187:O187)</f>
        <v>0</v>
      </c>
      <c r="Q187" s="852" t="str">
        <f>IF(OR(P73=0,P73=""),"",P187/P73)</f>
        <v/>
      </c>
      <c r="S187" s="3758"/>
      <c r="T187" s="3759"/>
      <c r="U187" s="3759"/>
      <c r="V187" s="3759"/>
      <c r="W187" s="3760"/>
      <c r="X187" s="253"/>
      <c r="AA187" s="253"/>
      <c r="AB187" s="253"/>
      <c r="AC187" s="253"/>
      <c r="AF187" s="253"/>
      <c r="AG187" s="253"/>
      <c r="AH187" s="253"/>
      <c r="AK187" s="253"/>
      <c r="AL187" s="253"/>
      <c r="AM187" s="253"/>
      <c r="AP187" s="253"/>
      <c r="AQ187" s="253"/>
      <c r="AR187" s="257"/>
      <c r="AS187" s="257"/>
      <c r="AT187" s="257"/>
      <c r="AU187" s="257"/>
      <c r="AV187" s="257"/>
      <c r="AW187" s="257"/>
      <c r="AY187" s="253"/>
      <c r="BB187" s="257"/>
      <c r="BD187" s="253"/>
      <c r="MX187" s="255"/>
      <c r="NM187" s="251"/>
      <c r="NN187" s="251"/>
      <c r="OZ187" s="1799">
        <v>183</v>
      </c>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c r="RK187" s="35"/>
      <c r="RL187" s="35"/>
      <c r="RM187" s="35"/>
      <c r="RN187" s="35"/>
      <c r="RO187" s="35"/>
      <c r="RP187" s="35"/>
      <c r="RQ187" s="35"/>
      <c r="RR187" s="35"/>
      <c r="RS187" s="35"/>
      <c r="RT187" s="35"/>
      <c r="RU187" s="35"/>
      <c r="RV187" s="35"/>
      <c r="RW187" s="35"/>
      <c r="RX187" s="35"/>
      <c r="RY187" s="35"/>
      <c r="RZ187" s="35"/>
      <c r="SA187" s="35"/>
      <c r="SB187" s="35"/>
      <c r="SC187" s="35"/>
      <c r="SD187" s="35"/>
      <c r="SE187" s="35"/>
      <c r="SF187" s="35"/>
      <c r="SG187" s="35"/>
      <c r="SH187" s="35"/>
      <c r="SI187" s="35"/>
      <c r="SJ187" s="35"/>
      <c r="SK187" s="35"/>
      <c r="SL187" s="35"/>
      <c r="SM187" s="35"/>
      <c r="SN187" s="35"/>
      <c r="SO187" s="35"/>
      <c r="SP187" s="35"/>
      <c r="SQ187" s="35"/>
      <c r="SR187" s="35"/>
      <c r="SS187" s="35"/>
      <c r="ST187" s="35"/>
      <c r="SU187" s="35"/>
      <c r="SV187" s="35"/>
      <c r="SW187" s="35"/>
      <c r="SX187" s="35"/>
      <c r="SY187" s="35"/>
      <c r="SZ187" s="35"/>
      <c r="TA187" s="35"/>
      <c r="TB187" s="35"/>
      <c r="TC187" s="35"/>
      <c r="TD187" s="35"/>
      <c r="TE187" s="35"/>
      <c r="TF187" s="35"/>
      <c r="TG187" s="35"/>
      <c r="TH187" s="35"/>
    </row>
    <row r="188" spans="1:528" ht="14.25" customHeight="1">
      <c r="A188" s="77"/>
      <c r="B188" s="77"/>
      <c r="C188" s="50" t="s">
        <v>1229</v>
      </c>
      <c r="D188" s="763"/>
      <c r="E188" s="763"/>
      <c r="F188" s="763"/>
      <c r="G188" s="763"/>
      <c r="H188" s="764"/>
      <c r="I188" s="764"/>
      <c r="J188" s="764"/>
      <c r="K188" s="2749">
        <f>SUM(K186:K187)</f>
        <v>0</v>
      </c>
      <c r="L188" s="2749">
        <f>SUM(L186:L187)</f>
        <v>18456</v>
      </c>
      <c r="M188" s="2749">
        <f>SUM(M186:M187)</f>
        <v>49968</v>
      </c>
      <c r="N188" s="2749">
        <f>SUM(N186:N187)</f>
        <v>28080</v>
      </c>
      <c r="O188" s="2749">
        <f>SUM(O186:O187)</f>
        <v>0</v>
      </c>
      <c r="P188" s="2749">
        <f>SUM(K188:O188)</f>
        <v>96504</v>
      </c>
      <c r="S188" s="3758"/>
      <c r="T188" s="3759"/>
      <c r="U188" s="3759"/>
      <c r="V188" s="3759"/>
      <c r="W188" s="3760"/>
      <c r="X188" s="253"/>
      <c r="AA188" s="253"/>
      <c r="AB188" s="253"/>
      <c r="AC188" s="253"/>
      <c r="AF188" s="253"/>
      <c r="AG188" s="253"/>
      <c r="AH188" s="253"/>
      <c r="AK188" s="253"/>
      <c r="AL188" s="253"/>
      <c r="AM188" s="253"/>
      <c r="AP188" s="253"/>
      <c r="AQ188" s="253"/>
      <c r="AR188" s="257"/>
      <c r="AS188" s="257"/>
      <c r="AT188" s="257"/>
      <c r="AU188" s="257"/>
      <c r="AV188" s="257"/>
      <c r="AW188" s="257"/>
      <c r="AY188" s="253"/>
      <c r="BB188" s="257"/>
      <c r="BD188" s="253"/>
      <c r="MX188" s="255"/>
      <c r="NM188" s="251"/>
      <c r="OZ188" s="1799">
        <v>184</v>
      </c>
    </row>
    <row r="189" spans="1:528" ht="14.25" customHeight="1">
      <c r="A189" s="77"/>
      <c r="B189" s="77"/>
      <c r="C189" s="43" t="s">
        <v>1230</v>
      </c>
      <c r="D189" s="43"/>
      <c r="E189" s="43"/>
      <c r="F189" s="43"/>
      <c r="G189" s="43"/>
      <c r="H189" s="35"/>
      <c r="I189" s="35"/>
      <c r="J189" s="35"/>
      <c r="K189" s="2746">
        <f>HK58</f>
        <v>0</v>
      </c>
      <c r="L189" s="2747">
        <f>HL58</f>
        <v>0</v>
      </c>
      <c r="M189" s="2747">
        <f>HM58</f>
        <v>0</v>
      </c>
      <c r="N189" s="2747">
        <f>HN58</f>
        <v>0</v>
      </c>
      <c r="O189" s="2748">
        <f>HO58</f>
        <v>0</v>
      </c>
      <c r="P189" s="761">
        <f>SUM(K189:O189)</f>
        <v>0</v>
      </c>
      <c r="Q189" s="852" t="str">
        <f>IF(OR(P75=0,P75=""),"",P189/P75)</f>
        <v/>
      </c>
      <c r="S189" s="3758"/>
      <c r="T189" s="3759"/>
      <c r="U189" s="3759"/>
      <c r="V189" s="3759"/>
      <c r="W189" s="3760"/>
      <c r="X189" s="253"/>
      <c r="AA189" s="253"/>
      <c r="AB189" s="253"/>
      <c r="AC189" s="253"/>
      <c r="AF189" s="253"/>
      <c r="AG189" s="253"/>
      <c r="AH189" s="253"/>
      <c r="AK189" s="253"/>
      <c r="AL189" s="253"/>
      <c r="AM189" s="253"/>
      <c r="AP189" s="253"/>
      <c r="AQ189" s="253"/>
      <c r="AR189" s="257"/>
      <c r="AS189" s="257"/>
      <c r="AT189" s="257"/>
      <c r="AU189" s="257"/>
      <c r="AV189" s="257"/>
      <c r="AW189" s="257"/>
      <c r="AY189" s="253"/>
      <c r="BB189" s="257"/>
      <c r="BD189" s="253"/>
      <c r="MX189" s="255"/>
      <c r="NM189" s="251"/>
      <c r="OZ189" s="1799">
        <v>185</v>
      </c>
    </row>
    <row r="190" spans="1:528" ht="14.25" customHeight="1">
      <c r="A190" s="77"/>
      <c r="B190" s="77"/>
      <c r="C190" s="3" t="s">
        <v>1198</v>
      </c>
      <c r="D190" s="43"/>
      <c r="E190" s="43"/>
      <c r="F190" s="43"/>
      <c r="G190" s="43"/>
      <c r="H190" s="35"/>
      <c r="I190" s="35"/>
      <c r="J190" s="35"/>
      <c r="K190" s="2750">
        <f>SUM(K188:K189)</f>
        <v>0</v>
      </c>
      <c r="L190" s="2750">
        <f>SUM(L188:L189)</f>
        <v>18456</v>
      </c>
      <c r="M190" s="2750">
        <f>SUM(M188:M189)</f>
        <v>49968</v>
      </c>
      <c r="N190" s="2750">
        <f>SUM(N188:N189)</f>
        <v>28080</v>
      </c>
      <c r="O190" s="2750">
        <f>SUM(O188:O189)</f>
        <v>0</v>
      </c>
      <c r="P190" s="2750">
        <f>SUM(K190:O190)</f>
        <v>96504</v>
      </c>
      <c r="S190" s="3725"/>
      <c r="T190" s="3726"/>
      <c r="U190" s="3726"/>
      <c r="V190" s="3726"/>
      <c r="W190" s="3727"/>
      <c r="X190" s="253"/>
      <c r="AA190" s="253"/>
      <c r="AB190" s="253"/>
      <c r="AC190" s="253"/>
      <c r="AF190" s="253"/>
      <c r="AG190" s="253"/>
      <c r="AH190" s="253"/>
      <c r="AK190" s="253"/>
      <c r="AL190" s="253"/>
      <c r="AM190" s="253"/>
      <c r="AP190" s="253"/>
      <c r="AQ190" s="253"/>
      <c r="AR190" s="257"/>
      <c r="AS190" s="257"/>
      <c r="AT190" s="257"/>
      <c r="AU190" s="257"/>
      <c r="AV190" s="257"/>
      <c r="AW190" s="257"/>
      <c r="AY190" s="253"/>
      <c r="BB190" s="257"/>
      <c r="BD190" s="253"/>
      <c r="MX190" s="255"/>
      <c r="NM190" s="251"/>
      <c r="OZ190" s="1798">
        <v>186</v>
      </c>
    </row>
    <row r="191" spans="1:528" s="41" customFormat="1" ht="6" customHeight="1">
      <c r="A191" s="43"/>
      <c r="B191" s="43"/>
      <c r="C191" s="43"/>
      <c r="D191" s="43"/>
      <c r="E191" s="43"/>
      <c r="F191" s="43"/>
      <c r="G191" s="43"/>
      <c r="J191" s="43"/>
      <c r="K191" s="43"/>
      <c r="L191" s="43"/>
      <c r="M191" s="43"/>
      <c r="N191" s="43"/>
      <c r="O191" s="43"/>
      <c r="P191" s="43"/>
      <c r="X191" s="253"/>
      <c r="Y191" s="253"/>
      <c r="Z191" s="253"/>
      <c r="AA191" s="253"/>
      <c r="AB191" s="253"/>
      <c r="AC191" s="253"/>
      <c r="AD191" s="253"/>
      <c r="AE191" s="253"/>
      <c r="AF191" s="253"/>
      <c r="AG191" s="253"/>
      <c r="AH191" s="253"/>
      <c r="AI191" s="253"/>
      <c r="AJ191" s="253"/>
      <c r="AK191" s="253"/>
      <c r="AL191" s="253"/>
      <c r="AM191" s="253"/>
      <c r="AN191" s="253"/>
      <c r="AO191" s="253"/>
      <c r="AP191" s="253"/>
      <c r="AQ191" s="253"/>
      <c r="AR191" s="253"/>
      <c r="AS191" s="253"/>
      <c r="AT191" s="253"/>
      <c r="AU191" s="253"/>
      <c r="AV191" s="253"/>
      <c r="AW191" s="253"/>
      <c r="AX191" s="253"/>
      <c r="AY191" s="253"/>
      <c r="AZ191" s="253"/>
      <c r="BA191" s="253"/>
      <c r="BB191" s="253"/>
      <c r="BC191" s="253"/>
      <c r="BD191" s="253"/>
      <c r="BE191" s="253"/>
      <c r="BF191" s="253"/>
      <c r="BG191" s="253"/>
      <c r="BH191" s="253"/>
      <c r="BI191" s="253"/>
      <c r="BJ191" s="253"/>
      <c r="BK191" s="253"/>
      <c r="BL191" s="253"/>
      <c r="BM191" s="253"/>
      <c r="BN191" s="253"/>
      <c r="BO191" s="253"/>
      <c r="BP191" s="253"/>
      <c r="BQ191" s="253"/>
      <c r="BR191" s="253"/>
      <c r="BS191" s="253"/>
      <c r="BT191" s="253"/>
      <c r="BU191" s="253"/>
      <c r="BV191" s="253"/>
      <c r="BW191" s="253"/>
      <c r="BX191" s="253"/>
      <c r="BY191" s="253"/>
      <c r="BZ191" s="253"/>
      <c r="CA191" s="253"/>
      <c r="CB191" s="253"/>
      <c r="CC191" s="253"/>
      <c r="CD191" s="253"/>
      <c r="CE191" s="253"/>
      <c r="CF191" s="253"/>
      <c r="CG191" s="253"/>
      <c r="CH191" s="253"/>
      <c r="CI191" s="253"/>
      <c r="CJ191" s="253"/>
      <c r="CK191" s="253"/>
      <c r="CL191" s="253"/>
      <c r="CM191" s="253"/>
      <c r="CN191" s="253"/>
      <c r="CO191" s="253"/>
      <c r="CP191" s="253"/>
      <c r="CQ191" s="253"/>
      <c r="CR191" s="253"/>
      <c r="CS191" s="253"/>
      <c r="CT191" s="253"/>
      <c r="CU191" s="253"/>
      <c r="CV191" s="253"/>
      <c r="CW191" s="253"/>
      <c r="CX191" s="253"/>
      <c r="CY191" s="253"/>
      <c r="CZ191" s="253"/>
      <c r="DA191" s="253"/>
      <c r="DB191" s="253"/>
      <c r="DC191" s="253"/>
      <c r="DD191" s="253"/>
      <c r="DE191" s="253"/>
      <c r="DF191" s="253"/>
      <c r="DG191" s="253"/>
      <c r="DH191" s="253"/>
      <c r="DI191" s="253"/>
      <c r="DJ191" s="253"/>
      <c r="DK191" s="253"/>
      <c r="DL191" s="253"/>
      <c r="DM191" s="253"/>
      <c r="DN191" s="253"/>
      <c r="DO191" s="253"/>
      <c r="DP191" s="253"/>
      <c r="DQ191" s="253"/>
      <c r="DR191" s="253"/>
      <c r="DS191" s="253"/>
      <c r="DT191" s="253"/>
      <c r="DU191" s="253"/>
      <c r="DV191" s="253"/>
      <c r="DW191" s="253"/>
      <c r="DX191" s="253"/>
      <c r="DY191" s="253"/>
      <c r="DZ191" s="253"/>
      <c r="EA191" s="253"/>
      <c r="EB191" s="253"/>
      <c r="EC191" s="253"/>
      <c r="ED191" s="253"/>
      <c r="EE191" s="253"/>
      <c r="EF191" s="253"/>
      <c r="EG191" s="253"/>
      <c r="EH191" s="253"/>
      <c r="EI191" s="253"/>
      <c r="EJ191" s="253"/>
      <c r="EK191" s="253"/>
      <c r="EL191" s="253"/>
      <c r="EM191" s="253"/>
      <c r="EN191" s="253"/>
      <c r="EO191" s="253"/>
      <c r="EP191" s="253"/>
      <c r="EQ191" s="253"/>
      <c r="ER191" s="253"/>
      <c r="ES191" s="253"/>
      <c r="ET191" s="253"/>
      <c r="EU191" s="253"/>
      <c r="EV191" s="253"/>
      <c r="EW191" s="253"/>
      <c r="EX191" s="253"/>
      <c r="EY191" s="253"/>
      <c r="EZ191" s="253"/>
      <c r="FA191" s="253"/>
      <c r="FB191" s="253"/>
      <c r="FC191" s="253"/>
      <c r="FD191" s="253"/>
      <c r="FE191" s="253"/>
      <c r="FF191" s="253"/>
      <c r="FG191" s="253"/>
      <c r="FH191" s="253"/>
      <c r="FI191" s="253"/>
      <c r="FJ191" s="253"/>
      <c r="FK191" s="253"/>
      <c r="FL191" s="253"/>
      <c r="FM191" s="253"/>
      <c r="FN191" s="253"/>
      <c r="FO191" s="253"/>
      <c r="FP191" s="253"/>
      <c r="FQ191" s="253"/>
      <c r="FR191" s="253"/>
      <c r="FS191" s="253"/>
      <c r="FT191" s="253"/>
      <c r="FU191" s="253"/>
      <c r="FV191" s="253"/>
      <c r="FW191" s="253"/>
      <c r="FX191" s="253"/>
      <c r="FY191" s="253"/>
      <c r="FZ191" s="253"/>
      <c r="GA191" s="253"/>
      <c r="GB191" s="253"/>
      <c r="GC191" s="253"/>
      <c r="GD191" s="253"/>
      <c r="GE191" s="253"/>
      <c r="GF191" s="253"/>
      <c r="GG191" s="253"/>
      <c r="GH191" s="253"/>
      <c r="GI191" s="253"/>
      <c r="GJ191" s="253"/>
      <c r="GK191" s="253"/>
      <c r="GL191" s="253"/>
      <c r="GM191" s="253"/>
      <c r="GN191" s="253"/>
      <c r="GO191" s="253"/>
      <c r="GP191" s="253"/>
      <c r="GQ191" s="253"/>
      <c r="GR191" s="253"/>
      <c r="GS191" s="253"/>
      <c r="GT191" s="253"/>
      <c r="GU191" s="253"/>
      <c r="GV191" s="253"/>
      <c r="GW191" s="253"/>
      <c r="GX191" s="253"/>
      <c r="GY191" s="253"/>
      <c r="GZ191" s="253"/>
      <c r="HA191" s="253"/>
      <c r="HB191" s="253"/>
      <c r="HC191" s="253"/>
      <c r="HD191" s="253"/>
      <c r="HE191" s="253"/>
      <c r="HF191" s="253"/>
      <c r="HG191" s="253"/>
      <c r="HH191" s="253"/>
      <c r="HI191" s="253"/>
      <c r="HJ191" s="253"/>
      <c r="HK191" s="253"/>
      <c r="HL191" s="253"/>
      <c r="HM191" s="253"/>
      <c r="HN191" s="253"/>
      <c r="HO191" s="253"/>
      <c r="HP191" s="253"/>
      <c r="HQ191" s="253"/>
      <c r="HR191" s="253"/>
      <c r="HS191" s="253"/>
      <c r="HT191" s="253"/>
      <c r="HU191" s="253"/>
      <c r="HV191" s="253"/>
      <c r="HW191" s="253"/>
      <c r="HX191" s="253"/>
      <c r="HY191" s="253"/>
      <c r="HZ191" s="253"/>
      <c r="IA191" s="253"/>
      <c r="IB191" s="253"/>
      <c r="IC191" s="253"/>
      <c r="ID191" s="253"/>
      <c r="IE191" s="253"/>
      <c r="IF191" s="253"/>
      <c r="IG191" s="253"/>
      <c r="IH191" s="253"/>
      <c r="II191" s="253"/>
      <c r="IJ191" s="253"/>
      <c r="IK191" s="253"/>
      <c r="IL191" s="253"/>
      <c r="IM191" s="253"/>
      <c r="IN191" s="253"/>
      <c r="IO191" s="253"/>
      <c r="IP191" s="253"/>
      <c r="IQ191" s="253"/>
      <c r="IR191" s="253"/>
      <c r="IS191" s="253"/>
      <c r="IT191" s="253"/>
      <c r="IU191" s="253"/>
      <c r="IV191" s="253"/>
      <c r="IW191" s="253"/>
      <c r="IX191" s="253"/>
      <c r="IY191" s="253"/>
      <c r="IZ191" s="253"/>
      <c r="JA191" s="253"/>
      <c r="JB191" s="253"/>
      <c r="JC191" s="253"/>
      <c r="JD191" s="253"/>
      <c r="JE191" s="253"/>
      <c r="JF191" s="253"/>
      <c r="JG191" s="253"/>
      <c r="JH191" s="253"/>
      <c r="JI191" s="253"/>
      <c r="JJ191" s="253"/>
      <c r="JK191" s="253"/>
      <c r="JL191" s="253"/>
      <c r="JM191" s="253"/>
      <c r="JN191" s="253"/>
      <c r="JO191" s="253"/>
      <c r="JP191" s="253"/>
      <c r="JQ191" s="253"/>
      <c r="JR191" s="253"/>
      <c r="JS191" s="253"/>
      <c r="JT191" s="253"/>
      <c r="JU191" s="253"/>
      <c r="JV191" s="253"/>
      <c r="JW191" s="253"/>
      <c r="JX191" s="253"/>
      <c r="JY191" s="253"/>
      <c r="JZ191" s="253"/>
      <c r="KA191" s="253"/>
      <c r="KB191" s="253"/>
      <c r="KC191" s="253"/>
      <c r="KD191" s="253"/>
      <c r="KE191" s="253"/>
      <c r="KF191" s="253"/>
      <c r="KG191" s="253"/>
      <c r="KH191" s="253"/>
      <c r="KI191" s="253"/>
      <c r="KJ191" s="253"/>
      <c r="KK191" s="253"/>
      <c r="KL191" s="253"/>
      <c r="KM191" s="253"/>
      <c r="KN191" s="253"/>
      <c r="KO191" s="253"/>
      <c r="KP191" s="253"/>
      <c r="KQ191" s="253"/>
      <c r="KR191" s="253"/>
      <c r="KS191" s="253"/>
      <c r="KT191" s="253"/>
      <c r="KU191" s="253"/>
      <c r="KV191" s="253"/>
      <c r="KW191" s="253"/>
      <c r="KX191" s="253"/>
      <c r="KY191" s="253"/>
      <c r="KZ191" s="253"/>
      <c r="LA191" s="253"/>
      <c r="LB191" s="253"/>
      <c r="LC191" s="253"/>
      <c r="LD191" s="253"/>
      <c r="LE191" s="253"/>
      <c r="LF191" s="1296"/>
      <c r="LG191" s="253"/>
      <c r="LH191" s="253"/>
      <c r="LI191" s="253"/>
      <c r="LJ191" s="253"/>
      <c r="LK191" s="1296"/>
      <c r="LL191" s="253"/>
      <c r="LM191" s="253"/>
      <c r="LN191" s="253"/>
      <c r="LO191" s="253"/>
      <c r="LP191" s="1296"/>
      <c r="LQ191" s="253"/>
      <c r="LR191" s="253"/>
      <c r="LS191" s="253"/>
      <c r="LT191" s="253"/>
      <c r="LU191" s="1296"/>
      <c r="LV191" s="1296"/>
      <c r="LW191" s="1296"/>
      <c r="LX191" s="1296"/>
      <c r="LY191" s="1296"/>
      <c r="LZ191" s="1296"/>
      <c r="MA191" s="1296"/>
      <c r="MB191" s="1296"/>
      <c r="MC191" s="1296"/>
      <c r="MD191" s="1296"/>
      <c r="ME191" s="1296"/>
      <c r="MF191" s="1296"/>
      <c r="MG191" s="1296"/>
      <c r="MH191" s="1296"/>
      <c r="MI191" s="1296"/>
      <c r="MJ191" s="1296"/>
      <c r="MK191" s="1296"/>
      <c r="ML191" s="1296"/>
      <c r="MM191" s="1296"/>
      <c r="MN191" s="1296"/>
      <c r="MO191" s="1296"/>
      <c r="MP191" s="1296"/>
      <c r="MQ191" s="253"/>
      <c r="MR191" s="253"/>
      <c r="MS191" s="253"/>
      <c r="MT191" s="253"/>
      <c r="MU191" s="253"/>
      <c r="MV191" s="253"/>
      <c r="MW191" s="1184"/>
      <c r="MX191" s="253"/>
      <c r="MY191" s="253"/>
      <c r="MZ191" s="253"/>
      <c r="NA191" s="253"/>
      <c r="NB191" s="253"/>
      <c r="NC191" s="253"/>
      <c r="ND191" s="253"/>
      <c r="NE191" s="253"/>
      <c r="NF191" s="253"/>
      <c r="NG191" s="253"/>
      <c r="NH191" s="253"/>
      <c r="NI191" s="253"/>
      <c r="NJ191" s="253"/>
      <c r="NK191" s="253"/>
      <c r="NL191" s="253"/>
      <c r="NM191" s="1184"/>
      <c r="NN191" s="1184"/>
      <c r="NO191" s="253"/>
      <c r="NP191" s="253"/>
      <c r="NQ191" s="253"/>
      <c r="NR191" s="253"/>
      <c r="NS191" s="253"/>
      <c r="NT191" s="253"/>
      <c r="NU191" s="253"/>
      <c r="NV191" s="253"/>
      <c r="NW191" s="253"/>
      <c r="NX191" s="253"/>
      <c r="NY191" s="253"/>
      <c r="NZ191" s="253"/>
      <c r="OA191" s="253"/>
      <c r="OB191" s="253"/>
      <c r="OC191" s="253"/>
      <c r="OD191" s="253"/>
      <c r="OE191" s="253"/>
      <c r="OF191" s="253"/>
      <c r="OG191" s="253"/>
      <c r="OH191" s="253"/>
      <c r="OI191" s="253"/>
      <c r="OJ191" s="253"/>
      <c r="OK191" s="253"/>
      <c r="OL191" s="253"/>
      <c r="OM191" s="253"/>
      <c r="ON191" s="253"/>
      <c r="OO191" s="253"/>
      <c r="OP191" s="253"/>
      <c r="OQ191" s="253"/>
      <c r="OR191" s="253"/>
      <c r="OS191" s="253"/>
      <c r="OT191" s="253"/>
      <c r="OU191" s="253"/>
      <c r="OV191" s="43"/>
      <c r="OW191" s="43"/>
      <c r="OX191" s="43"/>
      <c r="OY191" s="1794"/>
      <c r="OZ191" s="1799">
        <v>187</v>
      </c>
      <c r="PA191" s="43"/>
      <c r="PB191" s="43"/>
      <c r="PC191" s="43"/>
      <c r="PD191" s="43"/>
      <c r="PE191" s="43"/>
      <c r="PF191" s="43"/>
      <c r="PG191" s="43"/>
      <c r="PH191" s="43"/>
      <c r="PI191" s="43"/>
      <c r="PJ191" s="43"/>
      <c r="PK191" s="43"/>
      <c r="PL191" s="43"/>
      <c r="PM191" s="43"/>
      <c r="PN191" s="43"/>
      <c r="PO191" s="43"/>
      <c r="PP191" s="43"/>
      <c r="PQ191" s="43"/>
      <c r="PR191" s="43"/>
      <c r="PS191" s="43"/>
      <c r="PT191" s="43"/>
      <c r="PU191" s="43"/>
      <c r="PV191" s="43"/>
      <c r="PW191" s="43"/>
      <c r="PX191" s="43"/>
      <c r="PY191" s="43"/>
      <c r="PZ191" s="43"/>
      <c r="QA191" s="43"/>
      <c r="QB191" s="43"/>
      <c r="QC191" s="43"/>
      <c r="QD191" s="43"/>
      <c r="QE191" s="43"/>
      <c r="QF191" s="43"/>
      <c r="QG191" s="43"/>
      <c r="QH191" s="43"/>
      <c r="QI191" s="43"/>
      <c r="QJ191" s="43"/>
      <c r="QK191" s="43"/>
      <c r="QL191" s="43"/>
      <c r="QM191" s="43"/>
      <c r="QN191" s="43"/>
      <c r="QO191" s="43"/>
      <c r="QP191" s="43"/>
      <c r="QQ191" s="43"/>
      <c r="QR191" s="43"/>
      <c r="QS191" s="43"/>
      <c r="QT191" s="43"/>
      <c r="QU191" s="43"/>
      <c r="QV191" s="43"/>
      <c r="QW191" s="43"/>
      <c r="QX191" s="43"/>
      <c r="QY191" s="43"/>
      <c r="QZ191" s="43"/>
      <c r="RA191" s="43"/>
      <c r="RB191" s="43"/>
      <c r="RC191" s="43"/>
      <c r="RD191" s="43"/>
      <c r="RE191" s="43"/>
      <c r="RF191" s="43"/>
      <c r="RG191" s="43"/>
      <c r="RH191" s="43"/>
      <c r="RI191" s="43"/>
      <c r="RJ191" s="43"/>
      <c r="RK191" s="43"/>
      <c r="RL191" s="43"/>
      <c r="RM191" s="43"/>
      <c r="RN191" s="43"/>
      <c r="RO191" s="43"/>
      <c r="RP191" s="43"/>
      <c r="RQ191" s="43"/>
      <c r="RR191" s="43"/>
      <c r="RS191" s="43"/>
      <c r="RT191" s="43"/>
      <c r="RU191" s="43"/>
      <c r="RV191" s="43"/>
      <c r="RW191" s="43"/>
      <c r="RX191" s="43"/>
      <c r="RY191" s="43"/>
      <c r="RZ191" s="43"/>
      <c r="SA191" s="43"/>
      <c r="SB191" s="43"/>
      <c r="SC191" s="43"/>
      <c r="SD191" s="43"/>
      <c r="SE191" s="43"/>
      <c r="SF191" s="43"/>
      <c r="SG191" s="43"/>
      <c r="SH191" s="43"/>
      <c r="SI191" s="43"/>
      <c r="SJ191" s="43"/>
      <c r="SK191" s="43"/>
      <c r="SL191" s="43"/>
      <c r="SM191" s="43"/>
      <c r="SN191" s="43"/>
      <c r="SO191" s="43"/>
      <c r="SP191" s="43"/>
      <c r="SQ191" s="43"/>
      <c r="SR191" s="43"/>
      <c r="SS191" s="43"/>
      <c r="ST191" s="43"/>
      <c r="SU191" s="43"/>
      <c r="SV191" s="43"/>
      <c r="SW191" s="43"/>
      <c r="SX191" s="43"/>
      <c r="SY191" s="43"/>
      <c r="SZ191" s="43"/>
      <c r="TA191" s="43"/>
      <c r="TB191" s="43"/>
      <c r="TC191" s="43"/>
      <c r="TD191" s="43"/>
      <c r="TE191" s="43"/>
      <c r="TF191" s="43"/>
      <c r="TG191" s="43"/>
      <c r="TH191" s="43"/>
    </row>
    <row r="192" spans="1:528" s="41" customFormat="1" ht="14.25" customHeight="1">
      <c r="A192" s="43"/>
      <c r="B192" s="43"/>
      <c r="D192" s="43" t="s">
        <v>1274</v>
      </c>
      <c r="E192" s="43"/>
      <c r="F192" s="43"/>
      <c r="G192" s="43"/>
      <c r="H192" s="43"/>
      <c r="I192" s="43"/>
      <c r="J192" s="43"/>
      <c r="K192" s="2368" t="str">
        <f>IF(OR(K76="",K76=0),"",K190/K76)</f>
        <v/>
      </c>
      <c r="L192" s="2368">
        <f>IF(OR(L76="",L76=0),"",L190/L76)</f>
        <v>769</v>
      </c>
      <c r="M192" s="2368">
        <f>IF(OR(M76="",M76=0),"",M190/M76)</f>
        <v>1041</v>
      </c>
      <c r="N192" s="2368">
        <f>IF(OR(N76="",N76=0),"",N190/N76)</f>
        <v>1170</v>
      </c>
      <c r="O192" s="2368" t="str">
        <f>IF(OR(O76="",O76=0),"",O190/O76)</f>
        <v/>
      </c>
      <c r="P192" s="2369"/>
      <c r="X192" s="253"/>
      <c r="Y192" s="253"/>
      <c r="Z192" s="253"/>
      <c r="AA192" s="253"/>
      <c r="AB192" s="253"/>
      <c r="AC192" s="253"/>
      <c r="AD192" s="253"/>
      <c r="AE192" s="253"/>
      <c r="AF192" s="253"/>
      <c r="AG192" s="253"/>
      <c r="AH192" s="253"/>
      <c r="AI192" s="253"/>
      <c r="AJ192" s="253"/>
      <c r="AK192" s="253"/>
      <c r="AL192" s="253"/>
      <c r="AM192" s="253"/>
      <c r="AN192" s="253"/>
      <c r="AO192" s="253"/>
      <c r="AP192" s="253"/>
      <c r="AQ192" s="253"/>
      <c r="AR192" s="253"/>
      <c r="AS192" s="253"/>
      <c r="AT192" s="253"/>
      <c r="AU192" s="253"/>
      <c r="AV192" s="253"/>
      <c r="AW192" s="253"/>
      <c r="AX192" s="253"/>
      <c r="AY192" s="253"/>
      <c r="AZ192" s="253"/>
      <c r="BA192" s="253"/>
      <c r="BB192" s="253"/>
      <c r="BC192" s="253"/>
      <c r="BD192" s="253"/>
      <c r="BE192" s="253"/>
      <c r="BF192" s="253"/>
      <c r="BG192" s="253"/>
      <c r="BH192" s="253"/>
      <c r="BI192" s="253"/>
      <c r="BJ192" s="253"/>
      <c r="BK192" s="253"/>
      <c r="BL192" s="253"/>
      <c r="BM192" s="253"/>
      <c r="BN192" s="253"/>
      <c r="BO192" s="253"/>
      <c r="BP192" s="253"/>
      <c r="BQ192" s="253"/>
      <c r="BR192" s="253"/>
      <c r="BS192" s="253"/>
      <c r="BT192" s="253"/>
      <c r="BU192" s="253"/>
      <c r="BV192" s="253"/>
      <c r="BW192" s="253"/>
      <c r="BX192" s="253"/>
      <c r="BY192" s="253"/>
      <c r="BZ192" s="253"/>
      <c r="CA192" s="253"/>
      <c r="CB192" s="253"/>
      <c r="CC192" s="253"/>
      <c r="CD192" s="253"/>
      <c r="CE192" s="253"/>
      <c r="CF192" s="253"/>
      <c r="CG192" s="253"/>
      <c r="CH192" s="253"/>
      <c r="CI192" s="253"/>
      <c r="CJ192" s="253"/>
      <c r="CK192" s="253"/>
      <c r="CL192" s="253"/>
      <c r="CM192" s="253"/>
      <c r="CN192" s="253"/>
      <c r="CO192" s="253"/>
      <c r="CP192" s="253"/>
      <c r="CQ192" s="253"/>
      <c r="CR192" s="253"/>
      <c r="CS192" s="253"/>
      <c r="CT192" s="253"/>
      <c r="CU192" s="253"/>
      <c r="CV192" s="253"/>
      <c r="CW192" s="253"/>
      <c r="CX192" s="253"/>
      <c r="CY192" s="253"/>
      <c r="CZ192" s="253"/>
      <c r="DA192" s="253"/>
      <c r="DB192" s="253"/>
      <c r="DC192" s="253"/>
      <c r="DD192" s="253"/>
      <c r="DE192" s="253"/>
      <c r="DF192" s="253"/>
      <c r="DG192" s="253"/>
      <c r="DH192" s="253"/>
      <c r="DI192" s="253"/>
      <c r="DJ192" s="253"/>
      <c r="DK192" s="253"/>
      <c r="DL192" s="253"/>
      <c r="DM192" s="253"/>
      <c r="DN192" s="253"/>
      <c r="DO192" s="253"/>
      <c r="DP192" s="253"/>
      <c r="DQ192" s="253"/>
      <c r="DR192" s="253"/>
      <c r="DS192" s="253"/>
      <c r="DT192" s="253"/>
      <c r="DU192" s="253"/>
      <c r="DV192" s="253"/>
      <c r="DW192" s="253"/>
      <c r="DX192" s="253"/>
      <c r="DY192" s="253"/>
      <c r="DZ192" s="253"/>
      <c r="EA192" s="253"/>
      <c r="EB192" s="253"/>
      <c r="EC192" s="253"/>
      <c r="ED192" s="253"/>
      <c r="EE192" s="253"/>
      <c r="EF192" s="253"/>
      <c r="EG192" s="253"/>
      <c r="EH192" s="253"/>
      <c r="EI192" s="253"/>
      <c r="EJ192" s="253"/>
      <c r="EK192" s="253"/>
      <c r="EL192" s="253"/>
      <c r="EM192" s="253"/>
      <c r="EN192" s="253"/>
      <c r="EO192" s="253"/>
      <c r="EP192" s="253"/>
      <c r="EQ192" s="253"/>
      <c r="ER192" s="253"/>
      <c r="ES192" s="253"/>
      <c r="ET192" s="253"/>
      <c r="EU192" s="253"/>
      <c r="EV192" s="253"/>
      <c r="EW192" s="253"/>
      <c r="EX192" s="253"/>
      <c r="EY192" s="253"/>
      <c r="EZ192" s="253"/>
      <c r="FA192" s="253"/>
      <c r="FB192" s="253"/>
      <c r="FC192" s="253"/>
      <c r="FD192" s="253"/>
      <c r="FE192" s="253"/>
      <c r="FF192" s="253"/>
      <c r="FG192" s="253"/>
      <c r="FH192" s="253"/>
      <c r="FI192" s="253"/>
      <c r="FJ192" s="253"/>
      <c r="FK192" s="253"/>
      <c r="FL192" s="253"/>
      <c r="FM192" s="253"/>
      <c r="FN192" s="253"/>
      <c r="FO192" s="253"/>
      <c r="FP192" s="253"/>
      <c r="FQ192" s="253"/>
      <c r="FR192" s="253"/>
      <c r="FS192" s="253"/>
      <c r="FT192" s="253"/>
      <c r="FU192" s="253"/>
      <c r="FV192" s="253"/>
      <c r="FW192" s="253"/>
      <c r="FX192" s="253"/>
      <c r="FY192" s="253"/>
      <c r="FZ192" s="253"/>
      <c r="GA192" s="253"/>
      <c r="GB192" s="253"/>
      <c r="GC192" s="253"/>
      <c r="GD192" s="253"/>
      <c r="GE192" s="253"/>
      <c r="GF192" s="253"/>
      <c r="GG192" s="253"/>
      <c r="GH192" s="253"/>
      <c r="GI192" s="253"/>
      <c r="GJ192" s="253"/>
      <c r="GK192" s="253"/>
      <c r="GL192" s="253"/>
      <c r="GM192" s="253"/>
      <c r="GN192" s="253"/>
      <c r="GO192" s="253"/>
      <c r="GP192" s="253"/>
      <c r="GQ192" s="253"/>
      <c r="GR192" s="253"/>
      <c r="GS192" s="253"/>
      <c r="GT192" s="253"/>
      <c r="GU192" s="253"/>
      <c r="GV192" s="253"/>
      <c r="GW192" s="253"/>
      <c r="GX192" s="253"/>
      <c r="GY192" s="253"/>
      <c r="GZ192" s="253"/>
      <c r="HA192" s="253"/>
      <c r="HB192" s="253"/>
      <c r="HC192" s="253"/>
      <c r="HD192" s="253"/>
      <c r="HE192" s="253"/>
      <c r="HF192" s="253"/>
      <c r="HG192" s="253"/>
      <c r="HH192" s="253"/>
      <c r="HI192" s="253"/>
      <c r="HJ192" s="253"/>
      <c r="HK192" s="253"/>
      <c r="HL192" s="253"/>
      <c r="HM192" s="253"/>
      <c r="HN192" s="253"/>
      <c r="HO192" s="253"/>
      <c r="HP192" s="253"/>
      <c r="HQ192" s="253"/>
      <c r="HR192" s="253"/>
      <c r="HS192" s="253"/>
      <c r="HT192" s="253"/>
      <c r="HU192" s="253"/>
      <c r="HV192" s="253"/>
      <c r="HW192" s="253"/>
      <c r="HX192" s="253"/>
      <c r="HY192" s="253"/>
      <c r="HZ192" s="253"/>
      <c r="IA192" s="253"/>
      <c r="IB192" s="253"/>
      <c r="IC192" s="253"/>
      <c r="ID192" s="253"/>
      <c r="IE192" s="253"/>
      <c r="IF192" s="253"/>
      <c r="IG192" s="253"/>
      <c r="IH192" s="253"/>
      <c r="II192" s="253"/>
      <c r="IJ192" s="253"/>
      <c r="IK192" s="253"/>
      <c r="IL192" s="253"/>
      <c r="IM192" s="253"/>
      <c r="IN192" s="253"/>
      <c r="IO192" s="253"/>
      <c r="IP192" s="253"/>
      <c r="IQ192" s="253"/>
      <c r="IR192" s="253"/>
      <c r="IS192" s="253"/>
      <c r="IT192" s="253"/>
      <c r="IU192" s="253"/>
      <c r="IV192" s="253"/>
      <c r="IW192" s="253"/>
      <c r="IX192" s="253"/>
      <c r="IY192" s="253"/>
      <c r="IZ192" s="253"/>
      <c r="JA192" s="253"/>
      <c r="JB192" s="253"/>
      <c r="JC192" s="253"/>
      <c r="JD192" s="253"/>
      <c r="JE192" s="253"/>
      <c r="JF192" s="253"/>
      <c r="JG192" s="253"/>
      <c r="JH192" s="253"/>
      <c r="JI192" s="253"/>
      <c r="JJ192" s="253"/>
      <c r="JK192" s="253"/>
      <c r="JL192" s="253"/>
      <c r="JM192" s="253"/>
      <c r="JN192" s="253"/>
      <c r="JO192" s="253"/>
      <c r="JP192" s="253"/>
      <c r="JQ192" s="253"/>
      <c r="JR192" s="253"/>
      <c r="JS192" s="253"/>
      <c r="JT192" s="253"/>
      <c r="JU192" s="253"/>
      <c r="JV192" s="253"/>
      <c r="JW192" s="253"/>
      <c r="JX192" s="253"/>
      <c r="JY192" s="253"/>
      <c r="JZ192" s="253"/>
      <c r="KA192" s="253"/>
      <c r="KB192" s="253"/>
      <c r="KC192" s="253"/>
      <c r="KD192" s="253"/>
      <c r="KE192" s="253"/>
      <c r="KF192" s="253"/>
      <c r="KG192" s="253"/>
      <c r="KH192" s="253"/>
      <c r="KI192" s="253"/>
      <c r="KJ192" s="253"/>
      <c r="KK192" s="253"/>
      <c r="KL192" s="253"/>
      <c r="KM192" s="253"/>
      <c r="KN192" s="253"/>
      <c r="KO192" s="253"/>
      <c r="KP192" s="253"/>
      <c r="KQ192" s="253"/>
      <c r="KR192" s="253"/>
      <c r="KS192" s="253"/>
      <c r="KT192" s="253"/>
      <c r="KU192" s="253"/>
      <c r="KV192" s="253"/>
      <c r="KW192" s="253"/>
      <c r="KX192" s="253"/>
      <c r="KY192" s="253"/>
      <c r="KZ192" s="253"/>
      <c r="LA192" s="253"/>
      <c r="LB192" s="253"/>
      <c r="LC192" s="253"/>
      <c r="LD192" s="253"/>
      <c r="LE192" s="253"/>
      <c r="LF192" s="1296"/>
      <c r="LG192" s="253"/>
      <c r="LH192" s="253"/>
      <c r="LI192" s="253"/>
      <c r="LJ192" s="253"/>
      <c r="LK192" s="1296"/>
      <c r="LL192" s="253"/>
      <c r="LM192" s="253"/>
      <c r="LN192" s="253"/>
      <c r="LO192" s="253"/>
      <c r="LP192" s="1296"/>
      <c r="LQ192" s="253"/>
      <c r="LR192" s="253"/>
      <c r="LS192" s="253"/>
      <c r="LT192" s="253"/>
      <c r="LU192" s="1296"/>
      <c r="LV192" s="1296"/>
      <c r="LW192" s="1296"/>
      <c r="LX192" s="1296"/>
      <c r="LY192" s="1296"/>
      <c r="LZ192" s="1296"/>
      <c r="MA192" s="1296"/>
      <c r="MB192" s="1296"/>
      <c r="MC192" s="1296"/>
      <c r="MD192" s="1296"/>
      <c r="ME192" s="1296"/>
      <c r="MF192" s="1296"/>
      <c r="MG192" s="1296"/>
      <c r="MH192" s="1296"/>
      <c r="MI192" s="1296"/>
      <c r="MJ192" s="1296"/>
      <c r="MK192" s="1296"/>
      <c r="ML192" s="1296"/>
      <c r="MM192" s="1296"/>
      <c r="MN192" s="1296"/>
      <c r="MO192" s="1296"/>
      <c r="MP192" s="1296"/>
      <c r="MQ192" s="253"/>
      <c r="MR192" s="253"/>
      <c r="MS192" s="253"/>
      <c r="MT192" s="253"/>
      <c r="MU192" s="253"/>
      <c r="MV192" s="253"/>
      <c r="MW192" s="1184"/>
      <c r="MX192" s="253"/>
      <c r="MY192" s="253"/>
      <c r="MZ192" s="253"/>
      <c r="NA192" s="253"/>
      <c r="NB192" s="253"/>
      <c r="NC192" s="253"/>
      <c r="ND192" s="253"/>
      <c r="NE192" s="253"/>
      <c r="NF192" s="253"/>
      <c r="NG192" s="253"/>
      <c r="NH192" s="253"/>
      <c r="NI192" s="253"/>
      <c r="NJ192" s="253"/>
      <c r="NK192" s="253"/>
      <c r="NL192" s="253"/>
      <c r="NM192" s="1184"/>
      <c r="NN192" s="1184"/>
      <c r="NO192" s="253"/>
      <c r="NP192" s="253"/>
      <c r="NQ192" s="253"/>
      <c r="NR192" s="253"/>
      <c r="NS192" s="253"/>
      <c r="NT192" s="253"/>
      <c r="NU192" s="253"/>
      <c r="NV192" s="253"/>
      <c r="NW192" s="253"/>
      <c r="NX192" s="253"/>
      <c r="NY192" s="253"/>
      <c r="NZ192" s="253"/>
      <c r="OA192" s="253"/>
      <c r="OB192" s="253"/>
      <c r="OC192" s="253"/>
      <c r="OD192" s="253"/>
      <c r="OE192" s="253"/>
      <c r="OF192" s="253"/>
      <c r="OG192" s="253"/>
      <c r="OH192" s="253"/>
      <c r="OI192" s="253"/>
      <c r="OJ192" s="253"/>
      <c r="OK192" s="253"/>
      <c r="OL192" s="253"/>
      <c r="OM192" s="253"/>
      <c r="ON192" s="253"/>
      <c r="OO192" s="253"/>
      <c r="OP192" s="253"/>
      <c r="OQ192" s="253"/>
      <c r="OR192" s="253"/>
      <c r="OS192" s="253"/>
      <c r="OT192" s="253"/>
      <c r="OU192" s="253"/>
      <c r="OV192" s="43"/>
      <c r="OW192" s="43"/>
      <c r="OX192" s="43"/>
      <c r="OY192" s="1794"/>
      <c r="OZ192" s="1799">
        <v>188</v>
      </c>
      <c r="PA192" s="43"/>
      <c r="PB192" s="43"/>
      <c r="PC192" s="43"/>
      <c r="PD192" s="43"/>
      <c r="PE192" s="43"/>
      <c r="PF192" s="43"/>
      <c r="PG192" s="43"/>
      <c r="PH192" s="43"/>
      <c r="PI192" s="43"/>
      <c r="PJ192" s="43"/>
      <c r="PK192" s="43"/>
      <c r="PL192" s="43"/>
      <c r="PM192" s="43"/>
      <c r="PN192" s="43"/>
      <c r="PO192" s="43"/>
      <c r="PP192" s="43"/>
      <c r="PQ192" s="43"/>
      <c r="PR192" s="43"/>
      <c r="PS192" s="43"/>
      <c r="PT192" s="43"/>
      <c r="PU192" s="43"/>
      <c r="PV192" s="43"/>
      <c r="PW192" s="43"/>
      <c r="PX192" s="43"/>
      <c r="PY192" s="43"/>
      <c r="PZ192" s="43"/>
      <c r="QA192" s="43"/>
      <c r="QB192" s="43"/>
      <c r="QC192" s="43"/>
      <c r="QD192" s="43"/>
      <c r="QE192" s="43"/>
      <c r="QF192" s="43"/>
      <c r="QG192" s="43"/>
      <c r="QH192" s="43"/>
      <c r="QI192" s="43"/>
      <c r="QJ192" s="43"/>
      <c r="QK192" s="43"/>
      <c r="QL192" s="43"/>
      <c r="QM192" s="43"/>
      <c r="QN192" s="43"/>
      <c r="QO192" s="43"/>
      <c r="QP192" s="43"/>
      <c r="QQ192" s="43"/>
      <c r="QR192" s="43"/>
      <c r="QS192" s="43"/>
      <c r="QT192" s="43"/>
      <c r="QU192" s="43"/>
      <c r="QV192" s="43"/>
      <c r="QW192" s="43"/>
      <c r="QX192" s="43"/>
      <c r="QY192" s="43"/>
      <c r="QZ192" s="43"/>
      <c r="RA192" s="43"/>
      <c r="RB192" s="43"/>
      <c r="RC192" s="43"/>
      <c r="RD192" s="43"/>
      <c r="RE192" s="43"/>
      <c r="RF192" s="43"/>
      <c r="RG192" s="43"/>
      <c r="RH192" s="43"/>
      <c r="RI192" s="43"/>
      <c r="RJ192" s="43"/>
      <c r="RK192" s="43"/>
      <c r="RL192" s="43"/>
      <c r="RM192" s="43"/>
      <c r="RN192" s="43"/>
      <c r="RO192" s="43"/>
      <c r="RP192" s="43"/>
      <c r="RQ192" s="43"/>
      <c r="RR192" s="43"/>
      <c r="RS192" s="43"/>
      <c r="RT192" s="43"/>
      <c r="RU192" s="43"/>
      <c r="RV192" s="43"/>
      <c r="RW192" s="43"/>
      <c r="RX192" s="43"/>
      <c r="RY192" s="43"/>
      <c r="RZ192" s="43"/>
      <c r="SA192" s="43"/>
      <c r="SB192" s="43"/>
      <c r="SC192" s="43"/>
      <c r="SD192" s="43"/>
      <c r="SE192" s="43"/>
      <c r="SF192" s="43"/>
      <c r="SG192" s="43"/>
      <c r="SH192" s="43"/>
      <c r="SI192" s="43"/>
      <c r="SJ192" s="43"/>
      <c r="SK192" s="43"/>
      <c r="SL192" s="43"/>
      <c r="SM192" s="43"/>
      <c r="SN192" s="43"/>
      <c r="SO192" s="43"/>
      <c r="SP192" s="43"/>
      <c r="SQ192" s="43"/>
      <c r="SR192" s="43"/>
      <c r="SS192" s="43"/>
      <c r="ST192" s="43"/>
      <c r="SU192" s="43"/>
      <c r="SV192" s="43"/>
      <c r="SW192" s="43"/>
      <c r="SX192" s="43"/>
      <c r="SY192" s="43"/>
      <c r="SZ192" s="43"/>
      <c r="TA192" s="43"/>
      <c r="TB192" s="43"/>
      <c r="TC192" s="43"/>
      <c r="TD192" s="43"/>
      <c r="TE192" s="43"/>
      <c r="TF192" s="43"/>
      <c r="TG192" s="43"/>
      <c r="TH192" s="43"/>
    </row>
    <row r="193" spans="1:528" s="41" customFormat="1" ht="9" customHeight="1">
      <c r="A193" s="43"/>
      <c r="B193" s="43"/>
      <c r="C193" s="43"/>
      <c r="D193" s="43"/>
      <c r="E193" s="43"/>
      <c r="F193" s="43"/>
      <c r="G193" s="43"/>
      <c r="H193" s="43"/>
      <c r="I193" s="43"/>
      <c r="J193" s="43"/>
      <c r="K193" s="43"/>
      <c r="L193" s="43"/>
      <c r="M193" s="43"/>
      <c r="N193" s="43"/>
      <c r="O193" s="43"/>
      <c r="P193" s="43"/>
      <c r="X193" s="253"/>
      <c r="Y193" s="253"/>
      <c r="Z193" s="253"/>
      <c r="AA193" s="253"/>
      <c r="AB193" s="253"/>
      <c r="AC193" s="253"/>
      <c r="AD193" s="253"/>
      <c r="AE193" s="253"/>
      <c r="AF193" s="253"/>
      <c r="AG193" s="253"/>
      <c r="AH193" s="253"/>
      <c r="AI193" s="253"/>
      <c r="AJ193" s="253"/>
      <c r="AK193" s="253"/>
      <c r="AL193" s="253"/>
      <c r="AM193" s="253"/>
      <c r="AN193" s="253"/>
      <c r="AO193" s="253"/>
      <c r="AP193" s="253"/>
      <c r="AQ193" s="253"/>
      <c r="AR193" s="253"/>
      <c r="AS193" s="253"/>
      <c r="AT193" s="253"/>
      <c r="AU193" s="253"/>
      <c r="AV193" s="253"/>
      <c r="AW193" s="253"/>
      <c r="AX193" s="253"/>
      <c r="AY193" s="253"/>
      <c r="AZ193" s="253"/>
      <c r="BA193" s="253"/>
      <c r="BB193" s="253"/>
      <c r="BC193" s="253"/>
      <c r="BD193" s="253"/>
      <c r="BE193" s="253"/>
      <c r="BF193" s="253"/>
      <c r="BG193" s="253"/>
      <c r="BH193" s="253"/>
      <c r="BI193" s="253"/>
      <c r="BJ193" s="253"/>
      <c r="BK193" s="253"/>
      <c r="BL193" s="253"/>
      <c r="BM193" s="253"/>
      <c r="BN193" s="253"/>
      <c r="BO193" s="253"/>
      <c r="BP193" s="253"/>
      <c r="BQ193" s="253"/>
      <c r="BR193" s="253"/>
      <c r="BS193" s="253"/>
      <c r="BT193" s="253"/>
      <c r="BU193" s="253"/>
      <c r="BV193" s="253"/>
      <c r="BW193" s="253"/>
      <c r="BX193" s="253"/>
      <c r="BY193" s="253"/>
      <c r="BZ193" s="253"/>
      <c r="CA193" s="253"/>
      <c r="CB193" s="253"/>
      <c r="CC193" s="253"/>
      <c r="CD193" s="253"/>
      <c r="CE193" s="253"/>
      <c r="CF193" s="253"/>
      <c r="CG193" s="253"/>
      <c r="CH193" s="253"/>
      <c r="CI193" s="253"/>
      <c r="CJ193" s="253"/>
      <c r="CK193" s="253"/>
      <c r="CL193" s="253"/>
      <c r="CM193" s="253"/>
      <c r="CN193" s="253"/>
      <c r="CO193" s="253"/>
      <c r="CP193" s="253"/>
      <c r="CQ193" s="253"/>
      <c r="CR193" s="253"/>
      <c r="CS193" s="253"/>
      <c r="CT193" s="253"/>
      <c r="CU193" s="253"/>
      <c r="CV193" s="253"/>
      <c r="CW193" s="253"/>
      <c r="CX193" s="253"/>
      <c r="CY193" s="253"/>
      <c r="CZ193" s="253"/>
      <c r="DA193" s="253"/>
      <c r="DB193" s="253"/>
      <c r="DC193" s="253"/>
      <c r="DD193" s="253"/>
      <c r="DE193" s="253"/>
      <c r="DF193" s="253"/>
      <c r="DG193" s="253"/>
      <c r="DH193" s="253"/>
      <c r="DI193" s="253"/>
      <c r="DJ193" s="253"/>
      <c r="DK193" s="253"/>
      <c r="DL193" s="253"/>
      <c r="DM193" s="253"/>
      <c r="DN193" s="253"/>
      <c r="DO193" s="253"/>
      <c r="DP193" s="253"/>
      <c r="DQ193" s="253"/>
      <c r="DR193" s="253"/>
      <c r="DS193" s="253"/>
      <c r="DT193" s="253"/>
      <c r="DU193" s="253"/>
      <c r="DV193" s="253"/>
      <c r="DW193" s="253"/>
      <c r="DX193" s="253"/>
      <c r="DY193" s="253"/>
      <c r="DZ193" s="253"/>
      <c r="EA193" s="253"/>
      <c r="EB193" s="253"/>
      <c r="EC193" s="253"/>
      <c r="ED193" s="253"/>
      <c r="EE193" s="253"/>
      <c r="EF193" s="253"/>
      <c r="EG193" s="253"/>
      <c r="EH193" s="253"/>
      <c r="EI193" s="253"/>
      <c r="EJ193" s="253"/>
      <c r="EK193" s="253"/>
      <c r="EL193" s="253"/>
      <c r="EM193" s="253"/>
      <c r="EN193" s="253"/>
      <c r="EO193" s="253"/>
      <c r="EP193" s="253"/>
      <c r="EQ193" s="253"/>
      <c r="ER193" s="253"/>
      <c r="ES193" s="253"/>
      <c r="ET193" s="253"/>
      <c r="EU193" s="253"/>
      <c r="EV193" s="253"/>
      <c r="EW193" s="253"/>
      <c r="EX193" s="253"/>
      <c r="EY193" s="253"/>
      <c r="EZ193" s="253"/>
      <c r="FA193" s="253"/>
      <c r="FB193" s="253"/>
      <c r="FC193" s="253"/>
      <c r="FD193" s="253"/>
      <c r="FE193" s="253"/>
      <c r="FF193" s="253"/>
      <c r="FG193" s="253"/>
      <c r="FH193" s="253"/>
      <c r="FI193" s="253"/>
      <c r="FJ193" s="253"/>
      <c r="FK193" s="253"/>
      <c r="FL193" s="253"/>
      <c r="FM193" s="253"/>
      <c r="FN193" s="253"/>
      <c r="FO193" s="253"/>
      <c r="FP193" s="253"/>
      <c r="FQ193" s="253"/>
      <c r="FR193" s="253"/>
      <c r="FS193" s="253"/>
      <c r="FT193" s="253"/>
      <c r="FU193" s="253"/>
      <c r="FV193" s="253"/>
      <c r="FW193" s="253"/>
      <c r="FX193" s="253"/>
      <c r="FY193" s="253"/>
      <c r="FZ193" s="253"/>
      <c r="GA193" s="253"/>
      <c r="GB193" s="253"/>
      <c r="GC193" s="253"/>
      <c r="GD193" s="253"/>
      <c r="GE193" s="253"/>
      <c r="GF193" s="253"/>
      <c r="GG193" s="253"/>
      <c r="GH193" s="253"/>
      <c r="GI193" s="253"/>
      <c r="GJ193" s="253"/>
      <c r="GK193" s="253"/>
      <c r="GL193" s="253"/>
      <c r="GM193" s="253"/>
      <c r="GN193" s="253"/>
      <c r="GO193" s="253"/>
      <c r="GP193" s="253"/>
      <c r="GQ193" s="253"/>
      <c r="GR193" s="253"/>
      <c r="GS193" s="253"/>
      <c r="GT193" s="253"/>
      <c r="GU193" s="253"/>
      <c r="GV193" s="253"/>
      <c r="GW193" s="253"/>
      <c r="GX193" s="253"/>
      <c r="GY193" s="253"/>
      <c r="GZ193" s="253"/>
      <c r="HA193" s="253"/>
      <c r="HB193" s="253"/>
      <c r="HC193" s="253"/>
      <c r="HD193" s="253"/>
      <c r="HE193" s="253"/>
      <c r="HF193" s="253"/>
      <c r="HG193" s="253"/>
      <c r="HH193" s="253"/>
      <c r="HI193" s="253"/>
      <c r="HJ193" s="253"/>
      <c r="HK193" s="253"/>
      <c r="HL193" s="253"/>
      <c r="HM193" s="253"/>
      <c r="HN193" s="253"/>
      <c r="HO193" s="253"/>
      <c r="HP193" s="253"/>
      <c r="HQ193" s="253"/>
      <c r="HR193" s="253"/>
      <c r="HS193" s="253"/>
      <c r="HT193" s="253"/>
      <c r="HU193" s="253"/>
      <c r="HV193" s="253"/>
      <c r="HW193" s="253"/>
      <c r="HX193" s="253"/>
      <c r="HY193" s="253"/>
      <c r="HZ193" s="253"/>
      <c r="IA193" s="253"/>
      <c r="IB193" s="253"/>
      <c r="IC193" s="253"/>
      <c r="ID193" s="253"/>
      <c r="IE193" s="253"/>
      <c r="IF193" s="253"/>
      <c r="IG193" s="253"/>
      <c r="IH193" s="253"/>
      <c r="II193" s="253"/>
      <c r="IJ193" s="253"/>
      <c r="IK193" s="253"/>
      <c r="IL193" s="253"/>
      <c r="IM193" s="253"/>
      <c r="IN193" s="253"/>
      <c r="IO193" s="253"/>
      <c r="IP193" s="253"/>
      <c r="IQ193" s="253"/>
      <c r="IR193" s="253"/>
      <c r="IS193" s="253"/>
      <c r="IT193" s="253"/>
      <c r="IU193" s="253"/>
      <c r="IV193" s="253"/>
      <c r="IW193" s="253"/>
      <c r="IX193" s="253"/>
      <c r="IY193" s="253"/>
      <c r="IZ193" s="253"/>
      <c r="JA193" s="253"/>
      <c r="JB193" s="253"/>
      <c r="JC193" s="253"/>
      <c r="JD193" s="253"/>
      <c r="JE193" s="253"/>
      <c r="JF193" s="253"/>
      <c r="JG193" s="253"/>
      <c r="JH193" s="253"/>
      <c r="JI193" s="253"/>
      <c r="JJ193" s="253"/>
      <c r="JK193" s="253"/>
      <c r="JL193" s="253"/>
      <c r="JM193" s="253"/>
      <c r="JN193" s="253"/>
      <c r="JO193" s="253"/>
      <c r="JP193" s="253"/>
      <c r="JQ193" s="253"/>
      <c r="JR193" s="253"/>
      <c r="JS193" s="253"/>
      <c r="JT193" s="253"/>
      <c r="JU193" s="253"/>
      <c r="JV193" s="253"/>
      <c r="JW193" s="253"/>
      <c r="JX193" s="253"/>
      <c r="JY193" s="253"/>
      <c r="JZ193" s="253"/>
      <c r="KA193" s="253"/>
      <c r="KB193" s="253"/>
      <c r="KC193" s="253"/>
      <c r="KD193" s="253"/>
      <c r="KE193" s="253"/>
      <c r="KF193" s="253"/>
      <c r="KG193" s="253"/>
      <c r="KH193" s="253"/>
      <c r="KI193" s="253"/>
      <c r="KJ193" s="253"/>
      <c r="KK193" s="253"/>
      <c r="KL193" s="253"/>
      <c r="KM193" s="253"/>
      <c r="KN193" s="253"/>
      <c r="KO193" s="253"/>
      <c r="KP193" s="253"/>
      <c r="KQ193" s="253"/>
      <c r="KR193" s="253"/>
      <c r="KS193" s="253"/>
      <c r="KT193" s="253"/>
      <c r="KU193" s="253"/>
      <c r="KV193" s="253"/>
      <c r="KW193" s="253"/>
      <c r="KX193" s="253"/>
      <c r="KY193" s="253"/>
      <c r="KZ193" s="253"/>
      <c r="LA193" s="253"/>
      <c r="LB193" s="253"/>
      <c r="LC193" s="253"/>
      <c r="LD193" s="253"/>
      <c r="LE193" s="253"/>
      <c r="LF193" s="1296"/>
      <c r="LG193" s="253"/>
      <c r="LH193" s="253"/>
      <c r="LI193" s="253"/>
      <c r="LJ193" s="253"/>
      <c r="LK193" s="1296"/>
      <c r="LL193" s="253"/>
      <c r="LM193" s="253"/>
      <c r="LN193" s="253"/>
      <c r="LO193" s="253"/>
      <c r="LP193" s="1296"/>
      <c r="LQ193" s="253"/>
      <c r="LR193" s="253"/>
      <c r="LS193" s="253"/>
      <c r="LT193" s="253"/>
      <c r="LU193" s="1296"/>
      <c r="LV193" s="1296"/>
      <c r="LW193" s="1296"/>
      <c r="LX193" s="1296"/>
      <c r="LY193" s="1296"/>
      <c r="LZ193" s="1296"/>
      <c r="MA193" s="1296"/>
      <c r="MB193" s="1296"/>
      <c r="MC193" s="1296"/>
      <c r="MD193" s="1296"/>
      <c r="ME193" s="1296"/>
      <c r="MF193" s="1296"/>
      <c r="MG193" s="1296"/>
      <c r="MH193" s="1296"/>
      <c r="MI193" s="1296"/>
      <c r="MJ193" s="1296"/>
      <c r="MK193" s="1296"/>
      <c r="ML193" s="1296"/>
      <c r="MM193" s="1296"/>
      <c r="MN193" s="1296"/>
      <c r="MO193" s="1296"/>
      <c r="MP193" s="1296"/>
      <c r="MQ193" s="253"/>
      <c r="MR193" s="253"/>
      <c r="MS193" s="253"/>
      <c r="MT193" s="253"/>
      <c r="MU193" s="253"/>
      <c r="MV193" s="253"/>
      <c r="MW193" s="1184"/>
      <c r="MX193" s="253"/>
      <c r="MY193" s="253"/>
      <c r="MZ193" s="253"/>
      <c r="NA193" s="253"/>
      <c r="NB193" s="253"/>
      <c r="NC193" s="253"/>
      <c r="ND193" s="253"/>
      <c r="NE193" s="253"/>
      <c r="NF193" s="253"/>
      <c r="NG193" s="253"/>
      <c r="NH193" s="253"/>
      <c r="NI193" s="253"/>
      <c r="NJ193" s="253"/>
      <c r="NK193" s="253"/>
      <c r="NL193" s="253"/>
      <c r="NM193" s="1184"/>
      <c r="NN193" s="1184"/>
      <c r="NO193" s="253"/>
      <c r="NP193" s="253"/>
      <c r="NQ193" s="253"/>
      <c r="NR193" s="253"/>
      <c r="NS193" s="253"/>
      <c r="NT193" s="253"/>
      <c r="NU193" s="253"/>
      <c r="NV193" s="253"/>
      <c r="NW193" s="253"/>
      <c r="NX193" s="253"/>
      <c r="NY193" s="253"/>
      <c r="NZ193" s="253"/>
      <c r="OA193" s="253"/>
      <c r="OB193" s="253"/>
      <c r="OC193" s="253"/>
      <c r="OD193" s="253"/>
      <c r="OE193" s="253"/>
      <c r="OF193" s="253"/>
      <c r="OG193" s="253"/>
      <c r="OH193" s="253"/>
      <c r="OI193" s="253"/>
      <c r="OJ193" s="253"/>
      <c r="OK193" s="253"/>
      <c r="OL193" s="253"/>
      <c r="OM193" s="253"/>
      <c r="ON193" s="253"/>
      <c r="OO193" s="253"/>
      <c r="OP193" s="253"/>
      <c r="OQ193" s="253"/>
      <c r="OR193" s="253"/>
      <c r="OS193" s="253"/>
      <c r="OT193" s="253"/>
      <c r="OU193" s="253"/>
      <c r="OV193" s="43"/>
      <c r="OW193" s="43"/>
      <c r="OX193" s="43"/>
      <c r="OY193" s="1794"/>
      <c r="OZ193" s="1799">
        <v>189</v>
      </c>
      <c r="PA193" s="43"/>
      <c r="PB193" s="43"/>
      <c r="PC193" s="43"/>
      <c r="PD193" s="43"/>
      <c r="PE193" s="43"/>
      <c r="PF193" s="43"/>
      <c r="PG193" s="43"/>
      <c r="PH193" s="43"/>
      <c r="PI193" s="43"/>
      <c r="PJ193" s="43"/>
      <c r="PK193" s="43"/>
      <c r="PL193" s="43"/>
      <c r="PM193" s="43"/>
      <c r="PN193" s="43"/>
      <c r="PO193" s="43"/>
      <c r="PP193" s="43"/>
      <c r="PQ193" s="43"/>
      <c r="PR193" s="43"/>
      <c r="PS193" s="43"/>
      <c r="PT193" s="43"/>
      <c r="PU193" s="43"/>
      <c r="PV193" s="43"/>
      <c r="PW193" s="43"/>
      <c r="PX193" s="43"/>
      <c r="PY193" s="43"/>
      <c r="PZ193" s="43"/>
      <c r="QA193" s="43"/>
      <c r="QB193" s="43"/>
      <c r="QC193" s="43"/>
      <c r="QD193" s="43"/>
      <c r="QE193" s="43"/>
      <c r="QF193" s="43"/>
      <c r="QG193" s="43"/>
      <c r="QH193" s="43"/>
      <c r="QI193" s="43"/>
      <c r="QJ193" s="43"/>
      <c r="QK193" s="43"/>
      <c r="QL193" s="43"/>
      <c r="QM193" s="43"/>
      <c r="QN193" s="43"/>
      <c r="QO193" s="43"/>
      <c r="QP193" s="43"/>
      <c r="QQ193" s="43"/>
      <c r="QR193" s="43"/>
      <c r="QS193" s="43"/>
      <c r="QT193" s="43"/>
      <c r="QU193" s="43"/>
      <c r="QV193" s="43"/>
      <c r="QW193" s="43"/>
      <c r="QX193" s="43"/>
      <c r="QY193" s="43"/>
      <c r="QZ193" s="43"/>
      <c r="RA193" s="43"/>
      <c r="RB193" s="43"/>
      <c r="RC193" s="43"/>
      <c r="RD193" s="43"/>
      <c r="RE193" s="43"/>
      <c r="RF193" s="43"/>
      <c r="RG193" s="43"/>
      <c r="RH193" s="43"/>
      <c r="RI193" s="43"/>
      <c r="RJ193" s="43"/>
      <c r="RK193" s="43"/>
      <c r="RL193" s="43"/>
      <c r="RM193" s="43"/>
      <c r="RN193" s="43"/>
      <c r="RO193" s="43"/>
      <c r="RP193" s="43"/>
      <c r="RQ193" s="43"/>
      <c r="RR193" s="43"/>
      <c r="RS193" s="43"/>
      <c r="RT193" s="43"/>
      <c r="RU193" s="43"/>
      <c r="RV193" s="43"/>
      <c r="RW193" s="43"/>
      <c r="RX193" s="43"/>
      <c r="RY193" s="43"/>
      <c r="RZ193" s="43"/>
      <c r="SA193" s="43"/>
      <c r="SB193" s="43"/>
      <c r="SC193" s="43"/>
      <c r="SD193" s="43"/>
      <c r="SE193" s="43"/>
      <c r="SF193" s="43"/>
      <c r="SG193" s="43"/>
      <c r="SH193" s="43"/>
      <c r="SI193" s="43"/>
      <c r="SJ193" s="43"/>
      <c r="SK193" s="43"/>
      <c r="SL193" s="43"/>
      <c r="SM193" s="43"/>
      <c r="SN193" s="43"/>
      <c r="SO193" s="43"/>
      <c r="SP193" s="43"/>
      <c r="SQ193" s="43"/>
      <c r="SR193" s="43"/>
      <c r="SS193" s="43"/>
      <c r="ST193" s="43"/>
      <c r="SU193" s="43"/>
      <c r="SV193" s="43"/>
      <c r="SW193" s="43"/>
      <c r="SX193" s="43"/>
      <c r="SY193" s="43"/>
      <c r="SZ193" s="43"/>
      <c r="TA193" s="43"/>
      <c r="TB193" s="43"/>
      <c r="TC193" s="43"/>
      <c r="TD193" s="43"/>
      <c r="TE193" s="43"/>
      <c r="TF193" s="43"/>
      <c r="TG193" s="43"/>
      <c r="TH193" s="43"/>
    </row>
    <row r="194" spans="1:528" s="41" customFormat="1" ht="14.1" customHeight="1">
      <c r="A194" s="6" t="s">
        <v>32</v>
      </c>
      <c r="B194" s="6" t="s">
        <v>1275</v>
      </c>
      <c r="C194" s="43"/>
      <c r="D194" s="43"/>
      <c r="E194" s="43"/>
      <c r="F194" s="43"/>
      <c r="G194" s="43"/>
      <c r="H194" s="43"/>
      <c r="I194" s="43"/>
      <c r="J194" s="43"/>
      <c r="K194" s="43"/>
      <c r="L194" s="43"/>
      <c r="M194" s="43"/>
      <c r="N194" s="43"/>
      <c r="O194" s="43"/>
      <c r="P194" s="43"/>
      <c r="X194" s="253"/>
      <c r="Y194" s="253"/>
      <c r="Z194" s="253"/>
      <c r="AA194" s="253"/>
      <c r="AB194" s="253"/>
      <c r="AC194" s="253"/>
      <c r="AD194" s="253"/>
      <c r="AE194" s="253"/>
      <c r="AF194" s="253"/>
      <c r="AG194" s="253"/>
      <c r="AH194" s="253"/>
      <c r="AI194" s="253"/>
      <c r="AJ194" s="253"/>
      <c r="AK194" s="253"/>
      <c r="AL194" s="253"/>
      <c r="AM194" s="253"/>
      <c r="AN194" s="253"/>
      <c r="AO194" s="253"/>
      <c r="AP194" s="253"/>
      <c r="AQ194" s="253"/>
      <c r="AR194" s="253"/>
      <c r="AS194" s="253"/>
      <c r="AT194" s="253"/>
      <c r="AU194" s="253"/>
      <c r="AV194" s="253"/>
      <c r="AW194" s="253"/>
      <c r="AX194" s="253"/>
      <c r="AY194" s="253"/>
      <c r="AZ194" s="253"/>
      <c r="BA194" s="253"/>
      <c r="BB194" s="253"/>
      <c r="BC194" s="253"/>
      <c r="BD194" s="253"/>
      <c r="BE194" s="253"/>
      <c r="BF194" s="253"/>
      <c r="BG194" s="253"/>
      <c r="BH194" s="253"/>
      <c r="BI194" s="253"/>
      <c r="BJ194" s="253"/>
      <c r="BK194" s="253"/>
      <c r="BL194" s="253"/>
      <c r="BM194" s="253"/>
      <c r="BN194" s="253"/>
      <c r="BO194" s="253"/>
      <c r="BP194" s="253"/>
      <c r="BQ194" s="253"/>
      <c r="BR194" s="253"/>
      <c r="BS194" s="253"/>
      <c r="BT194" s="253"/>
      <c r="BU194" s="253"/>
      <c r="BV194" s="253"/>
      <c r="BW194" s="253"/>
      <c r="BX194" s="253"/>
      <c r="BY194" s="253"/>
      <c r="BZ194" s="253"/>
      <c r="CA194" s="253"/>
      <c r="CB194" s="253"/>
      <c r="CC194" s="253"/>
      <c r="CD194" s="253"/>
      <c r="CE194" s="253"/>
      <c r="CF194" s="253"/>
      <c r="CG194" s="253"/>
      <c r="CH194" s="253"/>
      <c r="CI194" s="253"/>
      <c r="CJ194" s="253"/>
      <c r="CK194" s="253"/>
      <c r="CL194" s="253"/>
      <c r="CM194" s="253"/>
      <c r="CN194" s="253"/>
      <c r="CO194" s="253"/>
      <c r="CP194" s="253"/>
      <c r="CQ194" s="253"/>
      <c r="CR194" s="253"/>
      <c r="CS194" s="253"/>
      <c r="CT194" s="253"/>
      <c r="CU194" s="253"/>
      <c r="CV194" s="253"/>
      <c r="CW194" s="253"/>
      <c r="CX194" s="253"/>
      <c r="CY194" s="253"/>
      <c r="CZ194" s="253"/>
      <c r="DA194" s="253"/>
      <c r="DB194" s="253"/>
      <c r="DC194" s="253"/>
      <c r="DD194" s="253"/>
      <c r="DE194" s="253"/>
      <c r="DF194" s="253"/>
      <c r="DG194" s="253"/>
      <c r="DH194" s="253"/>
      <c r="DI194" s="253"/>
      <c r="DJ194" s="253"/>
      <c r="DK194" s="253"/>
      <c r="DL194" s="253"/>
      <c r="DM194" s="253"/>
      <c r="DN194" s="253"/>
      <c r="DO194" s="253"/>
      <c r="DP194" s="253"/>
      <c r="DQ194" s="253"/>
      <c r="DR194" s="253"/>
      <c r="DS194" s="253"/>
      <c r="DT194" s="253"/>
      <c r="DU194" s="253"/>
      <c r="DV194" s="253"/>
      <c r="DW194" s="253"/>
      <c r="DX194" s="253"/>
      <c r="DY194" s="253"/>
      <c r="DZ194" s="253"/>
      <c r="EA194" s="253"/>
      <c r="EB194" s="253"/>
      <c r="EC194" s="253"/>
      <c r="ED194" s="253"/>
      <c r="EE194" s="253"/>
      <c r="EF194" s="253"/>
      <c r="EG194" s="253"/>
      <c r="EH194" s="253"/>
      <c r="EI194" s="253"/>
      <c r="EJ194" s="253"/>
      <c r="EK194" s="253"/>
      <c r="EL194" s="253"/>
      <c r="EM194" s="253"/>
      <c r="EN194" s="253"/>
      <c r="EO194" s="253"/>
      <c r="EP194" s="253"/>
      <c r="EQ194" s="253"/>
      <c r="ER194" s="253"/>
      <c r="ES194" s="253"/>
      <c r="ET194" s="253"/>
      <c r="EU194" s="253"/>
      <c r="EV194" s="253"/>
      <c r="EW194" s="253"/>
      <c r="EX194" s="253"/>
      <c r="EY194" s="253"/>
      <c r="EZ194" s="253"/>
      <c r="FA194" s="253"/>
      <c r="FB194" s="253"/>
      <c r="FC194" s="253"/>
      <c r="FD194" s="253"/>
      <c r="FE194" s="253"/>
      <c r="FF194" s="253"/>
      <c r="FG194" s="253"/>
      <c r="FH194" s="253"/>
      <c r="FI194" s="253"/>
      <c r="FJ194" s="253"/>
      <c r="FK194" s="253"/>
      <c r="FL194" s="253"/>
      <c r="FM194" s="253"/>
      <c r="FN194" s="253"/>
      <c r="FO194" s="253"/>
      <c r="FP194" s="253"/>
      <c r="FQ194" s="253"/>
      <c r="FR194" s="253"/>
      <c r="FS194" s="253"/>
      <c r="FT194" s="253"/>
      <c r="FU194" s="253"/>
      <c r="FV194" s="253"/>
      <c r="FW194" s="253"/>
      <c r="FX194" s="253"/>
      <c r="FY194" s="253"/>
      <c r="FZ194" s="253"/>
      <c r="GA194" s="253"/>
      <c r="GB194" s="253"/>
      <c r="GC194" s="253"/>
      <c r="GD194" s="253"/>
      <c r="GE194" s="253"/>
      <c r="GF194" s="253"/>
      <c r="GG194" s="253"/>
      <c r="GH194" s="253"/>
      <c r="GI194" s="253"/>
      <c r="GJ194" s="253"/>
      <c r="GK194" s="253"/>
      <c r="GL194" s="253"/>
      <c r="GM194" s="253"/>
      <c r="GN194" s="253"/>
      <c r="GO194" s="253"/>
      <c r="GP194" s="253"/>
      <c r="GQ194" s="253"/>
      <c r="GR194" s="253"/>
      <c r="GS194" s="253"/>
      <c r="GT194" s="253"/>
      <c r="GU194" s="253"/>
      <c r="GV194" s="253"/>
      <c r="GW194" s="253"/>
      <c r="GX194" s="253"/>
      <c r="GY194" s="253"/>
      <c r="GZ194" s="253"/>
      <c r="HA194" s="253"/>
      <c r="HB194" s="253"/>
      <c r="HC194" s="253"/>
      <c r="HD194" s="253"/>
      <c r="HE194" s="253"/>
      <c r="HF194" s="253"/>
      <c r="HG194" s="253"/>
      <c r="HH194" s="253"/>
      <c r="HI194" s="253"/>
      <c r="HJ194" s="253"/>
      <c r="HK194" s="253"/>
      <c r="HL194" s="253"/>
      <c r="HM194" s="253"/>
      <c r="HN194" s="253"/>
      <c r="HO194" s="253"/>
      <c r="HP194" s="253"/>
      <c r="HQ194" s="253"/>
      <c r="HR194" s="253"/>
      <c r="HS194" s="253"/>
      <c r="HT194" s="253"/>
      <c r="HU194" s="253"/>
      <c r="HV194" s="253"/>
      <c r="HW194" s="253"/>
      <c r="HX194" s="253"/>
      <c r="HY194" s="253"/>
      <c r="HZ194" s="253"/>
      <c r="IA194" s="253"/>
      <c r="IB194" s="253"/>
      <c r="IC194" s="253"/>
      <c r="ID194" s="253"/>
      <c r="IE194" s="253"/>
      <c r="IF194" s="253"/>
      <c r="IG194" s="253"/>
      <c r="IH194" s="253"/>
      <c r="II194" s="253"/>
      <c r="IJ194" s="253"/>
      <c r="IK194" s="253"/>
      <c r="IL194" s="253"/>
      <c r="IM194" s="253"/>
      <c r="IN194" s="253"/>
      <c r="IO194" s="253"/>
      <c r="IP194" s="253"/>
      <c r="IQ194" s="253"/>
      <c r="IR194" s="253"/>
      <c r="IS194" s="253"/>
      <c r="IT194" s="253"/>
      <c r="IU194" s="253"/>
      <c r="IV194" s="253"/>
      <c r="IW194" s="253"/>
      <c r="IX194" s="253"/>
      <c r="IY194" s="253"/>
      <c r="IZ194" s="253"/>
      <c r="JA194" s="253"/>
      <c r="JB194" s="253"/>
      <c r="JC194" s="253"/>
      <c r="JD194" s="253"/>
      <c r="JE194" s="253"/>
      <c r="JF194" s="253"/>
      <c r="JG194" s="253"/>
      <c r="JH194" s="253"/>
      <c r="JI194" s="253"/>
      <c r="JJ194" s="253"/>
      <c r="JK194" s="253"/>
      <c r="JL194" s="253"/>
      <c r="JM194" s="253"/>
      <c r="JN194" s="253"/>
      <c r="JO194" s="253"/>
      <c r="JP194" s="253"/>
      <c r="JQ194" s="253"/>
      <c r="JR194" s="253"/>
      <c r="JS194" s="253"/>
      <c r="JT194" s="253"/>
      <c r="JU194" s="253"/>
      <c r="JV194" s="253"/>
      <c r="JW194" s="253"/>
      <c r="JX194" s="253"/>
      <c r="JY194" s="253"/>
      <c r="JZ194" s="253"/>
      <c r="KA194" s="253"/>
      <c r="KB194" s="253"/>
      <c r="KC194" s="253"/>
      <c r="KD194" s="253"/>
      <c r="KE194" s="253"/>
      <c r="KF194" s="253"/>
      <c r="KG194" s="253"/>
      <c r="KH194" s="253"/>
      <c r="KI194" s="253"/>
      <c r="KJ194" s="253"/>
      <c r="KK194" s="253"/>
      <c r="KL194" s="253"/>
      <c r="KM194" s="253"/>
      <c r="KN194" s="253"/>
      <c r="KO194" s="253"/>
      <c r="KP194" s="253"/>
      <c r="KQ194" s="253"/>
      <c r="KR194" s="253"/>
      <c r="KS194" s="253"/>
      <c r="KT194" s="253"/>
      <c r="KU194" s="253"/>
      <c r="KV194" s="253"/>
      <c r="KW194" s="253"/>
      <c r="KX194" s="253"/>
      <c r="KY194" s="253"/>
      <c r="KZ194" s="253"/>
      <c r="LA194" s="253"/>
      <c r="LB194" s="253"/>
      <c r="LC194" s="253"/>
      <c r="LD194" s="253"/>
      <c r="LE194" s="253"/>
      <c r="LF194" s="1296"/>
      <c r="LG194" s="253"/>
      <c r="LH194" s="253"/>
      <c r="LI194" s="253"/>
      <c r="LJ194" s="253"/>
      <c r="LK194" s="1296"/>
      <c r="LL194" s="253"/>
      <c r="LM194" s="253"/>
      <c r="LN194" s="253"/>
      <c r="LO194" s="253"/>
      <c r="LP194" s="1296"/>
      <c r="LQ194" s="253"/>
      <c r="LR194" s="253"/>
      <c r="LS194" s="253"/>
      <c r="LT194" s="253"/>
      <c r="LU194" s="1296"/>
      <c r="LV194" s="1296"/>
      <c r="LW194" s="1296"/>
      <c r="LX194" s="1296"/>
      <c r="LY194" s="1296"/>
      <c r="LZ194" s="1296"/>
      <c r="MA194" s="1296"/>
      <c r="MB194" s="1296"/>
      <c r="MC194" s="1296"/>
      <c r="MD194" s="1296"/>
      <c r="ME194" s="1296"/>
      <c r="MF194" s="1296"/>
      <c r="MG194" s="1296"/>
      <c r="MH194" s="1296"/>
      <c r="MI194" s="1296"/>
      <c r="MJ194" s="1296"/>
      <c r="MK194" s="1296"/>
      <c r="ML194" s="1296"/>
      <c r="MM194" s="1296"/>
      <c r="MN194" s="1296"/>
      <c r="MO194" s="1296"/>
      <c r="MP194" s="1296"/>
      <c r="MQ194" s="253"/>
      <c r="MR194" s="253"/>
      <c r="MS194" s="253"/>
      <c r="MT194" s="253"/>
      <c r="MU194" s="253"/>
      <c r="MV194" s="253"/>
      <c r="MW194" s="1184"/>
      <c r="MX194" s="253"/>
      <c r="MY194" s="253"/>
      <c r="MZ194" s="253"/>
      <c r="NA194" s="253"/>
      <c r="NB194" s="253"/>
      <c r="NC194" s="253"/>
      <c r="ND194" s="253"/>
      <c r="NE194" s="253"/>
      <c r="NF194" s="253"/>
      <c r="NG194" s="253"/>
      <c r="NH194" s="253"/>
      <c r="NI194" s="253"/>
      <c r="NJ194" s="253"/>
      <c r="NK194" s="253"/>
      <c r="NL194" s="253"/>
      <c r="NM194" s="1184"/>
      <c r="NN194" s="1184"/>
      <c r="NO194" s="253"/>
      <c r="NP194" s="253"/>
      <c r="NQ194" s="253"/>
      <c r="NR194" s="253"/>
      <c r="NS194" s="253"/>
      <c r="NT194" s="253"/>
      <c r="NU194" s="253"/>
      <c r="NV194" s="253"/>
      <c r="NW194" s="253"/>
      <c r="NX194" s="253"/>
      <c r="NY194" s="253"/>
      <c r="NZ194" s="253"/>
      <c r="OA194" s="253"/>
      <c r="OB194" s="253"/>
      <c r="OC194" s="253"/>
      <c r="OD194" s="253"/>
      <c r="OE194" s="253"/>
      <c r="OF194" s="253"/>
      <c r="OG194" s="253"/>
      <c r="OH194" s="253"/>
      <c r="OI194" s="253"/>
      <c r="OJ194" s="253"/>
      <c r="OK194" s="253"/>
      <c r="OL194" s="253"/>
      <c r="OM194" s="253"/>
      <c r="ON194" s="253"/>
      <c r="OO194" s="253"/>
      <c r="OP194" s="253"/>
      <c r="OQ194" s="253"/>
      <c r="OR194" s="253"/>
      <c r="OS194" s="253"/>
      <c r="OT194" s="253"/>
      <c r="OU194" s="253"/>
      <c r="OV194" s="43"/>
      <c r="OW194" s="43"/>
      <c r="OX194" s="43"/>
      <c r="OY194" s="1794"/>
      <c r="OZ194" s="1799">
        <v>190</v>
      </c>
      <c r="PA194" s="43"/>
      <c r="PB194" s="43"/>
      <c r="PC194" s="43"/>
      <c r="PD194" s="43"/>
      <c r="PE194" s="43"/>
      <c r="PF194" s="43"/>
      <c r="PG194" s="43"/>
      <c r="PH194" s="43"/>
      <c r="PI194" s="43"/>
      <c r="PJ194" s="43"/>
      <c r="PK194" s="43"/>
      <c r="PL194" s="43"/>
      <c r="PM194" s="43"/>
      <c r="PN194" s="43"/>
      <c r="PO194" s="43"/>
      <c r="PP194" s="43"/>
      <c r="PQ194" s="43"/>
      <c r="PR194" s="43"/>
      <c r="PS194" s="43"/>
      <c r="PT194" s="43"/>
      <c r="PU194" s="43"/>
      <c r="PV194" s="43"/>
      <c r="PW194" s="43"/>
      <c r="PX194" s="43"/>
      <c r="PY194" s="43"/>
      <c r="PZ194" s="43"/>
      <c r="QA194" s="43"/>
      <c r="QB194" s="43"/>
      <c r="QC194" s="43"/>
      <c r="QD194" s="43"/>
      <c r="QE194" s="43"/>
      <c r="QF194" s="43"/>
      <c r="QG194" s="43"/>
      <c r="QH194" s="43"/>
      <c r="QI194" s="43"/>
      <c r="QJ194" s="43"/>
      <c r="QK194" s="43"/>
      <c r="QL194" s="43"/>
      <c r="QM194" s="43"/>
      <c r="QN194" s="43"/>
      <c r="QO194" s="43"/>
      <c r="QP194" s="43"/>
      <c r="QQ194" s="43"/>
      <c r="QR194" s="43"/>
      <c r="QS194" s="43"/>
      <c r="QT194" s="43"/>
      <c r="QU194" s="43"/>
      <c r="QV194" s="43"/>
      <c r="QW194" s="43"/>
      <c r="QX194" s="43"/>
      <c r="QY194" s="43"/>
      <c r="QZ194" s="43"/>
      <c r="RA194" s="43"/>
      <c r="RB194" s="43"/>
      <c r="RC194" s="43"/>
      <c r="RD194" s="43"/>
      <c r="RE194" s="43"/>
      <c r="RF194" s="43"/>
      <c r="RG194" s="43"/>
      <c r="RH194" s="43"/>
      <c r="RI194" s="43"/>
      <c r="RJ194" s="43"/>
      <c r="RK194" s="43"/>
      <c r="RL194" s="43"/>
      <c r="RM194" s="43"/>
      <c r="RN194" s="43"/>
      <c r="RO194" s="43"/>
      <c r="RP194" s="43"/>
      <c r="RQ194" s="43"/>
      <c r="RR194" s="43"/>
      <c r="RS194" s="43"/>
      <c r="RT194" s="43"/>
      <c r="RU194" s="43"/>
      <c r="RV194" s="43"/>
      <c r="RW194" s="43"/>
      <c r="RX194" s="43"/>
      <c r="RY194" s="43"/>
      <c r="RZ194" s="43"/>
      <c r="SA194" s="43"/>
      <c r="SB194" s="43"/>
      <c r="SC194" s="43"/>
      <c r="SD194" s="43"/>
      <c r="SE194" s="43"/>
      <c r="SF194" s="43"/>
      <c r="SG194" s="43"/>
      <c r="SH194" s="43"/>
      <c r="SI194" s="43"/>
      <c r="SJ194" s="43"/>
      <c r="SK194" s="43"/>
      <c r="SL194" s="43"/>
      <c r="SM194" s="43"/>
      <c r="SN194" s="43"/>
      <c r="SO194" s="43"/>
      <c r="SP194" s="43"/>
      <c r="SQ194" s="43"/>
      <c r="SR194" s="43"/>
      <c r="SS194" s="43"/>
      <c r="ST194" s="43"/>
      <c r="SU194" s="43"/>
      <c r="SV194" s="43"/>
      <c r="SW194" s="43"/>
      <c r="SX194" s="43"/>
      <c r="SY194" s="43"/>
      <c r="SZ194" s="43"/>
      <c r="TA194" s="43"/>
      <c r="TB194" s="43"/>
      <c r="TC194" s="43"/>
      <c r="TD194" s="43"/>
      <c r="TE194" s="43"/>
      <c r="TF194" s="43"/>
      <c r="TG194" s="43"/>
      <c r="TH194" s="43"/>
    </row>
    <row r="195" spans="1:528" s="95" customFormat="1" ht="13.5" customHeight="1">
      <c r="A195" s="267"/>
      <c r="C195" s="6" t="s">
        <v>1276</v>
      </c>
      <c r="I195" s="43" t="s">
        <v>1277</v>
      </c>
      <c r="K195" s="3451">
        <v>0</v>
      </c>
      <c r="L195" s="3452"/>
      <c r="X195" s="1235"/>
      <c r="Y195" s="1235"/>
      <c r="Z195" s="1086">
        <v>68</v>
      </c>
      <c r="AA195" s="1235"/>
      <c r="AB195" s="1235"/>
      <c r="AC195" s="1235"/>
      <c r="AD195" s="1235"/>
      <c r="AE195" s="1235"/>
      <c r="AF195" s="1235"/>
      <c r="AG195" s="1235"/>
      <c r="AH195" s="1235"/>
      <c r="AI195" s="1235"/>
      <c r="AJ195" s="1235"/>
      <c r="AK195" s="1235"/>
      <c r="AL195" s="1235"/>
      <c r="AM195" s="1235"/>
      <c r="AN195" s="1235"/>
      <c r="AO195" s="1235"/>
      <c r="AP195" s="1235"/>
      <c r="AQ195" s="1235"/>
      <c r="AR195" s="1235"/>
      <c r="AS195" s="1235"/>
      <c r="AT195" s="1235"/>
      <c r="AU195" s="1235"/>
      <c r="AV195" s="1235"/>
      <c r="AW195" s="1235"/>
      <c r="AX195" s="1235"/>
      <c r="AY195" s="1235"/>
      <c r="AZ195" s="1235"/>
      <c r="BA195" s="1235"/>
      <c r="BB195" s="1235"/>
      <c r="BC195" s="1235"/>
      <c r="BD195" s="1235"/>
      <c r="BE195" s="1235"/>
      <c r="BF195" s="1235"/>
      <c r="BG195" s="1235"/>
      <c r="BH195" s="1235"/>
      <c r="BI195" s="1235"/>
      <c r="BJ195" s="1235"/>
      <c r="BK195" s="1235"/>
      <c r="BL195" s="1235"/>
      <c r="BM195" s="1235"/>
      <c r="BN195" s="1235"/>
      <c r="BO195" s="1235"/>
      <c r="BP195" s="1235"/>
      <c r="BQ195" s="1235"/>
      <c r="BR195" s="1235"/>
      <c r="BS195" s="1235"/>
      <c r="BT195" s="1235"/>
      <c r="BU195" s="1235"/>
      <c r="BV195" s="1235"/>
      <c r="BW195" s="1235"/>
      <c r="BX195" s="1235"/>
      <c r="BY195" s="1235"/>
      <c r="BZ195" s="1235"/>
      <c r="CA195" s="1235"/>
      <c r="CB195" s="1235"/>
      <c r="CC195" s="1235"/>
      <c r="CD195" s="1235"/>
      <c r="CE195" s="1235"/>
      <c r="CF195" s="1235"/>
      <c r="CG195" s="1235"/>
      <c r="CH195" s="1235"/>
      <c r="CI195" s="1235"/>
      <c r="CJ195" s="1235"/>
      <c r="CK195" s="1235"/>
      <c r="CL195" s="1235"/>
      <c r="CM195" s="1235"/>
      <c r="CN195" s="1235"/>
      <c r="CO195" s="1235"/>
      <c r="CP195" s="1235"/>
      <c r="CQ195" s="1235"/>
      <c r="CR195" s="1235"/>
      <c r="CS195" s="1235"/>
      <c r="CT195" s="1235"/>
      <c r="CU195" s="1235"/>
      <c r="CV195" s="1235"/>
      <c r="CW195" s="1235"/>
      <c r="CX195" s="1235"/>
      <c r="CY195" s="1235"/>
      <c r="CZ195" s="1235"/>
      <c r="DA195" s="1235"/>
      <c r="DB195" s="1235"/>
      <c r="DC195" s="1235"/>
      <c r="DD195" s="1235"/>
      <c r="DE195" s="1235"/>
      <c r="DF195" s="1235"/>
      <c r="DG195" s="1235"/>
      <c r="DH195" s="1235"/>
      <c r="DI195" s="1235"/>
      <c r="DJ195" s="1235"/>
      <c r="DK195" s="1235"/>
      <c r="DL195" s="1235"/>
      <c r="DM195" s="1235"/>
      <c r="DN195" s="1235"/>
      <c r="DO195" s="1235"/>
      <c r="DP195" s="1235"/>
      <c r="DQ195" s="1235"/>
      <c r="DR195" s="1235"/>
      <c r="DS195" s="1235"/>
      <c r="DT195" s="1235"/>
      <c r="DU195" s="1235"/>
      <c r="DV195" s="1235"/>
      <c r="DW195" s="1235"/>
      <c r="DX195" s="1235"/>
      <c r="DY195" s="1235"/>
      <c r="DZ195" s="1235"/>
      <c r="EA195" s="1235"/>
      <c r="EB195" s="1235"/>
      <c r="EC195" s="1235"/>
      <c r="ED195" s="1235"/>
      <c r="EE195" s="1235"/>
      <c r="EF195" s="1235"/>
      <c r="EG195" s="1235"/>
      <c r="EH195" s="1235"/>
      <c r="EI195" s="1235"/>
      <c r="EJ195" s="1235"/>
      <c r="EK195" s="1235"/>
      <c r="EL195" s="1235"/>
      <c r="EM195" s="1235"/>
      <c r="EN195" s="1235"/>
      <c r="EO195" s="1235"/>
      <c r="EP195" s="1235"/>
      <c r="EQ195" s="1235"/>
      <c r="ER195" s="1235"/>
      <c r="ES195" s="1235"/>
      <c r="ET195" s="1235"/>
      <c r="EU195" s="1235"/>
      <c r="EV195" s="1235"/>
      <c r="EW195" s="1235"/>
      <c r="EX195" s="1235"/>
      <c r="EY195" s="1235"/>
      <c r="EZ195" s="1235"/>
      <c r="FA195" s="1235"/>
      <c r="FB195" s="1235"/>
      <c r="FC195" s="1235"/>
      <c r="FD195" s="1235"/>
      <c r="FE195" s="1235"/>
      <c r="FF195" s="1235"/>
      <c r="FG195" s="1235"/>
      <c r="FH195" s="1235"/>
      <c r="FI195" s="1235"/>
      <c r="FJ195" s="1235"/>
      <c r="FK195" s="1235"/>
      <c r="FL195" s="1235"/>
      <c r="FM195" s="1235"/>
      <c r="FN195" s="1235"/>
      <c r="FO195" s="1235"/>
      <c r="FP195" s="1235"/>
      <c r="FQ195" s="1235"/>
      <c r="FR195" s="1235"/>
      <c r="FS195" s="1235"/>
      <c r="FT195" s="1235"/>
      <c r="FU195" s="1235"/>
      <c r="FV195" s="1235"/>
      <c r="FW195" s="1235"/>
      <c r="FX195" s="1235"/>
      <c r="FY195" s="1235"/>
      <c r="FZ195" s="1235"/>
      <c r="GA195" s="1235"/>
      <c r="GB195" s="1235"/>
      <c r="GC195" s="1235"/>
      <c r="GD195" s="1235"/>
      <c r="GE195" s="1235"/>
      <c r="GF195" s="1235"/>
      <c r="GG195" s="1235"/>
      <c r="GH195" s="1235"/>
      <c r="GI195" s="1235"/>
      <c r="GJ195" s="1235"/>
      <c r="GK195" s="1235"/>
      <c r="GL195" s="1235"/>
      <c r="GM195" s="1235"/>
      <c r="GN195" s="1235"/>
      <c r="GO195" s="1235"/>
      <c r="GP195" s="1235"/>
      <c r="GQ195" s="1235"/>
      <c r="GR195" s="1235"/>
      <c r="GS195" s="1235"/>
      <c r="GT195" s="1235"/>
      <c r="GU195" s="1235"/>
      <c r="GV195" s="1235"/>
      <c r="GW195" s="1235"/>
      <c r="GX195" s="1235"/>
      <c r="GY195" s="1235"/>
      <c r="GZ195" s="1235"/>
      <c r="HA195" s="1235"/>
      <c r="HB195" s="1235"/>
      <c r="HC195" s="1235"/>
      <c r="HD195" s="1235"/>
      <c r="HE195" s="1235"/>
      <c r="HF195" s="1235"/>
      <c r="HG195" s="1235"/>
      <c r="HH195" s="1235"/>
      <c r="HI195" s="1235"/>
      <c r="HJ195" s="1235"/>
      <c r="HK195" s="1235"/>
      <c r="HL195" s="1235"/>
      <c r="HM195" s="1235"/>
      <c r="HN195" s="1235"/>
      <c r="HO195" s="1235"/>
      <c r="HP195" s="1235"/>
      <c r="HQ195" s="1235"/>
      <c r="HR195" s="1235"/>
      <c r="HS195" s="1235"/>
      <c r="HT195" s="1235"/>
      <c r="HU195" s="1235"/>
      <c r="HV195" s="1235"/>
      <c r="HW195" s="1235"/>
      <c r="HX195" s="1235"/>
      <c r="HY195" s="1235"/>
      <c r="HZ195" s="1235"/>
      <c r="IA195" s="1235"/>
      <c r="IB195" s="1235"/>
      <c r="IC195" s="1235"/>
      <c r="ID195" s="1235"/>
      <c r="IE195" s="1235"/>
      <c r="IF195" s="1235"/>
      <c r="IG195" s="1235"/>
      <c r="IH195" s="1235"/>
      <c r="II195" s="1235"/>
      <c r="IJ195" s="1235"/>
      <c r="IK195" s="1235"/>
      <c r="IL195" s="1235"/>
      <c r="IM195" s="1235"/>
      <c r="IN195" s="1235"/>
      <c r="IO195" s="1235"/>
      <c r="IP195" s="1235"/>
      <c r="IQ195" s="1235"/>
      <c r="IR195" s="1235"/>
      <c r="IS195" s="1235"/>
      <c r="IT195" s="1235"/>
      <c r="IU195" s="1235"/>
      <c r="IV195" s="1235"/>
      <c r="IW195" s="1235"/>
      <c r="IX195" s="1235"/>
      <c r="IY195" s="1235"/>
      <c r="IZ195" s="1235"/>
      <c r="JA195" s="1235"/>
      <c r="JB195" s="1235"/>
      <c r="JC195" s="1235"/>
      <c r="JD195" s="1235"/>
      <c r="JE195" s="1235"/>
      <c r="JF195" s="1235"/>
      <c r="JG195" s="1235"/>
      <c r="JH195" s="1235"/>
      <c r="JI195" s="1235"/>
      <c r="JJ195" s="1235"/>
      <c r="JK195" s="1235"/>
      <c r="JL195" s="1235"/>
      <c r="JM195" s="1235"/>
      <c r="JN195" s="1235"/>
      <c r="JO195" s="1235"/>
      <c r="JP195" s="1235"/>
      <c r="JQ195" s="1235"/>
      <c r="JR195" s="1235"/>
      <c r="JS195" s="1235"/>
      <c r="JT195" s="1235"/>
      <c r="JU195" s="1235"/>
      <c r="JV195" s="1235"/>
      <c r="JW195" s="1235"/>
      <c r="JX195" s="1235"/>
      <c r="JY195" s="1235"/>
      <c r="JZ195" s="1235"/>
      <c r="KA195" s="1235"/>
      <c r="KB195" s="1235"/>
      <c r="KC195" s="1235"/>
      <c r="KD195" s="1235"/>
      <c r="KE195" s="1235"/>
      <c r="KF195" s="1235"/>
      <c r="KG195" s="1235"/>
      <c r="KH195" s="1235"/>
      <c r="KI195" s="1235"/>
      <c r="KJ195" s="1235"/>
      <c r="KK195" s="1235"/>
      <c r="KL195" s="1235"/>
      <c r="KM195" s="1235"/>
      <c r="KN195" s="1235"/>
      <c r="KO195" s="1235"/>
      <c r="KP195" s="1235"/>
      <c r="KQ195" s="1235"/>
      <c r="KR195" s="1235"/>
      <c r="KS195" s="1235"/>
      <c r="KT195" s="1235"/>
      <c r="KU195" s="1235"/>
      <c r="KV195" s="1235"/>
      <c r="KW195" s="1235"/>
      <c r="KX195" s="1235"/>
      <c r="KY195" s="1235"/>
      <c r="KZ195" s="1235"/>
      <c r="LA195" s="1235"/>
      <c r="LB195" s="1235"/>
      <c r="LC195" s="1235"/>
      <c r="LD195" s="1235"/>
      <c r="LE195" s="1235"/>
      <c r="LF195" s="1235"/>
      <c r="LG195" s="1235"/>
      <c r="LH195" s="1235"/>
      <c r="LI195" s="1235"/>
      <c r="LJ195" s="1235"/>
      <c r="LK195" s="1235"/>
      <c r="LL195" s="1235"/>
      <c r="LM195" s="1235"/>
      <c r="LN195" s="1235"/>
      <c r="LO195" s="1235"/>
      <c r="LP195" s="1235"/>
      <c r="LQ195" s="1235"/>
      <c r="LR195" s="1235"/>
      <c r="LS195" s="1235"/>
      <c r="LT195" s="1235"/>
      <c r="LU195" s="1235"/>
      <c r="LV195" s="1235"/>
      <c r="LW195" s="1235"/>
      <c r="LX195" s="1235"/>
      <c r="LY195" s="1235"/>
      <c r="LZ195" s="1235"/>
      <c r="MA195" s="1235"/>
      <c r="MB195" s="1235"/>
      <c r="MC195" s="1235"/>
      <c r="MD195" s="1235"/>
      <c r="ME195" s="1235"/>
      <c r="MF195" s="1235"/>
      <c r="MG195" s="1235"/>
      <c r="MH195" s="1235"/>
      <c r="MI195" s="1235"/>
      <c r="MJ195" s="1235"/>
      <c r="MK195" s="1235"/>
      <c r="ML195" s="1235"/>
      <c r="MM195" s="1235"/>
      <c r="MN195" s="1235"/>
      <c r="MO195" s="1235"/>
      <c r="MP195" s="1235"/>
      <c r="MQ195" s="1235"/>
      <c r="MR195" s="1235"/>
      <c r="MS195" s="1235"/>
      <c r="MT195" s="1235"/>
      <c r="MU195" s="1235"/>
      <c r="MV195" s="1235"/>
      <c r="MW195" s="1235"/>
      <c r="MX195" s="1235"/>
      <c r="MY195" s="1235"/>
      <c r="MZ195" s="1235"/>
      <c r="NA195" s="1235"/>
      <c r="NB195" s="1235"/>
      <c r="NC195" s="1235"/>
      <c r="ND195" s="1235"/>
      <c r="NE195" s="1235"/>
      <c r="NF195" s="1235"/>
      <c r="NG195" s="1235"/>
      <c r="NH195" s="1235"/>
      <c r="NI195" s="1235"/>
      <c r="NJ195" s="1235"/>
      <c r="NK195" s="1235"/>
      <c r="NL195" s="1235"/>
      <c r="NM195" s="1235"/>
      <c r="NN195" s="1235"/>
      <c r="NO195" s="1235"/>
      <c r="NP195" s="1235"/>
      <c r="NQ195" s="1235"/>
      <c r="NR195" s="1235"/>
      <c r="NS195" s="1235"/>
      <c r="NT195" s="1235"/>
      <c r="NU195" s="1235"/>
      <c r="NV195" s="1235"/>
      <c r="NW195" s="1235"/>
      <c r="NX195" s="1235"/>
      <c r="NY195" s="1235"/>
      <c r="NZ195" s="1235"/>
      <c r="OA195" s="1235"/>
      <c r="OB195" s="1235"/>
      <c r="OC195" s="1235"/>
      <c r="OD195" s="1235"/>
      <c r="OE195" s="1235"/>
      <c r="OF195" s="1235"/>
      <c r="OG195" s="1235"/>
      <c r="OH195" s="1235"/>
      <c r="OI195" s="1235"/>
      <c r="OJ195" s="1235"/>
      <c r="OK195" s="1235"/>
      <c r="OL195" s="1235"/>
      <c r="OM195" s="1235"/>
      <c r="ON195" s="1235"/>
      <c r="OO195" s="1235"/>
      <c r="OP195" s="1235"/>
      <c r="OQ195" s="1235"/>
      <c r="OR195" s="1235"/>
      <c r="OS195" s="1235"/>
      <c r="OT195" s="1235"/>
      <c r="OU195" s="1235"/>
      <c r="OY195" s="1802"/>
      <c r="OZ195" s="1799">
        <v>191</v>
      </c>
    </row>
    <row r="196" spans="1:528" s="95" customFormat="1" ht="13.5" customHeight="1">
      <c r="A196" s="267"/>
      <c r="C196" s="6"/>
      <c r="I196" s="43" t="s">
        <v>1278</v>
      </c>
      <c r="K196" s="3817">
        <v>3000</v>
      </c>
      <c r="L196" s="3818"/>
      <c r="X196" s="1235"/>
      <c r="Y196" s="1235"/>
      <c r="Z196" s="1086"/>
      <c r="AA196" s="1235"/>
      <c r="AB196" s="1235"/>
      <c r="AC196" s="1235"/>
      <c r="AD196" s="1235"/>
      <c r="AE196" s="1235"/>
      <c r="AF196" s="1235"/>
      <c r="AG196" s="1235"/>
      <c r="AH196" s="1235"/>
      <c r="AI196" s="1235"/>
      <c r="AJ196" s="1235"/>
      <c r="AK196" s="1235"/>
      <c r="AL196" s="1235"/>
      <c r="AM196" s="1235"/>
      <c r="AN196" s="1235"/>
      <c r="AO196" s="1235"/>
      <c r="AP196" s="1235"/>
      <c r="AQ196" s="1235"/>
      <c r="AR196" s="1235"/>
      <c r="AS196" s="1235"/>
      <c r="AT196" s="1235"/>
      <c r="AU196" s="1235"/>
      <c r="AV196" s="1235"/>
      <c r="AW196" s="1235"/>
      <c r="AX196" s="1235"/>
      <c r="AY196" s="1235"/>
      <c r="AZ196" s="1235"/>
      <c r="BA196" s="1235"/>
      <c r="BB196" s="1235"/>
      <c r="BC196" s="1235"/>
      <c r="BD196" s="1235"/>
      <c r="BE196" s="1235"/>
      <c r="BF196" s="1235"/>
      <c r="BG196" s="1235"/>
      <c r="BH196" s="1235"/>
      <c r="BI196" s="1235"/>
      <c r="BJ196" s="1235"/>
      <c r="BK196" s="1235"/>
      <c r="BL196" s="1235"/>
      <c r="BM196" s="1235"/>
      <c r="BN196" s="1235"/>
      <c r="BO196" s="1235"/>
      <c r="BP196" s="1235"/>
      <c r="BQ196" s="1235"/>
      <c r="BR196" s="1235"/>
      <c r="BS196" s="1235"/>
      <c r="BT196" s="1235"/>
      <c r="BU196" s="1235"/>
      <c r="BV196" s="1235"/>
      <c r="BW196" s="1235"/>
      <c r="BX196" s="1235"/>
      <c r="BY196" s="1235"/>
      <c r="BZ196" s="1235"/>
      <c r="CA196" s="1235"/>
      <c r="CB196" s="1235"/>
      <c r="CC196" s="1235"/>
      <c r="CD196" s="1235"/>
      <c r="CE196" s="1235"/>
      <c r="CF196" s="1235"/>
      <c r="CG196" s="1235"/>
      <c r="CH196" s="1235"/>
      <c r="CI196" s="1235"/>
      <c r="CJ196" s="1235"/>
      <c r="CK196" s="1235"/>
      <c r="CL196" s="1235"/>
      <c r="CM196" s="1235"/>
      <c r="CN196" s="1235"/>
      <c r="CO196" s="1235"/>
      <c r="CP196" s="1235"/>
      <c r="CQ196" s="1235"/>
      <c r="CR196" s="1235"/>
      <c r="CS196" s="1235"/>
      <c r="CT196" s="1235"/>
      <c r="CU196" s="1235"/>
      <c r="CV196" s="1235"/>
      <c r="CW196" s="1235"/>
      <c r="CX196" s="1235"/>
      <c r="CY196" s="1235"/>
      <c r="CZ196" s="1235"/>
      <c r="DA196" s="1235"/>
      <c r="DB196" s="1235"/>
      <c r="DC196" s="1235"/>
      <c r="DD196" s="1235"/>
      <c r="DE196" s="1235"/>
      <c r="DF196" s="1235"/>
      <c r="DG196" s="1235"/>
      <c r="DH196" s="1235"/>
      <c r="DI196" s="1235"/>
      <c r="DJ196" s="1235"/>
      <c r="DK196" s="1235"/>
      <c r="DL196" s="1235"/>
      <c r="DM196" s="1235"/>
      <c r="DN196" s="1235"/>
      <c r="DO196" s="1235"/>
      <c r="DP196" s="1235"/>
      <c r="DQ196" s="1235"/>
      <c r="DR196" s="1235"/>
      <c r="DS196" s="1235"/>
      <c r="DT196" s="1235"/>
      <c r="DU196" s="1235"/>
      <c r="DV196" s="1235"/>
      <c r="DW196" s="1235"/>
      <c r="DX196" s="1235"/>
      <c r="DY196" s="1235"/>
      <c r="DZ196" s="1235"/>
      <c r="EA196" s="1235"/>
      <c r="EB196" s="1235"/>
      <c r="EC196" s="1235"/>
      <c r="ED196" s="1235"/>
      <c r="EE196" s="1235"/>
      <c r="EF196" s="1235"/>
      <c r="EG196" s="1235"/>
      <c r="EH196" s="1235"/>
      <c r="EI196" s="1235"/>
      <c r="EJ196" s="1235"/>
      <c r="EK196" s="1235"/>
      <c r="EL196" s="1235"/>
      <c r="EM196" s="1235"/>
      <c r="EN196" s="1235"/>
      <c r="EO196" s="1235"/>
      <c r="EP196" s="1235"/>
      <c r="EQ196" s="1235"/>
      <c r="ER196" s="1235"/>
      <c r="ES196" s="1235"/>
      <c r="ET196" s="1235"/>
      <c r="EU196" s="1235"/>
      <c r="EV196" s="1235"/>
      <c r="EW196" s="1235"/>
      <c r="EX196" s="1235"/>
      <c r="EY196" s="1235"/>
      <c r="EZ196" s="1235"/>
      <c r="FA196" s="1235"/>
      <c r="FB196" s="1235"/>
      <c r="FC196" s="1235"/>
      <c r="FD196" s="1235"/>
      <c r="FE196" s="1235"/>
      <c r="FF196" s="1235"/>
      <c r="FG196" s="1235"/>
      <c r="FH196" s="1235"/>
      <c r="FI196" s="1235"/>
      <c r="FJ196" s="1235"/>
      <c r="FK196" s="1235"/>
      <c r="FL196" s="1235"/>
      <c r="FM196" s="1235"/>
      <c r="FN196" s="1235"/>
      <c r="FO196" s="1235"/>
      <c r="FP196" s="1235"/>
      <c r="FQ196" s="1235"/>
      <c r="FR196" s="1235"/>
      <c r="FS196" s="1235"/>
      <c r="FT196" s="1235"/>
      <c r="FU196" s="1235"/>
      <c r="FV196" s="1235"/>
      <c r="FW196" s="1235"/>
      <c r="FX196" s="1235"/>
      <c r="FY196" s="1235"/>
      <c r="FZ196" s="1235"/>
      <c r="GA196" s="1235"/>
      <c r="GB196" s="1235"/>
      <c r="GC196" s="1235"/>
      <c r="GD196" s="1235"/>
      <c r="GE196" s="1235"/>
      <c r="GF196" s="1235"/>
      <c r="GG196" s="1235"/>
      <c r="GH196" s="1235"/>
      <c r="GI196" s="1235"/>
      <c r="GJ196" s="1235"/>
      <c r="GK196" s="1235"/>
      <c r="GL196" s="1235"/>
      <c r="GM196" s="1235"/>
      <c r="GN196" s="1235"/>
      <c r="GO196" s="1235"/>
      <c r="GP196" s="1235"/>
      <c r="GQ196" s="1235"/>
      <c r="GR196" s="1235"/>
      <c r="GS196" s="1235"/>
      <c r="GT196" s="1235"/>
      <c r="GU196" s="1235"/>
      <c r="GV196" s="1235"/>
      <c r="GW196" s="1235"/>
      <c r="GX196" s="1235"/>
      <c r="GY196" s="1235"/>
      <c r="GZ196" s="1235"/>
      <c r="HA196" s="1235"/>
      <c r="HB196" s="1235"/>
      <c r="HC196" s="1235"/>
      <c r="HD196" s="1235"/>
      <c r="HE196" s="1235"/>
      <c r="HF196" s="1235"/>
      <c r="HG196" s="1235"/>
      <c r="HH196" s="1235"/>
      <c r="HI196" s="1235"/>
      <c r="HJ196" s="1235"/>
      <c r="HK196" s="1235"/>
      <c r="HL196" s="1235"/>
      <c r="HM196" s="1235"/>
      <c r="HN196" s="1235"/>
      <c r="HO196" s="1235"/>
      <c r="HP196" s="1235"/>
      <c r="HQ196" s="1235"/>
      <c r="HR196" s="1235"/>
      <c r="HS196" s="1235"/>
      <c r="HT196" s="1235"/>
      <c r="HU196" s="1235"/>
      <c r="HV196" s="1235"/>
      <c r="HW196" s="1235"/>
      <c r="HX196" s="1235"/>
      <c r="HY196" s="1235"/>
      <c r="HZ196" s="1235"/>
      <c r="IA196" s="1235"/>
      <c r="IB196" s="1235"/>
      <c r="IC196" s="1235"/>
      <c r="ID196" s="1235"/>
      <c r="IE196" s="1235"/>
      <c r="IF196" s="1235"/>
      <c r="IG196" s="1235"/>
      <c r="IH196" s="1235"/>
      <c r="II196" s="1235"/>
      <c r="IJ196" s="1235"/>
      <c r="IK196" s="1235"/>
      <c r="IL196" s="1235"/>
      <c r="IM196" s="1235"/>
      <c r="IN196" s="1235"/>
      <c r="IO196" s="1235"/>
      <c r="IP196" s="1235"/>
      <c r="IQ196" s="1235"/>
      <c r="IR196" s="1235"/>
      <c r="IS196" s="1235"/>
      <c r="IT196" s="1235"/>
      <c r="IU196" s="1235"/>
      <c r="IV196" s="1235"/>
      <c r="IW196" s="1235"/>
      <c r="IX196" s="1235"/>
      <c r="IY196" s="1235"/>
      <c r="IZ196" s="1235"/>
      <c r="JA196" s="1235"/>
      <c r="JB196" s="1235"/>
      <c r="JC196" s="1235"/>
      <c r="JD196" s="1235"/>
      <c r="JE196" s="1235"/>
      <c r="JF196" s="1235"/>
      <c r="JG196" s="1235"/>
      <c r="JH196" s="1235"/>
      <c r="JI196" s="1235"/>
      <c r="JJ196" s="1235"/>
      <c r="JK196" s="1235"/>
      <c r="JL196" s="1235"/>
      <c r="JM196" s="1235"/>
      <c r="JN196" s="1235"/>
      <c r="JO196" s="1235"/>
      <c r="JP196" s="1235"/>
      <c r="JQ196" s="1235"/>
      <c r="JR196" s="1235"/>
      <c r="JS196" s="1235"/>
      <c r="JT196" s="1235"/>
      <c r="JU196" s="1235"/>
      <c r="JV196" s="1235"/>
      <c r="JW196" s="1235"/>
      <c r="JX196" s="1235"/>
      <c r="JY196" s="1235"/>
      <c r="JZ196" s="1235"/>
      <c r="KA196" s="1235"/>
      <c r="KB196" s="1235"/>
      <c r="KC196" s="1235"/>
      <c r="KD196" s="1235"/>
      <c r="KE196" s="1235"/>
      <c r="KF196" s="1235"/>
      <c r="KG196" s="1235"/>
      <c r="KH196" s="1235"/>
      <c r="KI196" s="1235"/>
      <c r="KJ196" s="1235"/>
      <c r="KK196" s="1235"/>
      <c r="KL196" s="1235"/>
      <c r="KM196" s="1235"/>
      <c r="KN196" s="1235"/>
      <c r="KO196" s="1235"/>
      <c r="KP196" s="1235"/>
      <c r="KQ196" s="1235"/>
      <c r="KR196" s="1235"/>
      <c r="KS196" s="1235"/>
      <c r="KT196" s="1235"/>
      <c r="KU196" s="1235"/>
      <c r="KV196" s="1235"/>
      <c r="KW196" s="1235"/>
      <c r="KX196" s="1235"/>
      <c r="KY196" s="1235"/>
      <c r="KZ196" s="1235"/>
      <c r="LA196" s="1235"/>
      <c r="LB196" s="1235"/>
      <c r="LC196" s="1235"/>
      <c r="LD196" s="1235"/>
      <c r="LE196" s="1235"/>
      <c r="LF196" s="1235"/>
      <c r="LG196" s="1235"/>
      <c r="LH196" s="1235"/>
      <c r="LI196" s="1235"/>
      <c r="LJ196" s="1235"/>
      <c r="LK196" s="1235"/>
      <c r="LL196" s="1235"/>
      <c r="LM196" s="1235"/>
      <c r="LN196" s="1235"/>
      <c r="LO196" s="1235"/>
      <c r="LP196" s="1235"/>
      <c r="LQ196" s="1235"/>
      <c r="LR196" s="1235"/>
      <c r="LS196" s="1235"/>
      <c r="LT196" s="1235"/>
      <c r="LU196" s="1235"/>
      <c r="LV196" s="1235"/>
      <c r="LW196" s="1235"/>
      <c r="LX196" s="1235"/>
      <c r="LY196" s="1235"/>
      <c r="LZ196" s="1235"/>
      <c r="MA196" s="1235"/>
      <c r="MB196" s="1235"/>
      <c r="MC196" s="1235"/>
      <c r="MD196" s="1235"/>
      <c r="ME196" s="1235"/>
      <c r="MF196" s="1235"/>
      <c r="MG196" s="1235"/>
      <c r="MH196" s="1235"/>
      <c r="MI196" s="1235"/>
      <c r="MJ196" s="1235"/>
      <c r="MK196" s="1235"/>
      <c r="ML196" s="1235"/>
      <c r="MM196" s="1235"/>
      <c r="MN196" s="1235"/>
      <c r="MO196" s="1235"/>
      <c r="MP196" s="1235"/>
      <c r="MQ196" s="1235"/>
      <c r="MR196" s="1235"/>
      <c r="MS196" s="1235"/>
      <c r="MT196" s="1235"/>
      <c r="MU196" s="1235"/>
      <c r="MV196" s="1235"/>
      <c r="MW196" s="1235"/>
      <c r="MX196" s="1235"/>
      <c r="MY196" s="1235"/>
      <c r="MZ196" s="1235"/>
      <c r="NA196" s="1235"/>
      <c r="NB196" s="1235"/>
      <c r="NC196" s="1235"/>
      <c r="ND196" s="1235"/>
      <c r="NE196" s="1235"/>
      <c r="NF196" s="1235"/>
      <c r="NG196" s="1235"/>
      <c r="NH196" s="1235"/>
      <c r="NI196" s="1235"/>
      <c r="NJ196" s="1235"/>
      <c r="NK196" s="1235"/>
      <c r="NL196" s="1235"/>
      <c r="NM196" s="1235"/>
      <c r="NN196" s="1235"/>
      <c r="NO196" s="1235"/>
      <c r="NP196" s="1235"/>
      <c r="NQ196" s="1235"/>
      <c r="NR196" s="1235"/>
      <c r="NS196" s="1235"/>
      <c r="NT196" s="1235"/>
      <c r="NU196" s="1235"/>
      <c r="NV196" s="1235"/>
      <c r="NW196" s="1235"/>
      <c r="NX196" s="1235"/>
      <c r="NY196" s="1235"/>
      <c r="NZ196" s="1235"/>
      <c r="OA196" s="1235"/>
      <c r="OB196" s="1235"/>
      <c r="OC196" s="1235"/>
      <c r="OD196" s="1235"/>
      <c r="OE196" s="1235"/>
      <c r="OF196" s="1235"/>
      <c r="OG196" s="1235"/>
      <c r="OH196" s="1235"/>
      <c r="OI196" s="1235"/>
      <c r="OJ196" s="1235"/>
      <c r="OK196" s="1235"/>
      <c r="OL196" s="1235"/>
      <c r="OM196" s="1235"/>
      <c r="ON196" s="1235"/>
      <c r="OO196" s="1235"/>
      <c r="OP196" s="1235"/>
      <c r="OQ196" s="1235"/>
      <c r="OR196" s="1235"/>
      <c r="OS196" s="1235"/>
      <c r="OT196" s="1235"/>
      <c r="OU196" s="1235"/>
      <c r="OY196" s="1802"/>
      <c r="OZ196" s="1801">
        <v>192</v>
      </c>
    </row>
    <row r="197" spans="1:528" s="95" customFormat="1" ht="13.35" customHeight="1">
      <c r="A197" s="267"/>
      <c r="C197" s="6" t="s">
        <v>1279</v>
      </c>
      <c r="K197" s="3815">
        <f>P190+K195+K196</f>
        <v>99504</v>
      </c>
      <c r="L197" s="3816"/>
      <c r="X197" s="1235"/>
      <c r="Y197" s="1235"/>
      <c r="Z197" s="1086">
        <v>69</v>
      </c>
      <c r="AA197" s="1235"/>
      <c r="AB197" s="1235"/>
      <c r="AC197" s="1235"/>
      <c r="AD197" s="1235"/>
      <c r="AE197" s="1235"/>
      <c r="AF197" s="1235"/>
      <c r="AG197" s="1235"/>
      <c r="AH197" s="1235"/>
      <c r="AI197" s="1235"/>
      <c r="AJ197" s="1235"/>
      <c r="AK197" s="1235"/>
      <c r="AL197" s="1235"/>
      <c r="AM197" s="1235"/>
      <c r="AN197" s="1235"/>
      <c r="AO197" s="1235"/>
      <c r="AP197" s="1235"/>
      <c r="AQ197" s="1235"/>
      <c r="AR197" s="1235"/>
      <c r="AS197" s="1235"/>
      <c r="AT197" s="1235"/>
      <c r="AU197" s="1235"/>
      <c r="AV197" s="1235"/>
      <c r="AW197" s="1235"/>
      <c r="AX197" s="1235"/>
      <c r="AY197" s="1235"/>
      <c r="AZ197" s="1235"/>
      <c r="BA197" s="1235"/>
      <c r="BB197" s="1235"/>
      <c r="BC197" s="1235"/>
      <c r="BD197" s="1235"/>
      <c r="BE197" s="1235"/>
      <c r="BF197" s="1235"/>
      <c r="BG197" s="1235"/>
      <c r="BH197" s="1235"/>
      <c r="BI197" s="1235"/>
      <c r="BJ197" s="1235"/>
      <c r="BK197" s="1235"/>
      <c r="BL197" s="1235"/>
      <c r="BM197" s="1235"/>
      <c r="BN197" s="1235"/>
      <c r="BO197" s="1235"/>
      <c r="BP197" s="1235"/>
      <c r="BQ197" s="1235"/>
      <c r="BR197" s="1235"/>
      <c r="BS197" s="1235"/>
      <c r="BT197" s="1235"/>
      <c r="BU197" s="1235"/>
      <c r="BV197" s="1235"/>
      <c r="BW197" s="1235"/>
      <c r="BX197" s="1235"/>
      <c r="BY197" s="1235"/>
      <c r="BZ197" s="1235"/>
      <c r="CA197" s="1235"/>
      <c r="CB197" s="1235"/>
      <c r="CC197" s="1235"/>
      <c r="CD197" s="1235"/>
      <c r="CE197" s="1235"/>
      <c r="CF197" s="1235"/>
      <c r="CG197" s="1235"/>
      <c r="CH197" s="1235"/>
      <c r="CI197" s="1235"/>
      <c r="CJ197" s="1235"/>
      <c r="CK197" s="1235"/>
      <c r="CL197" s="1235"/>
      <c r="CM197" s="1235"/>
      <c r="CN197" s="1235"/>
      <c r="CO197" s="1235"/>
      <c r="CP197" s="1235"/>
      <c r="CQ197" s="1235"/>
      <c r="CR197" s="1235"/>
      <c r="CS197" s="1235"/>
      <c r="CT197" s="1235"/>
      <c r="CU197" s="1235"/>
      <c r="CV197" s="1235"/>
      <c r="CW197" s="1235"/>
      <c r="CX197" s="1235"/>
      <c r="CY197" s="1235"/>
      <c r="CZ197" s="1235"/>
      <c r="DA197" s="1235"/>
      <c r="DB197" s="1235"/>
      <c r="DC197" s="1235"/>
      <c r="DD197" s="1235"/>
      <c r="DE197" s="1235"/>
      <c r="DF197" s="1235"/>
      <c r="DG197" s="1235"/>
      <c r="DH197" s="1235"/>
      <c r="DI197" s="1235"/>
      <c r="DJ197" s="1235"/>
      <c r="DK197" s="1235"/>
      <c r="DL197" s="1235"/>
      <c r="DM197" s="1235"/>
      <c r="DN197" s="1235"/>
      <c r="DO197" s="1235"/>
      <c r="DP197" s="1235"/>
      <c r="DQ197" s="1235"/>
      <c r="DR197" s="1235"/>
      <c r="DS197" s="1235"/>
      <c r="DT197" s="1235"/>
      <c r="DU197" s="1235"/>
      <c r="DV197" s="1235"/>
      <c r="DW197" s="1235"/>
      <c r="DX197" s="1235"/>
      <c r="DY197" s="1235"/>
      <c r="DZ197" s="1235"/>
      <c r="EA197" s="1235"/>
      <c r="EB197" s="1235"/>
      <c r="EC197" s="1235"/>
      <c r="ED197" s="1235"/>
      <c r="EE197" s="1235"/>
      <c r="EF197" s="1235"/>
      <c r="EG197" s="1235"/>
      <c r="EH197" s="1235"/>
      <c r="EI197" s="1235"/>
      <c r="EJ197" s="1235"/>
      <c r="EK197" s="1235"/>
      <c r="EL197" s="1235"/>
      <c r="EM197" s="1235"/>
      <c r="EN197" s="1235"/>
      <c r="EO197" s="1235"/>
      <c r="EP197" s="1235"/>
      <c r="EQ197" s="1235"/>
      <c r="ER197" s="1235"/>
      <c r="ES197" s="1235"/>
      <c r="ET197" s="1235"/>
      <c r="EU197" s="1235"/>
      <c r="EV197" s="1235"/>
      <c r="EW197" s="1235"/>
      <c r="EX197" s="1235"/>
      <c r="EY197" s="1235"/>
      <c r="EZ197" s="1235"/>
      <c r="FA197" s="1235"/>
      <c r="FB197" s="1235"/>
      <c r="FC197" s="1235"/>
      <c r="FD197" s="1235"/>
      <c r="FE197" s="1235"/>
      <c r="FF197" s="1235"/>
      <c r="FG197" s="1235"/>
      <c r="FH197" s="1235"/>
      <c r="FI197" s="1235"/>
      <c r="FJ197" s="1235"/>
      <c r="FK197" s="1235"/>
      <c r="FL197" s="1235"/>
      <c r="FM197" s="1235"/>
      <c r="FN197" s="1235"/>
      <c r="FO197" s="1235"/>
      <c r="FP197" s="1235"/>
      <c r="FQ197" s="1235"/>
      <c r="FR197" s="1235"/>
      <c r="FS197" s="1235"/>
      <c r="FT197" s="1235"/>
      <c r="FU197" s="1235"/>
      <c r="FV197" s="1235"/>
      <c r="FW197" s="1235"/>
      <c r="FX197" s="1235"/>
      <c r="FY197" s="1235"/>
      <c r="FZ197" s="1235"/>
      <c r="GA197" s="1235"/>
      <c r="GB197" s="1235"/>
      <c r="GC197" s="1235"/>
      <c r="GD197" s="1235"/>
      <c r="GE197" s="1235"/>
      <c r="GF197" s="1235"/>
      <c r="GG197" s="1235"/>
      <c r="GH197" s="1235"/>
      <c r="GI197" s="1235"/>
      <c r="GJ197" s="1235"/>
      <c r="GK197" s="1235"/>
      <c r="GL197" s="1235"/>
      <c r="GM197" s="1235"/>
      <c r="GN197" s="1235"/>
      <c r="GO197" s="1235"/>
      <c r="GP197" s="1235"/>
      <c r="GQ197" s="1235"/>
      <c r="GR197" s="1235"/>
      <c r="GS197" s="1235"/>
      <c r="GT197" s="1235"/>
      <c r="GU197" s="1235"/>
      <c r="GV197" s="1235"/>
      <c r="GW197" s="1235"/>
      <c r="GX197" s="1235"/>
      <c r="GY197" s="1235"/>
      <c r="GZ197" s="1235"/>
      <c r="HA197" s="1235"/>
      <c r="HB197" s="1235"/>
      <c r="HC197" s="1235"/>
      <c r="HD197" s="1235"/>
      <c r="HE197" s="1235"/>
      <c r="HF197" s="1235"/>
      <c r="HG197" s="1235"/>
      <c r="HH197" s="1235"/>
      <c r="HI197" s="1235"/>
      <c r="HJ197" s="1235"/>
      <c r="HK197" s="1235"/>
      <c r="HL197" s="1235"/>
      <c r="HM197" s="1235"/>
      <c r="HN197" s="1235"/>
      <c r="HO197" s="1235"/>
      <c r="HP197" s="1235"/>
      <c r="HQ197" s="1235"/>
      <c r="HR197" s="1235"/>
      <c r="HS197" s="1235"/>
      <c r="HT197" s="1235"/>
      <c r="HU197" s="1235"/>
      <c r="HV197" s="1235"/>
      <c r="HW197" s="1235"/>
      <c r="HX197" s="1235"/>
      <c r="HY197" s="1235"/>
      <c r="HZ197" s="1235"/>
      <c r="IA197" s="1235"/>
      <c r="IB197" s="1235"/>
      <c r="IC197" s="1235"/>
      <c r="ID197" s="1235"/>
      <c r="IE197" s="1235"/>
      <c r="IF197" s="1235"/>
      <c r="IG197" s="1235"/>
      <c r="IH197" s="1235"/>
      <c r="II197" s="1235"/>
      <c r="IJ197" s="1235"/>
      <c r="IK197" s="1235"/>
      <c r="IL197" s="1235"/>
      <c r="IM197" s="1235"/>
      <c r="IN197" s="1235"/>
      <c r="IO197" s="1235"/>
      <c r="IP197" s="1235"/>
      <c r="IQ197" s="1235"/>
      <c r="IR197" s="1235"/>
      <c r="IS197" s="1235"/>
      <c r="IT197" s="1235"/>
      <c r="IU197" s="1235"/>
      <c r="IV197" s="1235"/>
      <c r="IW197" s="1235"/>
      <c r="IX197" s="1235"/>
      <c r="IY197" s="1235"/>
      <c r="IZ197" s="1235"/>
      <c r="JA197" s="1235"/>
      <c r="JB197" s="1235"/>
      <c r="JC197" s="1235"/>
      <c r="JD197" s="1235"/>
      <c r="JE197" s="1235"/>
      <c r="JF197" s="1235"/>
      <c r="JG197" s="1235"/>
      <c r="JH197" s="1235"/>
      <c r="JI197" s="1235"/>
      <c r="JJ197" s="1235"/>
      <c r="JK197" s="1235"/>
      <c r="JL197" s="1235"/>
      <c r="JM197" s="1235"/>
      <c r="JN197" s="1235"/>
      <c r="JO197" s="1235"/>
      <c r="JP197" s="1235"/>
      <c r="JQ197" s="1235"/>
      <c r="JR197" s="1235"/>
      <c r="JS197" s="1235"/>
      <c r="JT197" s="1235"/>
      <c r="JU197" s="1235"/>
      <c r="JV197" s="1235"/>
      <c r="JW197" s="1235"/>
      <c r="JX197" s="1235"/>
      <c r="JY197" s="1235"/>
      <c r="JZ197" s="1235"/>
      <c r="KA197" s="1235"/>
      <c r="KB197" s="1235"/>
      <c r="KC197" s="1235"/>
      <c r="KD197" s="1235"/>
      <c r="KE197" s="1235"/>
      <c r="KF197" s="1235"/>
      <c r="KG197" s="1235"/>
      <c r="KH197" s="1235"/>
      <c r="KI197" s="1235"/>
      <c r="KJ197" s="1235"/>
      <c r="KK197" s="1235"/>
      <c r="KL197" s="1235"/>
      <c r="KM197" s="1235"/>
      <c r="KN197" s="1235"/>
      <c r="KO197" s="1235"/>
      <c r="KP197" s="1235"/>
      <c r="KQ197" s="1235"/>
      <c r="KR197" s="1235"/>
      <c r="KS197" s="1235"/>
      <c r="KT197" s="1235"/>
      <c r="KU197" s="1235"/>
      <c r="KV197" s="1235"/>
      <c r="KW197" s="1235"/>
      <c r="KX197" s="1235"/>
      <c r="KY197" s="1235"/>
      <c r="KZ197" s="1235"/>
      <c r="LA197" s="1235"/>
      <c r="LB197" s="1235"/>
      <c r="LC197" s="1235"/>
      <c r="LD197" s="1235"/>
      <c r="LE197" s="1235"/>
      <c r="LF197" s="1235"/>
      <c r="LG197" s="1235"/>
      <c r="LH197" s="1235"/>
      <c r="LI197" s="1235"/>
      <c r="LJ197" s="1235"/>
      <c r="LK197" s="1235"/>
      <c r="LL197" s="1235"/>
      <c r="LM197" s="1235"/>
      <c r="LN197" s="1235"/>
      <c r="LO197" s="1235"/>
      <c r="LP197" s="1235"/>
      <c r="LQ197" s="1235"/>
      <c r="LR197" s="1235"/>
      <c r="LS197" s="1235"/>
      <c r="LT197" s="1235"/>
      <c r="LU197" s="1235"/>
      <c r="LV197" s="1235"/>
      <c r="LW197" s="1235"/>
      <c r="LX197" s="1235"/>
      <c r="LY197" s="1235"/>
      <c r="LZ197" s="1235"/>
      <c r="MA197" s="1235"/>
      <c r="MB197" s="1235"/>
      <c r="MC197" s="1235"/>
      <c r="MD197" s="1235"/>
      <c r="ME197" s="1235"/>
      <c r="MF197" s="1235"/>
      <c r="MG197" s="1235"/>
      <c r="MH197" s="1235"/>
      <c r="MI197" s="1235"/>
      <c r="MJ197" s="1235"/>
      <c r="MK197" s="1235"/>
      <c r="ML197" s="1235"/>
      <c r="MM197" s="1235"/>
      <c r="MN197" s="1235"/>
      <c r="MO197" s="1235"/>
      <c r="MP197" s="1235"/>
      <c r="MQ197" s="1235"/>
      <c r="MR197" s="1235"/>
      <c r="MS197" s="1235"/>
      <c r="MT197" s="1235"/>
      <c r="MU197" s="1235"/>
      <c r="MV197" s="1235"/>
      <c r="MW197" s="1235"/>
      <c r="MX197" s="1235"/>
      <c r="MY197" s="1235"/>
      <c r="MZ197" s="1235"/>
      <c r="NA197" s="1235"/>
      <c r="NB197" s="1235"/>
      <c r="NC197" s="1235"/>
      <c r="ND197" s="1235"/>
      <c r="NE197" s="1235"/>
      <c r="NF197" s="1235"/>
      <c r="NG197" s="1235"/>
      <c r="NH197" s="1235"/>
      <c r="NI197" s="1235"/>
      <c r="NJ197" s="1235"/>
      <c r="NK197" s="1235"/>
      <c r="NL197" s="1235"/>
      <c r="NM197" s="1235"/>
      <c r="NN197" s="1235"/>
      <c r="NO197" s="1235"/>
      <c r="NP197" s="1235"/>
      <c r="NQ197" s="1235"/>
      <c r="NR197" s="1235"/>
      <c r="NS197" s="1235"/>
      <c r="NT197" s="1235"/>
      <c r="NU197" s="1235"/>
      <c r="NV197" s="1235"/>
      <c r="NW197" s="1235"/>
      <c r="NX197" s="1235"/>
      <c r="NY197" s="1235"/>
      <c r="NZ197" s="1235"/>
      <c r="OA197" s="1235"/>
      <c r="OB197" s="1235"/>
      <c r="OC197" s="1235"/>
      <c r="OD197" s="1235"/>
      <c r="OE197" s="1235"/>
      <c r="OF197" s="1235"/>
      <c r="OG197" s="1235"/>
      <c r="OH197" s="1235"/>
      <c r="OI197" s="1235"/>
      <c r="OJ197" s="1235"/>
      <c r="OK197" s="1235"/>
      <c r="OL197" s="1235"/>
      <c r="OM197" s="1235"/>
      <c r="ON197" s="1235"/>
      <c r="OO197" s="1235"/>
      <c r="OP197" s="1235"/>
      <c r="OQ197" s="1235"/>
      <c r="OR197" s="1235"/>
      <c r="OS197" s="1235"/>
      <c r="OT197" s="1235"/>
      <c r="OU197" s="1235"/>
      <c r="OY197" s="1802"/>
      <c r="OZ197" s="1799">
        <v>193</v>
      </c>
    </row>
    <row r="198" spans="1:528" s="41" customFormat="1" ht="3" customHeight="1">
      <c r="A198" s="10"/>
      <c r="B198" s="43"/>
      <c r="C198" s="43"/>
      <c r="D198" s="43"/>
      <c r="E198" s="43"/>
      <c r="F198" s="43"/>
      <c r="G198" s="43"/>
      <c r="H198" s="43"/>
      <c r="I198" s="43"/>
      <c r="J198" s="43"/>
      <c r="K198" s="43"/>
      <c r="L198" s="43"/>
      <c r="M198" s="43"/>
      <c r="N198" s="43"/>
      <c r="O198" s="43"/>
      <c r="P198" s="43"/>
      <c r="X198" s="253"/>
      <c r="Y198" s="253"/>
      <c r="Z198" s="253"/>
      <c r="AA198" s="253"/>
      <c r="AB198" s="253"/>
      <c r="AC198" s="253"/>
      <c r="AD198" s="253"/>
      <c r="AE198" s="253"/>
      <c r="AF198" s="253"/>
      <c r="AG198" s="253"/>
      <c r="AH198" s="253"/>
      <c r="AI198" s="253"/>
      <c r="AJ198" s="253"/>
      <c r="AK198" s="253"/>
      <c r="AL198" s="253"/>
      <c r="AM198" s="253"/>
      <c r="AN198" s="253"/>
      <c r="AO198" s="253"/>
      <c r="AP198" s="253"/>
      <c r="AQ198" s="253"/>
      <c r="AR198" s="253"/>
      <c r="AS198" s="253"/>
      <c r="AT198" s="253"/>
      <c r="AU198" s="253"/>
      <c r="AV198" s="253"/>
      <c r="AW198" s="253"/>
      <c r="AX198" s="253"/>
      <c r="AY198" s="253"/>
      <c r="AZ198" s="253"/>
      <c r="BA198" s="253"/>
      <c r="BB198" s="253"/>
      <c r="BC198" s="253"/>
      <c r="BD198" s="253"/>
      <c r="BE198" s="253"/>
      <c r="BF198" s="253"/>
      <c r="BG198" s="253"/>
      <c r="BH198" s="253"/>
      <c r="BI198" s="253"/>
      <c r="BJ198" s="253"/>
      <c r="BK198" s="253"/>
      <c r="BL198" s="253"/>
      <c r="BM198" s="253"/>
      <c r="BN198" s="253"/>
      <c r="BO198" s="253"/>
      <c r="BP198" s="253"/>
      <c r="BQ198" s="253"/>
      <c r="BR198" s="253"/>
      <c r="BS198" s="253"/>
      <c r="BT198" s="253"/>
      <c r="BU198" s="253"/>
      <c r="BV198" s="253"/>
      <c r="BW198" s="253"/>
      <c r="BX198" s="253"/>
      <c r="BY198" s="253"/>
      <c r="BZ198" s="253"/>
      <c r="CA198" s="253"/>
      <c r="CB198" s="253"/>
      <c r="CC198" s="253"/>
      <c r="CD198" s="253"/>
      <c r="CE198" s="253"/>
      <c r="CF198" s="253"/>
      <c r="CG198" s="253"/>
      <c r="CH198" s="253"/>
      <c r="CI198" s="253"/>
      <c r="CJ198" s="253"/>
      <c r="CK198" s="253"/>
      <c r="CL198" s="253"/>
      <c r="CM198" s="253"/>
      <c r="CN198" s="253"/>
      <c r="CO198" s="253"/>
      <c r="CP198" s="253"/>
      <c r="CQ198" s="253"/>
      <c r="CR198" s="253"/>
      <c r="CS198" s="253"/>
      <c r="CT198" s="253"/>
      <c r="CU198" s="253"/>
      <c r="CV198" s="253"/>
      <c r="CW198" s="253"/>
      <c r="CX198" s="253"/>
      <c r="CY198" s="253"/>
      <c r="CZ198" s="253"/>
      <c r="DA198" s="253"/>
      <c r="DB198" s="253"/>
      <c r="DC198" s="253"/>
      <c r="DD198" s="253"/>
      <c r="DE198" s="253"/>
      <c r="DF198" s="253"/>
      <c r="DG198" s="253"/>
      <c r="DH198" s="253"/>
      <c r="DI198" s="253"/>
      <c r="DJ198" s="253"/>
      <c r="DK198" s="253"/>
      <c r="DL198" s="253"/>
      <c r="DM198" s="253"/>
      <c r="DN198" s="253"/>
      <c r="DO198" s="253"/>
      <c r="DP198" s="253"/>
      <c r="DQ198" s="253"/>
      <c r="DR198" s="253"/>
      <c r="DS198" s="253"/>
      <c r="DT198" s="253"/>
      <c r="DU198" s="253"/>
      <c r="DV198" s="253"/>
      <c r="DW198" s="253"/>
      <c r="DX198" s="253"/>
      <c r="DY198" s="253"/>
      <c r="DZ198" s="253"/>
      <c r="EA198" s="253"/>
      <c r="EB198" s="253"/>
      <c r="EC198" s="253"/>
      <c r="ED198" s="253"/>
      <c r="EE198" s="253"/>
      <c r="EF198" s="253"/>
      <c r="EG198" s="253"/>
      <c r="EH198" s="253"/>
      <c r="EI198" s="253"/>
      <c r="EJ198" s="253"/>
      <c r="EK198" s="253"/>
      <c r="EL198" s="253"/>
      <c r="EM198" s="253"/>
      <c r="EN198" s="253"/>
      <c r="EO198" s="253"/>
      <c r="EP198" s="253"/>
      <c r="EQ198" s="253"/>
      <c r="ER198" s="253"/>
      <c r="ES198" s="253"/>
      <c r="ET198" s="253"/>
      <c r="EU198" s="253"/>
      <c r="EV198" s="253"/>
      <c r="EW198" s="253"/>
      <c r="EX198" s="253"/>
      <c r="EY198" s="253"/>
      <c r="EZ198" s="253"/>
      <c r="FA198" s="253"/>
      <c r="FB198" s="253"/>
      <c r="FC198" s="253"/>
      <c r="FD198" s="253"/>
      <c r="FE198" s="253"/>
      <c r="FF198" s="253"/>
      <c r="FG198" s="253"/>
      <c r="FH198" s="253"/>
      <c r="FI198" s="253"/>
      <c r="FJ198" s="253"/>
      <c r="FK198" s="253"/>
      <c r="FL198" s="253"/>
      <c r="FM198" s="253"/>
      <c r="FN198" s="253"/>
      <c r="FO198" s="253"/>
      <c r="FP198" s="253"/>
      <c r="FQ198" s="253"/>
      <c r="FR198" s="253"/>
      <c r="FS198" s="253"/>
      <c r="FT198" s="253"/>
      <c r="FU198" s="253"/>
      <c r="FV198" s="253"/>
      <c r="FW198" s="253"/>
      <c r="FX198" s="253"/>
      <c r="FY198" s="253"/>
      <c r="FZ198" s="253"/>
      <c r="GA198" s="253"/>
      <c r="GB198" s="253"/>
      <c r="GC198" s="253"/>
      <c r="GD198" s="253"/>
      <c r="GE198" s="253"/>
      <c r="GF198" s="253"/>
      <c r="GG198" s="253"/>
      <c r="GH198" s="253"/>
      <c r="GI198" s="253"/>
      <c r="GJ198" s="253"/>
      <c r="GK198" s="253"/>
      <c r="GL198" s="253"/>
      <c r="GM198" s="253"/>
      <c r="GN198" s="253"/>
      <c r="GO198" s="253"/>
      <c r="GP198" s="253"/>
      <c r="GQ198" s="253"/>
      <c r="GR198" s="253"/>
      <c r="GS198" s="253"/>
      <c r="GT198" s="253"/>
      <c r="GU198" s="253"/>
      <c r="GV198" s="253"/>
      <c r="GW198" s="253"/>
      <c r="GX198" s="253"/>
      <c r="GY198" s="253"/>
      <c r="GZ198" s="253"/>
      <c r="HA198" s="253"/>
      <c r="HB198" s="253"/>
      <c r="HC198" s="253"/>
      <c r="HD198" s="253"/>
      <c r="HE198" s="253"/>
      <c r="HF198" s="253"/>
      <c r="HG198" s="253"/>
      <c r="HH198" s="253"/>
      <c r="HI198" s="253"/>
      <c r="HJ198" s="253"/>
      <c r="HK198" s="253"/>
      <c r="HL198" s="253"/>
      <c r="HM198" s="253"/>
      <c r="HN198" s="253"/>
      <c r="HO198" s="253"/>
      <c r="HP198" s="253"/>
      <c r="HQ198" s="253"/>
      <c r="HR198" s="253"/>
      <c r="HS198" s="253"/>
      <c r="HT198" s="253"/>
      <c r="HU198" s="253"/>
      <c r="HV198" s="253"/>
      <c r="HW198" s="253"/>
      <c r="HX198" s="253"/>
      <c r="HY198" s="253"/>
      <c r="HZ198" s="253"/>
      <c r="IA198" s="253"/>
      <c r="IB198" s="253"/>
      <c r="IC198" s="253"/>
      <c r="ID198" s="253"/>
      <c r="IE198" s="253"/>
      <c r="IF198" s="253"/>
      <c r="IG198" s="253"/>
      <c r="IH198" s="253"/>
      <c r="II198" s="253"/>
      <c r="IJ198" s="253"/>
      <c r="IK198" s="253"/>
      <c r="IL198" s="253"/>
      <c r="IM198" s="253"/>
      <c r="IN198" s="253"/>
      <c r="IO198" s="253"/>
      <c r="IP198" s="253"/>
      <c r="IQ198" s="253"/>
      <c r="IR198" s="253"/>
      <c r="IS198" s="253"/>
      <c r="IT198" s="253"/>
      <c r="IU198" s="253"/>
      <c r="IV198" s="253"/>
      <c r="IW198" s="253"/>
      <c r="IX198" s="253"/>
      <c r="IY198" s="253"/>
      <c r="IZ198" s="253"/>
      <c r="JA198" s="253"/>
      <c r="JB198" s="253"/>
      <c r="JC198" s="253"/>
      <c r="JD198" s="253"/>
      <c r="JE198" s="253"/>
      <c r="JF198" s="253"/>
      <c r="JG198" s="253"/>
      <c r="JH198" s="253"/>
      <c r="JI198" s="253"/>
      <c r="JJ198" s="253"/>
      <c r="JK198" s="253"/>
      <c r="JL198" s="253"/>
      <c r="JM198" s="253"/>
      <c r="JN198" s="253"/>
      <c r="JO198" s="253"/>
      <c r="JP198" s="253"/>
      <c r="JQ198" s="253"/>
      <c r="JR198" s="253"/>
      <c r="JS198" s="253"/>
      <c r="JT198" s="253"/>
      <c r="JU198" s="253"/>
      <c r="JV198" s="253"/>
      <c r="JW198" s="253"/>
      <c r="JX198" s="253"/>
      <c r="JY198" s="253"/>
      <c r="JZ198" s="253"/>
      <c r="KA198" s="253"/>
      <c r="KB198" s="253"/>
      <c r="KC198" s="253"/>
      <c r="KD198" s="253"/>
      <c r="KE198" s="253"/>
      <c r="KF198" s="253"/>
      <c r="KG198" s="253"/>
      <c r="KH198" s="253"/>
      <c r="KI198" s="253"/>
      <c r="KJ198" s="253"/>
      <c r="KK198" s="253"/>
      <c r="KL198" s="253"/>
      <c r="KM198" s="253"/>
      <c r="KN198" s="253"/>
      <c r="KO198" s="253"/>
      <c r="KP198" s="253"/>
      <c r="KQ198" s="253"/>
      <c r="KR198" s="253"/>
      <c r="KS198" s="253"/>
      <c r="KT198" s="253"/>
      <c r="KU198" s="253"/>
      <c r="KV198" s="253"/>
      <c r="KW198" s="253"/>
      <c r="KX198" s="253"/>
      <c r="KY198" s="253"/>
      <c r="KZ198" s="253"/>
      <c r="LA198" s="253"/>
      <c r="LB198" s="253"/>
      <c r="LC198" s="253"/>
      <c r="LD198" s="253"/>
      <c r="LE198" s="253"/>
      <c r="LF198" s="1296"/>
      <c r="LG198" s="253"/>
      <c r="LH198" s="253"/>
      <c r="LI198" s="253"/>
      <c r="LJ198" s="253"/>
      <c r="LK198" s="1296"/>
      <c r="LL198" s="253"/>
      <c r="LM198" s="253"/>
      <c r="LN198" s="253"/>
      <c r="LO198" s="253"/>
      <c r="LP198" s="1296"/>
      <c r="LQ198" s="253"/>
      <c r="LR198" s="253"/>
      <c r="LS198" s="253"/>
      <c r="LT198" s="253"/>
      <c r="LU198" s="1296"/>
      <c r="LV198" s="1296"/>
      <c r="LW198" s="1296"/>
      <c r="LX198" s="1296"/>
      <c r="LY198" s="1296"/>
      <c r="LZ198" s="1296"/>
      <c r="MA198" s="1296"/>
      <c r="MB198" s="1296"/>
      <c r="MC198" s="1296"/>
      <c r="MD198" s="1296"/>
      <c r="ME198" s="1296"/>
      <c r="MF198" s="1296"/>
      <c r="MG198" s="1296"/>
      <c r="MH198" s="1296"/>
      <c r="MI198" s="1296"/>
      <c r="MJ198" s="1296"/>
      <c r="MK198" s="1296"/>
      <c r="ML198" s="1296"/>
      <c r="MM198" s="1296"/>
      <c r="MN198" s="1296"/>
      <c r="MO198" s="1296"/>
      <c r="MP198" s="1296"/>
      <c r="MQ198" s="253"/>
      <c r="MR198" s="253"/>
      <c r="MS198" s="253"/>
      <c r="MT198" s="253"/>
      <c r="MU198" s="253"/>
      <c r="MV198" s="253"/>
      <c r="MW198" s="1184"/>
      <c r="MX198" s="253"/>
      <c r="MY198" s="253"/>
      <c r="MZ198" s="253"/>
      <c r="NA198" s="253"/>
      <c r="NB198" s="253"/>
      <c r="NC198" s="253"/>
      <c r="ND198" s="253"/>
      <c r="NE198" s="253"/>
      <c r="NF198" s="253"/>
      <c r="NG198" s="253"/>
      <c r="NH198" s="253"/>
      <c r="NI198" s="253"/>
      <c r="NJ198" s="253"/>
      <c r="NK198" s="253"/>
      <c r="NL198" s="253"/>
      <c r="NM198" s="1184"/>
      <c r="NN198" s="1184"/>
      <c r="NO198" s="253"/>
      <c r="NP198" s="253"/>
      <c r="NQ198" s="253"/>
      <c r="NR198" s="253"/>
      <c r="NS198" s="253"/>
      <c r="NT198" s="253"/>
      <c r="NU198" s="253"/>
      <c r="NV198" s="253"/>
      <c r="NW198" s="253"/>
      <c r="NX198" s="253"/>
      <c r="NY198" s="253"/>
      <c r="NZ198" s="253"/>
      <c r="OA198" s="253"/>
      <c r="OB198" s="253"/>
      <c r="OC198" s="253"/>
      <c r="OD198" s="253"/>
      <c r="OE198" s="253"/>
      <c r="OF198" s="253"/>
      <c r="OG198" s="253"/>
      <c r="OH198" s="253"/>
      <c r="OI198" s="253"/>
      <c r="OJ198" s="253"/>
      <c r="OK198" s="253"/>
      <c r="OL198" s="253"/>
      <c r="OM198" s="253"/>
      <c r="ON198" s="253"/>
      <c r="OO198" s="253"/>
      <c r="OP198" s="253"/>
      <c r="OQ198" s="253"/>
      <c r="OR198" s="253"/>
      <c r="OS198" s="253"/>
      <c r="OT198" s="253"/>
      <c r="OU198" s="253"/>
      <c r="OV198" s="43"/>
      <c r="OW198" s="43"/>
      <c r="OX198" s="43"/>
      <c r="OY198" s="1794"/>
      <c r="OZ198" s="1798">
        <v>194</v>
      </c>
      <c r="PA198" s="43"/>
      <c r="PB198" s="43"/>
      <c r="PC198" s="43"/>
      <c r="PD198" s="43"/>
      <c r="PE198" s="43"/>
      <c r="PF198" s="43"/>
      <c r="PG198" s="43"/>
      <c r="PH198" s="43"/>
      <c r="PI198" s="43"/>
      <c r="PJ198" s="43"/>
      <c r="PK198" s="43"/>
      <c r="PL198" s="43"/>
      <c r="PM198" s="43"/>
      <c r="PN198" s="43"/>
      <c r="PO198" s="43"/>
      <c r="PP198" s="43"/>
      <c r="PQ198" s="43"/>
      <c r="PR198" s="43"/>
      <c r="PS198" s="43"/>
      <c r="PT198" s="43"/>
      <c r="PU198" s="43"/>
      <c r="PV198" s="43"/>
      <c r="PW198" s="43"/>
      <c r="PX198" s="43"/>
      <c r="PY198" s="43"/>
      <c r="PZ198" s="43"/>
      <c r="QA198" s="43"/>
      <c r="QB198" s="43"/>
      <c r="QC198" s="43"/>
      <c r="QD198" s="43"/>
      <c r="QE198" s="43"/>
      <c r="QF198" s="43"/>
      <c r="QG198" s="43"/>
      <c r="QH198" s="43"/>
      <c r="QI198" s="43"/>
      <c r="QJ198" s="43"/>
      <c r="QK198" s="43"/>
      <c r="QL198" s="43"/>
      <c r="QM198" s="43"/>
      <c r="QN198" s="43"/>
      <c r="QO198" s="43"/>
      <c r="QP198" s="43"/>
      <c r="QQ198" s="43"/>
      <c r="QR198" s="43"/>
      <c r="QS198" s="43"/>
      <c r="QT198" s="43"/>
      <c r="QU198" s="43"/>
      <c r="QV198" s="43"/>
      <c r="QW198" s="43"/>
      <c r="QX198" s="43"/>
      <c r="QY198" s="43"/>
      <c r="QZ198" s="43"/>
      <c r="RA198" s="43"/>
      <c r="RB198" s="43"/>
      <c r="RC198" s="43"/>
      <c r="RD198" s="43"/>
      <c r="RE198" s="43"/>
      <c r="RF198" s="43"/>
      <c r="RG198" s="43"/>
      <c r="RH198" s="43"/>
      <c r="RI198" s="43"/>
      <c r="RJ198" s="43"/>
      <c r="RK198" s="43"/>
      <c r="RL198" s="43"/>
      <c r="RM198" s="43"/>
      <c r="RN198" s="43"/>
      <c r="RO198" s="43"/>
      <c r="RP198" s="43"/>
      <c r="RQ198" s="43"/>
      <c r="RR198" s="43"/>
      <c r="RS198" s="43"/>
      <c r="RT198" s="43"/>
      <c r="RU198" s="43"/>
      <c r="RV198" s="43"/>
      <c r="RW198" s="43"/>
      <c r="RX198" s="43"/>
      <c r="RY198" s="43"/>
      <c r="RZ198" s="43"/>
      <c r="SA198" s="43"/>
      <c r="SB198" s="43"/>
      <c r="SC198" s="43"/>
      <c r="SD198" s="43"/>
      <c r="SE198" s="43"/>
      <c r="SF198" s="43"/>
      <c r="SG198" s="43"/>
      <c r="SH198" s="43"/>
      <c r="SI198" s="43"/>
      <c r="SJ198" s="43"/>
      <c r="SK198" s="43"/>
      <c r="SL198" s="43"/>
      <c r="SM198" s="43"/>
      <c r="SN198" s="43"/>
      <c r="SO198" s="43"/>
      <c r="SP198" s="43"/>
      <c r="SQ198" s="43"/>
      <c r="SR198" s="43"/>
      <c r="SS198" s="43"/>
      <c r="ST198" s="43"/>
      <c r="SU198" s="43"/>
      <c r="SV198" s="43"/>
      <c r="SW198" s="43"/>
      <c r="SX198" s="43"/>
      <c r="SY198" s="43"/>
      <c r="SZ198" s="43"/>
      <c r="TA198" s="43"/>
      <c r="TB198" s="43"/>
      <c r="TC198" s="43"/>
      <c r="TD198" s="43"/>
      <c r="TE198" s="43"/>
      <c r="TF198" s="43"/>
      <c r="TG198" s="43"/>
      <c r="TH198" s="43"/>
    </row>
    <row r="199" spans="1:528" ht="14.1" customHeight="1">
      <c r="A199" s="6" t="s">
        <v>44</v>
      </c>
      <c r="B199" s="6" t="s">
        <v>1280</v>
      </c>
      <c r="C199" s="77"/>
      <c r="D199" s="77"/>
      <c r="E199" s="77"/>
      <c r="F199" s="77"/>
      <c r="G199" s="77"/>
      <c r="H199" s="77"/>
      <c r="I199" s="77"/>
      <c r="J199" s="77"/>
      <c r="K199" s="77"/>
      <c r="L199" s="77"/>
      <c r="M199" s="77"/>
      <c r="N199" s="77"/>
      <c r="O199" s="77"/>
      <c r="P199" s="77"/>
      <c r="Q199" s="77"/>
      <c r="R199" s="77"/>
      <c r="S199" s="6" t="s">
        <v>793</v>
      </c>
      <c r="U199" s="41"/>
      <c r="LF199" s="251"/>
      <c r="LK199" s="251"/>
      <c r="LP199" s="251"/>
      <c r="LU199" s="251"/>
      <c r="MQ199" s="1185"/>
      <c r="MW199" s="251"/>
      <c r="MX199" s="255"/>
      <c r="NM199" s="251"/>
      <c r="NO199" s="255"/>
      <c r="OZ199" s="1799">
        <v>195</v>
      </c>
    </row>
    <row r="200" spans="1:528" ht="2.25" customHeight="1">
      <c r="A200" s="77"/>
      <c r="B200" s="77"/>
      <c r="C200" s="77"/>
      <c r="D200" s="77"/>
      <c r="E200" s="77"/>
      <c r="F200" s="77"/>
      <c r="G200" s="77"/>
      <c r="H200" s="77"/>
      <c r="I200" s="77"/>
      <c r="J200" s="77"/>
      <c r="K200" s="77"/>
      <c r="L200" s="77"/>
      <c r="M200" s="77"/>
      <c r="N200" s="77"/>
      <c r="O200" s="77"/>
      <c r="P200" s="77"/>
      <c r="Q200" s="41"/>
      <c r="R200" s="41"/>
      <c r="OZ200" s="1799">
        <v>196</v>
      </c>
    </row>
    <row r="201" spans="1:528" s="41" customFormat="1" ht="15.6" customHeight="1">
      <c r="A201" s="43"/>
      <c r="B201" s="92" t="s">
        <v>1281</v>
      </c>
      <c r="C201" s="48"/>
      <c r="D201" s="48"/>
      <c r="E201" s="48"/>
      <c r="F201" s="48"/>
      <c r="G201" s="48"/>
      <c r="H201" s="3767">
        <f>'Part VI-Pro Forma'!B10*M59</f>
        <v>16644.72</v>
      </c>
      <c r="I201" s="3767"/>
      <c r="J201" s="947" t="s">
        <v>1282</v>
      </c>
      <c r="M201" s="48"/>
      <c r="N201" s="48"/>
      <c r="O201" s="48"/>
      <c r="P201" s="2751">
        <f>IF(M59=0,0,H201/M59)</f>
        <v>0.02</v>
      </c>
      <c r="Q201" s="210"/>
      <c r="R201" s="210"/>
      <c r="S201" s="3" t="str">
        <f>B201</f>
        <v>Ancillary Income</v>
      </c>
      <c r="X201" s="253"/>
      <c r="Y201" s="253"/>
      <c r="Z201" s="253"/>
      <c r="AA201" s="253"/>
      <c r="AB201" s="253"/>
      <c r="AC201" s="253"/>
      <c r="AD201" s="253"/>
      <c r="AE201" s="253"/>
      <c r="AF201" s="253"/>
      <c r="AG201" s="253"/>
      <c r="AH201" s="253"/>
      <c r="AI201" s="253"/>
      <c r="AJ201" s="253"/>
      <c r="AK201" s="253"/>
      <c r="AL201" s="253"/>
      <c r="AM201" s="253"/>
      <c r="AN201" s="253"/>
      <c r="AO201" s="253"/>
      <c r="AP201" s="253"/>
      <c r="AQ201" s="253"/>
      <c r="AR201" s="253"/>
      <c r="AS201" s="253"/>
      <c r="AT201" s="253"/>
      <c r="AU201" s="253"/>
      <c r="AV201" s="253"/>
      <c r="AW201" s="253"/>
      <c r="AX201" s="253"/>
      <c r="AY201" s="253"/>
      <c r="AZ201" s="253"/>
      <c r="BA201" s="253"/>
      <c r="BB201" s="253"/>
      <c r="BC201" s="253"/>
      <c r="BD201" s="253"/>
      <c r="BE201" s="253"/>
      <c r="BF201" s="253"/>
      <c r="BG201" s="253"/>
      <c r="BH201" s="253"/>
      <c r="BI201" s="253"/>
      <c r="BJ201" s="253"/>
      <c r="BK201" s="253"/>
      <c r="BL201" s="253"/>
      <c r="BM201" s="253"/>
      <c r="BN201" s="253"/>
      <c r="BO201" s="253"/>
      <c r="BP201" s="253"/>
      <c r="BQ201" s="253"/>
      <c r="BR201" s="253"/>
      <c r="BS201" s="253"/>
      <c r="BT201" s="253"/>
      <c r="BU201" s="253"/>
      <c r="BV201" s="253"/>
      <c r="BW201" s="253"/>
      <c r="BX201" s="253"/>
      <c r="BY201" s="253"/>
      <c r="BZ201" s="253"/>
      <c r="CA201" s="253"/>
      <c r="CB201" s="253"/>
      <c r="CC201" s="253"/>
      <c r="CD201" s="253"/>
      <c r="CE201" s="253"/>
      <c r="CF201" s="253"/>
      <c r="CG201" s="253"/>
      <c r="CH201" s="253"/>
      <c r="CI201" s="253"/>
      <c r="CJ201" s="253"/>
      <c r="CK201" s="253"/>
      <c r="CL201" s="253"/>
      <c r="CM201" s="253"/>
      <c r="CN201" s="253"/>
      <c r="CO201" s="253"/>
      <c r="CP201" s="253"/>
      <c r="CQ201" s="253"/>
      <c r="CR201" s="253"/>
      <c r="CS201" s="253"/>
      <c r="CT201" s="253"/>
      <c r="CU201" s="253"/>
      <c r="CV201" s="253"/>
      <c r="CW201" s="253"/>
      <c r="CX201" s="253"/>
      <c r="CY201" s="253"/>
      <c r="CZ201" s="253"/>
      <c r="DA201" s="253"/>
      <c r="DB201" s="253"/>
      <c r="DC201" s="253"/>
      <c r="DD201" s="253"/>
      <c r="DE201" s="253"/>
      <c r="DF201" s="253"/>
      <c r="DG201" s="253"/>
      <c r="DH201" s="253"/>
      <c r="DI201" s="253"/>
      <c r="DJ201" s="253"/>
      <c r="DK201" s="253"/>
      <c r="DL201" s="253"/>
      <c r="DM201" s="253"/>
      <c r="DN201" s="253"/>
      <c r="DO201" s="253"/>
      <c r="DP201" s="253"/>
      <c r="DQ201" s="253"/>
      <c r="DR201" s="253"/>
      <c r="DS201" s="253"/>
      <c r="DT201" s="253"/>
      <c r="DU201" s="253"/>
      <c r="DV201" s="253"/>
      <c r="DW201" s="253"/>
      <c r="DX201" s="253"/>
      <c r="DY201" s="253"/>
      <c r="DZ201" s="253"/>
      <c r="EA201" s="253"/>
      <c r="EB201" s="253"/>
      <c r="EC201" s="253"/>
      <c r="ED201" s="253"/>
      <c r="EE201" s="253"/>
      <c r="EF201" s="253"/>
      <c r="EG201" s="253"/>
      <c r="EH201" s="253"/>
      <c r="EI201" s="253"/>
      <c r="EJ201" s="253"/>
      <c r="EK201" s="253"/>
      <c r="EL201" s="253"/>
      <c r="EM201" s="253"/>
      <c r="EN201" s="253"/>
      <c r="EO201" s="253"/>
      <c r="EP201" s="253"/>
      <c r="EQ201" s="253"/>
      <c r="ER201" s="253"/>
      <c r="ES201" s="253"/>
      <c r="ET201" s="253"/>
      <c r="EU201" s="253"/>
      <c r="EV201" s="253"/>
      <c r="EW201" s="253"/>
      <c r="EX201" s="253"/>
      <c r="EY201" s="253"/>
      <c r="EZ201" s="253"/>
      <c r="FA201" s="253"/>
      <c r="FB201" s="253"/>
      <c r="FC201" s="253"/>
      <c r="FD201" s="253"/>
      <c r="FE201" s="253"/>
      <c r="FF201" s="253"/>
      <c r="FG201" s="253"/>
      <c r="FH201" s="253"/>
      <c r="FI201" s="253"/>
      <c r="FJ201" s="253"/>
      <c r="FK201" s="253"/>
      <c r="FL201" s="253"/>
      <c r="FM201" s="253"/>
      <c r="FN201" s="253"/>
      <c r="FO201" s="253"/>
      <c r="FP201" s="253"/>
      <c r="FQ201" s="253"/>
      <c r="FR201" s="253"/>
      <c r="FS201" s="253"/>
      <c r="FT201" s="253"/>
      <c r="FU201" s="253"/>
      <c r="FV201" s="253"/>
      <c r="FW201" s="253"/>
      <c r="FX201" s="253"/>
      <c r="FY201" s="253"/>
      <c r="FZ201" s="253"/>
      <c r="GA201" s="253"/>
      <c r="GB201" s="253"/>
      <c r="GC201" s="253"/>
      <c r="GD201" s="253"/>
      <c r="GE201" s="253"/>
      <c r="GF201" s="253"/>
      <c r="GG201" s="253"/>
      <c r="GH201" s="253"/>
      <c r="GI201" s="253"/>
      <c r="GJ201" s="253"/>
      <c r="GK201" s="253"/>
      <c r="GL201" s="253"/>
      <c r="GM201" s="253"/>
      <c r="GN201" s="253"/>
      <c r="GO201" s="253"/>
      <c r="GP201" s="253"/>
      <c r="GQ201" s="253"/>
      <c r="GR201" s="253"/>
      <c r="GS201" s="253"/>
      <c r="GT201" s="253"/>
      <c r="GU201" s="253"/>
      <c r="GV201" s="253"/>
      <c r="GW201" s="253"/>
      <c r="GX201" s="253"/>
      <c r="GY201" s="253"/>
      <c r="GZ201" s="253"/>
      <c r="HA201" s="253"/>
      <c r="HB201" s="253"/>
      <c r="HC201" s="253"/>
      <c r="HD201" s="253"/>
      <c r="HE201" s="253"/>
      <c r="HF201" s="253"/>
      <c r="HG201" s="253"/>
      <c r="HH201" s="253"/>
      <c r="HI201" s="253"/>
      <c r="HJ201" s="253"/>
      <c r="HK201" s="253"/>
      <c r="HL201" s="253"/>
      <c r="HM201" s="253"/>
      <c r="HN201" s="253"/>
      <c r="HO201" s="253"/>
      <c r="HP201" s="253"/>
      <c r="HQ201" s="253"/>
      <c r="HR201" s="253"/>
      <c r="HS201" s="253"/>
      <c r="HT201" s="253"/>
      <c r="HU201" s="253"/>
      <c r="HV201" s="253"/>
      <c r="HW201" s="253"/>
      <c r="HX201" s="253"/>
      <c r="HY201" s="253"/>
      <c r="HZ201" s="253"/>
      <c r="IA201" s="253"/>
      <c r="IB201" s="253"/>
      <c r="IC201" s="253"/>
      <c r="ID201" s="253"/>
      <c r="IE201" s="253"/>
      <c r="IF201" s="253"/>
      <c r="IG201" s="253"/>
      <c r="IH201" s="253"/>
      <c r="II201" s="253"/>
      <c r="IJ201" s="253"/>
      <c r="IK201" s="253"/>
      <c r="IL201" s="253"/>
      <c r="IM201" s="253"/>
      <c r="IN201" s="253"/>
      <c r="IO201" s="253"/>
      <c r="IP201" s="253"/>
      <c r="IQ201" s="253"/>
      <c r="IR201" s="253"/>
      <c r="IS201" s="253"/>
      <c r="IT201" s="253"/>
      <c r="IU201" s="253"/>
      <c r="IV201" s="253"/>
      <c r="IW201" s="253"/>
      <c r="IX201" s="253"/>
      <c r="IY201" s="253"/>
      <c r="IZ201" s="253"/>
      <c r="JA201" s="253"/>
      <c r="JB201" s="253"/>
      <c r="JC201" s="253"/>
      <c r="JD201" s="253"/>
      <c r="JE201" s="253"/>
      <c r="JF201" s="253"/>
      <c r="JG201" s="253"/>
      <c r="JH201" s="253"/>
      <c r="JI201" s="253"/>
      <c r="JJ201" s="253"/>
      <c r="JK201" s="253"/>
      <c r="JL201" s="253"/>
      <c r="JM201" s="253"/>
      <c r="JN201" s="253"/>
      <c r="JO201" s="253"/>
      <c r="JP201" s="253"/>
      <c r="JQ201" s="253"/>
      <c r="JR201" s="253"/>
      <c r="JS201" s="253"/>
      <c r="JT201" s="253"/>
      <c r="JU201" s="253"/>
      <c r="JV201" s="253"/>
      <c r="JW201" s="253"/>
      <c r="JX201" s="253"/>
      <c r="JY201" s="253"/>
      <c r="JZ201" s="253"/>
      <c r="KA201" s="253"/>
      <c r="KB201" s="253"/>
      <c r="KC201" s="253"/>
      <c r="KD201" s="253"/>
      <c r="KE201" s="253"/>
      <c r="KF201" s="253"/>
      <c r="KG201" s="253"/>
      <c r="KH201" s="253"/>
      <c r="KI201" s="253"/>
      <c r="KJ201" s="253"/>
      <c r="KK201" s="253"/>
      <c r="KL201" s="253"/>
      <c r="KM201" s="253"/>
      <c r="KN201" s="253"/>
      <c r="KO201" s="253"/>
      <c r="KP201" s="253"/>
      <c r="KQ201" s="253"/>
      <c r="KR201" s="253"/>
      <c r="KS201" s="253"/>
      <c r="KT201" s="253"/>
      <c r="KU201" s="253"/>
      <c r="KV201" s="253"/>
      <c r="KW201" s="253"/>
      <c r="KX201" s="253"/>
      <c r="KY201" s="253"/>
      <c r="KZ201" s="253"/>
      <c r="LA201" s="253"/>
      <c r="LB201" s="253"/>
      <c r="LC201" s="253"/>
      <c r="LD201" s="253"/>
      <c r="LE201" s="253"/>
      <c r="LF201" s="1296"/>
      <c r="LG201" s="253"/>
      <c r="LH201" s="253"/>
      <c r="LI201" s="253"/>
      <c r="LJ201" s="253"/>
      <c r="LK201" s="1296"/>
      <c r="LL201" s="253"/>
      <c r="LM201" s="253"/>
      <c r="LN201" s="253"/>
      <c r="LO201" s="253"/>
      <c r="LP201" s="1296"/>
      <c r="LQ201" s="253"/>
      <c r="LR201" s="253"/>
      <c r="LS201" s="253"/>
      <c r="LT201" s="253"/>
      <c r="LU201" s="1296"/>
      <c r="LV201" s="1296"/>
      <c r="LW201" s="1296"/>
      <c r="LX201" s="1296"/>
      <c r="LY201" s="1296"/>
      <c r="LZ201" s="1296"/>
      <c r="MA201" s="1296"/>
      <c r="MB201" s="1296"/>
      <c r="MC201" s="1296"/>
      <c r="MD201" s="1296"/>
      <c r="ME201" s="1296"/>
      <c r="MF201" s="1296"/>
      <c r="MG201" s="1296"/>
      <c r="MH201" s="1296"/>
      <c r="MI201" s="1296"/>
      <c r="MJ201" s="1296"/>
      <c r="MK201" s="1296"/>
      <c r="ML201" s="1296"/>
      <c r="MM201" s="1296"/>
      <c r="MN201" s="1296"/>
      <c r="MO201" s="1296"/>
      <c r="MP201" s="1296"/>
      <c r="MQ201" s="253"/>
      <c r="MR201" s="253"/>
      <c r="MS201" s="253"/>
      <c r="MT201" s="253"/>
      <c r="MU201" s="253"/>
      <c r="MV201" s="253"/>
      <c r="MW201" s="1184"/>
      <c r="MX201" s="253"/>
      <c r="MY201" s="253"/>
      <c r="MZ201" s="253"/>
      <c r="NA201" s="253"/>
      <c r="NB201" s="253"/>
      <c r="NC201" s="253"/>
      <c r="ND201" s="253"/>
      <c r="NE201" s="253"/>
      <c r="NF201" s="253"/>
      <c r="NG201" s="253"/>
      <c r="NH201" s="253"/>
      <c r="NI201" s="253"/>
      <c r="NJ201" s="253"/>
      <c r="NK201" s="253"/>
      <c r="NL201" s="253"/>
      <c r="NM201" s="1184"/>
      <c r="NN201" s="1184"/>
      <c r="NO201" s="253"/>
      <c r="NP201" s="253"/>
      <c r="NQ201" s="253"/>
      <c r="NR201" s="253"/>
      <c r="NS201" s="253"/>
      <c r="NT201" s="253"/>
      <c r="NU201" s="253"/>
      <c r="NV201" s="253"/>
      <c r="NW201" s="253"/>
      <c r="NX201" s="253"/>
      <c r="NY201" s="253"/>
      <c r="NZ201" s="253"/>
      <c r="OA201" s="253"/>
      <c r="OB201" s="253"/>
      <c r="OC201" s="253"/>
      <c r="OD201" s="253"/>
      <c r="OE201" s="253"/>
      <c r="OF201" s="253"/>
      <c r="OG201" s="253"/>
      <c r="OH201" s="253"/>
      <c r="OI201" s="253"/>
      <c r="OJ201" s="253"/>
      <c r="OK201" s="253"/>
      <c r="OL201" s="253"/>
      <c r="OM201" s="253"/>
      <c r="ON201" s="253"/>
      <c r="OO201" s="253"/>
      <c r="OP201" s="253"/>
      <c r="OQ201" s="253"/>
      <c r="OR201" s="253"/>
      <c r="OS201" s="253"/>
      <c r="OT201" s="253"/>
      <c r="OU201" s="253"/>
      <c r="OV201" s="43"/>
      <c r="OW201" s="43"/>
      <c r="OX201" s="43"/>
      <c r="OY201" s="1796"/>
      <c r="OZ201" s="1798">
        <v>197</v>
      </c>
      <c r="PA201" s="43"/>
      <c r="PB201" s="43"/>
      <c r="PC201" s="43"/>
      <c r="PD201" s="43"/>
      <c r="PE201" s="43"/>
      <c r="PF201" s="43"/>
      <c r="PG201" s="43"/>
      <c r="PH201" s="43"/>
      <c r="PI201" s="43"/>
      <c r="PJ201" s="43"/>
      <c r="PK201" s="43"/>
      <c r="PL201" s="43"/>
      <c r="PM201" s="43"/>
      <c r="PN201" s="43"/>
      <c r="PO201" s="43"/>
      <c r="PP201" s="43"/>
      <c r="PQ201" s="43"/>
      <c r="PR201" s="43"/>
      <c r="PS201" s="43"/>
      <c r="PT201" s="43"/>
      <c r="PU201" s="43"/>
      <c r="PV201" s="43"/>
      <c r="PW201" s="43"/>
      <c r="PX201" s="43"/>
      <c r="PY201" s="43"/>
      <c r="PZ201" s="43"/>
      <c r="QA201" s="43"/>
      <c r="QB201" s="43"/>
      <c r="QC201" s="43"/>
      <c r="QD201" s="43"/>
      <c r="QE201" s="43"/>
      <c r="QF201" s="43"/>
      <c r="QG201" s="43"/>
      <c r="QH201" s="43"/>
      <c r="QI201" s="43"/>
      <c r="QJ201" s="43"/>
      <c r="QK201" s="43"/>
      <c r="QL201" s="43"/>
      <c r="QM201" s="43"/>
      <c r="QN201" s="43"/>
      <c r="QO201" s="43"/>
      <c r="QP201" s="43"/>
      <c r="QQ201" s="43"/>
      <c r="QR201" s="43"/>
      <c r="QS201" s="43"/>
      <c r="QT201" s="43"/>
      <c r="QU201" s="43"/>
      <c r="QV201" s="43"/>
      <c r="QW201" s="43"/>
      <c r="QX201" s="43"/>
      <c r="QY201" s="43"/>
      <c r="QZ201" s="43"/>
      <c r="RA201" s="43"/>
      <c r="RB201" s="43"/>
      <c r="RC201" s="43"/>
      <c r="RD201" s="43"/>
      <c r="RE201" s="43"/>
      <c r="RF201" s="43"/>
      <c r="RG201" s="43"/>
      <c r="RH201" s="43"/>
      <c r="RI201" s="43"/>
      <c r="RJ201" s="43"/>
      <c r="RK201" s="43"/>
      <c r="RL201" s="43"/>
      <c r="RM201" s="43"/>
      <c r="RN201" s="43"/>
      <c r="RO201" s="43"/>
      <c r="RP201" s="43"/>
      <c r="RQ201" s="43"/>
      <c r="RR201" s="43"/>
      <c r="RS201" s="43"/>
      <c r="RT201" s="43"/>
      <c r="RU201" s="43"/>
      <c r="RV201" s="43"/>
      <c r="RW201" s="43"/>
      <c r="RX201" s="43"/>
      <c r="RY201" s="43"/>
      <c r="RZ201" s="43"/>
      <c r="SA201" s="43"/>
      <c r="SB201" s="43"/>
      <c r="SC201" s="43"/>
      <c r="SD201" s="43"/>
      <c r="SE201" s="43"/>
      <c r="SF201" s="43"/>
      <c r="SG201" s="43"/>
      <c r="SH201" s="43"/>
      <c r="SI201" s="43"/>
      <c r="SJ201" s="43"/>
      <c r="SK201" s="43"/>
      <c r="SL201" s="43"/>
      <c r="SM201" s="43"/>
      <c r="SN201" s="43"/>
      <c r="SO201" s="43"/>
      <c r="SP201" s="43"/>
      <c r="SQ201" s="43"/>
      <c r="SR201" s="43"/>
      <c r="SS201" s="43"/>
      <c r="ST201" s="43"/>
      <c r="SU201" s="43"/>
      <c r="SV201" s="43"/>
      <c r="SW201" s="43"/>
      <c r="SX201" s="43"/>
      <c r="SY201" s="43"/>
      <c r="SZ201" s="43"/>
      <c r="TA201" s="43"/>
      <c r="TB201" s="43"/>
      <c r="TC201" s="43"/>
      <c r="TD201" s="43"/>
      <c r="TE201" s="43"/>
      <c r="TF201" s="43"/>
      <c r="TG201" s="43"/>
      <c r="TH201" s="43"/>
    </row>
    <row r="202" spans="1:528" ht="15.6" customHeight="1">
      <c r="A202" s="77"/>
      <c r="B202" s="287"/>
      <c r="C202" s="40"/>
      <c r="D202" s="48"/>
      <c r="E202" s="40"/>
      <c r="F202" s="40"/>
      <c r="G202" s="40"/>
      <c r="H202" s="40"/>
      <c r="I202" s="77"/>
      <c r="J202" s="52"/>
      <c r="K202" s="40"/>
      <c r="L202" s="40"/>
      <c r="M202" s="40"/>
      <c r="N202" s="40"/>
      <c r="O202" s="40"/>
      <c r="P202" s="40"/>
      <c r="Q202" s="210"/>
      <c r="R202" s="210"/>
      <c r="OY202" s="1796"/>
      <c r="OZ202" s="1799">
        <v>198</v>
      </c>
    </row>
    <row r="203" spans="1:528" ht="15.6" customHeight="1">
      <c r="A203" s="77"/>
      <c r="B203" s="287" t="s">
        <v>1283</v>
      </c>
      <c r="C203" s="40"/>
      <c r="D203" s="40"/>
      <c r="E203" s="40"/>
      <c r="F203" s="40"/>
      <c r="G203" s="40"/>
      <c r="H203" s="40"/>
      <c r="I203" s="40"/>
      <c r="J203" s="287"/>
      <c r="K203" s="40"/>
      <c r="L203" s="511"/>
      <c r="M203" s="40"/>
      <c r="N203" s="40"/>
      <c r="O203" s="40"/>
      <c r="P203" s="40"/>
      <c r="Q203" s="54"/>
      <c r="S203" s="2542" t="str">
        <f>B203</f>
        <v>Other Income (OI) by Year:</v>
      </c>
      <c r="OY203" s="1796"/>
      <c r="OZ203" s="1799">
        <v>199</v>
      </c>
    </row>
    <row r="204" spans="1:528" ht="15.6" customHeight="1">
      <c r="A204" s="77"/>
      <c r="B204" s="512" t="s">
        <v>1284</v>
      </c>
      <c r="C204" s="40"/>
      <c r="D204" s="40"/>
      <c r="E204" s="40"/>
      <c r="F204" s="40"/>
      <c r="G204" s="77"/>
      <c r="H204" s="513">
        <v>1</v>
      </c>
      <c r="I204" s="513">
        <v>2</v>
      </c>
      <c r="J204" s="513">
        <v>3</v>
      </c>
      <c r="K204" s="513">
        <v>4</v>
      </c>
      <c r="L204" s="514">
        <v>5</v>
      </c>
      <c r="M204" s="513">
        <v>6</v>
      </c>
      <c r="N204" s="513">
        <v>7</v>
      </c>
      <c r="O204" s="513">
        <v>8</v>
      </c>
      <c r="P204" s="513">
        <v>9</v>
      </c>
      <c r="Q204" s="513">
        <v>10</v>
      </c>
      <c r="R204" s="351"/>
      <c r="S204" s="43" t="str">
        <f>B204</f>
        <v>Included in Mgt Fee:</v>
      </c>
      <c r="OY204" s="1796"/>
      <c r="OZ204" s="1799">
        <v>200</v>
      </c>
    </row>
    <row r="205" spans="1:528" ht="15.6" customHeight="1">
      <c r="A205" s="77"/>
      <c r="B205" s="48" t="s">
        <v>1285</v>
      </c>
      <c r="C205" s="48"/>
      <c r="D205" s="48"/>
      <c r="E205" s="48"/>
      <c r="F205" s="48"/>
      <c r="G205" s="77"/>
      <c r="H205" s="2752"/>
      <c r="I205" s="2752"/>
      <c r="J205" s="2752"/>
      <c r="K205" s="2752"/>
      <c r="L205" s="2752"/>
      <c r="M205" s="2752"/>
      <c r="N205" s="2752"/>
      <c r="O205" s="2752"/>
      <c r="P205" s="2752"/>
      <c r="Q205" s="2752"/>
      <c r="R205" s="2370"/>
      <c r="S205" s="3777"/>
      <c r="T205" s="3778"/>
      <c r="U205" s="3778"/>
      <c r="V205" s="3778"/>
      <c r="W205" s="3779"/>
      <c r="OZ205" s="1799">
        <v>201</v>
      </c>
    </row>
    <row r="206" spans="1:528" ht="15.6" customHeight="1">
      <c r="A206" s="77"/>
      <c r="B206" s="48" t="s">
        <v>436</v>
      </c>
      <c r="C206" s="3768"/>
      <c r="D206" s="3769"/>
      <c r="E206" s="3769"/>
      <c r="F206" s="3770"/>
      <c r="G206" s="77"/>
      <c r="H206" s="515"/>
      <c r="I206" s="515"/>
      <c r="J206" s="515"/>
      <c r="K206" s="515"/>
      <c r="L206" s="516"/>
      <c r="M206" s="515"/>
      <c r="N206" s="515"/>
      <c r="O206" s="515"/>
      <c r="P206" s="515"/>
      <c r="Q206" s="515"/>
      <c r="R206" s="2370"/>
      <c r="S206" s="3758"/>
      <c r="T206" s="3759"/>
      <c r="U206" s="3759"/>
      <c r="V206" s="3759"/>
      <c r="W206" s="3760"/>
      <c r="OZ206" s="1799">
        <v>202</v>
      </c>
    </row>
    <row r="207" spans="1:528" ht="15.6" customHeight="1">
      <c r="A207" s="77"/>
      <c r="B207" s="48"/>
      <c r="C207" s="48" t="s">
        <v>1286</v>
      </c>
      <c r="D207" s="48"/>
      <c r="E207" s="48"/>
      <c r="F207" s="48"/>
      <c r="G207" s="77"/>
      <c r="H207" s="2753">
        <f>SUM(H205:H206)</f>
        <v>0</v>
      </c>
      <c r="I207" s="2753">
        <f>SUM(I205:I206)</f>
        <v>0</v>
      </c>
      <c r="J207" s="2753">
        <f t="shared" ref="J207:Q207" si="689">SUM(J205:J206)</f>
        <v>0</v>
      </c>
      <c r="K207" s="2753">
        <f t="shared" si="689"/>
        <v>0</v>
      </c>
      <c r="L207" s="2753">
        <f t="shared" si="689"/>
        <v>0</v>
      </c>
      <c r="M207" s="2753">
        <f t="shared" si="689"/>
        <v>0</v>
      </c>
      <c r="N207" s="2753">
        <f t="shared" si="689"/>
        <v>0</v>
      </c>
      <c r="O207" s="2753">
        <f t="shared" si="689"/>
        <v>0</v>
      </c>
      <c r="P207" s="2753">
        <f t="shared" si="689"/>
        <v>0</v>
      </c>
      <c r="Q207" s="2753">
        <f t="shared" si="689"/>
        <v>0</v>
      </c>
      <c r="R207" s="320"/>
      <c r="S207" s="3725"/>
      <c r="T207" s="3726"/>
      <c r="U207" s="3726"/>
      <c r="V207" s="3726"/>
      <c r="W207" s="3727"/>
      <c r="OY207" s="1796"/>
      <c r="OZ207" s="1801">
        <v>203</v>
      </c>
    </row>
    <row r="208" spans="1:528" ht="15.6" customHeight="1">
      <c r="A208" s="77"/>
      <c r="B208" s="517" t="s">
        <v>1287</v>
      </c>
      <c r="C208" s="40"/>
      <c r="D208" s="40"/>
      <c r="E208" s="40"/>
      <c r="F208" s="40"/>
      <c r="G208" s="77"/>
      <c r="H208" s="518"/>
      <c r="I208" s="40"/>
      <c r="J208" s="40"/>
      <c r="K208" s="40"/>
      <c r="L208" s="40"/>
      <c r="M208" s="40"/>
      <c r="N208" s="40"/>
      <c r="O208" s="40"/>
      <c r="P208" s="40"/>
      <c r="Q208" s="40"/>
      <c r="R208" s="77"/>
      <c r="S208" s="43" t="str">
        <f>B208</f>
        <v>NOT Included in Mgt Fee:</v>
      </c>
      <c r="OZ208" s="1799">
        <v>204</v>
      </c>
    </row>
    <row r="209" spans="1:528" ht="15.6" customHeight="1">
      <c r="A209" s="77"/>
      <c r="B209" s="48" t="s">
        <v>1288</v>
      </c>
      <c r="C209" s="48"/>
      <c r="D209" s="48"/>
      <c r="E209" s="48"/>
      <c r="F209" s="48"/>
      <c r="G209" s="77"/>
      <c r="H209" s="2752"/>
      <c r="I209" s="2752"/>
      <c r="J209" s="2752"/>
      <c r="K209" s="2752"/>
      <c r="L209" s="2752"/>
      <c r="M209" s="2752"/>
      <c r="N209" s="2752"/>
      <c r="O209" s="2752"/>
      <c r="P209" s="2752"/>
      <c r="Q209" s="2752"/>
      <c r="R209" s="2370"/>
      <c r="S209" s="3777"/>
      <c r="T209" s="3778"/>
      <c r="U209" s="3778"/>
      <c r="V209" s="3778"/>
      <c r="W209" s="3779"/>
      <c r="OZ209" s="1798">
        <v>205</v>
      </c>
    </row>
    <row r="210" spans="1:528" ht="15.6" customHeight="1">
      <c r="A210" s="77"/>
      <c r="B210" s="48" t="s">
        <v>436</v>
      </c>
      <c r="C210" s="3768"/>
      <c r="D210" s="3769"/>
      <c r="E210" s="3769"/>
      <c r="F210" s="3770"/>
      <c r="G210" s="77"/>
      <c r="H210" s="515"/>
      <c r="I210" s="515"/>
      <c r="J210" s="515"/>
      <c r="K210" s="515"/>
      <c r="L210" s="516"/>
      <c r="M210" s="515"/>
      <c r="N210" s="515"/>
      <c r="O210" s="515"/>
      <c r="P210" s="515"/>
      <c r="Q210" s="515"/>
      <c r="R210" s="2370"/>
      <c r="S210" s="3758"/>
      <c r="T210" s="3759"/>
      <c r="U210" s="3759"/>
      <c r="V210" s="3759"/>
      <c r="W210" s="3760"/>
      <c r="OZ210" s="1799">
        <v>206</v>
      </c>
    </row>
    <row r="211" spans="1:528" ht="15.6" customHeight="1">
      <c r="A211" s="77"/>
      <c r="B211" s="48"/>
      <c r="C211" s="48" t="s">
        <v>1289</v>
      </c>
      <c r="D211" s="48"/>
      <c r="E211" s="48"/>
      <c r="F211" s="48"/>
      <c r="G211" s="77"/>
      <c r="H211" s="2753">
        <f>SUM(H209:H210)</f>
        <v>0</v>
      </c>
      <c r="I211" s="2753">
        <f>SUM(I209:I210)</f>
        <v>0</v>
      </c>
      <c r="J211" s="2753">
        <f t="shared" ref="J211:Q211" si="690">SUM(J209:J210)</f>
        <v>0</v>
      </c>
      <c r="K211" s="2753">
        <f t="shared" si="690"/>
        <v>0</v>
      </c>
      <c r="L211" s="2753">
        <f t="shared" si="690"/>
        <v>0</v>
      </c>
      <c r="M211" s="2753">
        <f t="shared" si="690"/>
        <v>0</v>
      </c>
      <c r="N211" s="2753">
        <f t="shared" si="690"/>
        <v>0</v>
      </c>
      <c r="O211" s="2753">
        <f t="shared" si="690"/>
        <v>0</v>
      </c>
      <c r="P211" s="2753">
        <f t="shared" si="690"/>
        <v>0</v>
      </c>
      <c r="Q211" s="2753">
        <f t="shared" si="690"/>
        <v>0</v>
      </c>
      <c r="R211" s="320"/>
      <c r="S211" s="3725"/>
      <c r="T211" s="3726"/>
      <c r="U211" s="3726"/>
      <c r="V211" s="3726"/>
      <c r="W211" s="3727"/>
      <c r="OZ211" s="1799">
        <v>207</v>
      </c>
    </row>
    <row r="212" spans="1:528" ht="15.6" customHeight="1">
      <c r="A212" s="77"/>
      <c r="B212" s="287"/>
      <c r="C212" s="40"/>
      <c r="D212" s="40"/>
      <c r="E212" s="40"/>
      <c r="F212" s="40"/>
      <c r="G212" s="77"/>
      <c r="H212" s="518"/>
      <c r="I212" s="40"/>
      <c r="J212" s="40"/>
      <c r="K212" s="40"/>
      <c r="L212" s="40"/>
      <c r="M212" s="40"/>
      <c r="N212" s="40"/>
      <c r="O212" s="40"/>
      <c r="P212" s="40"/>
      <c r="Q212" s="40"/>
      <c r="R212" s="77"/>
      <c r="OZ212" s="1798">
        <v>208</v>
      </c>
    </row>
    <row r="213" spans="1:528" ht="15.6" customHeight="1">
      <c r="A213" s="77"/>
      <c r="B213" s="512" t="s">
        <v>1284</v>
      </c>
      <c r="C213" s="40"/>
      <c r="D213" s="40"/>
      <c r="E213" s="40"/>
      <c r="F213" s="40"/>
      <c r="G213" s="77"/>
      <c r="H213" s="513">
        <v>11</v>
      </c>
      <c r="I213" s="513">
        <v>12</v>
      </c>
      <c r="J213" s="513">
        <v>13</v>
      </c>
      <c r="K213" s="513">
        <v>14</v>
      </c>
      <c r="L213" s="513">
        <v>15</v>
      </c>
      <c r="M213" s="513">
        <v>16</v>
      </c>
      <c r="N213" s="513">
        <v>17</v>
      </c>
      <c r="O213" s="513">
        <v>18</v>
      </c>
      <c r="P213" s="513">
        <v>19</v>
      </c>
      <c r="Q213" s="513">
        <v>20</v>
      </c>
      <c r="S213" s="72" t="s">
        <v>1290</v>
      </c>
      <c r="T213" s="43" t="str">
        <f>B213</f>
        <v>Included in Mgt Fee:</v>
      </c>
      <c r="OZ213" s="1799">
        <v>209</v>
      </c>
    </row>
    <row r="214" spans="1:528" ht="15.6" customHeight="1">
      <c r="A214" s="35"/>
      <c r="B214" s="48" t="s">
        <v>1285</v>
      </c>
      <c r="C214" s="48"/>
      <c r="D214" s="48"/>
      <c r="E214" s="48"/>
      <c r="F214" s="48"/>
      <c r="G214" s="77"/>
      <c r="H214" s="2752"/>
      <c r="I214" s="2752"/>
      <c r="J214" s="2752"/>
      <c r="K214" s="2752"/>
      <c r="L214" s="2754"/>
      <c r="M214" s="2752"/>
      <c r="N214" s="2752"/>
      <c r="O214" s="2752"/>
      <c r="P214" s="2752"/>
      <c r="Q214" s="2752"/>
      <c r="R214" s="2370"/>
      <c r="S214" s="3777"/>
      <c r="T214" s="3778"/>
      <c r="U214" s="3778"/>
      <c r="V214" s="3778"/>
      <c r="W214" s="3779"/>
      <c r="LF214" s="251"/>
      <c r="LK214" s="251"/>
      <c r="LP214" s="251"/>
      <c r="LU214" s="251"/>
      <c r="LV214" s="251"/>
      <c r="LW214" s="251"/>
      <c r="LX214" s="251"/>
      <c r="LY214" s="251"/>
      <c r="LZ214" s="251"/>
      <c r="MA214" s="251"/>
      <c r="MB214" s="251"/>
      <c r="MC214" s="251"/>
      <c r="MD214" s="251"/>
      <c r="ME214" s="251"/>
      <c r="MF214" s="251"/>
      <c r="MG214" s="251"/>
      <c r="MH214" s="251"/>
      <c r="MI214" s="251"/>
      <c r="MJ214" s="251"/>
      <c r="MK214" s="251"/>
      <c r="ML214" s="251"/>
      <c r="MM214" s="251"/>
      <c r="MN214" s="251"/>
      <c r="MO214" s="251"/>
      <c r="MP214" s="251"/>
      <c r="MW214" s="251"/>
      <c r="NM214" s="251"/>
      <c r="NN214" s="251"/>
      <c r="OZ214" s="1799">
        <v>210</v>
      </c>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c r="RK214" s="35"/>
      <c r="RL214" s="35"/>
      <c r="RM214" s="35"/>
      <c r="RN214" s="35"/>
      <c r="RO214" s="35"/>
      <c r="RP214" s="35"/>
      <c r="RQ214" s="35"/>
      <c r="RR214" s="35"/>
      <c r="RS214" s="35"/>
      <c r="RT214" s="35"/>
      <c r="RU214" s="35"/>
      <c r="RV214" s="35"/>
      <c r="RW214" s="35"/>
      <c r="RX214" s="35"/>
      <c r="RY214" s="35"/>
      <c r="RZ214" s="35"/>
      <c r="SA214" s="35"/>
      <c r="SB214" s="35"/>
      <c r="SC214" s="35"/>
      <c r="SD214" s="35"/>
      <c r="SE214" s="35"/>
      <c r="SF214" s="35"/>
      <c r="SG214" s="35"/>
      <c r="SH214" s="35"/>
      <c r="SI214" s="35"/>
      <c r="SJ214" s="35"/>
      <c r="SK214" s="35"/>
      <c r="SL214" s="35"/>
      <c r="SM214" s="35"/>
      <c r="SN214" s="35"/>
      <c r="SO214" s="35"/>
      <c r="SP214" s="35"/>
      <c r="SQ214" s="35"/>
      <c r="SR214" s="35"/>
      <c r="SS214" s="35"/>
      <c r="ST214" s="35"/>
      <c r="SU214" s="35"/>
      <c r="SV214" s="35"/>
      <c r="SW214" s="35"/>
      <c r="SX214" s="35"/>
      <c r="SY214" s="35"/>
      <c r="SZ214" s="35"/>
      <c r="TA214" s="35"/>
      <c r="TB214" s="35"/>
      <c r="TC214" s="35"/>
      <c r="TD214" s="35"/>
      <c r="TE214" s="35"/>
      <c r="TF214" s="35"/>
      <c r="TG214" s="35"/>
      <c r="TH214" s="35"/>
    </row>
    <row r="215" spans="1:528" ht="15.6" customHeight="1">
      <c r="A215" s="35"/>
      <c r="B215" s="48" t="s">
        <v>436</v>
      </c>
      <c r="C215" s="3768"/>
      <c r="D215" s="3769"/>
      <c r="E215" s="3769"/>
      <c r="F215" s="3770"/>
      <c r="G215" s="77"/>
      <c r="H215" s="515"/>
      <c r="I215" s="515"/>
      <c r="J215" s="515"/>
      <c r="K215" s="515"/>
      <c r="L215" s="516"/>
      <c r="M215" s="515"/>
      <c r="N215" s="515"/>
      <c r="O215" s="515"/>
      <c r="P215" s="515"/>
      <c r="Q215" s="515"/>
      <c r="R215" s="2370"/>
      <c r="S215" s="3758"/>
      <c r="T215" s="3759"/>
      <c r="U215" s="3759"/>
      <c r="V215" s="3759"/>
      <c r="W215" s="3760"/>
      <c r="LF215" s="251"/>
      <c r="LK215" s="251"/>
      <c r="LP215" s="251"/>
      <c r="LU215" s="251"/>
      <c r="LV215" s="251"/>
      <c r="LW215" s="251"/>
      <c r="LX215" s="251"/>
      <c r="LY215" s="251"/>
      <c r="LZ215" s="251"/>
      <c r="MA215" s="251"/>
      <c r="MB215" s="251"/>
      <c r="MC215" s="251"/>
      <c r="MD215" s="251"/>
      <c r="ME215" s="251"/>
      <c r="MF215" s="251"/>
      <c r="MG215" s="251"/>
      <c r="MH215" s="251"/>
      <c r="MI215" s="251"/>
      <c r="MJ215" s="251"/>
      <c r="MK215" s="251"/>
      <c r="ML215" s="251"/>
      <c r="MM215" s="251"/>
      <c r="MN215" s="251"/>
      <c r="MO215" s="251"/>
      <c r="MP215" s="251"/>
      <c r="MW215" s="251"/>
      <c r="NM215" s="251"/>
      <c r="NN215" s="251"/>
      <c r="OZ215" s="1799">
        <v>211</v>
      </c>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c r="RK215" s="35"/>
      <c r="RL215" s="35"/>
      <c r="RM215" s="35"/>
      <c r="RN215" s="35"/>
      <c r="RO215" s="35"/>
      <c r="RP215" s="35"/>
      <c r="RQ215" s="35"/>
      <c r="RR215" s="35"/>
      <c r="RS215" s="35"/>
      <c r="RT215" s="35"/>
      <c r="RU215" s="35"/>
      <c r="RV215" s="35"/>
      <c r="RW215" s="35"/>
      <c r="RX215" s="35"/>
      <c r="RY215" s="35"/>
      <c r="RZ215" s="35"/>
      <c r="SA215" s="35"/>
      <c r="SB215" s="35"/>
      <c r="SC215" s="35"/>
      <c r="SD215" s="35"/>
      <c r="SE215" s="35"/>
      <c r="SF215" s="35"/>
      <c r="SG215" s="35"/>
      <c r="SH215" s="35"/>
      <c r="SI215" s="35"/>
      <c r="SJ215" s="35"/>
      <c r="SK215" s="35"/>
      <c r="SL215" s="35"/>
      <c r="SM215" s="35"/>
      <c r="SN215" s="35"/>
      <c r="SO215" s="35"/>
      <c r="SP215" s="35"/>
      <c r="SQ215" s="35"/>
      <c r="SR215" s="35"/>
      <c r="SS215" s="35"/>
      <c r="ST215" s="35"/>
      <c r="SU215" s="35"/>
      <c r="SV215" s="35"/>
      <c r="SW215" s="35"/>
      <c r="SX215" s="35"/>
      <c r="SY215" s="35"/>
      <c r="SZ215" s="35"/>
      <c r="TA215" s="35"/>
      <c r="TB215" s="35"/>
      <c r="TC215" s="35"/>
      <c r="TD215" s="35"/>
      <c r="TE215" s="35"/>
      <c r="TF215" s="35"/>
      <c r="TG215" s="35"/>
      <c r="TH215" s="35"/>
    </row>
    <row r="216" spans="1:528" ht="15.6" customHeight="1">
      <c r="A216" s="35"/>
      <c r="B216" s="48"/>
      <c r="C216" s="48" t="s">
        <v>1286</v>
      </c>
      <c r="D216" s="48"/>
      <c r="E216" s="48"/>
      <c r="F216" s="48"/>
      <c r="G216" s="77"/>
      <c r="H216" s="2753">
        <f>SUM(H214:H215)</f>
        <v>0</v>
      </c>
      <c r="I216" s="2753">
        <f>SUM(I214:I215)</f>
        <v>0</v>
      </c>
      <c r="J216" s="2753">
        <f t="shared" ref="J216:Q216" si="691">SUM(J214:J215)</f>
        <v>0</v>
      </c>
      <c r="K216" s="2753">
        <f t="shared" si="691"/>
        <v>0</v>
      </c>
      <c r="L216" s="2753">
        <f t="shared" si="691"/>
        <v>0</v>
      </c>
      <c r="M216" s="2753">
        <f t="shared" si="691"/>
        <v>0</v>
      </c>
      <c r="N216" s="2753">
        <f t="shared" si="691"/>
        <v>0</v>
      </c>
      <c r="O216" s="2753">
        <f t="shared" si="691"/>
        <v>0</v>
      </c>
      <c r="P216" s="2753">
        <f t="shared" si="691"/>
        <v>0</v>
      </c>
      <c r="Q216" s="2753">
        <f t="shared" si="691"/>
        <v>0</v>
      </c>
      <c r="R216" s="320"/>
      <c r="S216" s="3725"/>
      <c r="T216" s="3726"/>
      <c r="U216" s="3726"/>
      <c r="V216" s="3726"/>
      <c r="W216" s="3727"/>
      <c r="LF216" s="251"/>
      <c r="LK216" s="251"/>
      <c r="LP216" s="251"/>
      <c r="LU216" s="251"/>
      <c r="LV216" s="251"/>
      <c r="LW216" s="251"/>
      <c r="LX216" s="251"/>
      <c r="LY216" s="251"/>
      <c r="LZ216" s="251"/>
      <c r="MA216" s="251"/>
      <c r="MB216" s="251"/>
      <c r="MC216" s="251"/>
      <c r="MD216" s="251"/>
      <c r="ME216" s="251"/>
      <c r="MF216" s="251"/>
      <c r="MG216" s="251"/>
      <c r="MH216" s="251"/>
      <c r="MI216" s="251"/>
      <c r="MJ216" s="251"/>
      <c r="MK216" s="251"/>
      <c r="ML216" s="251"/>
      <c r="MM216" s="251"/>
      <c r="MN216" s="251"/>
      <c r="MO216" s="251"/>
      <c r="MP216" s="251"/>
      <c r="MW216" s="251"/>
      <c r="NM216" s="251"/>
      <c r="NN216" s="251"/>
      <c r="OZ216" s="1799">
        <v>212</v>
      </c>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c r="RK216" s="35"/>
      <c r="RL216" s="35"/>
      <c r="RM216" s="35"/>
      <c r="RN216" s="35"/>
      <c r="RO216" s="35"/>
      <c r="RP216" s="35"/>
      <c r="RQ216" s="35"/>
      <c r="RR216" s="35"/>
      <c r="RS216" s="35"/>
      <c r="RT216" s="35"/>
      <c r="RU216" s="35"/>
      <c r="RV216" s="35"/>
      <c r="RW216" s="35"/>
      <c r="RX216" s="35"/>
      <c r="RY216" s="35"/>
      <c r="RZ216" s="35"/>
      <c r="SA216" s="35"/>
      <c r="SB216" s="35"/>
      <c r="SC216" s="35"/>
      <c r="SD216" s="35"/>
      <c r="SE216" s="35"/>
      <c r="SF216" s="35"/>
      <c r="SG216" s="35"/>
      <c r="SH216" s="35"/>
      <c r="SI216" s="35"/>
      <c r="SJ216" s="35"/>
      <c r="SK216" s="35"/>
      <c r="SL216" s="35"/>
      <c r="SM216" s="35"/>
      <c r="SN216" s="35"/>
      <c r="SO216" s="35"/>
      <c r="SP216" s="35"/>
      <c r="SQ216" s="35"/>
      <c r="SR216" s="35"/>
      <c r="SS216" s="35"/>
      <c r="ST216" s="35"/>
      <c r="SU216" s="35"/>
      <c r="SV216" s="35"/>
      <c r="SW216" s="35"/>
      <c r="SX216" s="35"/>
      <c r="SY216" s="35"/>
      <c r="SZ216" s="35"/>
      <c r="TA216" s="35"/>
      <c r="TB216" s="35"/>
      <c r="TC216" s="35"/>
      <c r="TD216" s="35"/>
      <c r="TE216" s="35"/>
      <c r="TF216" s="35"/>
      <c r="TG216" s="35"/>
      <c r="TH216" s="35"/>
    </row>
    <row r="217" spans="1:528" ht="15.6" customHeight="1">
      <c r="A217" s="35"/>
      <c r="B217" s="517" t="s">
        <v>1287</v>
      </c>
      <c r="C217" s="40"/>
      <c r="D217" s="40"/>
      <c r="E217" s="40"/>
      <c r="F217" s="40"/>
      <c r="G217" s="77"/>
      <c r="H217" s="518"/>
      <c r="I217" s="40"/>
      <c r="J217" s="40"/>
      <c r="K217" s="40"/>
      <c r="L217" s="40"/>
      <c r="M217" s="40"/>
      <c r="N217" s="40"/>
      <c r="O217" s="40"/>
      <c r="P217" s="40"/>
      <c r="Q217" s="40"/>
      <c r="R217" s="77"/>
      <c r="S217" s="43" t="str">
        <f>B217</f>
        <v>NOT Included in Mgt Fee:</v>
      </c>
      <c r="LF217" s="251"/>
      <c r="LK217" s="251"/>
      <c r="LP217" s="251"/>
      <c r="LU217" s="251"/>
      <c r="LV217" s="251"/>
      <c r="LW217" s="251"/>
      <c r="LX217" s="251"/>
      <c r="LY217" s="251"/>
      <c r="LZ217" s="251"/>
      <c r="MA217" s="251"/>
      <c r="MB217" s="251"/>
      <c r="MC217" s="251"/>
      <c r="MD217" s="251"/>
      <c r="ME217" s="251"/>
      <c r="MF217" s="251"/>
      <c r="MG217" s="251"/>
      <c r="MH217" s="251"/>
      <c r="MI217" s="251"/>
      <c r="MJ217" s="251"/>
      <c r="MK217" s="251"/>
      <c r="ML217" s="251"/>
      <c r="MM217" s="251"/>
      <c r="MN217" s="251"/>
      <c r="MO217" s="251"/>
      <c r="MP217" s="251"/>
      <c r="MW217" s="251"/>
      <c r="NM217" s="251"/>
      <c r="NN217" s="251"/>
      <c r="OZ217" s="1799">
        <v>213</v>
      </c>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row>
    <row r="218" spans="1:528" ht="15.6" customHeight="1">
      <c r="A218" s="35"/>
      <c r="B218" s="48" t="s">
        <v>1288</v>
      </c>
      <c r="C218" s="48"/>
      <c r="D218" s="48"/>
      <c r="E218" s="48"/>
      <c r="F218" s="48"/>
      <c r="G218" s="77"/>
      <c r="H218" s="2752"/>
      <c r="I218" s="2752"/>
      <c r="J218" s="2752"/>
      <c r="K218" s="2752"/>
      <c r="L218" s="2754"/>
      <c r="M218" s="2752"/>
      <c r="N218" s="2752"/>
      <c r="O218" s="2752"/>
      <c r="P218" s="2752"/>
      <c r="Q218" s="2752"/>
      <c r="R218" s="2370"/>
      <c r="S218" s="3777"/>
      <c r="T218" s="3778"/>
      <c r="U218" s="3778"/>
      <c r="V218" s="3778"/>
      <c r="W218" s="3779"/>
      <c r="LF218" s="251"/>
      <c r="LK218" s="251"/>
      <c r="LP218" s="251"/>
      <c r="LU218" s="251"/>
      <c r="LV218" s="251"/>
      <c r="LW218" s="251"/>
      <c r="LX218" s="251"/>
      <c r="LY218" s="251"/>
      <c r="LZ218" s="251"/>
      <c r="MA218" s="251"/>
      <c r="MB218" s="251"/>
      <c r="MC218" s="251"/>
      <c r="MD218" s="251"/>
      <c r="ME218" s="251"/>
      <c r="MF218" s="251"/>
      <c r="MG218" s="251"/>
      <c r="MH218" s="251"/>
      <c r="MI218" s="251"/>
      <c r="MJ218" s="251"/>
      <c r="MK218" s="251"/>
      <c r="ML218" s="251"/>
      <c r="MM218" s="251"/>
      <c r="MN218" s="251"/>
      <c r="MO218" s="251"/>
      <c r="MP218" s="251"/>
      <c r="MW218" s="251"/>
      <c r="NM218" s="251"/>
      <c r="NN218" s="251"/>
      <c r="OZ218" s="1801">
        <v>214</v>
      </c>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c r="RK218" s="35"/>
      <c r="RL218" s="35"/>
      <c r="RM218" s="35"/>
      <c r="RN218" s="35"/>
      <c r="RO218" s="35"/>
      <c r="RP218" s="35"/>
      <c r="RQ218" s="35"/>
      <c r="RR218" s="35"/>
      <c r="RS218" s="35"/>
      <c r="RT218" s="35"/>
      <c r="RU218" s="35"/>
      <c r="RV218" s="35"/>
      <c r="RW218" s="35"/>
      <c r="RX218" s="35"/>
      <c r="RY218" s="35"/>
      <c r="RZ218" s="35"/>
      <c r="SA218" s="35"/>
      <c r="SB218" s="35"/>
      <c r="SC218" s="35"/>
      <c r="SD218" s="35"/>
      <c r="SE218" s="35"/>
      <c r="SF218" s="35"/>
      <c r="SG218" s="35"/>
      <c r="SH218" s="35"/>
      <c r="SI218" s="35"/>
      <c r="SJ218" s="35"/>
      <c r="SK218" s="35"/>
      <c r="SL218" s="35"/>
      <c r="SM218" s="35"/>
      <c r="SN218" s="35"/>
      <c r="SO218" s="35"/>
      <c r="SP218" s="35"/>
      <c r="SQ218" s="35"/>
      <c r="SR218" s="35"/>
      <c r="SS218" s="35"/>
      <c r="ST218" s="35"/>
      <c r="SU218" s="35"/>
      <c r="SV218" s="35"/>
      <c r="SW218" s="35"/>
      <c r="SX218" s="35"/>
      <c r="SY218" s="35"/>
      <c r="SZ218" s="35"/>
      <c r="TA218" s="35"/>
      <c r="TB218" s="35"/>
      <c r="TC218" s="35"/>
      <c r="TD218" s="35"/>
      <c r="TE218" s="35"/>
      <c r="TF218" s="35"/>
      <c r="TG218" s="35"/>
      <c r="TH218" s="35"/>
    </row>
    <row r="219" spans="1:528" ht="15.6" customHeight="1">
      <c r="A219" s="35"/>
      <c r="B219" s="48" t="s">
        <v>436</v>
      </c>
      <c r="C219" s="3768"/>
      <c r="D219" s="3769"/>
      <c r="E219" s="3769"/>
      <c r="F219" s="3770"/>
      <c r="G219" s="77"/>
      <c r="H219" s="515"/>
      <c r="I219" s="515"/>
      <c r="J219" s="515"/>
      <c r="K219" s="515"/>
      <c r="L219" s="516"/>
      <c r="M219" s="515"/>
      <c r="N219" s="515"/>
      <c r="O219" s="515"/>
      <c r="P219" s="515"/>
      <c r="Q219" s="515"/>
      <c r="R219" s="2370"/>
      <c r="S219" s="3758"/>
      <c r="T219" s="3759"/>
      <c r="U219" s="3759"/>
      <c r="V219" s="3759"/>
      <c r="W219" s="3760"/>
      <c r="LF219" s="251"/>
      <c r="LK219" s="251"/>
      <c r="LP219" s="251"/>
      <c r="LU219" s="251"/>
      <c r="LV219" s="251"/>
      <c r="LW219" s="251"/>
      <c r="LX219" s="251"/>
      <c r="LY219" s="251"/>
      <c r="LZ219" s="251"/>
      <c r="MA219" s="251"/>
      <c r="MB219" s="251"/>
      <c r="MC219" s="251"/>
      <c r="MD219" s="251"/>
      <c r="ME219" s="251"/>
      <c r="MF219" s="251"/>
      <c r="MG219" s="251"/>
      <c r="MH219" s="251"/>
      <c r="MI219" s="251"/>
      <c r="MJ219" s="251"/>
      <c r="MK219" s="251"/>
      <c r="ML219" s="251"/>
      <c r="MM219" s="251"/>
      <c r="MN219" s="251"/>
      <c r="MO219" s="251"/>
      <c r="MP219" s="251"/>
      <c r="MW219" s="251"/>
      <c r="NM219" s="251"/>
      <c r="NN219" s="251"/>
      <c r="OZ219" s="1799">
        <v>215</v>
      </c>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c r="RK219" s="35"/>
      <c r="RL219" s="35"/>
      <c r="RM219" s="35"/>
      <c r="RN219" s="35"/>
      <c r="RO219" s="35"/>
      <c r="RP219" s="35"/>
      <c r="RQ219" s="35"/>
      <c r="RR219" s="35"/>
      <c r="RS219" s="35"/>
      <c r="RT219" s="35"/>
      <c r="RU219" s="35"/>
      <c r="RV219" s="35"/>
      <c r="RW219" s="35"/>
      <c r="RX219" s="35"/>
      <c r="RY219" s="35"/>
      <c r="RZ219" s="35"/>
      <c r="SA219" s="35"/>
      <c r="SB219" s="35"/>
      <c r="SC219" s="35"/>
      <c r="SD219" s="35"/>
      <c r="SE219" s="35"/>
      <c r="SF219" s="35"/>
      <c r="SG219" s="35"/>
      <c r="SH219" s="35"/>
      <c r="SI219" s="35"/>
      <c r="SJ219" s="35"/>
      <c r="SK219" s="35"/>
      <c r="SL219" s="35"/>
      <c r="SM219" s="35"/>
      <c r="SN219" s="35"/>
      <c r="SO219" s="35"/>
      <c r="SP219" s="35"/>
      <c r="SQ219" s="35"/>
      <c r="SR219" s="35"/>
      <c r="SS219" s="35"/>
      <c r="ST219" s="35"/>
      <c r="SU219" s="35"/>
      <c r="SV219" s="35"/>
      <c r="SW219" s="35"/>
      <c r="SX219" s="35"/>
      <c r="SY219" s="35"/>
      <c r="SZ219" s="35"/>
      <c r="TA219" s="35"/>
      <c r="TB219" s="35"/>
      <c r="TC219" s="35"/>
      <c r="TD219" s="35"/>
      <c r="TE219" s="35"/>
      <c r="TF219" s="35"/>
      <c r="TG219" s="35"/>
      <c r="TH219" s="35"/>
    </row>
    <row r="220" spans="1:528" ht="15.6" customHeight="1">
      <c r="A220" s="35"/>
      <c r="B220" s="48"/>
      <c r="C220" s="48" t="s">
        <v>1289</v>
      </c>
      <c r="D220" s="48"/>
      <c r="E220" s="48"/>
      <c r="F220" s="48"/>
      <c r="G220" s="77"/>
      <c r="H220" s="2753">
        <f>SUM(H218:H219)</f>
        <v>0</v>
      </c>
      <c r="I220" s="2753">
        <f>SUM(I218:I219)</f>
        <v>0</v>
      </c>
      <c r="J220" s="2753">
        <f t="shared" ref="J220:Q220" si="692">SUM(J218:J219)</f>
        <v>0</v>
      </c>
      <c r="K220" s="2753">
        <f t="shared" si="692"/>
        <v>0</v>
      </c>
      <c r="L220" s="2753">
        <f t="shared" si="692"/>
        <v>0</v>
      </c>
      <c r="M220" s="2753">
        <f t="shared" si="692"/>
        <v>0</v>
      </c>
      <c r="N220" s="2753">
        <f t="shared" si="692"/>
        <v>0</v>
      </c>
      <c r="O220" s="2753">
        <f t="shared" si="692"/>
        <v>0</v>
      </c>
      <c r="P220" s="2753">
        <f t="shared" si="692"/>
        <v>0</v>
      </c>
      <c r="Q220" s="2753">
        <f t="shared" si="692"/>
        <v>0</v>
      </c>
      <c r="R220" s="320"/>
      <c r="S220" s="3725"/>
      <c r="T220" s="3726"/>
      <c r="U220" s="3726"/>
      <c r="V220" s="3726"/>
      <c r="W220" s="3727"/>
      <c r="LF220" s="251"/>
      <c r="LK220" s="251"/>
      <c r="LP220" s="251"/>
      <c r="LU220" s="251"/>
      <c r="LV220" s="251"/>
      <c r="LW220" s="251"/>
      <c r="LX220" s="251"/>
      <c r="LY220" s="251"/>
      <c r="LZ220" s="251"/>
      <c r="MA220" s="251"/>
      <c r="MB220" s="251"/>
      <c r="MC220" s="251"/>
      <c r="MD220" s="251"/>
      <c r="ME220" s="251"/>
      <c r="MF220" s="251"/>
      <c r="MG220" s="251"/>
      <c r="MH220" s="251"/>
      <c r="MI220" s="251"/>
      <c r="MJ220" s="251"/>
      <c r="MK220" s="251"/>
      <c r="ML220" s="251"/>
      <c r="MM220" s="251"/>
      <c r="MN220" s="251"/>
      <c r="MO220" s="251"/>
      <c r="MP220" s="251"/>
      <c r="MW220" s="251"/>
      <c r="NM220" s="251"/>
      <c r="NN220" s="251"/>
      <c r="OZ220" s="1798">
        <v>216</v>
      </c>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row>
    <row r="221" spans="1:528" ht="15.6" customHeight="1">
      <c r="A221" s="35"/>
      <c r="B221" s="287"/>
      <c r="C221" s="40"/>
      <c r="D221" s="40"/>
      <c r="E221" s="40"/>
      <c r="F221" s="40"/>
      <c r="G221" s="77"/>
      <c r="H221" s="518"/>
      <c r="I221" s="40"/>
      <c r="J221" s="40"/>
      <c r="K221" s="40"/>
      <c r="L221" s="40"/>
      <c r="M221" s="40"/>
      <c r="N221" s="40"/>
      <c r="O221" s="40"/>
      <c r="P221" s="40"/>
      <c r="Q221" s="40"/>
      <c r="R221" s="77"/>
      <c r="LF221" s="251"/>
      <c r="LK221" s="251"/>
      <c r="LP221" s="251"/>
      <c r="LU221" s="251"/>
      <c r="LV221" s="251"/>
      <c r="LW221" s="251"/>
      <c r="LX221" s="251"/>
      <c r="LY221" s="251"/>
      <c r="LZ221" s="251"/>
      <c r="MA221" s="251"/>
      <c r="MB221" s="251"/>
      <c r="MC221" s="251"/>
      <c r="MD221" s="251"/>
      <c r="ME221" s="251"/>
      <c r="MF221" s="251"/>
      <c r="MG221" s="251"/>
      <c r="MH221" s="251"/>
      <c r="MI221" s="251"/>
      <c r="MJ221" s="251"/>
      <c r="MK221" s="251"/>
      <c r="ML221" s="251"/>
      <c r="MM221" s="251"/>
      <c r="MN221" s="251"/>
      <c r="MO221" s="251"/>
      <c r="MP221" s="251"/>
      <c r="MW221" s="251"/>
      <c r="NM221" s="251"/>
      <c r="NN221" s="251"/>
      <c r="OZ221" s="1799">
        <v>217</v>
      </c>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c r="RK221" s="35"/>
      <c r="RL221" s="35"/>
      <c r="RM221" s="35"/>
      <c r="RN221" s="35"/>
      <c r="RO221" s="35"/>
      <c r="RP221" s="35"/>
      <c r="RQ221" s="35"/>
      <c r="RR221" s="35"/>
      <c r="RS221" s="35"/>
      <c r="RT221" s="35"/>
      <c r="RU221" s="35"/>
      <c r="RV221" s="35"/>
      <c r="RW221" s="35"/>
      <c r="RX221" s="35"/>
      <c r="RY221" s="35"/>
      <c r="RZ221" s="35"/>
      <c r="SA221" s="35"/>
      <c r="SB221" s="35"/>
      <c r="SC221" s="35"/>
      <c r="SD221" s="35"/>
      <c r="SE221" s="35"/>
      <c r="SF221" s="35"/>
      <c r="SG221" s="35"/>
      <c r="SH221" s="35"/>
      <c r="SI221" s="35"/>
      <c r="SJ221" s="35"/>
      <c r="SK221" s="35"/>
      <c r="SL221" s="35"/>
      <c r="SM221" s="35"/>
      <c r="SN221" s="35"/>
      <c r="SO221" s="35"/>
      <c r="SP221" s="35"/>
      <c r="SQ221" s="35"/>
      <c r="SR221" s="35"/>
      <c r="SS221" s="35"/>
      <c r="ST221" s="35"/>
      <c r="SU221" s="35"/>
      <c r="SV221" s="35"/>
      <c r="SW221" s="35"/>
      <c r="SX221" s="35"/>
      <c r="SY221" s="35"/>
      <c r="SZ221" s="35"/>
      <c r="TA221" s="35"/>
      <c r="TB221" s="35"/>
      <c r="TC221" s="35"/>
      <c r="TD221" s="35"/>
      <c r="TE221" s="35"/>
      <c r="TF221" s="35"/>
      <c r="TG221" s="35"/>
      <c r="TH221" s="35"/>
    </row>
    <row r="222" spans="1:528" ht="15.6" customHeight="1">
      <c r="A222" s="35"/>
      <c r="B222" s="512" t="s">
        <v>1284</v>
      </c>
      <c r="C222" s="40"/>
      <c r="D222" s="40"/>
      <c r="E222" s="40"/>
      <c r="F222" s="40"/>
      <c r="G222" s="77"/>
      <c r="H222" s="513">
        <v>21</v>
      </c>
      <c r="I222" s="513">
        <v>22</v>
      </c>
      <c r="J222" s="513">
        <v>23</v>
      </c>
      <c r="K222" s="513">
        <v>24</v>
      </c>
      <c r="L222" s="513">
        <v>25</v>
      </c>
      <c r="M222" s="513">
        <v>26</v>
      </c>
      <c r="N222" s="513">
        <v>27</v>
      </c>
      <c r="O222" s="513">
        <v>28</v>
      </c>
      <c r="P222" s="513">
        <v>29</v>
      </c>
      <c r="Q222" s="513">
        <v>30</v>
      </c>
      <c r="R222" s="351"/>
      <c r="S222" s="72" t="s">
        <v>1291</v>
      </c>
      <c r="T222" s="43" t="str">
        <f>B222</f>
        <v>Included in Mgt Fee:</v>
      </c>
      <c r="LF222" s="251"/>
      <c r="LK222" s="251"/>
      <c r="LP222" s="251"/>
      <c r="LU222" s="251"/>
      <c r="LV222" s="251"/>
      <c r="LW222" s="251"/>
      <c r="LX222" s="251"/>
      <c r="LY222" s="251"/>
      <c r="LZ222" s="251"/>
      <c r="MA222" s="251"/>
      <c r="MB222" s="251"/>
      <c r="MC222" s="251"/>
      <c r="MD222" s="251"/>
      <c r="ME222" s="251"/>
      <c r="MF222" s="251"/>
      <c r="MG222" s="251"/>
      <c r="MH222" s="251"/>
      <c r="MI222" s="251"/>
      <c r="MJ222" s="251"/>
      <c r="MK222" s="251"/>
      <c r="ML222" s="251"/>
      <c r="MM222" s="251"/>
      <c r="MN222" s="251"/>
      <c r="MO222" s="251"/>
      <c r="MP222" s="251"/>
      <c r="MW222" s="251"/>
      <c r="NM222" s="251"/>
      <c r="NN222" s="251"/>
      <c r="OZ222" s="1799">
        <v>218</v>
      </c>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c r="RK222" s="35"/>
      <c r="RL222" s="35"/>
      <c r="RM222" s="35"/>
      <c r="RN222" s="35"/>
      <c r="RO222" s="35"/>
      <c r="RP222" s="35"/>
      <c r="RQ222" s="35"/>
      <c r="RR222" s="35"/>
      <c r="RS222" s="35"/>
      <c r="RT222" s="35"/>
      <c r="RU222" s="35"/>
      <c r="RV222" s="35"/>
      <c r="RW222" s="35"/>
      <c r="RX222" s="35"/>
      <c r="RY222" s="35"/>
      <c r="RZ222" s="35"/>
      <c r="SA222" s="35"/>
      <c r="SB222" s="35"/>
      <c r="SC222" s="35"/>
      <c r="SD222" s="35"/>
      <c r="SE222" s="35"/>
      <c r="SF222" s="35"/>
      <c r="SG222" s="35"/>
      <c r="SH222" s="35"/>
      <c r="SI222" s="35"/>
      <c r="SJ222" s="35"/>
      <c r="SK222" s="35"/>
      <c r="SL222" s="35"/>
      <c r="SM222" s="35"/>
      <c r="SN222" s="35"/>
      <c r="SO222" s="35"/>
      <c r="SP222" s="35"/>
      <c r="SQ222" s="35"/>
      <c r="SR222" s="35"/>
      <c r="SS222" s="35"/>
      <c r="ST222" s="35"/>
      <c r="SU222" s="35"/>
      <c r="SV222" s="35"/>
      <c r="SW222" s="35"/>
      <c r="SX222" s="35"/>
      <c r="SY222" s="35"/>
      <c r="SZ222" s="35"/>
      <c r="TA222" s="35"/>
      <c r="TB222" s="35"/>
      <c r="TC222" s="35"/>
      <c r="TD222" s="35"/>
      <c r="TE222" s="35"/>
      <c r="TF222" s="35"/>
      <c r="TG222" s="35"/>
      <c r="TH222" s="35"/>
    </row>
    <row r="223" spans="1:528" ht="15.6" customHeight="1">
      <c r="A223" s="35"/>
      <c r="B223" s="48" t="s">
        <v>1285</v>
      </c>
      <c r="C223" s="48"/>
      <c r="D223" s="48"/>
      <c r="E223" s="48"/>
      <c r="F223" s="48"/>
      <c r="G223" s="77"/>
      <c r="H223" s="2752"/>
      <c r="I223" s="2752"/>
      <c r="J223" s="2752"/>
      <c r="K223" s="2752"/>
      <c r="L223" s="2754"/>
      <c r="M223" s="2752"/>
      <c r="N223" s="2752"/>
      <c r="O223" s="2752"/>
      <c r="P223" s="2752"/>
      <c r="Q223" s="2752"/>
      <c r="R223" s="2370"/>
      <c r="S223" s="3777"/>
      <c r="T223" s="3778"/>
      <c r="U223" s="3778"/>
      <c r="V223" s="3778"/>
      <c r="W223" s="3779"/>
      <c r="LF223" s="251"/>
      <c r="LK223" s="251"/>
      <c r="LP223" s="251"/>
      <c r="LU223" s="251"/>
      <c r="LV223" s="251"/>
      <c r="LW223" s="251"/>
      <c r="LX223" s="251"/>
      <c r="LY223" s="251"/>
      <c r="LZ223" s="251"/>
      <c r="MA223" s="251"/>
      <c r="MB223" s="251"/>
      <c r="MC223" s="251"/>
      <c r="MD223" s="251"/>
      <c r="ME223" s="251"/>
      <c r="MF223" s="251"/>
      <c r="MG223" s="251"/>
      <c r="MH223" s="251"/>
      <c r="MI223" s="251"/>
      <c r="MJ223" s="251"/>
      <c r="MK223" s="251"/>
      <c r="ML223" s="251"/>
      <c r="MM223" s="251"/>
      <c r="MN223" s="251"/>
      <c r="MO223" s="251"/>
      <c r="MP223" s="251"/>
      <c r="MW223" s="251"/>
      <c r="NM223" s="251"/>
      <c r="NN223" s="251"/>
      <c r="OZ223" s="1799">
        <v>219</v>
      </c>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c r="RK223" s="35"/>
      <c r="RL223" s="35"/>
      <c r="RM223" s="35"/>
      <c r="RN223" s="35"/>
      <c r="RO223" s="35"/>
      <c r="RP223" s="35"/>
      <c r="RQ223" s="35"/>
      <c r="RR223" s="35"/>
      <c r="RS223" s="35"/>
      <c r="RT223" s="35"/>
      <c r="RU223" s="35"/>
      <c r="RV223" s="35"/>
      <c r="RW223" s="35"/>
      <c r="RX223" s="35"/>
      <c r="RY223" s="35"/>
      <c r="RZ223" s="35"/>
      <c r="SA223" s="35"/>
      <c r="SB223" s="35"/>
      <c r="SC223" s="35"/>
      <c r="SD223" s="35"/>
      <c r="SE223" s="35"/>
      <c r="SF223" s="35"/>
      <c r="SG223" s="35"/>
      <c r="SH223" s="35"/>
      <c r="SI223" s="35"/>
      <c r="SJ223" s="35"/>
      <c r="SK223" s="35"/>
      <c r="SL223" s="35"/>
      <c r="SM223" s="35"/>
      <c r="SN223" s="35"/>
      <c r="SO223" s="35"/>
      <c r="SP223" s="35"/>
      <c r="SQ223" s="35"/>
      <c r="SR223" s="35"/>
      <c r="SS223" s="35"/>
      <c r="ST223" s="35"/>
      <c r="SU223" s="35"/>
      <c r="SV223" s="35"/>
      <c r="SW223" s="35"/>
      <c r="SX223" s="35"/>
      <c r="SY223" s="35"/>
      <c r="SZ223" s="35"/>
      <c r="TA223" s="35"/>
      <c r="TB223" s="35"/>
      <c r="TC223" s="35"/>
      <c r="TD223" s="35"/>
      <c r="TE223" s="35"/>
      <c r="TF223" s="35"/>
      <c r="TG223" s="35"/>
      <c r="TH223" s="35"/>
    </row>
    <row r="224" spans="1:528" ht="15.6" customHeight="1">
      <c r="A224" s="35"/>
      <c r="B224" s="48" t="s">
        <v>436</v>
      </c>
      <c r="C224" s="3768"/>
      <c r="D224" s="3769"/>
      <c r="E224" s="3769"/>
      <c r="F224" s="3770"/>
      <c r="G224" s="77"/>
      <c r="H224" s="515"/>
      <c r="I224" s="515"/>
      <c r="J224" s="515"/>
      <c r="K224" s="515"/>
      <c r="L224" s="516"/>
      <c r="M224" s="515"/>
      <c r="N224" s="515"/>
      <c r="O224" s="515"/>
      <c r="P224" s="515"/>
      <c r="Q224" s="515"/>
      <c r="R224" s="2370"/>
      <c r="S224" s="3758"/>
      <c r="T224" s="3759"/>
      <c r="U224" s="3759"/>
      <c r="V224" s="3759"/>
      <c r="W224" s="3760"/>
      <c r="LF224" s="251"/>
      <c r="LK224" s="251"/>
      <c r="LP224" s="251"/>
      <c r="LU224" s="251"/>
      <c r="LV224" s="251"/>
      <c r="LW224" s="251"/>
      <c r="LX224" s="251"/>
      <c r="LY224" s="251"/>
      <c r="LZ224" s="251"/>
      <c r="MA224" s="251"/>
      <c r="MB224" s="251"/>
      <c r="MC224" s="251"/>
      <c r="MD224" s="251"/>
      <c r="ME224" s="251"/>
      <c r="MF224" s="251"/>
      <c r="MG224" s="251"/>
      <c r="MH224" s="251"/>
      <c r="MI224" s="251"/>
      <c r="MJ224" s="251"/>
      <c r="MK224" s="251"/>
      <c r="ML224" s="251"/>
      <c r="MM224" s="251"/>
      <c r="MN224" s="251"/>
      <c r="MO224" s="251"/>
      <c r="MP224" s="251"/>
      <c r="MW224" s="251"/>
      <c r="NM224" s="251"/>
      <c r="NN224" s="251"/>
      <c r="OZ224" s="1799">
        <v>220</v>
      </c>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c r="RK224" s="35"/>
      <c r="RL224" s="35"/>
      <c r="RM224" s="35"/>
      <c r="RN224" s="35"/>
      <c r="RO224" s="35"/>
      <c r="RP224" s="35"/>
      <c r="RQ224" s="35"/>
      <c r="RR224" s="35"/>
      <c r="RS224" s="35"/>
      <c r="RT224" s="35"/>
      <c r="RU224" s="35"/>
      <c r="RV224" s="35"/>
      <c r="RW224" s="35"/>
      <c r="RX224" s="35"/>
      <c r="RY224" s="35"/>
      <c r="RZ224" s="35"/>
      <c r="SA224" s="35"/>
      <c r="SB224" s="35"/>
      <c r="SC224" s="35"/>
      <c r="SD224" s="35"/>
      <c r="SE224" s="35"/>
      <c r="SF224" s="35"/>
      <c r="SG224" s="35"/>
      <c r="SH224" s="35"/>
      <c r="SI224" s="35"/>
      <c r="SJ224" s="35"/>
      <c r="SK224" s="35"/>
      <c r="SL224" s="35"/>
      <c r="SM224" s="35"/>
      <c r="SN224" s="35"/>
      <c r="SO224" s="35"/>
      <c r="SP224" s="35"/>
      <c r="SQ224" s="35"/>
      <c r="SR224" s="35"/>
      <c r="SS224" s="35"/>
      <c r="ST224" s="35"/>
      <c r="SU224" s="35"/>
      <c r="SV224" s="35"/>
      <c r="SW224" s="35"/>
      <c r="SX224" s="35"/>
      <c r="SY224" s="35"/>
      <c r="SZ224" s="35"/>
      <c r="TA224" s="35"/>
      <c r="TB224" s="35"/>
      <c r="TC224" s="35"/>
      <c r="TD224" s="35"/>
      <c r="TE224" s="35"/>
      <c r="TF224" s="35"/>
      <c r="TG224" s="35"/>
      <c r="TH224" s="35"/>
    </row>
    <row r="225" spans="1:528" ht="15.6" customHeight="1">
      <c r="A225" s="35"/>
      <c r="B225" s="48"/>
      <c r="C225" s="48" t="s">
        <v>1286</v>
      </c>
      <c r="D225" s="48"/>
      <c r="E225" s="48"/>
      <c r="F225" s="48"/>
      <c r="G225" s="77"/>
      <c r="H225" s="2753">
        <f>SUM(H223:H224)</f>
        <v>0</v>
      </c>
      <c r="I225" s="2753">
        <f>SUM(I223:I224)</f>
        <v>0</v>
      </c>
      <c r="J225" s="2753">
        <f t="shared" ref="J225:Q225" si="693">SUM(J223:J224)</f>
        <v>0</v>
      </c>
      <c r="K225" s="2753">
        <f t="shared" si="693"/>
        <v>0</v>
      </c>
      <c r="L225" s="2753">
        <f t="shared" si="693"/>
        <v>0</v>
      </c>
      <c r="M225" s="2753">
        <f t="shared" si="693"/>
        <v>0</v>
      </c>
      <c r="N225" s="2753">
        <f t="shared" si="693"/>
        <v>0</v>
      </c>
      <c r="O225" s="2753">
        <f t="shared" si="693"/>
        <v>0</v>
      </c>
      <c r="P225" s="2753">
        <f t="shared" si="693"/>
        <v>0</v>
      </c>
      <c r="Q225" s="2753">
        <f t="shared" si="693"/>
        <v>0</v>
      </c>
      <c r="R225" s="320"/>
      <c r="S225" s="3725"/>
      <c r="T225" s="3726"/>
      <c r="U225" s="3726"/>
      <c r="V225" s="3726"/>
      <c r="W225" s="3727"/>
      <c r="LF225" s="251"/>
      <c r="LK225" s="251"/>
      <c r="LP225" s="251"/>
      <c r="LU225" s="251"/>
      <c r="LV225" s="251"/>
      <c r="LW225" s="251"/>
      <c r="LX225" s="251"/>
      <c r="LY225" s="251"/>
      <c r="LZ225" s="251"/>
      <c r="MA225" s="251"/>
      <c r="MB225" s="251"/>
      <c r="MC225" s="251"/>
      <c r="MD225" s="251"/>
      <c r="ME225" s="251"/>
      <c r="MF225" s="251"/>
      <c r="MG225" s="251"/>
      <c r="MH225" s="251"/>
      <c r="MI225" s="251"/>
      <c r="MJ225" s="251"/>
      <c r="MK225" s="251"/>
      <c r="ML225" s="251"/>
      <c r="MM225" s="251"/>
      <c r="MN225" s="251"/>
      <c r="MO225" s="251"/>
      <c r="MP225" s="251"/>
      <c r="MW225" s="251"/>
      <c r="NM225" s="251"/>
      <c r="NN225" s="251"/>
      <c r="OZ225" s="1799">
        <v>221</v>
      </c>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c r="RK225" s="35"/>
      <c r="RL225" s="35"/>
      <c r="RM225" s="35"/>
      <c r="RN225" s="35"/>
      <c r="RO225" s="35"/>
      <c r="RP225" s="35"/>
      <c r="RQ225" s="35"/>
      <c r="RR225" s="35"/>
      <c r="RS225" s="35"/>
      <c r="RT225" s="35"/>
      <c r="RU225" s="35"/>
      <c r="RV225" s="35"/>
      <c r="RW225" s="35"/>
      <c r="RX225" s="35"/>
      <c r="RY225" s="35"/>
      <c r="RZ225" s="35"/>
      <c r="SA225" s="35"/>
      <c r="SB225" s="35"/>
      <c r="SC225" s="35"/>
      <c r="SD225" s="35"/>
      <c r="SE225" s="35"/>
      <c r="SF225" s="35"/>
      <c r="SG225" s="35"/>
      <c r="SH225" s="35"/>
      <c r="SI225" s="35"/>
      <c r="SJ225" s="35"/>
      <c r="SK225" s="35"/>
      <c r="SL225" s="35"/>
      <c r="SM225" s="35"/>
      <c r="SN225" s="35"/>
      <c r="SO225" s="35"/>
      <c r="SP225" s="35"/>
      <c r="SQ225" s="35"/>
      <c r="SR225" s="35"/>
      <c r="SS225" s="35"/>
      <c r="ST225" s="35"/>
      <c r="SU225" s="35"/>
      <c r="SV225" s="35"/>
      <c r="SW225" s="35"/>
      <c r="SX225" s="35"/>
      <c r="SY225" s="35"/>
      <c r="SZ225" s="35"/>
      <c r="TA225" s="35"/>
      <c r="TB225" s="35"/>
      <c r="TC225" s="35"/>
      <c r="TD225" s="35"/>
      <c r="TE225" s="35"/>
      <c r="TF225" s="35"/>
      <c r="TG225" s="35"/>
      <c r="TH225" s="35"/>
    </row>
    <row r="226" spans="1:528" ht="15.6" customHeight="1">
      <c r="A226" s="35"/>
      <c r="B226" s="517" t="s">
        <v>1287</v>
      </c>
      <c r="C226" s="40"/>
      <c r="D226" s="40"/>
      <c r="E226" s="40"/>
      <c r="F226" s="40"/>
      <c r="G226" s="77"/>
      <c r="H226" s="518"/>
      <c r="I226" s="40"/>
      <c r="J226" s="40"/>
      <c r="K226" s="40"/>
      <c r="L226" s="40"/>
      <c r="M226" s="40"/>
      <c r="N226" s="40"/>
      <c r="O226" s="40"/>
      <c r="P226" s="40"/>
      <c r="Q226" s="40"/>
      <c r="R226" s="77"/>
      <c r="S226" s="43" t="str">
        <f>B226</f>
        <v>NOT Included in Mgt Fee:</v>
      </c>
      <c r="LF226" s="251"/>
      <c r="LK226" s="251"/>
      <c r="LP226" s="251"/>
      <c r="LU226" s="251"/>
      <c r="LV226" s="251"/>
      <c r="LW226" s="251"/>
      <c r="LX226" s="251"/>
      <c r="LY226" s="251"/>
      <c r="LZ226" s="251"/>
      <c r="MA226" s="251"/>
      <c r="MB226" s="251"/>
      <c r="MC226" s="251"/>
      <c r="MD226" s="251"/>
      <c r="ME226" s="251"/>
      <c r="MF226" s="251"/>
      <c r="MG226" s="251"/>
      <c r="MH226" s="251"/>
      <c r="MI226" s="251"/>
      <c r="MJ226" s="251"/>
      <c r="MK226" s="251"/>
      <c r="ML226" s="251"/>
      <c r="MM226" s="251"/>
      <c r="MN226" s="251"/>
      <c r="MO226" s="251"/>
      <c r="MP226" s="251"/>
      <c r="MW226" s="251"/>
      <c r="NM226" s="251"/>
      <c r="NN226" s="251"/>
      <c r="OZ226" s="1801">
        <v>222</v>
      </c>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c r="RK226" s="35"/>
      <c r="RL226" s="35"/>
      <c r="RM226" s="35"/>
      <c r="RN226" s="35"/>
      <c r="RO226" s="35"/>
      <c r="RP226" s="35"/>
      <c r="RQ226" s="35"/>
      <c r="RR226" s="35"/>
      <c r="RS226" s="35"/>
      <c r="RT226" s="35"/>
      <c r="RU226" s="35"/>
      <c r="RV226" s="35"/>
      <c r="RW226" s="35"/>
      <c r="RX226" s="35"/>
      <c r="RY226" s="35"/>
      <c r="RZ226" s="35"/>
      <c r="SA226" s="35"/>
      <c r="SB226" s="35"/>
      <c r="SC226" s="35"/>
      <c r="SD226" s="35"/>
      <c r="SE226" s="35"/>
      <c r="SF226" s="35"/>
      <c r="SG226" s="35"/>
      <c r="SH226" s="35"/>
      <c r="SI226" s="35"/>
      <c r="SJ226" s="35"/>
      <c r="SK226" s="35"/>
      <c r="SL226" s="35"/>
      <c r="SM226" s="35"/>
      <c r="SN226" s="35"/>
      <c r="SO226" s="35"/>
      <c r="SP226" s="35"/>
      <c r="SQ226" s="35"/>
      <c r="SR226" s="35"/>
      <c r="SS226" s="35"/>
      <c r="ST226" s="35"/>
      <c r="SU226" s="35"/>
      <c r="SV226" s="35"/>
      <c r="SW226" s="35"/>
      <c r="SX226" s="35"/>
      <c r="SY226" s="35"/>
      <c r="SZ226" s="35"/>
      <c r="TA226" s="35"/>
      <c r="TB226" s="35"/>
      <c r="TC226" s="35"/>
      <c r="TD226" s="35"/>
      <c r="TE226" s="35"/>
      <c r="TF226" s="35"/>
      <c r="TG226" s="35"/>
      <c r="TH226" s="35"/>
    </row>
    <row r="227" spans="1:528" ht="15.6" customHeight="1">
      <c r="A227" s="35"/>
      <c r="B227" s="48" t="s">
        <v>1288</v>
      </c>
      <c r="C227" s="48"/>
      <c r="D227" s="48"/>
      <c r="E227" s="48"/>
      <c r="F227" s="48"/>
      <c r="G227" s="77"/>
      <c r="H227" s="2752"/>
      <c r="I227" s="2752"/>
      <c r="J227" s="2752"/>
      <c r="K227" s="2752"/>
      <c r="L227" s="2754"/>
      <c r="M227" s="2752"/>
      <c r="N227" s="2752"/>
      <c r="O227" s="2752"/>
      <c r="P227" s="2752"/>
      <c r="Q227" s="2752"/>
      <c r="R227" s="2370"/>
      <c r="S227" s="3777"/>
      <c r="T227" s="3778"/>
      <c r="U227" s="3778"/>
      <c r="V227" s="3778"/>
      <c r="W227" s="3779"/>
      <c r="LF227" s="251"/>
      <c r="LK227" s="251"/>
      <c r="LP227" s="251"/>
      <c r="LU227" s="251"/>
      <c r="LV227" s="251"/>
      <c r="LW227" s="251"/>
      <c r="LX227" s="251"/>
      <c r="LY227" s="251"/>
      <c r="LZ227" s="251"/>
      <c r="MA227" s="251"/>
      <c r="MB227" s="251"/>
      <c r="MC227" s="251"/>
      <c r="MD227" s="251"/>
      <c r="ME227" s="251"/>
      <c r="MF227" s="251"/>
      <c r="MG227" s="251"/>
      <c r="MH227" s="251"/>
      <c r="MI227" s="251"/>
      <c r="MJ227" s="251"/>
      <c r="MK227" s="251"/>
      <c r="ML227" s="251"/>
      <c r="MM227" s="251"/>
      <c r="MN227" s="251"/>
      <c r="MO227" s="251"/>
      <c r="MP227" s="251"/>
      <c r="MW227" s="251"/>
      <c r="NM227" s="251"/>
      <c r="NN227" s="251"/>
      <c r="OZ227" s="1799">
        <v>223</v>
      </c>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c r="RK227" s="35"/>
      <c r="RL227" s="35"/>
      <c r="RM227" s="35"/>
      <c r="RN227" s="35"/>
      <c r="RO227" s="35"/>
      <c r="RP227" s="35"/>
      <c r="RQ227" s="35"/>
      <c r="RR227" s="35"/>
      <c r="RS227" s="35"/>
      <c r="RT227" s="35"/>
      <c r="RU227" s="35"/>
      <c r="RV227" s="35"/>
      <c r="RW227" s="35"/>
      <c r="RX227" s="35"/>
      <c r="RY227" s="35"/>
      <c r="RZ227" s="35"/>
      <c r="SA227" s="35"/>
      <c r="SB227" s="35"/>
      <c r="SC227" s="35"/>
      <c r="SD227" s="35"/>
      <c r="SE227" s="35"/>
      <c r="SF227" s="35"/>
      <c r="SG227" s="35"/>
      <c r="SH227" s="35"/>
      <c r="SI227" s="35"/>
      <c r="SJ227" s="35"/>
      <c r="SK227" s="35"/>
      <c r="SL227" s="35"/>
      <c r="SM227" s="35"/>
      <c r="SN227" s="35"/>
      <c r="SO227" s="35"/>
      <c r="SP227" s="35"/>
      <c r="SQ227" s="35"/>
      <c r="SR227" s="35"/>
      <c r="SS227" s="35"/>
      <c r="ST227" s="35"/>
      <c r="SU227" s="35"/>
      <c r="SV227" s="35"/>
      <c r="SW227" s="35"/>
      <c r="SX227" s="35"/>
      <c r="SY227" s="35"/>
      <c r="SZ227" s="35"/>
      <c r="TA227" s="35"/>
      <c r="TB227" s="35"/>
      <c r="TC227" s="35"/>
      <c r="TD227" s="35"/>
      <c r="TE227" s="35"/>
      <c r="TF227" s="35"/>
      <c r="TG227" s="35"/>
      <c r="TH227" s="35"/>
    </row>
    <row r="228" spans="1:528" ht="15.6" customHeight="1">
      <c r="A228" s="35"/>
      <c r="B228" s="48" t="s">
        <v>436</v>
      </c>
      <c r="C228" s="3768"/>
      <c r="D228" s="3769"/>
      <c r="E228" s="3769"/>
      <c r="F228" s="3770"/>
      <c r="G228" s="77"/>
      <c r="H228" s="515"/>
      <c r="I228" s="515"/>
      <c r="J228" s="515"/>
      <c r="K228" s="515"/>
      <c r="L228" s="516"/>
      <c r="M228" s="515"/>
      <c r="N228" s="515"/>
      <c r="O228" s="515"/>
      <c r="P228" s="515"/>
      <c r="Q228" s="515"/>
      <c r="R228" s="2370"/>
      <c r="S228" s="3758"/>
      <c r="T228" s="3759"/>
      <c r="U228" s="3759"/>
      <c r="V228" s="3759"/>
      <c r="W228" s="3760"/>
      <c r="LF228" s="251"/>
      <c r="LK228" s="251"/>
      <c r="LP228" s="251"/>
      <c r="LU228" s="251"/>
      <c r="LV228" s="251"/>
      <c r="LW228" s="251"/>
      <c r="LX228" s="251"/>
      <c r="LY228" s="251"/>
      <c r="LZ228" s="251"/>
      <c r="MA228" s="251"/>
      <c r="MB228" s="251"/>
      <c r="MC228" s="251"/>
      <c r="MD228" s="251"/>
      <c r="ME228" s="251"/>
      <c r="MF228" s="251"/>
      <c r="MG228" s="251"/>
      <c r="MH228" s="251"/>
      <c r="MI228" s="251"/>
      <c r="MJ228" s="251"/>
      <c r="MK228" s="251"/>
      <c r="ML228" s="251"/>
      <c r="MM228" s="251"/>
      <c r="MN228" s="251"/>
      <c r="MO228" s="251"/>
      <c r="MP228" s="251"/>
      <c r="MW228" s="251"/>
      <c r="NM228" s="251"/>
      <c r="NN228" s="251"/>
      <c r="OZ228" s="1798">
        <v>224</v>
      </c>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c r="RK228" s="35"/>
      <c r="RL228" s="35"/>
      <c r="RM228" s="35"/>
      <c r="RN228" s="35"/>
      <c r="RO228" s="35"/>
      <c r="RP228" s="35"/>
      <c r="RQ228" s="35"/>
      <c r="RR228" s="35"/>
      <c r="RS228" s="35"/>
      <c r="RT228" s="35"/>
      <c r="RU228" s="35"/>
      <c r="RV228" s="35"/>
      <c r="RW228" s="35"/>
      <c r="RX228" s="35"/>
      <c r="RY228" s="35"/>
      <c r="RZ228" s="35"/>
      <c r="SA228" s="35"/>
      <c r="SB228" s="35"/>
      <c r="SC228" s="35"/>
      <c r="SD228" s="35"/>
      <c r="SE228" s="35"/>
      <c r="SF228" s="35"/>
      <c r="SG228" s="35"/>
      <c r="SH228" s="35"/>
      <c r="SI228" s="35"/>
      <c r="SJ228" s="35"/>
      <c r="SK228" s="35"/>
      <c r="SL228" s="35"/>
      <c r="SM228" s="35"/>
      <c r="SN228" s="35"/>
      <c r="SO228" s="35"/>
      <c r="SP228" s="35"/>
      <c r="SQ228" s="35"/>
      <c r="SR228" s="35"/>
      <c r="SS228" s="35"/>
      <c r="ST228" s="35"/>
      <c r="SU228" s="35"/>
      <c r="SV228" s="35"/>
      <c r="SW228" s="35"/>
      <c r="SX228" s="35"/>
      <c r="SY228" s="35"/>
      <c r="SZ228" s="35"/>
      <c r="TA228" s="35"/>
      <c r="TB228" s="35"/>
      <c r="TC228" s="35"/>
      <c r="TD228" s="35"/>
      <c r="TE228" s="35"/>
      <c r="TF228" s="35"/>
      <c r="TG228" s="35"/>
      <c r="TH228" s="35"/>
    </row>
    <row r="229" spans="1:528" ht="15.6" customHeight="1">
      <c r="A229" s="35"/>
      <c r="B229" s="48"/>
      <c r="C229" s="48" t="s">
        <v>1289</v>
      </c>
      <c r="D229" s="48"/>
      <c r="E229" s="48"/>
      <c r="F229" s="48"/>
      <c r="G229" s="77"/>
      <c r="H229" s="2753">
        <f>SUM(H227:H228)</f>
        <v>0</v>
      </c>
      <c r="I229" s="2753">
        <f>SUM(I227:I228)</f>
        <v>0</v>
      </c>
      <c r="J229" s="2753">
        <f t="shared" ref="J229:Q229" si="694">SUM(J227:J228)</f>
        <v>0</v>
      </c>
      <c r="K229" s="2753">
        <f t="shared" si="694"/>
        <v>0</v>
      </c>
      <c r="L229" s="2753">
        <f t="shared" si="694"/>
        <v>0</v>
      </c>
      <c r="M229" s="2753">
        <f t="shared" si="694"/>
        <v>0</v>
      </c>
      <c r="N229" s="2753">
        <f t="shared" si="694"/>
        <v>0</v>
      </c>
      <c r="O229" s="2753">
        <f t="shared" si="694"/>
        <v>0</v>
      </c>
      <c r="P229" s="2753">
        <f t="shared" si="694"/>
        <v>0</v>
      </c>
      <c r="Q229" s="2753">
        <f t="shared" si="694"/>
        <v>0</v>
      </c>
      <c r="R229" s="320"/>
      <c r="S229" s="3725"/>
      <c r="T229" s="3726"/>
      <c r="U229" s="3726"/>
      <c r="V229" s="3726"/>
      <c r="W229" s="3727"/>
      <c r="LF229" s="251"/>
      <c r="LK229" s="251"/>
      <c r="LP229" s="251"/>
      <c r="LU229" s="251"/>
      <c r="LV229" s="251"/>
      <c r="LW229" s="251"/>
      <c r="LX229" s="251"/>
      <c r="LY229" s="251"/>
      <c r="LZ229" s="251"/>
      <c r="MA229" s="251"/>
      <c r="MB229" s="251"/>
      <c r="MC229" s="251"/>
      <c r="MD229" s="251"/>
      <c r="ME229" s="251"/>
      <c r="MF229" s="251"/>
      <c r="MG229" s="251"/>
      <c r="MH229" s="251"/>
      <c r="MI229" s="251"/>
      <c r="MJ229" s="251"/>
      <c r="MK229" s="251"/>
      <c r="ML229" s="251"/>
      <c r="MM229" s="251"/>
      <c r="MN229" s="251"/>
      <c r="MO229" s="251"/>
      <c r="MP229" s="251"/>
      <c r="MW229" s="251"/>
      <c r="NM229" s="251"/>
      <c r="NN229" s="251"/>
      <c r="OZ229" s="1799">
        <v>225</v>
      </c>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c r="RK229" s="35"/>
      <c r="RL229" s="35"/>
      <c r="RM229" s="35"/>
      <c r="RN229" s="35"/>
      <c r="RO229" s="35"/>
      <c r="RP229" s="35"/>
      <c r="RQ229" s="35"/>
      <c r="RR229" s="35"/>
      <c r="RS229" s="35"/>
      <c r="RT229" s="35"/>
      <c r="RU229" s="35"/>
      <c r="RV229" s="35"/>
      <c r="RW229" s="35"/>
      <c r="RX229" s="35"/>
      <c r="RY229" s="35"/>
      <c r="RZ229" s="35"/>
      <c r="SA229" s="35"/>
      <c r="SB229" s="35"/>
      <c r="SC229" s="35"/>
      <c r="SD229" s="35"/>
      <c r="SE229" s="35"/>
      <c r="SF229" s="35"/>
      <c r="SG229" s="35"/>
      <c r="SH229" s="35"/>
      <c r="SI229" s="35"/>
      <c r="SJ229" s="35"/>
      <c r="SK229" s="35"/>
      <c r="SL229" s="35"/>
      <c r="SM229" s="35"/>
      <c r="SN229" s="35"/>
      <c r="SO229" s="35"/>
      <c r="SP229" s="35"/>
      <c r="SQ229" s="35"/>
      <c r="SR229" s="35"/>
      <c r="SS229" s="35"/>
      <c r="ST229" s="35"/>
      <c r="SU229" s="35"/>
      <c r="SV229" s="35"/>
      <c r="SW229" s="35"/>
      <c r="SX229" s="35"/>
      <c r="SY229" s="35"/>
      <c r="SZ229" s="35"/>
      <c r="TA229" s="35"/>
      <c r="TB229" s="35"/>
      <c r="TC229" s="35"/>
      <c r="TD229" s="35"/>
      <c r="TE229" s="35"/>
      <c r="TF229" s="35"/>
      <c r="TG229" s="35"/>
      <c r="TH229" s="35"/>
    </row>
    <row r="230" spans="1:528" ht="15.6" customHeight="1">
      <c r="A230" s="77"/>
      <c r="B230" s="287"/>
      <c r="C230" s="40"/>
      <c r="D230" s="40"/>
      <c r="E230" s="40"/>
      <c r="F230" s="40"/>
      <c r="G230" s="77"/>
      <c r="H230" s="518"/>
      <c r="I230" s="40"/>
      <c r="J230" s="40"/>
      <c r="K230" s="40"/>
      <c r="L230" s="40"/>
      <c r="M230" s="40"/>
      <c r="N230" s="40"/>
      <c r="O230" s="40"/>
      <c r="P230" s="40"/>
      <c r="Q230" s="40"/>
      <c r="R230" s="77"/>
      <c r="OZ230" s="1799">
        <v>226</v>
      </c>
    </row>
    <row r="231" spans="1:528" ht="15.6" customHeight="1">
      <c r="A231" s="77"/>
      <c r="B231" s="512" t="s">
        <v>1284</v>
      </c>
      <c r="C231" s="40"/>
      <c r="D231" s="40"/>
      <c r="E231" s="40"/>
      <c r="F231" s="40"/>
      <c r="G231" s="77"/>
      <c r="H231" s="513">
        <v>31</v>
      </c>
      <c r="I231" s="513">
        <v>32</v>
      </c>
      <c r="J231" s="513">
        <v>33</v>
      </c>
      <c r="K231" s="513">
        <v>34</v>
      </c>
      <c r="L231" s="513">
        <v>35</v>
      </c>
      <c r="M231" s="40"/>
      <c r="N231" s="40"/>
      <c r="O231" s="40"/>
      <c r="P231" s="40"/>
      <c r="Q231" s="40"/>
      <c r="S231" s="72" t="s">
        <v>1291</v>
      </c>
      <c r="T231" s="43" t="str">
        <f>B231</f>
        <v>Included in Mgt Fee:</v>
      </c>
      <c r="OZ231" s="1798">
        <v>227</v>
      </c>
    </row>
    <row r="232" spans="1:528" ht="15.6" customHeight="1">
      <c r="A232" s="77"/>
      <c r="B232" s="48" t="s">
        <v>1285</v>
      </c>
      <c r="C232" s="48"/>
      <c r="D232" s="48"/>
      <c r="E232" s="48"/>
      <c r="F232" s="48"/>
      <c r="G232" s="77"/>
      <c r="H232" s="2752"/>
      <c r="I232" s="2752"/>
      <c r="J232" s="2752"/>
      <c r="K232" s="2752"/>
      <c r="L232" s="2754"/>
      <c r="M232" s="40"/>
      <c r="N232" s="40"/>
      <c r="O232" s="40"/>
      <c r="P232" s="40"/>
      <c r="Q232" s="40"/>
      <c r="R232" s="77"/>
      <c r="S232" s="3777"/>
      <c r="T232" s="3778"/>
      <c r="U232" s="3778"/>
      <c r="V232" s="3778"/>
      <c r="W232" s="3779"/>
      <c r="OZ232" s="1799">
        <v>228</v>
      </c>
    </row>
    <row r="233" spans="1:528" ht="15.6" customHeight="1">
      <c r="A233" s="77"/>
      <c r="B233" s="48" t="s">
        <v>436</v>
      </c>
      <c r="C233" s="3768"/>
      <c r="D233" s="3769"/>
      <c r="E233" s="3769"/>
      <c r="F233" s="3770"/>
      <c r="G233" s="77"/>
      <c r="H233" s="515"/>
      <c r="I233" s="515"/>
      <c r="J233" s="515"/>
      <c r="K233" s="515"/>
      <c r="L233" s="516"/>
      <c r="M233" s="40"/>
      <c r="N233" s="40"/>
      <c r="O233" s="40"/>
      <c r="P233" s="40"/>
      <c r="Q233" s="40"/>
      <c r="R233" s="77"/>
      <c r="S233" s="3758"/>
      <c r="T233" s="3759"/>
      <c r="U233" s="3759"/>
      <c r="V233" s="3759"/>
      <c r="W233" s="3760"/>
      <c r="OZ233" s="1799">
        <v>229</v>
      </c>
    </row>
    <row r="234" spans="1:528" ht="15.6" customHeight="1">
      <c r="A234" s="77"/>
      <c r="B234" s="48"/>
      <c r="C234" s="48" t="s">
        <v>1286</v>
      </c>
      <c r="D234" s="48"/>
      <c r="E234" s="48"/>
      <c r="F234" s="48"/>
      <c r="G234" s="77"/>
      <c r="H234" s="2753">
        <f>SUM(H232:H233)</f>
        <v>0</v>
      </c>
      <c r="I234" s="2753">
        <f>SUM(I232:I233)</f>
        <v>0</v>
      </c>
      <c r="J234" s="2753">
        <f>SUM(J232:J233)</f>
        <v>0</v>
      </c>
      <c r="K234" s="2753">
        <f>SUM(K232:K233)</f>
        <v>0</v>
      </c>
      <c r="L234" s="2753">
        <f>SUM(L232:L233)</f>
        <v>0</v>
      </c>
      <c r="M234" s="40"/>
      <c r="N234" s="40"/>
      <c r="O234" s="40"/>
      <c r="P234" s="40"/>
      <c r="Q234" s="40"/>
      <c r="R234" s="77"/>
      <c r="S234" s="3725"/>
      <c r="T234" s="3726"/>
      <c r="U234" s="3726"/>
      <c r="V234" s="3726"/>
      <c r="W234" s="3727"/>
      <c r="OZ234" s="1799">
        <v>230</v>
      </c>
    </row>
    <row r="235" spans="1:528" ht="15.6" customHeight="1">
      <c r="A235" s="77"/>
      <c r="B235" s="517" t="s">
        <v>1287</v>
      </c>
      <c r="C235" s="40"/>
      <c r="D235" s="40"/>
      <c r="E235" s="40"/>
      <c r="F235" s="40"/>
      <c r="G235" s="77"/>
      <c r="H235" s="518"/>
      <c r="I235" s="40"/>
      <c r="J235" s="40"/>
      <c r="K235" s="40"/>
      <c r="L235" s="40"/>
      <c r="M235" s="40"/>
      <c r="N235" s="40"/>
      <c r="O235" s="40"/>
      <c r="P235" s="40"/>
      <c r="Q235" s="40"/>
      <c r="R235" s="77"/>
      <c r="S235" s="43" t="str">
        <f>B235</f>
        <v>NOT Included in Mgt Fee:</v>
      </c>
      <c r="OZ235" s="1799">
        <v>231</v>
      </c>
    </row>
    <row r="236" spans="1:528" ht="15.6" customHeight="1">
      <c r="A236" s="77"/>
      <c r="B236" s="48" t="s">
        <v>1288</v>
      </c>
      <c r="C236" s="48"/>
      <c r="D236" s="48"/>
      <c r="E236" s="48"/>
      <c r="F236" s="48"/>
      <c r="G236" s="77"/>
      <c r="H236" s="2752"/>
      <c r="I236" s="2752"/>
      <c r="J236" s="2752"/>
      <c r="K236" s="2752"/>
      <c r="L236" s="2754"/>
      <c r="M236" s="40"/>
      <c r="N236" s="40"/>
      <c r="O236" s="40"/>
      <c r="P236" s="40"/>
      <c r="Q236" s="40"/>
      <c r="R236" s="77"/>
      <c r="S236" s="3777"/>
      <c r="T236" s="3778"/>
      <c r="U236" s="3778"/>
      <c r="V236" s="3778"/>
      <c r="W236" s="3779"/>
      <c r="OZ236" s="1799">
        <v>232</v>
      </c>
    </row>
    <row r="237" spans="1:528" ht="15.6" customHeight="1">
      <c r="A237" s="77"/>
      <c r="B237" s="48" t="s">
        <v>436</v>
      </c>
      <c r="C237" s="3768"/>
      <c r="D237" s="3769"/>
      <c r="E237" s="3769"/>
      <c r="F237" s="3770"/>
      <c r="G237" s="77"/>
      <c r="H237" s="515"/>
      <c r="I237" s="515"/>
      <c r="J237" s="515"/>
      <c r="K237" s="515"/>
      <c r="L237" s="516"/>
      <c r="M237" s="40"/>
      <c r="N237" s="40"/>
      <c r="O237" s="40"/>
      <c r="P237" s="40"/>
      <c r="Q237" s="40"/>
      <c r="R237" s="77"/>
      <c r="S237" s="3758"/>
      <c r="T237" s="3759"/>
      <c r="U237" s="3759"/>
      <c r="V237" s="3759"/>
      <c r="W237" s="3760"/>
      <c r="OZ237" s="1801">
        <v>233</v>
      </c>
    </row>
    <row r="238" spans="1:528" ht="15.6" customHeight="1">
      <c r="A238" s="77"/>
      <c r="B238" s="48"/>
      <c r="C238" s="48" t="s">
        <v>1289</v>
      </c>
      <c r="D238" s="48"/>
      <c r="E238" s="48"/>
      <c r="F238" s="48"/>
      <c r="G238" s="77"/>
      <c r="H238" s="2753">
        <f>SUM(H236:H237)</f>
        <v>0</v>
      </c>
      <c r="I238" s="2753">
        <f>SUM(I236:I237)</f>
        <v>0</v>
      </c>
      <c r="J238" s="2753">
        <f>SUM(J236:J237)</f>
        <v>0</v>
      </c>
      <c r="K238" s="2753">
        <f>SUM(K236:K237)</f>
        <v>0</v>
      </c>
      <c r="L238" s="2753">
        <f>SUM(L236:L237)</f>
        <v>0</v>
      </c>
      <c r="M238" s="40"/>
      <c r="N238" s="40"/>
      <c r="O238" s="40"/>
      <c r="P238" s="40"/>
      <c r="Q238" s="40"/>
      <c r="R238" s="77"/>
      <c r="S238" s="3725"/>
      <c r="T238" s="3726"/>
      <c r="U238" s="3726"/>
      <c r="V238" s="3726"/>
      <c r="W238" s="3727"/>
      <c r="OZ238" s="1799">
        <v>234</v>
      </c>
    </row>
    <row r="239" spans="1:528" ht="2.25" customHeight="1">
      <c r="A239" s="77"/>
      <c r="B239" s="6"/>
      <c r="C239" s="77"/>
      <c r="D239" s="77"/>
      <c r="E239" s="77"/>
      <c r="F239" s="2371"/>
      <c r="G239" s="2371"/>
      <c r="H239" s="77"/>
      <c r="I239" s="77"/>
      <c r="J239" s="77"/>
      <c r="K239" s="77"/>
      <c r="L239" s="77"/>
      <c r="M239" s="77"/>
      <c r="N239" s="77"/>
      <c r="O239" s="77"/>
      <c r="P239" s="77"/>
      <c r="Q239" s="77"/>
      <c r="R239" s="77"/>
      <c r="OZ239" s="1798">
        <v>235</v>
      </c>
    </row>
    <row r="240" spans="1:528" s="41" customFormat="1" ht="11.25" customHeight="1">
      <c r="A240" s="3" t="s">
        <v>58</v>
      </c>
      <c r="B240" s="2521" t="s">
        <v>1292</v>
      </c>
      <c r="C240" s="2521"/>
      <c r="D240" s="2521"/>
      <c r="E240" s="2521"/>
      <c r="F240" s="2521"/>
      <c r="G240" s="2521"/>
      <c r="H240" s="2521"/>
      <c r="I240" s="2521"/>
      <c r="J240" s="2521"/>
      <c r="K240" s="2521"/>
      <c r="L240" s="2521"/>
      <c r="M240" s="43"/>
      <c r="N240" s="7"/>
      <c r="O240" s="32"/>
      <c r="P240" s="32"/>
      <c r="Q240" s="43"/>
      <c r="R240" s="43"/>
      <c r="S240" s="3" t="str">
        <f>B240</f>
        <v>ANNUAL OPERATING EXPENSE BUDGET</v>
      </c>
      <c r="T240" s="35"/>
      <c r="X240" s="251"/>
      <c r="Y240" s="253"/>
      <c r="Z240" s="253"/>
      <c r="AA240" s="253"/>
      <c r="AB240" s="253"/>
      <c r="AC240" s="251"/>
      <c r="AD240" s="253"/>
      <c r="AE240" s="253"/>
      <c r="AF240" s="253"/>
      <c r="AG240" s="253"/>
      <c r="AH240" s="251"/>
      <c r="AI240" s="253"/>
      <c r="AJ240" s="253"/>
      <c r="AK240" s="253"/>
      <c r="AL240" s="253"/>
      <c r="AM240" s="251"/>
      <c r="AN240" s="253"/>
      <c r="AO240" s="253"/>
      <c r="AP240" s="253"/>
      <c r="AQ240" s="253"/>
      <c r="AR240" s="253"/>
      <c r="AS240" s="253"/>
      <c r="AT240" s="253"/>
      <c r="AU240" s="253"/>
      <c r="AV240" s="253"/>
      <c r="AW240" s="253"/>
      <c r="AX240" s="253"/>
      <c r="AY240" s="253"/>
      <c r="AZ240" s="253"/>
      <c r="BA240" s="253"/>
      <c r="BB240" s="253"/>
      <c r="BC240" s="253"/>
      <c r="BD240" s="253"/>
      <c r="BE240" s="253"/>
      <c r="BF240" s="253"/>
      <c r="BG240" s="253"/>
      <c r="BH240" s="253"/>
      <c r="BI240" s="253"/>
      <c r="BJ240" s="253"/>
      <c r="BK240" s="253"/>
      <c r="BL240" s="253"/>
      <c r="BM240" s="253"/>
      <c r="BN240" s="253"/>
      <c r="BO240" s="253"/>
      <c r="BP240" s="253"/>
      <c r="BQ240" s="253"/>
      <c r="BR240" s="253"/>
      <c r="BS240" s="253"/>
      <c r="BT240" s="253"/>
      <c r="BU240" s="253"/>
      <c r="BV240" s="253"/>
      <c r="BW240" s="253"/>
      <c r="BX240" s="253"/>
      <c r="BY240" s="253"/>
      <c r="BZ240" s="253"/>
      <c r="CA240" s="253"/>
      <c r="CB240" s="253"/>
      <c r="CC240" s="253"/>
      <c r="CD240" s="253"/>
      <c r="CE240" s="253"/>
      <c r="CF240" s="253"/>
      <c r="CG240" s="253"/>
      <c r="CH240" s="253"/>
      <c r="CI240" s="253"/>
      <c r="CJ240" s="253"/>
      <c r="CK240" s="253"/>
      <c r="CL240" s="253"/>
      <c r="CM240" s="253"/>
      <c r="CN240" s="253"/>
      <c r="CO240" s="253"/>
      <c r="CP240" s="253"/>
      <c r="CQ240" s="253"/>
      <c r="CR240" s="253"/>
      <c r="CS240" s="253"/>
      <c r="CT240" s="253"/>
      <c r="CU240" s="253"/>
      <c r="CV240" s="253"/>
      <c r="CW240" s="253"/>
      <c r="CX240" s="253"/>
      <c r="CY240" s="253"/>
      <c r="CZ240" s="253"/>
      <c r="DA240" s="253"/>
      <c r="DB240" s="253"/>
      <c r="DC240" s="253"/>
      <c r="DD240" s="253"/>
      <c r="DE240" s="253"/>
      <c r="DF240" s="253"/>
      <c r="DG240" s="253"/>
      <c r="DH240" s="253"/>
      <c r="DI240" s="253"/>
      <c r="DJ240" s="253"/>
      <c r="DK240" s="253"/>
      <c r="DL240" s="253"/>
      <c r="DM240" s="253"/>
      <c r="DN240" s="253"/>
      <c r="DO240" s="253"/>
      <c r="DP240" s="253"/>
      <c r="DQ240" s="253"/>
      <c r="DR240" s="253"/>
      <c r="DS240" s="253"/>
      <c r="DT240" s="253"/>
      <c r="DU240" s="253"/>
      <c r="DV240" s="253"/>
      <c r="DW240" s="253"/>
      <c r="DX240" s="253"/>
      <c r="DY240" s="253"/>
      <c r="DZ240" s="253"/>
      <c r="EA240" s="253"/>
      <c r="EB240" s="253"/>
      <c r="EC240" s="253"/>
      <c r="ED240" s="253"/>
      <c r="EE240" s="253"/>
      <c r="EF240" s="253"/>
      <c r="EG240" s="253"/>
      <c r="EH240" s="253"/>
      <c r="EI240" s="253"/>
      <c r="EJ240" s="253"/>
      <c r="EK240" s="253"/>
      <c r="EL240" s="253"/>
      <c r="EM240" s="253"/>
      <c r="EN240" s="253"/>
      <c r="EO240" s="253"/>
      <c r="EP240" s="253"/>
      <c r="EQ240" s="253"/>
      <c r="ER240" s="253"/>
      <c r="ES240" s="253"/>
      <c r="ET240" s="253"/>
      <c r="EU240" s="253"/>
      <c r="EV240" s="253"/>
      <c r="EW240" s="253"/>
      <c r="EX240" s="253"/>
      <c r="EY240" s="253"/>
      <c r="EZ240" s="253"/>
      <c r="FA240" s="253"/>
      <c r="FB240" s="253"/>
      <c r="FC240" s="253"/>
      <c r="FD240" s="253"/>
      <c r="FE240" s="253"/>
      <c r="FF240" s="253"/>
      <c r="FG240" s="253"/>
      <c r="FH240" s="253"/>
      <c r="FI240" s="253"/>
      <c r="FJ240" s="253"/>
      <c r="FK240" s="253"/>
      <c r="FL240" s="253"/>
      <c r="FM240" s="253"/>
      <c r="FN240" s="253"/>
      <c r="FO240" s="253"/>
      <c r="FP240" s="253"/>
      <c r="FQ240" s="253"/>
      <c r="FR240" s="253"/>
      <c r="FS240" s="253"/>
      <c r="FT240" s="253"/>
      <c r="FU240" s="253"/>
      <c r="FV240" s="253"/>
      <c r="FW240" s="253"/>
      <c r="FX240" s="253"/>
      <c r="FY240" s="253"/>
      <c r="FZ240" s="253"/>
      <c r="GA240" s="253"/>
      <c r="GB240" s="253"/>
      <c r="GC240" s="253"/>
      <c r="GD240" s="253"/>
      <c r="GE240" s="253"/>
      <c r="GF240" s="253"/>
      <c r="GG240" s="253"/>
      <c r="GH240" s="253"/>
      <c r="GI240" s="253"/>
      <c r="GJ240" s="253"/>
      <c r="GK240" s="253"/>
      <c r="GL240" s="253"/>
      <c r="GM240" s="253"/>
      <c r="GN240" s="253"/>
      <c r="GO240" s="253"/>
      <c r="GP240" s="253"/>
      <c r="GQ240" s="253"/>
      <c r="GR240" s="253"/>
      <c r="GS240" s="253"/>
      <c r="GT240" s="253"/>
      <c r="GU240" s="253"/>
      <c r="GV240" s="253"/>
      <c r="GW240" s="253"/>
      <c r="GX240" s="253"/>
      <c r="GY240" s="253"/>
      <c r="GZ240" s="253"/>
      <c r="HA240" s="253"/>
      <c r="HB240" s="253"/>
      <c r="HC240" s="253"/>
      <c r="HD240" s="253"/>
      <c r="HE240" s="253"/>
      <c r="HF240" s="253"/>
      <c r="HG240" s="253"/>
      <c r="HH240" s="253"/>
      <c r="HI240" s="253"/>
      <c r="HJ240" s="253"/>
      <c r="HK240" s="253"/>
      <c r="HL240" s="253"/>
      <c r="HM240" s="253"/>
      <c r="HN240" s="253"/>
      <c r="HO240" s="253"/>
      <c r="HP240" s="253"/>
      <c r="HQ240" s="253"/>
      <c r="HR240" s="253"/>
      <c r="HS240" s="253"/>
      <c r="HT240" s="253"/>
      <c r="HU240" s="253"/>
      <c r="HV240" s="253"/>
      <c r="HW240" s="253"/>
      <c r="HX240" s="253"/>
      <c r="HY240" s="253"/>
      <c r="HZ240" s="253"/>
      <c r="IA240" s="253"/>
      <c r="IB240" s="253"/>
      <c r="IC240" s="253"/>
      <c r="ID240" s="253"/>
      <c r="IE240" s="253"/>
      <c r="IF240" s="253"/>
      <c r="IG240" s="253"/>
      <c r="IH240" s="253"/>
      <c r="II240" s="253"/>
      <c r="IJ240" s="253"/>
      <c r="IK240" s="253"/>
      <c r="IL240" s="253"/>
      <c r="IM240" s="253"/>
      <c r="IN240" s="253"/>
      <c r="IO240" s="253"/>
      <c r="IP240" s="253"/>
      <c r="IQ240" s="253"/>
      <c r="IR240" s="253"/>
      <c r="IS240" s="253"/>
      <c r="IT240" s="253"/>
      <c r="IU240" s="253"/>
      <c r="IV240" s="253"/>
      <c r="IW240" s="253"/>
      <c r="IX240" s="253"/>
      <c r="IY240" s="253"/>
      <c r="IZ240" s="253"/>
      <c r="JA240" s="253"/>
      <c r="JB240" s="253"/>
      <c r="JC240" s="253"/>
      <c r="JD240" s="253"/>
      <c r="JE240" s="253"/>
      <c r="JF240" s="253"/>
      <c r="JG240" s="253"/>
      <c r="JH240" s="253"/>
      <c r="JI240" s="253"/>
      <c r="JJ240" s="253"/>
      <c r="JK240" s="253"/>
      <c r="JL240" s="253"/>
      <c r="JM240" s="253"/>
      <c r="JN240" s="253"/>
      <c r="JO240" s="253"/>
      <c r="JP240" s="253"/>
      <c r="JQ240" s="253"/>
      <c r="JR240" s="253"/>
      <c r="JS240" s="253"/>
      <c r="JT240" s="253"/>
      <c r="JU240" s="253"/>
      <c r="JV240" s="253"/>
      <c r="JW240" s="253"/>
      <c r="JX240" s="253"/>
      <c r="JY240" s="253"/>
      <c r="JZ240" s="253"/>
      <c r="KA240" s="253"/>
      <c r="KB240" s="253"/>
      <c r="KC240" s="253"/>
      <c r="KD240" s="253"/>
      <c r="KE240" s="253"/>
      <c r="KF240" s="253"/>
      <c r="KG240" s="253"/>
      <c r="KH240" s="253"/>
      <c r="KI240" s="253"/>
      <c r="KJ240" s="253"/>
      <c r="KK240" s="253"/>
      <c r="KL240" s="253"/>
      <c r="KM240" s="253"/>
      <c r="KN240" s="253"/>
      <c r="KO240" s="253"/>
      <c r="KP240" s="253"/>
      <c r="KQ240" s="253"/>
      <c r="KR240" s="253"/>
      <c r="KS240" s="253"/>
      <c r="KT240" s="253"/>
      <c r="KU240" s="253"/>
      <c r="KV240" s="253"/>
      <c r="KW240" s="253"/>
      <c r="KX240" s="253"/>
      <c r="KY240" s="253"/>
      <c r="KZ240" s="253"/>
      <c r="LA240" s="253"/>
      <c r="LB240" s="253"/>
      <c r="LC240" s="253"/>
      <c r="LD240" s="253"/>
      <c r="LE240" s="253"/>
      <c r="LF240" s="1296"/>
      <c r="LG240" s="253"/>
      <c r="LH240" s="253"/>
      <c r="LI240" s="253"/>
      <c r="LJ240" s="253"/>
      <c r="LK240" s="1296"/>
      <c r="LL240" s="253"/>
      <c r="LM240" s="253"/>
      <c r="LN240" s="253"/>
      <c r="LO240" s="253"/>
      <c r="LP240" s="1296"/>
      <c r="LQ240" s="253"/>
      <c r="LR240" s="253"/>
      <c r="LS240" s="253"/>
      <c r="LT240" s="253"/>
      <c r="LU240" s="1296"/>
      <c r="LV240" s="1296"/>
      <c r="LW240" s="1296"/>
      <c r="LX240" s="1296"/>
      <c r="LY240" s="1296"/>
      <c r="LZ240" s="1296"/>
      <c r="MA240" s="1296"/>
      <c r="MB240" s="1296"/>
      <c r="MC240" s="1296"/>
      <c r="MD240" s="1296"/>
      <c r="ME240" s="1296"/>
      <c r="MF240" s="1296"/>
      <c r="MG240" s="1296"/>
      <c r="MH240" s="1296"/>
      <c r="MI240" s="1296"/>
      <c r="MJ240" s="1296"/>
      <c r="MK240" s="1296"/>
      <c r="ML240" s="1296"/>
      <c r="MM240" s="1296"/>
      <c r="MN240" s="1296"/>
      <c r="MO240" s="1296"/>
      <c r="MP240" s="1296"/>
      <c r="MQ240" s="253"/>
      <c r="MR240" s="253"/>
      <c r="MS240" s="253"/>
      <c r="MT240" s="253"/>
      <c r="MU240" s="253"/>
      <c r="MV240" s="253"/>
      <c r="MW240" s="1184"/>
      <c r="MX240" s="253"/>
      <c r="MY240" s="253"/>
      <c r="MZ240" s="253"/>
      <c r="NA240" s="253"/>
      <c r="NB240" s="253"/>
      <c r="NC240" s="253"/>
      <c r="ND240" s="253"/>
      <c r="NE240" s="253"/>
      <c r="NF240" s="253"/>
      <c r="NG240" s="253"/>
      <c r="NH240" s="253"/>
      <c r="NI240" s="253"/>
      <c r="NJ240" s="253"/>
      <c r="NK240" s="253"/>
      <c r="NL240" s="253"/>
      <c r="NM240" s="1184"/>
      <c r="NN240" s="1184"/>
      <c r="NO240" s="253"/>
      <c r="NP240" s="253"/>
      <c r="NQ240" s="253"/>
      <c r="NR240" s="253"/>
      <c r="NS240" s="253"/>
      <c r="NT240" s="253"/>
      <c r="NU240" s="253"/>
      <c r="NV240" s="253"/>
      <c r="NW240" s="253"/>
      <c r="NX240" s="253"/>
      <c r="NY240" s="253"/>
      <c r="NZ240" s="253"/>
      <c r="OA240" s="253"/>
      <c r="OB240" s="253"/>
      <c r="OC240" s="253"/>
      <c r="OD240" s="253"/>
      <c r="OE240" s="253"/>
      <c r="OF240" s="253"/>
      <c r="OG240" s="253"/>
      <c r="OH240" s="253"/>
      <c r="OI240" s="253"/>
      <c r="OJ240" s="253"/>
      <c r="OK240" s="253"/>
      <c r="OL240" s="253"/>
      <c r="OM240" s="253"/>
      <c r="ON240" s="253"/>
      <c r="OO240" s="253"/>
      <c r="OP240" s="253"/>
      <c r="OQ240" s="253"/>
      <c r="OR240" s="253"/>
      <c r="OS240" s="253"/>
      <c r="OT240" s="253"/>
      <c r="OU240" s="253"/>
      <c r="OV240" s="43"/>
      <c r="OW240" s="43"/>
      <c r="OX240" s="43"/>
      <c r="OY240" s="1794"/>
      <c r="OZ240" s="1799">
        <v>236</v>
      </c>
      <c r="PA240" s="43"/>
      <c r="PB240" s="43"/>
      <c r="PC240" s="43"/>
      <c r="PD240" s="43"/>
      <c r="PE240" s="43"/>
      <c r="PF240" s="43"/>
      <c r="PG240" s="43"/>
      <c r="PH240" s="43"/>
      <c r="PI240" s="43"/>
      <c r="PJ240" s="43"/>
      <c r="PK240" s="43"/>
      <c r="PL240" s="43"/>
      <c r="PM240" s="43"/>
      <c r="PN240" s="43"/>
      <c r="PO240" s="43"/>
      <c r="PP240" s="43"/>
      <c r="PQ240" s="43"/>
      <c r="PR240" s="43"/>
      <c r="PS240" s="43"/>
      <c r="PT240" s="43"/>
      <c r="PU240" s="43"/>
      <c r="PV240" s="43"/>
      <c r="PW240" s="43"/>
      <c r="PX240" s="43"/>
      <c r="PY240" s="43"/>
      <c r="PZ240" s="43"/>
      <c r="QA240" s="43"/>
      <c r="QB240" s="43"/>
      <c r="QC240" s="43"/>
      <c r="QD240" s="43"/>
      <c r="QE240" s="43"/>
      <c r="QF240" s="43"/>
      <c r="QG240" s="43"/>
      <c r="QH240" s="43"/>
      <c r="QI240" s="43"/>
      <c r="QJ240" s="43"/>
      <c r="QK240" s="43"/>
      <c r="QL240" s="43"/>
      <c r="QM240" s="43"/>
      <c r="QN240" s="43"/>
      <c r="QO240" s="43"/>
      <c r="QP240" s="43"/>
      <c r="QQ240" s="43"/>
      <c r="QR240" s="43"/>
      <c r="QS240" s="43"/>
      <c r="QT240" s="43"/>
      <c r="QU240" s="43"/>
      <c r="QV240" s="43"/>
      <c r="QW240" s="43"/>
      <c r="QX240" s="43"/>
      <c r="QY240" s="43"/>
      <c r="QZ240" s="43"/>
      <c r="RA240" s="43"/>
      <c r="RB240" s="43"/>
      <c r="RC240" s="43"/>
      <c r="RD240" s="43"/>
      <c r="RE240" s="43"/>
      <c r="RF240" s="43"/>
      <c r="RG240" s="43"/>
      <c r="RH240" s="43"/>
      <c r="RI240" s="43"/>
      <c r="RJ240" s="43"/>
      <c r="RK240" s="43"/>
      <c r="RL240" s="43"/>
      <c r="RM240" s="43"/>
      <c r="RN240" s="43"/>
      <c r="RO240" s="43"/>
      <c r="RP240" s="43"/>
      <c r="RQ240" s="43"/>
      <c r="RR240" s="43"/>
      <c r="RS240" s="43"/>
      <c r="RT240" s="43"/>
      <c r="RU240" s="43"/>
      <c r="RV240" s="43"/>
      <c r="RW240" s="43"/>
      <c r="RX240" s="43"/>
      <c r="RY240" s="43"/>
      <c r="RZ240" s="43"/>
      <c r="SA240" s="43"/>
      <c r="SB240" s="43"/>
      <c r="SC240" s="43"/>
      <c r="SD240" s="43"/>
      <c r="SE240" s="43"/>
      <c r="SF240" s="43"/>
      <c r="SG240" s="43"/>
      <c r="SH240" s="43"/>
      <c r="SI240" s="43"/>
      <c r="SJ240" s="43"/>
      <c r="SK240" s="43"/>
      <c r="SL240" s="43"/>
      <c r="SM240" s="43"/>
      <c r="SN240" s="43"/>
      <c r="SO240" s="43"/>
      <c r="SP240" s="43"/>
      <c r="SQ240" s="43"/>
      <c r="SR240" s="43"/>
      <c r="SS240" s="43"/>
      <c r="ST240" s="43"/>
      <c r="SU240" s="43"/>
      <c r="SV240" s="43"/>
      <c r="SW240" s="43"/>
      <c r="SX240" s="43"/>
      <c r="SY240" s="43"/>
      <c r="SZ240" s="43"/>
      <c r="TA240" s="43"/>
      <c r="TB240" s="43"/>
      <c r="TC240" s="43"/>
      <c r="TD240" s="43"/>
      <c r="TE240" s="43"/>
      <c r="TF240" s="43"/>
      <c r="TG240" s="43"/>
      <c r="TH240" s="43"/>
    </row>
    <row r="241" spans="1:528" s="41" customFormat="1" ht="11.25" customHeight="1" thickBot="1">
      <c r="A241" s="43"/>
      <c r="B241" s="2521"/>
      <c r="C241" s="2521"/>
      <c r="D241" s="2521"/>
      <c r="E241" s="2521"/>
      <c r="F241" s="2521"/>
      <c r="G241" s="2521"/>
      <c r="H241" s="2521"/>
      <c r="I241" s="2521"/>
      <c r="J241" s="2521"/>
      <c r="K241" s="2521"/>
      <c r="L241" s="43"/>
      <c r="M241" s="43"/>
      <c r="N241" s="43"/>
      <c r="O241" s="43"/>
      <c r="P241" s="43"/>
      <c r="Q241" s="43"/>
      <c r="R241" s="43"/>
      <c r="S241" s="39" t="s">
        <v>793</v>
      </c>
      <c r="T241" s="39"/>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3"/>
      <c r="DL241" s="253"/>
      <c r="DM241" s="253"/>
      <c r="DN241" s="253"/>
      <c r="DO241" s="253"/>
      <c r="DP241" s="253"/>
      <c r="DQ241" s="253"/>
      <c r="DR241" s="253"/>
      <c r="DS241" s="253"/>
      <c r="DT241" s="253"/>
      <c r="DU241" s="253"/>
      <c r="DV241" s="253"/>
      <c r="DW241" s="253"/>
      <c r="DX241" s="253"/>
      <c r="DY241" s="253"/>
      <c r="DZ241" s="253"/>
      <c r="EA241" s="253"/>
      <c r="EB241" s="253"/>
      <c r="EC241" s="253"/>
      <c r="ED241" s="253"/>
      <c r="EE241" s="253"/>
      <c r="EF241" s="253"/>
      <c r="EG241" s="253"/>
      <c r="EH241" s="253"/>
      <c r="EI241" s="253"/>
      <c r="EJ241" s="253"/>
      <c r="EK241" s="253"/>
      <c r="EL241" s="253"/>
      <c r="EM241" s="253"/>
      <c r="EN241" s="253"/>
      <c r="EO241" s="253"/>
      <c r="EP241" s="253"/>
      <c r="EQ241" s="253"/>
      <c r="ER241" s="253"/>
      <c r="ES241" s="253"/>
      <c r="ET241" s="253"/>
      <c r="EU241" s="253"/>
      <c r="EV241" s="253"/>
      <c r="EW241" s="253"/>
      <c r="EX241" s="253"/>
      <c r="EY241" s="253"/>
      <c r="EZ241" s="253"/>
      <c r="FA241" s="253"/>
      <c r="FB241" s="253"/>
      <c r="FC241" s="253"/>
      <c r="FD241" s="253"/>
      <c r="FE241" s="253"/>
      <c r="FF241" s="253"/>
      <c r="FG241" s="253"/>
      <c r="FH241" s="253"/>
      <c r="FI241" s="253"/>
      <c r="FJ241" s="253"/>
      <c r="FK241" s="253"/>
      <c r="FL241" s="253"/>
      <c r="FM241" s="253"/>
      <c r="FN241" s="253"/>
      <c r="FO241" s="253"/>
      <c r="FP241" s="253"/>
      <c r="FQ241" s="253"/>
      <c r="FR241" s="253"/>
      <c r="FS241" s="253"/>
      <c r="FT241" s="253"/>
      <c r="FU241" s="253"/>
      <c r="FV241" s="253"/>
      <c r="FW241" s="253"/>
      <c r="FX241" s="253"/>
      <c r="FY241" s="253"/>
      <c r="FZ241" s="253"/>
      <c r="GA241" s="253"/>
      <c r="GB241" s="253"/>
      <c r="GC241" s="253"/>
      <c r="GD241" s="253"/>
      <c r="GE241" s="253"/>
      <c r="GF241" s="253"/>
      <c r="GG241" s="253"/>
      <c r="GH241" s="253"/>
      <c r="GI241" s="253"/>
      <c r="GJ241" s="253"/>
      <c r="GK241" s="253"/>
      <c r="GL241" s="253"/>
      <c r="GM241" s="253"/>
      <c r="GN241" s="253"/>
      <c r="GO241" s="253"/>
      <c r="GP241" s="253"/>
      <c r="GQ241" s="253"/>
      <c r="GR241" s="253"/>
      <c r="GS241" s="253"/>
      <c r="GT241" s="253"/>
      <c r="GU241" s="253"/>
      <c r="GV241" s="253"/>
      <c r="GW241" s="253"/>
      <c r="GX241" s="253"/>
      <c r="GY241" s="253"/>
      <c r="GZ241" s="253"/>
      <c r="HA241" s="253"/>
      <c r="HB241" s="253"/>
      <c r="HC241" s="253"/>
      <c r="HD241" s="253"/>
      <c r="HE241" s="253"/>
      <c r="HF241" s="253"/>
      <c r="HG241" s="253"/>
      <c r="HH241" s="253"/>
      <c r="HI241" s="253"/>
      <c r="HJ241" s="253"/>
      <c r="HK241" s="253"/>
      <c r="HL241" s="253"/>
      <c r="HM241" s="253"/>
      <c r="HN241" s="253"/>
      <c r="HO241" s="253"/>
      <c r="HP241" s="253"/>
      <c r="HQ241" s="253"/>
      <c r="HR241" s="253"/>
      <c r="HS241" s="253"/>
      <c r="HT241" s="253"/>
      <c r="HU241" s="253"/>
      <c r="HV241" s="253"/>
      <c r="HW241" s="253"/>
      <c r="HX241" s="253"/>
      <c r="HY241" s="253"/>
      <c r="HZ241" s="253"/>
      <c r="IA241" s="253"/>
      <c r="IB241" s="253"/>
      <c r="IC241" s="253"/>
      <c r="ID241" s="253"/>
      <c r="IE241" s="253"/>
      <c r="IF241" s="253"/>
      <c r="IG241" s="253"/>
      <c r="IH241" s="253"/>
      <c r="II241" s="253"/>
      <c r="IJ241" s="253"/>
      <c r="IK241" s="253"/>
      <c r="IL241" s="253"/>
      <c r="IM241" s="253"/>
      <c r="IN241" s="253"/>
      <c r="IO241" s="253"/>
      <c r="IP241" s="253"/>
      <c r="IQ241" s="253"/>
      <c r="IR241" s="253"/>
      <c r="IS241" s="253"/>
      <c r="IT241" s="253"/>
      <c r="IU241" s="253"/>
      <c r="IV241" s="253"/>
      <c r="IW241" s="253"/>
      <c r="IX241" s="253"/>
      <c r="IY241" s="253"/>
      <c r="IZ241" s="253"/>
      <c r="JA241" s="253"/>
      <c r="JB241" s="253"/>
      <c r="JC241" s="253"/>
      <c r="JD241" s="253"/>
      <c r="JE241" s="253"/>
      <c r="JF241" s="253"/>
      <c r="JG241" s="253"/>
      <c r="JH241" s="253"/>
      <c r="JI241" s="253"/>
      <c r="JJ241" s="253"/>
      <c r="JK241" s="253"/>
      <c r="JL241" s="253"/>
      <c r="JM241" s="253"/>
      <c r="JN241" s="253"/>
      <c r="JO241" s="253"/>
      <c r="JP241" s="253"/>
      <c r="JQ241" s="253"/>
      <c r="JR241" s="253"/>
      <c r="JS241" s="253"/>
      <c r="JT241" s="253"/>
      <c r="JU241" s="253"/>
      <c r="JV241" s="253"/>
      <c r="JW241" s="253"/>
      <c r="JX241" s="253"/>
      <c r="JY241" s="253"/>
      <c r="JZ241" s="253"/>
      <c r="KA241" s="253"/>
      <c r="KB241" s="253"/>
      <c r="KC241" s="253"/>
      <c r="KD241" s="253"/>
      <c r="KE241" s="253"/>
      <c r="KF241" s="253"/>
      <c r="KG241" s="253"/>
      <c r="KH241" s="253"/>
      <c r="KI241" s="253"/>
      <c r="KJ241" s="253"/>
      <c r="KK241" s="253"/>
      <c r="KL241" s="253"/>
      <c r="KM241" s="253"/>
      <c r="KN241" s="253"/>
      <c r="KO241" s="253"/>
      <c r="KP241" s="253"/>
      <c r="KQ241" s="253"/>
      <c r="KR241" s="253"/>
      <c r="KS241" s="253"/>
      <c r="KT241" s="253"/>
      <c r="KU241" s="253"/>
      <c r="KV241" s="253"/>
      <c r="KW241" s="253"/>
      <c r="KX241" s="253"/>
      <c r="KY241" s="253"/>
      <c r="KZ241" s="253"/>
      <c r="LA241" s="253"/>
      <c r="LB241" s="253"/>
      <c r="LC241" s="253"/>
      <c r="LD241" s="253"/>
      <c r="LE241" s="253"/>
      <c r="LF241" s="1296"/>
      <c r="LG241" s="253"/>
      <c r="LH241" s="253"/>
      <c r="LI241" s="253"/>
      <c r="LJ241" s="253"/>
      <c r="LK241" s="1296"/>
      <c r="LL241" s="253"/>
      <c r="LM241" s="253"/>
      <c r="LN241" s="253"/>
      <c r="LO241" s="253"/>
      <c r="LP241" s="1296"/>
      <c r="LQ241" s="253"/>
      <c r="LR241" s="253"/>
      <c r="LS241" s="253"/>
      <c r="LT241" s="253"/>
      <c r="LU241" s="1296"/>
      <c r="LV241" s="1296"/>
      <c r="LW241" s="1296"/>
      <c r="LX241" s="1296"/>
      <c r="LY241" s="1296"/>
      <c r="LZ241" s="1296"/>
      <c r="MA241" s="1296"/>
      <c r="MB241" s="1296"/>
      <c r="MC241" s="1296"/>
      <c r="MD241" s="1296"/>
      <c r="ME241" s="1296"/>
      <c r="MF241" s="1296"/>
      <c r="MG241" s="1296"/>
      <c r="MH241" s="1296"/>
      <c r="MI241" s="1296"/>
      <c r="MJ241" s="1296"/>
      <c r="MK241" s="1296"/>
      <c r="ML241" s="1296"/>
      <c r="MM241" s="1296"/>
      <c r="MN241" s="1296"/>
      <c r="MO241" s="1296"/>
      <c r="MP241" s="1296"/>
      <c r="MQ241" s="253"/>
      <c r="MR241" s="253"/>
      <c r="MS241" s="253"/>
      <c r="MT241" s="253"/>
      <c r="MU241" s="253"/>
      <c r="MV241" s="253"/>
      <c r="MW241" s="1184"/>
      <c r="MX241" s="253"/>
      <c r="MY241" s="253"/>
      <c r="MZ241" s="253"/>
      <c r="NA241" s="253"/>
      <c r="NB241" s="253"/>
      <c r="NC241" s="253"/>
      <c r="ND241" s="253"/>
      <c r="NE241" s="253"/>
      <c r="NF241" s="253"/>
      <c r="NG241" s="253"/>
      <c r="NH241" s="253"/>
      <c r="NI241" s="253"/>
      <c r="NJ241" s="253"/>
      <c r="NK241" s="253"/>
      <c r="NL241" s="253"/>
      <c r="NM241" s="1184"/>
      <c r="NN241" s="1184"/>
      <c r="NO241" s="253"/>
      <c r="NP241" s="253"/>
      <c r="NQ241" s="253"/>
      <c r="NR241" s="253"/>
      <c r="NS241" s="253"/>
      <c r="NT241" s="253"/>
      <c r="NU241" s="253"/>
      <c r="NV241" s="253"/>
      <c r="NW241" s="253"/>
      <c r="NX241" s="253"/>
      <c r="NY241" s="253"/>
      <c r="NZ241" s="253"/>
      <c r="OA241" s="253"/>
      <c r="OB241" s="253"/>
      <c r="OC241" s="253"/>
      <c r="OD241" s="253"/>
      <c r="OE241" s="253"/>
      <c r="OF241" s="253"/>
      <c r="OG241" s="253"/>
      <c r="OH241" s="253"/>
      <c r="OI241" s="253"/>
      <c r="OJ241" s="253"/>
      <c r="OK241" s="253"/>
      <c r="OL241" s="253"/>
      <c r="OM241" s="253"/>
      <c r="ON241" s="253"/>
      <c r="OO241" s="253"/>
      <c r="OP241" s="253"/>
      <c r="OQ241" s="253"/>
      <c r="OR241" s="253"/>
      <c r="OS241" s="253"/>
      <c r="OT241" s="253"/>
      <c r="OU241" s="253"/>
      <c r="OV241" s="43"/>
      <c r="OW241" s="43"/>
      <c r="OX241" s="43"/>
      <c r="OY241" s="1794"/>
      <c r="OZ241" s="1799">
        <v>237</v>
      </c>
      <c r="PA241" s="43"/>
      <c r="PB241" s="43"/>
      <c r="PC241" s="43"/>
      <c r="PD241" s="43"/>
      <c r="PE241" s="43"/>
      <c r="PF241" s="43"/>
      <c r="PG241" s="43"/>
      <c r="PH241" s="43"/>
      <c r="PI241" s="43"/>
      <c r="PJ241" s="43"/>
      <c r="PK241" s="43"/>
      <c r="PL241" s="43"/>
      <c r="PM241" s="43"/>
      <c r="PN241" s="43"/>
      <c r="PO241" s="43"/>
      <c r="PP241" s="43"/>
      <c r="PQ241" s="43"/>
      <c r="PR241" s="43"/>
      <c r="PS241" s="43"/>
      <c r="PT241" s="43"/>
      <c r="PU241" s="43"/>
      <c r="PV241" s="43"/>
      <c r="PW241" s="43"/>
      <c r="PX241" s="43"/>
      <c r="PY241" s="43"/>
      <c r="PZ241" s="43"/>
      <c r="QA241" s="43"/>
      <c r="QB241" s="43"/>
      <c r="QC241" s="43"/>
      <c r="QD241" s="43"/>
      <c r="QE241" s="43"/>
      <c r="QF241" s="43"/>
      <c r="QG241" s="43"/>
      <c r="QH241" s="43"/>
      <c r="QI241" s="43"/>
      <c r="QJ241" s="43"/>
      <c r="QK241" s="43"/>
      <c r="QL241" s="43"/>
      <c r="QM241" s="43"/>
      <c r="QN241" s="43"/>
      <c r="QO241" s="43"/>
      <c r="QP241" s="43"/>
      <c r="QQ241" s="43"/>
      <c r="QR241" s="43"/>
      <c r="QS241" s="43"/>
      <c r="QT241" s="43"/>
      <c r="QU241" s="43"/>
      <c r="QV241" s="43"/>
      <c r="QW241" s="43"/>
      <c r="QX241" s="43"/>
      <c r="QY241" s="43"/>
      <c r="QZ241" s="43"/>
      <c r="RA241" s="43"/>
      <c r="RB241" s="43"/>
      <c r="RC241" s="43"/>
      <c r="RD241" s="43"/>
      <c r="RE241" s="43"/>
      <c r="RF241" s="43"/>
      <c r="RG241" s="43"/>
      <c r="RH241" s="43"/>
      <c r="RI241" s="43"/>
      <c r="RJ241" s="43"/>
      <c r="RK241" s="43"/>
      <c r="RL241" s="43"/>
      <c r="RM241" s="43"/>
      <c r="RN241" s="43"/>
      <c r="RO241" s="43"/>
      <c r="RP241" s="43"/>
      <c r="RQ241" s="43"/>
      <c r="RR241" s="43"/>
      <c r="RS241" s="43"/>
      <c r="RT241" s="43"/>
      <c r="RU241" s="43"/>
      <c r="RV241" s="43"/>
      <c r="RW241" s="43"/>
      <c r="RX241" s="43"/>
      <c r="RY241" s="43"/>
      <c r="RZ241" s="43"/>
      <c r="SA241" s="43"/>
      <c r="SB241" s="43"/>
      <c r="SC241" s="43"/>
      <c r="SD241" s="43"/>
      <c r="SE241" s="43"/>
      <c r="SF241" s="43"/>
      <c r="SG241" s="43"/>
      <c r="SH241" s="43"/>
      <c r="SI241" s="43"/>
      <c r="SJ241" s="43"/>
      <c r="SK241" s="43"/>
      <c r="SL241" s="43"/>
      <c r="SM241" s="43"/>
      <c r="SN241" s="43"/>
      <c r="SO241" s="43"/>
      <c r="SP241" s="43"/>
      <c r="SQ241" s="43"/>
      <c r="SR241" s="43"/>
      <c r="SS241" s="43"/>
      <c r="ST241" s="43"/>
      <c r="SU241" s="43"/>
      <c r="SV241" s="43"/>
      <c r="SW241" s="43"/>
      <c r="SX241" s="43"/>
      <c r="SY241" s="43"/>
      <c r="SZ241" s="43"/>
      <c r="TA241" s="43"/>
      <c r="TB241" s="43"/>
      <c r="TC241" s="43"/>
      <c r="TD241" s="43"/>
      <c r="TE241" s="43"/>
      <c r="TF241" s="43"/>
      <c r="TG241" s="43"/>
      <c r="TH241" s="43"/>
    </row>
    <row r="242" spans="1:528" s="41" customFormat="1" ht="16.5" customHeight="1" thickBot="1">
      <c r="A242" s="43"/>
      <c r="B242" s="3" t="s">
        <v>1293</v>
      </c>
      <c r="C242" s="43"/>
      <c r="D242" s="43"/>
      <c r="E242" s="43"/>
      <c r="F242"/>
      <c r="G242"/>
      <c r="H242" s="1779" t="s">
        <v>680</v>
      </c>
      <c r="I242" s="3" t="s">
        <v>1294</v>
      </c>
      <c r="K242" s="43"/>
      <c r="L242" s="43"/>
      <c r="M242" s="43"/>
      <c r="N242" s="1779" t="s">
        <v>680</v>
      </c>
      <c r="O242" s="3" t="s">
        <v>1295</v>
      </c>
      <c r="P242" s="43"/>
      <c r="Q242" s="2372">
        <f>IF(OR('Part VI-Pro Forma'!$B$22 = "Choose Mgt Fee",'Part VI-Pro Forma'!$B$22 = "Choose One!"), 0,- 'Part VI-Pro Forma'!$B$22)</f>
        <v>38289</v>
      </c>
      <c r="R242" s="43"/>
      <c r="S242" s="3777"/>
      <c r="T242" s="3778"/>
      <c r="U242" s="3778"/>
      <c r="V242" s="3778"/>
      <c r="W242" s="3779"/>
      <c r="X242" s="251"/>
      <c r="Y242" s="253"/>
      <c r="Z242" s="253"/>
      <c r="AA242" s="253"/>
      <c r="AB242" s="253"/>
      <c r="AC242" s="251"/>
      <c r="AD242" s="253"/>
      <c r="AE242" s="253"/>
      <c r="AF242" s="253"/>
      <c r="AG242" s="253"/>
      <c r="AH242" s="251"/>
      <c r="AI242" s="253"/>
      <c r="AJ242" s="253"/>
      <c r="AK242" s="253"/>
      <c r="AL242" s="253"/>
      <c r="AM242" s="251"/>
      <c r="AN242" s="253"/>
      <c r="AO242" s="253"/>
      <c r="AP242" s="253"/>
      <c r="AQ242" s="253"/>
      <c r="AR242" s="253"/>
      <c r="AS242" s="253"/>
      <c r="AT242" s="253"/>
      <c r="AU242" s="253"/>
      <c r="AV242" s="253"/>
      <c r="AW242" s="253"/>
      <c r="AX242" s="253"/>
      <c r="AY242" s="253"/>
      <c r="AZ242" s="253"/>
      <c r="BA242" s="253"/>
      <c r="BB242" s="253"/>
      <c r="BC242" s="253"/>
      <c r="BD242" s="253"/>
      <c r="BE242" s="253"/>
      <c r="BF242" s="253"/>
      <c r="BG242" s="253"/>
      <c r="BH242" s="253"/>
      <c r="BI242" s="253"/>
      <c r="BJ242" s="253"/>
      <c r="BK242" s="253"/>
      <c r="BL242" s="253"/>
      <c r="BM242" s="253"/>
      <c r="BN242" s="253"/>
      <c r="BO242" s="253"/>
      <c r="BP242" s="253"/>
      <c r="BQ242" s="253"/>
      <c r="BR242" s="253"/>
      <c r="BS242" s="253"/>
      <c r="BT242" s="253"/>
      <c r="BU242" s="253"/>
      <c r="BV242" s="253"/>
      <c r="BW242" s="253"/>
      <c r="BX242" s="253"/>
      <c r="BY242" s="253"/>
      <c r="BZ242" s="253"/>
      <c r="CA242" s="253"/>
      <c r="CB242" s="253"/>
      <c r="CC242" s="253"/>
      <c r="CD242" s="253"/>
      <c r="CE242" s="253"/>
      <c r="CF242" s="253"/>
      <c r="CG242" s="253"/>
      <c r="CH242" s="253"/>
      <c r="CI242" s="253"/>
      <c r="CJ242" s="253"/>
      <c r="CK242" s="253"/>
      <c r="CL242" s="253"/>
      <c r="CM242" s="253"/>
      <c r="CN242" s="253"/>
      <c r="CO242" s="253"/>
      <c r="CP242" s="253"/>
      <c r="CQ242" s="253"/>
      <c r="CR242" s="253"/>
      <c r="CS242" s="253"/>
      <c r="CT242" s="253"/>
      <c r="CU242" s="253"/>
      <c r="CV242" s="253"/>
      <c r="CW242" s="253"/>
      <c r="CX242" s="253"/>
      <c r="CY242" s="253"/>
      <c r="CZ242" s="253"/>
      <c r="DA242" s="253"/>
      <c r="DB242" s="253"/>
      <c r="DC242" s="253"/>
      <c r="DD242" s="253"/>
      <c r="DE242" s="253"/>
      <c r="DF242" s="253"/>
      <c r="DG242" s="253"/>
      <c r="DH242" s="253"/>
      <c r="DI242" s="253"/>
      <c r="DJ242" s="253"/>
      <c r="DK242" s="253"/>
      <c r="DL242" s="253"/>
      <c r="DM242" s="253"/>
      <c r="DN242" s="253"/>
      <c r="DO242" s="253"/>
      <c r="DP242" s="253"/>
      <c r="DQ242" s="253"/>
      <c r="DR242" s="253"/>
      <c r="DS242" s="253"/>
      <c r="DT242" s="253"/>
      <c r="DU242" s="253"/>
      <c r="DV242" s="253"/>
      <c r="DW242" s="253"/>
      <c r="DX242" s="253"/>
      <c r="DY242" s="253"/>
      <c r="DZ242" s="253"/>
      <c r="EA242" s="253"/>
      <c r="EB242" s="253"/>
      <c r="EC242" s="253"/>
      <c r="ED242" s="253"/>
      <c r="EE242" s="253"/>
      <c r="EF242" s="253"/>
      <c r="EG242" s="253"/>
      <c r="EH242" s="253"/>
      <c r="EI242" s="253"/>
      <c r="EJ242" s="253"/>
      <c r="EK242" s="253"/>
      <c r="EL242" s="253"/>
      <c r="EM242" s="253"/>
      <c r="EN242" s="253"/>
      <c r="EO242" s="253"/>
      <c r="EP242" s="253"/>
      <c r="EQ242" s="253"/>
      <c r="ER242" s="253"/>
      <c r="ES242" s="253"/>
      <c r="ET242" s="253"/>
      <c r="EU242" s="253"/>
      <c r="EV242" s="253"/>
      <c r="EW242" s="253"/>
      <c r="EX242" s="253"/>
      <c r="EY242" s="253"/>
      <c r="EZ242" s="253"/>
      <c r="FA242" s="253"/>
      <c r="FB242" s="253"/>
      <c r="FC242" s="253"/>
      <c r="FD242" s="253"/>
      <c r="FE242" s="253"/>
      <c r="FF242" s="253"/>
      <c r="FG242" s="253"/>
      <c r="FH242" s="253"/>
      <c r="FI242" s="253"/>
      <c r="FJ242" s="253"/>
      <c r="FK242" s="253"/>
      <c r="FL242" s="253"/>
      <c r="FM242" s="253"/>
      <c r="FN242" s="253"/>
      <c r="FO242" s="253"/>
      <c r="FP242" s="253"/>
      <c r="FQ242" s="253"/>
      <c r="FR242" s="253"/>
      <c r="FS242" s="253"/>
      <c r="FT242" s="253"/>
      <c r="FU242" s="253"/>
      <c r="FV242" s="253"/>
      <c r="FW242" s="253"/>
      <c r="FX242" s="253"/>
      <c r="FY242" s="253"/>
      <c r="FZ242" s="253"/>
      <c r="GA242" s="253"/>
      <c r="GB242" s="253"/>
      <c r="GC242" s="253"/>
      <c r="GD242" s="253"/>
      <c r="GE242" s="253"/>
      <c r="GF242" s="253"/>
      <c r="GG242" s="253"/>
      <c r="GH242" s="253"/>
      <c r="GI242" s="253"/>
      <c r="GJ242" s="253"/>
      <c r="GK242" s="253"/>
      <c r="GL242" s="253"/>
      <c r="GM242" s="253"/>
      <c r="GN242" s="253"/>
      <c r="GO242" s="253"/>
      <c r="GP242" s="253"/>
      <c r="GQ242" s="253"/>
      <c r="GR242" s="253"/>
      <c r="GS242" s="253"/>
      <c r="GT242" s="253"/>
      <c r="GU242" s="253"/>
      <c r="GV242" s="253"/>
      <c r="GW242" s="253"/>
      <c r="GX242" s="253"/>
      <c r="GY242" s="253"/>
      <c r="GZ242" s="253"/>
      <c r="HA242" s="253"/>
      <c r="HB242" s="253"/>
      <c r="HC242" s="253"/>
      <c r="HD242" s="253"/>
      <c r="HE242" s="253"/>
      <c r="HF242" s="253"/>
      <c r="HG242" s="253"/>
      <c r="HH242" s="253"/>
      <c r="HI242" s="253"/>
      <c r="HJ242" s="253"/>
      <c r="HK242" s="253"/>
      <c r="HL242" s="253"/>
      <c r="HM242" s="253"/>
      <c r="HN242" s="253"/>
      <c r="HO242" s="253"/>
      <c r="HP242" s="253"/>
      <c r="HQ242" s="253"/>
      <c r="HR242" s="253"/>
      <c r="HS242" s="253"/>
      <c r="HT242" s="253"/>
      <c r="HU242" s="253"/>
      <c r="HV242" s="253"/>
      <c r="HW242" s="253"/>
      <c r="HX242" s="253"/>
      <c r="HY242" s="253"/>
      <c r="HZ242" s="253"/>
      <c r="IA242" s="253"/>
      <c r="IB242" s="253"/>
      <c r="IC242" s="253"/>
      <c r="ID242" s="253"/>
      <c r="IE242" s="253"/>
      <c r="IF242" s="253"/>
      <c r="IG242" s="253"/>
      <c r="IH242" s="253"/>
      <c r="II242" s="253"/>
      <c r="IJ242" s="253"/>
      <c r="IK242" s="253"/>
      <c r="IL242" s="253"/>
      <c r="IM242" s="253"/>
      <c r="IN242" s="253"/>
      <c r="IO242" s="253"/>
      <c r="IP242" s="253"/>
      <c r="IQ242" s="253"/>
      <c r="IR242" s="253"/>
      <c r="IS242" s="253"/>
      <c r="IT242" s="253"/>
      <c r="IU242" s="253"/>
      <c r="IV242" s="253"/>
      <c r="IW242" s="253"/>
      <c r="IX242" s="253"/>
      <c r="IY242" s="253"/>
      <c r="IZ242" s="253"/>
      <c r="JA242" s="253"/>
      <c r="JB242" s="253"/>
      <c r="JC242" s="253"/>
      <c r="JD242" s="253"/>
      <c r="JE242" s="253"/>
      <c r="JF242" s="253"/>
      <c r="JG242" s="253"/>
      <c r="JH242" s="253"/>
      <c r="JI242" s="253"/>
      <c r="JJ242" s="253"/>
      <c r="JK242" s="253"/>
      <c r="JL242" s="253"/>
      <c r="JM242" s="253"/>
      <c r="JN242" s="253"/>
      <c r="JO242" s="253"/>
      <c r="JP242" s="253"/>
      <c r="JQ242" s="253"/>
      <c r="JR242" s="253"/>
      <c r="JS242" s="253"/>
      <c r="JT242" s="253"/>
      <c r="JU242" s="253"/>
      <c r="JV242" s="253"/>
      <c r="JW242" s="253"/>
      <c r="JX242" s="253"/>
      <c r="JY242" s="253"/>
      <c r="JZ242" s="253"/>
      <c r="KA242" s="253"/>
      <c r="KB242" s="253"/>
      <c r="KC242" s="253"/>
      <c r="KD242" s="253"/>
      <c r="KE242" s="253"/>
      <c r="KF242" s="253"/>
      <c r="KG242" s="253"/>
      <c r="KH242" s="253"/>
      <c r="KI242" s="253"/>
      <c r="KJ242" s="253"/>
      <c r="KK242" s="253"/>
      <c r="KL242" s="253"/>
      <c r="KM242" s="253"/>
      <c r="KN242" s="253"/>
      <c r="KO242" s="253"/>
      <c r="KP242" s="253"/>
      <c r="KQ242" s="253"/>
      <c r="KR242" s="253"/>
      <c r="KS242" s="253"/>
      <c r="KT242" s="253"/>
      <c r="KU242" s="253"/>
      <c r="KV242" s="253"/>
      <c r="KW242" s="253"/>
      <c r="KX242" s="253"/>
      <c r="KY242" s="253"/>
      <c r="KZ242" s="253"/>
      <c r="LA242" s="253"/>
      <c r="LB242" s="253"/>
      <c r="LC242" s="253"/>
      <c r="LD242" s="253"/>
      <c r="LE242" s="253"/>
      <c r="LF242" s="1296"/>
      <c r="LG242" s="253"/>
      <c r="LH242" s="253"/>
      <c r="LI242" s="253"/>
      <c r="LJ242" s="253"/>
      <c r="LK242" s="1296"/>
      <c r="LL242" s="253"/>
      <c r="LM242" s="253"/>
      <c r="LN242" s="253"/>
      <c r="LO242" s="253"/>
      <c r="LP242" s="1296"/>
      <c r="LQ242" s="253"/>
      <c r="LR242" s="253"/>
      <c r="LS242" s="253"/>
      <c r="LT242" s="253"/>
      <c r="LU242" s="1296"/>
      <c r="LV242" s="1296"/>
      <c r="LW242" s="1296"/>
      <c r="LX242" s="1296"/>
      <c r="LY242" s="1296"/>
      <c r="LZ242" s="1296"/>
      <c r="MA242" s="1296"/>
      <c r="MB242" s="1296"/>
      <c r="MC242" s="1296"/>
      <c r="MD242" s="1296"/>
      <c r="ME242" s="1296"/>
      <c r="MF242" s="1296"/>
      <c r="MG242" s="1296"/>
      <c r="MH242" s="1296"/>
      <c r="MI242" s="1296"/>
      <c r="MJ242" s="1296"/>
      <c r="MK242" s="1296"/>
      <c r="ML242" s="1296"/>
      <c r="MM242" s="1296"/>
      <c r="MN242" s="1296"/>
      <c r="MO242" s="1296"/>
      <c r="MP242" s="1296"/>
      <c r="MQ242" s="253"/>
      <c r="MR242" s="253"/>
      <c r="MS242" s="253"/>
      <c r="MT242" s="253"/>
      <c r="MU242" s="253"/>
      <c r="MV242" s="253"/>
      <c r="MW242" s="1184"/>
      <c r="MX242" s="253"/>
      <c r="MY242" s="253"/>
      <c r="MZ242" s="253"/>
      <c r="NA242" s="253"/>
      <c r="NB242" s="253"/>
      <c r="NC242" s="253"/>
      <c r="ND242" s="253"/>
      <c r="NE242" s="253"/>
      <c r="NF242" s="253"/>
      <c r="NG242" s="253"/>
      <c r="NH242" s="253"/>
      <c r="NI242" s="253"/>
      <c r="NJ242" s="253"/>
      <c r="NK242" s="253"/>
      <c r="NL242" s="253"/>
      <c r="NM242" s="1184"/>
      <c r="NN242" s="1184"/>
      <c r="NO242" s="253"/>
      <c r="NP242" s="253"/>
      <c r="NQ242" s="253"/>
      <c r="NR242" s="253"/>
      <c r="NS242" s="253"/>
      <c r="NT242" s="253"/>
      <c r="NU242" s="253"/>
      <c r="NV242" s="253"/>
      <c r="NW242" s="253"/>
      <c r="NX242" s="253"/>
      <c r="NY242" s="253"/>
      <c r="NZ242" s="253"/>
      <c r="OA242" s="253"/>
      <c r="OB242" s="253"/>
      <c r="OC242" s="253"/>
      <c r="OD242" s="253"/>
      <c r="OE242" s="253"/>
      <c r="OF242" s="253"/>
      <c r="OG242" s="253"/>
      <c r="OH242" s="253"/>
      <c r="OI242" s="253"/>
      <c r="OJ242" s="253"/>
      <c r="OK242" s="253"/>
      <c r="OL242" s="253"/>
      <c r="OM242" s="253"/>
      <c r="ON242" s="253"/>
      <c r="OO242" s="253"/>
      <c r="OP242" s="253"/>
      <c r="OQ242" s="253"/>
      <c r="OR242" s="253"/>
      <c r="OS242" s="253"/>
      <c r="OT242" s="253"/>
      <c r="OU242" s="253"/>
      <c r="OV242" s="43"/>
      <c r="OW242" s="43"/>
      <c r="OX242" s="43"/>
      <c r="OY242" s="1794"/>
      <c r="OZ242" s="1798">
        <v>238</v>
      </c>
      <c r="PA242" s="43"/>
      <c r="PB242" s="43"/>
      <c r="PC242" s="43"/>
      <c r="PD242" s="43"/>
      <c r="PE242" s="43"/>
      <c r="PF242" s="43"/>
      <c r="PG242" s="43"/>
      <c r="PH242" s="43"/>
      <c r="PI242" s="43"/>
      <c r="PJ242" s="43"/>
      <c r="PK242" s="43"/>
      <c r="PL242" s="43"/>
      <c r="PM242" s="43"/>
      <c r="PN242" s="43"/>
      <c r="PO242" s="43"/>
      <c r="PP242" s="43"/>
      <c r="PQ242" s="43"/>
      <c r="PR242" s="43"/>
      <c r="PS242" s="43"/>
      <c r="PT242" s="43"/>
      <c r="PU242" s="43"/>
      <c r="PV242" s="43"/>
      <c r="PW242" s="43"/>
      <c r="PX242" s="43"/>
      <c r="PY242" s="43"/>
      <c r="PZ242" s="43"/>
      <c r="QA242" s="43"/>
      <c r="QB242" s="43"/>
      <c r="QC242" s="43"/>
      <c r="QD242" s="43"/>
      <c r="QE242" s="43"/>
      <c r="QF242" s="43"/>
      <c r="QG242" s="43"/>
      <c r="QH242" s="43"/>
      <c r="QI242" s="43"/>
      <c r="QJ242" s="43"/>
      <c r="QK242" s="43"/>
      <c r="QL242" s="43"/>
      <c r="QM242" s="43"/>
      <c r="QN242" s="43"/>
      <c r="QO242" s="43"/>
      <c r="QP242" s="43"/>
      <c r="QQ242" s="43"/>
      <c r="QR242" s="43"/>
      <c r="QS242" s="43"/>
      <c r="QT242" s="43"/>
      <c r="QU242" s="43"/>
      <c r="QV242" s="43"/>
      <c r="QW242" s="43"/>
      <c r="QX242" s="43"/>
      <c r="QY242" s="43"/>
      <c r="QZ242" s="43"/>
      <c r="RA242" s="43"/>
      <c r="RB242" s="43"/>
      <c r="RC242" s="43"/>
      <c r="RD242" s="43"/>
      <c r="RE242" s="43"/>
      <c r="RF242" s="43"/>
      <c r="RG242" s="43"/>
      <c r="RH242" s="43"/>
      <c r="RI242" s="43"/>
      <c r="RJ242" s="43"/>
      <c r="RK242" s="43"/>
      <c r="RL242" s="43"/>
      <c r="RM242" s="43"/>
      <c r="RN242" s="43"/>
      <c r="RO242" s="43"/>
      <c r="RP242" s="43"/>
      <c r="RQ242" s="43"/>
      <c r="RR242" s="43"/>
      <c r="RS242" s="43"/>
      <c r="RT242" s="43"/>
      <c r="RU242" s="43"/>
      <c r="RV242" s="43"/>
      <c r="RW242" s="43"/>
      <c r="RX242" s="43"/>
      <c r="RY242" s="43"/>
      <c r="RZ242" s="43"/>
      <c r="SA242" s="43"/>
      <c r="SB242" s="43"/>
      <c r="SC242" s="43"/>
      <c r="SD242" s="43"/>
      <c r="SE242" s="43"/>
      <c r="SF242" s="43"/>
      <c r="SG242" s="43"/>
      <c r="SH242" s="43"/>
      <c r="SI242" s="43"/>
      <c r="SJ242" s="43"/>
      <c r="SK242" s="43"/>
      <c r="SL242" s="43"/>
      <c r="SM242" s="43"/>
      <c r="SN242" s="43"/>
      <c r="SO242" s="43"/>
      <c r="SP242" s="43"/>
      <c r="SQ242" s="43"/>
      <c r="SR242" s="43"/>
      <c r="SS242" s="43"/>
      <c r="ST242" s="43"/>
      <c r="SU242" s="43"/>
      <c r="SV242" s="43"/>
      <c r="SW242" s="43"/>
      <c r="SX242" s="43"/>
      <c r="SY242" s="43"/>
      <c r="SZ242" s="43"/>
      <c r="TA242" s="43"/>
      <c r="TB242" s="43"/>
      <c r="TC242" s="43"/>
      <c r="TD242" s="43"/>
      <c r="TE242" s="43"/>
      <c r="TF242" s="43"/>
      <c r="TG242" s="43"/>
      <c r="TH242" s="43"/>
    </row>
    <row r="243" spans="1:528" s="41" customFormat="1" ht="16.5" customHeight="1">
      <c r="A243" s="43"/>
      <c r="B243" s="43" t="s">
        <v>1296</v>
      </c>
      <c r="C243" s="43"/>
      <c r="D243" s="43"/>
      <c r="E243" s="43"/>
      <c r="F243" s="3813">
        <v>57883</v>
      </c>
      <c r="G243" s="3814"/>
      <c r="H243" s="1778">
        <f>IF(OR(F243="",F243=0),"",F243/$E$58)</f>
        <v>602.94791666666663</v>
      </c>
      <c r="I243" s="43" t="s">
        <v>1297</v>
      </c>
      <c r="K243" s="43"/>
      <c r="L243" s="3813"/>
      <c r="M243" s="3814"/>
      <c r="N243" s="1778" t="str">
        <f>IF(OR(L243="",L243=0),"",L243/$E$58)</f>
        <v/>
      </c>
      <c r="O243" s="219">
        <f>+Q242/(P76*0.93)</f>
        <v>428.86424731182797</v>
      </c>
      <c r="P243" s="23" t="s">
        <v>1298</v>
      </c>
      <c r="Q243" s="43"/>
      <c r="R243" s="2370"/>
      <c r="S243" s="3758"/>
      <c r="T243" s="3759"/>
      <c r="U243" s="3759"/>
      <c r="V243" s="3759"/>
      <c r="W243" s="3760"/>
      <c r="X243" s="251"/>
      <c r="Y243" s="253"/>
      <c r="Z243" s="253"/>
      <c r="AA243" s="253"/>
      <c r="AB243" s="253"/>
      <c r="AC243" s="251"/>
      <c r="AD243" s="253"/>
      <c r="AE243" s="253"/>
      <c r="AF243" s="253"/>
      <c r="AG243" s="253"/>
      <c r="AH243" s="251"/>
      <c r="AI243" s="253"/>
      <c r="AJ243" s="253"/>
      <c r="AK243" s="253"/>
      <c r="AL243" s="253"/>
      <c r="AM243" s="251"/>
      <c r="AN243" s="253"/>
      <c r="AO243" s="253"/>
      <c r="AP243" s="253"/>
      <c r="AQ243" s="253"/>
      <c r="AR243" s="253"/>
      <c r="AS243" s="253"/>
      <c r="AT243" s="253"/>
      <c r="AU243" s="253"/>
      <c r="AV243" s="253"/>
      <c r="AW243" s="253"/>
      <c r="AX243" s="253"/>
      <c r="AY243" s="253"/>
      <c r="AZ243" s="253"/>
      <c r="BA243" s="253"/>
      <c r="BB243" s="253"/>
      <c r="BC243" s="253"/>
      <c r="BD243" s="253"/>
      <c r="BE243" s="253"/>
      <c r="BF243" s="253"/>
      <c r="BG243" s="253"/>
      <c r="BH243" s="253"/>
      <c r="BI243" s="253"/>
      <c r="BJ243" s="253"/>
      <c r="BK243" s="253"/>
      <c r="BL243" s="253"/>
      <c r="BM243" s="253"/>
      <c r="BN243" s="253"/>
      <c r="BO243" s="253"/>
      <c r="BP243" s="253"/>
      <c r="BQ243" s="253"/>
      <c r="BR243" s="253"/>
      <c r="BS243" s="253"/>
      <c r="BT243" s="253"/>
      <c r="BU243" s="253"/>
      <c r="BV243" s="253"/>
      <c r="BW243" s="253"/>
      <c r="BX243" s="253"/>
      <c r="BY243" s="253"/>
      <c r="BZ243" s="253"/>
      <c r="CA243" s="253"/>
      <c r="CB243" s="253"/>
      <c r="CC243" s="253"/>
      <c r="CD243" s="253"/>
      <c r="CE243" s="253"/>
      <c r="CF243" s="253"/>
      <c r="CG243" s="253"/>
      <c r="CH243" s="253"/>
      <c r="CI243" s="253"/>
      <c r="CJ243" s="253"/>
      <c r="CK243" s="253"/>
      <c r="CL243" s="253"/>
      <c r="CM243" s="253"/>
      <c r="CN243" s="253"/>
      <c r="CO243" s="253"/>
      <c r="CP243" s="253"/>
      <c r="CQ243" s="253"/>
      <c r="CR243" s="253"/>
      <c r="CS243" s="253"/>
      <c r="CT243" s="253"/>
      <c r="CU243" s="253"/>
      <c r="CV243" s="253"/>
      <c r="CW243" s="253"/>
      <c r="CX243" s="253"/>
      <c r="CY243" s="253"/>
      <c r="CZ243" s="253"/>
      <c r="DA243" s="253"/>
      <c r="DB243" s="253"/>
      <c r="DC243" s="253"/>
      <c r="DD243" s="253"/>
      <c r="DE243" s="253"/>
      <c r="DF243" s="253"/>
      <c r="DG243" s="253"/>
      <c r="DH243" s="253"/>
      <c r="DI243" s="253"/>
      <c r="DJ243" s="253"/>
      <c r="DK243" s="253"/>
      <c r="DL243" s="253"/>
      <c r="DM243" s="253"/>
      <c r="DN243" s="253"/>
      <c r="DO243" s="253"/>
      <c r="DP243" s="253"/>
      <c r="DQ243" s="253"/>
      <c r="DR243" s="253"/>
      <c r="DS243" s="253"/>
      <c r="DT243" s="253"/>
      <c r="DU243" s="253"/>
      <c r="DV243" s="253"/>
      <c r="DW243" s="253"/>
      <c r="DX243" s="253"/>
      <c r="DY243" s="253"/>
      <c r="DZ243" s="253"/>
      <c r="EA243" s="253"/>
      <c r="EB243" s="253"/>
      <c r="EC243" s="253"/>
      <c r="ED243" s="253"/>
      <c r="EE243" s="253"/>
      <c r="EF243" s="253"/>
      <c r="EG243" s="253"/>
      <c r="EH243" s="253"/>
      <c r="EI243" s="253"/>
      <c r="EJ243" s="253"/>
      <c r="EK243" s="253"/>
      <c r="EL243" s="253"/>
      <c r="EM243" s="253"/>
      <c r="EN243" s="253"/>
      <c r="EO243" s="253"/>
      <c r="EP243" s="253"/>
      <c r="EQ243" s="253"/>
      <c r="ER243" s="253"/>
      <c r="ES243" s="253"/>
      <c r="ET243" s="253"/>
      <c r="EU243" s="253"/>
      <c r="EV243" s="253"/>
      <c r="EW243" s="253"/>
      <c r="EX243" s="253"/>
      <c r="EY243" s="253"/>
      <c r="EZ243" s="253"/>
      <c r="FA243" s="253"/>
      <c r="FB243" s="253"/>
      <c r="FC243" s="253"/>
      <c r="FD243" s="253"/>
      <c r="FE243" s="253"/>
      <c r="FF243" s="253"/>
      <c r="FG243" s="253"/>
      <c r="FH243" s="253"/>
      <c r="FI243" s="253"/>
      <c r="FJ243" s="253"/>
      <c r="FK243" s="253"/>
      <c r="FL243" s="253"/>
      <c r="FM243" s="253"/>
      <c r="FN243" s="253"/>
      <c r="FO243" s="253"/>
      <c r="FP243" s="253"/>
      <c r="FQ243" s="253"/>
      <c r="FR243" s="253"/>
      <c r="FS243" s="253"/>
      <c r="FT243" s="253"/>
      <c r="FU243" s="253"/>
      <c r="FV243" s="253"/>
      <c r="FW243" s="253"/>
      <c r="FX243" s="253"/>
      <c r="FY243" s="253"/>
      <c r="FZ243" s="253"/>
      <c r="GA243" s="253"/>
      <c r="GB243" s="253"/>
      <c r="GC243" s="253"/>
      <c r="GD243" s="253"/>
      <c r="GE243" s="253"/>
      <c r="GF243" s="253"/>
      <c r="GG243" s="253"/>
      <c r="GH243" s="253"/>
      <c r="GI243" s="253"/>
      <c r="GJ243" s="253"/>
      <c r="GK243" s="253"/>
      <c r="GL243" s="253"/>
      <c r="GM243" s="253"/>
      <c r="GN243" s="253"/>
      <c r="GO243" s="253"/>
      <c r="GP243" s="253"/>
      <c r="GQ243" s="253"/>
      <c r="GR243" s="253"/>
      <c r="GS243" s="253"/>
      <c r="GT243" s="253"/>
      <c r="GU243" s="253"/>
      <c r="GV243" s="253"/>
      <c r="GW243" s="253"/>
      <c r="GX243" s="253"/>
      <c r="GY243" s="253"/>
      <c r="GZ243" s="253"/>
      <c r="HA243" s="253"/>
      <c r="HB243" s="253"/>
      <c r="HC243" s="253"/>
      <c r="HD243" s="253"/>
      <c r="HE243" s="253"/>
      <c r="HF243" s="253"/>
      <c r="HG243" s="253"/>
      <c r="HH243" s="253"/>
      <c r="HI243" s="253"/>
      <c r="HJ243" s="253"/>
      <c r="HK243" s="253"/>
      <c r="HL243" s="253"/>
      <c r="HM243" s="253"/>
      <c r="HN243" s="253"/>
      <c r="HO243" s="253"/>
      <c r="HP243" s="253"/>
      <c r="HQ243" s="253"/>
      <c r="HR243" s="253"/>
      <c r="HS243" s="253"/>
      <c r="HT243" s="253"/>
      <c r="HU243" s="253"/>
      <c r="HV243" s="253"/>
      <c r="HW243" s="253"/>
      <c r="HX243" s="253"/>
      <c r="HY243" s="253"/>
      <c r="HZ243" s="253"/>
      <c r="IA243" s="253"/>
      <c r="IB243" s="253"/>
      <c r="IC243" s="253"/>
      <c r="ID243" s="253"/>
      <c r="IE243" s="253"/>
      <c r="IF243" s="253"/>
      <c r="IG243" s="253"/>
      <c r="IH243" s="253"/>
      <c r="II243" s="253"/>
      <c r="IJ243" s="253"/>
      <c r="IK243" s="253"/>
      <c r="IL243" s="253"/>
      <c r="IM243" s="253"/>
      <c r="IN243" s="253"/>
      <c r="IO243" s="253"/>
      <c r="IP243" s="253"/>
      <c r="IQ243" s="253"/>
      <c r="IR243" s="253"/>
      <c r="IS243" s="253"/>
      <c r="IT243" s="253"/>
      <c r="IU243" s="253"/>
      <c r="IV243" s="253"/>
      <c r="IW243" s="253"/>
      <c r="IX243" s="253"/>
      <c r="IY243" s="253"/>
      <c r="IZ243" s="253"/>
      <c r="JA243" s="253"/>
      <c r="JB243" s="253"/>
      <c r="JC243" s="253"/>
      <c r="JD243" s="253"/>
      <c r="JE243" s="253"/>
      <c r="JF243" s="253"/>
      <c r="JG243" s="253"/>
      <c r="JH243" s="253"/>
      <c r="JI243" s="253"/>
      <c r="JJ243" s="253"/>
      <c r="JK243" s="253"/>
      <c r="JL243" s="253"/>
      <c r="JM243" s="253"/>
      <c r="JN243" s="253"/>
      <c r="JO243" s="253"/>
      <c r="JP243" s="253"/>
      <c r="JQ243" s="253"/>
      <c r="JR243" s="253"/>
      <c r="JS243" s="253"/>
      <c r="JT243" s="253"/>
      <c r="JU243" s="253"/>
      <c r="JV243" s="253"/>
      <c r="JW243" s="253"/>
      <c r="JX243" s="253"/>
      <c r="JY243" s="253"/>
      <c r="JZ243" s="253"/>
      <c r="KA243" s="253"/>
      <c r="KB243" s="253"/>
      <c r="KC243" s="253"/>
      <c r="KD243" s="253"/>
      <c r="KE243" s="253"/>
      <c r="KF243" s="253"/>
      <c r="KG243" s="253"/>
      <c r="KH243" s="253"/>
      <c r="KI243" s="253"/>
      <c r="KJ243" s="253"/>
      <c r="KK243" s="253"/>
      <c r="KL243" s="253"/>
      <c r="KM243" s="253"/>
      <c r="KN243" s="253"/>
      <c r="KO243" s="253"/>
      <c r="KP243" s="253"/>
      <c r="KQ243" s="253"/>
      <c r="KR243" s="253"/>
      <c r="KS243" s="253"/>
      <c r="KT243" s="253"/>
      <c r="KU243" s="253"/>
      <c r="KV243" s="253"/>
      <c r="KW243" s="253"/>
      <c r="KX243" s="253"/>
      <c r="KY243" s="253"/>
      <c r="KZ243" s="253"/>
      <c r="LA243" s="253"/>
      <c r="LB243" s="253"/>
      <c r="LC243" s="253"/>
      <c r="LD243" s="253"/>
      <c r="LE243" s="253"/>
      <c r="LF243" s="1296"/>
      <c r="LG243" s="253"/>
      <c r="LH243" s="253"/>
      <c r="LI243" s="253"/>
      <c r="LJ243" s="253"/>
      <c r="LK243" s="1296"/>
      <c r="LL243" s="253"/>
      <c r="LM243" s="253"/>
      <c r="LN243" s="253"/>
      <c r="LO243" s="253"/>
      <c r="LP243" s="1296"/>
      <c r="LQ243" s="253"/>
      <c r="LR243" s="253"/>
      <c r="LS243" s="253"/>
      <c r="LT243" s="253"/>
      <c r="LU243" s="1296"/>
      <c r="LV243" s="1296"/>
      <c r="LW243" s="1296"/>
      <c r="LX243" s="1296"/>
      <c r="LY243" s="1296"/>
      <c r="LZ243" s="1296"/>
      <c r="MA243" s="1296"/>
      <c r="MB243" s="1296"/>
      <c r="MC243" s="1296"/>
      <c r="MD243" s="1296"/>
      <c r="ME243" s="1296"/>
      <c r="MF243" s="1296"/>
      <c r="MG243" s="1296"/>
      <c r="MH243" s="1296"/>
      <c r="MI243" s="1296"/>
      <c r="MJ243" s="1296"/>
      <c r="MK243" s="1296"/>
      <c r="ML243" s="1296"/>
      <c r="MM243" s="1296"/>
      <c r="MN243" s="1296"/>
      <c r="MO243" s="1296"/>
      <c r="MP243" s="1296"/>
      <c r="MQ243" s="253"/>
      <c r="MR243" s="253"/>
      <c r="MS243" s="253"/>
      <c r="MT243" s="253"/>
      <c r="MU243" s="253"/>
      <c r="MV243" s="253"/>
      <c r="MW243" s="1184"/>
      <c r="MX243" s="253"/>
      <c r="MY243" s="253"/>
      <c r="MZ243" s="253"/>
      <c r="NA243" s="253"/>
      <c r="NB243" s="253"/>
      <c r="NC243" s="253"/>
      <c r="ND243" s="253"/>
      <c r="NE243" s="253"/>
      <c r="NF243" s="253"/>
      <c r="NG243" s="253"/>
      <c r="NH243" s="253"/>
      <c r="NI243" s="253"/>
      <c r="NJ243" s="253"/>
      <c r="NK243" s="253"/>
      <c r="NL243" s="253"/>
      <c r="NM243" s="1184"/>
      <c r="NN243" s="1184"/>
      <c r="NO243" s="253"/>
      <c r="NP243" s="253"/>
      <c r="NQ243" s="253"/>
      <c r="NR243" s="253"/>
      <c r="NS243" s="253"/>
      <c r="NT243" s="253"/>
      <c r="NU243" s="253"/>
      <c r="NV243" s="253"/>
      <c r="NW243" s="253"/>
      <c r="NX243" s="253"/>
      <c r="NY243" s="253"/>
      <c r="NZ243" s="253"/>
      <c r="OA243" s="253"/>
      <c r="OB243" s="253"/>
      <c r="OC243" s="253"/>
      <c r="OD243" s="253"/>
      <c r="OE243" s="253"/>
      <c r="OF243" s="253"/>
      <c r="OG243" s="253"/>
      <c r="OH243" s="253"/>
      <c r="OI243" s="253"/>
      <c r="OJ243" s="253"/>
      <c r="OK243" s="253"/>
      <c r="OL243" s="253"/>
      <c r="OM243" s="253"/>
      <c r="ON243" s="253"/>
      <c r="OO243" s="253"/>
      <c r="OP243" s="253"/>
      <c r="OQ243" s="253"/>
      <c r="OR243" s="253"/>
      <c r="OS243" s="253"/>
      <c r="OT243" s="253"/>
      <c r="OU243" s="253"/>
      <c r="OV243" s="43"/>
      <c r="OW243" s="43"/>
      <c r="OX243" s="43"/>
      <c r="OY243" s="1794"/>
      <c r="OZ243" s="1799">
        <v>239</v>
      </c>
      <c r="PA243" s="43"/>
      <c r="PB243" s="43"/>
      <c r="PC243" s="43"/>
      <c r="PD243" s="43"/>
      <c r="PE243" s="43"/>
      <c r="PF243" s="43"/>
      <c r="PG243" s="43"/>
      <c r="PH243" s="43"/>
      <c r="PI243" s="43"/>
      <c r="PJ243" s="43"/>
      <c r="PK243" s="43"/>
      <c r="PL243" s="43"/>
      <c r="PM243" s="43"/>
      <c r="PN243" s="43"/>
      <c r="PO243" s="43"/>
      <c r="PP243" s="43"/>
      <c r="PQ243" s="43"/>
      <c r="PR243" s="43"/>
      <c r="PS243" s="43"/>
      <c r="PT243" s="43"/>
      <c r="PU243" s="43"/>
      <c r="PV243" s="43"/>
      <c r="PW243" s="43"/>
      <c r="PX243" s="43"/>
      <c r="PY243" s="43"/>
      <c r="PZ243" s="43"/>
      <c r="QA243" s="43"/>
      <c r="QB243" s="43"/>
      <c r="QC243" s="43"/>
      <c r="QD243" s="43"/>
      <c r="QE243" s="43"/>
      <c r="QF243" s="43"/>
      <c r="QG243" s="43"/>
      <c r="QH243" s="43"/>
      <c r="QI243" s="43"/>
      <c r="QJ243" s="43"/>
      <c r="QK243" s="43"/>
      <c r="QL243" s="43"/>
      <c r="QM243" s="43"/>
      <c r="QN243" s="43"/>
      <c r="QO243" s="43"/>
      <c r="QP243" s="43"/>
      <c r="QQ243" s="43"/>
      <c r="QR243" s="43"/>
      <c r="QS243" s="43"/>
      <c r="QT243" s="43"/>
      <c r="QU243" s="43"/>
      <c r="QV243" s="43"/>
      <c r="QW243" s="43"/>
      <c r="QX243" s="43"/>
      <c r="QY243" s="43"/>
      <c r="QZ243" s="43"/>
      <c r="RA243" s="43"/>
      <c r="RB243" s="43"/>
      <c r="RC243" s="43"/>
      <c r="RD243" s="43"/>
      <c r="RE243" s="43"/>
      <c r="RF243" s="43"/>
      <c r="RG243" s="43"/>
      <c r="RH243" s="43"/>
      <c r="RI243" s="43"/>
      <c r="RJ243" s="43"/>
      <c r="RK243" s="43"/>
      <c r="RL243" s="43"/>
      <c r="RM243" s="43"/>
      <c r="RN243" s="43"/>
      <c r="RO243" s="43"/>
      <c r="RP243" s="43"/>
      <c r="RQ243" s="43"/>
      <c r="RR243" s="43"/>
      <c r="RS243" s="43"/>
      <c r="RT243" s="43"/>
      <c r="RU243" s="43"/>
      <c r="RV243" s="43"/>
      <c r="RW243" s="43"/>
      <c r="RX243" s="43"/>
      <c r="RY243" s="43"/>
      <c r="RZ243" s="43"/>
      <c r="SA243" s="43"/>
      <c r="SB243" s="43"/>
      <c r="SC243" s="43"/>
      <c r="SD243" s="43"/>
      <c r="SE243" s="43"/>
      <c r="SF243" s="43"/>
      <c r="SG243" s="43"/>
      <c r="SH243" s="43"/>
      <c r="SI243" s="43"/>
      <c r="SJ243" s="43"/>
      <c r="SK243" s="43"/>
      <c r="SL243" s="43"/>
      <c r="SM243" s="43"/>
      <c r="SN243" s="43"/>
      <c r="SO243" s="43"/>
      <c r="SP243" s="43"/>
      <c r="SQ243" s="43"/>
      <c r="SR243" s="43"/>
      <c r="SS243" s="43"/>
      <c r="ST243" s="43"/>
      <c r="SU243" s="43"/>
      <c r="SV243" s="43"/>
      <c r="SW243" s="43"/>
      <c r="SX243" s="43"/>
      <c r="SY243" s="43"/>
      <c r="SZ243" s="43"/>
      <c r="TA243" s="43"/>
      <c r="TB243" s="43"/>
      <c r="TC243" s="43"/>
      <c r="TD243" s="43"/>
      <c r="TE243" s="43"/>
      <c r="TF243" s="43"/>
      <c r="TG243" s="43"/>
      <c r="TH243" s="43"/>
    </row>
    <row r="244" spans="1:528" s="41" customFormat="1" ht="16.5" customHeight="1" thickBot="1">
      <c r="A244" s="43"/>
      <c r="B244" s="43" t="s">
        <v>1299</v>
      </c>
      <c r="C244" s="43"/>
      <c r="D244" s="43"/>
      <c r="E244" s="43"/>
      <c r="F244" s="3754">
        <v>40000</v>
      </c>
      <c r="G244" s="3755"/>
      <c r="H244" s="1778">
        <f t="shared" ref="H244:H249" si="695">IF(OR(F244="",F244=0),"",F244/$E$58)</f>
        <v>416.66666666666669</v>
      </c>
      <c r="I244" s="43" t="s">
        <v>1300</v>
      </c>
      <c r="K244" s="43"/>
      <c r="L244" s="3765"/>
      <c r="M244" s="3766"/>
      <c r="N244" s="1778" t="str">
        <f t="shared" ref="N244:N245" si="696">IF(OR(L244="",L244=0),"",L244/$E$58)</f>
        <v/>
      </c>
      <c r="O244" s="219">
        <f>+Q242/(P76*0.93)/12</f>
        <v>35.738687275985662</v>
      </c>
      <c r="P244" s="23" t="s">
        <v>1301</v>
      </c>
      <c r="Q244" s="43"/>
      <c r="R244" s="2370"/>
      <c r="S244" s="3758"/>
      <c r="T244" s="3759"/>
      <c r="U244" s="3759"/>
      <c r="V244" s="3759"/>
      <c r="W244" s="3760"/>
      <c r="X244" s="251"/>
      <c r="Y244" s="253"/>
      <c r="Z244" s="253"/>
      <c r="AA244" s="253"/>
      <c r="AB244" s="253"/>
      <c r="AC244" s="251"/>
      <c r="AD244" s="253"/>
      <c r="AE244" s="253"/>
      <c r="AF244" s="253"/>
      <c r="AG244" s="253"/>
      <c r="AH244" s="251"/>
      <c r="AI244" s="253"/>
      <c r="AJ244" s="253"/>
      <c r="AK244" s="253"/>
      <c r="AL244" s="253"/>
      <c r="AM244" s="251"/>
      <c r="AN244" s="253"/>
      <c r="AO244" s="253"/>
      <c r="AP244" s="253"/>
      <c r="AQ244" s="253"/>
      <c r="AR244" s="253"/>
      <c r="AS244" s="253"/>
      <c r="AT244" s="253"/>
      <c r="AU244" s="253"/>
      <c r="AV244" s="253"/>
      <c r="AW244" s="253"/>
      <c r="AX244" s="253"/>
      <c r="AY244" s="253"/>
      <c r="AZ244" s="253"/>
      <c r="BA244" s="253"/>
      <c r="BB244" s="253"/>
      <c r="BC244" s="253"/>
      <c r="BD244" s="253"/>
      <c r="BE244" s="253"/>
      <c r="BF244" s="253"/>
      <c r="BG244" s="253"/>
      <c r="BH244" s="253"/>
      <c r="BI244" s="253"/>
      <c r="BJ244" s="253"/>
      <c r="BK244" s="253"/>
      <c r="BL244" s="253"/>
      <c r="BM244" s="253"/>
      <c r="BN244" s="253"/>
      <c r="BO244" s="253"/>
      <c r="BP244" s="253"/>
      <c r="BQ244" s="253"/>
      <c r="BR244" s="253"/>
      <c r="BS244" s="253"/>
      <c r="BT244" s="253"/>
      <c r="BU244" s="253"/>
      <c r="BV244" s="253"/>
      <c r="BW244" s="253"/>
      <c r="BX244" s="253"/>
      <c r="BY244" s="253"/>
      <c r="BZ244" s="253"/>
      <c r="CA244" s="253"/>
      <c r="CB244" s="253"/>
      <c r="CC244" s="253"/>
      <c r="CD244" s="253"/>
      <c r="CE244" s="253"/>
      <c r="CF244" s="253"/>
      <c r="CG244" s="253"/>
      <c r="CH244" s="253"/>
      <c r="CI244" s="253"/>
      <c r="CJ244" s="253"/>
      <c r="CK244" s="253"/>
      <c r="CL244" s="253"/>
      <c r="CM244" s="253"/>
      <c r="CN244" s="253"/>
      <c r="CO244" s="253"/>
      <c r="CP244" s="253"/>
      <c r="CQ244" s="253"/>
      <c r="CR244" s="253"/>
      <c r="CS244" s="253"/>
      <c r="CT244" s="253"/>
      <c r="CU244" s="253"/>
      <c r="CV244" s="253"/>
      <c r="CW244" s="253"/>
      <c r="CX244" s="253"/>
      <c r="CY244" s="253"/>
      <c r="CZ244" s="253"/>
      <c r="DA244" s="253"/>
      <c r="DB244" s="253"/>
      <c r="DC244" s="253"/>
      <c r="DD244" s="253"/>
      <c r="DE244" s="253"/>
      <c r="DF244" s="253"/>
      <c r="DG244" s="253"/>
      <c r="DH244" s="253"/>
      <c r="DI244" s="253"/>
      <c r="DJ244" s="253"/>
      <c r="DK244" s="253"/>
      <c r="DL244" s="253"/>
      <c r="DM244" s="253"/>
      <c r="DN244" s="253"/>
      <c r="DO244" s="253"/>
      <c r="DP244" s="253"/>
      <c r="DQ244" s="253"/>
      <c r="DR244" s="253"/>
      <c r="DS244" s="253"/>
      <c r="DT244" s="253"/>
      <c r="DU244" s="253"/>
      <c r="DV244" s="253"/>
      <c r="DW244" s="253"/>
      <c r="DX244" s="253"/>
      <c r="DY244" s="253"/>
      <c r="DZ244" s="253"/>
      <c r="EA244" s="253"/>
      <c r="EB244" s="253"/>
      <c r="EC244" s="253"/>
      <c r="ED244" s="253"/>
      <c r="EE244" s="253"/>
      <c r="EF244" s="253"/>
      <c r="EG244" s="253"/>
      <c r="EH244" s="253"/>
      <c r="EI244" s="253"/>
      <c r="EJ244" s="253"/>
      <c r="EK244" s="253"/>
      <c r="EL244" s="253"/>
      <c r="EM244" s="253"/>
      <c r="EN244" s="253"/>
      <c r="EO244" s="253"/>
      <c r="EP244" s="253"/>
      <c r="EQ244" s="253"/>
      <c r="ER244" s="253"/>
      <c r="ES244" s="253"/>
      <c r="ET244" s="253"/>
      <c r="EU244" s="253"/>
      <c r="EV244" s="253"/>
      <c r="EW244" s="253"/>
      <c r="EX244" s="253"/>
      <c r="EY244" s="253"/>
      <c r="EZ244" s="253"/>
      <c r="FA244" s="253"/>
      <c r="FB244" s="253"/>
      <c r="FC244" s="253"/>
      <c r="FD244" s="253"/>
      <c r="FE244" s="253"/>
      <c r="FF244" s="253"/>
      <c r="FG244" s="253"/>
      <c r="FH244" s="253"/>
      <c r="FI244" s="253"/>
      <c r="FJ244" s="253"/>
      <c r="FK244" s="253"/>
      <c r="FL244" s="253"/>
      <c r="FM244" s="253"/>
      <c r="FN244" s="253"/>
      <c r="FO244" s="253"/>
      <c r="FP244" s="253"/>
      <c r="FQ244" s="253"/>
      <c r="FR244" s="253"/>
      <c r="FS244" s="253"/>
      <c r="FT244" s="253"/>
      <c r="FU244" s="253"/>
      <c r="FV244" s="253"/>
      <c r="FW244" s="253"/>
      <c r="FX244" s="253"/>
      <c r="FY244" s="253"/>
      <c r="FZ244" s="253"/>
      <c r="GA244" s="253"/>
      <c r="GB244" s="253"/>
      <c r="GC244" s="253"/>
      <c r="GD244" s="253"/>
      <c r="GE244" s="253"/>
      <c r="GF244" s="253"/>
      <c r="GG244" s="253"/>
      <c r="GH244" s="253"/>
      <c r="GI244" s="253"/>
      <c r="GJ244" s="253"/>
      <c r="GK244" s="253"/>
      <c r="GL244" s="253"/>
      <c r="GM244" s="253"/>
      <c r="GN244" s="253"/>
      <c r="GO244" s="253"/>
      <c r="GP244" s="253"/>
      <c r="GQ244" s="253"/>
      <c r="GR244" s="253"/>
      <c r="GS244" s="253"/>
      <c r="GT244" s="253"/>
      <c r="GU244" s="253"/>
      <c r="GV244" s="253"/>
      <c r="GW244" s="253"/>
      <c r="GX244" s="253"/>
      <c r="GY244" s="253"/>
      <c r="GZ244" s="253"/>
      <c r="HA244" s="253"/>
      <c r="HB244" s="253"/>
      <c r="HC244" s="253"/>
      <c r="HD244" s="253"/>
      <c r="HE244" s="253"/>
      <c r="HF244" s="253"/>
      <c r="HG244" s="253"/>
      <c r="HH244" s="253"/>
      <c r="HI244" s="253"/>
      <c r="HJ244" s="253"/>
      <c r="HK244" s="253"/>
      <c r="HL244" s="253"/>
      <c r="HM244" s="253"/>
      <c r="HN244" s="253"/>
      <c r="HO244" s="253"/>
      <c r="HP244" s="253"/>
      <c r="HQ244" s="253"/>
      <c r="HR244" s="253"/>
      <c r="HS244" s="253"/>
      <c r="HT244" s="253"/>
      <c r="HU244" s="253"/>
      <c r="HV244" s="253"/>
      <c r="HW244" s="253"/>
      <c r="HX244" s="253"/>
      <c r="HY244" s="253"/>
      <c r="HZ244" s="253"/>
      <c r="IA244" s="253"/>
      <c r="IB244" s="253"/>
      <c r="IC244" s="253"/>
      <c r="ID244" s="253"/>
      <c r="IE244" s="253"/>
      <c r="IF244" s="253"/>
      <c r="IG244" s="253"/>
      <c r="IH244" s="253"/>
      <c r="II244" s="253"/>
      <c r="IJ244" s="253"/>
      <c r="IK244" s="253"/>
      <c r="IL244" s="253"/>
      <c r="IM244" s="253"/>
      <c r="IN244" s="253"/>
      <c r="IO244" s="253"/>
      <c r="IP244" s="253"/>
      <c r="IQ244" s="253"/>
      <c r="IR244" s="253"/>
      <c r="IS244" s="253"/>
      <c r="IT244" s="253"/>
      <c r="IU244" s="253"/>
      <c r="IV244" s="253"/>
      <c r="IW244" s="253"/>
      <c r="IX244" s="253"/>
      <c r="IY244" s="253"/>
      <c r="IZ244" s="253"/>
      <c r="JA244" s="253"/>
      <c r="JB244" s="253"/>
      <c r="JC244" s="253"/>
      <c r="JD244" s="253"/>
      <c r="JE244" s="253"/>
      <c r="JF244" s="253"/>
      <c r="JG244" s="253"/>
      <c r="JH244" s="253"/>
      <c r="JI244" s="253"/>
      <c r="JJ244" s="253"/>
      <c r="JK244" s="253"/>
      <c r="JL244" s="253"/>
      <c r="JM244" s="253"/>
      <c r="JN244" s="253"/>
      <c r="JO244" s="253"/>
      <c r="JP244" s="253"/>
      <c r="JQ244" s="253"/>
      <c r="JR244" s="253"/>
      <c r="JS244" s="253"/>
      <c r="JT244" s="253"/>
      <c r="JU244" s="253"/>
      <c r="JV244" s="253"/>
      <c r="JW244" s="253"/>
      <c r="JX244" s="253"/>
      <c r="JY244" s="253"/>
      <c r="JZ244" s="253"/>
      <c r="KA244" s="253"/>
      <c r="KB244" s="253"/>
      <c r="KC244" s="253"/>
      <c r="KD244" s="253"/>
      <c r="KE244" s="253"/>
      <c r="KF244" s="253"/>
      <c r="KG244" s="253"/>
      <c r="KH244" s="253"/>
      <c r="KI244" s="253"/>
      <c r="KJ244" s="253"/>
      <c r="KK244" s="253"/>
      <c r="KL244" s="253"/>
      <c r="KM244" s="253"/>
      <c r="KN244" s="253"/>
      <c r="KO244" s="253"/>
      <c r="KP244" s="253"/>
      <c r="KQ244" s="253"/>
      <c r="KR244" s="253"/>
      <c r="KS244" s="253"/>
      <c r="KT244" s="253"/>
      <c r="KU244" s="253"/>
      <c r="KV244" s="253"/>
      <c r="KW244" s="253"/>
      <c r="KX244" s="253"/>
      <c r="KY244" s="253"/>
      <c r="KZ244" s="253"/>
      <c r="LA244" s="253"/>
      <c r="LB244" s="253"/>
      <c r="LC244" s="253"/>
      <c r="LD244" s="253"/>
      <c r="LE244" s="253"/>
      <c r="LF244" s="1296"/>
      <c r="LG244" s="253"/>
      <c r="LH244" s="253"/>
      <c r="LI244" s="253"/>
      <c r="LJ244" s="253"/>
      <c r="LK244" s="1296"/>
      <c r="LL244" s="253"/>
      <c r="LM244" s="253"/>
      <c r="LN244" s="253"/>
      <c r="LO244" s="253"/>
      <c r="LP244" s="1296"/>
      <c r="LQ244" s="253"/>
      <c r="LR244" s="253"/>
      <c r="LS244" s="253"/>
      <c r="LT244" s="253"/>
      <c r="LU244" s="1296"/>
      <c r="LV244" s="1296"/>
      <c r="LW244" s="1296"/>
      <c r="LX244" s="1296"/>
      <c r="LY244" s="1296"/>
      <c r="LZ244" s="1296"/>
      <c r="MA244" s="1296"/>
      <c r="MB244" s="1296"/>
      <c r="MC244" s="1296"/>
      <c r="MD244" s="1296"/>
      <c r="ME244" s="1296"/>
      <c r="MF244" s="1296"/>
      <c r="MG244" s="1296"/>
      <c r="MH244" s="1296"/>
      <c r="MI244" s="1296"/>
      <c r="MJ244" s="1296"/>
      <c r="MK244" s="1296"/>
      <c r="ML244" s="1296"/>
      <c r="MM244" s="1296"/>
      <c r="MN244" s="1296"/>
      <c r="MO244" s="1296"/>
      <c r="MP244" s="1296"/>
      <c r="MQ244" s="253"/>
      <c r="MR244" s="253"/>
      <c r="MS244" s="253"/>
      <c r="MT244" s="253"/>
      <c r="MU244" s="253"/>
      <c r="MV244" s="253"/>
      <c r="MW244" s="1184"/>
      <c r="MX244" s="253"/>
      <c r="MY244" s="253"/>
      <c r="MZ244" s="253"/>
      <c r="NA244" s="253"/>
      <c r="NB244" s="253"/>
      <c r="NC244" s="253"/>
      <c r="ND244" s="253"/>
      <c r="NE244" s="253"/>
      <c r="NF244" s="253"/>
      <c r="NG244" s="253"/>
      <c r="NH244" s="253"/>
      <c r="NI244" s="253"/>
      <c r="NJ244" s="253"/>
      <c r="NK244" s="253"/>
      <c r="NL244" s="253"/>
      <c r="NM244" s="1184"/>
      <c r="NN244" s="1184"/>
      <c r="NO244" s="253"/>
      <c r="NP244" s="253"/>
      <c r="NQ244" s="253"/>
      <c r="NR244" s="253"/>
      <c r="NS244" s="253"/>
      <c r="NT244" s="253"/>
      <c r="NU244" s="253"/>
      <c r="NV244" s="253"/>
      <c r="NW244" s="253"/>
      <c r="NX244" s="253"/>
      <c r="NY244" s="253"/>
      <c r="NZ244" s="253"/>
      <c r="OA244" s="253"/>
      <c r="OB244" s="253"/>
      <c r="OC244" s="253"/>
      <c r="OD244" s="253"/>
      <c r="OE244" s="253"/>
      <c r="OF244" s="253"/>
      <c r="OG244" s="253"/>
      <c r="OH244" s="253"/>
      <c r="OI244" s="253"/>
      <c r="OJ244" s="253"/>
      <c r="OK244" s="253"/>
      <c r="OL244" s="253"/>
      <c r="OM244" s="253"/>
      <c r="ON244" s="253"/>
      <c r="OO244" s="253"/>
      <c r="OP244" s="253"/>
      <c r="OQ244" s="253"/>
      <c r="OR244" s="253"/>
      <c r="OS244" s="253"/>
      <c r="OT244" s="253"/>
      <c r="OU244" s="253"/>
      <c r="OV244" s="43"/>
      <c r="OW244" s="43"/>
      <c r="OX244" s="43"/>
      <c r="OY244" s="1794"/>
      <c r="OZ244" s="1799">
        <v>240</v>
      </c>
      <c r="PA244" s="43"/>
      <c r="PB244" s="43"/>
      <c r="PC244" s="43"/>
      <c r="PD244" s="43"/>
      <c r="PE244" s="43"/>
      <c r="PF244" s="43"/>
      <c r="PG244" s="43"/>
      <c r="PH244" s="43"/>
      <c r="PI244" s="43"/>
      <c r="PJ244" s="43"/>
      <c r="PK244" s="43"/>
      <c r="PL244" s="43"/>
      <c r="PM244" s="43"/>
      <c r="PN244" s="43"/>
      <c r="PO244" s="43"/>
      <c r="PP244" s="43"/>
      <c r="PQ244" s="43"/>
      <c r="PR244" s="43"/>
      <c r="PS244" s="43"/>
      <c r="PT244" s="43"/>
      <c r="PU244" s="43"/>
      <c r="PV244" s="43"/>
      <c r="PW244" s="43"/>
      <c r="PX244" s="43"/>
      <c r="PY244" s="43"/>
      <c r="PZ244" s="43"/>
      <c r="QA244" s="43"/>
      <c r="QB244" s="43"/>
      <c r="QC244" s="43"/>
      <c r="QD244" s="43"/>
      <c r="QE244" s="43"/>
      <c r="QF244" s="43"/>
      <c r="QG244" s="43"/>
      <c r="QH244" s="43"/>
      <c r="QI244" s="43"/>
      <c r="QJ244" s="43"/>
      <c r="QK244" s="43"/>
      <c r="QL244" s="43"/>
      <c r="QM244" s="43"/>
      <c r="QN244" s="43"/>
      <c r="QO244" s="43"/>
      <c r="QP244" s="43"/>
      <c r="QQ244" s="43"/>
      <c r="QR244" s="43"/>
      <c r="QS244" s="43"/>
      <c r="QT244" s="43"/>
      <c r="QU244" s="43"/>
      <c r="QV244" s="43"/>
      <c r="QW244" s="43"/>
      <c r="QX244" s="43"/>
      <c r="QY244" s="43"/>
      <c r="QZ244" s="43"/>
      <c r="RA244" s="43"/>
      <c r="RB244" s="43"/>
      <c r="RC244" s="43"/>
      <c r="RD244" s="43"/>
      <c r="RE244" s="43"/>
      <c r="RF244" s="43"/>
      <c r="RG244" s="43"/>
      <c r="RH244" s="43"/>
      <c r="RI244" s="43"/>
      <c r="RJ244" s="43"/>
      <c r="RK244" s="43"/>
      <c r="RL244" s="43"/>
      <c r="RM244" s="43"/>
      <c r="RN244" s="43"/>
      <c r="RO244" s="43"/>
      <c r="RP244" s="43"/>
      <c r="RQ244" s="43"/>
      <c r="RR244" s="43"/>
      <c r="RS244" s="43"/>
      <c r="RT244" s="43"/>
      <c r="RU244" s="43"/>
      <c r="RV244" s="43"/>
      <c r="RW244" s="43"/>
      <c r="RX244" s="43"/>
      <c r="RY244" s="43"/>
      <c r="RZ244" s="43"/>
      <c r="SA244" s="43"/>
      <c r="SB244" s="43"/>
      <c r="SC244" s="43"/>
      <c r="SD244" s="43"/>
      <c r="SE244" s="43"/>
      <c r="SF244" s="43"/>
      <c r="SG244" s="43"/>
      <c r="SH244" s="43"/>
      <c r="SI244" s="43"/>
      <c r="SJ244" s="43"/>
      <c r="SK244" s="43"/>
      <c r="SL244" s="43"/>
      <c r="SM244" s="43"/>
      <c r="SN244" s="43"/>
      <c r="SO244" s="43"/>
      <c r="SP244" s="43"/>
      <c r="SQ244" s="43"/>
      <c r="SR244" s="43"/>
      <c r="SS244" s="43"/>
      <c r="ST244" s="43"/>
      <c r="SU244" s="43"/>
      <c r="SV244" s="43"/>
      <c r="SW244" s="43"/>
      <c r="SX244" s="43"/>
      <c r="SY244" s="43"/>
      <c r="SZ244" s="43"/>
      <c r="TA244" s="43"/>
      <c r="TB244" s="43"/>
      <c r="TC244" s="43"/>
      <c r="TD244" s="43"/>
      <c r="TE244" s="43"/>
      <c r="TF244" s="43"/>
      <c r="TG244" s="43"/>
      <c r="TH244" s="43"/>
    </row>
    <row r="245" spans="1:528" s="41" customFormat="1" ht="16.5" customHeight="1" thickTop="1">
      <c r="A245" s="43"/>
      <c r="B245" s="43" t="s">
        <v>1302</v>
      </c>
      <c r="C245" s="43"/>
      <c r="D245" s="43"/>
      <c r="E245" s="43"/>
      <c r="F245" s="3754">
        <v>65000</v>
      </c>
      <c r="G245" s="3755"/>
      <c r="H245" s="1778">
        <f t="shared" si="695"/>
        <v>677.08333333333337</v>
      </c>
      <c r="I245" s="43"/>
      <c r="K245" s="5" t="s">
        <v>532</v>
      </c>
      <c r="L245" s="3745">
        <f>SUM(L243:M244)</f>
        <v>0</v>
      </c>
      <c r="M245" s="3746"/>
      <c r="N245" s="1778" t="str">
        <f t="shared" si="696"/>
        <v/>
      </c>
      <c r="O245" s="13" t="s">
        <v>1303</v>
      </c>
      <c r="P245" s="68"/>
      <c r="Q245" s="68"/>
      <c r="R245" s="2370"/>
      <c r="S245" s="3758"/>
      <c r="T245" s="3759"/>
      <c r="U245" s="3759"/>
      <c r="V245" s="3759"/>
      <c r="W245" s="3760"/>
      <c r="X245" s="251"/>
      <c r="Y245" s="253"/>
      <c r="Z245" s="253"/>
      <c r="AA245" s="253"/>
      <c r="AB245" s="253"/>
      <c r="AC245" s="251"/>
      <c r="AD245" s="253"/>
      <c r="AE245" s="253"/>
      <c r="AF245" s="253"/>
      <c r="AG245" s="253"/>
      <c r="AH245" s="251"/>
      <c r="AI245" s="253"/>
      <c r="AJ245" s="253"/>
      <c r="AK245" s="253"/>
      <c r="AL245" s="253"/>
      <c r="AM245" s="251"/>
      <c r="AN245" s="253"/>
      <c r="AO245" s="253"/>
      <c r="AP245" s="253"/>
      <c r="AQ245" s="253"/>
      <c r="AR245" s="253"/>
      <c r="AS245" s="253"/>
      <c r="AT245" s="253"/>
      <c r="AU245" s="253"/>
      <c r="AV245" s="253"/>
      <c r="AW245" s="253"/>
      <c r="AX245" s="253"/>
      <c r="AY245" s="253"/>
      <c r="AZ245" s="253"/>
      <c r="BA245" s="253"/>
      <c r="BB245" s="253"/>
      <c r="BC245" s="253"/>
      <c r="BD245" s="253"/>
      <c r="BE245" s="253"/>
      <c r="BF245" s="253"/>
      <c r="BG245" s="253"/>
      <c r="BH245" s="253"/>
      <c r="BI245" s="253"/>
      <c r="BJ245" s="253"/>
      <c r="BK245" s="253"/>
      <c r="BL245" s="253"/>
      <c r="BM245" s="253"/>
      <c r="BN245" s="253"/>
      <c r="BO245" s="253"/>
      <c r="BP245" s="253"/>
      <c r="BQ245" s="253"/>
      <c r="BR245" s="253"/>
      <c r="BS245" s="253"/>
      <c r="BT245" s="253"/>
      <c r="BU245" s="253"/>
      <c r="BV245" s="253"/>
      <c r="BW245" s="253"/>
      <c r="BX245" s="253"/>
      <c r="BY245" s="253"/>
      <c r="BZ245" s="253"/>
      <c r="CA245" s="253"/>
      <c r="CB245" s="253"/>
      <c r="CC245" s="253"/>
      <c r="CD245" s="253"/>
      <c r="CE245" s="253"/>
      <c r="CF245" s="253"/>
      <c r="CG245" s="253"/>
      <c r="CH245" s="253"/>
      <c r="CI245" s="253"/>
      <c r="CJ245" s="253"/>
      <c r="CK245" s="253"/>
      <c r="CL245" s="253"/>
      <c r="CM245" s="253"/>
      <c r="CN245" s="253"/>
      <c r="CO245" s="253"/>
      <c r="CP245" s="253"/>
      <c r="CQ245" s="253"/>
      <c r="CR245" s="253"/>
      <c r="CS245" s="253"/>
      <c r="CT245" s="253"/>
      <c r="CU245" s="253"/>
      <c r="CV245" s="253"/>
      <c r="CW245" s="253"/>
      <c r="CX245" s="253"/>
      <c r="CY245" s="253"/>
      <c r="CZ245" s="253"/>
      <c r="DA245" s="253"/>
      <c r="DB245" s="253"/>
      <c r="DC245" s="253"/>
      <c r="DD245" s="253"/>
      <c r="DE245" s="253"/>
      <c r="DF245" s="253"/>
      <c r="DG245" s="253"/>
      <c r="DH245" s="253"/>
      <c r="DI245" s="253"/>
      <c r="DJ245" s="253"/>
      <c r="DK245" s="253"/>
      <c r="DL245" s="253"/>
      <c r="DM245" s="253"/>
      <c r="DN245" s="253"/>
      <c r="DO245" s="253"/>
      <c r="DP245" s="253"/>
      <c r="DQ245" s="253"/>
      <c r="DR245" s="253"/>
      <c r="DS245" s="253"/>
      <c r="DT245" s="253"/>
      <c r="DU245" s="253"/>
      <c r="DV245" s="253"/>
      <c r="DW245" s="253"/>
      <c r="DX245" s="253"/>
      <c r="DY245" s="253"/>
      <c r="DZ245" s="253"/>
      <c r="EA245" s="253"/>
      <c r="EB245" s="253"/>
      <c r="EC245" s="253"/>
      <c r="ED245" s="253"/>
      <c r="EE245" s="253"/>
      <c r="EF245" s="253"/>
      <c r="EG245" s="253"/>
      <c r="EH245" s="253"/>
      <c r="EI245" s="253"/>
      <c r="EJ245" s="253"/>
      <c r="EK245" s="253"/>
      <c r="EL245" s="253"/>
      <c r="EM245" s="253"/>
      <c r="EN245" s="253"/>
      <c r="EO245" s="253"/>
      <c r="EP245" s="253"/>
      <c r="EQ245" s="253"/>
      <c r="ER245" s="253"/>
      <c r="ES245" s="253"/>
      <c r="ET245" s="253"/>
      <c r="EU245" s="253"/>
      <c r="EV245" s="253"/>
      <c r="EW245" s="253"/>
      <c r="EX245" s="253"/>
      <c r="EY245" s="253"/>
      <c r="EZ245" s="253"/>
      <c r="FA245" s="253"/>
      <c r="FB245" s="253"/>
      <c r="FC245" s="253"/>
      <c r="FD245" s="253"/>
      <c r="FE245" s="253"/>
      <c r="FF245" s="253"/>
      <c r="FG245" s="253"/>
      <c r="FH245" s="253"/>
      <c r="FI245" s="253"/>
      <c r="FJ245" s="253"/>
      <c r="FK245" s="253"/>
      <c r="FL245" s="253"/>
      <c r="FM245" s="253"/>
      <c r="FN245" s="253"/>
      <c r="FO245" s="253"/>
      <c r="FP245" s="253"/>
      <c r="FQ245" s="253"/>
      <c r="FR245" s="253"/>
      <c r="FS245" s="253"/>
      <c r="FT245" s="253"/>
      <c r="FU245" s="253"/>
      <c r="FV245" s="253"/>
      <c r="FW245" s="253"/>
      <c r="FX245" s="253"/>
      <c r="FY245" s="253"/>
      <c r="FZ245" s="253"/>
      <c r="GA245" s="253"/>
      <c r="GB245" s="253"/>
      <c r="GC245" s="253"/>
      <c r="GD245" s="253"/>
      <c r="GE245" s="253"/>
      <c r="GF245" s="253"/>
      <c r="GG245" s="253"/>
      <c r="GH245" s="253"/>
      <c r="GI245" s="253"/>
      <c r="GJ245" s="253"/>
      <c r="GK245" s="253"/>
      <c r="GL245" s="253"/>
      <c r="GM245" s="253"/>
      <c r="GN245" s="253"/>
      <c r="GO245" s="253"/>
      <c r="GP245" s="253"/>
      <c r="GQ245" s="253"/>
      <c r="GR245" s="253"/>
      <c r="GS245" s="253"/>
      <c r="GT245" s="253"/>
      <c r="GU245" s="253"/>
      <c r="GV245" s="253"/>
      <c r="GW245" s="253"/>
      <c r="GX245" s="253"/>
      <c r="GY245" s="253"/>
      <c r="GZ245" s="253"/>
      <c r="HA245" s="253"/>
      <c r="HB245" s="253"/>
      <c r="HC245" s="253"/>
      <c r="HD245" s="253"/>
      <c r="HE245" s="253"/>
      <c r="HF245" s="253"/>
      <c r="HG245" s="253"/>
      <c r="HH245" s="253"/>
      <c r="HI245" s="253"/>
      <c r="HJ245" s="253"/>
      <c r="HK245" s="253"/>
      <c r="HL245" s="253"/>
      <c r="HM245" s="253"/>
      <c r="HN245" s="253"/>
      <c r="HO245" s="253"/>
      <c r="HP245" s="253"/>
      <c r="HQ245" s="253"/>
      <c r="HR245" s="253"/>
      <c r="HS245" s="253"/>
      <c r="HT245" s="253"/>
      <c r="HU245" s="253"/>
      <c r="HV245" s="253"/>
      <c r="HW245" s="253"/>
      <c r="HX245" s="253"/>
      <c r="HY245" s="253"/>
      <c r="HZ245" s="253"/>
      <c r="IA245" s="253"/>
      <c r="IB245" s="253"/>
      <c r="IC245" s="253"/>
      <c r="ID245" s="253"/>
      <c r="IE245" s="253"/>
      <c r="IF245" s="253"/>
      <c r="IG245" s="253"/>
      <c r="IH245" s="253"/>
      <c r="II245" s="253"/>
      <c r="IJ245" s="253"/>
      <c r="IK245" s="253"/>
      <c r="IL245" s="253"/>
      <c r="IM245" s="253"/>
      <c r="IN245" s="253"/>
      <c r="IO245" s="253"/>
      <c r="IP245" s="253"/>
      <c r="IQ245" s="253"/>
      <c r="IR245" s="253"/>
      <c r="IS245" s="253"/>
      <c r="IT245" s="253"/>
      <c r="IU245" s="253"/>
      <c r="IV245" s="253"/>
      <c r="IW245" s="253"/>
      <c r="IX245" s="253"/>
      <c r="IY245" s="253"/>
      <c r="IZ245" s="253"/>
      <c r="JA245" s="253"/>
      <c r="JB245" s="253"/>
      <c r="JC245" s="253"/>
      <c r="JD245" s="253"/>
      <c r="JE245" s="253"/>
      <c r="JF245" s="253"/>
      <c r="JG245" s="253"/>
      <c r="JH245" s="253"/>
      <c r="JI245" s="253"/>
      <c r="JJ245" s="253"/>
      <c r="JK245" s="253"/>
      <c r="JL245" s="253"/>
      <c r="JM245" s="253"/>
      <c r="JN245" s="253"/>
      <c r="JO245" s="253"/>
      <c r="JP245" s="253"/>
      <c r="JQ245" s="253"/>
      <c r="JR245" s="253"/>
      <c r="JS245" s="253"/>
      <c r="JT245" s="253"/>
      <c r="JU245" s="253"/>
      <c r="JV245" s="253"/>
      <c r="JW245" s="253"/>
      <c r="JX245" s="253"/>
      <c r="JY245" s="253"/>
      <c r="JZ245" s="253"/>
      <c r="KA245" s="253"/>
      <c r="KB245" s="253"/>
      <c r="KC245" s="253"/>
      <c r="KD245" s="253"/>
      <c r="KE245" s="253"/>
      <c r="KF245" s="253"/>
      <c r="KG245" s="253"/>
      <c r="KH245" s="253"/>
      <c r="KI245" s="253"/>
      <c r="KJ245" s="253"/>
      <c r="KK245" s="253"/>
      <c r="KL245" s="253"/>
      <c r="KM245" s="253"/>
      <c r="KN245" s="253"/>
      <c r="KO245" s="253"/>
      <c r="KP245" s="253"/>
      <c r="KQ245" s="253"/>
      <c r="KR245" s="253"/>
      <c r="KS245" s="253"/>
      <c r="KT245" s="253"/>
      <c r="KU245" s="253"/>
      <c r="KV245" s="253"/>
      <c r="KW245" s="253"/>
      <c r="KX245" s="253"/>
      <c r="KY245" s="253"/>
      <c r="KZ245" s="253"/>
      <c r="LA245" s="253"/>
      <c r="LB245" s="253"/>
      <c r="LC245" s="253"/>
      <c r="LD245" s="253"/>
      <c r="LE245" s="253"/>
      <c r="LF245" s="1296"/>
      <c r="LG245" s="253"/>
      <c r="LH245" s="253"/>
      <c r="LI245" s="253"/>
      <c r="LJ245" s="253"/>
      <c r="LK245" s="1296"/>
      <c r="LL245" s="253"/>
      <c r="LM245" s="253"/>
      <c r="LN245" s="253"/>
      <c r="LO245" s="253"/>
      <c r="LP245" s="1296"/>
      <c r="LQ245" s="253"/>
      <c r="LR245" s="253"/>
      <c r="LS245" s="253"/>
      <c r="LT245" s="253"/>
      <c r="LU245" s="1296"/>
      <c r="LV245" s="1296"/>
      <c r="LW245" s="1296"/>
      <c r="LX245" s="1296"/>
      <c r="LY245" s="1296"/>
      <c r="LZ245" s="1296"/>
      <c r="MA245" s="1296"/>
      <c r="MB245" s="1296"/>
      <c r="MC245" s="1296"/>
      <c r="MD245" s="1296"/>
      <c r="ME245" s="1296"/>
      <c r="MF245" s="1296"/>
      <c r="MG245" s="1296"/>
      <c r="MH245" s="1296"/>
      <c r="MI245" s="1296"/>
      <c r="MJ245" s="1296"/>
      <c r="MK245" s="1296"/>
      <c r="ML245" s="1296"/>
      <c r="MM245" s="1296"/>
      <c r="MN245" s="1296"/>
      <c r="MO245" s="1296"/>
      <c r="MP245" s="1296"/>
      <c r="MQ245" s="253"/>
      <c r="MR245" s="253"/>
      <c r="MS245" s="253"/>
      <c r="MT245" s="253"/>
      <c r="MU245" s="253"/>
      <c r="MV245" s="253"/>
      <c r="MW245" s="1184"/>
      <c r="MX245" s="253"/>
      <c r="MY245" s="253"/>
      <c r="MZ245" s="253"/>
      <c r="NA245" s="253"/>
      <c r="NB245" s="253"/>
      <c r="NC245" s="253"/>
      <c r="ND245" s="253"/>
      <c r="NE245" s="253"/>
      <c r="NF245" s="253"/>
      <c r="NG245" s="253"/>
      <c r="NH245" s="253"/>
      <c r="NI245" s="253"/>
      <c r="NJ245" s="253"/>
      <c r="NK245" s="253"/>
      <c r="NL245" s="253"/>
      <c r="NM245" s="1184"/>
      <c r="NN245" s="1184"/>
      <c r="NO245" s="253"/>
      <c r="NP245" s="253"/>
      <c r="NQ245" s="253"/>
      <c r="NR245" s="253"/>
      <c r="NS245" s="253"/>
      <c r="NT245" s="253"/>
      <c r="NU245" s="253"/>
      <c r="NV245" s="253"/>
      <c r="NW245" s="253"/>
      <c r="NX245" s="253"/>
      <c r="NY245" s="253"/>
      <c r="NZ245" s="253"/>
      <c r="OA245" s="253"/>
      <c r="OB245" s="253"/>
      <c r="OC245" s="253"/>
      <c r="OD245" s="253"/>
      <c r="OE245" s="253"/>
      <c r="OF245" s="253"/>
      <c r="OG245" s="253"/>
      <c r="OH245" s="253"/>
      <c r="OI245" s="253"/>
      <c r="OJ245" s="253"/>
      <c r="OK245" s="253"/>
      <c r="OL245" s="253"/>
      <c r="OM245" s="253"/>
      <c r="ON245" s="253"/>
      <c r="OO245" s="253"/>
      <c r="OP245" s="253"/>
      <c r="OQ245" s="253"/>
      <c r="OR245" s="253"/>
      <c r="OS245" s="253"/>
      <c r="OT245" s="253"/>
      <c r="OU245" s="253"/>
      <c r="OV245" s="43"/>
      <c r="OW245" s="43"/>
      <c r="OX245" s="43"/>
      <c r="OY245" s="1794"/>
      <c r="OZ245" s="1799">
        <v>241</v>
      </c>
      <c r="PA245" s="43"/>
      <c r="PB245" s="43"/>
      <c r="PC245" s="43"/>
      <c r="PD245" s="43"/>
      <c r="PE245" s="43"/>
      <c r="PF245" s="43"/>
      <c r="PG245" s="43"/>
      <c r="PH245" s="43"/>
      <c r="PI245" s="43"/>
      <c r="PJ245" s="43"/>
      <c r="PK245" s="43"/>
      <c r="PL245" s="43"/>
      <c r="PM245" s="43"/>
      <c r="PN245" s="43"/>
      <c r="PO245" s="43"/>
      <c r="PP245" s="43"/>
      <c r="PQ245" s="43"/>
      <c r="PR245" s="43"/>
      <c r="PS245" s="43"/>
      <c r="PT245" s="43"/>
      <c r="PU245" s="43"/>
      <c r="PV245" s="43"/>
      <c r="PW245" s="43"/>
      <c r="PX245" s="43"/>
      <c r="PY245" s="43"/>
      <c r="PZ245" s="43"/>
      <c r="QA245" s="43"/>
      <c r="QB245" s="43"/>
      <c r="QC245" s="43"/>
      <c r="QD245" s="43"/>
      <c r="QE245" s="43"/>
      <c r="QF245" s="43"/>
      <c r="QG245" s="43"/>
      <c r="QH245" s="43"/>
      <c r="QI245" s="43"/>
      <c r="QJ245" s="43"/>
      <c r="QK245" s="43"/>
      <c r="QL245" s="43"/>
      <c r="QM245" s="43"/>
      <c r="QN245" s="43"/>
      <c r="QO245" s="43"/>
      <c r="QP245" s="43"/>
      <c r="QQ245" s="43"/>
      <c r="QR245" s="43"/>
      <c r="QS245" s="43"/>
      <c r="QT245" s="43"/>
      <c r="QU245" s="43"/>
      <c r="QV245" s="43"/>
      <c r="QW245" s="43"/>
      <c r="QX245" s="43"/>
      <c r="QY245" s="43"/>
      <c r="QZ245" s="43"/>
      <c r="RA245" s="43"/>
      <c r="RB245" s="43"/>
      <c r="RC245" s="43"/>
      <c r="RD245" s="43"/>
      <c r="RE245" s="43"/>
      <c r="RF245" s="43"/>
      <c r="RG245" s="43"/>
      <c r="RH245" s="43"/>
      <c r="RI245" s="43"/>
      <c r="RJ245" s="43"/>
      <c r="RK245" s="43"/>
      <c r="RL245" s="43"/>
      <c r="RM245" s="43"/>
      <c r="RN245" s="43"/>
      <c r="RO245" s="43"/>
      <c r="RP245" s="43"/>
      <c r="RQ245" s="43"/>
      <c r="RR245" s="43"/>
      <c r="RS245" s="43"/>
      <c r="RT245" s="43"/>
      <c r="RU245" s="43"/>
      <c r="RV245" s="43"/>
      <c r="RW245" s="43"/>
      <c r="RX245" s="43"/>
      <c r="RY245" s="43"/>
      <c r="RZ245" s="43"/>
      <c r="SA245" s="43"/>
      <c r="SB245" s="43"/>
      <c r="SC245" s="43"/>
      <c r="SD245" s="43"/>
      <c r="SE245" s="43"/>
      <c r="SF245" s="43"/>
      <c r="SG245" s="43"/>
      <c r="SH245" s="43"/>
      <c r="SI245" s="43"/>
      <c r="SJ245" s="43"/>
      <c r="SK245" s="43"/>
      <c r="SL245" s="43"/>
      <c r="SM245" s="43"/>
      <c r="SN245" s="43"/>
      <c r="SO245" s="43"/>
      <c r="SP245" s="43"/>
      <c r="SQ245" s="43"/>
      <c r="SR245" s="43"/>
      <c r="SS245" s="43"/>
      <c r="ST245" s="43"/>
      <c r="SU245" s="43"/>
      <c r="SV245" s="43"/>
      <c r="SW245" s="43"/>
      <c r="SX245" s="43"/>
      <c r="SY245" s="43"/>
      <c r="SZ245" s="43"/>
      <c r="TA245" s="43"/>
      <c r="TB245" s="43"/>
      <c r="TC245" s="43"/>
      <c r="TD245" s="43"/>
      <c r="TE245" s="43"/>
      <c r="TF245" s="43"/>
      <c r="TG245" s="43"/>
      <c r="TH245" s="43"/>
    </row>
    <row r="246" spans="1:528" s="41" customFormat="1" ht="16.5" customHeight="1">
      <c r="A246" s="43"/>
      <c r="B246" s="878" t="s">
        <v>1304</v>
      </c>
      <c r="F246" s="3754"/>
      <c r="G246" s="3755"/>
      <c r="H246" s="1778" t="str">
        <f t="shared" si="695"/>
        <v/>
      </c>
      <c r="I246" s="43"/>
      <c r="K246" s="43"/>
      <c r="L246" s="43"/>
      <c r="M246" s="43"/>
      <c r="N246" s="43"/>
      <c r="R246" s="2369"/>
      <c r="S246" s="3758"/>
      <c r="T246" s="3759"/>
      <c r="U246" s="3759"/>
      <c r="V246" s="3759"/>
      <c r="W246" s="3760"/>
      <c r="X246" s="251"/>
      <c r="Y246" s="253"/>
      <c r="Z246" s="253"/>
      <c r="AA246" s="253"/>
      <c r="AB246" s="253"/>
      <c r="AC246" s="251"/>
      <c r="AD246" s="253"/>
      <c r="AE246" s="253"/>
      <c r="AF246" s="253"/>
      <c r="AG246" s="253"/>
      <c r="AH246" s="251"/>
      <c r="AI246" s="253"/>
      <c r="AJ246" s="253"/>
      <c r="AK246" s="253"/>
      <c r="AL246" s="253"/>
      <c r="AM246" s="251"/>
      <c r="AN246" s="253"/>
      <c r="AO246" s="253"/>
      <c r="AP246" s="253"/>
      <c r="AQ246" s="253"/>
      <c r="AR246" s="253"/>
      <c r="AS246" s="253"/>
      <c r="AT246" s="253"/>
      <c r="AU246" s="253"/>
      <c r="AV246" s="253"/>
      <c r="AW246" s="253"/>
      <c r="AX246" s="253"/>
      <c r="AY246" s="253"/>
      <c r="AZ246" s="253"/>
      <c r="BA246" s="253"/>
      <c r="BB246" s="253"/>
      <c r="BC246" s="253"/>
      <c r="BD246" s="253"/>
      <c r="BE246" s="253"/>
      <c r="BF246" s="253"/>
      <c r="BG246" s="253"/>
      <c r="BH246" s="253"/>
      <c r="BI246" s="253"/>
      <c r="BJ246" s="253"/>
      <c r="BK246" s="253"/>
      <c r="BL246" s="253"/>
      <c r="BM246" s="253"/>
      <c r="BN246" s="253"/>
      <c r="BO246" s="253"/>
      <c r="BP246" s="253"/>
      <c r="BQ246" s="253"/>
      <c r="BR246" s="253"/>
      <c r="BS246" s="253"/>
      <c r="BT246" s="253"/>
      <c r="BU246" s="253"/>
      <c r="BV246" s="253"/>
      <c r="BW246" s="253"/>
      <c r="BX246" s="253"/>
      <c r="BY246" s="253"/>
      <c r="BZ246" s="253"/>
      <c r="CA246" s="253"/>
      <c r="CB246" s="253"/>
      <c r="CC246" s="253"/>
      <c r="CD246" s="253"/>
      <c r="CE246" s="253"/>
      <c r="CF246" s="253"/>
      <c r="CG246" s="253"/>
      <c r="CH246" s="253"/>
      <c r="CI246" s="253"/>
      <c r="CJ246" s="253"/>
      <c r="CK246" s="253"/>
      <c r="CL246" s="253"/>
      <c r="CM246" s="253"/>
      <c r="CN246" s="253"/>
      <c r="CO246" s="253"/>
      <c r="CP246" s="253"/>
      <c r="CQ246" s="253"/>
      <c r="CR246" s="253"/>
      <c r="CS246" s="253"/>
      <c r="CT246" s="253"/>
      <c r="CU246" s="253"/>
      <c r="CV246" s="253"/>
      <c r="CW246" s="253"/>
      <c r="CX246" s="253"/>
      <c r="CY246" s="253"/>
      <c r="CZ246" s="253"/>
      <c r="DA246" s="253"/>
      <c r="DB246" s="253"/>
      <c r="DC246" s="253"/>
      <c r="DD246" s="253"/>
      <c r="DE246" s="253"/>
      <c r="DF246" s="253"/>
      <c r="DG246" s="253"/>
      <c r="DH246" s="253"/>
      <c r="DI246" s="253"/>
      <c r="DJ246" s="253"/>
      <c r="DK246" s="253"/>
      <c r="DL246" s="253"/>
      <c r="DM246" s="253"/>
      <c r="DN246" s="253"/>
      <c r="DO246" s="253"/>
      <c r="DP246" s="253"/>
      <c r="DQ246" s="253"/>
      <c r="DR246" s="253"/>
      <c r="DS246" s="253"/>
      <c r="DT246" s="253"/>
      <c r="DU246" s="253"/>
      <c r="DV246" s="253"/>
      <c r="DW246" s="253"/>
      <c r="DX246" s="253"/>
      <c r="DY246" s="253"/>
      <c r="DZ246" s="253"/>
      <c r="EA246" s="253"/>
      <c r="EB246" s="253"/>
      <c r="EC246" s="253"/>
      <c r="ED246" s="253"/>
      <c r="EE246" s="253"/>
      <c r="EF246" s="253"/>
      <c r="EG246" s="253"/>
      <c r="EH246" s="253"/>
      <c r="EI246" s="253"/>
      <c r="EJ246" s="253"/>
      <c r="EK246" s="253"/>
      <c r="EL246" s="253"/>
      <c r="EM246" s="253"/>
      <c r="EN246" s="253"/>
      <c r="EO246" s="253"/>
      <c r="EP246" s="253"/>
      <c r="EQ246" s="253"/>
      <c r="ER246" s="253"/>
      <c r="ES246" s="253"/>
      <c r="ET246" s="253"/>
      <c r="EU246" s="253"/>
      <c r="EV246" s="253"/>
      <c r="EW246" s="253"/>
      <c r="EX246" s="253"/>
      <c r="EY246" s="253"/>
      <c r="EZ246" s="253"/>
      <c r="FA246" s="253"/>
      <c r="FB246" s="253"/>
      <c r="FC246" s="253"/>
      <c r="FD246" s="253"/>
      <c r="FE246" s="253"/>
      <c r="FF246" s="253"/>
      <c r="FG246" s="253"/>
      <c r="FH246" s="253"/>
      <c r="FI246" s="253"/>
      <c r="FJ246" s="253"/>
      <c r="FK246" s="253"/>
      <c r="FL246" s="253"/>
      <c r="FM246" s="253"/>
      <c r="FN246" s="253"/>
      <c r="FO246" s="253"/>
      <c r="FP246" s="253"/>
      <c r="FQ246" s="253"/>
      <c r="FR246" s="253"/>
      <c r="FS246" s="253"/>
      <c r="FT246" s="253"/>
      <c r="FU246" s="253"/>
      <c r="FV246" s="253"/>
      <c r="FW246" s="253"/>
      <c r="FX246" s="253"/>
      <c r="FY246" s="253"/>
      <c r="FZ246" s="253"/>
      <c r="GA246" s="253"/>
      <c r="GB246" s="253"/>
      <c r="GC246" s="253"/>
      <c r="GD246" s="253"/>
      <c r="GE246" s="253"/>
      <c r="GF246" s="253"/>
      <c r="GG246" s="253"/>
      <c r="GH246" s="253"/>
      <c r="GI246" s="253"/>
      <c r="GJ246" s="253"/>
      <c r="GK246" s="253"/>
      <c r="GL246" s="253"/>
      <c r="GM246" s="253"/>
      <c r="GN246" s="253"/>
      <c r="GO246" s="253"/>
      <c r="GP246" s="253"/>
      <c r="GQ246" s="253"/>
      <c r="GR246" s="253"/>
      <c r="GS246" s="253"/>
      <c r="GT246" s="253"/>
      <c r="GU246" s="253"/>
      <c r="GV246" s="253"/>
      <c r="GW246" s="253"/>
      <c r="GX246" s="253"/>
      <c r="GY246" s="253"/>
      <c r="GZ246" s="253"/>
      <c r="HA246" s="253"/>
      <c r="HB246" s="253"/>
      <c r="HC246" s="253"/>
      <c r="HD246" s="253"/>
      <c r="HE246" s="253"/>
      <c r="HF246" s="253"/>
      <c r="HG246" s="253"/>
      <c r="HH246" s="253"/>
      <c r="HI246" s="253"/>
      <c r="HJ246" s="253"/>
      <c r="HK246" s="253"/>
      <c r="HL246" s="253"/>
      <c r="HM246" s="253"/>
      <c r="HN246" s="253"/>
      <c r="HO246" s="253"/>
      <c r="HP246" s="253"/>
      <c r="HQ246" s="253"/>
      <c r="HR246" s="253"/>
      <c r="HS246" s="253"/>
      <c r="HT246" s="253"/>
      <c r="HU246" s="253"/>
      <c r="HV246" s="253"/>
      <c r="HW246" s="253"/>
      <c r="HX246" s="253"/>
      <c r="HY246" s="253"/>
      <c r="HZ246" s="253"/>
      <c r="IA246" s="253"/>
      <c r="IB246" s="253"/>
      <c r="IC246" s="253"/>
      <c r="ID246" s="253"/>
      <c r="IE246" s="253"/>
      <c r="IF246" s="253"/>
      <c r="IG246" s="253"/>
      <c r="IH246" s="253"/>
      <c r="II246" s="253"/>
      <c r="IJ246" s="253"/>
      <c r="IK246" s="253"/>
      <c r="IL246" s="253"/>
      <c r="IM246" s="253"/>
      <c r="IN246" s="253"/>
      <c r="IO246" s="253"/>
      <c r="IP246" s="253"/>
      <c r="IQ246" s="253"/>
      <c r="IR246" s="253"/>
      <c r="IS246" s="253"/>
      <c r="IT246" s="253"/>
      <c r="IU246" s="253"/>
      <c r="IV246" s="253"/>
      <c r="IW246" s="253"/>
      <c r="IX246" s="253"/>
      <c r="IY246" s="253"/>
      <c r="IZ246" s="253"/>
      <c r="JA246" s="253"/>
      <c r="JB246" s="253"/>
      <c r="JC246" s="253"/>
      <c r="JD246" s="253"/>
      <c r="JE246" s="253"/>
      <c r="JF246" s="253"/>
      <c r="JG246" s="253"/>
      <c r="JH246" s="253"/>
      <c r="JI246" s="253"/>
      <c r="JJ246" s="253"/>
      <c r="JK246" s="253"/>
      <c r="JL246" s="253"/>
      <c r="JM246" s="253"/>
      <c r="JN246" s="253"/>
      <c r="JO246" s="253"/>
      <c r="JP246" s="253"/>
      <c r="JQ246" s="253"/>
      <c r="JR246" s="253"/>
      <c r="JS246" s="253"/>
      <c r="JT246" s="253"/>
      <c r="JU246" s="253"/>
      <c r="JV246" s="253"/>
      <c r="JW246" s="253"/>
      <c r="JX246" s="253"/>
      <c r="JY246" s="253"/>
      <c r="JZ246" s="253"/>
      <c r="KA246" s="253"/>
      <c r="KB246" s="253"/>
      <c r="KC246" s="253"/>
      <c r="KD246" s="253"/>
      <c r="KE246" s="253"/>
      <c r="KF246" s="253"/>
      <c r="KG246" s="253"/>
      <c r="KH246" s="253"/>
      <c r="KI246" s="253"/>
      <c r="KJ246" s="253"/>
      <c r="KK246" s="253"/>
      <c r="KL246" s="253"/>
      <c r="KM246" s="253"/>
      <c r="KN246" s="253"/>
      <c r="KO246" s="253"/>
      <c r="KP246" s="253"/>
      <c r="KQ246" s="253"/>
      <c r="KR246" s="253"/>
      <c r="KS246" s="253"/>
      <c r="KT246" s="253"/>
      <c r="KU246" s="253"/>
      <c r="KV246" s="253"/>
      <c r="KW246" s="253"/>
      <c r="KX246" s="253"/>
      <c r="KY246" s="253"/>
      <c r="KZ246" s="253"/>
      <c r="LA246" s="253"/>
      <c r="LB246" s="253"/>
      <c r="LC246" s="253"/>
      <c r="LD246" s="253"/>
      <c r="LE246" s="253"/>
      <c r="LF246" s="1296"/>
      <c r="LG246" s="253"/>
      <c r="LH246" s="253"/>
      <c r="LI246" s="253"/>
      <c r="LJ246" s="253"/>
      <c r="LK246" s="1296"/>
      <c r="LL246" s="253"/>
      <c r="LM246" s="253"/>
      <c r="LN246" s="253"/>
      <c r="LO246" s="253"/>
      <c r="LP246" s="1296"/>
      <c r="LQ246" s="253"/>
      <c r="LR246" s="253"/>
      <c r="LS246" s="253"/>
      <c r="LT246" s="253"/>
      <c r="LU246" s="1296"/>
      <c r="LV246" s="1296"/>
      <c r="LW246" s="1296"/>
      <c r="LX246" s="1296"/>
      <c r="LY246" s="1296"/>
      <c r="LZ246" s="1296"/>
      <c r="MA246" s="1296"/>
      <c r="MB246" s="1296"/>
      <c r="MC246" s="1296"/>
      <c r="MD246" s="1296"/>
      <c r="ME246" s="1296"/>
      <c r="MF246" s="1296"/>
      <c r="MG246" s="1296"/>
      <c r="MH246" s="1296"/>
      <c r="MI246" s="1296"/>
      <c r="MJ246" s="1296"/>
      <c r="MK246" s="1296"/>
      <c r="ML246" s="1296"/>
      <c r="MM246" s="1296"/>
      <c r="MN246" s="1296"/>
      <c r="MO246" s="1296"/>
      <c r="MP246" s="1296"/>
      <c r="MQ246" s="253"/>
      <c r="MR246" s="253"/>
      <c r="MS246" s="253"/>
      <c r="MT246" s="253"/>
      <c r="MU246" s="253"/>
      <c r="MV246" s="253"/>
      <c r="MW246" s="1184"/>
      <c r="MX246" s="253"/>
      <c r="MY246" s="253"/>
      <c r="MZ246" s="253"/>
      <c r="NA246" s="253"/>
      <c r="NB246" s="253"/>
      <c r="NC246" s="253"/>
      <c r="ND246" s="253"/>
      <c r="NE246" s="253"/>
      <c r="NF246" s="253"/>
      <c r="NG246" s="253"/>
      <c r="NH246" s="253"/>
      <c r="NI246" s="253"/>
      <c r="NJ246" s="253"/>
      <c r="NK246" s="253"/>
      <c r="NL246" s="253"/>
      <c r="NM246" s="1184"/>
      <c r="NN246" s="1184"/>
      <c r="NO246" s="253"/>
      <c r="NP246" s="253"/>
      <c r="NQ246" s="253"/>
      <c r="NR246" s="253"/>
      <c r="NS246" s="253"/>
      <c r="NT246" s="253"/>
      <c r="NU246" s="253"/>
      <c r="NV246" s="253"/>
      <c r="NW246" s="253"/>
      <c r="NX246" s="253"/>
      <c r="NY246" s="253"/>
      <c r="NZ246" s="253"/>
      <c r="OA246" s="253"/>
      <c r="OB246" s="253"/>
      <c r="OC246" s="253"/>
      <c r="OD246" s="253"/>
      <c r="OE246" s="253"/>
      <c r="OF246" s="253"/>
      <c r="OG246" s="253"/>
      <c r="OH246" s="253"/>
      <c r="OI246" s="253"/>
      <c r="OJ246" s="253"/>
      <c r="OK246" s="253"/>
      <c r="OL246" s="253"/>
      <c r="OM246" s="253"/>
      <c r="ON246" s="253"/>
      <c r="OO246" s="253"/>
      <c r="OP246" s="253"/>
      <c r="OQ246" s="253"/>
      <c r="OR246" s="253"/>
      <c r="OS246" s="253"/>
      <c r="OT246" s="253"/>
      <c r="OU246" s="253"/>
      <c r="OV246" s="43"/>
      <c r="OW246" s="43"/>
      <c r="OX246" s="43"/>
      <c r="OY246" s="1796"/>
      <c r="OZ246" s="1799">
        <v>242</v>
      </c>
      <c r="PA246" s="43"/>
      <c r="PB246" s="43"/>
      <c r="PC246" s="43"/>
      <c r="PD246" s="43"/>
      <c r="PE246" s="43"/>
      <c r="PF246" s="43"/>
      <c r="PG246" s="43"/>
      <c r="PH246" s="43"/>
      <c r="PI246" s="43"/>
      <c r="PJ246" s="43"/>
      <c r="PK246" s="43"/>
      <c r="PL246" s="43"/>
      <c r="PM246" s="43"/>
      <c r="PN246" s="43"/>
      <c r="PO246" s="43"/>
      <c r="PP246" s="43"/>
      <c r="PQ246" s="43"/>
      <c r="PR246" s="43"/>
      <c r="PS246" s="43"/>
      <c r="PT246" s="43"/>
      <c r="PU246" s="43"/>
      <c r="PV246" s="43"/>
      <c r="PW246" s="43"/>
      <c r="PX246" s="43"/>
      <c r="PY246" s="43"/>
      <c r="PZ246" s="43"/>
      <c r="QA246" s="43"/>
      <c r="QB246" s="43"/>
      <c r="QC246" s="43"/>
      <c r="QD246" s="43"/>
      <c r="QE246" s="43"/>
      <c r="QF246" s="43"/>
      <c r="QG246" s="43"/>
      <c r="QH246" s="43"/>
      <c r="QI246" s="43"/>
      <c r="QJ246" s="43"/>
      <c r="QK246" s="43"/>
      <c r="QL246" s="43"/>
      <c r="QM246" s="43"/>
      <c r="QN246" s="43"/>
      <c r="QO246" s="43"/>
      <c r="QP246" s="43"/>
      <c r="QQ246" s="43"/>
      <c r="QR246" s="43"/>
      <c r="QS246" s="43"/>
      <c r="QT246" s="43"/>
      <c r="QU246" s="43"/>
      <c r="QV246" s="43"/>
      <c r="QW246" s="43"/>
      <c r="QX246" s="43"/>
      <c r="QY246" s="43"/>
      <c r="QZ246" s="43"/>
      <c r="RA246" s="43"/>
      <c r="RB246" s="43"/>
      <c r="RC246" s="43"/>
      <c r="RD246" s="43"/>
      <c r="RE246" s="43"/>
      <c r="RF246" s="43"/>
      <c r="RG246" s="43"/>
      <c r="RH246" s="43"/>
      <c r="RI246" s="43"/>
      <c r="RJ246" s="43"/>
      <c r="RK246" s="43"/>
      <c r="RL246" s="43"/>
      <c r="RM246" s="43"/>
      <c r="RN246" s="43"/>
      <c r="RO246" s="43"/>
      <c r="RP246" s="43"/>
      <c r="RQ246" s="43"/>
      <c r="RR246" s="43"/>
      <c r="RS246" s="43"/>
      <c r="RT246" s="43"/>
      <c r="RU246" s="43"/>
      <c r="RV246" s="43"/>
      <c r="RW246" s="43"/>
      <c r="RX246" s="43"/>
      <c r="RY246" s="43"/>
      <c r="RZ246" s="43"/>
      <c r="SA246" s="43"/>
      <c r="SB246" s="43"/>
      <c r="SC246" s="43"/>
      <c r="SD246" s="43"/>
      <c r="SE246" s="43"/>
      <c r="SF246" s="43"/>
      <c r="SG246" s="43"/>
      <c r="SH246" s="43"/>
      <c r="SI246" s="43"/>
      <c r="SJ246" s="43"/>
      <c r="SK246" s="43"/>
      <c r="SL246" s="43"/>
      <c r="SM246" s="43"/>
      <c r="SN246" s="43"/>
      <c r="SO246" s="43"/>
      <c r="SP246" s="43"/>
      <c r="SQ246" s="43"/>
      <c r="SR246" s="43"/>
      <c r="SS246" s="43"/>
      <c r="ST246" s="43"/>
      <c r="SU246" s="43"/>
      <c r="SV246" s="43"/>
      <c r="SW246" s="43"/>
      <c r="SX246" s="43"/>
      <c r="SY246" s="43"/>
      <c r="SZ246" s="43"/>
      <c r="TA246" s="43"/>
      <c r="TB246" s="43"/>
      <c r="TC246" s="43"/>
      <c r="TD246" s="43"/>
      <c r="TE246" s="43"/>
      <c r="TF246" s="43"/>
      <c r="TG246" s="43"/>
      <c r="TH246" s="43"/>
    </row>
    <row r="247" spans="1:528" s="41" customFormat="1" ht="16.5" customHeight="1">
      <c r="A247" s="43"/>
      <c r="B247" s="878" t="s">
        <v>1305</v>
      </c>
      <c r="F247" s="3754"/>
      <c r="G247" s="3755"/>
      <c r="H247" s="1778" t="str">
        <f t="shared" si="695"/>
        <v/>
      </c>
      <c r="I247" s="43"/>
      <c r="K247" s="43"/>
      <c r="L247" s="43"/>
      <c r="M247" s="43"/>
      <c r="N247" s="43"/>
      <c r="R247" s="2369"/>
      <c r="S247" s="3758"/>
      <c r="T247" s="3759"/>
      <c r="U247" s="3759"/>
      <c r="V247" s="3759"/>
      <c r="W247" s="3760"/>
      <c r="X247" s="251"/>
      <c r="Y247" s="253"/>
      <c r="Z247" s="253"/>
      <c r="AA247" s="253"/>
      <c r="AB247" s="253"/>
      <c r="AC247" s="251"/>
      <c r="AD247" s="253"/>
      <c r="AE247" s="253"/>
      <c r="AF247" s="253"/>
      <c r="AG247" s="253"/>
      <c r="AH247" s="251"/>
      <c r="AI247" s="253"/>
      <c r="AJ247" s="253"/>
      <c r="AK247" s="253"/>
      <c r="AL247" s="253"/>
      <c r="AM247" s="251"/>
      <c r="AN247" s="253"/>
      <c r="AO247" s="253"/>
      <c r="AP247" s="253"/>
      <c r="AQ247" s="253"/>
      <c r="AR247" s="253"/>
      <c r="AS247" s="253"/>
      <c r="AT247" s="253"/>
      <c r="AU247" s="253"/>
      <c r="AV247" s="253"/>
      <c r="AW247" s="253"/>
      <c r="AX247" s="253"/>
      <c r="AY247" s="253"/>
      <c r="AZ247" s="253"/>
      <c r="BA247" s="253"/>
      <c r="BB247" s="253"/>
      <c r="BC247" s="253"/>
      <c r="BD247" s="253"/>
      <c r="BE247" s="253"/>
      <c r="BF247" s="253"/>
      <c r="BG247" s="253"/>
      <c r="BH247" s="253"/>
      <c r="BI247" s="253"/>
      <c r="BJ247" s="253"/>
      <c r="BK247" s="253"/>
      <c r="BL247" s="253"/>
      <c r="BM247" s="253"/>
      <c r="BN247" s="253"/>
      <c r="BO247" s="253"/>
      <c r="BP247" s="253"/>
      <c r="BQ247" s="253"/>
      <c r="BR247" s="253"/>
      <c r="BS247" s="253"/>
      <c r="BT247" s="253"/>
      <c r="BU247" s="253"/>
      <c r="BV247" s="253"/>
      <c r="BW247" s="253"/>
      <c r="BX247" s="253"/>
      <c r="BY247" s="253"/>
      <c r="BZ247" s="253"/>
      <c r="CA247" s="253"/>
      <c r="CB247" s="253"/>
      <c r="CC247" s="253"/>
      <c r="CD247" s="253"/>
      <c r="CE247" s="253"/>
      <c r="CF247" s="253"/>
      <c r="CG247" s="253"/>
      <c r="CH247" s="253"/>
      <c r="CI247" s="253"/>
      <c r="CJ247" s="253"/>
      <c r="CK247" s="253"/>
      <c r="CL247" s="253"/>
      <c r="CM247" s="253"/>
      <c r="CN247" s="253"/>
      <c r="CO247" s="253"/>
      <c r="CP247" s="253"/>
      <c r="CQ247" s="253"/>
      <c r="CR247" s="253"/>
      <c r="CS247" s="253"/>
      <c r="CT247" s="253"/>
      <c r="CU247" s="253"/>
      <c r="CV247" s="253"/>
      <c r="CW247" s="253"/>
      <c r="CX247" s="253"/>
      <c r="CY247" s="253"/>
      <c r="CZ247" s="253"/>
      <c r="DA247" s="253"/>
      <c r="DB247" s="253"/>
      <c r="DC247" s="253"/>
      <c r="DD247" s="253"/>
      <c r="DE247" s="253"/>
      <c r="DF247" s="253"/>
      <c r="DG247" s="253"/>
      <c r="DH247" s="253"/>
      <c r="DI247" s="253"/>
      <c r="DJ247" s="253"/>
      <c r="DK247" s="253"/>
      <c r="DL247" s="253"/>
      <c r="DM247" s="253"/>
      <c r="DN247" s="253"/>
      <c r="DO247" s="253"/>
      <c r="DP247" s="253"/>
      <c r="DQ247" s="253"/>
      <c r="DR247" s="253"/>
      <c r="DS247" s="253"/>
      <c r="DT247" s="253"/>
      <c r="DU247" s="253"/>
      <c r="DV247" s="253"/>
      <c r="DW247" s="253"/>
      <c r="DX247" s="253"/>
      <c r="DY247" s="253"/>
      <c r="DZ247" s="253"/>
      <c r="EA247" s="253"/>
      <c r="EB247" s="253"/>
      <c r="EC247" s="253"/>
      <c r="ED247" s="253"/>
      <c r="EE247" s="253"/>
      <c r="EF247" s="253"/>
      <c r="EG247" s="253"/>
      <c r="EH247" s="253"/>
      <c r="EI247" s="253"/>
      <c r="EJ247" s="253"/>
      <c r="EK247" s="253"/>
      <c r="EL247" s="253"/>
      <c r="EM247" s="253"/>
      <c r="EN247" s="253"/>
      <c r="EO247" s="253"/>
      <c r="EP247" s="253"/>
      <c r="EQ247" s="253"/>
      <c r="ER247" s="253"/>
      <c r="ES247" s="253"/>
      <c r="ET247" s="253"/>
      <c r="EU247" s="253"/>
      <c r="EV247" s="253"/>
      <c r="EW247" s="253"/>
      <c r="EX247" s="253"/>
      <c r="EY247" s="253"/>
      <c r="EZ247" s="253"/>
      <c r="FA247" s="253"/>
      <c r="FB247" s="253"/>
      <c r="FC247" s="253"/>
      <c r="FD247" s="253"/>
      <c r="FE247" s="253"/>
      <c r="FF247" s="253"/>
      <c r="FG247" s="253"/>
      <c r="FH247" s="253"/>
      <c r="FI247" s="253"/>
      <c r="FJ247" s="253"/>
      <c r="FK247" s="253"/>
      <c r="FL247" s="253"/>
      <c r="FM247" s="253"/>
      <c r="FN247" s="253"/>
      <c r="FO247" s="253"/>
      <c r="FP247" s="253"/>
      <c r="FQ247" s="253"/>
      <c r="FR247" s="253"/>
      <c r="FS247" s="253"/>
      <c r="FT247" s="253"/>
      <c r="FU247" s="253"/>
      <c r="FV247" s="253"/>
      <c r="FW247" s="253"/>
      <c r="FX247" s="253"/>
      <c r="FY247" s="253"/>
      <c r="FZ247" s="253"/>
      <c r="GA247" s="253"/>
      <c r="GB247" s="253"/>
      <c r="GC247" s="253"/>
      <c r="GD247" s="253"/>
      <c r="GE247" s="253"/>
      <c r="GF247" s="253"/>
      <c r="GG247" s="253"/>
      <c r="GH247" s="253"/>
      <c r="GI247" s="253"/>
      <c r="GJ247" s="253"/>
      <c r="GK247" s="253"/>
      <c r="GL247" s="253"/>
      <c r="GM247" s="253"/>
      <c r="GN247" s="253"/>
      <c r="GO247" s="253"/>
      <c r="GP247" s="253"/>
      <c r="GQ247" s="253"/>
      <c r="GR247" s="253"/>
      <c r="GS247" s="253"/>
      <c r="GT247" s="253"/>
      <c r="GU247" s="253"/>
      <c r="GV247" s="253"/>
      <c r="GW247" s="253"/>
      <c r="GX247" s="253"/>
      <c r="GY247" s="253"/>
      <c r="GZ247" s="253"/>
      <c r="HA247" s="253"/>
      <c r="HB247" s="253"/>
      <c r="HC247" s="253"/>
      <c r="HD247" s="253"/>
      <c r="HE247" s="253"/>
      <c r="HF247" s="253"/>
      <c r="HG247" s="253"/>
      <c r="HH247" s="253"/>
      <c r="HI247" s="253"/>
      <c r="HJ247" s="253"/>
      <c r="HK247" s="253"/>
      <c r="HL247" s="253"/>
      <c r="HM247" s="253"/>
      <c r="HN247" s="253"/>
      <c r="HO247" s="253"/>
      <c r="HP247" s="253"/>
      <c r="HQ247" s="253"/>
      <c r="HR247" s="253"/>
      <c r="HS247" s="253"/>
      <c r="HT247" s="253"/>
      <c r="HU247" s="253"/>
      <c r="HV247" s="253"/>
      <c r="HW247" s="253"/>
      <c r="HX247" s="253"/>
      <c r="HY247" s="253"/>
      <c r="HZ247" s="253"/>
      <c r="IA247" s="253"/>
      <c r="IB247" s="253"/>
      <c r="IC247" s="253"/>
      <c r="ID247" s="253"/>
      <c r="IE247" s="253"/>
      <c r="IF247" s="253"/>
      <c r="IG247" s="253"/>
      <c r="IH247" s="253"/>
      <c r="II247" s="253"/>
      <c r="IJ247" s="253"/>
      <c r="IK247" s="253"/>
      <c r="IL247" s="253"/>
      <c r="IM247" s="253"/>
      <c r="IN247" s="253"/>
      <c r="IO247" s="253"/>
      <c r="IP247" s="253"/>
      <c r="IQ247" s="253"/>
      <c r="IR247" s="253"/>
      <c r="IS247" s="253"/>
      <c r="IT247" s="253"/>
      <c r="IU247" s="253"/>
      <c r="IV247" s="253"/>
      <c r="IW247" s="253"/>
      <c r="IX247" s="253"/>
      <c r="IY247" s="253"/>
      <c r="IZ247" s="253"/>
      <c r="JA247" s="253"/>
      <c r="JB247" s="253"/>
      <c r="JC247" s="253"/>
      <c r="JD247" s="253"/>
      <c r="JE247" s="253"/>
      <c r="JF247" s="253"/>
      <c r="JG247" s="253"/>
      <c r="JH247" s="253"/>
      <c r="JI247" s="253"/>
      <c r="JJ247" s="253"/>
      <c r="JK247" s="253"/>
      <c r="JL247" s="253"/>
      <c r="JM247" s="253"/>
      <c r="JN247" s="253"/>
      <c r="JO247" s="253"/>
      <c r="JP247" s="253"/>
      <c r="JQ247" s="253"/>
      <c r="JR247" s="253"/>
      <c r="JS247" s="253"/>
      <c r="JT247" s="253"/>
      <c r="JU247" s="253"/>
      <c r="JV247" s="253"/>
      <c r="JW247" s="253"/>
      <c r="JX247" s="253"/>
      <c r="JY247" s="253"/>
      <c r="JZ247" s="253"/>
      <c r="KA247" s="253"/>
      <c r="KB247" s="253"/>
      <c r="KC247" s="253"/>
      <c r="KD247" s="253"/>
      <c r="KE247" s="253"/>
      <c r="KF247" s="253"/>
      <c r="KG247" s="253"/>
      <c r="KH247" s="253"/>
      <c r="KI247" s="253"/>
      <c r="KJ247" s="253"/>
      <c r="KK247" s="253"/>
      <c r="KL247" s="253"/>
      <c r="KM247" s="253"/>
      <c r="KN247" s="253"/>
      <c r="KO247" s="253"/>
      <c r="KP247" s="253"/>
      <c r="KQ247" s="253"/>
      <c r="KR247" s="253"/>
      <c r="KS247" s="253"/>
      <c r="KT247" s="253"/>
      <c r="KU247" s="253"/>
      <c r="KV247" s="253"/>
      <c r="KW247" s="253"/>
      <c r="KX247" s="253"/>
      <c r="KY247" s="253"/>
      <c r="KZ247" s="253"/>
      <c r="LA247" s="253"/>
      <c r="LB247" s="253"/>
      <c r="LC247" s="253"/>
      <c r="LD247" s="253"/>
      <c r="LE247" s="253"/>
      <c r="LF247" s="1296"/>
      <c r="LG247" s="253"/>
      <c r="LH247" s="253"/>
      <c r="LI247" s="253"/>
      <c r="LJ247" s="253"/>
      <c r="LK247" s="1296"/>
      <c r="LL247" s="253"/>
      <c r="LM247" s="253"/>
      <c r="LN247" s="253"/>
      <c r="LO247" s="253"/>
      <c r="LP247" s="1296"/>
      <c r="LQ247" s="253"/>
      <c r="LR247" s="253"/>
      <c r="LS247" s="253"/>
      <c r="LT247" s="253"/>
      <c r="LU247" s="1296"/>
      <c r="LV247" s="1296"/>
      <c r="LW247" s="1296"/>
      <c r="LX247" s="1296"/>
      <c r="LY247" s="1296"/>
      <c r="LZ247" s="1296"/>
      <c r="MA247" s="1296"/>
      <c r="MB247" s="1296"/>
      <c r="MC247" s="1296"/>
      <c r="MD247" s="1296"/>
      <c r="ME247" s="1296"/>
      <c r="MF247" s="1296"/>
      <c r="MG247" s="1296"/>
      <c r="MH247" s="1296"/>
      <c r="MI247" s="1296"/>
      <c r="MJ247" s="1296"/>
      <c r="MK247" s="1296"/>
      <c r="ML247" s="1296"/>
      <c r="MM247" s="1296"/>
      <c r="MN247" s="1296"/>
      <c r="MO247" s="1296"/>
      <c r="MP247" s="1296"/>
      <c r="MQ247" s="253"/>
      <c r="MR247" s="253"/>
      <c r="MS247" s="253"/>
      <c r="MT247" s="253"/>
      <c r="MU247" s="253"/>
      <c r="MV247" s="253"/>
      <c r="MW247" s="1184"/>
      <c r="MX247" s="253"/>
      <c r="MY247" s="253"/>
      <c r="MZ247" s="253"/>
      <c r="NA247" s="253"/>
      <c r="NB247" s="253"/>
      <c r="NC247" s="253"/>
      <c r="ND247" s="253"/>
      <c r="NE247" s="253"/>
      <c r="NF247" s="253"/>
      <c r="NG247" s="253"/>
      <c r="NH247" s="253"/>
      <c r="NI247" s="253"/>
      <c r="NJ247" s="253"/>
      <c r="NK247" s="253"/>
      <c r="NL247" s="253"/>
      <c r="NM247" s="1184"/>
      <c r="NN247" s="1184"/>
      <c r="NO247" s="253"/>
      <c r="NP247" s="253"/>
      <c r="NQ247" s="253"/>
      <c r="NR247" s="253"/>
      <c r="NS247" s="253"/>
      <c r="NT247" s="253"/>
      <c r="NU247" s="253"/>
      <c r="NV247" s="253"/>
      <c r="NW247" s="253"/>
      <c r="NX247" s="253"/>
      <c r="NY247" s="253"/>
      <c r="NZ247" s="253"/>
      <c r="OA247" s="253"/>
      <c r="OB247" s="253"/>
      <c r="OC247" s="253"/>
      <c r="OD247" s="253"/>
      <c r="OE247" s="253"/>
      <c r="OF247" s="253"/>
      <c r="OG247" s="253"/>
      <c r="OH247" s="253"/>
      <c r="OI247" s="253"/>
      <c r="OJ247" s="253"/>
      <c r="OK247" s="253"/>
      <c r="OL247" s="253"/>
      <c r="OM247" s="253"/>
      <c r="ON247" s="253"/>
      <c r="OO247" s="253"/>
      <c r="OP247" s="253"/>
      <c r="OQ247" s="253"/>
      <c r="OR247" s="253"/>
      <c r="OS247" s="253"/>
      <c r="OT247" s="253"/>
      <c r="OU247" s="253"/>
      <c r="OV247" s="43"/>
      <c r="OW247" s="43"/>
      <c r="OX247" s="43"/>
      <c r="OY247" s="1796"/>
      <c r="OZ247" s="1799">
        <v>243</v>
      </c>
      <c r="PA247" s="43"/>
      <c r="PB247" s="43"/>
      <c r="PC247" s="43"/>
      <c r="PD247" s="43"/>
      <c r="PE247" s="43"/>
      <c r="PF247" s="43"/>
      <c r="PG247" s="43"/>
      <c r="PH247" s="43"/>
      <c r="PI247" s="43"/>
      <c r="PJ247" s="43"/>
      <c r="PK247" s="43"/>
      <c r="PL247" s="43"/>
      <c r="PM247" s="43"/>
      <c r="PN247" s="43"/>
      <c r="PO247" s="43"/>
      <c r="PP247" s="43"/>
      <c r="PQ247" s="43"/>
      <c r="PR247" s="43"/>
      <c r="PS247" s="43"/>
      <c r="PT247" s="43"/>
      <c r="PU247" s="43"/>
      <c r="PV247" s="43"/>
      <c r="PW247" s="43"/>
      <c r="PX247" s="43"/>
      <c r="PY247" s="43"/>
      <c r="PZ247" s="43"/>
      <c r="QA247" s="43"/>
      <c r="QB247" s="43"/>
      <c r="QC247" s="43"/>
      <c r="QD247" s="43"/>
      <c r="QE247" s="43"/>
      <c r="QF247" s="43"/>
      <c r="QG247" s="43"/>
      <c r="QH247" s="43"/>
      <c r="QI247" s="43"/>
      <c r="QJ247" s="43"/>
      <c r="QK247" s="43"/>
      <c r="QL247" s="43"/>
      <c r="QM247" s="43"/>
      <c r="QN247" s="43"/>
      <c r="QO247" s="43"/>
      <c r="QP247" s="43"/>
      <c r="QQ247" s="43"/>
      <c r="QR247" s="43"/>
      <c r="QS247" s="43"/>
      <c r="QT247" s="43"/>
      <c r="QU247" s="43"/>
      <c r="QV247" s="43"/>
      <c r="QW247" s="43"/>
      <c r="QX247" s="43"/>
      <c r="QY247" s="43"/>
      <c r="QZ247" s="43"/>
      <c r="RA247" s="43"/>
      <c r="RB247" s="43"/>
      <c r="RC247" s="43"/>
      <c r="RD247" s="43"/>
      <c r="RE247" s="43"/>
      <c r="RF247" s="43"/>
      <c r="RG247" s="43"/>
      <c r="RH247" s="43"/>
      <c r="RI247" s="43"/>
      <c r="RJ247" s="43"/>
      <c r="RK247" s="43"/>
      <c r="RL247" s="43"/>
      <c r="RM247" s="43"/>
      <c r="RN247" s="43"/>
      <c r="RO247" s="43"/>
      <c r="RP247" s="43"/>
      <c r="RQ247" s="43"/>
      <c r="RR247" s="43"/>
      <c r="RS247" s="43"/>
      <c r="RT247" s="43"/>
      <c r="RU247" s="43"/>
      <c r="RV247" s="43"/>
      <c r="RW247" s="43"/>
      <c r="RX247" s="43"/>
      <c r="RY247" s="43"/>
      <c r="RZ247" s="43"/>
      <c r="SA247" s="43"/>
      <c r="SB247" s="43"/>
      <c r="SC247" s="43"/>
      <c r="SD247" s="43"/>
      <c r="SE247" s="43"/>
      <c r="SF247" s="43"/>
      <c r="SG247" s="43"/>
      <c r="SH247" s="43"/>
      <c r="SI247" s="43"/>
      <c r="SJ247" s="43"/>
      <c r="SK247" s="43"/>
      <c r="SL247" s="43"/>
      <c r="SM247" s="43"/>
      <c r="SN247" s="43"/>
      <c r="SO247" s="43"/>
      <c r="SP247" s="43"/>
      <c r="SQ247" s="43"/>
      <c r="SR247" s="43"/>
      <c r="SS247" s="43"/>
      <c r="ST247" s="43"/>
      <c r="SU247" s="43"/>
      <c r="SV247" s="43"/>
      <c r="SW247" s="43"/>
      <c r="SX247" s="43"/>
      <c r="SY247" s="43"/>
      <c r="SZ247" s="43"/>
      <c r="TA247" s="43"/>
      <c r="TB247" s="43"/>
      <c r="TC247" s="43"/>
      <c r="TD247" s="43"/>
      <c r="TE247" s="43"/>
      <c r="TF247" s="43"/>
      <c r="TG247" s="43"/>
      <c r="TH247" s="43"/>
    </row>
    <row r="248" spans="1:528" s="41" customFormat="1" ht="16.5" customHeight="1" thickBot="1">
      <c r="A248" s="43"/>
      <c r="B248" s="3715" t="s">
        <v>7679</v>
      </c>
      <c r="C248" s="3716"/>
      <c r="D248" s="3716"/>
      <c r="E248" s="3717"/>
      <c r="F248" s="3765">
        <v>10000</v>
      </c>
      <c r="G248" s="3766"/>
      <c r="H248" s="1778">
        <f t="shared" si="695"/>
        <v>104.16666666666667</v>
      </c>
      <c r="I248" s="3" t="s">
        <v>1307</v>
      </c>
      <c r="K248" s="43"/>
      <c r="L248" s="43"/>
      <c r="M248" s="43"/>
      <c r="N248" s="43"/>
      <c r="R248" s="2369"/>
      <c r="S248" s="3758"/>
      <c r="T248" s="3759"/>
      <c r="U248" s="3759"/>
      <c r="V248" s="3759"/>
      <c r="W248" s="3760"/>
      <c r="X248" s="251"/>
      <c r="Y248" s="253"/>
      <c r="Z248" s="253"/>
      <c r="AA248" s="253"/>
      <c r="AB248" s="253"/>
      <c r="AC248" s="251"/>
      <c r="AD248" s="253"/>
      <c r="AE248" s="253"/>
      <c r="AF248" s="253"/>
      <c r="AG248" s="253"/>
      <c r="AH248" s="251"/>
      <c r="AI248" s="253"/>
      <c r="AJ248" s="253"/>
      <c r="AK248" s="253"/>
      <c r="AL248" s="253"/>
      <c r="AM248" s="251"/>
      <c r="AN248" s="253"/>
      <c r="AO248" s="253"/>
      <c r="AP248" s="253"/>
      <c r="AQ248" s="253"/>
      <c r="AR248" s="253"/>
      <c r="AS248" s="253"/>
      <c r="AT248" s="253"/>
      <c r="AU248" s="253"/>
      <c r="AV248" s="253"/>
      <c r="AW248" s="253"/>
      <c r="AX248" s="253"/>
      <c r="AY248" s="253"/>
      <c r="AZ248" s="253"/>
      <c r="BA248" s="253"/>
      <c r="BB248" s="253"/>
      <c r="BC248" s="253"/>
      <c r="BD248" s="253"/>
      <c r="BE248" s="253"/>
      <c r="BF248" s="253"/>
      <c r="BG248" s="253"/>
      <c r="BH248" s="253"/>
      <c r="BI248" s="253"/>
      <c r="BJ248" s="253"/>
      <c r="BK248" s="253"/>
      <c r="BL248" s="253"/>
      <c r="BM248" s="253"/>
      <c r="BN248" s="253"/>
      <c r="BO248" s="253"/>
      <c r="BP248" s="253"/>
      <c r="BQ248" s="253"/>
      <c r="BR248" s="253"/>
      <c r="BS248" s="253"/>
      <c r="BT248" s="253"/>
      <c r="BU248" s="253"/>
      <c r="BV248" s="253"/>
      <c r="BW248" s="253"/>
      <c r="BX248" s="253"/>
      <c r="BY248" s="253"/>
      <c r="BZ248" s="253"/>
      <c r="CA248" s="253"/>
      <c r="CB248" s="253"/>
      <c r="CC248" s="253"/>
      <c r="CD248" s="253"/>
      <c r="CE248" s="253"/>
      <c r="CF248" s="253"/>
      <c r="CG248" s="253"/>
      <c r="CH248" s="253"/>
      <c r="CI248" s="253"/>
      <c r="CJ248" s="253"/>
      <c r="CK248" s="253"/>
      <c r="CL248" s="253"/>
      <c r="CM248" s="253"/>
      <c r="CN248" s="253"/>
      <c r="CO248" s="253"/>
      <c r="CP248" s="253"/>
      <c r="CQ248" s="253"/>
      <c r="CR248" s="253"/>
      <c r="CS248" s="253"/>
      <c r="CT248" s="253"/>
      <c r="CU248" s="253"/>
      <c r="CV248" s="253"/>
      <c r="CW248" s="253"/>
      <c r="CX248" s="253"/>
      <c r="CY248" s="253"/>
      <c r="CZ248" s="253"/>
      <c r="DA248" s="253"/>
      <c r="DB248" s="253"/>
      <c r="DC248" s="253"/>
      <c r="DD248" s="253"/>
      <c r="DE248" s="253"/>
      <c r="DF248" s="253"/>
      <c r="DG248" s="253"/>
      <c r="DH248" s="253"/>
      <c r="DI248" s="253"/>
      <c r="DJ248" s="253"/>
      <c r="DK248" s="253"/>
      <c r="DL248" s="253"/>
      <c r="DM248" s="253"/>
      <c r="DN248" s="253"/>
      <c r="DO248" s="253"/>
      <c r="DP248" s="253"/>
      <c r="DQ248" s="253"/>
      <c r="DR248" s="253"/>
      <c r="DS248" s="253"/>
      <c r="DT248" s="253"/>
      <c r="DU248" s="253"/>
      <c r="DV248" s="253"/>
      <c r="DW248" s="253"/>
      <c r="DX248" s="253"/>
      <c r="DY248" s="253"/>
      <c r="DZ248" s="253"/>
      <c r="EA248" s="253"/>
      <c r="EB248" s="253"/>
      <c r="EC248" s="253"/>
      <c r="ED248" s="253"/>
      <c r="EE248" s="253"/>
      <c r="EF248" s="253"/>
      <c r="EG248" s="253"/>
      <c r="EH248" s="253"/>
      <c r="EI248" s="253"/>
      <c r="EJ248" s="253"/>
      <c r="EK248" s="253"/>
      <c r="EL248" s="253"/>
      <c r="EM248" s="253"/>
      <c r="EN248" s="253"/>
      <c r="EO248" s="253"/>
      <c r="EP248" s="253"/>
      <c r="EQ248" s="253"/>
      <c r="ER248" s="253"/>
      <c r="ES248" s="253"/>
      <c r="ET248" s="253"/>
      <c r="EU248" s="253"/>
      <c r="EV248" s="253"/>
      <c r="EW248" s="253"/>
      <c r="EX248" s="253"/>
      <c r="EY248" s="253"/>
      <c r="EZ248" s="253"/>
      <c r="FA248" s="253"/>
      <c r="FB248" s="253"/>
      <c r="FC248" s="253"/>
      <c r="FD248" s="253"/>
      <c r="FE248" s="253"/>
      <c r="FF248" s="253"/>
      <c r="FG248" s="253"/>
      <c r="FH248" s="253"/>
      <c r="FI248" s="253"/>
      <c r="FJ248" s="253"/>
      <c r="FK248" s="253"/>
      <c r="FL248" s="253"/>
      <c r="FM248" s="253"/>
      <c r="FN248" s="253"/>
      <c r="FO248" s="253"/>
      <c r="FP248" s="253"/>
      <c r="FQ248" s="253"/>
      <c r="FR248" s="253"/>
      <c r="FS248" s="253"/>
      <c r="FT248" s="253"/>
      <c r="FU248" s="253"/>
      <c r="FV248" s="253"/>
      <c r="FW248" s="253"/>
      <c r="FX248" s="253"/>
      <c r="FY248" s="253"/>
      <c r="FZ248" s="253"/>
      <c r="GA248" s="253"/>
      <c r="GB248" s="253"/>
      <c r="GC248" s="253"/>
      <c r="GD248" s="253"/>
      <c r="GE248" s="253"/>
      <c r="GF248" s="253"/>
      <c r="GG248" s="253"/>
      <c r="GH248" s="253"/>
      <c r="GI248" s="253"/>
      <c r="GJ248" s="253"/>
      <c r="GK248" s="253"/>
      <c r="GL248" s="253"/>
      <c r="GM248" s="253"/>
      <c r="GN248" s="253"/>
      <c r="GO248" s="253"/>
      <c r="GP248" s="253"/>
      <c r="GQ248" s="253"/>
      <c r="GR248" s="253"/>
      <c r="GS248" s="253"/>
      <c r="GT248" s="253"/>
      <c r="GU248" s="253"/>
      <c r="GV248" s="253"/>
      <c r="GW248" s="253"/>
      <c r="GX248" s="253"/>
      <c r="GY248" s="253"/>
      <c r="GZ248" s="253"/>
      <c r="HA248" s="253"/>
      <c r="HB248" s="253"/>
      <c r="HC248" s="253"/>
      <c r="HD248" s="253"/>
      <c r="HE248" s="253"/>
      <c r="HF248" s="253"/>
      <c r="HG248" s="253"/>
      <c r="HH248" s="253"/>
      <c r="HI248" s="253"/>
      <c r="HJ248" s="253"/>
      <c r="HK248" s="253"/>
      <c r="HL248" s="253"/>
      <c r="HM248" s="253"/>
      <c r="HN248" s="253"/>
      <c r="HO248" s="253"/>
      <c r="HP248" s="253"/>
      <c r="HQ248" s="253"/>
      <c r="HR248" s="253"/>
      <c r="HS248" s="253"/>
      <c r="HT248" s="253"/>
      <c r="HU248" s="253"/>
      <c r="HV248" s="253"/>
      <c r="HW248" s="253"/>
      <c r="HX248" s="253"/>
      <c r="HY248" s="253"/>
      <c r="HZ248" s="253"/>
      <c r="IA248" s="253"/>
      <c r="IB248" s="253"/>
      <c r="IC248" s="253"/>
      <c r="ID248" s="253"/>
      <c r="IE248" s="253"/>
      <c r="IF248" s="253"/>
      <c r="IG248" s="253"/>
      <c r="IH248" s="253"/>
      <c r="II248" s="253"/>
      <c r="IJ248" s="253"/>
      <c r="IK248" s="253"/>
      <c r="IL248" s="253"/>
      <c r="IM248" s="253"/>
      <c r="IN248" s="253"/>
      <c r="IO248" s="253"/>
      <c r="IP248" s="253"/>
      <c r="IQ248" s="253"/>
      <c r="IR248" s="253"/>
      <c r="IS248" s="253"/>
      <c r="IT248" s="253"/>
      <c r="IU248" s="253"/>
      <c r="IV248" s="253"/>
      <c r="IW248" s="253"/>
      <c r="IX248" s="253"/>
      <c r="IY248" s="253"/>
      <c r="IZ248" s="253"/>
      <c r="JA248" s="253"/>
      <c r="JB248" s="253"/>
      <c r="JC248" s="253"/>
      <c r="JD248" s="253"/>
      <c r="JE248" s="253"/>
      <c r="JF248" s="253"/>
      <c r="JG248" s="253"/>
      <c r="JH248" s="253"/>
      <c r="JI248" s="253"/>
      <c r="JJ248" s="253"/>
      <c r="JK248" s="253"/>
      <c r="JL248" s="253"/>
      <c r="JM248" s="253"/>
      <c r="JN248" s="253"/>
      <c r="JO248" s="253"/>
      <c r="JP248" s="253"/>
      <c r="JQ248" s="253"/>
      <c r="JR248" s="253"/>
      <c r="JS248" s="253"/>
      <c r="JT248" s="253"/>
      <c r="JU248" s="253"/>
      <c r="JV248" s="253"/>
      <c r="JW248" s="253"/>
      <c r="JX248" s="253"/>
      <c r="JY248" s="253"/>
      <c r="JZ248" s="253"/>
      <c r="KA248" s="253"/>
      <c r="KB248" s="253"/>
      <c r="KC248" s="253"/>
      <c r="KD248" s="253"/>
      <c r="KE248" s="253"/>
      <c r="KF248" s="253"/>
      <c r="KG248" s="253"/>
      <c r="KH248" s="253"/>
      <c r="KI248" s="253"/>
      <c r="KJ248" s="253"/>
      <c r="KK248" s="253"/>
      <c r="KL248" s="253"/>
      <c r="KM248" s="253"/>
      <c r="KN248" s="253"/>
      <c r="KO248" s="253"/>
      <c r="KP248" s="253"/>
      <c r="KQ248" s="253"/>
      <c r="KR248" s="253"/>
      <c r="KS248" s="253"/>
      <c r="KT248" s="253"/>
      <c r="KU248" s="253"/>
      <c r="KV248" s="253"/>
      <c r="KW248" s="253"/>
      <c r="KX248" s="253"/>
      <c r="KY248" s="253"/>
      <c r="KZ248" s="253"/>
      <c r="LA248" s="253"/>
      <c r="LB248" s="253"/>
      <c r="LC248" s="253"/>
      <c r="LD248" s="253"/>
      <c r="LE248" s="253"/>
      <c r="LF248" s="1296"/>
      <c r="LG248" s="253"/>
      <c r="LH248" s="253"/>
      <c r="LI248" s="253"/>
      <c r="LJ248" s="253"/>
      <c r="LK248" s="1296"/>
      <c r="LL248" s="253"/>
      <c r="LM248" s="253"/>
      <c r="LN248" s="253"/>
      <c r="LO248" s="253"/>
      <c r="LP248" s="1296"/>
      <c r="LQ248" s="253"/>
      <c r="LR248" s="253"/>
      <c r="LS248" s="253"/>
      <c r="LT248" s="253"/>
      <c r="LU248" s="1296"/>
      <c r="LV248" s="1296"/>
      <c r="LW248" s="1296"/>
      <c r="LX248" s="1296"/>
      <c r="LY248" s="1296"/>
      <c r="LZ248" s="1296"/>
      <c r="MA248" s="1296"/>
      <c r="MB248" s="1296"/>
      <c r="MC248" s="1296"/>
      <c r="MD248" s="1296"/>
      <c r="ME248" s="1296"/>
      <c r="MF248" s="1296"/>
      <c r="MG248" s="1296"/>
      <c r="MH248" s="1296"/>
      <c r="MI248" s="1296"/>
      <c r="MJ248" s="1296"/>
      <c r="MK248" s="1296"/>
      <c r="ML248" s="1296"/>
      <c r="MM248" s="1296"/>
      <c r="MN248" s="1296"/>
      <c r="MO248" s="1296"/>
      <c r="MP248" s="1296"/>
      <c r="MQ248" s="253"/>
      <c r="MR248" s="253"/>
      <c r="MS248" s="253"/>
      <c r="MT248" s="253"/>
      <c r="MU248" s="253"/>
      <c r="MV248" s="253"/>
      <c r="MW248" s="1184"/>
      <c r="MX248" s="253"/>
      <c r="MY248" s="253"/>
      <c r="MZ248" s="253"/>
      <c r="NA248" s="253"/>
      <c r="NB248" s="253"/>
      <c r="NC248" s="253"/>
      <c r="ND248" s="253"/>
      <c r="NE248" s="253"/>
      <c r="NF248" s="253"/>
      <c r="NG248" s="253"/>
      <c r="NH248" s="253"/>
      <c r="NI248" s="253"/>
      <c r="NJ248" s="253"/>
      <c r="NK248" s="253"/>
      <c r="NL248" s="253"/>
      <c r="NM248" s="1184"/>
      <c r="NN248" s="1184"/>
      <c r="NO248" s="253"/>
      <c r="NP248" s="253"/>
      <c r="NQ248" s="253"/>
      <c r="NR248" s="253"/>
      <c r="NS248" s="253"/>
      <c r="NT248" s="253"/>
      <c r="NU248" s="253"/>
      <c r="NV248" s="253"/>
      <c r="NW248" s="253"/>
      <c r="NX248" s="253"/>
      <c r="NY248" s="253"/>
      <c r="NZ248" s="253"/>
      <c r="OA248" s="253"/>
      <c r="OB248" s="253"/>
      <c r="OC248" s="253"/>
      <c r="OD248" s="253"/>
      <c r="OE248" s="253"/>
      <c r="OF248" s="253"/>
      <c r="OG248" s="253"/>
      <c r="OH248" s="253"/>
      <c r="OI248" s="253"/>
      <c r="OJ248" s="253"/>
      <c r="OK248" s="253"/>
      <c r="OL248" s="253"/>
      <c r="OM248" s="253"/>
      <c r="ON248" s="253"/>
      <c r="OO248" s="253"/>
      <c r="OP248" s="253"/>
      <c r="OQ248" s="253"/>
      <c r="OR248" s="253"/>
      <c r="OS248" s="253"/>
      <c r="OT248" s="253"/>
      <c r="OU248" s="253"/>
      <c r="OV248" s="43"/>
      <c r="OW248" s="43"/>
      <c r="OX248" s="43"/>
      <c r="OY248" s="1796"/>
      <c r="OZ248" s="1801">
        <v>244</v>
      </c>
      <c r="PA248" s="43"/>
      <c r="PB248" s="43"/>
      <c r="PC248" s="43"/>
      <c r="PD248" s="43"/>
      <c r="PE248" s="43"/>
      <c r="PF248" s="43"/>
      <c r="PG248" s="43"/>
      <c r="PH248" s="43"/>
      <c r="PI248" s="43"/>
      <c r="PJ248" s="43"/>
      <c r="PK248" s="43"/>
      <c r="PL248" s="43"/>
      <c r="PM248" s="43"/>
      <c r="PN248" s="43"/>
      <c r="PO248" s="43"/>
      <c r="PP248" s="43"/>
      <c r="PQ248" s="43"/>
      <c r="PR248" s="43"/>
      <c r="PS248" s="43"/>
      <c r="PT248" s="43"/>
      <c r="PU248" s="43"/>
      <c r="PV248" s="43"/>
      <c r="PW248" s="43"/>
      <c r="PX248" s="43"/>
      <c r="PY248" s="43"/>
      <c r="PZ248" s="43"/>
      <c r="QA248" s="43"/>
      <c r="QB248" s="43"/>
      <c r="QC248" s="43"/>
      <c r="QD248" s="43"/>
      <c r="QE248" s="43"/>
      <c r="QF248" s="43"/>
      <c r="QG248" s="43"/>
      <c r="QH248" s="43"/>
      <c r="QI248" s="43"/>
      <c r="QJ248" s="43"/>
      <c r="QK248" s="43"/>
      <c r="QL248" s="43"/>
      <c r="QM248" s="43"/>
      <c r="QN248" s="43"/>
      <c r="QO248" s="43"/>
      <c r="QP248" s="43"/>
      <c r="QQ248" s="43"/>
      <c r="QR248" s="43"/>
      <c r="QS248" s="43"/>
      <c r="QT248" s="43"/>
      <c r="QU248" s="43"/>
      <c r="QV248" s="43"/>
      <c r="QW248" s="43"/>
      <c r="QX248" s="43"/>
      <c r="QY248" s="43"/>
      <c r="QZ248" s="43"/>
      <c r="RA248" s="43"/>
      <c r="RB248" s="43"/>
      <c r="RC248" s="43"/>
      <c r="RD248" s="43"/>
      <c r="RE248" s="43"/>
      <c r="RF248" s="43"/>
      <c r="RG248" s="43"/>
      <c r="RH248" s="43"/>
      <c r="RI248" s="43"/>
      <c r="RJ248" s="43"/>
      <c r="RK248" s="43"/>
      <c r="RL248" s="43"/>
      <c r="RM248" s="43"/>
      <c r="RN248" s="43"/>
      <c r="RO248" s="43"/>
      <c r="RP248" s="43"/>
      <c r="RQ248" s="43"/>
      <c r="RR248" s="43"/>
      <c r="RS248" s="43"/>
      <c r="RT248" s="43"/>
      <c r="RU248" s="43"/>
      <c r="RV248" s="43"/>
      <c r="RW248" s="43"/>
      <c r="RX248" s="43"/>
      <c r="RY248" s="43"/>
      <c r="RZ248" s="43"/>
      <c r="SA248" s="43"/>
      <c r="SB248" s="43"/>
      <c r="SC248" s="43"/>
      <c r="SD248" s="43"/>
      <c r="SE248" s="43"/>
      <c r="SF248" s="43"/>
      <c r="SG248" s="43"/>
      <c r="SH248" s="43"/>
      <c r="SI248" s="43"/>
      <c r="SJ248" s="43"/>
      <c r="SK248" s="43"/>
      <c r="SL248" s="43"/>
      <c r="SM248" s="43"/>
      <c r="SN248" s="43"/>
      <c r="SO248" s="43"/>
      <c r="SP248" s="43"/>
      <c r="SQ248" s="43"/>
      <c r="SR248" s="43"/>
      <c r="SS248" s="43"/>
      <c r="ST248" s="43"/>
      <c r="SU248" s="43"/>
      <c r="SV248" s="43"/>
      <c r="SW248" s="43"/>
      <c r="SX248" s="43"/>
      <c r="SY248" s="43"/>
      <c r="SZ248" s="43"/>
      <c r="TA248" s="43"/>
      <c r="TB248" s="43"/>
      <c r="TC248" s="43"/>
      <c r="TD248" s="43"/>
      <c r="TE248" s="43"/>
      <c r="TF248" s="43"/>
      <c r="TG248" s="43"/>
      <c r="TH248" s="43"/>
    </row>
    <row r="249" spans="1:528" s="41" customFormat="1" ht="16.5" customHeight="1" thickTop="1" thickBot="1">
      <c r="A249" s="43"/>
      <c r="B249" s="43"/>
      <c r="D249" s="43"/>
      <c r="E249" s="5" t="s">
        <v>532</v>
      </c>
      <c r="F249" s="3745">
        <f>SUM(F243:G248)</f>
        <v>172883</v>
      </c>
      <c r="G249" s="3746"/>
      <c r="H249" s="1778">
        <f t="shared" si="695"/>
        <v>1800.8645833333333</v>
      </c>
      <c r="I249" s="43" t="s">
        <v>1308</v>
      </c>
      <c r="K249" s="43"/>
      <c r="L249" s="3756"/>
      <c r="M249" s="3757"/>
      <c r="N249" s="1778" t="str">
        <f>IF(OR(L249="",L249=0),"",L249/$E$58)</f>
        <v/>
      </c>
      <c r="R249" s="43"/>
      <c r="S249" s="3758"/>
      <c r="T249" s="3759"/>
      <c r="U249" s="3759"/>
      <c r="V249" s="3759"/>
      <c r="W249" s="3760"/>
      <c r="X249" s="251"/>
      <c r="Y249" s="253"/>
      <c r="Z249" s="253"/>
      <c r="AA249" s="253"/>
      <c r="AB249" s="253"/>
      <c r="AC249" s="251"/>
      <c r="AD249" s="253"/>
      <c r="AE249" s="253"/>
      <c r="AF249" s="253"/>
      <c r="AG249" s="253"/>
      <c r="AH249" s="251"/>
      <c r="AI249" s="253"/>
      <c r="AJ249" s="253"/>
      <c r="AK249" s="253"/>
      <c r="AL249" s="253"/>
      <c r="AM249" s="251"/>
      <c r="AN249" s="253"/>
      <c r="AO249" s="253"/>
      <c r="AP249" s="253"/>
      <c r="AQ249" s="253"/>
      <c r="AR249" s="253"/>
      <c r="AS249" s="253"/>
      <c r="AT249" s="253"/>
      <c r="AU249" s="253"/>
      <c r="AV249" s="253"/>
      <c r="AW249" s="253"/>
      <c r="AX249" s="253"/>
      <c r="AY249" s="253"/>
      <c r="AZ249" s="253"/>
      <c r="BA249" s="253"/>
      <c r="BB249" s="253"/>
      <c r="BC249" s="253"/>
      <c r="BD249" s="253"/>
      <c r="BE249" s="253"/>
      <c r="BF249" s="253"/>
      <c r="BG249" s="253"/>
      <c r="BH249" s="253"/>
      <c r="BI249" s="253"/>
      <c r="BJ249" s="253"/>
      <c r="BK249" s="253"/>
      <c r="BL249" s="253"/>
      <c r="BM249" s="253"/>
      <c r="BN249" s="253"/>
      <c r="BO249" s="253"/>
      <c r="BP249" s="253"/>
      <c r="BQ249" s="253"/>
      <c r="BR249" s="253"/>
      <c r="BS249" s="253"/>
      <c r="BT249" s="253"/>
      <c r="BU249" s="253"/>
      <c r="BV249" s="253"/>
      <c r="BW249" s="253"/>
      <c r="BX249" s="253"/>
      <c r="BY249" s="253"/>
      <c r="BZ249" s="253"/>
      <c r="CA249" s="253"/>
      <c r="CB249" s="253"/>
      <c r="CC249" s="253"/>
      <c r="CD249" s="253"/>
      <c r="CE249" s="253"/>
      <c r="CF249" s="253"/>
      <c r="CG249" s="253"/>
      <c r="CH249" s="253"/>
      <c r="CI249" s="253"/>
      <c r="CJ249" s="253"/>
      <c r="CK249" s="253"/>
      <c r="CL249" s="253"/>
      <c r="CM249" s="253"/>
      <c r="CN249" s="253"/>
      <c r="CO249" s="253"/>
      <c r="CP249" s="253"/>
      <c r="CQ249" s="253"/>
      <c r="CR249" s="253"/>
      <c r="CS249" s="253"/>
      <c r="CT249" s="253"/>
      <c r="CU249" s="253"/>
      <c r="CV249" s="253"/>
      <c r="CW249" s="253"/>
      <c r="CX249" s="253"/>
      <c r="CY249" s="253"/>
      <c r="CZ249" s="253"/>
      <c r="DA249" s="253"/>
      <c r="DB249" s="253"/>
      <c r="DC249" s="253"/>
      <c r="DD249" s="253"/>
      <c r="DE249" s="253"/>
      <c r="DF249" s="253"/>
      <c r="DG249" s="253"/>
      <c r="DH249" s="253"/>
      <c r="DI249" s="253"/>
      <c r="DJ249" s="253"/>
      <c r="DK249" s="253"/>
      <c r="DL249" s="253"/>
      <c r="DM249" s="253"/>
      <c r="DN249" s="253"/>
      <c r="DO249" s="253"/>
      <c r="DP249" s="253"/>
      <c r="DQ249" s="253"/>
      <c r="DR249" s="253"/>
      <c r="DS249" s="253"/>
      <c r="DT249" s="253"/>
      <c r="DU249" s="253"/>
      <c r="DV249" s="253"/>
      <c r="DW249" s="253"/>
      <c r="DX249" s="253"/>
      <c r="DY249" s="253"/>
      <c r="DZ249" s="253"/>
      <c r="EA249" s="253"/>
      <c r="EB249" s="253"/>
      <c r="EC249" s="253"/>
      <c r="ED249" s="253"/>
      <c r="EE249" s="253"/>
      <c r="EF249" s="253"/>
      <c r="EG249" s="253"/>
      <c r="EH249" s="253"/>
      <c r="EI249" s="253"/>
      <c r="EJ249" s="253"/>
      <c r="EK249" s="253"/>
      <c r="EL249" s="253"/>
      <c r="EM249" s="253"/>
      <c r="EN249" s="253"/>
      <c r="EO249" s="253"/>
      <c r="EP249" s="253"/>
      <c r="EQ249" s="253"/>
      <c r="ER249" s="253"/>
      <c r="ES249" s="253"/>
      <c r="ET249" s="253"/>
      <c r="EU249" s="253"/>
      <c r="EV249" s="253"/>
      <c r="EW249" s="253"/>
      <c r="EX249" s="253"/>
      <c r="EY249" s="253"/>
      <c r="EZ249" s="253"/>
      <c r="FA249" s="253"/>
      <c r="FB249" s="253"/>
      <c r="FC249" s="253"/>
      <c r="FD249" s="253"/>
      <c r="FE249" s="253"/>
      <c r="FF249" s="253"/>
      <c r="FG249" s="253"/>
      <c r="FH249" s="253"/>
      <c r="FI249" s="253"/>
      <c r="FJ249" s="253"/>
      <c r="FK249" s="253"/>
      <c r="FL249" s="253"/>
      <c r="FM249" s="253"/>
      <c r="FN249" s="253"/>
      <c r="FO249" s="253"/>
      <c r="FP249" s="253"/>
      <c r="FQ249" s="253"/>
      <c r="FR249" s="253"/>
      <c r="FS249" s="253"/>
      <c r="FT249" s="253"/>
      <c r="FU249" s="253"/>
      <c r="FV249" s="253"/>
      <c r="FW249" s="253"/>
      <c r="FX249" s="253"/>
      <c r="FY249" s="253"/>
      <c r="FZ249" s="253"/>
      <c r="GA249" s="253"/>
      <c r="GB249" s="253"/>
      <c r="GC249" s="253"/>
      <c r="GD249" s="253"/>
      <c r="GE249" s="253"/>
      <c r="GF249" s="253"/>
      <c r="GG249" s="253"/>
      <c r="GH249" s="253"/>
      <c r="GI249" s="253"/>
      <c r="GJ249" s="253"/>
      <c r="GK249" s="253"/>
      <c r="GL249" s="253"/>
      <c r="GM249" s="253"/>
      <c r="GN249" s="253"/>
      <c r="GO249" s="253"/>
      <c r="GP249" s="253"/>
      <c r="GQ249" s="253"/>
      <c r="GR249" s="253"/>
      <c r="GS249" s="253"/>
      <c r="GT249" s="253"/>
      <c r="GU249" s="253"/>
      <c r="GV249" s="253"/>
      <c r="GW249" s="253"/>
      <c r="GX249" s="253"/>
      <c r="GY249" s="253"/>
      <c r="GZ249" s="253"/>
      <c r="HA249" s="253"/>
      <c r="HB249" s="253"/>
      <c r="HC249" s="253"/>
      <c r="HD249" s="253"/>
      <c r="HE249" s="253"/>
      <c r="HF249" s="253"/>
      <c r="HG249" s="253"/>
      <c r="HH249" s="253"/>
      <c r="HI249" s="253"/>
      <c r="HJ249" s="253"/>
      <c r="HK249" s="253"/>
      <c r="HL249" s="253"/>
      <c r="HM249" s="253"/>
      <c r="HN249" s="253"/>
      <c r="HO249" s="253"/>
      <c r="HP249" s="253"/>
      <c r="HQ249" s="253"/>
      <c r="HR249" s="253"/>
      <c r="HS249" s="253"/>
      <c r="HT249" s="253"/>
      <c r="HU249" s="253"/>
      <c r="HV249" s="253"/>
      <c r="HW249" s="253"/>
      <c r="HX249" s="253"/>
      <c r="HY249" s="253"/>
      <c r="HZ249" s="253"/>
      <c r="IA249" s="253"/>
      <c r="IB249" s="253"/>
      <c r="IC249" s="253"/>
      <c r="ID249" s="253"/>
      <c r="IE249" s="253"/>
      <c r="IF249" s="253"/>
      <c r="IG249" s="253"/>
      <c r="IH249" s="253"/>
      <c r="II249" s="253"/>
      <c r="IJ249" s="253"/>
      <c r="IK249" s="253"/>
      <c r="IL249" s="253"/>
      <c r="IM249" s="253"/>
      <c r="IN249" s="253"/>
      <c r="IO249" s="253"/>
      <c r="IP249" s="253"/>
      <c r="IQ249" s="253"/>
      <c r="IR249" s="253"/>
      <c r="IS249" s="253"/>
      <c r="IT249" s="253"/>
      <c r="IU249" s="253"/>
      <c r="IV249" s="253"/>
      <c r="IW249" s="253"/>
      <c r="IX249" s="253"/>
      <c r="IY249" s="253"/>
      <c r="IZ249" s="253"/>
      <c r="JA249" s="253"/>
      <c r="JB249" s="253"/>
      <c r="JC249" s="253"/>
      <c r="JD249" s="253"/>
      <c r="JE249" s="253"/>
      <c r="JF249" s="253"/>
      <c r="JG249" s="253"/>
      <c r="JH249" s="253"/>
      <c r="JI249" s="253"/>
      <c r="JJ249" s="253"/>
      <c r="JK249" s="253"/>
      <c r="JL249" s="253"/>
      <c r="JM249" s="253"/>
      <c r="JN249" s="253"/>
      <c r="JO249" s="253"/>
      <c r="JP249" s="253"/>
      <c r="JQ249" s="253"/>
      <c r="JR249" s="253"/>
      <c r="JS249" s="253"/>
      <c r="JT249" s="253"/>
      <c r="JU249" s="253"/>
      <c r="JV249" s="253"/>
      <c r="JW249" s="253"/>
      <c r="JX249" s="253"/>
      <c r="JY249" s="253"/>
      <c r="JZ249" s="253"/>
      <c r="KA249" s="253"/>
      <c r="KB249" s="253"/>
      <c r="KC249" s="253"/>
      <c r="KD249" s="253"/>
      <c r="KE249" s="253"/>
      <c r="KF249" s="253"/>
      <c r="KG249" s="253"/>
      <c r="KH249" s="253"/>
      <c r="KI249" s="253"/>
      <c r="KJ249" s="253"/>
      <c r="KK249" s="253"/>
      <c r="KL249" s="253"/>
      <c r="KM249" s="253"/>
      <c r="KN249" s="253"/>
      <c r="KO249" s="253"/>
      <c r="KP249" s="253"/>
      <c r="KQ249" s="253"/>
      <c r="KR249" s="253"/>
      <c r="KS249" s="253"/>
      <c r="KT249" s="253"/>
      <c r="KU249" s="253"/>
      <c r="KV249" s="253"/>
      <c r="KW249" s="253"/>
      <c r="KX249" s="253"/>
      <c r="KY249" s="253"/>
      <c r="KZ249" s="253"/>
      <c r="LA249" s="253"/>
      <c r="LB249" s="253"/>
      <c r="LC249" s="253"/>
      <c r="LD249" s="253"/>
      <c r="LE249" s="253"/>
      <c r="LF249" s="1296"/>
      <c r="LG249" s="253"/>
      <c r="LH249" s="253"/>
      <c r="LI249" s="253"/>
      <c r="LJ249" s="253"/>
      <c r="LK249" s="1296"/>
      <c r="LL249" s="253"/>
      <c r="LM249" s="253"/>
      <c r="LN249" s="253"/>
      <c r="LO249" s="253"/>
      <c r="LP249" s="1296"/>
      <c r="LQ249" s="253"/>
      <c r="LR249" s="253"/>
      <c r="LS249" s="253"/>
      <c r="LT249" s="253"/>
      <c r="LU249" s="1296"/>
      <c r="LV249" s="1296"/>
      <c r="LW249" s="1296"/>
      <c r="LX249" s="1296"/>
      <c r="LY249" s="1296"/>
      <c r="LZ249" s="1296"/>
      <c r="MA249" s="1296"/>
      <c r="MB249" s="1296"/>
      <c r="MC249" s="1296"/>
      <c r="MD249" s="1296"/>
      <c r="ME249" s="1296"/>
      <c r="MF249" s="1296"/>
      <c r="MG249" s="1296"/>
      <c r="MH249" s="1296"/>
      <c r="MI249" s="1296"/>
      <c r="MJ249" s="1296"/>
      <c r="MK249" s="1296"/>
      <c r="ML249" s="1296"/>
      <c r="MM249" s="1296"/>
      <c r="MN249" s="1296"/>
      <c r="MO249" s="1296"/>
      <c r="MP249" s="1296"/>
      <c r="MQ249" s="253"/>
      <c r="MR249" s="253"/>
      <c r="MS249" s="253"/>
      <c r="MT249" s="253"/>
      <c r="MU249" s="253"/>
      <c r="MV249" s="253"/>
      <c r="MW249" s="1184"/>
      <c r="MX249" s="253"/>
      <c r="MY249" s="253"/>
      <c r="MZ249" s="253"/>
      <c r="NA249" s="253"/>
      <c r="NB249" s="253"/>
      <c r="NC249" s="253"/>
      <c r="ND249" s="253"/>
      <c r="NE249" s="253"/>
      <c r="NF249" s="253"/>
      <c r="NG249" s="253"/>
      <c r="NH249" s="253"/>
      <c r="NI249" s="253"/>
      <c r="NJ249" s="253"/>
      <c r="NK249" s="253"/>
      <c r="NL249" s="253"/>
      <c r="NM249" s="1184"/>
      <c r="NN249" s="1184"/>
      <c r="NO249" s="253"/>
      <c r="NP249" s="253"/>
      <c r="NQ249" s="253"/>
      <c r="NR249" s="253"/>
      <c r="NS249" s="253"/>
      <c r="NT249" s="253"/>
      <c r="NU249" s="253"/>
      <c r="NV249" s="253"/>
      <c r="NW249" s="253"/>
      <c r="NX249" s="253"/>
      <c r="NY249" s="253"/>
      <c r="NZ249" s="253"/>
      <c r="OA249" s="253"/>
      <c r="OB249" s="253"/>
      <c r="OC249" s="253"/>
      <c r="OD249" s="253"/>
      <c r="OE249" s="253"/>
      <c r="OF249" s="253"/>
      <c r="OG249" s="253"/>
      <c r="OH249" s="253"/>
      <c r="OI249" s="253"/>
      <c r="OJ249" s="253"/>
      <c r="OK249" s="253"/>
      <c r="OL249" s="253"/>
      <c r="OM249" s="253"/>
      <c r="ON249" s="253"/>
      <c r="OO249" s="253"/>
      <c r="OP249" s="253"/>
      <c r="OQ249" s="253"/>
      <c r="OR249" s="253"/>
      <c r="OS249" s="253"/>
      <c r="OT249" s="253"/>
      <c r="OU249" s="253"/>
      <c r="OV249" s="43"/>
      <c r="OW249" s="43"/>
      <c r="OX249" s="43"/>
      <c r="OY249" s="1796"/>
      <c r="OZ249" s="1799">
        <v>245</v>
      </c>
      <c r="PA249" s="43"/>
      <c r="PB249" s="43"/>
      <c r="PC249" s="43"/>
      <c r="PD249" s="43"/>
      <c r="PE249" s="43"/>
      <c r="PF249" s="43"/>
      <c r="PG249" s="43"/>
      <c r="PH249" s="43"/>
      <c r="PI249" s="43"/>
      <c r="PJ249" s="43"/>
      <c r="PK249" s="43"/>
      <c r="PL249" s="43"/>
      <c r="PM249" s="43"/>
      <c r="PN249" s="43"/>
      <c r="PO249" s="43"/>
      <c r="PP249" s="43"/>
      <c r="PQ249" s="43"/>
      <c r="PR249" s="43"/>
      <c r="PS249" s="43"/>
      <c r="PT249" s="43"/>
      <c r="PU249" s="43"/>
      <c r="PV249" s="43"/>
      <c r="PW249" s="43"/>
      <c r="PX249" s="43"/>
      <c r="PY249" s="43"/>
      <c r="PZ249" s="43"/>
      <c r="QA249" s="43"/>
      <c r="QB249" s="43"/>
      <c r="QC249" s="43"/>
      <c r="QD249" s="43"/>
      <c r="QE249" s="43"/>
      <c r="QF249" s="43"/>
      <c r="QG249" s="43"/>
      <c r="QH249" s="43"/>
      <c r="QI249" s="43"/>
      <c r="QJ249" s="43"/>
      <c r="QK249" s="43"/>
      <c r="QL249" s="43"/>
      <c r="QM249" s="43"/>
      <c r="QN249" s="43"/>
      <c r="QO249" s="43"/>
      <c r="QP249" s="43"/>
      <c r="QQ249" s="43"/>
      <c r="QR249" s="43"/>
      <c r="QS249" s="43"/>
      <c r="QT249" s="43"/>
      <c r="QU249" s="43"/>
      <c r="QV249" s="43"/>
      <c r="QW249" s="43"/>
      <c r="QX249" s="43"/>
      <c r="QY249" s="43"/>
      <c r="QZ249" s="43"/>
      <c r="RA249" s="43"/>
      <c r="RB249" s="43"/>
      <c r="RC249" s="43"/>
      <c r="RD249" s="43"/>
      <c r="RE249" s="43"/>
      <c r="RF249" s="43"/>
      <c r="RG249" s="43"/>
      <c r="RH249" s="43"/>
      <c r="RI249" s="43"/>
      <c r="RJ249" s="43"/>
      <c r="RK249" s="43"/>
      <c r="RL249" s="43"/>
      <c r="RM249" s="43"/>
      <c r="RN249" s="43"/>
      <c r="RO249" s="43"/>
      <c r="RP249" s="43"/>
      <c r="RQ249" s="43"/>
      <c r="RR249" s="43"/>
      <c r="RS249" s="43"/>
      <c r="RT249" s="43"/>
      <c r="RU249" s="43"/>
      <c r="RV249" s="43"/>
      <c r="RW249" s="43"/>
      <c r="RX249" s="43"/>
      <c r="RY249" s="43"/>
      <c r="RZ249" s="43"/>
      <c r="SA249" s="43"/>
      <c r="SB249" s="43"/>
      <c r="SC249" s="43"/>
      <c r="SD249" s="43"/>
      <c r="SE249" s="43"/>
      <c r="SF249" s="43"/>
      <c r="SG249" s="43"/>
      <c r="SH249" s="43"/>
      <c r="SI249" s="43"/>
      <c r="SJ249" s="43"/>
      <c r="SK249" s="43"/>
      <c r="SL249" s="43"/>
      <c r="SM249" s="43"/>
      <c r="SN249" s="43"/>
      <c r="SO249" s="43"/>
      <c r="SP249" s="43"/>
      <c r="SQ249" s="43"/>
      <c r="SR249" s="43"/>
      <c r="SS249" s="43"/>
      <c r="ST249" s="43"/>
      <c r="SU249" s="43"/>
      <c r="SV249" s="43"/>
      <c r="SW249" s="43"/>
      <c r="SX249" s="43"/>
      <c r="SY249" s="43"/>
      <c r="SZ249" s="43"/>
      <c r="TA249" s="43"/>
      <c r="TB249" s="43"/>
      <c r="TC249" s="43"/>
      <c r="TD249" s="43"/>
      <c r="TE249" s="43"/>
      <c r="TF249" s="43"/>
      <c r="TG249" s="43"/>
      <c r="TH249" s="43"/>
    </row>
    <row r="250" spans="1:528" s="41" customFormat="1" ht="16.5" customHeight="1" thickBot="1">
      <c r="A250" s="43"/>
      <c r="B250" s="43"/>
      <c r="C250" s="3"/>
      <c r="D250" s="5"/>
      <c r="E250" s="43"/>
      <c r="F250" s="2373"/>
      <c r="G250" s="2373"/>
      <c r="H250" s="43"/>
      <c r="I250" s="43" t="s">
        <v>607</v>
      </c>
      <c r="K250" s="43"/>
      <c r="L250" s="3752"/>
      <c r="M250" s="3753"/>
      <c r="N250" s="1778" t="str">
        <f t="shared" ref="N250:N253" si="697">IF(OR(L250="",L250=0),"",L250/$E$58)</f>
        <v/>
      </c>
      <c r="O250" s="3" t="s">
        <v>1309</v>
      </c>
      <c r="P250" s="43"/>
      <c r="Q250" s="2374">
        <f>F249+F258+F269+L245+L253+L263+L269+Q242</f>
        <v>473284</v>
      </c>
      <c r="R250" s="43"/>
      <c r="S250" s="3758"/>
      <c r="T250" s="3759"/>
      <c r="U250" s="3759"/>
      <c r="V250" s="3759"/>
      <c r="W250" s="3760"/>
      <c r="X250" s="253"/>
      <c r="Y250" s="253"/>
      <c r="Z250" s="253"/>
      <c r="AA250" s="253"/>
      <c r="AB250" s="253"/>
      <c r="AC250" s="253"/>
      <c r="AD250" s="253"/>
      <c r="AE250" s="253"/>
      <c r="AF250" s="253"/>
      <c r="AG250" s="253"/>
      <c r="AH250" s="253"/>
      <c r="AI250" s="253"/>
      <c r="AJ250" s="253"/>
      <c r="AK250" s="253"/>
      <c r="AL250" s="253"/>
      <c r="AM250" s="253"/>
      <c r="AN250" s="253"/>
      <c r="AO250" s="253"/>
      <c r="AP250" s="253"/>
      <c r="AQ250" s="253"/>
      <c r="AR250" s="253"/>
      <c r="AS250" s="253"/>
      <c r="AT250" s="253"/>
      <c r="AU250" s="253"/>
      <c r="AV250" s="253"/>
      <c r="AW250" s="253"/>
      <c r="AX250" s="253"/>
      <c r="AY250" s="253"/>
      <c r="AZ250" s="253"/>
      <c r="BA250" s="253"/>
      <c r="BB250" s="253"/>
      <c r="BC250" s="253"/>
      <c r="BD250" s="253"/>
      <c r="BE250" s="253"/>
      <c r="BF250" s="253"/>
      <c r="BG250" s="253"/>
      <c r="BH250" s="253"/>
      <c r="BI250" s="253"/>
      <c r="BJ250" s="253"/>
      <c r="BK250" s="253"/>
      <c r="BL250" s="253"/>
      <c r="BM250" s="253"/>
      <c r="BN250" s="253"/>
      <c r="BO250" s="253"/>
      <c r="BP250" s="253"/>
      <c r="BQ250" s="253"/>
      <c r="BR250" s="253"/>
      <c r="BS250" s="253"/>
      <c r="BT250" s="253"/>
      <c r="BU250" s="253"/>
      <c r="BV250" s="253"/>
      <c r="BW250" s="253"/>
      <c r="BX250" s="253"/>
      <c r="BY250" s="253"/>
      <c r="BZ250" s="253"/>
      <c r="CA250" s="253"/>
      <c r="CB250" s="253"/>
      <c r="CC250" s="253"/>
      <c r="CD250" s="253"/>
      <c r="CE250" s="253"/>
      <c r="CF250" s="253"/>
      <c r="CG250" s="253"/>
      <c r="CH250" s="253"/>
      <c r="CI250" s="253"/>
      <c r="CJ250" s="253"/>
      <c r="CK250" s="253"/>
      <c r="CL250" s="253"/>
      <c r="CM250" s="253"/>
      <c r="CN250" s="253"/>
      <c r="CO250" s="253"/>
      <c r="CP250" s="253"/>
      <c r="CQ250" s="253"/>
      <c r="CR250" s="253"/>
      <c r="CS250" s="253"/>
      <c r="CT250" s="253"/>
      <c r="CU250" s="253"/>
      <c r="CV250" s="253"/>
      <c r="CW250" s="253"/>
      <c r="CX250" s="253"/>
      <c r="CY250" s="253"/>
      <c r="CZ250" s="253"/>
      <c r="DA250" s="253"/>
      <c r="DB250" s="253"/>
      <c r="DC250" s="253"/>
      <c r="DD250" s="253"/>
      <c r="DE250" s="253"/>
      <c r="DF250" s="253"/>
      <c r="DG250" s="253"/>
      <c r="DH250" s="253"/>
      <c r="DI250" s="253"/>
      <c r="DJ250" s="253"/>
      <c r="DK250" s="253"/>
      <c r="DL250" s="253"/>
      <c r="DM250" s="253"/>
      <c r="DN250" s="253"/>
      <c r="DO250" s="253"/>
      <c r="DP250" s="253"/>
      <c r="DQ250" s="253"/>
      <c r="DR250" s="253"/>
      <c r="DS250" s="253"/>
      <c r="DT250" s="253"/>
      <c r="DU250" s="253"/>
      <c r="DV250" s="253"/>
      <c r="DW250" s="253"/>
      <c r="DX250" s="253"/>
      <c r="DY250" s="253"/>
      <c r="DZ250" s="253"/>
      <c r="EA250" s="253"/>
      <c r="EB250" s="253"/>
      <c r="EC250" s="253"/>
      <c r="ED250" s="253"/>
      <c r="EE250" s="253"/>
      <c r="EF250" s="253"/>
      <c r="EG250" s="253"/>
      <c r="EH250" s="253"/>
      <c r="EI250" s="253"/>
      <c r="EJ250" s="253"/>
      <c r="EK250" s="253"/>
      <c r="EL250" s="253"/>
      <c r="EM250" s="253"/>
      <c r="EN250" s="253"/>
      <c r="EO250" s="253"/>
      <c r="EP250" s="253"/>
      <c r="EQ250" s="253"/>
      <c r="ER250" s="253"/>
      <c r="ES250" s="253"/>
      <c r="ET250" s="253"/>
      <c r="EU250" s="253"/>
      <c r="EV250" s="253"/>
      <c r="EW250" s="253"/>
      <c r="EX250" s="253"/>
      <c r="EY250" s="253"/>
      <c r="EZ250" s="253"/>
      <c r="FA250" s="253"/>
      <c r="FB250" s="253"/>
      <c r="FC250" s="253"/>
      <c r="FD250" s="253"/>
      <c r="FE250" s="253"/>
      <c r="FF250" s="253"/>
      <c r="FG250" s="253"/>
      <c r="FH250" s="253"/>
      <c r="FI250" s="253"/>
      <c r="FJ250" s="253"/>
      <c r="FK250" s="253"/>
      <c r="FL250" s="253"/>
      <c r="FM250" s="253"/>
      <c r="FN250" s="253"/>
      <c r="FO250" s="253"/>
      <c r="FP250" s="253"/>
      <c r="FQ250" s="253"/>
      <c r="FR250" s="253"/>
      <c r="FS250" s="253"/>
      <c r="FT250" s="253"/>
      <c r="FU250" s="253"/>
      <c r="FV250" s="253"/>
      <c r="FW250" s="253"/>
      <c r="FX250" s="253"/>
      <c r="FY250" s="253"/>
      <c r="FZ250" s="253"/>
      <c r="GA250" s="253"/>
      <c r="GB250" s="253"/>
      <c r="GC250" s="253"/>
      <c r="GD250" s="253"/>
      <c r="GE250" s="253"/>
      <c r="GF250" s="253"/>
      <c r="GG250" s="253"/>
      <c r="GH250" s="253"/>
      <c r="GI250" s="253"/>
      <c r="GJ250" s="253"/>
      <c r="GK250" s="253"/>
      <c r="GL250" s="253"/>
      <c r="GM250" s="253"/>
      <c r="GN250" s="253"/>
      <c r="GO250" s="253"/>
      <c r="GP250" s="253"/>
      <c r="GQ250" s="253"/>
      <c r="GR250" s="253"/>
      <c r="GS250" s="253"/>
      <c r="GT250" s="253"/>
      <c r="GU250" s="253"/>
      <c r="GV250" s="253"/>
      <c r="GW250" s="253"/>
      <c r="GX250" s="253"/>
      <c r="GY250" s="253"/>
      <c r="GZ250" s="253"/>
      <c r="HA250" s="253"/>
      <c r="HB250" s="253"/>
      <c r="HC250" s="253"/>
      <c r="HD250" s="253"/>
      <c r="HE250" s="253"/>
      <c r="HF250" s="253"/>
      <c r="HG250" s="253"/>
      <c r="HH250" s="253"/>
      <c r="HI250" s="253"/>
      <c r="HJ250" s="253"/>
      <c r="HK250" s="253"/>
      <c r="HL250" s="253"/>
      <c r="HM250" s="253"/>
      <c r="HN250" s="253"/>
      <c r="HO250" s="253"/>
      <c r="HP250" s="253"/>
      <c r="HQ250" s="253"/>
      <c r="HR250" s="253"/>
      <c r="HS250" s="253"/>
      <c r="HT250" s="253"/>
      <c r="HU250" s="253"/>
      <c r="HV250" s="253"/>
      <c r="HW250" s="253"/>
      <c r="HX250" s="253"/>
      <c r="HY250" s="253"/>
      <c r="HZ250" s="253"/>
      <c r="IA250" s="253"/>
      <c r="IB250" s="253"/>
      <c r="IC250" s="253"/>
      <c r="ID250" s="253"/>
      <c r="IE250" s="253"/>
      <c r="IF250" s="253"/>
      <c r="IG250" s="253"/>
      <c r="IH250" s="253"/>
      <c r="II250" s="253"/>
      <c r="IJ250" s="253"/>
      <c r="IK250" s="253"/>
      <c r="IL250" s="253"/>
      <c r="IM250" s="253"/>
      <c r="IN250" s="253"/>
      <c r="IO250" s="253"/>
      <c r="IP250" s="253"/>
      <c r="IQ250" s="253"/>
      <c r="IR250" s="253"/>
      <c r="IS250" s="253"/>
      <c r="IT250" s="253"/>
      <c r="IU250" s="253"/>
      <c r="IV250" s="253"/>
      <c r="IW250" s="253"/>
      <c r="IX250" s="253"/>
      <c r="IY250" s="253"/>
      <c r="IZ250" s="253"/>
      <c r="JA250" s="253"/>
      <c r="JB250" s="253"/>
      <c r="JC250" s="253"/>
      <c r="JD250" s="253"/>
      <c r="JE250" s="253"/>
      <c r="JF250" s="253"/>
      <c r="JG250" s="253"/>
      <c r="JH250" s="253"/>
      <c r="JI250" s="253"/>
      <c r="JJ250" s="253"/>
      <c r="JK250" s="253"/>
      <c r="JL250" s="253"/>
      <c r="JM250" s="253"/>
      <c r="JN250" s="253"/>
      <c r="JO250" s="253"/>
      <c r="JP250" s="253"/>
      <c r="JQ250" s="253"/>
      <c r="JR250" s="253"/>
      <c r="JS250" s="253"/>
      <c r="JT250" s="253"/>
      <c r="JU250" s="253"/>
      <c r="JV250" s="253"/>
      <c r="JW250" s="253"/>
      <c r="JX250" s="253"/>
      <c r="JY250" s="253"/>
      <c r="JZ250" s="253"/>
      <c r="KA250" s="253"/>
      <c r="KB250" s="253"/>
      <c r="KC250" s="253"/>
      <c r="KD250" s="253"/>
      <c r="KE250" s="253"/>
      <c r="KF250" s="253"/>
      <c r="KG250" s="253"/>
      <c r="KH250" s="253"/>
      <c r="KI250" s="253"/>
      <c r="KJ250" s="253"/>
      <c r="KK250" s="253"/>
      <c r="KL250" s="253"/>
      <c r="KM250" s="253"/>
      <c r="KN250" s="253"/>
      <c r="KO250" s="253"/>
      <c r="KP250" s="253"/>
      <c r="KQ250" s="253"/>
      <c r="KR250" s="253"/>
      <c r="KS250" s="253"/>
      <c r="KT250" s="253"/>
      <c r="KU250" s="253"/>
      <c r="KV250" s="253"/>
      <c r="KW250" s="253"/>
      <c r="KX250" s="253"/>
      <c r="KY250" s="253"/>
      <c r="KZ250" s="253"/>
      <c r="LA250" s="253"/>
      <c r="LB250" s="253"/>
      <c r="LC250" s="253"/>
      <c r="LD250" s="253"/>
      <c r="LE250" s="253"/>
      <c r="LF250" s="1296"/>
      <c r="LG250" s="253"/>
      <c r="LH250" s="253"/>
      <c r="LI250" s="253"/>
      <c r="LJ250" s="253"/>
      <c r="LK250" s="1296"/>
      <c r="LL250" s="253"/>
      <c r="LM250" s="253"/>
      <c r="LN250" s="253"/>
      <c r="LO250" s="253"/>
      <c r="LP250" s="1296"/>
      <c r="LQ250" s="253"/>
      <c r="LR250" s="253"/>
      <c r="LS250" s="253"/>
      <c r="LT250" s="253"/>
      <c r="LU250" s="1296"/>
      <c r="LV250" s="1296"/>
      <c r="LW250" s="1296"/>
      <c r="LX250" s="1296"/>
      <c r="LY250" s="1296"/>
      <c r="LZ250" s="1296"/>
      <c r="MA250" s="1296"/>
      <c r="MB250" s="1296"/>
      <c r="MC250" s="1296"/>
      <c r="MD250" s="1296"/>
      <c r="ME250" s="1296"/>
      <c r="MF250" s="1296"/>
      <c r="MG250" s="1296"/>
      <c r="MH250" s="1296"/>
      <c r="MI250" s="1296"/>
      <c r="MJ250" s="1296"/>
      <c r="MK250" s="1296"/>
      <c r="ML250" s="1296"/>
      <c r="MM250" s="1296"/>
      <c r="MN250" s="1296"/>
      <c r="MO250" s="1296"/>
      <c r="MP250" s="1296"/>
      <c r="MQ250" s="253"/>
      <c r="MR250" s="253"/>
      <c r="MS250" s="253"/>
      <c r="MT250" s="253"/>
      <c r="MU250" s="253"/>
      <c r="MV250" s="253"/>
      <c r="MW250" s="1184"/>
      <c r="MX250" s="253"/>
      <c r="MY250" s="253"/>
      <c r="MZ250" s="253"/>
      <c r="NA250" s="253"/>
      <c r="NB250" s="253"/>
      <c r="NC250" s="253"/>
      <c r="ND250" s="253"/>
      <c r="NE250" s="253"/>
      <c r="NF250" s="253"/>
      <c r="NG250" s="253"/>
      <c r="NH250" s="253"/>
      <c r="NI250" s="253"/>
      <c r="NJ250" s="253"/>
      <c r="NK250" s="253"/>
      <c r="NL250" s="253"/>
      <c r="NM250" s="1184"/>
      <c r="NN250" s="1184"/>
      <c r="NO250" s="253"/>
      <c r="NP250" s="253"/>
      <c r="NQ250" s="253"/>
      <c r="NR250" s="253"/>
      <c r="NS250" s="253"/>
      <c r="NT250" s="253"/>
      <c r="NU250" s="253"/>
      <c r="NV250" s="253"/>
      <c r="NW250" s="253"/>
      <c r="NX250" s="253"/>
      <c r="NY250" s="253"/>
      <c r="NZ250" s="253"/>
      <c r="OA250" s="253"/>
      <c r="OB250" s="253"/>
      <c r="OC250" s="253"/>
      <c r="OD250" s="253"/>
      <c r="OE250" s="253"/>
      <c r="OF250" s="253"/>
      <c r="OG250" s="253"/>
      <c r="OH250" s="253"/>
      <c r="OI250" s="253"/>
      <c r="OJ250" s="253"/>
      <c r="OK250" s="253"/>
      <c r="OL250" s="253"/>
      <c r="OM250" s="253"/>
      <c r="ON250" s="253"/>
      <c r="OO250" s="253"/>
      <c r="OP250" s="253"/>
      <c r="OQ250" s="253"/>
      <c r="OR250" s="253"/>
      <c r="OS250" s="253"/>
      <c r="OT250" s="253"/>
      <c r="OU250" s="253"/>
      <c r="OV250" s="43"/>
      <c r="OW250" s="43"/>
      <c r="OX250" s="43"/>
      <c r="OY250" s="1796"/>
      <c r="OZ250" s="1799">
        <v>246</v>
      </c>
      <c r="PA250" s="43"/>
      <c r="PB250" s="43"/>
      <c r="PC250" s="43"/>
      <c r="PD250" s="43"/>
      <c r="PE250" s="43"/>
      <c r="PF250" s="43"/>
      <c r="PG250" s="43"/>
      <c r="PH250" s="43"/>
      <c r="PI250" s="43"/>
      <c r="PJ250" s="43"/>
      <c r="PK250" s="43"/>
      <c r="PL250" s="43"/>
      <c r="PM250" s="43"/>
      <c r="PN250" s="43"/>
      <c r="PO250" s="43"/>
      <c r="PP250" s="43"/>
      <c r="PQ250" s="43"/>
      <c r="PR250" s="43"/>
      <c r="PS250" s="43"/>
      <c r="PT250" s="43"/>
      <c r="PU250" s="43"/>
      <c r="PV250" s="43"/>
      <c r="PW250" s="43"/>
      <c r="PX250" s="43"/>
      <c r="PY250" s="43"/>
      <c r="PZ250" s="43"/>
      <c r="QA250" s="43"/>
      <c r="QB250" s="43"/>
      <c r="QC250" s="43"/>
      <c r="QD250" s="43"/>
      <c r="QE250" s="43"/>
      <c r="QF250" s="43"/>
      <c r="QG250" s="43"/>
      <c r="QH250" s="43"/>
      <c r="QI250" s="43"/>
      <c r="QJ250" s="43"/>
      <c r="QK250" s="43"/>
      <c r="QL250" s="43"/>
      <c r="QM250" s="43"/>
      <c r="QN250" s="43"/>
      <c r="QO250" s="43"/>
      <c r="QP250" s="43"/>
      <c r="QQ250" s="43"/>
      <c r="QR250" s="43"/>
      <c r="QS250" s="43"/>
      <c r="QT250" s="43"/>
      <c r="QU250" s="43"/>
      <c r="QV250" s="43"/>
      <c r="QW250" s="43"/>
      <c r="QX250" s="43"/>
      <c r="QY250" s="43"/>
      <c r="QZ250" s="43"/>
      <c r="RA250" s="43"/>
      <c r="RB250" s="43"/>
      <c r="RC250" s="43"/>
      <c r="RD250" s="43"/>
      <c r="RE250" s="43"/>
      <c r="RF250" s="43"/>
      <c r="RG250" s="43"/>
      <c r="RH250" s="43"/>
      <c r="RI250" s="43"/>
      <c r="RJ250" s="43"/>
      <c r="RK250" s="43"/>
      <c r="RL250" s="43"/>
      <c r="RM250" s="43"/>
      <c r="RN250" s="43"/>
      <c r="RO250" s="43"/>
      <c r="RP250" s="43"/>
      <c r="RQ250" s="43"/>
      <c r="RR250" s="43"/>
      <c r="RS250" s="43"/>
      <c r="RT250" s="43"/>
      <c r="RU250" s="43"/>
      <c r="RV250" s="43"/>
      <c r="RW250" s="43"/>
      <c r="RX250" s="43"/>
      <c r="RY250" s="43"/>
      <c r="RZ250" s="43"/>
      <c r="SA250" s="43"/>
      <c r="SB250" s="43"/>
      <c r="SC250" s="43"/>
      <c r="SD250" s="43"/>
      <c r="SE250" s="43"/>
      <c r="SF250" s="43"/>
      <c r="SG250" s="43"/>
      <c r="SH250" s="43"/>
      <c r="SI250" s="43"/>
      <c r="SJ250" s="43"/>
      <c r="SK250" s="43"/>
      <c r="SL250" s="43"/>
      <c r="SM250" s="43"/>
      <c r="SN250" s="43"/>
      <c r="SO250" s="43"/>
      <c r="SP250" s="43"/>
      <c r="SQ250" s="43"/>
      <c r="SR250" s="43"/>
      <c r="SS250" s="43"/>
      <c r="ST250" s="43"/>
      <c r="SU250" s="43"/>
      <c r="SV250" s="43"/>
      <c r="SW250" s="43"/>
      <c r="SX250" s="43"/>
      <c r="SY250" s="43"/>
      <c r="SZ250" s="43"/>
      <c r="TA250" s="43"/>
      <c r="TB250" s="43"/>
      <c r="TC250" s="43"/>
      <c r="TD250" s="43"/>
      <c r="TE250" s="43"/>
      <c r="TF250" s="43"/>
      <c r="TG250" s="43"/>
      <c r="TH250" s="43"/>
    </row>
    <row r="251" spans="1:528" s="41" customFormat="1" ht="16.5" customHeight="1">
      <c r="A251" s="43"/>
      <c r="B251" s="3" t="s">
        <v>1310</v>
      </c>
      <c r="C251" s="43"/>
      <c r="D251" s="2375"/>
      <c r="E251" s="43"/>
      <c r="F251" s="43"/>
      <c r="G251" s="43"/>
      <c r="H251" s="43"/>
      <c r="I251" s="43" t="s">
        <v>1311</v>
      </c>
      <c r="K251" s="43"/>
      <c r="L251" s="3752">
        <v>491</v>
      </c>
      <c r="M251" s="3753"/>
      <c r="N251" s="1778">
        <f t="shared" si="697"/>
        <v>5.114583333333333</v>
      </c>
      <c r="O251" s="23" t="s">
        <v>1312</v>
      </c>
      <c r="P251" s="219">
        <f>+Q250/P76</f>
        <v>4930.041666666667</v>
      </c>
      <c r="R251" s="2376"/>
      <c r="S251" s="3758"/>
      <c r="T251" s="3759"/>
      <c r="U251" s="3759"/>
      <c r="V251" s="3759"/>
      <c r="W251" s="3760"/>
      <c r="X251" s="251"/>
      <c r="Y251" s="253"/>
      <c r="Z251" s="253"/>
      <c r="AA251" s="253"/>
      <c r="AB251" s="253"/>
      <c r="AC251" s="251"/>
      <c r="AD251" s="253"/>
      <c r="AE251" s="253"/>
      <c r="AF251" s="253"/>
      <c r="AG251" s="253"/>
      <c r="AH251" s="251"/>
      <c r="AI251" s="253"/>
      <c r="AJ251" s="253"/>
      <c r="AK251" s="253"/>
      <c r="AL251" s="253"/>
      <c r="AM251" s="251"/>
      <c r="AN251" s="253"/>
      <c r="AO251" s="253"/>
      <c r="AP251" s="253"/>
      <c r="AQ251" s="253"/>
      <c r="AR251" s="253"/>
      <c r="AS251" s="253"/>
      <c r="AT251" s="253"/>
      <c r="AU251" s="253"/>
      <c r="AV251" s="253"/>
      <c r="AW251" s="253"/>
      <c r="AX251" s="253"/>
      <c r="AY251" s="253"/>
      <c r="AZ251" s="253"/>
      <c r="BA251" s="253"/>
      <c r="BB251" s="253"/>
      <c r="BC251" s="253"/>
      <c r="BD251" s="253"/>
      <c r="BE251" s="253"/>
      <c r="BF251" s="253"/>
      <c r="BG251" s="253"/>
      <c r="BH251" s="253"/>
      <c r="BI251" s="253"/>
      <c r="BJ251" s="253"/>
      <c r="BK251" s="253"/>
      <c r="BL251" s="253"/>
      <c r="BM251" s="253"/>
      <c r="BN251" s="253"/>
      <c r="BO251" s="253"/>
      <c r="BP251" s="253"/>
      <c r="BQ251" s="253"/>
      <c r="BR251" s="253"/>
      <c r="BS251" s="253"/>
      <c r="BT251" s="253"/>
      <c r="BU251" s="253"/>
      <c r="BV251" s="253"/>
      <c r="BW251" s="253"/>
      <c r="BX251" s="253"/>
      <c r="BY251" s="253"/>
      <c r="BZ251" s="253"/>
      <c r="CA251" s="253"/>
      <c r="CB251" s="253"/>
      <c r="CC251" s="253"/>
      <c r="CD251" s="253"/>
      <c r="CE251" s="253"/>
      <c r="CF251" s="253"/>
      <c r="CG251" s="253"/>
      <c r="CH251" s="253"/>
      <c r="CI251" s="253"/>
      <c r="CJ251" s="253"/>
      <c r="CK251" s="253"/>
      <c r="CL251" s="253"/>
      <c r="CM251" s="253"/>
      <c r="CN251" s="253"/>
      <c r="CO251" s="253"/>
      <c r="CP251" s="253"/>
      <c r="CQ251" s="253"/>
      <c r="CR251" s="253"/>
      <c r="CS251" s="253"/>
      <c r="CT251" s="253"/>
      <c r="CU251" s="253"/>
      <c r="CV251" s="253"/>
      <c r="CW251" s="253"/>
      <c r="CX251" s="253"/>
      <c r="CY251" s="253"/>
      <c r="CZ251" s="253"/>
      <c r="DA251" s="253"/>
      <c r="DB251" s="253"/>
      <c r="DC251" s="253"/>
      <c r="DD251" s="253"/>
      <c r="DE251" s="253"/>
      <c r="DF251" s="253"/>
      <c r="DG251" s="253"/>
      <c r="DH251" s="253"/>
      <c r="DI251" s="253"/>
      <c r="DJ251" s="253"/>
      <c r="DK251" s="253"/>
      <c r="DL251" s="253"/>
      <c r="DM251" s="253"/>
      <c r="DN251" s="253"/>
      <c r="DO251" s="253"/>
      <c r="DP251" s="253"/>
      <c r="DQ251" s="253"/>
      <c r="DR251" s="253"/>
      <c r="DS251" s="253"/>
      <c r="DT251" s="253"/>
      <c r="DU251" s="253"/>
      <c r="DV251" s="253"/>
      <c r="DW251" s="253"/>
      <c r="DX251" s="253"/>
      <c r="DY251" s="253"/>
      <c r="DZ251" s="253"/>
      <c r="EA251" s="253"/>
      <c r="EB251" s="253"/>
      <c r="EC251" s="253"/>
      <c r="ED251" s="253"/>
      <c r="EE251" s="253"/>
      <c r="EF251" s="253"/>
      <c r="EG251" s="253"/>
      <c r="EH251" s="253"/>
      <c r="EI251" s="253"/>
      <c r="EJ251" s="253"/>
      <c r="EK251" s="253"/>
      <c r="EL251" s="253"/>
      <c r="EM251" s="253"/>
      <c r="EN251" s="253"/>
      <c r="EO251" s="253"/>
      <c r="EP251" s="253"/>
      <c r="EQ251" s="253"/>
      <c r="ER251" s="253"/>
      <c r="ES251" s="253"/>
      <c r="ET251" s="253"/>
      <c r="EU251" s="253"/>
      <c r="EV251" s="253"/>
      <c r="EW251" s="253"/>
      <c r="EX251" s="253"/>
      <c r="EY251" s="253"/>
      <c r="EZ251" s="253"/>
      <c r="FA251" s="253"/>
      <c r="FB251" s="253"/>
      <c r="FC251" s="253"/>
      <c r="FD251" s="253"/>
      <c r="FE251" s="253"/>
      <c r="FF251" s="253"/>
      <c r="FG251" s="253"/>
      <c r="FH251" s="253"/>
      <c r="FI251" s="253"/>
      <c r="FJ251" s="253"/>
      <c r="FK251" s="253"/>
      <c r="FL251" s="253"/>
      <c r="FM251" s="253"/>
      <c r="FN251" s="253"/>
      <c r="FO251" s="253"/>
      <c r="FP251" s="253"/>
      <c r="FQ251" s="253"/>
      <c r="FR251" s="253"/>
      <c r="FS251" s="253"/>
      <c r="FT251" s="253"/>
      <c r="FU251" s="253"/>
      <c r="FV251" s="253"/>
      <c r="FW251" s="253"/>
      <c r="FX251" s="253"/>
      <c r="FY251" s="253"/>
      <c r="FZ251" s="253"/>
      <c r="GA251" s="253"/>
      <c r="GB251" s="253"/>
      <c r="GC251" s="253"/>
      <c r="GD251" s="253"/>
      <c r="GE251" s="253"/>
      <c r="GF251" s="253"/>
      <c r="GG251" s="253"/>
      <c r="GH251" s="253"/>
      <c r="GI251" s="253"/>
      <c r="GJ251" s="253"/>
      <c r="GK251" s="253"/>
      <c r="GL251" s="253"/>
      <c r="GM251" s="253"/>
      <c r="GN251" s="253"/>
      <c r="GO251" s="253"/>
      <c r="GP251" s="253"/>
      <c r="GQ251" s="253"/>
      <c r="GR251" s="253"/>
      <c r="GS251" s="253"/>
      <c r="GT251" s="253"/>
      <c r="GU251" s="253"/>
      <c r="GV251" s="253"/>
      <c r="GW251" s="253"/>
      <c r="GX251" s="253"/>
      <c r="GY251" s="253"/>
      <c r="GZ251" s="253"/>
      <c r="HA251" s="253"/>
      <c r="HB251" s="253"/>
      <c r="HC251" s="253"/>
      <c r="HD251" s="253"/>
      <c r="HE251" s="253"/>
      <c r="HF251" s="253"/>
      <c r="HG251" s="253"/>
      <c r="HH251" s="253"/>
      <c r="HI251" s="253"/>
      <c r="HJ251" s="253"/>
      <c r="HK251" s="253"/>
      <c r="HL251" s="253"/>
      <c r="HM251" s="253"/>
      <c r="HN251" s="253"/>
      <c r="HO251" s="253"/>
      <c r="HP251" s="253"/>
      <c r="HQ251" s="253"/>
      <c r="HR251" s="253"/>
      <c r="HS251" s="253"/>
      <c r="HT251" s="253"/>
      <c r="HU251" s="253"/>
      <c r="HV251" s="253"/>
      <c r="HW251" s="253"/>
      <c r="HX251" s="253"/>
      <c r="HY251" s="253"/>
      <c r="HZ251" s="253"/>
      <c r="IA251" s="253"/>
      <c r="IB251" s="253"/>
      <c r="IC251" s="253"/>
      <c r="ID251" s="253"/>
      <c r="IE251" s="253"/>
      <c r="IF251" s="253"/>
      <c r="IG251" s="253"/>
      <c r="IH251" s="253"/>
      <c r="II251" s="253"/>
      <c r="IJ251" s="253"/>
      <c r="IK251" s="253"/>
      <c r="IL251" s="253"/>
      <c r="IM251" s="253"/>
      <c r="IN251" s="253"/>
      <c r="IO251" s="253"/>
      <c r="IP251" s="253"/>
      <c r="IQ251" s="253"/>
      <c r="IR251" s="253"/>
      <c r="IS251" s="253"/>
      <c r="IT251" s="253"/>
      <c r="IU251" s="253"/>
      <c r="IV251" s="253"/>
      <c r="IW251" s="253"/>
      <c r="IX251" s="253"/>
      <c r="IY251" s="253"/>
      <c r="IZ251" s="253"/>
      <c r="JA251" s="253"/>
      <c r="JB251" s="253"/>
      <c r="JC251" s="253"/>
      <c r="JD251" s="253"/>
      <c r="JE251" s="253"/>
      <c r="JF251" s="253"/>
      <c r="JG251" s="253"/>
      <c r="JH251" s="253"/>
      <c r="JI251" s="253"/>
      <c r="JJ251" s="253"/>
      <c r="JK251" s="253"/>
      <c r="JL251" s="253"/>
      <c r="JM251" s="253"/>
      <c r="JN251" s="253"/>
      <c r="JO251" s="253"/>
      <c r="JP251" s="253"/>
      <c r="JQ251" s="253"/>
      <c r="JR251" s="253"/>
      <c r="JS251" s="253"/>
      <c r="JT251" s="253"/>
      <c r="JU251" s="253"/>
      <c r="JV251" s="253"/>
      <c r="JW251" s="253"/>
      <c r="JX251" s="253"/>
      <c r="JY251" s="253"/>
      <c r="JZ251" s="253"/>
      <c r="KA251" s="253"/>
      <c r="KB251" s="253"/>
      <c r="KC251" s="253"/>
      <c r="KD251" s="253"/>
      <c r="KE251" s="253"/>
      <c r="KF251" s="253"/>
      <c r="KG251" s="253"/>
      <c r="KH251" s="253"/>
      <c r="KI251" s="253"/>
      <c r="KJ251" s="253"/>
      <c r="KK251" s="253"/>
      <c r="KL251" s="253"/>
      <c r="KM251" s="253"/>
      <c r="KN251" s="253"/>
      <c r="KO251" s="253"/>
      <c r="KP251" s="253"/>
      <c r="KQ251" s="253"/>
      <c r="KR251" s="253"/>
      <c r="KS251" s="253"/>
      <c r="KT251" s="253"/>
      <c r="KU251" s="253"/>
      <c r="KV251" s="253"/>
      <c r="KW251" s="253"/>
      <c r="KX251" s="253"/>
      <c r="KY251" s="253"/>
      <c r="KZ251" s="253"/>
      <c r="LA251" s="253"/>
      <c r="LB251" s="253"/>
      <c r="LC251" s="253"/>
      <c r="LD251" s="253"/>
      <c r="LE251" s="253"/>
      <c r="LF251" s="1296"/>
      <c r="LG251" s="253"/>
      <c r="LH251" s="253"/>
      <c r="LI251" s="253"/>
      <c r="LJ251" s="253"/>
      <c r="LK251" s="1296"/>
      <c r="LL251" s="253"/>
      <c r="LM251" s="253"/>
      <c r="LN251" s="253"/>
      <c r="LO251" s="253"/>
      <c r="LP251" s="1296"/>
      <c r="LQ251" s="253"/>
      <c r="LR251" s="253"/>
      <c r="LS251" s="253"/>
      <c r="LT251" s="253"/>
      <c r="LU251" s="1296"/>
      <c r="LV251" s="1296"/>
      <c r="LW251" s="1296"/>
      <c r="LX251" s="1296"/>
      <c r="LY251" s="1296"/>
      <c r="LZ251" s="1296"/>
      <c r="MA251" s="1296"/>
      <c r="MB251" s="1296"/>
      <c r="MC251" s="1296"/>
      <c r="MD251" s="1296"/>
      <c r="ME251" s="1296"/>
      <c r="MF251" s="1296"/>
      <c r="MG251" s="1296"/>
      <c r="MH251" s="1296"/>
      <c r="MI251" s="1296"/>
      <c r="MJ251" s="1296"/>
      <c r="MK251" s="1296"/>
      <c r="ML251" s="1296"/>
      <c r="MM251" s="1296"/>
      <c r="MN251" s="1296"/>
      <c r="MO251" s="1296"/>
      <c r="MP251" s="1296"/>
      <c r="MQ251" s="253"/>
      <c r="MR251" s="253"/>
      <c r="MS251" s="253"/>
      <c r="MT251" s="253"/>
      <c r="MU251" s="253"/>
      <c r="MV251" s="253"/>
      <c r="MW251" s="1184"/>
      <c r="MX251" s="253"/>
      <c r="MY251" s="253"/>
      <c r="MZ251" s="253"/>
      <c r="NA251" s="253"/>
      <c r="NB251" s="253"/>
      <c r="NC251" s="253"/>
      <c r="ND251" s="253"/>
      <c r="NE251" s="253"/>
      <c r="NF251" s="253"/>
      <c r="NG251" s="253"/>
      <c r="NH251" s="253"/>
      <c r="NI251" s="253"/>
      <c r="NJ251" s="253"/>
      <c r="NK251" s="253"/>
      <c r="NL251" s="253"/>
      <c r="NM251" s="1184"/>
      <c r="NN251" s="1184"/>
      <c r="NO251" s="253"/>
      <c r="NP251" s="253"/>
      <c r="NQ251" s="253"/>
      <c r="NR251" s="253"/>
      <c r="NS251" s="253"/>
      <c r="NT251" s="253"/>
      <c r="NU251" s="253"/>
      <c r="NV251" s="253"/>
      <c r="NW251" s="253"/>
      <c r="NX251" s="253"/>
      <c r="NY251" s="253"/>
      <c r="NZ251" s="253"/>
      <c r="OA251" s="253"/>
      <c r="OB251" s="253"/>
      <c r="OC251" s="253"/>
      <c r="OD251" s="253"/>
      <c r="OE251" s="253"/>
      <c r="OF251" s="253"/>
      <c r="OG251" s="253"/>
      <c r="OH251" s="253"/>
      <c r="OI251" s="253"/>
      <c r="OJ251" s="253"/>
      <c r="OK251" s="253"/>
      <c r="OL251" s="253"/>
      <c r="OM251" s="253"/>
      <c r="ON251" s="253"/>
      <c r="OO251" s="253"/>
      <c r="OP251" s="253"/>
      <c r="OQ251" s="253"/>
      <c r="OR251" s="253"/>
      <c r="OS251" s="253"/>
      <c r="OT251" s="253"/>
      <c r="OU251" s="253"/>
      <c r="OV251" s="43"/>
      <c r="OW251" s="43"/>
      <c r="OX251" s="43"/>
      <c r="OY251" s="1796" t="s">
        <v>1313</v>
      </c>
      <c r="OZ251" s="1798">
        <v>247</v>
      </c>
      <c r="PA251" s="43"/>
      <c r="PB251" s="43"/>
      <c r="PC251" s="43"/>
      <c r="PD251" s="43"/>
      <c r="PE251" s="43"/>
      <c r="PF251" s="43"/>
      <c r="PG251" s="43"/>
      <c r="PH251" s="43"/>
      <c r="PI251" s="43"/>
      <c r="PJ251" s="43"/>
      <c r="PK251" s="43"/>
      <c r="PL251" s="43"/>
      <c r="PM251" s="43"/>
      <c r="PN251" s="43"/>
      <c r="PO251" s="43"/>
      <c r="PP251" s="43"/>
      <c r="PQ251" s="43"/>
      <c r="PR251" s="43"/>
      <c r="PS251" s="43"/>
      <c r="PT251" s="43"/>
      <c r="PU251" s="43"/>
      <c r="PV251" s="43"/>
      <c r="PW251" s="43"/>
      <c r="PX251" s="43"/>
      <c r="PY251" s="43"/>
      <c r="PZ251" s="43"/>
      <c r="QA251" s="43"/>
      <c r="QB251" s="43"/>
      <c r="QC251" s="43"/>
      <c r="QD251" s="43"/>
      <c r="QE251" s="43"/>
      <c r="QF251" s="43"/>
      <c r="QG251" s="43"/>
      <c r="QH251" s="43"/>
      <c r="QI251" s="43"/>
      <c r="QJ251" s="43"/>
      <c r="QK251" s="43"/>
      <c r="QL251" s="43"/>
      <c r="QM251" s="43"/>
      <c r="QN251" s="43"/>
      <c r="QO251" s="43"/>
      <c r="QP251" s="43"/>
      <c r="QQ251" s="43"/>
      <c r="QR251" s="43"/>
      <c r="QS251" s="43"/>
      <c r="QT251" s="43"/>
      <c r="QU251" s="43"/>
      <c r="QV251" s="43"/>
      <c r="QW251" s="43"/>
      <c r="QX251" s="43"/>
      <c r="QY251" s="43"/>
      <c r="QZ251" s="43"/>
      <c r="RA251" s="43"/>
      <c r="RB251" s="43"/>
      <c r="RC251" s="43"/>
      <c r="RD251" s="43"/>
      <c r="RE251" s="43"/>
      <c r="RF251" s="43"/>
      <c r="RG251" s="43"/>
      <c r="RH251" s="43"/>
      <c r="RI251" s="43"/>
      <c r="RJ251" s="43"/>
      <c r="RK251" s="43"/>
      <c r="RL251" s="43"/>
      <c r="RM251" s="43"/>
      <c r="RN251" s="43"/>
      <c r="RO251" s="43"/>
      <c r="RP251" s="43"/>
      <c r="RQ251" s="43"/>
      <c r="RR251" s="43"/>
      <c r="RS251" s="43"/>
      <c r="RT251" s="43"/>
      <c r="RU251" s="43"/>
      <c r="RV251" s="43"/>
      <c r="RW251" s="43"/>
      <c r="RX251" s="43"/>
      <c r="RY251" s="43"/>
      <c r="RZ251" s="43"/>
      <c r="SA251" s="43"/>
      <c r="SB251" s="43"/>
      <c r="SC251" s="43"/>
      <c r="SD251" s="43"/>
      <c r="SE251" s="43"/>
      <c r="SF251" s="43"/>
      <c r="SG251" s="43"/>
      <c r="SH251" s="43"/>
      <c r="SI251" s="43"/>
      <c r="SJ251" s="43"/>
      <c r="SK251" s="43"/>
      <c r="SL251" s="43"/>
      <c r="SM251" s="43"/>
      <c r="SN251" s="43"/>
      <c r="SO251" s="43"/>
      <c r="SP251" s="43"/>
      <c r="SQ251" s="43"/>
      <c r="SR251" s="43"/>
      <c r="SS251" s="43"/>
      <c r="ST251" s="43"/>
      <c r="SU251" s="43"/>
      <c r="SV251" s="43"/>
      <c r="SW251" s="43"/>
      <c r="SX251" s="43"/>
      <c r="SY251" s="43"/>
      <c r="SZ251" s="43"/>
      <c r="TA251" s="43"/>
      <c r="TB251" s="43"/>
      <c r="TC251" s="43"/>
      <c r="TD251" s="43"/>
      <c r="TE251" s="43"/>
      <c r="TF251" s="43"/>
      <c r="TG251" s="43"/>
      <c r="TH251" s="43"/>
    </row>
    <row r="252" spans="1:528" s="41" customFormat="1" ht="16.5" customHeight="1" thickBot="1">
      <c r="A252" s="43"/>
      <c r="B252" s="43" t="s">
        <v>1314</v>
      </c>
      <c r="C252" s="43"/>
      <c r="D252" s="2375"/>
      <c r="E252" s="43"/>
      <c r="F252" s="3813">
        <v>20000</v>
      </c>
      <c r="G252" s="3814"/>
      <c r="H252" s="1778">
        <f>IF(OR(F252="",F252=0),"",F252/$E$58)</f>
        <v>208.33333333333334</v>
      </c>
      <c r="I252" s="3718" t="s">
        <v>1306</v>
      </c>
      <c r="J252" s="3719"/>
      <c r="K252" s="3720"/>
      <c r="L252" s="3763"/>
      <c r="M252" s="3764"/>
      <c r="N252" s="1778" t="str">
        <f t="shared" si="697"/>
        <v/>
      </c>
      <c r="P252" s="551" t="s">
        <v>1315</v>
      </c>
      <c r="Q252" s="552">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Assumptions'!$Q$36*$P$76,
IF(AND('Part I-Project Identification'!$K$30="Urban", 'Part I-Project Identification'!$N$30="MSA"),'DCA Underwriting Assumptions'!$Q$37*$P$76,
IF(AND('Part I-Project Identification'!$K$30="Rural", 'Part I-Project Identification'!$N$30="MSA",OR('Part II-Sources of Funds'!$B$10="",'Part II-Sources of Funds'!$B$10="No")),'DCA Underwriting Assumptions'!$Q$38*$P$76,
IF(AND('Part I-Project Identification'!$K$30="Rural", 'Part I-Project Identification'!$N$30="Non-MSA",OR('Part II-Sources of Funds'!$B$10="",'Part II-Sources of Funds'!$B$10="No")),'DCA Underwriting Assumptions'!$Q$39*$P$76,
IF(AND('Part I-Project Identification'!$K$30="Rural", 'Part I-Project Identification'!$N$30="Non-MSA", 'Part II-Sources of Funds'!$B$10="Yes"),"TBD by DCA",""))))))</f>
        <v>312000</v>
      </c>
      <c r="R252" s="43"/>
      <c r="S252" s="3758"/>
      <c r="T252" s="3759"/>
      <c r="U252" s="3759"/>
      <c r="V252" s="3759"/>
      <c r="W252" s="3760"/>
      <c r="X252" s="251"/>
      <c r="Y252" s="253"/>
      <c r="Z252" s="253"/>
      <c r="AA252" s="253"/>
      <c r="AB252" s="253"/>
      <c r="AC252" s="251"/>
      <c r="AD252" s="253"/>
      <c r="AE252" s="253"/>
      <c r="AF252" s="253"/>
      <c r="AG252" s="253"/>
      <c r="AH252" s="251"/>
      <c r="AI252" s="253"/>
      <c r="AJ252" s="253"/>
      <c r="AK252" s="253"/>
      <c r="AL252" s="253"/>
      <c r="AM252" s="251"/>
      <c r="AN252" s="253"/>
      <c r="AO252" s="253"/>
      <c r="AP252" s="253"/>
      <c r="AQ252" s="253"/>
      <c r="AR252" s="253"/>
      <c r="AS252" s="253"/>
      <c r="AT252" s="253"/>
      <c r="AU252" s="253"/>
      <c r="AV252" s="253"/>
      <c r="AW252" s="253"/>
      <c r="AX252" s="253"/>
      <c r="AY252" s="253"/>
      <c r="AZ252" s="253"/>
      <c r="BA252" s="253"/>
      <c r="BB252" s="253"/>
      <c r="BC252" s="253"/>
      <c r="BD252" s="253"/>
      <c r="BE252" s="253"/>
      <c r="BF252" s="253"/>
      <c r="BG252" s="253"/>
      <c r="BH252" s="253"/>
      <c r="BI252" s="253"/>
      <c r="BJ252" s="253"/>
      <c r="BK252" s="253"/>
      <c r="BL252" s="253"/>
      <c r="BM252" s="253"/>
      <c r="BN252" s="253"/>
      <c r="BO252" s="253"/>
      <c r="BP252" s="253"/>
      <c r="BQ252" s="253"/>
      <c r="BR252" s="253"/>
      <c r="BS252" s="253"/>
      <c r="BT252" s="253"/>
      <c r="BU252" s="253"/>
      <c r="BV252" s="253"/>
      <c r="BW252" s="253"/>
      <c r="BX252" s="253"/>
      <c r="BY252" s="253"/>
      <c r="BZ252" s="253"/>
      <c r="CA252" s="253"/>
      <c r="CB252" s="253"/>
      <c r="CC252" s="253"/>
      <c r="CD252" s="253"/>
      <c r="CE252" s="253"/>
      <c r="CF252" s="253"/>
      <c r="CG252" s="253"/>
      <c r="CH252" s="253"/>
      <c r="CI252" s="253"/>
      <c r="CJ252" s="253"/>
      <c r="CK252" s="253"/>
      <c r="CL252" s="253"/>
      <c r="CM252" s="253"/>
      <c r="CN252" s="253"/>
      <c r="CO252" s="253"/>
      <c r="CP252" s="253"/>
      <c r="CQ252" s="253"/>
      <c r="CR252" s="253"/>
      <c r="CS252" s="253"/>
      <c r="CT252" s="253"/>
      <c r="CU252" s="253"/>
      <c r="CV252" s="253"/>
      <c r="CW252" s="253"/>
      <c r="CX252" s="253"/>
      <c r="CY252" s="253"/>
      <c r="CZ252" s="253"/>
      <c r="DA252" s="253"/>
      <c r="DB252" s="253"/>
      <c r="DC252" s="253"/>
      <c r="DD252" s="253"/>
      <c r="DE252" s="253"/>
      <c r="DF252" s="253"/>
      <c r="DG252" s="253"/>
      <c r="DH252" s="253"/>
      <c r="DI252" s="253"/>
      <c r="DJ252" s="253"/>
      <c r="DK252" s="253"/>
      <c r="DL252" s="253"/>
      <c r="DM252" s="253"/>
      <c r="DN252" s="253"/>
      <c r="DO252" s="253"/>
      <c r="DP252" s="253"/>
      <c r="DQ252" s="253"/>
      <c r="DR252" s="253"/>
      <c r="DS252" s="253"/>
      <c r="DT252" s="253"/>
      <c r="DU252" s="253"/>
      <c r="DV252" s="253"/>
      <c r="DW252" s="253"/>
      <c r="DX252" s="253"/>
      <c r="DY252" s="253"/>
      <c r="DZ252" s="253"/>
      <c r="EA252" s="253"/>
      <c r="EB252" s="253"/>
      <c r="EC252" s="253"/>
      <c r="ED252" s="253"/>
      <c r="EE252" s="253"/>
      <c r="EF252" s="253"/>
      <c r="EG252" s="253"/>
      <c r="EH252" s="253"/>
      <c r="EI252" s="253"/>
      <c r="EJ252" s="253"/>
      <c r="EK252" s="253"/>
      <c r="EL252" s="253"/>
      <c r="EM252" s="253"/>
      <c r="EN252" s="253"/>
      <c r="EO252" s="253"/>
      <c r="EP252" s="253"/>
      <c r="EQ252" s="253"/>
      <c r="ER252" s="253"/>
      <c r="ES252" s="253"/>
      <c r="ET252" s="253"/>
      <c r="EU252" s="253"/>
      <c r="EV252" s="253"/>
      <c r="EW252" s="253"/>
      <c r="EX252" s="253"/>
      <c r="EY252" s="253"/>
      <c r="EZ252" s="253"/>
      <c r="FA252" s="253"/>
      <c r="FB252" s="253"/>
      <c r="FC252" s="253"/>
      <c r="FD252" s="253"/>
      <c r="FE252" s="253"/>
      <c r="FF252" s="253"/>
      <c r="FG252" s="253"/>
      <c r="FH252" s="253"/>
      <c r="FI252" s="253"/>
      <c r="FJ252" s="253"/>
      <c r="FK252" s="253"/>
      <c r="FL252" s="253"/>
      <c r="FM252" s="253"/>
      <c r="FN252" s="253"/>
      <c r="FO252" s="253"/>
      <c r="FP252" s="253"/>
      <c r="FQ252" s="253"/>
      <c r="FR252" s="253"/>
      <c r="FS252" s="253"/>
      <c r="FT252" s="253"/>
      <c r="FU252" s="253"/>
      <c r="FV252" s="253"/>
      <c r="FW252" s="253"/>
      <c r="FX252" s="253"/>
      <c r="FY252" s="253"/>
      <c r="FZ252" s="253"/>
      <c r="GA252" s="253"/>
      <c r="GB252" s="253"/>
      <c r="GC252" s="253"/>
      <c r="GD252" s="253"/>
      <c r="GE252" s="253"/>
      <c r="GF252" s="253"/>
      <c r="GG252" s="253"/>
      <c r="GH252" s="253"/>
      <c r="GI252" s="253"/>
      <c r="GJ252" s="253"/>
      <c r="GK252" s="253"/>
      <c r="GL252" s="253"/>
      <c r="GM252" s="253"/>
      <c r="GN252" s="253"/>
      <c r="GO252" s="253"/>
      <c r="GP252" s="253"/>
      <c r="GQ252" s="253"/>
      <c r="GR252" s="253"/>
      <c r="GS252" s="253"/>
      <c r="GT252" s="253"/>
      <c r="GU252" s="253"/>
      <c r="GV252" s="253"/>
      <c r="GW252" s="253"/>
      <c r="GX252" s="253"/>
      <c r="GY252" s="253"/>
      <c r="GZ252" s="253"/>
      <c r="HA252" s="253"/>
      <c r="HB252" s="253"/>
      <c r="HC252" s="253"/>
      <c r="HD252" s="253"/>
      <c r="HE252" s="253"/>
      <c r="HF252" s="253"/>
      <c r="HG252" s="253"/>
      <c r="HH252" s="253"/>
      <c r="HI252" s="253"/>
      <c r="HJ252" s="253"/>
      <c r="HK252" s="253"/>
      <c r="HL252" s="253"/>
      <c r="HM252" s="253"/>
      <c r="HN252" s="253"/>
      <c r="HO252" s="253"/>
      <c r="HP252" s="253"/>
      <c r="HQ252" s="253"/>
      <c r="HR252" s="253"/>
      <c r="HS252" s="253"/>
      <c r="HT252" s="253"/>
      <c r="HU252" s="253"/>
      <c r="HV252" s="253"/>
      <c r="HW252" s="253"/>
      <c r="HX252" s="253"/>
      <c r="HY252" s="253"/>
      <c r="HZ252" s="253"/>
      <c r="IA252" s="253"/>
      <c r="IB252" s="253"/>
      <c r="IC252" s="253"/>
      <c r="ID252" s="253"/>
      <c r="IE252" s="253"/>
      <c r="IF252" s="253"/>
      <c r="IG252" s="253"/>
      <c r="IH252" s="253"/>
      <c r="II252" s="253"/>
      <c r="IJ252" s="253"/>
      <c r="IK252" s="253"/>
      <c r="IL252" s="253"/>
      <c r="IM252" s="253"/>
      <c r="IN252" s="253"/>
      <c r="IO252" s="253"/>
      <c r="IP252" s="253"/>
      <c r="IQ252" s="253"/>
      <c r="IR252" s="253"/>
      <c r="IS252" s="253"/>
      <c r="IT252" s="253"/>
      <c r="IU252" s="253"/>
      <c r="IV252" s="253"/>
      <c r="IW252" s="253"/>
      <c r="IX252" s="253"/>
      <c r="IY252" s="253"/>
      <c r="IZ252" s="253"/>
      <c r="JA252" s="253"/>
      <c r="JB252" s="253"/>
      <c r="JC252" s="253"/>
      <c r="JD252" s="253"/>
      <c r="JE252" s="253"/>
      <c r="JF252" s="253"/>
      <c r="JG252" s="253"/>
      <c r="JH252" s="253"/>
      <c r="JI252" s="253"/>
      <c r="JJ252" s="253"/>
      <c r="JK252" s="253"/>
      <c r="JL252" s="253"/>
      <c r="JM252" s="253"/>
      <c r="JN252" s="253"/>
      <c r="JO252" s="253"/>
      <c r="JP252" s="253"/>
      <c r="JQ252" s="253"/>
      <c r="JR252" s="253"/>
      <c r="JS252" s="253"/>
      <c r="JT252" s="253"/>
      <c r="JU252" s="253"/>
      <c r="JV252" s="253"/>
      <c r="JW252" s="253"/>
      <c r="JX252" s="253"/>
      <c r="JY252" s="253"/>
      <c r="JZ252" s="253"/>
      <c r="KA252" s="253"/>
      <c r="KB252" s="253"/>
      <c r="KC252" s="253"/>
      <c r="KD252" s="253"/>
      <c r="KE252" s="253"/>
      <c r="KF252" s="253"/>
      <c r="KG252" s="253"/>
      <c r="KH252" s="253"/>
      <c r="KI252" s="253"/>
      <c r="KJ252" s="253"/>
      <c r="KK252" s="253"/>
      <c r="KL252" s="253"/>
      <c r="KM252" s="253"/>
      <c r="KN252" s="253"/>
      <c r="KO252" s="253"/>
      <c r="KP252" s="253"/>
      <c r="KQ252" s="253"/>
      <c r="KR252" s="253"/>
      <c r="KS252" s="253"/>
      <c r="KT252" s="253"/>
      <c r="KU252" s="253"/>
      <c r="KV252" s="253"/>
      <c r="KW252" s="253"/>
      <c r="KX252" s="253"/>
      <c r="KY252" s="253"/>
      <c r="KZ252" s="253"/>
      <c r="LA252" s="253"/>
      <c r="LB252" s="253"/>
      <c r="LC252" s="253"/>
      <c r="LD252" s="253"/>
      <c r="LE252" s="253"/>
      <c r="LF252" s="1296"/>
      <c r="LG252" s="253"/>
      <c r="LH252" s="253"/>
      <c r="LI252" s="253"/>
      <c r="LJ252" s="253"/>
      <c r="LK252" s="1296"/>
      <c r="LL252" s="253"/>
      <c r="LM252" s="253"/>
      <c r="LN252" s="253"/>
      <c r="LO252" s="253"/>
      <c r="LP252" s="1296"/>
      <c r="LQ252" s="253"/>
      <c r="LR252" s="253"/>
      <c r="LS252" s="253"/>
      <c r="LT252" s="253"/>
      <c r="LU252" s="1296"/>
      <c r="LV252" s="1296"/>
      <c r="LW252" s="1296"/>
      <c r="LX252" s="1296"/>
      <c r="LY252" s="1296"/>
      <c r="LZ252" s="1296"/>
      <c r="MA252" s="1296"/>
      <c r="MB252" s="1296"/>
      <c r="MC252" s="1296"/>
      <c r="MD252" s="1296"/>
      <c r="ME252" s="1296"/>
      <c r="MF252" s="1296"/>
      <c r="MG252" s="1296"/>
      <c r="MH252" s="1296"/>
      <c r="MI252" s="1296"/>
      <c r="MJ252" s="1296"/>
      <c r="MK252" s="1296"/>
      <c r="ML252" s="1296"/>
      <c r="MM252" s="1296"/>
      <c r="MN252" s="1296"/>
      <c r="MO252" s="1296"/>
      <c r="MP252" s="1296"/>
      <c r="MQ252" s="253"/>
      <c r="MR252" s="253"/>
      <c r="MS252" s="253"/>
      <c r="MT252" s="253"/>
      <c r="MU252" s="253"/>
      <c r="MV252" s="253"/>
      <c r="MW252" s="1184"/>
      <c r="MX252" s="253"/>
      <c r="MY252" s="253"/>
      <c r="MZ252" s="253"/>
      <c r="NA252" s="253"/>
      <c r="NB252" s="253"/>
      <c r="NC252" s="253"/>
      <c r="ND252" s="253"/>
      <c r="NE252" s="253"/>
      <c r="NF252" s="253"/>
      <c r="NG252" s="253"/>
      <c r="NH252" s="253"/>
      <c r="NI252" s="253"/>
      <c r="NJ252" s="253"/>
      <c r="NK252" s="253"/>
      <c r="NL252" s="253"/>
      <c r="NM252" s="1184"/>
      <c r="NN252" s="1184"/>
      <c r="NO252" s="253"/>
      <c r="NP252" s="253"/>
      <c r="NQ252" s="253"/>
      <c r="NR252" s="253"/>
      <c r="NS252" s="253"/>
      <c r="NT252" s="253"/>
      <c r="NU252" s="253"/>
      <c r="NV252" s="253"/>
      <c r="NW252" s="253"/>
      <c r="NX252" s="253"/>
      <c r="NY252" s="253"/>
      <c r="NZ252" s="253"/>
      <c r="OA252" s="253"/>
      <c r="OB252" s="253"/>
      <c r="OC252" s="253"/>
      <c r="OD252" s="253"/>
      <c r="OE252" s="253"/>
      <c r="OF252" s="253"/>
      <c r="OG252" s="253"/>
      <c r="OH252" s="253"/>
      <c r="OI252" s="253"/>
      <c r="OJ252" s="253"/>
      <c r="OK252" s="253"/>
      <c r="OL252" s="253"/>
      <c r="OM252" s="253"/>
      <c r="ON252" s="253"/>
      <c r="OO252" s="253"/>
      <c r="OP252" s="253"/>
      <c r="OQ252" s="253"/>
      <c r="OR252" s="253"/>
      <c r="OS252" s="253"/>
      <c r="OT252" s="253"/>
      <c r="OU252" s="253"/>
      <c r="OV252" s="43"/>
      <c r="OW252" s="43"/>
      <c r="OX252" s="43"/>
      <c r="OY252" s="1796"/>
      <c r="OZ252" s="1799">
        <v>248</v>
      </c>
      <c r="PA252" s="43"/>
      <c r="PB252" s="43"/>
      <c r="PC252" s="43"/>
      <c r="PD252" s="43"/>
      <c r="PE252" s="43"/>
      <c r="PF252" s="43"/>
      <c r="PG252" s="43"/>
      <c r="PH252" s="43"/>
      <c r="PI252" s="43"/>
      <c r="PJ252" s="43"/>
      <c r="PK252" s="43"/>
      <c r="PL252" s="43"/>
      <c r="PM252" s="43"/>
      <c r="PN252" s="43"/>
      <c r="PO252" s="43"/>
      <c r="PP252" s="43"/>
      <c r="PQ252" s="43"/>
      <c r="PR252" s="43"/>
      <c r="PS252" s="43"/>
      <c r="PT252" s="43"/>
      <c r="PU252" s="43"/>
      <c r="PV252" s="43"/>
      <c r="PW252" s="43"/>
      <c r="PX252" s="43"/>
      <c r="PY252" s="43"/>
      <c r="PZ252" s="43"/>
      <c r="QA252" s="43"/>
      <c r="QB252" s="43"/>
      <c r="QC252" s="43"/>
      <c r="QD252" s="43"/>
      <c r="QE252" s="43"/>
      <c r="QF252" s="43"/>
      <c r="QG252" s="43"/>
      <c r="QH252" s="43"/>
      <c r="QI252" s="43"/>
      <c r="QJ252" s="43"/>
      <c r="QK252" s="43"/>
      <c r="QL252" s="43"/>
      <c r="QM252" s="43"/>
      <c r="QN252" s="43"/>
      <c r="QO252" s="43"/>
      <c r="QP252" s="43"/>
      <c r="QQ252" s="43"/>
      <c r="QR252" s="43"/>
      <c r="QS252" s="43"/>
      <c r="QT252" s="43"/>
      <c r="QU252" s="43"/>
      <c r="QV252" s="43"/>
      <c r="QW252" s="43"/>
      <c r="QX252" s="43"/>
      <c r="QY252" s="43"/>
      <c r="QZ252" s="43"/>
      <c r="RA252" s="43"/>
      <c r="RB252" s="43"/>
      <c r="RC252" s="43"/>
      <c r="RD252" s="43"/>
      <c r="RE252" s="43"/>
      <c r="RF252" s="43"/>
      <c r="RG252" s="43"/>
      <c r="RH252" s="43"/>
      <c r="RI252" s="43"/>
      <c r="RJ252" s="43"/>
      <c r="RK252" s="43"/>
      <c r="RL252" s="43"/>
      <c r="RM252" s="43"/>
      <c r="RN252" s="43"/>
      <c r="RO252" s="43"/>
      <c r="RP252" s="43"/>
      <c r="RQ252" s="43"/>
      <c r="RR252" s="43"/>
      <c r="RS252" s="43"/>
      <c r="RT252" s="43"/>
      <c r="RU252" s="43"/>
      <c r="RV252" s="43"/>
      <c r="RW252" s="43"/>
      <c r="RX252" s="43"/>
      <c r="RY252" s="43"/>
      <c r="RZ252" s="43"/>
      <c r="SA252" s="43"/>
      <c r="SB252" s="43"/>
      <c r="SC252" s="43"/>
      <c r="SD252" s="43"/>
      <c r="SE252" s="43"/>
      <c r="SF252" s="43"/>
      <c r="SG252" s="43"/>
      <c r="SH252" s="43"/>
      <c r="SI252" s="43"/>
      <c r="SJ252" s="43"/>
      <c r="SK252" s="43"/>
      <c r="SL252" s="43"/>
      <c r="SM252" s="43"/>
      <c r="SN252" s="43"/>
      <c r="SO252" s="43"/>
      <c r="SP252" s="43"/>
      <c r="SQ252" s="43"/>
      <c r="SR252" s="43"/>
      <c r="SS252" s="43"/>
      <c r="ST252" s="43"/>
      <c r="SU252" s="43"/>
      <c r="SV252" s="43"/>
      <c r="SW252" s="43"/>
      <c r="SX252" s="43"/>
      <c r="SY252" s="43"/>
      <c r="SZ252" s="43"/>
      <c r="TA252" s="43"/>
      <c r="TB252" s="43"/>
      <c r="TC252" s="43"/>
      <c r="TD252" s="43"/>
      <c r="TE252" s="43"/>
      <c r="TF252" s="43"/>
      <c r="TG252" s="43"/>
      <c r="TH252" s="43"/>
    </row>
    <row r="253" spans="1:528" s="41" customFormat="1" ht="16.5" customHeight="1" thickTop="1">
      <c r="A253" s="43"/>
      <c r="B253" s="43" t="s">
        <v>1316</v>
      </c>
      <c r="C253" s="43"/>
      <c r="D253" s="2375"/>
      <c r="E253" s="43"/>
      <c r="F253" s="3754">
        <v>8000</v>
      </c>
      <c r="G253" s="3755"/>
      <c r="H253" s="1778">
        <f t="shared" ref="H253:H258" si="698">IF(OR(F253="",F253=0),"",F253/$E$58)</f>
        <v>83.333333333333329</v>
      </c>
      <c r="I253" s="3"/>
      <c r="K253" s="5" t="s">
        <v>532</v>
      </c>
      <c r="L253" s="3723">
        <f>SUM(L249:L252)</f>
        <v>491</v>
      </c>
      <c r="M253" s="3724"/>
      <c r="N253" s="1778">
        <f t="shared" si="697"/>
        <v>5.114583333333333</v>
      </c>
      <c r="O253" s="3812" t="s">
        <v>1317</v>
      </c>
      <c r="P253" s="3812"/>
      <c r="Q253" s="3812"/>
      <c r="R253" s="43"/>
      <c r="S253" s="3758"/>
      <c r="T253" s="3759"/>
      <c r="U253" s="3759"/>
      <c r="V253" s="3759"/>
      <c r="W253" s="3760"/>
      <c r="X253" s="251"/>
      <c r="Y253" s="253"/>
      <c r="Z253" s="253"/>
      <c r="AA253" s="253"/>
      <c r="AB253" s="253"/>
      <c r="AC253" s="251"/>
      <c r="AD253" s="253"/>
      <c r="AE253" s="253"/>
      <c r="AF253" s="253"/>
      <c r="AG253" s="253"/>
      <c r="AH253" s="251"/>
      <c r="AI253" s="253"/>
      <c r="AJ253" s="253"/>
      <c r="AK253" s="253"/>
      <c r="AL253" s="253"/>
      <c r="AM253" s="251"/>
      <c r="AN253" s="253"/>
      <c r="AO253" s="253"/>
      <c r="AP253" s="253"/>
      <c r="AQ253" s="253"/>
      <c r="AR253" s="253"/>
      <c r="AS253" s="253"/>
      <c r="AT253" s="253"/>
      <c r="AU253" s="253"/>
      <c r="AV253" s="253"/>
      <c r="AW253" s="253"/>
      <c r="AX253" s="253"/>
      <c r="AY253" s="253"/>
      <c r="AZ253" s="253"/>
      <c r="BA253" s="253"/>
      <c r="BB253" s="253"/>
      <c r="BC253" s="253"/>
      <c r="BD253" s="253"/>
      <c r="BE253" s="253"/>
      <c r="BF253" s="253"/>
      <c r="BG253" s="253"/>
      <c r="BH253" s="253"/>
      <c r="BI253" s="253"/>
      <c r="BJ253" s="253"/>
      <c r="BK253" s="253"/>
      <c r="BL253" s="253"/>
      <c r="BM253" s="253"/>
      <c r="BN253" s="253"/>
      <c r="BO253" s="253"/>
      <c r="BP253" s="253"/>
      <c r="BQ253" s="253"/>
      <c r="BR253" s="253"/>
      <c r="BS253" s="253"/>
      <c r="BT253" s="253"/>
      <c r="BU253" s="253"/>
      <c r="BV253" s="253"/>
      <c r="BW253" s="253"/>
      <c r="BX253" s="253"/>
      <c r="BY253" s="253"/>
      <c r="BZ253" s="253"/>
      <c r="CA253" s="253"/>
      <c r="CB253" s="253"/>
      <c r="CC253" s="253"/>
      <c r="CD253" s="253"/>
      <c r="CE253" s="253"/>
      <c r="CF253" s="253"/>
      <c r="CG253" s="253"/>
      <c r="CH253" s="253"/>
      <c r="CI253" s="253"/>
      <c r="CJ253" s="253"/>
      <c r="CK253" s="253"/>
      <c r="CL253" s="253"/>
      <c r="CM253" s="253"/>
      <c r="CN253" s="253"/>
      <c r="CO253" s="253"/>
      <c r="CP253" s="253"/>
      <c r="CQ253" s="253"/>
      <c r="CR253" s="253"/>
      <c r="CS253" s="253"/>
      <c r="CT253" s="253"/>
      <c r="CU253" s="253"/>
      <c r="CV253" s="253"/>
      <c r="CW253" s="253"/>
      <c r="CX253" s="253"/>
      <c r="CY253" s="253"/>
      <c r="CZ253" s="253"/>
      <c r="DA253" s="253"/>
      <c r="DB253" s="253"/>
      <c r="DC253" s="253"/>
      <c r="DD253" s="253"/>
      <c r="DE253" s="253"/>
      <c r="DF253" s="253"/>
      <c r="DG253" s="253"/>
      <c r="DH253" s="253"/>
      <c r="DI253" s="253"/>
      <c r="DJ253" s="253"/>
      <c r="DK253" s="253"/>
      <c r="DL253" s="253"/>
      <c r="DM253" s="253"/>
      <c r="DN253" s="253"/>
      <c r="DO253" s="253"/>
      <c r="DP253" s="253"/>
      <c r="DQ253" s="253"/>
      <c r="DR253" s="253"/>
      <c r="DS253" s="253"/>
      <c r="DT253" s="253"/>
      <c r="DU253" s="253"/>
      <c r="DV253" s="253"/>
      <c r="DW253" s="253"/>
      <c r="DX253" s="253"/>
      <c r="DY253" s="253"/>
      <c r="DZ253" s="253"/>
      <c r="EA253" s="253"/>
      <c r="EB253" s="253"/>
      <c r="EC253" s="253"/>
      <c r="ED253" s="253"/>
      <c r="EE253" s="253"/>
      <c r="EF253" s="253"/>
      <c r="EG253" s="253"/>
      <c r="EH253" s="253"/>
      <c r="EI253" s="253"/>
      <c r="EJ253" s="253"/>
      <c r="EK253" s="253"/>
      <c r="EL253" s="253"/>
      <c r="EM253" s="253"/>
      <c r="EN253" s="253"/>
      <c r="EO253" s="253"/>
      <c r="EP253" s="253"/>
      <c r="EQ253" s="253"/>
      <c r="ER253" s="253"/>
      <c r="ES253" s="253"/>
      <c r="ET253" s="253"/>
      <c r="EU253" s="253"/>
      <c r="EV253" s="253"/>
      <c r="EW253" s="253"/>
      <c r="EX253" s="253"/>
      <c r="EY253" s="253"/>
      <c r="EZ253" s="253"/>
      <c r="FA253" s="253"/>
      <c r="FB253" s="253"/>
      <c r="FC253" s="253"/>
      <c r="FD253" s="253"/>
      <c r="FE253" s="253"/>
      <c r="FF253" s="253"/>
      <c r="FG253" s="253"/>
      <c r="FH253" s="253"/>
      <c r="FI253" s="253"/>
      <c r="FJ253" s="253"/>
      <c r="FK253" s="253"/>
      <c r="FL253" s="253"/>
      <c r="FM253" s="253"/>
      <c r="FN253" s="253"/>
      <c r="FO253" s="253"/>
      <c r="FP253" s="253"/>
      <c r="FQ253" s="253"/>
      <c r="FR253" s="253"/>
      <c r="FS253" s="253"/>
      <c r="FT253" s="253"/>
      <c r="FU253" s="253"/>
      <c r="FV253" s="253"/>
      <c r="FW253" s="253"/>
      <c r="FX253" s="253"/>
      <c r="FY253" s="253"/>
      <c r="FZ253" s="253"/>
      <c r="GA253" s="253"/>
      <c r="GB253" s="253"/>
      <c r="GC253" s="253"/>
      <c r="GD253" s="253"/>
      <c r="GE253" s="253"/>
      <c r="GF253" s="253"/>
      <c r="GG253" s="253"/>
      <c r="GH253" s="253"/>
      <c r="GI253" s="253"/>
      <c r="GJ253" s="253"/>
      <c r="GK253" s="253"/>
      <c r="GL253" s="253"/>
      <c r="GM253" s="253"/>
      <c r="GN253" s="253"/>
      <c r="GO253" s="253"/>
      <c r="GP253" s="253"/>
      <c r="GQ253" s="253"/>
      <c r="GR253" s="253"/>
      <c r="GS253" s="253"/>
      <c r="GT253" s="253"/>
      <c r="GU253" s="253"/>
      <c r="GV253" s="253"/>
      <c r="GW253" s="253"/>
      <c r="GX253" s="253"/>
      <c r="GY253" s="253"/>
      <c r="GZ253" s="253"/>
      <c r="HA253" s="253"/>
      <c r="HB253" s="253"/>
      <c r="HC253" s="253"/>
      <c r="HD253" s="253"/>
      <c r="HE253" s="253"/>
      <c r="HF253" s="253"/>
      <c r="HG253" s="253"/>
      <c r="HH253" s="253"/>
      <c r="HI253" s="253"/>
      <c r="HJ253" s="253"/>
      <c r="HK253" s="253"/>
      <c r="HL253" s="253"/>
      <c r="HM253" s="253"/>
      <c r="HN253" s="253"/>
      <c r="HO253" s="253"/>
      <c r="HP253" s="253"/>
      <c r="HQ253" s="253"/>
      <c r="HR253" s="253"/>
      <c r="HS253" s="253"/>
      <c r="HT253" s="253"/>
      <c r="HU253" s="253"/>
      <c r="HV253" s="253"/>
      <c r="HW253" s="253"/>
      <c r="HX253" s="253"/>
      <c r="HY253" s="253"/>
      <c r="HZ253" s="253"/>
      <c r="IA253" s="253"/>
      <c r="IB253" s="253"/>
      <c r="IC253" s="253"/>
      <c r="ID253" s="253"/>
      <c r="IE253" s="253"/>
      <c r="IF253" s="253"/>
      <c r="IG253" s="253"/>
      <c r="IH253" s="253"/>
      <c r="II253" s="253"/>
      <c r="IJ253" s="253"/>
      <c r="IK253" s="253"/>
      <c r="IL253" s="253"/>
      <c r="IM253" s="253"/>
      <c r="IN253" s="253"/>
      <c r="IO253" s="253"/>
      <c r="IP253" s="253"/>
      <c r="IQ253" s="253"/>
      <c r="IR253" s="253"/>
      <c r="IS253" s="253"/>
      <c r="IT253" s="253"/>
      <c r="IU253" s="253"/>
      <c r="IV253" s="253"/>
      <c r="IW253" s="253"/>
      <c r="IX253" s="253"/>
      <c r="IY253" s="253"/>
      <c r="IZ253" s="253"/>
      <c r="JA253" s="253"/>
      <c r="JB253" s="253"/>
      <c r="JC253" s="253"/>
      <c r="JD253" s="253"/>
      <c r="JE253" s="253"/>
      <c r="JF253" s="253"/>
      <c r="JG253" s="253"/>
      <c r="JH253" s="253"/>
      <c r="JI253" s="253"/>
      <c r="JJ253" s="253"/>
      <c r="JK253" s="253"/>
      <c r="JL253" s="253"/>
      <c r="JM253" s="253"/>
      <c r="JN253" s="253"/>
      <c r="JO253" s="253"/>
      <c r="JP253" s="253"/>
      <c r="JQ253" s="253"/>
      <c r="JR253" s="253"/>
      <c r="JS253" s="253"/>
      <c r="JT253" s="253"/>
      <c r="JU253" s="253"/>
      <c r="JV253" s="253"/>
      <c r="JW253" s="253"/>
      <c r="JX253" s="253"/>
      <c r="JY253" s="253"/>
      <c r="JZ253" s="253"/>
      <c r="KA253" s="253"/>
      <c r="KB253" s="253"/>
      <c r="KC253" s="253"/>
      <c r="KD253" s="253"/>
      <c r="KE253" s="253"/>
      <c r="KF253" s="253"/>
      <c r="KG253" s="253"/>
      <c r="KH253" s="253"/>
      <c r="KI253" s="253"/>
      <c r="KJ253" s="253"/>
      <c r="KK253" s="253"/>
      <c r="KL253" s="253"/>
      <c r="KM253" s="253"/>
      <c r="KN253" s="253"/>
      <c r="KO253" s="253"/>
      <c r="KP253" s="253"/>
      <c r="KQ253" s="253"/>
      <c r="KR253" s="253"/>
      <c r="KS253" s="253"/>
      <c r="KT253" s="253"/>
      <c r="KU253" s="253"/>
      <c r="KV253" s="253"/>
      <c r="KW253" s="253"/>
      <c r="KX253" s="253"/>
      <c r="KY253" s="253"/>
      <c r="KZ253" s="253"/>
      <c r="LA253" s="253"/>
      <c r="LB253" s="253"/>
      <c r="LC253" s="253"/>
      <c r="LD253" s="253"/>
      <c r="LE253" s="253"/>
      <c r="LF253" s="1296"/>
      <c r="LG253" s="253"/>
      <c r="LH253" s="253"/>
      <c r="LI253" s="253"/>
      <c r="LJ253" s="253"/>
      <c r="LK253" s="1296"/>
      <c r="LL253" s="253"/>
      <c r="LM253" s="253"/>
      <c r="LN253" s="253"/>
      <c r="LO253" s="253"/>
      <c r="LP253" s="1296"/>
      <c r="LQ253" s="253"/>
      <c r="LR253" s="253"/>
      <c r="LS253" s="253"/>
      <c r="LT253" s="253"/>
      <c r="LU253" s="1296"/>
      <c r="LV253" s="1296"/>
      <c r="LW253" s="1296"/>
      <c r="LX253" s="1296"/>
      <c r="LY253" s="1296"/>
      <c r="LZ253" s="1296"/>
      <c r="MA253" s="1296"/>
      <c r="MB253" s="1296"/>
      <c r="MC253" s="1296"/>
      <c r="MD253" s="1296"/>
      <c r="ME253" s="1296"/>
      <c r="MF253" s="1296"/>
      <c r="MG253" s="1296"/>
      <c r="MH253" s="1296"/>
      <c r="MI253" s="1296"/>
      <c r="MJ253" s="1296"/>
      <c r="MK253" s="1296"/>
      <c r="ML253" s="1296"/>
      <c r="MM253" s="1296"/>
      <c r="MN253" s="1296"/>
      <c r="MO253" s="1296"/>
      <c r="MP253" s="1296"/>
      <c r="MQ253" s="253"/>
      <c r="MR253" s="253"/>
      <c r="MS253" s="253"/>
      <c r="MT253" s="253"/>
      <c r="MU253" s="253"/>
      <c r="MV253" s="253"/>
      <c r="MW253" s="1184"/>
      <c r="MX253" s="253"/>
      <c r="MY253" s="253"/>
      <c r="MZ253" s="253"/>
      <c r="NA253" s="253"/>
      <c r="NB253" s="253"/>
      <c r="NC253" s="253"/>
      <c r="ND253" s="253"/>
      <c r="NE253" s="253"/>
      <c r="NF253" s="253"/>
      <c r="NG253" s="253"/>
      <c r="NH253" s="253"/>
      <c r="NI253" s="253"/>
      <c r="NJ253" s="253"/>
      <c r="NK253" s="253"/>
      <c r="NL253" s="253"/>
      <c r="NM253" s="1184"/>
      <c r="NN253" s="1184"/>
      <c r="NO253" s="253"/>
      <c r="NP253" s="253"/>
      <c r="NQ253" s="253"/>
      <c r="NR253" s="253"/>
      <c r="NS253" s="253"/>
      <c r="NT253" s="253"/>
      <c r="NU253" s="253"/>
      <c r="NV253" s="253"/>
      <c r="NW253" s="253"/>
      <c r="NX253" s="253"/>
      <c r="NY253" s="253"/>
      <c r="NZ253" s="253"/>
      <c r="OA253" s="253"/>
      <c r="OB253" s="253"/>
      <c r="OC253" s="253"/>
      <c r="OD253" s="253"/>
      <c r="OE253" s="253"/>
      <c r="OF253" s="253"/>
      <c r="OG253" s="253"/>
      <c r="OH253" s="253"/>
      <c r="OI253" s="253"/>
      <c r="OJ253" s="253"/>
      <c r="OK253" s="253"/>
      <c r="OL253" s="253"/>
      <c r="OM253" s="253"/>
      <c r="ON253" s="253"/>
      <c r="OO253" s="253"/>
      <c r="OP253" s="253"/>
      <c r="OQ253" s="253"/>
      <c r="OR253" s="253"/>
      <c r="OS253" s="253"/>
      <c r="OT253" s="253"/>
      <c r="OU253" s="253"/>
      <c r="OV253" s="43"/>
      <c r="OW253" s="43"/>
      <c r="OX253" s="43"/>
      <c r="OY253" s="1796"/>
      <c r="OZ253" s="1799">
        <v>249</v>
      </c>
      <c r="PA253" s="43"/>
      <c r="PB253" s="43"/>
      <c r="PC253" s="43"/>
      <c r="PD253" s="43"/>
      <c r="PE253" s="43"/>
      <c r="PF253" s="43"/>
      <c r="PG253" s="43"/>
      <c r="PH253" s="43"/>
      <c r="PI253" s="43"/>
      <c r="PJ253" s="43"/>
      <c r="PK253" s="43"/>
      <c r="PL253" s="43"/>
      <c r="PM253" s="43"/>
      <c r="PN253" s="43"/>
      <c r="PO253" s="43"/>
      <c r="PP253" s="43"/>
      <c r="PQ253" s="43"/>
      <c r="PR253" s="43"/>
      <c r="PS253" s="43"/>
      <c r="PT253" s="43"/>
      <c r="PU253" s="43"/>
      <c r="PV253" s="43"/>
      <c r="PW253" s="43"/>
      <c r="PX253" s="43"/>
      <c r="PY253" s="43"/>
      <c r="PZ253" s="43"/>
      <c r="QA253" s="43"/>
      <c r="QB253" s="43"/>
      <c r="QC253" s="43"/>
      <c r="QD253" s="43"/>
      <c r="QE253" s="43"/>
      <c r="QF253" s="43"/>
      <c r="QG253" s="43"/>
      <c r="QH253" s="43"/>
      <c r="QI253" s="43"/>
      <c r="QJ253" s="43"/>
      <c r="QK253" s="43"/>
      <c r="QL253" s="43"/>
      <c r="QM253" s="43"/>
      <c r="QN253" s="43"/>
      <c r="QO253" s="43"/>
      <c r="QP253" s="43"/>
      <c r="QQ253" s="43"/>
      <c r="QR253" s="43"/>
      <c r="QS253" s="43"/>
      <c r="QT253" s="43"/>
      <c r="QU253" s="43"/>
      <c r="QV253" s="43"/>
      <c r="QW253" s="43"/>
      <c r="QX253" s="43"/>
      <c r="QY253" s="43"/>
      <c r="QZ253" s="43"/>
      <c r="RA253" s="43"/>
      <c r="RB253" s="43"/>
      <c r="RC253" s="43"/>
      <c r="RD253" s="43"/>
      <c r="RE253" s="43"/>
      <c r="RF253" s="43"/>
      <c r="RG253" s="43"/>
      <c r="RH253" s="43"/>
      <c r="RI253" s="43"/>
      <c r="RJ253" s="43"/>
      <c r="RK253" s="43"/>
      <c r="RL253" s="43"/>
      <c r="RM253" s="43"/>
      <c r="RN253" s="43"/>
      <c r="RO253" s="43"/>
      <c r="RP253" s="43"/>
      <c r="RQ253" s="43"/>
      <c r="RR253" s="43"/>
      <c r="RS253" s="43"/>
      <c r="RT253" s="43"/>
      <c r="RU253" s="43"/>
      <c r="RV253" s="43"/>
      <c r="RW253" s="43"/>
      <c r="RX253" s="43"/>
      <c r="RY253" s="43"/>
      <c r="RZ253" s="43"/>
      <c r="SA253" s="43"/>
      <c r="SB253" s="43"/>
      <c r="SC253" s="43"/>
      <c r="SD253" s="43"/>
      <c r="SE253" s="43"/>
      <c r="SF253" s="43"/>
      <c r="SG253" s="43"/>
      <c r="SH253" s="43"/>
      <c r="SI253" s="43"/>
      <c r="SJ253" s="43"/>
      <c r="SK253" s="43"/>
      <c r="SL253" s="43"/>
      <c r="SM253" s="43"/>
      <c r="SN253" s="43"/>
      <c r="SO253" s="43"/>
      <c r="SP253" s="43"/>
      <c r="SQ253" s="43"/>
      <c r="SR253" s="43"/>
      <c r="SS253" s="43"/>
      <c r="ST253" s="43"/>
      <c r="SU253" s="43"/>
      <c r="SV253" s="43"/>
      <c r="SW253" s="43"/>
      <c r="SX253" s="43"/>
      <c r="SY253" s="43"/>
      <c r="SZ253" s="43"/>
      <c r="TA253" s="43"/>
      <c r="TB253" s="43"/>
      <c r="TC253" s="43"/>
      <c r="TD253" s="43"/>
      <c r="TE253" s="43"/>
      <c r="TF253" s="43"/>
      <c r="TG253" s="43"/>
      <c r="TH253" s="43"/>
    </row>
    <row r="254" spans="1:528" s="41" customFormat="1" ht="16.5" customHeight="1">
      <c r="A254" s="43"/>
      <c r="B254" s="43" t="s">
        <v>1318</v>
      </c>
      <c r="C254" s="43"/>
      <c r="D254" s="2375"/>
      <c r="E254" s="43"/>
      <c r="F254" s="3754">
        <v>1000</v>
      </c>
      <c r="G254" s="3755"/>
      <c r="H254" s="1778">
        <f t="shared" si="698"/>
        <v>10.416666666666666</v>
      </c>
      <c r="N254" s="43"/>
      <c r="O254" s="3812"/>
      <c r="P254" s="3812"/>
      <c r="Q254" s="3812"/>
      <c r="R254" s="2590"/>
      <c r="S254" s="3758"/>
      <c r="T254" s="3759"/>
      <c r="U254" s="3759"/>
      <c r="V254" s="3759"/>
      <c r="W254" s="3760"/>
      <c r="X254" s="251"/>
      <c r="Y254" s="253"/>
      <c r="Z254" s="253"/>
      <c r="AA254" s="253"/>
      <c r="AB254" s="253"/>
      <c r="AC254" s="251"/>
      <c r="AD254" s="253"/>
      <c r="AE254" s="253"/>
      <c r="AF254" s="253"/>
      <c r="AG254" s="253"/>
      <c r="AH254" s="251"/>
      <c r="AI254" s="253"/>
      <c r="AJ254" s="253"/>
      <c r="AK254" s="253"/>
      <c r="AL254" s="253"/>
      <c r="AM254" s="251"/>
      <c r="AN254" s="253"/>
      <c r="AO254" s="253"/>
      <c r="AP254" s="253"/>
      <c r="AQ254" s="253"/>
      <c r="AR254" s="253"/>
      <c r="AS254" s="253"/>
      <c r="AT254" s="253"/>
      <c r="AU254" s="253"/>
      <c r="AV254" s="253"/>
      <c r="AW254" s="253"/>
      <c r="AX254" s="253"/>
      <c r="AY254" s="253"/>
      <c r="AZ254" s="253"/>
      <c r="BA254" s="253"/>
      <c r="BB254" s="253"/>
      <c r="BC254" s="253"/>
      <c r="BD254" s="253"/>
      <c r="BE254" s="253"/>
      <c r="BF254" s="253"/>
      <c r="BG254" s="253"/>
      <c r="BH254" s="253"/>
      <c r="BI254" s="253"/>
      <c r="BJ254" s="253"/>
      <c r="BK254" s="253"/>
      <c r="BL254" s="253"/>
      <c r="BM254" s="253"/>
      <c r="BN254" s="253"/>
      <c r="BO254" s="253"/>
      <c r="BP254" s="253"/>
      <c r="BQ254" s="253"/>
      <c r="BR254" s="253"/>
      <c r="BS254" s="253"/>
      <c r="BT254" s="253"/>
      <c r="BU254" s="253"/>
      <c r="BV254" s="253"/>
      <c r="BW254" s="253"/>
      <c r="BX254" s="253"/>
      <c r="BY254" s="253"/>
      <c r="BZ254" s="253"/>
      <c r="CA254" s="253"/>
      <c r="CB254" s="253"/>
      <c r="CC254" s="253"/>
      <c r="CD254" s="253"/>
      <c r="CE254" s="253"/>
      <c r="CF254" s="253"/>
      <c r="CG254" s="253"/>
      <c r="CH254" s="253"/>
      <c r="CI254" s="253"/>
      <c r="CJ254" s="253"/>
      <c r="CK254" s="253"/>
      <c r="CL254" s="253"/>
      <c r="CM254" s="253"/>
      <c r="CN254" s="253"/>
      <c r="CO254" s="253"/>
      <c r="CP254" s="253"/>
      <c r="CQ254" s="253"/>
      <c r="CR254" s="253"/>
      <c r="CS254" s="253"/>
      <c r="CT254" s="253"/>
      <c r="CU254" s="253"/>
      <c r="CV254" s="253"/>
      <c r="CW254" s="253"/>
      <c r="CX254" s="253"/>
      <c r="CY254" s="253"/>
      <c r="CZ254" s="253"/>
      <c r="DA254" s="253"/>
      <c r="DB254" s="253"/>
      <c r="DC254" s="253"/>
      <c r="DD254" s="253"/>
      <c r="DE254" s="253"/>
      <c r="DF254" s="253"/>
      <c r="DG254" s="253"/>
      <c r="DH254" s="253"/>
      <c r="DI254" s="253"/>
      <c r="DJ254" s="253"/>
      <c r="DK254" s="253"/>
      <c r="DL254" s="253"/>
      <c r="DM254" s="253"/>
      <c r="DN254" s="253"/>
      <c r="DO254" s="253"/>
      <c r="DP254" s="253"/>
      <c r="DQ254" s="253"/>
      <c r="DR254" s="253"/>
      <c r="DS254" s="253"/>
      <c r="DT254" s="253"/>
      <c r="DU254" s="253"/>
      <c r="DV254" s="253"/>
      <c r="DW254" s="253"/>
      <c r="DX254" s="253"/>
      <c r="DY254" s="253"/>
      <c r="DZ254" s="253"/>
      <c r="EA254" s="253"/>
      <c r="EB254" s="253"/>
      <c r="EC254" s="253"/>
      <c r="ED254" s="253"/>
      <c r="EE254" s="253"/>
      <c r="EF254" s="253"/>
      <c r="EG254" s="253"/>
      <c r="EH254" s="253"/>
      <c r="EI254" s="253"/>
      <c r="EJ254" s="253"/>
      <c r="EK254" s="253"/>
      <c r="EL254" s="253"/>
      <c r="EM254" s="253"/>
      <c r="EN254" s="253"/>
      <c r="EO254" s="253"/>
      <c r="EP254" s="253"/>
      <c r="EQ254" s="253"/>
      <c r="ER254" s="253"/>
      <c r="ES254" s="253"/>
      <c r="ET254" s="253"/>
      <c r="EU254" s="253"/>
      <c r="EV254" s="253"/>
      <c r="EW254" s="253"/>
      <c r="EX254" s="253"/>
      <c r="EY254" s="253"/>
      <c r="EZ254" s="253"/>
      <c r="FA254" s="253"/>
      <c r="FB254" s="253"/>
      <c r="FC254" s="253"/>
      <c r="FD254" s="253"/>
      <c r="FE254" s="253"/>
      <c r="FF254" s="253"/>
      <c r="FG254" s="253"/>
      <c r="FH254" s="253"/>
      <c r="FI254" s="253"/>
      <c r="FJ254" s="253"/>
      <c r="FK254" s="253"/>
      <c r="FL254" s="253"/>
      <c r="FM254" s="253"/>
      <c r="FN254" s="253"/>
      <c r="FO254" s="253"/>
      <c r="FP254" s="253"/>
      <c r="FQ254" s="253"/>
      <c r="FR254" s="253"/>
      <c r="FS254" s="253"/>
      <c r="FT254" s="253"/>
      <c r="FU254" s="253"/>
      <c r="FV254" s="253"/>
      <c r="FW254" s="253"/>
      <c r="FX254" s="253"/>
      <c r="FY254" s="253"/>
      <c r="FZ254" s="253"/>
      <c r="GA254" s="253"/>
      <c r="GB254" s="253"/>
      <c r="GC254" s="253"/>
      <c r="GD254" s="253"/>
      <c r="GE254" s="253"/>
      <c r="GF254" s="253"/>
      <c r="GG254" s="253"/>
      <c r="GH254" s="253"/>
      <c r="GI254" s="253"/>
      <c r="GJ254" s="253"/>
      <c r="GK254" s="253"/>
      <c r="GL254" s="253"/>
      <c r="GM254" s="253"/>
      <c r="GN254" s="253"/>
      <c r="GO254" s="253"/>
      <c r="GP254" s="253"/>
      <c r="GQ254" s="253"/>
      <c r="GR254" s="253"/>
      <c r="GS254" s="253"/>
      <c r="GT254" s="253"/>
      <c r="GU254" s="253"/>
      <c r="GV254" s="253"/>
      <c r="GW254" s="253"/>
      <c r="GX254" s="253"/>
      <c r="GY254" s="253"/>
      <c r="GZ254" s="253"/>
      <c r="HA254" s="253"/>
      <c r="HB254" s="253"/>
      <c r="HC254" s="253"/>
      <c r="HD254" s="253"/>
      <c r="HE254" s="253"/>
      <c r="HF254" s="253"/>
      <c r="HG254" s="253"/>
      <c r="HH254" s="253"/>
      <c r="HI254" s="253"/>
      <c r="HJ254" s="253"/>
      <c r="HK254" s="253"/>
      <c r="HL254" s="253"/>
      <c r="HM254" s="253"/>
      <c r="HN254" s="253"/>
      <c r="HO254" s="253"/>
      <c r="HP254" s="253"/>
      <c r="HQ254" s="253"/>
      <c r="HR254" s="253"/>
      <c r="HS254" s="253"/>
      <c r="HT254" s="253"/>
      <c r="HU254" s="253"/>
      <c r="HV254" s="253"/>
      <c r="HW254" s="253"/>
      <c r="HX254" s="253"/>
      <c r="HY254" s="253"/>
      <c r="HZ254" s="253"/>
      <c r="IA254" s="253"/>
      <c r="IB254" s="253"/>
      <c r="IC254" s="253"/>
      <c r="ID254" s="253"/>
      <c r="IE254" s="253"/>
      <c r="IF254" s="253"/>
      <c r="IG254" s="253"/>
      <c r="IH254" s="253"/>
      <c r="II254" s="253"/>
      <c r="IJ254" s="253"/>
      <c r="IK254" s="253"/>
      <c r="IL254" s="253"/>
      <c r="IM254" s="253"/>
      <c r="IN254" s="253"/>
      <c r="IO254" s="253"/>
      <c r="IP254" s="253"/>
      <c r="IQ254" s="253"/>
      <c r="IR254" s="253"/>
      <c r="IS254" s="253"/>
      <c r="IT254" s="253"/>
      <c r="IU254" s="253"/>
      <c r="IV254" s="253"/>
      <c r="IW254" s="253"/>
      <c r="IX254" s="253"/>
      <c r="IY254" s="253"/>
      <c r="IZ254" s="253"/>
      <c r="JA254" s="253"/>
      <c r="JB254" s="253"/>
      <c r="JC254" s="253"/>
      <c r="JD254" s="253"/>
      <c r="JE254" s="253"/>
      <c r="JF254" s="253"/>
      <c r="JG254" s="253"/>
      <c r="JH254" s="253"/>
      <c r="JI254" s="253"/>
      <c r="JJ254" s="253"/>
      <c r="JK254" s="253"/>
      <c r="JL254" s="253"/>
      <c r="JM254" s="253"/>
      <c r="JN254" s="253"/>
      <c r="JO254" s="253"/>
      <c r="JP254" s="253"/>
      <c r="JQ254" s="253"/>
      <c r="JR254" s="253"/>
      <c r="JS254" s="253"/>
      <c r="JT254" s="253"/>
      <c r="JU254" s="253"/>
      <c r="JV254" s="253"/>
      <c r="JW254" s="253"/>
      <c r="JX254" s="253"/>
      <c r="JY254" s="253"/>
      <c r="JZ254" s="253"/>
      <c r="KA254" s="253"/>
      <c r="KB254" s="253"/>
      <c r="KC254" s="253"/>
      <c r="KD254" s="253"/>
      <c r="KE254" s="253"/>
      <c r="KF254" s="253"/>
      <c r="KG254" s="253"/>
      <c r="KH254" s="253"/>
      <c r="KI254" s="253"/>
      <c r="KJ254" s="253"/>
      <c r="KK254" s="253"/>
      <c r="KL254" s="253"/>
      <c r="KM254" s="253"/>
      <c r="KN254" s="253"/>
      <c r="KO254" s="253"/>
      <c r="KP254" s="253"/>
      <c r="KQ254" s="253"/>
      <c r="KR254" s="253"/>
      <c r="KS254" s="253"/>
      <c r="KT254" s="253"/>
      <c r="KU254" s="253"/>
      <c r="KV254" s="253"/>
      <c r="KW254" s="253"/>
      <c r="KX254" s="253"/>
      <c r="KY254" s="253"/>
      <c r="KZ254" s="253"/>
      <c r="LA254" s="253"/>
      <c r="LB254" s="253"/>
      <c r="LC254" s="253"/>
      <c r="LD254" s="253"/>
      <c r="LE254" s="253"/>
      <c r="LF254" s="1296"/>
      <c r="LG254" s="253"/>
      <c r="LH254" s="253"/>
      <c r="LI254" s="253"/>
      <c r="LJ254" s="253"/>
      <c r="LK254" s="1296"/>
      <c r="LL254" s="253"/>
      <c r="LM254" s="253"/>
      <c r="LN254" s="253"/>
      <c r="LO254" s="253"/>
      <c r="LP254" s="1296"/>
      <c r="LQ254" s="253"/>
      <c r="LR254" s="253"/>
      <c r="LS254" s="253"/>
      <c r="LT254" s="253"/>
      <c r="LU254" s="1296"/>
      <c r="LV254" s="1296"/>
      <c r="LW254" s="1296"/>
      <c r="LX254" s="1296"/>
      <c r="LY254" s="1296"/>
      <c r="LZ254" s="1296"/>
      <c r="MA254" s="1296"/>
      <c r="MB254" s="1296"/>
      <c r="MC254" s="1296"/>
      <c r="MD254" s="1296"/>
      <c r="ME254" s="1296"/>
      <c r="MF254" s="1296"/>
      <c r="MG254" s="1296"/>
      <c r="MH254" s="1296"/>
      <c r="MI254" s="1296"/>
      <c r="MJ254" s="1296"/>
      <c r="MK254" s="1296"/>
      <c r="ML254" s="1296"/>
      <c r="MM254" s="1296"/>
      <c r="MN254" s="1296"/>
      <c r="MO254" s="1296"/>
      <c r="MP254" s="1296"/>
      <c r="MQ254" s="253"/>
      <c r="MR254" s="253"/>
      <c r="MS254" s="253"/>
      <c r="MT254" s="253"/>
      <c r="MU254" s="253"/>
      <c r="MV254" s="253"/>
      <c r="MW254" s="1184"/>
      <c r="MX254" s="253"/>
      <c r="MY254" s="253"/>
      <c r="MZ254" s="253"/>
      <c r="NA254" s="253"/>
      <c r="NB254" s="253"/>
      <c r="NC254" s="253"/>
      <c r="ND254" s="253"/>
      <c r="NE254" s="253"/>
      <c r="NF254" s="253"/>
      <c r="NG254" s="253"/>
      <c r="NH254" s="253"/>
      <c r="NI254" s="253"/>
      <c r="NJ254" s="253"/>
      <c r="NK254" s="253"/>
      <c r="NL254" s="253"/>
      <c r="NM254" s="1184"/>
      <c r="NN254" s="1184"/>
      <c r="NO254" s="253"/>
      <c r="NP254" s="253"/>
      <c r="NQ254" s="253"/>
      <c r="NR254" s="253"/>
      <c r="NS254" s="253"/>
      <c r="NT254" s="253"/>
      <c r="NU254" s="253"/>
      <c r="NV254" s="253"/>
      <c r="NW254" s="253"/>
      <c r="NX254" s="253"/>
      <c r="NY254" s="253"/>
      <c r="NZ254" s="253"/>
      <c r="OA254" s="253"/>
      <c r="OB254" s="253"/>
      <c r="OC254" s="253"/>
      <c r="OD254" s="253"/>
      <c r="OE254" s="253"/>
      <c r="OF254" s="253"/>
      <c r="OG254" s="253"/>
      <c r="OH254" s="253"/>
      <c r="OI254" s="253"/>
      <c r="OJ254" s="253"/>
      <c r="OK254" s="253"/>
      <c r="OL254" s="253"/>
      <c r="OM254" s="253"/>
      <c r="ON254" s="253"/>
      <c r="OO254" s="253"/>
      <c r="OP254" s="253"/>
      <c r="OQ254" s="253"/>
      <c r="OR254" s="253"/>
      <c r="OS254" s="253"/>
      <c r="OT254" s="253"/>
      <c r="OU254" s="253"/>
      <c r="OV254" s="43"/>
      <c r="OW254" s="43"/>
      <c r="OX254" s="43"/>
      <c r="OY254" s="1796"/>
      <c r="OZ254" s="1799">
        <v>250</v>
      </c>
      <c r="PA254" s="43"/>
      <c r="PB254" s="43"/>
      <c r="PC254" s="43"/>
      <c r="PD254" s="43"/>
      <c r="PE254" s="43"/>
      <c r="PF254" s="43"/>
      <c r="PG254" s="43"/>
      <c r="PH254" s="43"/>
      <c r="PI254" s="43"/>
      <c r="PJ254" s="43"/>
      <c r="PK254" s="43"/>
      <c r="PL254" s="43"/>
      <c r="PM254" s="43"/>
      <c r="PN254" s="43"/>
      <c r="PO254" s="43"/>
      <c r="PP254" s="43"/>
      <c r="PQ254" s="43"/>
      <c r="PR254" s="43"/>
      <c r="PS254" s="43"/>
      <c r="PT254" s="43"/>
      <c r="PU254" s="43"/>
      <c r="PV254" s="43"/>
      <c r="PW254" s="43"/>
      <c r="PX254" s="43"/>
      <c r="PY254" s="43"/>
      <c r="PZ254" s="43"/>
      <c r="QA254" s="43"/>
      <c r="QB254" s="43"/>
      <c r="QC254" s="43"/>
      <c r="QD254" s="43"/>
      <c r="QE254" s="43"/>
      <c r="QF254" s="43"/>
      <c r="QG254" s="43"/>
      <c r="QH254" s="43"/>
      <c r="QI254" s="43"/>
      <c r="QJ254" s="43"/>
      <c r="QK254" s="43"/>
      <c r="QL254" s="43"/>
      <c r="QM254" s="43"/>
      <c r="QN254" s="43"/>
      <c r="QO254" s="43"/>
      <c r="QP254" s="43"/>
      <c r="QQ254" s="43"/>
      <c r="QR254" s="43"/>
      <c r="QS254" s="43"/>
      <c r="QT254" s="43"/>
      <c r="QU254" s="43"/>
      <c r="QV254" s="43"/>
      <c r="QW254" s="43"/>
      <c r="QX254" s="43"/>
      <c r="QY254" s="43"/>
      <c r="QZ254" s="43"/>
      <c r="RA254" s="43"/>
      <c r="RB254" s="43"/>
      <c r="RC254" s="43"/>
      <c r="RD254" s="43"/>
      <c r="RE254" s="43"/>
      <c r="RF254" s="43"/>
      <c r="RG254" s="43"/>
      <c r="RH254" s="43"/>
      <c r="RI254" s="43"/>
      <c r="RJ254" s="43"/>
      <c r="RK254" s="43"/>
      <c r="RL254" s="43"/>
      <c r="RM254" s="43"/>
      <c r="RN254" s="43"/>
      <c r="RO254" s="43"/>
      <c r="RP254" s="43"/>
      <c r="RQ254" s="43"/>
      <c r="RR254" s="43"/>
      <c r="RS254" s="43"/>
      <c r="RT254" s="43"/>
      <c r="RU254" s="43"/>
      <c r="RV254" s="43"/>
      <c r="RW254" s="43"/>
      <c r="RX254" s="43"/>
      <c r="RY254" s="43"/>
      <c r="RZ254" s="43"/>
      <c r="SA254" s="43"/>
      <c r="SB254" s="43"/>
      <c r="SC254" s="43"/>
      <c r="SD254" s="43"/>
      <c r="SE254" s="43"/>
      <c r="SF254" s="43"/>
      <c r="SG254" s="43"/>
      <c r="SH254" s="43"/>
      <c r="SI254" s="43"/>
      <c r="SJ254" s="43"/>
      <c r="SK254" s="43"/>
      <c r="SL254" s="43"/>
      <c r="SM254" s="43"/>
      <c r="SN254" s="43"/>
      <c r="SO254" s="43"/>
      <c r="SP254" s="43"/>
      <c r="SQ254" s="43"/>
      <c r="SR254" s="43"/>
      <c r="SS254" s="43"/>
      <c r="ST254" s="43"/>
      <c r="SU254" s="43"/>
      <c r="SV254" s="43"/>
      <c r="SW254" s="43"/>
      <c r="SX254" s="43"/>
      <c r="SY254" s="43"/>
      <c r="SZ254" s="43"/>
      <c r="TA254" s="43"/>
      <c r="TB254" s="43"/>
      <c r="TC254" s="43"/>
      <c r="TD254" s="43"/>
      <c r="TE254" s="43"/>
      <c r="TF254" s="43"/>
      <c r="TG254" s="43"/>
      <c r="TH254" s="43"/>
    </row>
    <row r="255" spans="1:528" s="41" customFormat="1" ht="16.5" customHeight="1" thickBot="1">
      <c r="A255" s="43"/>
      <c r="B255" s="43" t="s">
        <v>1319</v>
      </c>
      <c r="C255" s="43"/>
      <c r="D255" s="2375"/>
      <c r="E255" s="43"/>
      <c r="F255" s="3754"/>
      <c r="G255" s="3755"/>
      <c r="H255" s="1778" t="str">
        <f t="shared" si="698"/>
        <v/>
      </c>
      <c r="M255" s="43"/>
      <c r="N255" s="43"/>
      <c r="R255" s="2590"/>
      <c r="S255" s="3758"/>
      <c r="T255" s="3759"/>
      <c r="U255" s="3759"/>
      <c r="V255" s="3759"/>
      <c r="W255" s="3760"/>
      <c r="X255" s="251"/>
      <c r="Y255" s="253"/>
      <c r="Z255" s="253"/>
      <c r="AA255" s="253"/>
      <c r="AB255" s="253"/>
      <c r="AC255" s="251"/>
      <c r="AD255" s="253"/>
      <c r="AE255" s="253"/>
      <c r="AF255" s="253"/>
      <c r="AG255" s="253"/>
      <c r="AH255" s="251"/>
      <c r="AI255" s="253"/>
      <c r="AJ255" s="253"/>
      <c r="AK255" s="253"/>
      <c r="AL255" s="253"/>
      <c r="AM255" s="251"/>
      <c r="AN255" s="253"/>
      <c r="AO255" s="253"/>
      <c r="AP255" s="253"/>
      <c r="AQ255" s="253"/>
      <c r="AR255" s="253"/>
      <c r="AS255" s="253"/>
      <c r="AT255" s="253"/>
      <c r="AU255" s="253"/>
      <c r="AV255" s="253"/>
      <c r="AW255" s="253"/>
      <c r="AX255" s="253"/>
      <c r="AY255" s="253"/>
      <c r="AZ255" s="253"/>
      <c r="BA255" s="253"/>
      <c r="BB255" s="253"/>
      <c r="BC255" s="253"/>
      <c r="BD255" s="253"/>
      <c r="BE255" s="253"/>
      <c r="BF255" s="253"/>
      <c r="BG255" s="253"/>
      <c r="BH255" s="253"/>
      <c r="BI255" s="253"/>
      <c r="BJ255" s="253"/>
      <c r="BK255" s="253"/>
      <c r="BL255" s="253"/>
      <c r="BM255" s="253"/>
      <c r="BN255" s="253"/>
      <c r="BO255" s="253"/>
      <c r="BP255" s="253"/>
      <c r="BQ255" s="253"/>
      <c r="BR255" s="253"/>
      <c r="BS255" s="253"/>
      <c r="BT255" s="253"/>
      <c r="BU255" s="253"/>
      <c r="BV255" s="253"/>
      <c r="BW255" s="253"/>
      <c r="BX255" s="253"/>
      <c r="BY255" s="253"/>
      <c r="BZ255" s="253"/>
      <c r="CA255" s="253"/>
      <c r="CB255" s="253"/>
      <c r="CC255" s="253"/>
      <c r="CD255" s="253"/>
      <c r="CE255" s="253"/>
      <c r="CF255" s="253"/>
      <c r="CG255" s="253"/>
      <c r="CH255" s="253"/>
      <c r="CI255" s="253"/>
      <c r="CJ255" s="253"/>
      <c r="CK255" s="253"/>
      <c r="CL255" s="253"/>
      <c r="CM255" s="253"/>
      <c r="CN255" s="253"/>
      <c r="CO255" s="253"/>
      <c r="CP255" s="253"/>
      <c r="CQ255" s="253"/>
      <c r="CR255" s="253"/>
      <c r="CS255" s="253"/>
      <c r="CT255" s="253"/>
      <c r="CU255" s="253"/>
      <c r="CV255" s="253"/>
      <c r="CW255" s="253"/>
      <c r="CX255" s="253"/>
      <c r="CY255" s="253"/>
      <c r="CZ255" s="253"/>
      <c r="DA255" s="253"/>
      <c r="DB255" s="253"/>
      <c r="DC255" s="253"/>
      <c r="DD255" s="253"/>
      <c r="DE255" s="253"/>
      <c r="DF255" s="253"/>
      <c r="DG255" s="253"/>
      <c r="DH255" s="253"/>
      <c r="DI255" s="253"/>
      <c r="DJ255" s="253"/>
      <c r="DK255" s="253"/>
      <c r="DL255" s="253"/>
      <c r="DM255" s="253"/>
      <c r="DN255" s="253"/>
      <c r="DO255" s="253"/>
      <c r="DP255" s="253"/>
      <c r="DQ255" s="253"/>
      <c r="DR255" s="253"/>
      <c r="DS255" s="253"/>
      <c r="DT255" s="253"/>
      <c r="DU255" s="253"/>
      <c r="DV255" s="253"/>
      <c r="DW255" s="253"/>
      <c r="DX255" s="253"/>
      <c r="DY255" s="253"/>
      <c r="DZ255" s="253"/>
      <c r="EA255" s="253"/>
      <c r="EB255" s="253"/>
      <c r="EC255" s="253"/>
      <c r="ED255" s="253"/>
      <c r="EE255" s="253"/>
      <c r="EF255" s="253"/>
      <c r="EG255" s="253"/>
      <c r="EH255" s="253"/>
      <c r="EI255" s="253"/>
      <c r="EJ255" s="253"/>
      <c r="EK255" s="253"/>
      <c r="EL255" s="253"/>
      <c r="EM255" s="253"/>
      <c r="EN255" s="253"/>
      <c r="EO255" s="253"/>
      <c r="EP255" s="253"/>
      <c r="EQ255" s="253"/>
      <c r="ER255" s="253"/>
      <c r="ES255" s="253"/>
      <c r="ET255" s="253"/>
      <c r="EU255" s="253"/>
      <c r="EV255" s="253"/>
      <c r="EW255" s="253"/>
      <c r="EX255" s="253"/>
      <c r="EY255" s="253"/>
      <c r="EZ255" s="253"/>
      <c r="FA255" s="253"/>
      <c r="FB255" s="253"/>
      <c r="FC255" s="253"/>
      <c r="FD255" s="253"/>
      <c r="FE255" s="253"/>
      <c r="FF255" s="253"/>
      <c r="FG255" s="253"/>
      <c r="FH255" s="253"/>
      <c r="FI255" s="253"/>
      <c r="FJ255" s="253"/>
      <c r="FK255" s="253"/>
      <c r="FL255" s="253"/>
      <c r="FM255" s="253"/>
      <c r="FN255" s="253"/>
      <c r="FO255" s="253"/>
      <c r="FP255" s="253"/>
      <c r="FQ255" s="253"/>
      <c r="FR255" s="253"/>
      <c r="FS255" s="253"/>
      <c r="FT255" s="253"/>
      <c r="FU255" s="253"/>
      <c r="FV255" s="253"/>
      <c r="FW255" s="253"/>
      <c r="FX255" s="253"/>
      <c r="FY255" s="253"/>
      <c r="FZ255" s="253"/>
      <c r="GA255" s="253"/>
      <c r="GB255" s="253"/>
      <c r="GC255" s="253"/>
      <c r="GD255" s="253"/>
      <c r="GE255" s="253"/>
      <c r="GF255" s="253"/>
      <c r="GG255" s="253"/>
      <c r="GH255" s="253"/>
      <c r="GI255" s="253"/>
      <c r="GJ255" s="253"/>
      <c r="GK255" s="253"/>
      <c r="GL255" s="253"/>
      <c r="GM255" s="253"/>
      <c r="GN255" s="253"/>
      <c r="GO255" s="253"/>
      <c r="GP255" s="253"/>
      <c r="GQ255" s="253"/>
      <c r="GR255" s="253"/>
      <c r="GS255" s="253"/>
      <c r="GT255" s="253"/>
      <c r="GU255" s="253"/>
      <c r="GV255" s="253"/>
      <c r="GW255" s="253"/>
      <c r="GX255" s="253"/>
      <c r="GY255" s="253"/>
      <c r="GZ255" s="253"/>
      <c r="HA255" s="253"/>
      <c r="HB255" s="253"/>
      <c r="HC255" s="253"/>
      <c r="HD255" s="253"/>
      <c r="HE255" s="253"/>
      <c r="HF255" s="253"/>
      <c r="HG255" s="253"/>
      <c r="HH255" s="253"/>
      <c r="HI255" s="253"/>
      <c r="HJ255" s="253"/>
      <c r="HK255" s="253"/>
      <c r="HL255" s="253"/>
      <c r="HM255" s="253"/>
      <c r="HN255" s="253"/>
      <c r="HO255" s="253"/>
      <c r="HP255" s="253"/>
      <c r="HQ255" s="253"/>
      <c r="HR255" s="253"/>
      <c r="HS255" s="253"/>
      <c r="HT255" s="253"/>
      <c r="HU255" s="253"/>
      <c r="HV255" s="253"/>
      <c r="HW255" s="253"/>
      <c r="HX255" s="253"/>
      <c r="HY255" s="253"/>
      <c r="HZ255" s="253"/>
      <c r="IA255" s="253"/>
      <c r="IB255" s="253"/>
      <c r="IC255" s="253"/>
      <c r="ID255" s="253"/>
      <c r="IE255" s="253"/>
      <c r="IF255" s="253"/>
      <c r="IG255" s="253"/>
      <c r="IH255" s="253"/>
      <c r="II255" s="253"/>
      <c r="IJ255" s="253"/>
      <c r="IK255" s="253"/>
      <c r="IL255" s="253"/>
      <c r="IM255" s="253"/>
      <c r="IN255" s="253"/>
      <c r="IO255" s="253"/>
      <c r="IP255" s="253"/>
      <c r="IQ255" s="253"/>
      <c r="IR255" s="253"/>
      <c r="IS255" s="253"/>
      <c r="IT255" s="253"/>
      <c r="IU255" s="253"/>
      <c r="IV255" s="253"/>
      <c r="IW255" s="253"/>
      <c r="IX255" s="253"/>
      <c r="IY255" s="253"/>
      <c r="IZ255" s="253"/>
      <c r="JA255" s="253"/>
      <c r="JB255" s="253"/>
      <c r="JC255" s="253"/>
      <c r="JD255" s="253"/>
      <c r="JE255" s="253"/>
      <c r="JF255" s="253"/>
      <c r="JG255" s="253"/>
      <c r="JH255" s="253"/>
      <c r="JI255" s="253"/>
      <c r="JJ255" s="253"/>
      <c r="JK255" s="253"/>
      <c r="JL255" s="253"/>
      <c r="JM255" s="253"/>
      <c r="JN255" s="253"/>
      <c r="JO255" s="253"/>
      <c r="JP255" s="253"/>
      <c r="JQ255" s="253"/>
      <c r="JR255" s="253"/>
      <c r="JS255" s="253"/>
      <c r="JT255" s="253"/>
      <c r="JU255" s="253"/>
      <c r="JV255" s="253"/>
      <c r="JW255" s="253"/>
      <c r="JX255" s="253"/>
      <c r="JY255" s="253"/>
      <c r="JZ255" s="253"/>
      <c r="KA255" s="253"/>
      <c r="KB255" s="253"/>
      <c r="KC255" s="253"/>
      <c r="KD255" s="253"/>
      <c r="KE255" s="253"/>
      <c r="KF255" s="253"/>
      <c r="KG255" s="253"/>
      <c r="KH255" s="253"/>
      <c r="KI255" s="253"/>
      <c r="KJ255" s="253"/>
      <c r="KK255" s="253"/>
      <c r="KL255" s="253"/>
      <c r="KM255" s="253"/>
      <c r="KN255" s="253"/>
      <c r="KO255" s="253"/>
      <c r="KP255" s="253"/>
      <c r="KQ255" s="253"/>
      <c r="KR255" s="253"/>
      <c r="KS255" s="253"/>
      <c r="KT255" s="253"/>
      <c r="KU255" s="253"/>
      <c r="KV255" s="253"/>
      <c r="KW255" s="253"/>
      <c r="KX255" s="253"/>
      <c r="KY255" s="253"/>
      <c r="KZ255" s="253"/>
      <c r="LA255" s="253"/>
      <c r="LB255" s="253"/>
      <c r="LC255" s="253"/>
      <c r="LD255" s="253"/>
      <c r="LE255" s="253"/>
      <c r="LF255" s="1296"/>
      <c r="LG255" s="253"/>
      <c r="LH255" s="253"/>
      <c r="LI255" s="253"/>
      <c r="LJ255" s="253"/>
      <c r="LK255" s="1296"/>
      <c r="LL255" s="253"/>
      <c r="LM255" s="253"/>
      <c r="LN255" s="253"/>
      <c r="LO255" s="253"/>
      <c r="LP255" s="1296"/>
      <c r="LQ255" s="253"/>
      <c r="LR255" s="253"/>
      <c r="LS255" s="253"/>
      <c r="LT255" s="253"/>
      <c r="LU255" s="1296"/>
      <c r="LV255" s="1296"/>
      <c r="LW255" s="1296"/>
      <c r="LX255" s="1296"/>
      <c r="LY255" s="1296"/>
      <c r="LZ255" s="1296"/>
      <c r="MA255" s="1296"/>
      <c r="MB255" s="1296"/>
      <c r="MC255" s="1296"/>
      <c r="MD255" s="1296"/>
      <c r="ME255" s="1296"/>
      <c r="MF255" s="1296"/>
      <c r="MG255" s="1296"/>
      <c r="MH255" s="1296"/>
      <c r="MI255" s="1296"/>
      <c r="MJ255" s="1296"/>
      <c r="MK255" s="1296"/>
      <c r="ML255" s="1296"/>
      <c r="MM255" s="1296"/>
      <c r="MN255" s="1296"/>
      <c r="MO255" s="1296"/>
      <c r="MP255" s="1296"/>
      <c r="MQ255" s="253"/>
      <c r="MR255" s="253"/>
      <c r="MS255" s="253"/>
      <c r="MT255" s="253"/>
      <c r="MU255" s="253"/>
      <c r="MV255" s="253"/>
      <c r="MW255" s="1184"/>
      <c r="MX255" s="253"/>
      <c r="MY255" s="253"/>
      <c r="MZ255" s="253"/>
      <c r="NA255" s="253"/>
      <c r="NB255" s="253"/>
      <c r="NC255" s="253"/>
      <c r="ND255" s="253"/>
      <c r="NE255" s="253"/>
      <c r="NF255" s="253"/>
      <c r="NG255" s="253"/>
      <c r="NH255" s="253"/>
      <c r="NI255" s="253"/>
      <c r="NJ255" s="253"/>
      <c r="NK255" s="253"/>
      <c r="NL255" s="253"/>
      <c r="NM255" s="1184"/>
      <c r="NN255" s="1184"/>
      <c r="NO255" s="253"/>
      <c r="NP255" s="253"/>
      <c r="NQ255" s="253"/>
      <c r="NR255" s="253"/>
      <c r="NS255" s="253"/>
      <c r="NT255" s="253"/>
      <c r="NU255" s="253"/>
      <c r="NV255" s="253"/>
      <c r="NW255" s="253"/>
      <c r="NX255" s="253"/>
      <c r="NY255" s="253"/>
      <c r="NZ255" s="253"/>
      <c r="OA255" s="253"/>
      <c r="OB255" s="253"/>
      <c r="OC255" s="253"/>
      <c r="OD255" s="253"/>
      <c r="OE255" s="253"/>
      <c r="OF255" s="253"/>
      <c r="OG255" s="253"/>
      <c r="OH255" s="253"/>
      <c r="OI255" s="253"/>
      <c r="OJ255" s="253"/>
      <c r="OK255" s="253"/>
      <c r="OL255" s="253"/>
      <c r="OM255" s="253"/>
      <c r="ON255" s="253"/>
      <c r="OO255" s="253"/>
      <c r="OP255" s="253"/>
      <c r="OQ255" s="253"/>
      <c r="OR255" s="253"/>
      <c r="OS255" s="253"/>
      <c r="OT255" s="253"/>
      <c r="OU255" s="253"/>
      <c r="OV255" s="43"/>
      <c r="OW255" s="43"/>
      <c r="OX255" s="43"/>
      <c r="OY255" s="1796" t="s">
        <v>1320</v>
      </c>
      <c r="OZ255" s="1799">
        <v>251</v>
      </c>
      <c r="PA255" s="43"/>
      <c r="PB255" s="43"/>
      <c r="PC255" s="43"/>
      <c r="PD255" s="43"/>
      <c r="PE255" s="43"/>
      <c r="PF255" s="43"/>
      <c r="PG255" s="43"/>
      <c r="PH255" s="43"/>
      <c r="PI255" s="43"/>
      <c r="PJ255" s="43"/>
      <c r="PK255" s="43"/>
      <c r="PL255" s="43"/>
      <c r="PM255" s="43"/>
      <c r="PN255" s="43"/>
      <c r="PO255" s="43"/>
      <c r="PP255" s="43"/>
      <c r="PQ255" s="43"/>
      <c r="PR255" s="43"/>
      <c r="PS255" s="43"/>
      <c r="PT255" s="43"/>
      <c r="PU255" s="43"/>
      <c r="PV255" s="43"/>
      <c r="PW255" s="43"/>
      <c r="PX255" s="43"/>
      <c r="PY255" s="43"/>
      <c r="PZ255" s="43"/>
      <c r="QA255" s="43"/>
      <c r="QB255" s="43"/>
      <c r="QC255" s="43"/>
      <c r="QD255" s="43"/>
      <c r="QE255" s="43"/>
      <c r="QF255" s="43"/>
      <c r="QG255" s="43"/>
      <c r="QH255" s="43"/>
      <c r="QI255" s="43"/>
      <c r="QJ255" s="43"/>
      <c r="QK255" s="43"/>
      <c r="QL255" s="43"/>
      <c r="QM255" s="43"/>
      <c r="QN255" s="43"/>
      <c r="QO255" s="43"/>
      <c r="QP255" s="43"/>
      <c r="QQ255" s="43"/>
      <c r="QR255" s="43"/>
      <c r="QS255" s="43"/>
      <c r="QT255" s="43"/>
      <c r="QU255" s="43"/>
      <c r="QV255" s="43"/>
      <c r="QW255" s="43"/>
      <c r="QX255" s="43"/>
      <c r="QY255" s="43"/>
      <c r="QZ255" s="43"/>
      <c r="RA255" s="43"/>
      <c r="RB255" s="43"/>
      <c r="RC255" s="43"/>
      <c r="RD255" s="43"/>
      <c r="RE255" s="43"/>
      <c r="RF255" s="43"/>
      <c r="RG255" s="43"/>
      <c r="RH255" s="43"/>
      <c r="RI255" s="43"/>
      <c r="RJ255" s="43"/>
      <c r="RK255" s="43"/>
      <c r="RL255" s="43"/>
      <c r="RM255" s="43"/>
      <c r="RN255" s="43"/>
      <c r="RO255" s="43"/>
      <c r="RP255" s="43"/>
      <c r="RQ255" s="43"/>
      <c r="RR255" s="43"/>
      <c r="RS255" s="43"/>
      <c r="RT255" s="43"/>
      <c r="RU255" s="43"/>
      <c r="RV255" s="43"/>
      <c r="RW255" s="43"/>
      <c r="RX255" s="43"/>
      <c r="RY255" s="43"/>
      <c r="RZ255" s="43"/>
      <c r="SA255" s="43"/>
      <c r="SB255" s="43"/>
      <c r="SC255" s="43"/>
      <c r="SD255" s="43"/>
      <c r="SE255" s="43"/>
      <c r="SF255" s="43"/>
      <c r="SG255" s="43"/>
      <c r="SH255" s="43"/>
      <c r="SI255" s="43"/>
      <c r="SJ255" s="43"/>
      <c r="SK255" s="43"/>
      <c r="SL255" s="43"/>
      <c r="SM255" s="43"/>
      <c r="SN255" s="43"/>
      <c r="SO255" s="43"/>
      <c r="SP255" s="43"/>
      <c r="SQ255" s="43"/>
      <c r="SR255" s="43"/>
      <c r="SS255" s="43"/>
      <c r="ST255" s="43"/>
      <c r="SU255" s="43"/>
      <c r="SV255" s="43"/>
      <c r="SW255" s="43"/>
      <c r="SX255" s="43"/>
      <c r="SY255" s="43"/>
      <c r="SZ255" s="43"/>
      <c r="TA255" s="43"/>
      <c r="TB255" s="43"/>
      <c r="TC255" s="43"/>
      <c r="TD255" s="43"/>
      <c r="TE255" s="43"/>
      <c r="TF255" s="43"/>
      <c r="TG255" s="43"/>
      <c r="TH255" s="43"/>
    </row>
    <row r="256" spans="1:528" s="41" customFormat="1" ht="16.5" customHeight="1" thickBot="1">
      <c r="A256" s="43"/>
      <c r="B256" s="43" t="s">
        <v>1321</v>
      </c>
      <c r="C256" s="43"/>
      <c r="D256" s="2375"/>
      <c r="E256" s="43"/>
      <c r="F256" s="3754">
        <v>4311</v>
      </c>
      <c r="G256" s="3755"/>
      <c r="H256" s="1778">
        <f t="shared" si="698"/>
        <v>44.90625</v>
      </c>
      <c r="I256" s="3" t="s">
        <v>1322</v>
      </c>
      <c r="K256" s="2517" t="s">
        <v>1323</v>
      </c>
      <c r="L256" s="43"/>
      <c r="O256" s="892" t="s">
        <v>1324</v>
      </c>
      <c r="P256" s="3"/>
      <c r="Q256" s="2377">
        <f>Q265</f>
        <v>38400</v>
      </c>
      <c r="S256" s="3758"/>
      <c r="T256" s="3759"/>
      <c r="U256" s="3759"/>
      <c r="V256" s="3759"/>
      <c r="W256" s="3760"/>
      <c r="X256" s="251"/>
      <c r="Y256" s="253"/>
      <c r="Z256" s="253"/>
      <c r="AA256" s="253"/>
      <c r="AB256" s="253"/>
      <c r="AC256" s="251"/>
      <c r="AD256" s="253"/>
      <c r="AE256" s="253"/>
      <c r="AF256" s="253"/>
      <c r="AG256" s="253"/>
      <c r="AH256" s="251"/>
      <c r="AI256" s="253"/>
      <c r="AJ256" s="253"/>
      <c r="AK256" s="253"/>
      <c r="AL256" s="253"/>
      <c r="AM256" s="251"/>
      <c r="AN256" s="253"/>
      <c r="AO256" s="253"/>
      <c r="AP256" s="253"/>
      <c r="AQ256" s="253"/>
      <c r="AR256" s="253"/>
      <c r="AS256" s="253"/>
      <c r="AT256" s="253"/>
      <c r="AU256" s="253"/>
      <c r="AV256" s="253"/>
      <c r="AW256" s="253"/>
      <c r="AX256" s="253"/>
      <c r="AY256" s="253"/>
      <c r="AZ256" s="253"/>
      <c r="BA256" s="253"/>
      <c r="BB256" s="253"/>
      <c r="BC256" s="253"/>
      <c r="BD256" s="253"/>
      <c r="BE256" s="253"/>
      <c r="BF256" s="253"/>
      <c r="BG256" s="253"/>
      <c r="BH256" s="253"/>
      <c r="BI256" s="253"/>
      <c r="BJ256" s="253"/>
      <c r="BK256" s="253"/>
      <c r="BL256" s="253"/>
      <c r="BM256" s="253"/>
      <c r="BN256" s="253"/>
      <c r="BO256" s="253"/>
      <c r="BP256" s="253"/>
      <c r="BQ256" s="253"/>
      <c r="BR256" s="253"/>
      <c r="BS256" s="253"/>
      <c r="BT256" s="253"/>
      <c r="BU256" s="253"/>
      <c r="BV256" s="253"/>
      <c r="BW256" s="253"/>
      <c r="BX256" s="253"/>
      <c r="BY256" s="253"/>
      <c r="BZ256" s="253"/>
      <c r="CA256" s="253"/>
      <c r="CB256" s="253"/>
      <c r="CC256" s="253"/>
      <c r="CD256" s="253"/>
      <c r="CE256" s="253"/>
      <c r="CF256" s="253"/>
      <c r="CG256" s="253"/>
      <c r="CH256" s="253"/>
      <c r="CI256" s="253"/>
      <c r="CJ256" s="253"/>
      <c r="CK256" s="253"/>
      <c r="CL256" s="253"/>
      <c r="CM256" s="253"/>
      <c r="CN256" s="253"/>
      <c r="CO256" s="253"/>
      <c r="CP256" s="253"/>
      <c r="CQ256" s="253"/>
      <c r="CR256" s="253"/>
      <c r="CS256" s="253"/>
      <c r="CT256" s="253"/>
      <c r="CU256" s="253"/>
      <c r="CV256" s="253"/>
      <c r="CW256" s="253"/>
      <c r="CX256" s="253"/>
      <c r="CY256" s="253"/>
      <c r="CZ256" s="253"/>
      <c r="DA256" s="253"/>
      <c r="DB256" s="253"/>
      <c r="DC256" s="253"/>
      <c r="DD256" s="253"/>
      <c r="DE256" s="253"/>
      <c r="DF256" s="253"/>
      <c r="DG256" s="253"/>
      <c r="DH256" s="253"/>
      <c r="DI256" s="253"/>
      <c r="DJ256" s="253"/>
      <c r="DK256" s="253"/>
      <c r="DL256" s="253"/>
      <c r="DM256" s="253"/>
      <c r="DN256" s="253"/>
      <c r="DO256" s="253"/>
      <c r="DP256" s="253"/>
      <c r="DQ256" s="253"/>
      <c r="DR256" s="253"/>
      <c r="DS256" s="253"/>
      <c r="DT256" s="253"/>
      <c r="DU256" s="253"/>
      <c r="DV256" s="253"/>
      <c r="DW256" s="253"/>
      <c r="DX256" s="253"/>
      <c r="DY256" s="253"/>
      <c r="DZ256" s="253"/>
      <c r="EA256" s="253"/>
      <c r="EB256" s="253"/>
      <c r="EC256" s="253"/>
      <c r="ED256" s="253"/>
      <c r="EE256" s="253"/>
      <c r="EF256" s="253"/>
      <c r="EG256" s="253"/>
      <c r="EH256" s="253"/>
      <c r="EI256" s="253"/>
      <c r="EJ256" s="253"/>
      <c r="EK256" s="253"/>
      <c r="EL256" s="253"/>
      <c r="EM256" s="253"/>
      <c r="EN256" s="253"/>
      <c r="EO256" s="253"/>
      <c r="EP256" s="253"/>
      <c r="EQ256" s="253"/>
      <c r="ER256" s="253"/>
      <c r="ES256" s="253"/>
      <c r="ET256" s="253"/>
      <c r="EU256" s="253"/>
      <c r="EV256" s="253"/>
      <c r="EW256" s="253"/>
      <c r="EX256" s="253"/>
      <c r="EY256" s="253"/>
      <c r="EZ256" s="253"/>
      <c r="FA256" s="253"/>
      <c r="FB256" s="253"/>
      <c r="FC256" s="253"/>
      <c r="FD256" s="253"/>
      <c r="FE256" s="253"/>
      <c r="FF256" s="253"/>
      <c r="FG256" s="253"/>
      <c r="FH256" s="253"/>
      <c r="FI256" s="253"/>
      <c r="FJ256" s="253"/>
      <c r="FK256" s="253"/>
      <c r="FL256" s="253"/>
      <c r="FM256" s="253"/>
      <c r="FN256" s="253"/>
      <c r="FO256" s="253"/>
      <c r="FP256" s="253"/>
      <c r="FQ256" s="253"/>
      <c r="FR256" s="253"/>
      <c r="FS256" s="253"/>
      <c r="FT256" s="253"/>
      <c r="FU256" s="253"/>
      <c r="FV256" s="253"/>
      <c r="FW256" s="253"/>
      <c r="FX256" s="253"/>
      <c r="FY256" s="253"/>
      <c r="FZ256" s="253"/>
      <c r="GA256" s="253"/>
      <c r="GB256" s="253"/>
      <c r="GC256" s="253"/>
      <c r="GD256" s="253"/>
      <c r="GE256" s="253"/>
      <c r="GF256" s="253"/>
      <c r="GG256" s="253"/>
      <c r="GH256" s="253"/>
      <c r="GI256" s="253"/>
      <c r="GJ256" s="253"/>
      <c r="GK256" s="253"/>
      <c r="GL256" s="253"/>
      <c r="GM256" s="253"/>
      <c r="GN256" s="253"/>
      <c r="GO256" s="253"/>
      <c r="GP256" s="253"/>
      <c r="GQ256" s="253"/>
      <c r="GR256" s="253"/>
      <c r="GS256" s="253"/>
      <c r="GT256" s="253"/>
      <c r="GU256" s="253"/>
      <c r="GV256" s="253"/>
      <c r="GW256" s="253"/>
      <c r="GX256" s="253"/>
      <c r="GY256" s="253"/>
      <c r="GZ256" s="253"/>
      <c r="HA256" s="253"/>
      <c r="HB256" s="253"/>
      <c r="HC256" s="253"/>
      <c r="HD256" s="253"/>
      <c r="HE256" s="253"/>
      <c r="HF256" s="253"/>
      <c r="HG256" s="253"/>
      <c r="HH256" s="253"/>
      <c r="HI256" s="253"/>
      <c r="HJ256" s="253"/>
      <c r="HK256" s="253"/>
      <c r="HL256" s="253"/>
      <c r="HM256" s="253"/>
      <c r="HN256" s="253"/>
      <c r="HO256" s="253"/>
      <c r="HP256" s="253"/>
      <c r="HQ256" s="253"/>
      <c r="HR256" s="253"/>
      <c r="HS256" s="253"/>
      <c r="HT256" s="253"/>
      <c r="HU256" s="253"/>
      <c r="HV256" s="253"/>
      <c r="HW256" s="253"/>
      <c r="HX256" s="253"/>
      <c r="HY256" s="253"/>
      <c r="HZ256" s="253"/>
      <c r="IA256" s="253"/>
      <c r="IB256" s="253"/>
      <c r="IC256" s="253"/>
      <c r="ID256" s="253"/>
      <c r="IE256" s="253"/>
      <c r="IF256" s="253"/>
      <c r="IG256" s="253"/>
      <c r="IH256" s="253"/>
      <c r="II256" s="253"/>
      <c r="IJ256" s="253"/>
      <c r="IK256" s="253"/>
      <c r="IL256" s="253"/>
      <c r="IM256" s="253"/>
      <c r="IN256" s="253"/>
      <c r="IO256" s="253"/>
      <c r="IP256" s="253"/>
      <c r="IQ256" s="253"/>
      <c r="IR256" s="253"/>
      <c r="IS256" s="253"/>
      <c r="IT256" s="253"/>
      <c r="IU256" s="253"/>
      <c r="IV256" s="253"/>
      <c r="IW256" s="253"/>
      <c r="IX256" s="253"/>
      <c r="IY256" s="253"/>
      <c r="IZ256" s="253"/>
      <c r="JA256" s="253"/>
      <c r="JB256" s="253"/>
      <c r="JC256" s="253"/>
      <c r="JD256" s="253"/>
      <c r="JE256" s="253"/>
      <c r="JF256" s="253"/>
      <c r="JG256" s="253"/>
      <c r="JH256" s="253"/>
      <c r="JI256" s="253"/>
      <c r="JJ256" s="253"/>
      <c r="JK256" s="253"/>
      <c r="JL256" s="253"/>
      <c r="JM256" s="253"/>
      <c r="JN256" s="253"/>
      <c r="JO256" s="253"/>
      <c r="JP256" s="253"/>
      <c r="JQ256" s="253"/>
      <c r="JR256" s="253"/>
      <c r="JS256" s="253"/>
      <c r="JT256" s="253"/>
      <c r="JU256" s="253"/>
      <c r="JV256" s="253"/>
      <c r="JW256" s="253"/>
      <c r="JX256" s="253"/>
      <c r="JY256" s="253"/>
      <c r="JZ256" s="253"/>
      <c r="KA256" s="253"/>
      <c r="KB256" s="253"/>
      <c r="KC256" s="253"/>
      <c r="KD256" s="253"/>
      <c r="KE256" s="253"/>
      <c r="KF256" s="253"/>
      <c r="KG256" s="253"/>
      <c r="KH256" s="253"/>
      <c r="KI256" s="253"/>
      <c r="KJ256" s="253"/>
      <c r="KK256" s="253"/>
      <c r="KL256" s="253"/>
      <c r="KM256" s="253"/>
      <c r="KN256" s="253"/>
      <c r="KO256" s="253"/>
      <c r="KP256" s="253"/>
      <c r="KQ256" s="253"/>
      <c r="KR256" s="253"/>
      <c r="KS256" s="253"/>
      <c r="KT256" s="253"/>
      <c r="KU256" s="253"/>
      <c r="KV256" s="253"/>
      <c r="KW256" s="253"/>
      <c r="KX256" s="253"/>
      <c r="KY256" s="253"/>
      <c r="KZ256" s="253"/>
      <c r="LA256" s="253"/>
      <c r="LB256" s="253"/>
      <c r="LC256" s="253"/>
      <c r="LD256" s="253"/>
      <c r="LE256" s="253"/>
      <c r="LF256" s="1296"/>
      <c r="LG256" s="253"/>
      <c r="LH256" s="253"/>
      <c r="LI256" s="253"/>
      <c r="LJ256" s="253"/>
      <c r="LK256" s="1296"/>
      <c r="LL256" s="253"/>
      <c r="LM256" s="253"/>
      <c r="LN256" s="253"/>
      <c r="LO256" s="253"/>
      <c r="LP256" s="1296"/>
      <c r="LQ256" s="253"/>
      <c r="LR256" s="253"/>
      <c r="LS256" s="253"/>
      <c r="LT256" s="253"/>
      <c r="LU256" s="1296"/>
      <c r="LV256" s="1296"/>
      <c r="LW256" s="1296"/>
      <c r="LX256" s="1296"/>
      <c r="LY256" s="1296"/>
      <c r="LZ256" s="1296"/>
      <c r="MA256" s="1296"/>
      <c r="MB256" s="1296"/>
      <c r="MC256" s="1296"/>
      <c r="MD256" s="1296"/>
      <c r="ME256" s="1296"/>
      <c r="MF256" s="1296"/>
      <c r="MG256" s="1296"/>
      <c r="MH256" s="1296"/>
      <c r="MI256" s="1296"/>
      <c r="MJ256" s="1296"/>
      <c r="MK256" s="1296"/>
      <c r="ML256" s="1296"/>
      <c r="MM256" s="1296"/>
      <c r="MN256" s="1296"/>
      <c r="MO256" s="1296"/>
      <c r="MP256" s="1296"/>
      <c r="MQ256" s="253"/>
      <c r="MR256" s="253"/>
      <c r="MS256" s="253"/>
      <c r="MT256" s="253"/>
      <c r="MU256" s="253"/>
      <c r="MV256" s="253"/>
      <c r="MW256" s="1184"/>
      <c r="MX256" s="253"/>
      <c r="MY256" s="253"/>
      <c r="MZ256" s="253"/>
      <c r="NA256" s="253"/>
      <c r="NB256" s="253"/>
      <c r="NC256" s="253"/>
      <c r="ND256" s="253"/>
      <c r="NE256" s="253"/>
      <c r="NF256" s="253"/>
      <c r="NG256" s="253"/>
      <c r="NH256" s="253"/>
      <c r="NI256" s="253"/>
      <c r="NJ256" s="253"/>
      <c r="NK256" s="253"/>
      <c r="NL256" s="253"/>
      <c r="NM256" s="1184"/>
      <c r="NN256" s="1184"/>
      <c r="NO256" s="253"/>
      <c r="NP256" s="253"/>
      <c r="NQ256" s="253"/>
      <c r="NR256" s="253"/>
      <c r="NS256" s="253"/>
      <c r="NT256" s="253"/>
      <c r="NU256" s="253"/>
      <c r="NV256" s="253"/>
      <c r="NW256" s="253"/>
      <c r="NX256" s="253"/>
      <c r="NY256" s="253"/>
      <c r="NZ256" s="253"/>
      <c r="OA256" s="253"/>
      <c r="OB256" s="253"/>
      <c r="OC256" s="253"/>
      <c r="OD256" s="253"/>
      <c r="OE256" s="253"/>
      <c r="OF256" s="253"/>
      <c r="OG256" s="253"/>
      <c r="OH256" s="253"/>
      <c r="OI256" s="253"/>
      <c r="OJ256" s="253"/>
      <c r="OK256" s="253"/>
      <c r="OL256" s="253"/>
      <c r="OM256" s="253"/>
      <c r="ON256" s="253"/>
      <c r="OO256" s="253"/>
      <c r="OP256" s="253"/>
      <c r="OQ256" s="253"/>
      <c r="OR256" s="253"/>
      <c r="OS256" s="253"/>
      <c r="OT256" s="253"/>
      <c r="OU256" s="253"/>
      <c r="OV256" s="43"/>
      <c r="OW256" s="43"/>
      <c r="OX256" s="43"/>
      <c r="OY256" s="1796"/>
      <c r="OZ256" s="1799">
        <v>252</v>
      </c>
      <c r="PA256" s="43"/>
      <c r="PB256" s="43"/>
      <c r="PC256" s="43"/>
      <c r="PD256" s="43"/>
      <c r="PE256" s="43"/>
      <c r="PF256" s="43"/>
      <c r="PG256" s="43"/>
      <c r="PH256" s="43"/>
      <c r="PI256" s="43"/>
      <c r="PJ256" s="43"/>
      <c r="PK256" s="43"/>
      <c r="PL256" s="43"/>
      <c r="PM256" s="43"/>
      <c r="PN256" s="43"/>
      <c r="PO256" s="43"/>
      <c r="PP256" s="43"/>
      <c r="PQ256" s="43"/>
      <c r="PR256" s="43"/>
      <c r="PS256" s="43"/>
      <c r="PT256" s="43"/>
      <c r="PU256" s="43"/>
      <c r="PV256" s="43"/>
      <c r="PW256" s="43"/>
      <c r="PX256" s="43"/>
      <c r="PY256" s="43"/>
      <c r="PZ256" s="43"/>
      <c r="QA256" s="43"/>
      <c r="QB256" s="43"/>
      <c r="QC256" s="43"/>
      <c r="QD256" s="43"/>
      <c r="QE256" s="43"/>
      <c r="QF256" s="43"/>
      <c r="QG256" s="43"/>
      <c r="QH256" s="43"/>
      <c r="QI256" s="43"/>
      <c r="QJ256" s="43"/>
      <c r="QK256" s="43"/>
      <c r="QL256" s="43"/>
      <c r="QM256" s="43"/>
      <c r="QN256" s="43"/>
      <c r="QO256" s="43"/>
      <c r="QP256" s="43"/>
      <c r="QQ256" s="43"/>
      <c r="QR256" s="43"/>
      <c r="QS256" s="43"/>
      <c r="QT256" s="43"/>
      <c r="QU256" s="43"/>
      <c r="QV256" s="43"/>
      <c r="QW256" s="43"/>
      <c r="QX256" s="43"/>
      <c r="QY256" s="43"/>
      <c r="QZ256" s="43"/>
      <c r="RA256" s="43"/>
      <c r="RB256" s="43"/>
      <c r="RC256" s="43"/>
      <c r="RD256" s="43"/>
      <c r="RE256" s="43"/>
      <c r="RF256" s="43"/>
      <c r="RG256" s="43"/>
      <c r="RH256" s="43"/>
      <c r="RI256" s="43"/>
      <c r="RJ256" s="43"/>
      <c r="RK256" s="43"/>
      <c r="RL256" s="43"/>
      <c r="RM256" s="43"/>
      <c r="RN256" s="43"/>
      <c r="RO256" s="43"/>
      <c r="RP256" s="43"/>
      <c r="RQ256" s="43"/>
      <c r="RR256" s="43"/>
      <c r="RS256" s="43"/>
      <c r="RT256" s="43"/>
      <c r="RU256" s="43"/>
      <c r="RV256" s="43"/>
      <c r="RW256" s="43"/>
      <c r="RX256" s="43"/>
      <c r="RY256" s="43"/>
      <c r="RZ256" s="43"/>
      <c r="SA256" s="43"/>
      <c r="SB256" s="43"/>
      <c r="SC256" s="43"/>
      <c r="SD256" s="43"/>
      <c r="SE256" s="43"/>
      <c r="SF256" s="43"/>
      <c r="SG256" s="43"/>
      <c r="SH256" s="43"/>
      <c r="SI256" s="43"/>
      <c r="SJ256" s="43"/>
      <c r="SK256" s="43"/>
      <c r="SL256" s="43"/>
      <c r="SM256" s="43"/>
      <c r="SN256" s="43"/>
      <c r="SO256" s="43"/>
      <c r="SP256" s="43"/>
      <c r="SQ256" s="43"/>
      <c r="SR256" s="43"/>
      <c r="SS256" s="43"/>
      <c r="ST256" s="43"/>
      <c r="SU256" s="43"/>
      <c r="SV256" s="43"/>
      <c r="SW256" s="43"/>
      <c r="SX256" s="43"/>
      <c r="SY256" s="43"/>
      <c r="SZ256" s="43"/>
      <c r="TA256" s="43"/>
      <c r="TB256" s="43"/>
      <c r="TC256" s="43"/>
      <c r="TD256" s="43"/>
      <c r="TE256" s="43"/>
      <c r="TF256" s="43"/>
      <c r="TG256" s="43"/>
      <c r="TH256" s="43"/>
    </row>
    <row r="257" spans="1:528" s="41" customFormat="1" ht="16.5" customHeight="1" thickBot="1">
      <c r="A257" s="43"/>
      <c r="B257" s="3715" t="s">
        <v>1306</v>
      </c>
      <c r="C257" s="3716"/>
      <c r="D257" s="3716"/>
      <c r="E257" s="3717"/>
      <c r="F257" s="3765"/>
      <c r="G257" s="3766"/>
      <c r="H257" s="1778" t="str">
        <f t="shared" si="698"/>
        <v/>
      </c>
      <c r="I257" s="43" t="s">
        <v>1325</v>
      </c>
      <c r="K257" s="258">
        <f>L257/12/P76</f>
        <v>26.041666666666668</v>
      </c>
      <c r="L257" s="3756">
        <v>30000</v>
      </c>
      <c r="M257" s="3757"/>
      <c r="N257" s="1778">
        <f>IF(OR(L257="",L257=0),"",L257/$E$58)</f>
        <v>312.5</v>
      </c>
      <c r="O257" s="564" t="s">
        <v>1326</v>
      </c>
      <c r="P257" s="2365"/>
      <c r="Q257" s="565">
        <f>Q256/P265</f>
        <v>400</v>
      </c>
      <c r="R257" s="3743" t="str">
        <f>IF(Q256&lt;Q265, "WARNING! RR proposed is below the DCA required minimum.","")</f>
        <v/>
      </c>
      <c r="S257" s="3758"/>
      <c r="T257" s="3759"/>
      <c r="U257" s="3759"/>
      <c r="V257" s="3759"/>
      <c r="W257" s="3760"/>
      <c r="X257" s="251"/>
      <c r="Y257" s="253"/>
      <c r="Z257" s="253"/>
      <c r="AA257" s="253"/>
      <c r="AB257" s="253"/>
      <c r="AC257" s="251"/>
      <c r="AD257" s="253"/>
      <c r="AE257" s="253"/>
      <c r="AF257" s="253"/>
      <c r="AG257" s="253"/>
      <c r="AH257" s="251"/>
      <c r="AI257" s="253"/>
      <c r="AJ257" s="253"/>
      <c r="AK257" s="253"/>
      <c r="AL257" s="253"/>
      <c r="AM257" s="251"/>
      <c r="AN257" s="253"/>
      <c r="AO257" s="253"/>
      <c r="AP257" s="253"/>
      <c r="AQ257" s="253"/>
      <c r="AR257" s="253"/>
      <c r="AS257" s="253"/>
      <c r="AT257" s="253"/>
      <c r="AU257" s="253"/>
      <c r="AV257" s="253"/>
      <c r="AW257" s="253"/>
      <c r="AX257" s="253"/>
      <c r="AY257" s="253"/>
      <c r="AZ257" s="253"/>
      <c r="BA257" s="253"/>
      <c r="BB257" s="253"/>
      <c r="BC257" s="253"/>
      <c r="BD257" s="253"/>
      <c r="BE257" s="253"/>
      <c r="BF257" s="253"/>
      <c r="BG257" s="253"/>
      <c r="BH257" s="253"/>
      <c r="BI257" s="253"/>
      <c r="BJ257" s="253"/>
      <c r="BK257" s="253"/>
      <c r="BL257" s="253"/>
      <c r="BM257" s="253"/>
      <c r="BN257" s="253"/>
      <c r="BO257" s="253"/>
      <c r="BP257" s="253"/>
      <c r="BQ257" s="253"/>
      <c r="BR257" s="253"/>
      <c r="BS257" s="253"/>
      <c r="BT257" s="253"/>
      <c r="BU257" s="253"/>
      <c r="BV257" s="253"/>
      <c r="BW257" s="253"/>
      <c r="BX257" s="253"/>
      <c r="BY257" s="253"/>
      <c r="BZ257" s="253"/>
      <c r="CA257" s="253"/>
      <c r="CB257" s="253"/>
      <c r="CC257" s="253"/>
      <c r="CD257" s="253"/>
      <c r="CE257" s="253"/>
      <c r="CF257" s="253"/>
      <c r="CG257" s="253"/>
      <c r="CH257" s="253"/>
      <c r="CI257" s="253"/>
      <c r="CJ257" s="253"/>
      <c r="CK257" s="253"/>
      <c r="CL257" s="253"/>
      <c r="CM257" s="253"/>
      <c r="CN257" s="253"/>
      <c r="CO257" s="253"/>
      <c r="CP257" s="253"/>
      <c r="CQ257" s="253"/>
      <c r="CR257" s="253"/>
      <c r="CS257" s="253"/>
      <c r="CT257" s="253"/>
      <c r="CU257" s="253"/>
      <c r="CV257" s="253"/>
      <c r="CW257" s="253"/>
      <c r="CX257" s="253"/>
      <c r="CY257" s="253"/>
      <c r="CZ257" s="253"/>
      <c r="DA257" s="253"/>
      <c r="DB257" s="253"/>
      <c r="DC257" s="253"/>
      <c r="DD257" s="253"/>
      <c r="DE257" s="253"/>
      <c r="DF257" s="253"/>
      <c r="DG257" s="253"/>
      <c r="DH257" s="253"/>
      <c r="DI257" s="253"/>
      <c r="DJ257" s="253"/>
      <c r="DK257" s="253"/>
      <c r="DL257" s="253"/>
      <c r="DM257" s="253"/>
      <c r="DN257" s="253"/>
      <c r="DO257" s="253"/>
      <c r="DP257" s="253"/>
      <c r="DQ257" s="253"/>
      <c r="DR257" s="253"/>
      <c r="DS257" s="253"/>
      <c r="DT257" s="253"/>
      <c r="DU257" s="253"/>
      <c r="DV257" s="253"/>
      <c r="DW257" s="253"/>
      <c r="DX257" s="253"/>
      <c r="DY257" s="253"/>
      <c r="DZ257" s="253"/>
      <c r="EA257" s="253"/>
      <c r="EB257" s="253"/>
      <c r="EC257" s="253"/>
      <c r="ED257" s="253"/>
      <c r="EE257" s="253"/>
      <c r="EF257" s="253"/>
      <c r="EG257" s="253"/>
      <c r="EH257" s="253"/>
      <c r="EI257" s="253"/>
      <c r="EJ257" s="253"/>
      <c r="EK257" s="253"/>
      <c r="EL257" s="253"/>
      <c r="EM257" s="253"/>
      <c r="EN257" s="253"/>
      <c r="EO257" s="253"/>
      <c r="EP257" s="253"/>
      <c r="EQ257" s="253"/>
      <c r="ER257" s="253"/>
      <c r="ES257" s="253"/>
      <c r="ET257" s="253"/>
      <c r="EU257" s="253"/>
      <c r="EV257" s="253"/>
      <c r="EW257" s="253"/>
      <c r="EX257" s="253"/>
      <c r="EY257" s="253"/>
      <c r="EZ257" s="253"/>
      <c r="FA257" s="253"/>
      <c r="FB257" s="253"/>
      <c r="FC257" s="253"/>
      <c r="FD257" s="253"/>
      <c r="FE257" s="253"/>
      <c r="FF257" s="253"/>
      <c r="FG257" s="253"/>
      <c r="FH257" s="253"/>
      <c r="FI257" s="253"/>
      <c r="FJ257" s="253"/>
      <c r="FK257" s="253"/>
      <c r="FL257" s="253"/>
      <c r="FM257" s="253"/>
      <c r="FN257" s="253"/>
      <c r="FO257" s="253"/>
      <c r="FP257" s="253"/>
      <c r="FQ257" s="253"/>
      <c r="FR257" s="253"/>
      <c r="FS257" s="253"/>
      <c r="FT257" s="253"/>
      <c r="FU257" s="253"/>
      <c r="FV257" s="253"/>
      <c r="FW257" s="253"/>
      <c r="FX257" s="253"/>
      <c r="FY257" s="253"/>
      <c r="FZ257" s="253"/>
      <c r="GA257" s="253"/>
      <c r="GB257" s="253"/>
      <c r="GC257" s="253"/>
      <c r="GD257" s="253"/>
      <c r="GE257" s="253"/>
      <c r="GF257" s="253"/>
      <c r="GG257" s="253"/>
      <c r="GH257" s="253"/>
      <c r="GI257" s="253"/>
      <c r="GJ257" s="253"/>
      <c r="GK257" s="253"/>
      <c r="GL257" s="253"/>
      <c r="GM257" s="253"/>
      <c r="GN257" s="253"/>
      <c r="GO257" s="253"/>
      <c r="GP257" s="253"/>
      <c r="GQ257" s="253"/>
      <c r="GR257" s="253"/>
      <c r="GS257" s="253"/>
      <c r="GT257" s="253"/>
      <c r="GU257" s="253"/>
      <c r="GV257" s="253"/>
      <c r="GW257" s="253"/>
      <c r="GX257" s="253"/>
      <c r="GY257" s="253"/>
      <c r="GZ257" s="253"/>
      <c r="HA257" s="253"/>
      <c r="HB257" s="253"/>
      <c r="HC257" s="253"/>
      <c r="HD257" s="253"/>
      <c r="HE257" s="253"/>
      <c r="HF257" s="253"/>
      <c r="HG257" s="253"/>
      <c r="HH257" s="253"/>
      <c r="HI257" s="253"/>
      <c r="HJ257" s="253"/>
      <c r="HK257" s="253"/>
      <c r="HL257" s="253"/>
      <c r="HM257" s="253"/>
      <c r="HN257" s="253"/>
      <c r="HO257" s="253"/>
      <c r="HP257" s="253"/>
      <c r="HQ257" s="253"/>
      <c r="HR257" s="253"/>
      <c r="HS257" s="253"/>
      <c r="HT257" s="253"/>
      <c r="HU257" s="253"/>
      <c r="HV257" s="253"/>
      <c r="HW257" s="253"/>
      <c r="HX257" s="253"/>
      <c r="HY257" s="253"/>
      <c r="HZ257" s="253"/>
      <c r="IA257" s="253"/>
      <c r="IB257" s="253"/>
      <c r="IC257" s="253"/>
      <c r="ID257" s="253"/>
      <c r="IE257" s="253"/>
      <c r="IF257" s="253"/>
      <c r="IG257" s="253"/>
      <c r="IH257" s="253"/>
      <c r="II257" s="253"/>
      <c r="IJ257" s="253"/>
      <c r="IK257" s="253"/>
      <c r="IL257" s="253"/>
      <c r="IM257" s="253"/>
      <c r="IN257" s="253"/>
      <c r="IO257" s="253"/>
      <c r="IP257" s="253"/>
      <c r="IQ257" s="253"/>
      <c r="IR257" s="253"/>
      <c r="IS257" s="253"/>
      <c r="IT257" s="253"/>
      <c r="IU257" s="253"/>
      <c r="IV257" s="253"/>
      <c r="IW257" s="253"/>
      <c r="IX257" s="253"/>
      <c r="IY257" s="253"/>
      <c r="IZ257" s="253"/>
      <c r="JA257" s="253"/>
      <c r="JB257" s="253"/>
      <c r="JC257" s="253"/>
      <c r="JD257" s="253"/>
      <c r="JE257" s="253"/>
      <c r="JF257" s="253"/>
      <c r="JG257" s="253"/>
      <c r="JH257" s="253"/>
      <c r="JI257" s="253"/>
      <c r="JJ257" s="253"/>
      <c r="JK257" s="253"/>
      <c r="JL257" s="253"/>
      <c r="JM257" s="253"/>
      <c r="JN257" s="253"/>
      <c r="JO257" s="253"/>
      <c r="JP257" s="253"/>
      <c r="JQ257" s="253"/>
      <c r="JR257" s="253"/>
      <c r="JS257" s="253"/>
      <c r="JT257" s="253"/>
      <c r="JU257" s="253"/>
      <c r="JV257" s="253"/>
      <c r="JW257" s="253"/>
      <c r="JX257" s="253"/>
      <c r="JY257" s="253"/>
      <c r="JZ257" s="253"/>
      <c r="KA257" s="253"/>
      <c r="KB257" s="253"/>
      <c r="KC257" s="253"/>
      <c r="KD257" s="253"/>
      <c r="KE257" s="253"/>
      <c r="KF257" s="253"/>
      <c r="KG257" s="253"/>
      <c r="KH257" s="253"/>
      <c r="KI257" s="253"/>
      <c r="KJ257" s="253"/>
      <c r="KK257" s="253"/>
      <c r="KL257" s="253"/>
      <c r="KM257" s="253"/>
      <c r="KN257" s="253"/>
      <c r="KO257" s="253"/>
      <c r="KP257" s="253"/>
      <c r="KQ257" s="253"/>
      <c r="KR257" s="253"/>
      <c r="KS257" s="253"/>
      <c r="KT257" s="253"/>
      <c r="KU257" s="253"/>
      <c r="KV257" s="253"/>
      <c r="KW257" s="253"/>
      <c r="KX257" s="253"/>
      <c r="KY257" s="253"/>
      <c r="KZ257" s="253"/>
      <c r="LA257" s="253"/>
      <c r="LB257" s="253"/>
      <c r="LC257" s="253"/>
      <c r="LD257" s="253"/>
      <c r="LE257" s="253"/>
      <c r="LF257" s="1296"/>
      <c r="LG257" s="253"/>
      <c r="LH257" s="253"/>
      <c r="LI257" s="253"/>
      <c r="LJ257" s="253"/>
      <c r="LK257" s="1296"/>
      <c r="LL257" s="253"/>
      <c r="LM257" s="253"/>
      <c r="LN257" s="253"/>
      <c r="LO257" s="253"/>
      <c r="LP257" s="1296"/>
      <c r="LQ257" s="253"/>
      <c r="LR257" s="253"/>
      <c r="LS257" s="253"/>
      <c r="LT257" s="253"/>
      <c r="LU257" s="1296"/>
      <c r="LV257" s="1296"/>
      <c r="LW257" s="1296"/>
      <c r="LX257" s="1296"/>
      <c r="LY257" s="1296"/>
      <c r="LZ257" s="1296"/>
      <c r="MA257" s="1296"/>
      <c r="MB257" s="1296"/>
      <c r="MC257" s="1296"/>
      <c r="MD257" s="1296"/>
      <c r="ME257" s="1296"/>
      <c r="MF257" s="1296"/>
      <c r="MG257" s="1296"/>
      <c r="MH257" s="1296"/>
      <c r="MI257" s="1296"/>
      <c r="MJ257" s="1296"/>
      <c r="MK257" s="1296"/>
      <c r="ML257" s="1296"/>
      <c r="MM257" s="1296"/>
      <c r="MN257" s="1296"/>
      <c r="MO257" s="1296"/>
      <c r="MP257" s="1296"/>
      <c r="MQ257" s="253"/>
      <c r="MR257" s="253"/>
      <c r="MS257" s="253"/>
      <c r="MT257" s="253"/>
      <c r="MU257" s="253"/>
      <c r="MV257" s="253"/>
      <c r="MW257" s="1184"/>
      <c r="MX257" s="253"/>
      <c r="MY257" s="253"/>
      <c r="MZ257" s="253"/>
      <c r="NA257" s="253"/>
      <c r="NB257" s="253"/>
      <c r="NC257" s="253"/>
      <c r="ND257" s="253"/>
      <c r="NE257" s="253"/>
      <c r="NF257" s="253"/>
      <c r="NG257" s="253"/>
      <c r="NH257" s="253"/>
      <c r="NI257" s="253"/>
      <c r="NJ257" s="253"/>
      <c r="NK257" s="253"/>
      <c r="NL257" s="253"/>
      <c r="NM257" s="1184"/>
      <c r="NN257" s="1184"/>
      <c r="NO257" s="253"/>
      <c r="NP257" s="253"/>
      <c r="NQ257" s="253"/>
      <c r="NR257" s="253"/>
      <c r="NS257" s="253"/>
      <c r="NT257" s="253"/>
      <c r="NU257" s="253"/>
      <c r="NV257" s="253"/>
      <c r="NW257" s="253"/>
      <c r="NX257" s="253"/>
      <c r="NY257" s="253"/>
      <c r="NZ257" s="253"/>
      <c r="OA257" s="253"/>
      <c r="OB257" s="253"/>
      <c r="OC257" s="253"/>
      <c r="OD257" s="253"/>
      <c r="OE257" s="253"/>
      <c r="OF257" s="253"/>
      <c r="OG257" s="253"/>
      <c r="OH257" s="253"/>
      <c r="OI257" s="253"/>
      <c r="OJ257" s="253"/>
      <c r="OK257" s="253"/>
      <c r="OL257" s="253"/>
      <c r="OM257" s="253"/>
      <c r="ON257" s="253"/>
      <c r="OO257" s="253"/>
      <c r="OP257" s="253"/>
      <c r="OQ257" s="253"/>
      <c r="OR257" s="253"/>
      <c r="OS257" s="253"/>
      <c r="OT257" s="253"/>
      <c r="OU257" s="253"/>
      <c r="OV257" s="43"/>
      <c r="OW257" s="43"/>
      <c r="OX257" s="43"/>
      <c r="OY257" s="1796"/>
      <c r="OZ257" s="1801">
        <v>253</v>
      </c>
      <c r="PA257" s="43"/>
      <c r="PB257" s="43"/>
      <c r="PC257" s="43"/>
      <c r="PD257" s="43"/>
      <c r="PE257" s="43"/>
      <c r="PF257" s="43"/>
      <c r="PG257" s="43"/>
      <c r="PH257" s="43"/>
      <c r="PI257" s="43"/>
      <c r="PJ257" s="43"/>
      <c r="PK257" s="43"/>
      <c r="PL257" s="43"/>
      <c r="PM257" s="43"/>
      <c r="PN257" s="43"/>
      <c r="PO257" s="43"/>
      <c r="PP257" s="43"/>
      <c r="PQ257" s="43"/>
      <c r="PR257" s="43"/>
      <c r="PS257" s="43"/>
      <c r="PT257" s="43"/>
      <c r="PU257" s="43"/>
      <c r="PV257" s="43"/>
      <c r="PW257" s="43"/>
      <c r="PX257" s="43"/>
      <c r="PY257" s="43"/>
      <c r="PZ257" s="43"/>
      <c r="QA257" s="43"/>
      <c r="QB257" s="43"/>
      <c r="QC257" s="43"/>
      <c r="QD257" s="43"/>
      <c r="QE257" s="43"/>
      <c r="QF257" s="43"/>
      <c r="QG257" s="43"/>
      <c r="QH257" s="43"/>
      <c r="QI257" s="43"/>
      <c r="QJ257" s="43"/>
      <c r="QK257" s="43"/>
      <c r="QL257" s="43"/>
      <c r="QM257" s="43"/>
      <c r="QN257" s="43"/>
      <c r="QO257" s="43"/>
      <c r="QP257" s="43"/>
      <c r="QQ257" s="43"/>
      <c r="QR257" s="43"/>
      <c r="QS257" s="43"/>
      <c r="QT257" s="43"/>
      <c r="QU257" s="43"/>
      <c r="QV257" s="43"/>
      <c r="QW257" s="43"/>
      <c r="QX257" s="43"/>
      <c r="QY257" s="43"/>
      <c r="QZ257" s="43"/>
      <c r="RA257" s="43"/>
      <c r="RB257" s="43"/>
      <c r="RC257" s="43"/>
      <c r="RD257" s="43"/>
      <c r="RE257" s="43"/>
      <c r="RF257" s="43"/>
      <c r="RG257" s="43"/>
      <c r="RH257" s="43"/>
      <c r="RI257" s="43"/>
      <c r="RJ257" s="43"/>
      <c r="RK257" s="43"/>
      <c r="RL257" s="43"/>
      <c r="RM257" s="43"/>
      <c r="RN257" s="43"/>
      <c r="RO257" s="43"/>
      <c r="RP257" s="43"/>
      <c r="RQ257" s="43"/>
      <c r="RR257" s="43"/>
      <c r="RS257" s="43"/>
      <c r="RT257" s="43"/>
      <c r="RU257" s="43"/>
      <c r="RV257" s="43"/>
      <c r="RW257" s="43"/>
      <c r="RX257" s="43"/>
      <c r="RY257" s="43"/>
      <c r="RZ257" s="43"/>
      <c r="SA257" s="43"/>
      <c r="SB257" s="43"/>
      <c r="SC257" s="43"/>
      <c r="SD257" s="43"/>
      <c r="SE257" s="43"/>
      <c r="SF257" s="43"/>
      <c r="SG257" s="43"/>
      <c r="SH257" s="43"/>
      <c r="SI257" s="43"/>
      <c r="SJ257" s="43"/>
      <c r="SK257" s="43"/>
      <c r="SL257" s="43"/>
      <c r="SM257" s="43"/>
      <c r="SN257" s="43"/>
      <c r="SO257" s="43"/>
      <c r="SP257" s="43"/>
      <c r="SQ257" s="43"/>
      <c r="SR257" s="43"/>
      <c r="SS257" s="43"/>
      <c r="ST257" s="43"/>
      <c r="SU257" s="43"/>
      <c r="SV257" s="43"/>
      <c r="SW257" s="43"/>
      <c r="SX257" s="43"/>
      <c r="SY257" s="43"/>
      <c r="SZ257" s="43"/>
      <c r="TA257" s="43"/>
      <c r="TB257" s="43"/>
      <c r="TC257" s="43"/>
      <c r="TD257" s="43"/>
      <c r="TE257" s="43"/>
      <c r="TF257" s="43"/>
      <c r="TG257" s="43"/>
      <c r="TH257" s="43"/>
    </row>
    <row r="258" spans="1:528" s="41" customFormat="1" ht="16.5" customHeight="1" thickTop="1">
      <c r="A258" s="43"/>
      <c r="B258" s="43"/>
      <c r="D258" s="43"/>
      <c r="E258" s="5" t="s">
        <v>532</v>
      </c>
      <c r="F258" s="3745">
        <f>SUM(F252:G257)</f>
        <v>33311</v>
      </c>
      <c r="G258" s="3746"/>
      <c r="H258" s="1778">
        <f t="shared" si="698"/>
        <v>346.98958333333331</v>
      </c>
      <c r="I258" s="43" t="s">
        <v>1327</v>
      </c>
      <c r="K258" s="258">
        <f>L258/12/P76</f>
        <v>0</v>
      </c>
      <c r="L258" s="3752"/>
      <c r="M258" s="3753"/>
      <c r="N258" s="1778" t="str">
        <f t="shared" ref="N258:N263" si="699">IF(OR(L258="",L258=0),"",L258/$E$58)</f>
        <v/>
      </c>
      <c r="O258" s="3747" t="s">
        <v>1328</v>
      </c>
      <c r="P258" s="3748"/>
      <c r="Q258" s="3749"/>
      <c r="R258" s="3744"/>
      <c r="S258" s="3758"/>
      <c r="T258" s="3759"/>
      <c r="U258" s="3759"/>
      <c r="V258" s="3759"/>
      <c r="W258" s="3760"/>
      <c r="X258" s="251"/>
      <c r="Y258" s="253"/>
      <c r="Z258" s="253"/>
      <c r="AA258" s="253"/>
      <c r="AB258" s="253"/>
      <c r="AC258" s="251"/>
      <c r="AD258" s="253"/>
      <c r="AE258" s="253"/>
      <c r="AF258" s="253"/>
      <c r="AG258" s="253"/>
      <c r="AH258" s="251"/>
      <c r="AI258" s="253"/>
      <c r="AJ258" s="253"/>
      <c r="AK258" s="253"/>
      <c r="AL258" s="253"/>
      <c r="AM258" s="251"/>
      <c r="AN258" s="253"/>
      <c r="AO258" s="253"/>
      <c r="AP258" s="253"/>
      <c r="AQ258" s="253"/>
      <c r="AR258" s="253"/>
      <c r="AS258" s="253"/>
      <c r="AT258" s="253"/>
      <c r="AU258" s="253"/>
      <c r="AV258" s="253"/>
      <c r="AW258" s="253"/>
      <c r="AX258" s="253"/>
      <c r="AY258" s="253"/>
      <c r="AZ258" s="253"/>
      <c r="BA258" s="253"/>
      <c r="BB258" s="253"/>
      <c r="BC258" s="253"/>
      <c r="BD258" s="253"/>
      <c r="BE258" s="253"/>
      <c r="BF258" s="253"/>
      <c r="BG258" s="253"/>
      <c r="BH258" s="253"/>
      <c r="BI258" s="253"/>
      <c r="BJ258" s="253"/>
      <c r="BK258" s="253"/>
      <c r="BL258" s="253"/>
      <c r="BM258" s="253"/>
      <c r="BN258" s="253"/>
      <c r="BO258" s="253"/>
      <c r="BP258" s="253"/>
      <c r="BQ258" s="253"/>
      <c r="BR258" s="253"/>
      <c r="BS258" s="253"/>
      <c r="BT258" s="253"/>
      <c r="BU258" s="253"/>
      <c r="BV258" s="253"/>
      <c r="BW258" s="253"/>
      <c r="BX258" s="253"/>
      <c r="BY258" s="253"/>
      <c r="BZ258" s="253"/>
      <c r="CA258" s="253"/>
      <c r="CB258" s="253"/>
      <c r="CC258" s="253"/>
      <c r="CD258" s="253"/>
      <c r="CE258" s="253"/>
      <c r="CF258" s="253"/>
      <c r="CG258" s="253"/>
      <c r="CH258" s="253"/>
      <c r="CI258" s="253"/>
      <c r="CJ258" s="253"/>
      <c r="CK258" s="253"/>
      <c r="CL258" s="253"/>
      <c r="CM258" s="253"/>
      <c r="CN258" s="253"/>
      <c r="CO258" s="253"/>
      <c r="CP258" s="253"/>
      <c r="CQ258" s="253"/>
      <c r="CR258" s="253"/>
      <c r="CS258" s="253"/>
      <c r="CT258" s="253"/>
      <c r="CU258" s="253"/>
      <c r="CV258" s="253"/>
      <c r="CW258" s="253"/>
      <c r="CX258" s="253"/>
      <c r="CY258" s="253"/>
      <c r="CZ258" s="253"/>
      <c r="DA258" s="253"/>
      <c r="DB258" s="253"/>
      <c r="DC258" s="253"/>
      <c r="DD258" s="253"/>
      <c r="DE258" s="253"/>
      <c r="DF258" s="253"/>
      <c r="DG258" s="253"/>
      <c r="DH258" s="253"/>
      <c r="DI258" s="253"/>
      <c r="DJ258" s="253"/>
      <c r="DK258" s="253"/>
      <c r="DL258" s="253"/>
      <c r="DM258" s="253"/>
      <c r="DN258" s="253"/>
      <c r="DO258" s="253"/>
      <c r="DP258" s="253"/>
      <c r="DQ258" s="253"/>
      <c r="DR258" s="253"/>
      <c r="DS258" s="253"/>
      <c r="DT258" s="253"/>
      <c r="DU258" s="253"/>
      <c r="DV258" s="253"/>
      <c r="DW258" s="253"/>
      <c r="DX258" s="253"/>
      <c r="DY258" s="253"/>
      <c r="DZ258" s="253"/>
      <c r="EA258" s="253"/>
      <c r="EB258" s="253"/>
      <c r="EC258" s="253"/>
      <c r="ED258" s="253"/>
      <c r="EE258" s="253"/>
      <c r="EF258" s="253"/>
      <c r="EG258" s="253"/>
      <c r="EH258" s="253"/>
      <c r="EI258" s="253"/>
      <c r="EJ258" s="253"/>
      <c r="EK258" s="253"/>
      <c r="EL258" s="253"/>
      <c r="EM258" s="253"/>
      <c r="EN258" s="253"/>
      <c r="EO258" s="253"/>
      <c r="EP258" s="253"/>
      <c r="EQ258" s="253"/>
      <c r="ER258" s="253"/>
      <c r="ES258" s="253"/>
      <c r="ET258" s="253"/>
      <c r="EU258" s="253"/>
      <c r="EV258" s="253"/>
      <c r="EW258" s="253"/>
      <c r="EX258" s="253"/>
      <c r="EY258" s="253"/>
      <c r="EZ258" s="253"/>
      <c r="FA258" s="253"/>
      <c r="FB258" s="253"/>
      <c r="FC258" s="253"/>
      <c r="FD258" s="253"/>
      <c r="FE258" s="253"/>
      <c r="FF258" s="253"/>
      <c r="FG258" s="253"/>
      <c r="FH258" s="253"/>
      <c r="FI258" s="253"/>
      <c r="FJ258" s="253"/>
      <c r="FK258" s="253"/>
      <c r="FL258" s="253"/>
      <c r="FM258" s="253"/>
      <c r="FN258" s="253"/>
      <c r="FO258" s="253"/>
      <c r="FP258" s="253"/>
      <c r="FQ258" s="253"/>
      <c r="FR258" s="253"/>
      <c r="FS258" s="253"/>
      <c r="FT258" s="253"/>
      <c r="FU258" s="253"/>
      <c r="FV258" s="253"/>
      <c r="FW258" s="253"/>
      <c r="FX258" s="253"/>
      <c r="FY258" s="253"/>
      <c r="FZ258" s="253"/>
      <c r="GA258" s="253"/>
      <c r="GB258" s="253"/>
      <c r="GC258" s="253"/>
      <c r="GD258" s="253"/>
      <c r="GE258" s="253"/>
      <c r="GF258" s="253"/>
      <c r="GG258" s="253"/>
      <c r="GH258" s="253"/>
      <c r="GI258" s="253"/>
      <c r="GJ258" s="253"/>
      <c r="GK258" s="253"/>
      <c r="GL258" s="253"/>
      <c r="GM258" s="253"/>
      <c r="GN258" s="253"/>
      <c r="GO258" s="253"/>
      <c r="GP258" s="253"/>
      <c r="GQ258" s="253"/>
      <c r="GR258" s="253"/>
      <c r="GS258" s="253"/>
      <c r="GT258" s="253"/>
      <c r="GU258" s="253"/>
      <c r="GV258" s="253"/>
      <c r="GW258" s="253"/>
      <c r="GX258" s="253"/>
      <c r="GY258" s="253"/>
      <c r="GZ258" s="253"/>
      <c r="HA258" s="253"/>
      <c r="HB258" s="253"/>
      <c r="HC258" s="253"/>
      <c r="HD258" s="253"/>
      <c r="HE258" s="253"/>
      <c r="HF258" s="253"/>
      <c r="HG258" s="253"/>
      <c r="HH258" s="253"/>
      <c r="HI258" s="253"/>
      <c r="HJ258" s="253"/>
      <c r="HK258" s="253"/>
      <c r="HL258" s="253"/>
      <c r="HM258" s="253"/>
      <c r="HN258" s="253"/>
      <c r="HO258" s="253"/>
      <c r="HP258" s="253"/>
      <c r="HQ258" s="253"/>
      <c r="HR258" s="253"/>
      <c r="HS258" s="253"/>
      <c r="HT258" s="253"/>
      <c r="HU258" s="253"/>
      <c r="HV258" s="253"/>
      <c r="HW258" s="253"/>
      <c r="HX258" s="253"/>
      <c r="HY258" s="253"/>
      <c r="HZ258" s="253"/>
      <c r="IA258" s="253"/>
      <c r="IB258" s="253"/>
      <c r="IC258" s="253"/>
      <c r="ID258" s="253"/>
      <c r="IE258" s="253"/>
      <c r="IF258" s="253"/>
      <c r="IG258" s="253"/>
      <c r="IH258" s="253"/>
      <c r="II258" s="253"/>
      <c r="IJ258" s="253"/>
      <c r="IK258" s="253"/>
      <c r="IL258" s="253"/>
      <c r="IM258" s="253"/>
      <c r="IN258" s="253"/>
      <c r="IO258" s="253"/>
      <c r="IP258" s="253"/>
      <c r="IQ258" s="253"/>
      <c r="IR258" s="253"/>
      <c r="IS258" s="253"/>
      <c r="IT258" s="253"/>
      <c r="IU258" s="253"/>
      <c r="IV258" s="253"/>
      <c r="IW258" s="253"/>
      <c r="IX258" s="253"/>
      <c r="IY258" s="253"/>
      <c r="IZ258" s="253"/>
      <c r="JA258" s="253"/>
      <c r="JB258" s="253"/>
      <c r="JC258" s="253"/>
      <c r="JD258" s="253"/>
      <c r="JE258" s="253"/>
      <c r="JF258" s="253"/>
      <c r="JG258" s="253"/>
      <c r="JH258" s="253"/>
      <c r="JI258" s="253"/>
      <c r="JJ258" s="253"/>
      <c r="JK258" s="253"/>
      <c r="JL258" s="253"/>
      <c r="JM258" s="253"/>
      <c r="JN258" s="253"/>
      <c r="JO258" s="253"/>
      <c r="JP258" s="253"/>
      <c r="JQ258" s="253"/>
      <c r="JR258" s="253"/>
      <c r="JS258" s="253"/>
      <c r="JT258" s="253"/>
      <c r="JU258" s="253"/>
      <c r="JV258" s="253"/>
      <c r="JW258" s="253"/>
      <c r="JX258" s="253"/>
      <c r="JY258" s="253"/>
      <c r="JZ258" s="253"/>
      <c r="KA258" s="253"/>
      <c r="KB258" s="253"/>
      <c r="KC258" s="253"/>
      <c r="KD258" s="253"/>
      <c r="KE258" s="253"/>
      <c r="KF258" s="253"/>
      <c r="KG258" s="253"/>
      <c r="KH258" s="253"/>
      <c r="KI258" s="253"/>
      <c r="KJ258" s="253"/>
      <c r="KK258" s="253"/>
      <c r="KL258" s="253"/>
      <c r="KM258" s="253"/>
      <c r="KN258" s="253"/>
      <c r="KO258" s="253"/>
      <c r="KP258" s="253"/>
      <c r="KQ258" s="253"/>
      <c r="KR258" s="253"/>
      <c r="KS258" s="253"/>
      <c r="KT258" s="253"/>
      <c r="KU258" s="253"/>
      <c r="KV258" s="253"/>
      <c r="KW258" s="253"/>
      <c r="KX258" s="253"/>
      <c r="KY258" s="253"/>
      <c r="KZ258" s="253"/>
      <c r="LA258" s="253"/>
      <c r="LB258" s="253"/>
      <c r="LC258" s="253"/>
      <c r="LD258" s="253"/>
      <c r="LE258" s="253"/>
      <c r="LF258" s="1296"/>
      <c r="LG258" s="253"/>
      <c r="LH258" s="253"/>
      <c r="LI258" s="253"/>
      <c r="LJ258" s="253"/>
      <c r="LK258" s="1296"/>
      <c r="LL258" s="253"/>
      <c r="LM258" s="253"/>
      <c r="LN258" s="253"/>
      <c r="LO258" s="253"/>
      <c r="LP258" s="1296"/>
      <c r="LQ258" s="253"/>
      <c r="LR258" s="253"/>
      <c r="LS258" s="253"/>
      <c r="LT258" s="253"/>
      <c r="LU258" s="1296"/>
      <c r="LV258" s="1296"/>
      <c r="LW258" s="1296"/>
      <c r="LX258" s="1296"/>
      <c r="LY258" s="1296"/>
      <c r="LZ258" s="1296"/>
      <c r="MA258" s="1296"/>
      <c r="MB258" s="1296"/>
      <c r="MC258" s="1296"/>
      <c r="MD258" s="1296"/>
      <c r="ME258" s="1296"/>
      <c r="MF258" s="1296"/>
      <c r="MG258" s="1296"/>
      <c r="MH258" s="1296"/>
      <c r="MI258" s="1296"/>
      <c r="MJ258" s="1296"/>
      <c r="MK258" s="1296"/>
      <c r="ML258" s="1296"/>
      <c r="MM258" s="1296"/>
      <c r="MN258" s="1296"/>
      <c r="MO258" s="1296"/>
      <c r="MP258" s="1296"/>
      <c r="MQ258" s="253"/>
      <c r="MR258" s="253"/>
      <c r="MS258" s="253"/>
      <c r="MT258" s="253"/>
      <c r="MU258" s="253"/>
      <c r="MV258" s="253"/>
      <c r="MW258" s="1184"/>
      <c r="MX258" s="253"/>
      <c r="MY258" s="253"/>
      <c r="MZ258" s="253"/>
      <c r="NA258" s="253"/>
      <c r="NB258" s="253"/>
      <c r="NC258" s="253"/>
      <c r="ND258" s="253"/>
      <c r="NE258" s="253"/>
      <c r="NF258" s="253"/>
      <c r="NG258" s="253"/>
      <c r="NH258" s="253"/>
      <c r="NI258" s="253"/>
      <c r="NJ258" s="253"/>
      <c r="NK258" s="253"/>
      <c r="NL258" s="253"/>
      <c r="NM258" s="1184"/>
      <c r="NN258" s="1184"/>
      <c r="NO258" s="253"/>
      <c r="NP258" s="253"/>
      <c r="NQ258" s="253"/>
      <c r="NR258" s="253"/>
      <c r="NS258" s="253"/>
      <c r="NT258" s="253"/>
      <c r="NU258" s="253"/>
      <c r="NV258" s="253"/>
      <c r="NW258" s="253"/>
      <c r="NX258" s="253"/>
      <c r="NY258" s="253"/>
      <c r="NZ258" s="253"/>
      <c r="OA258" s="253"/>
      <c r="OB258" s="253"/>
      <c r="OC258" s="253"/>
      <c r="OD258" s="253"/>
      <c r="OE258" s="253"/>
      <c r="OF258" s="253"/>
      <c r="OG258" s="253"/>
      <c r="OH258" s="253"/>
      <c r="OI258" s="253"/>
      <c r="OJ258" s="253"/>
      <c r="OK258" s="253"/>
      <c r="OL258" s="253"/>
      <c r="OM258" s="253"/>
      <c r="ON258" s="253"/>
      <c r="OO258" s="253"/>
      <c r="OP258" s="253"/>
      <c r="OQ258" s="253"/>
      <c r="OR258" s="253"/>
      <c r="OS258" s="253"/>
      <c r="OT258" s="253"/>
      <c r="OU258" s="253"/>
      <c r="OV258" s="43"/>
      <c r="OW258" s="43"/>
      <c r="OX258" s="43"/>
      <c r="OY258" s="1796"/>
      <c r="OZ258" s="1799">
        <v>254</v>
      </c>
      <c r="PA258" s="43"/>
      <c r="PB258" s="43"/>
      <c r="PC258" s="43"/>
      <c r="PD258" s="43"/>
      <c r="PE258" s="43"/>
      <c r="PF258" s="43"/>
      <c r="PG258" s="43"/>
      <c r="PH258" s="43"/>
      <c r="PI258" s="43"/>
      <c r="PJ258" s="43"/>
      <c r="PK258" s="43"/>
      <c r="PL258" s="43"/>
      <c r="PM258" s="43"/>
      <c r="PN258" s="43"/>
      <c r="PO258" s="43"/>
      <c r="PP258" s="43"/>
      <c r="PQ258" s="43"/>
      <c r="PR258" s="43"/>
      <c r="PS258" s="43"/>
      <c r="PT258" s="43"/>
      <c r="PU258" s="43"/>
      <c r="PV258" s="43"/>
      <c r="PW258" s="43"/>
      <c r="PX258" s="43"/>
      <c r="PY258" s="43"/>
      <c r="PZ258" s="43"/>
      <c r="QA258" s="43"/>
      <c r="QB258" s="43"/>
      <c r="QC258" s="43"/>
      <c r="QD258" s="43"/>
      <c r="QE258" s="43"/>
      <c r="QF258" s="43"/>
      <c r="QG258" s="43"/>
      <c r="QH258" s="43"/>
      <c r="QI258" s="43"/>
      <c r="QJ258" s="43"/>
      <c r="QK258" s="43"/>
      <c r="QL258" s="43"/>
      <c r="QM258" s="43"/>
      <c r="QN258" s="43"/>
      <c r="QO258" s="43"/>
      <c r="QP258" s="43"/>
      <c r="QQ258" s="43"/>
      <c r="QR258" s="43"/>
      <c r="QS258" s="43"/>
      <c r="QT258" s="43"/>
      <c r="QU258" s="43"/>
      <c r="QV258" s="43"/>
      <c r="QW258" s="43"/>
      <c r="QX258" s="43"/>
      <c r="QY258" s="43"/>
      <c r="QZ258" s="43"/>
      <c r="RA258" s="43"/>
      <c r="RB258" s="43"/>
      <c r="RC258" s="43"/>
      <c r="RD258" s="43"/>
      <c r="RE258" s="43"/>
      <c r="RF258" s="43"/>
      <c r="RG258" s="43"/>
      <c r="RH258" s="43"/>
      <c r="RI258" s="43"/>
      <c r="RJ258" s="43"/>
      <c r="RK258" s="43"/>
      <c r="RL258" s="43"/>
      <c r="RM258" s="43"/>
      <c r="RN258" s="43"/>
      <c r="RO258" s="43"/>
      <c r="RP258" s="43"/>
      <c r="RQ258" s="43"/>
      <c r="RR258" s="43"/>
      <c r="RS258" s="43"/>
      <c r="RT258" s="43"/>
      <c r="RU258" s="43"/>
      <c r="RV258" s="43"/>
      <c r="RW258" s="43"/>
      <c r="RX258" s="43"/>
      <c r="RY258" s="43"/>
      <c r="RZ258" s="43"/>
      <c r="SA258" s="43"/>
      <c r="SB258" s="43"/>
      <c r="SC258" s="43"/>
      <c r="SD258" s="43"/>
      <c r="SE258" s="43"/>
      <c r="SF258" s="43"/>
      <c r="SG258" s="43"/>
      <c r="SH258" s="43"/>
      <c r="SI258" s="43"/>
      <c r="SJ258" s="43"/>
      <c r="SK258" s="43"/>
      <c r="SL258" s="43"/>
      <c r="SM258" s="43"/>
      <c r="SN258" s="43"/>
      <c r="SO258" s="43"/>
      <c r="SP258" s="43"/>
      <c r="SQ258" s="43"/>
      <c r="SR258" s="43"/>
      <c r="SS258" s="43"/>
      <c r="ST258" s="43"/>
      <c r="SU258" s="43"/>
      <c r="SV258" s="43"/>
      <c r="SW258" s="43"/>
      <c r="SX258" s="43"/>
      <c r="SY258" s="43"/>
      <c r="SZ258" s="43"/>
      <c r="TA258" s="43"/>
      <c r="TB258" s="43"/>
      <c r="TC258" s="43"/>
      <c r="TD258" s="43"/>
      <c r="TE258" s="43"/>
      <c r="TF258" s="43"/>
      <c r="TG258" s="43"/>
      <c r="TH258" s="43"/>
    </row>
    <row r="259" spans="1:528" s="41" customFormat="1" ht="16.5" customHeight="1">
      <c r="A259" s="43"/>
      <c r="B259" s="43"/>
      <c r="C259" s="43"/>
      <c r="D259" s="5"/>
      <c r="E259" s="43"/>
      <c r="F259" s="2373"/>
      <c r="G259" s="2373"/>
      <c r="H259" s="43"/>
      <c r="I259" s="43" t="s">
        <v>1329</v>
      </c>
      <c r="K259" s="258">
        <f>L259/12/P76</f>
        <v>17.361111111111111</v>
      </c>
      <c r="L259" s="3752">
        <v>20000</v>
      </c>
      <c r="M259" s="3753"/>
      <c r="N259" s="1778">
        <f t="shared" si="699"/>
        <v>208.33333333333334</v>
      </c>
      <c r="O259" s="559" t="s">
        <v>1330</v>
      </c>
      <c r="P259" s="492" t="s">
        <v>1331</v>
      </c>
      <c r="Q259" s="560" t="s">
        <v>1332</v>
      </c>
      <c r="R259" s="3744"/>
      <c r="S259" s="3758"/>
      <c r="T259" s="3759"/>
      <c r="U259" s="3759"/>
      <c r="V259" s="3759"/>
      <c r="W259" s="3760"/>
      <c r="X259" s="253"/>
      <c r="Y259" s="253"/>
      <c r="Z259" s="253"/>
      <c r="AA259" s="253"/>
      <c r="AB259" s="253"/>
      <c r="AC259" s="253"/>
      <c r="AD259" s="253"/>
      <c r="AE259" s="253"/>
      <c r="AF259" s="253"/>
      <c r="AG259" s="253"/>
      <c r="AH259" s="253"/>
      <c r="AI259" s="253"/>
      <c r="AJ259" s="253"/>
      <c r="AK259" s="253"/>
      <c r="AL259" s="253"/>
      <c r="AM259" s="253"/>
      <c r="AN259" s="253"/>
      <c r="AO259" s="253"/>
      <c r="AP259" s="253"/>
      <c r="AQ259" s="253"/>
      <c r="AR259" s="253"/>
      <c r="AS259" s="253"/>
      <c r="AT259" s="253"/>
      <c r="AU259" s="253"/>
      <c r="AV259" s="253"/>
      <c r="AW259" s="253"/>
      <c r="AX259" s="253"/>
      <c r="AY259" s="253"/>
      <c r="AZ259" s="253"/>
      <c r="BA259" s="253"/>
      <c r="BB259" s="253"/>
      <c r="BC259" s="253"/>
      <c r="BD259" s="253"/>
      <c r="BE259" s="253"/>
      <c r="BF259" s="253"/>
      <c r="BG259" s="253"/>
      <c r="BH259" s="253"/>
      <c r="BI259" s="253"/>
      <c r="BJ259" s="253"/>
      <c r="BK259" s="253"/>
      <c r="BL259" s="253"/>
      <c r="BM259" s="253"/>
      <c r="BN259" s="253"/>
      <c r="BO259" s="253"/>
      <c r="BP259" s="253"/>
      <c r="BQ259" s="253"/>
      <c r="BR259" s="253"/>
      <c r="BS259" s="253"/>
      <c r="BT259" s="253"/>
      <c r="BU259" s="253"/>
      <c r="BV259" s="253"/>
      <c r="BW259" s="253"/>
      <c r="BX259" s="253"/>
      <c r="BY259" s="253"/>
      <c r="BZ259" s="253"/>
      <c r="CA259" s="253"/>
      <c r="CB259" s="253"/>
      <c r="CC259" s="253"/>
      <c r="CD259" s="253"/>
      <c r="CE259" s="253"/>
      <c r="CF259" s="253"/>
      <c r="CG259" s="253"/>
      <c r="CH259" s="253"/>
      <c r="CI259" s="253"/>
      <c r="CJ259" s="253"/>
      <c r="CK259" s="253"/>
      <c r="CL259" s="253"/>
      <c r="CM259" s="253"/>
      <c r="CN259" s="253"/>
      <c r="CO259" s="253"/>
      <c r="CP259" s="253"/>
      <c r="CQ259" s="253"/>
      <c r="CR259" s="253"/>
      <c r="CS259" s="253"/>
      <c r="CT259" s="253"/>
      <c r="CU259" s="253"/>
      <c r="CV259" s="253"/>
      <c r="CW259" s="253"/>
      <c r="CX259" s="253"/>
      <c r="CY259" s="253"/>
      <c r="CZ259" s="253"/>
      <c r="DA259" s="253"/>
      <c r="DB259" s="253"/>
      <c r="DC259" s="253"/>
      <c r="DD259" s="253"/>
      <c r="DE259" s="253"/>
      <c r="DF259" s="253"/>
      <c r="DG259" s="253"/>
      <c r="DH259" s="253"/>
      <c r="DI259" s="253"/>
      <c r="DJ259" s="253"/>
      <c r="DK259" s="253"/>
      <c r="DL259" s="253"/>
      <c r="DM259" s="253"/>
      <c r="DN259" s="253"/>
      <c r="DO259" s="253"/>
      <c r="DP259" s="253"/>
      <c r="DQ259" s="253"/>
      <c r="DR259" s="253"/>
      <c r="DS259" s="253"/>
      <c r="DT259" s="253"/>
      <c r="DU259" s="253"/>
      <c r="DV259" s="253"/>
      <c r="DW259" s="253"/>
      <c r="DX259" s="253"/>
      <c r="DY259" s="253"/>
      <c r="DZ259" s="253"/>
      <c r="EA259" s="253"/>
      <c r="EB259" s="253"/>
      <c r="EC259" s="253"/>
      <c r="ED259" s="253"/>
      <c r="EE259" s="253"/>
      <c r="EF259" s="253"/>
      <c r="EG259" s="253"/>
      <c r="EH259" s="253"/>
      <c r="EI259" s="253"/>
      <c r="EJ259" s="253"/>
      <c r="EK259" s="253"/>
      <c r="EL259" s="253"/>
      <c r="EM259" s="253"/>
      <c r="EN259" s="253"/>
      <c r="EO259" s="253"/>
      <c r="EP259" s="253"/>
      <c r="EQ259" s="253"/>
      <c r="ER259" s="253"/>
      <c r="ES259" s="253"/>
      <c r="ET259" s="253"/>
      <c r="EU259" s="253"/>
      <c r="EV259" s="253"/>
      <c r="EW259" s="253"/>
      <c r="EX259" s="253"/>
      <c r="EY259" s="253"/>
      <c r="EZ259" s="253"/>
      <c r="FA259" s="253"/>
      <c r="FB259" s="253"/>
      <c r="FC259" s="253"/>
      <c r="FD259" s="253"/>
      <c r="FE259" s="253"/>
      <c r="FF259" s="253"/>
      <c r="FG259" s="253"/>
      <c r="FH259" s="253"/>
      <c r="FI259" s="253"/>
      <c r="FJ259" s="253"/>
      <c r="FK259" s="253"/>
      <c r="FL259" s="253"/>
      <c r="FM259" s="253"/>
      <c r="FN259" s="253"/>
      <c r="FO259" s="253"/>
      <c r="FP259" s="253"/>
      <c r="FQ259" s="253"/>
      <c r="FR259" s="253"/>
      <c r="FS259" s="253"/>
      <c r="FT259" s="253"/>
      <c r="FU259" s="253"/>
      <c r="FV259" s="253"/>
      <c r="FW259" s="253"/>
      <c r="FX259" s="253"/>
      <c r="FY259" s="253"/>
      <c r="FZ259" s="253"/>
      <c r="GA259" s="253"/>
      <c r="GB259" s="253"/>
      <c r="GC259" s="253"/>
      <c r="GD259" s="253"/>
      <c r="GE259" s="253"/>
      <c r="GF259" s="253"/>
      <c r="GG259" s="253"/>
      <c r="GH259" s="253"/>
      <c r="GI259" s="253"/>
      <c r="GJ259" s="253"/>
      <c r="GK259" s="253"/>
      <c r="GL259" s="253"/>
      <c r="GM259" s="253"/>
      <c r="GN259" s="253"/>
      <c r="GO259" s="253"/>
      <c r="GP259" s="253"/>
      <c r="GQ259" s="253"/>
      <c r="GR259" s="253"/>
      <c r="GS259" s="253"/>
      <c r="GT259" s="253"/>
      <c r="GU259" s="253"/>
      <c r="GV259" s="253"/>
      <c r="GW259" s="253"/>
      <c r="GX259" s="253"/>
      <c r="GY259" s="253"/>
      <c r="GZ259" s="253"/>
      <c r="HA259" s="253"/>
      <c r="HB259" s="253"/>
      <c r="HC259" s="253"/>
      <c r="HD259" s="253"/>
      <c r="HE259" s="253"/>
      <c r="HF259" s="253"/>
      <c r="HG259" s="253"/>
      <c r="HH259" s="253"/>
      <c r="HI259" s="253"/>
      <c r="HJ259" s="253"/>
      <c r="HK259" s="253"/>
      <c r="HL259" s="253"/>
      <c r="HM259" s="253"/>
      <c r="HN259" s="253"/>
      <c r="HO259" s="253"/>
      <c r="HP259" s="253"/>
      <c r="HQ259" s="253"/>
      <c r="HR259" s="253"/>
      <c r="HS259" s="253"/>
      <c r="HT259" s="253"/>
      <c r="HU259" s="253"/>
      <c r="HV259" s="253"/>
      <c r="HW259" s="253"/>
      <c r="HX259" s="253"/>
      <c r="HY259" s="253"/>
      <c r="HZ259" s="253"/>
      <c r="IA259" s="253"/>
      <c r="IB259" s="253"/>
      <c r="IC259" s="253"/>
      <c r="ID259" s="253"/>
      <c r="IE259" s="253"/>
      <c r="IF259" s="253"/>
      <c r="IG259" s="253"/>
      <c r="IH259" s="253"/>
      <c r="II259" s="253"/>
      <c r="IJ259" s="253"/>
      <c r="IK259" s="253"/>
      <c r="IL259" s="253"/>
      <c r="IM259" s="253"/>
      <c r="IN259" s="253"/>
      <c r="IO259" s="253"/>
      <c r="IP259" s="253"/>
      <c r="IQ259" s="253"/>
      <c r="IR259" s="253"/>
      <c r="IS259" s="253"/>
      <c r="IT259" s="253"/>
      <c r="IU259" s="253"/>
      <c r="IV259" s="253"/>
      <c r="IW259" s="253"/>
      <c r="IX259" s="253"/>
      <c r="IY259" s="253"/>
      <c r="IZ259" s="253"/>
      <c r="JA259" s="253"/>
      <c r="JB259" s="253"/>
      <c r="JC259" s="253"/>
      <c r="JD259" s="253"/>
      <c r="JE259" s="253"/>
      <c r="JF259" s="253"/>
      <c r="JG259" s="253"/>
      <c r="JH259" s="253"/>
      <c r="JI259" s="253"/>
      <c r="JJ259" s="253"/>
      <c r="JK259" s="253"/>
      <c r="JL259" s="253"/>
      <c r="JM259" s="253"/>
      <c r="JN259" s="253"/>
      <c r="JO259" s="253"/>
      <c r="JP259" s="253"/>
      <c r="JQ259" s="253"/>
      <c r="JR259" s="253"/>
      <c r="JS259" s="253"/>
      <c r="JT259" s="253"/>
      <c r="JU259" s="253"/>
      <c r="JV259" s="253"/>
      <c r="JW259" s="253"/>
      <c r="JX259" s="253"/>
      <c r="JY259" s="253"/>
      <c r="JZ259" s="253"/>
      <c r="KA259" s="253"/>
      <c r="KB259" s="253"/>
      <c r="KC259" s="253"/>
      <c r="KD259" s="253"/>
      <c r="KE259" s="253"/>
      <c r="KF259" s="253"/>
      <c r="KG259" s="253"/>
      <c r="KH259" s="253"/>
      <c r="KI259" s="253"/>
      <c r="KJ259" s="253"/>
      <c r="KK259" s="253"/>
      <c r="KL259" s="253"/>
      <c r="KM259" s="253"/>
      <c r="KN259" s="253"/>
      <c r="KO259" s="253"/>
      <c r="KP259" s="253"/>
      <c r="KQ259" s="253"/>
      <c r="KR259" s="253"/>
      <c r="KS259" s="253"/>
      <c r="KT259" s="253"/>
      <c r="KU259" s="253"/>
      <c r="KV259" s="253"/>
      <c r="KW259" s="253"/>
      <c r="KX259" s="253"/>
      <c r="KY259" s="253"/>
      <c r="KZ259" s="253"/>
      <c r="LA259" s="253"/>
      <c r="LB259" s="253"/>
      <c r="LC259" s="253"/>
      <c r="LD259" s="253"/>
      <c r="LE259" s="253"/>
      <c r="LF259" s="1296"/>
      <c r="LG259" s="253"/>
      <c r="LH259" s="253"/>
      <c r="LI259" s="253"/>
      <c r="LJ259" s="253"/>
      <c r="LK259" s="1296"/>
      <c r="LL259" s="253"/>
      <c r="LM259" s="253"/>
      <c r="LN259" s="253"/>
      <c r="LO259" s="253"/>
      <c r="LP259" s="1296"/>
      <c r="LQ259" s="253"/>
      <c r="LR259" s="253"/>
      <c r="LS259" s="253"/>
      <c r="LT259" s="253"/>
      <c r="LU259" s="1296"/>
      <c r="LV259" s="1296"/>
      <c r="LW259" s="1296"/>
      <c r="LX259" s="1296"/>
      <c r="LY259" s="1296"/>
      <c r="LZ259" s="1296"/>
      <c r="MA259" s="1296"/>
      <c r="MB259" s="1296"/>
      <c r="MC259" s="1296"/>
      <c r="MD259" s="1296"/>
      <c r="ME259" s="1296"/>
      <c r="MF259" s="1296"/>
      <c r="MG259" s="1296"/>
      <c r="MH259" s="1296"/>
      <c r="MI259" s="1296"/>
      <c r="MJ259" s="1296"/>
      <c r="MK259" s="1296"/>
      <c r="ML259" s="1296"/>
      <c r="MM259" s="1296"/>
      <c r="MN259" s="1296"/>
      <c r="MO259" s="1296"/>
      <c r="MP259" s="1296"/>
      <c r="MQ259" s="253"/>
      <c r="MR259" s="253"/>
      <c r="MS259" s="253"/>
      <c r="MT259" s="253"/>
      <c r="MU259" s="253"/>
      <c r="MV259" s="253"/>
      <c r="MW259" s="1184"/>
      <c r="MX259" s="253"/>
      <c r="MY259" s="253"/>
      <c r="MZ259" s="253"/>
      <c r="NA259" s="253"/>
      <c r="NB259" s="253"/>
      <c r="NC259" s="253"/>
      <c r="ND259" s="253"/>
      <c r="NE259" s="253"/>
      <c r="NF259" s="253"/>
      <c r="NG259" s="253"/>
      <c r="NH259" s="253"/>
      <c r="NI259" s="253"/>
      <c r="NJ259" s="253"/>
      <c r="NK259" s="253"/>
      <c r="NL259" s="253"/>
      <c r="NM259" s="1184"/>
      <c r="NN259" s="1184"/>
      <c r="NO259" s="253"/>
      <c r="NP259" s="253"/>
      <c r="NQ259" s="253"/>
      <c r="NR259" s="253"/>
      <c r="NS259" s="253"/>
      <c r="NT259" s="253"/>
      <c r="NU259" s="253"/>
      <c r="NV259" s="253"/>
      <c r="NW259" s="253"/>
      <c r="NX259" s="253"/>
      <c r="NY259" s="253"/>
      <c r="NZ259" s="253"/>
      <c r="OA259" s="253"/>
      <c r="OB259" s="253"/>
      <c r="OC259" s="253"/>
      <c r="OD259" s="253"/>
      <c r="OE259" s="253"/>
      <c r="OF259" s="253"/>
      <c r="OG259" s="253"/>
      <c r="OH259" s="253"/>
      <c r="OI259" s="253"/>
      <c r="OJ259" s="253"/>
      <c r="OK259" s="253"/>
      <c r="OL259" s="253"/>
      <c r="OM259" s="253"/>
      <c r="ON259" s="253"/>
      <c r="OO259" s="253"/>
      <c r="OP259" s="253"/>
      <c r="OQ259" s="253"/>
      <c r="OR259" s="253"/>
      <c r="OS259" s="253"/>
      <c r="OT259" s="253"/>
      <c r="OU259" s="253"/>
      <c r="OV259" s="43"/>
      <c r="OW259" s="43"/>
      <c r="OX259" s="43"/>
      <c r="OY259" s="1796" t="s">
        <v>604</v>
      </c>
      <c r="OZ259" s="1798">
        <v>255</v>
      </c>
      <c r="PA259" s="43"/>
      <c r="PB259" s="43"/>
      <c r="PC259" s="43"/>
      <c r="PD259" s="43"/>
      <c r="PE259" s="43"/>
      <c r="PF259" s="43"/>
      <c r="PG259" s="43"/>
      <c r="PH259" s="43"/>
      <c r="PI259" s="43"/>
      <c r="PJ259" s="43"/>
      <c r="PK259" s="43"/>
      <c r="PL259" s="43"/>
      <c r="PM259" s="43"/>
      <c r="PN259" s="43"/>
      <c r="PO259" s="43"/>
      <c r="PP259" s="43"/>
      <c r="PQ259" s="43"/>
      <c r="PR259" s="43"/>
      <c r="PS259" s="43"/>
      <c r="PT259" s="43"/>
      <c r="PU259" s="43"/>
      <c r="PV259" s="43"/>
      <c r="PW259" s="43"/>
      <c r="PX259" s="43"/>
      <c r="PY259" s="43"/>
      <c r="PZ259" s="43"/>
      <c r="QA259" s="43"/>
      <c r="QB259" s="43"/>
      <c r="QC259" s="43"/>
      <c r="QD259" s="43"/>
      <c r="QE259" s="43"/>
      <c r="QF259" s="43"/>
      <c r="QG259" s="43"/>
      <c r="QH259" s="43"/>
      <c r="QI259" s="43"/>
      <c r="QJ259" s="43"/>
      <c r="QK259" s="43"/>
      <c r="QL259" s="43"/>
      <c r="QM259" s="43"/>
      <c r="QN259" s="43"/>
      <c r="QO259" s="43"/>
      <c r="QP259" s="43"/>
      <c r="QQ259" s="43"/>
      <c r="QR259" s="43"/>
      <c r="QS259" s="43"/>
      <c r="QT259" s="43"/>
      <c r="QU259" s="43"/>
      <c r="QV259" s="43"/>
      <c r="QW259" s="43"/>
      <c r="QX259" s="43"/>
      <c r="QY259" s="43"/>
      <c r="QZ259" s="43"/>
      <c r="RA259" s="43"/>
      <c r="RB259" s="43"/>
      <c r="RC259" s="43"/>
      <c r="RD259" s="43"/>
      <c r="RE259" s="43"/>
      <c r="RF259" s="43"/>
      <c r="RG259" s="43"/>
      <c r="RH259" s="43"/>
      <c r="RI259" s="43"/>
      <c r="RJ259" s="43"/>
      <c r="RK259" s="43"/>
      <c r="RL259" s="43"/>
      <c r="RM259" s="43"/>
      <c r="RN259" s="43"/>
      <c r="RO259" s="43"/>
      <c r="RP259" s="43"/>
      <c r="RQ259" s="43"/>
      <c r="RR259" s="43"/>
      <c r="RS259" s="43"/>
      <c r="RT259" s="43"/>
      <c r="RU259" s="43"/>
      <c r="RV259" s="43"/>
      <c r="RW259" s="43"/>
      <c r="RX259" s="43"/>
      <c r="RY259" s="43"/>
      <c r="RZ259" s="43"/>
      <c r="SA259" s="43"/>
      <c r="SB259" s="43"/>
      <c r="SC259" s="43"/>
      <c r="SD259" s="43"/>
      <c r="SE259" s="43"/>
      <c r="SF259" s="43"/>
      <c r="SG259" s="43"/>
      <c r="SH259" s="43"/>
      <c r="SI259" s="43"/>
      <c r="SJ259" s="43"/>
      <c r="SK259" s="43"/>
      <c r="SL259" s="43"/>
      <c r="SM259" s="43"/>
      <c r="SN259" s="43"/>
      <c r="SO259" s="43"/>
      <c r="SP259" s="43"/>
      <c r="SQ259" s="43"/>
      <c r="SR259" s="43"/>
      <c r="SS259" s="43"/>
      <c r="ST259" s="43"/>
      <c r="SU259" s="43"/>
      <c r="SV259" s="43"/>
      <c r="SW259" s="43"/>
      <c r="SX259" s="43"/>
      <c r="SY259" s="43"/>
      <c r="SZ259" s="43"/>
      <c r="TA259" s="43"/>
      <c r="TB259" s="43"/>
      <c r="TC259" s="43"/>
      <c r="TD259" s="43"/>
      <c r="TE259" s="43"/>
      <c r="TF259" s="43"/>
      <c r="TG259" s="43"/>
      <c r="TH259" s="43"/>
    </row>
    <row r="260" spans="1:528" s="41" customFormat="1" ht="16.5" customHeight="1">
      <c r="A260" s="43"/>
      <c r="B260" s="3" t="s">
        <v>1333</v>
      </c>
      <c r="C260" s="43"/>
      <c r="D260" s="2375"/>
      <c r="E260" s="43"/>
      <c r="F260" s="43"/>
      <c r="G260" s="43"/>
      <c r="H260" s="43"/>
      <c r="I260" s="43" t="s">
        <v>1334</v>
      </c>
      <c r="K260" s="258">
        <f>L260/12/P76</f>
        <v>0</v>
      </c>
      <c r="L260" s="3752"/>
      <c r="M260" s="3753"/>
      <c r="N260" s="1778" t="str">
        <f t="shared" si="699"/>
        <v/>
      </c>
      <c r="O260" s="352" t="s">
        <v>649</v>
      </c>
      <c r="Q260" s="353"/>
      <c r="R260" s="3744"/>
      <c r="S260" s="3758"/>
      <c r="T260" s="3759"/>
      <c r="U260" s="3759"/>
      <c r="V260" s="3759"/>
      <c r="W260" s="3760"/>
      <c r="X260" s="251"/>
      <c r="Y260" s="253"/>
      <c r="Z260" s="253"/>
      <c r="AA260" s="253"/>
      <c r="AB260" s="253"/>
      <c r="AC260" s="251"/>
      <c r="AD260" s="253"/>
      <c r="AE260" s="253"/>
      <c r="AF260" s="253"/>
      <c r="AG260" s="253"/>
      <c r="AH260" s="251"/>
      <c r="AI260" s="253"/>
      <c r="AJ260" s="253"/>
      <c r="AK260" s="253"/>
      <c r="AL260" s="253"/>
      <c r="AM260" s="251"/>
      <c r="AN260" s="253"/>
      <c r="AO260" s="253"/>
      <c r="AP260" s="253"/>
      <c r="AQ260" s="253"/>
      <c r="AR260" s="253"/>
      <c r="AS260" s="253"/>
      <c r="AT260" s="253"/>
      <c r="AU260" s="253"/>
      <c r="AV260" s="253"/>
      <c r="AW260" s="253"/>
      <c r="AX260" s="253"/>
      <c r="AY260" s="253"/>
      <c r="AZ260" s="253"/>
      <c r="BA260" s="253"/>
      <c r="BB260" s="253"/>
      <c r="BC260" s="253"/>
      <c r="BD260" s="253"/>
      <c r="BE260" s="253"/>
      <c r="BF260" s="253"/>
      <c r="BG260" s="253"/>
      <c r="BH260" s="253"/>
      <c r="BI260" s="253"/>
      <c r="BJ260" s="253"/>
      <c r="BK260" s="253"/>
      <c r="BL260" s="253"/>
      <c r="BM260" s="253"/>
      <c r="BN260" s="253"/>
      <c r="BO260" s="253"/>
      <c r="BP260" s="253"/>
      <c r="BQ260" s="253"/>
      <c r="BR260" s="253"/>
      <c r="BS260" s="253"/>
      <c r="BT260" s="253"/>
      <c r="BU260" s="253"/>
      <c r="BV260" s="253"/>
      <c r="BW260" s="253"/>
      <c r="BX260" s="253"/>
      <c r="BY260" s="253"/>
      <c r="BZ260" s="253"/>
      <c r="CA260" s="253"/>
      <c r="CB260" s="253"/>
      <c r="CC260" s="253"/>
      <c r="CD260" s="253"/>
      <c r="CE260" s="253"/>
      <c r="CF260" s="253"/>
      <c r="CG260" s="253"/>
      <c r="CH260" s="253"/>
      <c r="CI260" s="253"/>
      <c r="CJ260" s="253"/>
      <c r="CK260" s="253"/>
      <c r="CL260" s="253"/>
      <c r="CM260" s="253"/>
      <c r="CN260" s="253"/>
      <c r="CO260" s="253"/>
      <c r="CP260" s="253"/>
      <c r="CQ260" s="253"/>
      <c r="CR260" s="253"/>
      <c r="CS260" s="253"/>
      <c r="CT260" s="253"/>
      <c r="CU260" s="253"/>
      <c r="CV260" s="253"/>
      <c r="CW260" s="253"/>
      <c r="CX260" s="253"/>
      <c r="CY260" s="253"/>
      <c r="CZ260" s="253"/>
      <c r="DA260" s="253"/>
      <c r="DB260" s="253"/>
      <c r="DC260" s="253"/>
      <c r="DD260" s="253"/>
      <c r="DE260" s="253"/>
      <c r="DF260" s="253"/>
      <c r="DG260" s="253"/>
      <c r="DH260" s="253"/>
      <c r="DI260" s="253"/>
      <c r="DJ260" s="253"/>
      <c r="DK260" s="253"/>
      <c r="DL260" s="253"/>
      <c r="DM260" s="253"/>
      <c r="DN260" s="253"/>
      <c r="DO260" s="253"/>
      <c r="DP260" s="253"/>
      <c r="DQ260" s="253"/>
      <c r="DR260" s="253"/>
      <c r="DS260" s="253"/>
      <c r="DT260" s="253"/>
      <c r="DU260" s="253"/>
      <c r="DV260" s="253"/>
      <c r="DW260" s="253"/>
      <c r="DX260" s="253"/>
      <c r="DY260" s="253"/>
      <c r="DZ260" s="253"/>
      <c r="EA260" s="253"/>
      <c r="EB260" s="253"/>
      <c r="EC260" s="253"/>
      <c r="ED260" s="253"/>
      <c r="EE260" s="253"/>
      <c r="EF260" s="253"/>
      <c r="EG260" s="253"/>
      <c r="EH260" s="253"/>
      <c r="EI260" s="253"/>
      <c r="EJ260" s="253"/>
      <c r="EK260" s="253"/>
      <c r="EL260" s="253"/>
      <c r="EM260" s="253"/>
      <c r="EN260" s="253"/>
      <c r="EO260" s="253"/>
      <c r="EP260" s="253"/>
      <c r="EQ260" s="253"/>
      <c r="ER260" s="253"/>
      <c r="ES260" s="253"/>
      <c r="ET260" s="253"/>
      <c r="EU260" s="253"/>
      <c r="EV260" s="253"/>
      <c r="EW260" s="253"/>
      <c r="EX260" s="253"/>
      <c r="EY260" s="253"/>
      <c r="EZ260" s="253"/>
      <c r="FA260" s="253"/>
      <c r="FB260" s="253"/>
      <c r="FC260" s="253"/>
      <c r="FD260" s="253"/>
      <c r="FE260" s="253"/>
      <c r="FF260" s="253"/>
      <c r="FG260" s="253"/>
      <c r="FH260" s="253"/>
      <c r="FI260" s="253"/>
      <c r="FJ260" s="253"/>
      <c r="FK260" s="253"/>
      <c r="FL260" s="253"/>
      <c r="FM260" s="253"/>
      <c r="FN260" s="253"/>
      <c r="FO260" s="253"/>
      <c r="FP260" s="253"/>
      <c r="FQ260" s="253"/>
      <c r="FR260" s="253"/>
      <c r="FS260" s="253"/>
      <c r="FT260" s="253"/>
      <c r="FU260" s="253"/>
      <c r="FV260" s="253"/>
      <c r="FW260" s="253"/>
      <c r="FX260" s="253"/>
      <c r="FY260" s="253"/>
      <c r="FZ260" s="253"/>
      <c r="GA260" s="253"/>
      <c r="GB260" s="253"/>
      <c r="GC260" s="253"/>
      <c r="GD260" s="253"/>
      <c r="GE260" s="253"/>
      <c r="GF260" s="253"/>
      <c r="GG260" s="253"/>
      <c r="GH260" s="253"/>
      <c r="GI260" s="253"/>
      <c r="GJ260" s="253"/>
      <c r="GK260" s="253"/>
      <c r="GL260" s="253"/>
      <c r="GM260" s="253"/>
      <c r="GN260" s="253"/>
      <c r="GO260" s="253"/>
      <c r="GP260" s="253"/>
      <c r="GQ260" s="253"/>
      <c r="GR260" s="253"/>
      <c r="GS260" s="253"/>
      <c r="GT260" s="253"/>
      <c r="GU260" s="253"/>
      <c r="GV260" s="253"/>
      <c r="GW260" s="253"/>
      <c r="GX260" s="253"/>
      <c r="GY260" s="253"/>
      <c r="GZ260" s="253"/>
      <c r="HA260" s="253"/>
      <c r="HB260" s="253"/>
      <c r="HC260" s="253"/>
      <c r="HD260" s="253"/>
      <c r="HE260" s="253"/>
      <c r="HF260" s="253"/>
      <c r="HG260" s="253"/>
      <c r="HH260" s="253"/>
      <c r="HI260" s="253"/>
      <c r="HJ260" s="253"/>
      <c r="HK260" s="253"/>
      <c r="HL260" s="253"/>
      <c r="HM260" s="253"/>
      <c r="HN260" s="253"/>
      <c r="HO260" s="253"/>
      <c r="HP260" s="253"/>
      <c r="HQ260" s="253"/>
      <c r="HR260" s="253"/>
      <c r="HS260" s="253"/>
      <c r="HT260" s="253"/>
      <c r="HU260" s="253"/>
      <c r="HV260" s="253"/>
      <c r="HW260" s="253"/>
      <c r="HX260" s="253"/>
      <c r="HY260" s="253"/>
      <c r="HZ260" s="253"/>
      <c r="IA260" s="253"/>
      <c r="IB260" s="253"/>
      <c r="IC260" s="253"/>
      <c r="ID260" s="253"/>
      <c r="IE260" s="253"/>
      <c r="IF260" s="253"/>
      <c r="IG260" s="253"/>
      <c r="IH260" s="253"/>
      <c r="II260" s="253"/>
      <c r="IJ260" s="253"/>
      <c r="IK260" s="253"/>
      <c r="IL260" s="253"/>
      <c r="IM260" s="253"/>
      <c r="IN260" s="253"/>
      <c r="IO260" s="253"/>
      <c r="IP260" s="253"/>
      <c r="IQ260" s="253"/>
      <c r="IR260" s="253"/>
      <c r="IS260" s="253"/>
      <c r="IT260" s="253"/>
      <c r="IU260" s="253"/>
      <c r="IV260" s="253"/>
      <c r="IW260" s="253"/>
      <c r="IX260" s="253"/>
      <c r="IY260" s="253"/>
      <c r="IZ260" s="253"/>
      <c r="JA260" s="253"/>
      <c r="JB260" s="253"/>
      <c r="JC260" s="253"/>
      <c r="JD260" s="253"/>
      <c r="JE260" s="253"/>
      <c r="JF260" s="253"/>
      <c r="JG260" s="253"/>
      <c r="JH260" s="253"/>
      <c r="JI260" s="253"/>
      <c r="JJ260" s="253"/>
      <c r="JK260" s="253"/>
      <c r="JL260" s="253"/>
      <c r="JM260" s="253"/>
      <c r="JN260" s="253"/>
      <c r="JO260" s="253"/>
      <c r="JP260" s="253"/>
      <c r="JQ260" s="253"/>
      <c r="JR260" s="253"/>
      <c r="JS260" s="253"/>
      <c r="JT260" s="253"/>
      <c r="JU260" s="253"/>
      <c r="JV260" s="253"/>
      <c r="JW260" s="253"/>
      <c r="JX260" s="253"/>
      <c r="JY260" s="253"/>
      <c r="JZ260" s="253"/>
      <c r="KA260" s="253"/>
      <c r="KB260" s="253"/>
      <c r="KC260" s="253"/>
      <c r="KD260" s="253"/>
      <c r="KE260" s="253"/>
      <c r="KF260" s="253"/>
      <c r="KG260" s="253"/>
      <c r="KH260" s="253"/>
      <c r="KI260" s="253"/>
      <c r="KJ260" s="253"/>
      <c r="KK260" s="253"/>
      <c r="KL260" s="253"/>
      <c r="KM260" s="253"/>
      <c r="KN260" s="253"/>
      <c r="KO260" s="253"/>
      <c r="KP260" s="253"/>
      <c r="KQ260" s="253"/>
      <c r="KR260" s="253"/>
      <c r="KS260" s="253"/>
      <c r="KT260" s="253"/>
      <c r="KU260" s="253"/>
      <c r="KV260" s="253"/>
      <c r="KW260" s="253"/>
      <c r="KX260" s="253"/>
      <c r="KY260" s="253"/>
      <c r="KZ260" s="253"/>
      <c r="LA260" s="253"/>
      <c r="LB260" s="253"/>
      <c r="LC260" s="253"/>
      <c r="LD260" s="253"/>
      <c r="LE260" s="253"/>
      <c r="LF260" s="1296"/>
      <c r="LG260" s="253"/>
      <c r="LH260" s="253"/>
      <c r="LI260" s="253"/>
      <c r="LJ260" s="253"/>
      <c r="LK260" s="1296"/>
      <c r="LL260" s="253"/>
      <c r="LM260" s="253"/>
      <c r="LN260" s="253"/>
      <c r="LO260" s="253"/>
      <c r="LP260" s="1296"/>
      <c r="LQ260" s="253"/>
      <c r="LR260" s="253"/>
      <c r="LS260" s="253"/>
      <c r="LT260" s="253"/>
      <c r="LU260" s="1296"/>
      <c r="LV260" s="1296"/>
      <c r="LW260" s="1296"/>
      <c r="LX260" s="1296"/>
      <c r="LY260" s="1296"/>
      <c r="LZ260" s="1296"/>
      <c r="MA260" s="1296"/>
      <c r="MB260" s="1296"/>
      <c r="MC260" s="1296"/>
      <c r="MD260" s="1296"/>
      <c r="ME260" s="1296"/>
      <c r="MF260" s="1296"/>
      <c r="MG260" s="1296"/>
      <c r="MH260" s="1296"/>
      <c r="MI260" s="1296"/>
      <c r="MJ260" s="1296"/>
      <c r="MK260" s="1296"/>
      <c r="ML260" s="1296"/>
      <c r="MM260" s="1296"/>
      <c r="MN260" s="1296"/>
      <c r="MO260" s="1296"/>
      <c r="MP260" s="1296"/>
      <c r="MQ260" s="253"/>
      <c r="MR260" s="253"/>
      <c r="MS260" s="253"/>
      <c r="MT260" s="253"/>
      <c r="MU260" s="253"/>
      <c r="MV260" s="253"/>
      <c r="MW260" s="1184"/>
      <c r="MX260" s="253"/>
      <c r="MY260" s="253"/>
      <c r="MZ260" s="253"/>
      <c r="NA260" s="253"/>
      <c r="NB260" s="253"/>
      <c r="NC260" s="253"/>
      <c r="ND260" s="253"/>
      <c r="NE260" s="253"/>
      <c r="NF260" s="253"/>
      <c r="NG260" s="253"/>
      <c r="NH260" s="253"/>
      <c r="NI260" s="253"/>
      <c r="NJ260" s="253"/>
      <c r="NK260" s="253"/>
      <c r="NL260" s="253"/>
      <c r="NM260" s="1184"/>
      <c r="NN260" s="1184"/>
      <c r="NO260" s="253"/>
      <c r="NP260" s="253"/>
      <c r="NQ260" s="253"/>
      <c r="NR260" s="253"/>
      <c r="NS260" s="253"/>
      <c r="NT260" s="253"/>
      <c r="NU260" s="253"/>
      <c r="NV260" s="253"/>
      <c r="NW260" s="253"/>
      <c r="NX260" s="253"/>
      <c r="NY260" s="253"/>
      <c r="NZ260" s="253"/>
      <c r="OA260" s="253"/>
      <c r="OB260" s="253"/>
      <c r="OC260" s="253"/>
      <c r="OD260" s="253"/>
      <c r="OE260" s="253"/>
      <c r="OF260" s="253"/>
      <c r="OG260" s="253"/>
      <c r="OH260" s="253"/>
      <c r="OI260" s="253"/>
      <c r="OJ260" s="253"/>
      <c r="OK260" s="253"/>
      <c r="OL260" s="253"/>
      <c r="OM260" s="253"/>
      <c r="ON260" s="253"/>
      <c r="OO260" s="253"/>
      <c r="OP260" s="253"/>
      <c r="OQ260" s="253"/>
      <c r="OR260" s="253"/>
      <c r="OS260" s="253"/>
      <c r="OT260" s="253"/>
      <c r="OU260" s="253"/>
      <c r="OV260" s="43"/>
      <c r="OW260" s="43"/>
      <c r="OX260" s="43"/>
      <c r="OY260" s="1796"/>
      <c r="OZ260" s="1799">
        <v>256</v>
      </c>
      <c r="PA260" s="43"/>
      <c r="PB260" s="43"/>
      <c r="PC260" s="43"/>
      <c r="PD260" s="43"/>
      <c r="PE260" s="43"/>
      <c r="PF260" s="43"/>
      <c r="PG260" s="43"/>
      <c r="PH260" s="43"/>
      <c r="PI260" s="43"/>
      <c r="PJ260" s="43"/>
      <c r="PK260" s="43"/>
      <c r="PL260" s="43"/>
      <c r="PM260" s="43"/>
      <c r="PN260" s="43"/>
      <c r="PO260" s="43"/>
      <c r="PP260" s="43"/>
      <c r="PQ260" s="43"/>
      <c r="PR260" s="43"/>
      <c r="PS260" s="43"/>
      <c r="PT260" s="43"/>
      <c r="PU260" s="43"/>
      <c r="PV260" s="43"/>
      <c r="PW260" s="43"/>
      <c r="PX260" s="43"/>
      <c r="PY260" s="43"/>
      <c r="PZ260" s="43"/>
      <c r="QA260" s="43"/>
      <c r="QB260" s="43"/>
      <c r="QC260" s="43"/>
      <c r="QD260" s="43"/>
      <c r="QE260" s="43"/>
      <c r="QF260" s="43"/>
      <c r="QG260" s="43"/>
      <c r="QH260" s="43"/>
      <c r="QI260" s="43"/>
      <c r="QJ260" s="43"/>
      <c r="QK260" s="43"/>
      <c r="QL260" s="43"/>
      <c r="QM260" s="43"/>
      <c r="QN260" s="43"/>
      <c r="QO260" s="43"/>
      <c r="QP260" s="43"/>
      <c r="QQ260" s="43"/>
      <c r="QR260" s="43"/>
      <c r="QS260" s="43"/>
      <c r="QT260" s="43"/>
      <c r="QU260" s="43"/>
      <c r="QV260" s="43"/>
      <c r="QW260" s="43"/>
      <c r="QX260" s="43"/>
      <c r="QY260" s="43"/>
      <c r="QZ260" s="43"/>
      <c r="RA260" s="43"/>
      <c r="RB260" s="43"/>
      <c r="RC260" s="43"/>
      <c r="RD260" s="43"/>
      <c r="RE260" s="43"/>
      <c r="RF260" s="43"/>
      <c r="RG260" s="43"/>
      <c r="RH260" s="43"/>
      <c r="RI260" s="43"/>
      <c r="RJ260" s="43"/>
      <c r="RK260" s="43"/>
      <c r="RL260" s="43"/>
      <c r="RM260" s="43"/>
      <c r="RN260" s="43"/>
      <c r="RO260" s="43"/>
      <c r="RP260" s="43"/>
      <c r="RQ260" s="43"/>
      <c r="RR260" s="43"/>
      <c r="RS260" s="43"/>
      <c r="RT260" s="43"/>
      <c r="RU260" s="43"/>
      <c r="RV260" s="43"/>
      <c r="RW260" s="43"/>
      <c r="RX260" s="43"/>
      <c r="RY260" s="43"/>
      <c r="RZ260" s="43"/>
      <c r="SA260" s="43"/>
      <c r="SB260" s="43"/>
      <c r="SC260" s="43"/>
      <c r="SD260" s="43"/>
      <c r="SE260" s="43"/>
      <c r="SF260" s="43"/>
      <c r="SG260" s="43"/>
      <c r="SH260" s="43"/>
      <c r="SI260" s="43"/>
      <c r="SJ260" s="43"/>
      <c r="SK260" s="43"/>
      <c r="SL260" s="43"/>
      <c r="SM260" s="43"/>
      <c r="SN260" s="43"/>
      <c r="SO260" s="43"/>
      <c r="SP260" s="43"/>
      <c r="SQ260" s="43"/>
      <c r="SR260" s="43"/>
      <c r="SS260" s="43"/>
      <c r="ST260" s="43"/>
      <c r="SU260" s="43"/>
      <c r="SV260" s="43"/>
      <c r="SW260" s="43"/>
      <c r="SX260" s="43"/>
      <c r="SY260" s="43"/>
      <c r="SZ260" s="43"/>
      <c r="TA260" s="43"/>
      <c r="TB260" s="43"/>
      <c r="TC260" s="43"/>
      <c r="TD260" s="43"/>
      <c r="TE260" s="43"/>
      <c r="TF260" s="43"/>
      <c r="TG260" s="43"/>
      <c r="TH260" s="43"/>
    </row>
    <row r="261" spans="1:528" s="41" customFormat="1" ht="16.5" customHeight="1">
      <c r="A261" s="43"/>
      <c r="B261" s="43" t="s">
        <v>1335</v>
      </c>
      <c r="C261" s="43"/>
      <c r="D261" s="2375"/>
      <c r="E261" s="43"/>
      <c r="F261" s="3810">
        <v>15000</v>
      </c>
      <c r="G261" s="3811"/>
      <c r="H261" s="1778">
        <f>IF(OR(F261="",F261=0),"",F261/$E$58)</f>
        <v>156.25</v>
      </c>
      <c r="I261" s="43" t="s">
        <v>1336</v>
      </c>
      <c r="K261" s="258">
        <f>L261/12/P76</f>
        <v>3.2534722222222219</v>
      </c>
      <c r="L261" s="3752">
        <v>3748</v>
      </c>
      <c r="M261" s="3753"/>
      <c r="N261" s="1778">
        <f t="shared" si="699"/>
        <v>39.041666666666664</v>
      </c>
      <c r="O261" s="277" t="s">
        <v>1337</v>
      </c>
      <c r="P261" s="494" t="str">
        <f>CONCATENATE(SUM(NO58:NS58)," units x $",'DCA Underwriting Assumptions'!$Q$41," =")</f>
        <v>96 units x $400 =</v>
      </c>
      <c r="Q261" s="354">
        <f>SUM(NO58:NS58)*'DCA Underwriting Assumptions'!$Q$41</f>
        <v>38400</v>
      </c>
      <c r="R261" s="3744"/>
      <c r="S261" s="3758"/>
      <c r="T261" s="3759"/>
      <c r="U261" s="3759"/>
      <c r="V261" s="3759"/>
      <c r="W261" s="3760"/>
      <c r="X261" s="251"/>
      <c r="Y261" s="253"/>
      <c r="Z261" s="253"/>
      <c r="AA261" s="253"/>
      <c r="AB261" s="253"/>
      <c r="AC261" s="251"/>
      <c r="AD261" s="253"/>
      <c r="AE261" s="253"/>
      <c r="AF261" s="253"/>
      <c r="AG261" s="253"/>
      <c r="AH261" s="251"/>
      <c r="AI261" s="253"/>
      <c r="AJ261" s="253"/>
      <c r="AK261" s="253"/>
      <c r="AL261" s="253"/>
      <c r="AM261" s="251"/>
      <c r="AN261" s="253"/>
      <c r="AO261" s="253"/>
      <c r="AP261" s="253"/>
      <c r="AQ261" s="253"/>
      <c r="AR261" s="253"/>
      <c r="AS261" s="253"/>
      <c r="AT261" s="253"/>
      <c r="AU261" s="253"/>
      <c r="AV261" s="253"/>
      <c r="AW261" s="253"/>
      <c r="AX261" s="253"/>
      <c r="AY261" s="253"/>
      <c r="AZ261" s="253"/>
      <c r="BA261" s="253"/>
      <c r="BB261" s="253"/>
      <c r="BC261" s="253"/>
      <c r="BD261" s="253"/>
      <c r="BE261" s="253"/>
      <c r="BF261" s="253"/>
      <c r="BG261" s="253"/>
      <c r="BH261" s="253"/>
      <c r="BI261" s="253"/>
      <c r="BJ261" s="253"/>
      <c r="BK261" s="253"/>
      <c r="BL261" s="253"/>
      <c r="BM261" s="253"/>
      <c r="BN261" s="253"/>
      <c r="BO261" s="253"/>
      <c r="BP261" s="253"/>
      <c r="BQ261" s="253"/>
      <c r="BR261" s="253"/>
      <c r="BS261" s="253"/>
      <c r="BT261" s="253"/>
      <c r="BU261" s="253"/>
      <c r="BV261" s="253"/>
      <c r="BW261" s="253"/>
      <c r="BX261" s="253"/>
      <c r="BY261" s="253"/>
      <c r="BZ261" s="253"/>
      <c r="CA261" s="253"/>
      <c r="CB261" s="253"/>
      <c r="CC261" s="253"/>
      <c r="CD261" s="253"/>
      <c r="CE261" s="253"/>
      <c r="CF261" s="253"/>
      <c r="CG261" s="253"/>
      <c r="CH261" s="253"/>
      <c r="CI261" s="253"/>
      <c r="CJ261" s="253"/>
      <c r="CK261" s="253"/>
      <c r="CL261" s="253"/>
      <c r="CM261" s="253"/>
      <c r="CN261" s="253"/>
      <c r="CO261" s="253"/>
      <c r="CP261" s="253"/>
      <c r="CQ261" s="253"/>
      <c r="CR261" s="253"/>
      <c r="CS261" s="253"/>
      <c r="CT261" s="253"/>
      <c r="CU261" s="253"/>
      <c r="CV261" s="253"/>
      <c r="CW261" s="253"/>
      <c r="CX261" s="253"/>
      <c r="CY261" s="253"/>
      <c r="CZ261" s="253"/>
      <c r="DA261" s="253"/>
      <c r="DB261" s="253"/>
      <c r="DC261" s="253"/>
      <c r="DD261" s="253"/>
      <c r="DE261" s="253"/>
      <c r="DF261" s="253"/>
      <c r="DG261" s="253"/>
      <c r="DH261" s="253"/>
      <c r="DI261" s="253"/>
      <c r="DJ261" s="253"/>
      <c r="DK261" s="253"/>
      <c r="DL261" s="253"/>
      <c r="DM261" s="253"/>
      <c r="DN261" s="253"/>
      <c r="DO261" s="253"/>
      <c r="DP261" s="253"/>
      <c r="DQ261" s="253"/>
      <c r="DR261" s="253"/>
      <c r="DS261" s="253"/>
      <c r="DT261" s="253"/>
      <c r="DU261" s="253"/>
      <c r="DV261" s="253"/>
      <c r="DW261" s="253"/>
      <c r="DX261" s="253"/>
      <c r="DY261" s="253"/>
      <c r="DZ261" s="253"/>
      <c r="EA261" s="253"/>
      <c r="EB261" s="253"/>
      <c r="EC261" s="253"/>
      <c r="ED261" s="253"/>
      <c r="EE261" s="253"/>
      <c r="EF261" s="253"/>
      <c r="EG261" s="253"/>
      <c r="EH261" s="253"/>
      <c r="EI261" s="253"/>
      <c r="EJ261" s="253"/>
      <c r="EK261" s="253"/>
      <c r="EL261" s="253"/>
      <c r="EM261" s="253"/>
      <c r="EN261" s="253"/>
      <c r="EO261" s="253"/>
      <c r="EP261" s="253"/>
      <c r="EQ261" s="253"/>
      <c r="ER261" s="253"/>
      <c r="ES261" s="253"/>
      <c r="ET261" s="253"/>
      <c r="EU261" s="253"/>
      <c r="EV261" s="253"/>
      <c r="EW261" s="253"/>
      <c r="EX261" s="253"/>
      <c r="EY261" s="253"/>
      <c r="EZ261" s="253"/>
      <c r="FA261" s="253"/>
      <c r="FB261" s="253"/>
      <c r="FC261" s="253"/>
      <c r="FD261" s="253"/>
      <c r="FE261" s="253"/>
      <c r="FF261" s="253"/>
      <c r="FG261" s="253"/>
      <c r="FH261" s="253"/>
      <c r="FI261" s="253"/>
      <c r="FJ261" s="253"/>
      <c r="FK261" s="253"/>
      <c r="FL261" s="253"/>
      <c r="FM261" s="253"/>
      <c r="FN261" s="253"/>
      <c r="FO261" s="253"/>
      <c r="FP261" s="253"/>
      <c r="FQ261" s="253"/>
      <c r="FR261" s="253"/>
      <c r="FS261" s="253"/>
      <c r="FT261" s="253"/>
      <c r="FU261" s="253"/>
      <c r="FV261" s="253"/>
      <c r="FW261" s="253"/>
      <c r="FX261" s="253"/>
      <c r="FY261" s="253"/>
      <c r="FZ261" s="253"/>
      <c r="GA261" s="253"/>
      <c r="GB261" s="253"/>
      <c r="GC261" s="253"/>
      <c r="GD261" s="253"/>
      <c r="GE261" s="253"/>
      <c r="GF261" s="253"/>
      <c r="GG261" s="253"/>
      <c r="GH261" s="253"/>
      <c r="GI261" s="253"/>
      <c r="GJ261" s="253"/>
      <c r="GK261" s="253"/>
      <c r="GL261" s="253"/>
      <c r="GM261" s="253"/>
      <c r="GN261" s="253"/>
      <c r="GO261" s="253"/>
      <c r="GP261" s="253"/>
      <c r="GQ261" s="253"/>
      <c r="GR261" s="253"/>
      <c r="GS261" s="253"/>
      <c r="GT261" s="253"/>
      <c r="GU261" s="253"/>
      <c r="GV261" s="253"/>
      <c r="GW261" s="253"/>
      <c r="GX261" s="253"/>
      <c r="GY261" s="253"/>
      <c r="GZ261" s="253"/>
      <c r="HA261" s="253"/>
      <c r="HB261" s="253"/>
      <c r="HC261" s="253"/>
      <c r="HD261" s="253"/>
      <c r="HE261" s="253"/>
      <c r="HF261" s="253"/>
      <c r="HG261" s="253"/>
      <c r="HH261" s="253"/>
      <c r="HI261" s="253"/>
      <c r="HJ261" s="253"/>
      <c r="HK261" s="253"/>
      <c r="HL261" s="253"/>
      <c r="HM261" s="253"/>
      <c r="HN261" s="253"/>
      <c r="HO261" s="253"/>
      <c r="HP261" s="253"/>
      <c r="HQ261" s="253"/>
      <c r="HR261" s="253"/>
      <c r="HS261" s="253"/>
      <c r="HT261" s="253"/>
      <c r="HU261" s="253"/>
      <c r="HV261" s="253"/>
      <c r="HW261" s="253"/>
      <c r="HX261" s="253"/>
      <c r="HY261" s="253"/>
      <c r="HZ261" s="253"/>
      <c r="IA261" s="253"/>
      <c r="IB261" s="253"/>
      <c r="IC261" s="253"/>
      <c r="ID261" s="253"/>
      <c r="IE261" s="253"/>
      <c r="IF261" s="253"/>
      <c r="IG261" s="253"/>
      <c r="IH261" s="253"/>
      <c r="II261" s="253"/>
      <c r="IJ261" s="253"/>
      <c r="IK261" s="253"/>
      <c r="IL261" s="253"/>
      <c r="IM261" s="253"/>
      <c r="IN261" s="253"/>
      <c r="IO261" s="253"/>
      <c r="IP261" s="253"/>
      <c r="IQ261" s="253"/>
      <c r="IR261" s="253"/>
      <c r="IS261" s="253"/>
      <c r="IT261" s="253"/>
      <c r="IU261" s="253"/>
      <c r="IV261" s="253"/>
      <c r="IW261" s="253"/>
      <c r="IX261" s="253"/>
      <c r="IY261" s="253"/>
      <c r="IZ261" s="253"/>
      <c r="JA261" s="253"/>
      <c r="JB261" s="253"/>
      <c r="JC261" s="253"/>
      <c r="JD261" s="253"/>
      <c r="JE261" s="253"/>
      <c r="JF261" s="253"/>
      <c r="JG261" s="253"/>
      <c r="JH261" s="253"/>
      <c r="JI261" s="253"/>
      <c r="JJ261" s="253"/>
      <c r="JK261" s="253"/>
      <c r="JL261" s="253"/>
      <c r="JM261" s="253"/>
      <c r="JN261" s="253"/>
      <c r="JO261" s="253"/>
      <c r="JP261" s="253"/>
      <c r="JQ261" s="253"/>
      <c r="JR261" s="253"/>
      <c r="JS261" s="253"/>
      <c r="JT261" s="253"/>
      <c r="JU261" s="253"/>
      <c r="JV261" s="253"/>
      <c r="JW261" s="253"/>
      <c r="JX261" s="253"/>
      <c r="JY261" s="253"/>
      <c r="JZ261" s="253"/>
      <c r="KA261" s="253"/>
      <c r="KB261" s="253"/>
      <c r="KC261" s="253"/>
      <c r="KD261" s="253"/>
      <c r="KE261" s="253"/>
      <c r="KF261" s="253"/>
      <c r="KG261" s="253"/>
      <c r="KH261" s="253"/>
      <c r="KI261" s="253"/>
      <c r="KJ261" s="253"/>
      <c r="KK261" s="253"/>
      <c r="KL261" s="253"/>
      <c r="KM261" s="253"/>
      <c r="KN261" s="253"/>
      <c r="KO261" s="253"/>
      <c r="KP261" s="253"/>
      <c r="KQ261" s="253"/>
      <c r="KR261" s="253"/>
      <c r="KS261" s="253"/>
      <c r="KT261" s="253"/>
      <c r="KU261" s="253"/>
      <c r="KV261" s="253"/>
      <c r="KW261" s="253"/>
      <c r="KX261" s="253"/>
      <c r="KY261" s="253"/>
      <c r="KZ261" s="253"/>
      <c r="LA261" s="253"/>
      <c r="LB261" s="253"/>
      <c r="LC261" s="253"/>
      <c r="LD261" s="253"/>
      <c r="LE261" s="253"/>
      <c r="LF261" s="1296"/>
      <c r="LG261" s="253"/>
      <c r="LH261" s="253"/>
      <c r="LI261" s="253"/>
      <c r="LJ261" s="253"/>
      <c r="LK261" s="1296"/>
      <c r="LL261" s="253"/>
      <c r="LM261" s="253"/>
      <c r="LN261" s="253"/>
      <c r="LO261" s="253"/>
      <c r="LP261" s="1296"/>
      <c r="LQ261" s="253"/>
      <c r="LR261" s="253"/>
      <c r="LS261" s="253"/>
      <c r="LT261" s="253"/>
      <c r="LU261" s="1296"/>
      <c r="LV261" s="1296"/>
      <c r="LW261" s="1296"/>
      <c r="LX261" s="1296"/>
      <c r="LY261" s="1296"/>
      <c r="LZ261" s="1296"/>
      <c r="MA261" s="1296"/>
      <c r="MB261" s="1296"/>
      <c r="MC261" s="1296"/>
      <c r="MD261" s="1296"/>
      <c r="ME261" s="1296"/>
      <c r="MF261" s="1296"/>
      <c r="MG261" s="1296"/>
      <c r="MH261" s="1296"/>
      <c r="MI261" s="1296"/>
      <c r="MJ261" s="1296"/>
      <c r="MK261" s="1296"/>
      <c r="ML261" s="1296"/>
      <c r="MM261" s="1296"/>
      <c r="MN261" s="1296"/>
      <c r="MO261" s="1296"/>
      <c r="MP261" s="1296"/>
      <c r="MQ261" s="253"/>
      <c r="MR261" s="253"/>
      <c r="MS261" s="253"/>
      <c r="MT261" s="253"/>
      <c r="MU261" s="253"/>
      <c r="MV261" s="253"/>
      <c r="MW261" s="1184"/>
      <c r="MX261" s="253"/>
      <c r="MY261" s="253"/>
      <c r="MZ261" s="253"/>
      <c r="NA261" s="253"/>
      <c r="NB261" s="253"/>
      <c r="NC261" s="253"/>
      <c r="ND261" s="253"/>
      <c r="NE261" s="253"/>
      <c r="NF261" s="253"/>
      <c r="NG261" s="253"/>
      <c r="NH261" s="253"/>
      <c r="NI261" s="253"/>
      <c r="NJ261" s="253"/>
      <c r="NK261" s="253"/>
      <c r="NL261" s="253"/>
      <c r="NM261" s="1184"/>
      <c r="NN261" s="1184"/>
      <c r="NO261" s="253"/>
      <c r="NP261" s="253"/>
      <c r="NQ261" s="253"/>
      <c r="NR261" s="253"/>
      <c r="NS261" s="253"/>
      <c r="NT261" s="253"/>
      <c r="NU261" s="253"/>
      <c r="NV261" s="253"/>
      <c r="NW261" s="253"/>
      <c r="NX261" s="253"/>
      <c r="NY261" s="253"/>
      <c r="NZ261" s="253"/>
      <c r="OA261" s="253"/>
      <c r="OB261" s="253"/>
      <c r="OC261" s="253"/>
      <c r="OD261" s="253"/>
      <c r="OE261" s="253"/>
      <c r="OF261" s="253"/>
      <c r="OG261" s="253"/>
      <c r="OH261" s="253"/>
      <c r="OI261" s="253"/>
      <c r="OJ261" s="253"/>
      <c r="OK261" s="253"/>
      <c r="OL261" s="253"/>
      <c r="OM261" s="253"/>
      <c r="ON261" s="253"/>
      <c r="OO261" s="253"/>
      <c r="OP261" s="253"/>
      <c r="OQ261" s="253"/>
      <c r="OR261" s="253"/>
      <c r="OS261" s="253"/>
      <c r="OT261" s="253"/>
      <c r="OU261" s="253"/>
      <c r="OV261" s="43"/>
      <c r="OW261" s="43"/>
      <c r="OX261" s="43"/>
      <c r="OY261" s="1796"/>
      <c r="OZ261" s="1799">
        <v>257</v>
      </c>
      <c r="PA261" s="43"/>
      <c r="PB261" s="43"/>
      <c r="PC261" s="43"/>
      <c r="PD261" s="43"/>
      <c r="PE261" s="43"/>
      <c r="PF261" s="43"/>
      <c r="PG261" s="43"/>
      <c r="PH261" s="43"/>
      <c r="PI261" s="43"/>
      <c r="PJ261" s="43"/>
      <c r="PK261" s="43"/>
      <c r="PL261" s="43"/>
      <c r="PM261" s="43"/>
      <c r="PN261" s="43"/>
      <c r="PO261" s="43"/>
      <c r="PP261" s="43"/>
      <c r="PQ261" s="43"/>
      <c r="PR261" s="43"/>
      <c r="PS261" s="43"/>
      <c r="PT261" s="43"/>
      <c r="PU261" s="43"/>
      <c r="PV261" s="43"/>
      <c r="PW261" s="43"/>
      <c r="PX261" s="43"/>
      <c r="PY261" s="43"/>
      <c r="PZ261" s="43"/>
      <c r="QA261" s="43"/>
      <c r="QB261" s="43"/>
      <c r="QC261" s="43"/>
      <c r="QD261" s="43"/>
      <c r="QE261" s="43"/>
      <c r="QF261" s="43"/>
      <c r="QG261" s="43"/>
      <c r="QH261" s="43"/>
      <c r="QI261" s="43"/>
      <c r="QJ261" s="43"/>
      <c r="QK261" s="43"/>
      <c r="QL261" s="43"/>
      <c r="QM261" s="43"/>
      <c r="QN261" s="43"/>
      <c r="QO261" s="43"/>
      <c r="QP261" s="43"/>
      <c r="QQ261" s="43"/>
      <c r="QR261" s="43"/>
      <c r="QS261" s="43"/>
      <c r="QT261" s="43"/>
      <c r="QU261" s="43"/>
      <c r="QV261" s="43"/>
      <c r="QW261" s="43"/>
      <c r="QX261" s="43"/>
      <c r="QY261" s="43"/>
      <c r="QZ261" s="43"/>
      <c r="RA261" s="43"/>
      <c r="RB261" s="43"/>
      <c r="RC261" s="43"/>
      <c r="RD261" s="43"/>
      <c r="RE261" s="43"/>
      <c r="RF261" s="43"/>
      <c r="RG261" s="43"/>
      <c r="RH261" s="43"/>
      <c r="RI261" s="43"/>
      <c r="RJ261" s="43"/>
      <c r="RK261" s="43"/>
      <c r="RL261" s="43"/>
      <c r="RM261" s="43"/>
      <c r="RN261" s="43"/>
      <c r="RO261" s="43"/>
      <c r="RP261" s="43"/>
      <c r="RQ261" s="43"/>
      <c r="RR261" s="43"/>
      <c r="RS261" s="43"/>
      <c r="RT261" s="43"/>
      <c r="RU261" s="43"/>
      <c r="RV261" s="43"/>
      <c r="RW261" s="43"/>
      <c r="RX261" s="43"/>
      <c r="RY261" s="43"/>
      <c r="RZ261" s="43"/>
      <c r="SA261" s="43"/>
      <c r="SB261" s="43"/>
      <c r="SC261" s="43"/>
      <c r="SD261" s="43"/>
      <c r="SE261" s="43"/>
      <c r="SF261" s="43"/>
      <c r="SG261" s="43"/>
      <c r="SH261" s="43"/>
      <c r="SI261" s="43"/>
      <c r="SJ261" s="43"/>
      <c r="SK261" s="43"/>
      <c r="SL261" s="43"/>
      <c r="SM261" s="43"/>
      <c r="SN261" s="43"/>
      <c r="SO261" s="43"/>
      <c r="SP261" s="43"/>
      <c r="SQ261" s="43"/>
      <c r="SR261" s="43"/>
      <c r="SS261" s="43"/>
      <c r="ST261" s="43"/>
      <c r="SU261" s="43"/>
      <c r="SV261" s="43"/>
      <c r="SW261" s="43"/>
      <c r="SX261" s="43"/>
      <c r="SY261" s="43"/>
      <c r="SZ261" s="43"/>
      <c r="TA261" s="43"/>
      <c r="TB261" s="43"/>
      <c r="TC261" s="43"/>
      <c r="TD261" s="43"/>
      <c r="TE261" s="43"/>
      <c r="TF261" s="43"/>
      <c r="TG261" s="43"/>
      <c r="TH261" s="43"/>
    </row>
    <row r="262" spans="1:528" s="41" customFormat="1" ht="16.5" customHeight="1" thickBot="1">
      <c r="A262" s="43"/>
      <c r="B262" s="43" t="s">
        <v>1338</v>
      </c>
      <c r="C262" s="43"/>
      <c r="D262" s="2375"/>
      <c r="E262" s="43"/>
      <c r="F262" s="3761">
        <v>10000</v>
      </c>
      <c r="G262" s="3762"/>
      <c r="H262" s="1778">
        <f t="shared" ref="H262:H269" si="700">IF(OR(F262="",F262=0),"",F262/$E$58)</f>
        <v>104.16666666666667</v>
      </c>
      <c r="I262" s="3750" t="s">
        <v>1306</v>
      </c>
      <c r="J262" s="3751"/>
      <c r="K262" s="258">
        <f>L262/12/P76</f>
        <v>0</v>
      </c>
      <c r="L262" s="3763"/>
      <c r="M262" s="3764"/>
      <c r="N262" s="1778" t="str">
        <f t="shared" si="699"/>
        <v/>
      </c>
      <c r="O262" s="277" t="s">
        <v>1339</v>
      </c>
      <c r="P262" s="494" t="str">
        <f>CONCATENATE(SUM(NT58:NX58)," units x $",'DCA Underwriting Assumptions'!$Q$42," =")</f>
        <v>0 units x $300 =</v>
      </c>
      <c r="Q262" s="354">
        <f>SUM(NT58:NX58)*'DCA Underwriting Assumptions'!$Q$42</f>
        <v>0</v>
      </c>
      <c r="R262" s="3744"/>
      <c r="S262" s="3758"/>
      <c r="T262" s="3759"/>
      <c r="U262" s="3759"/>
      <c r="V262" s="3759"/>
      <c r="W262" s="3760"/>
      <c r="X262" s="251"/>
      <c r="Y262" s="253"/>
      <c r="Z262" s="253"/>
      <c r="AA262" s="253"/>
      <c r="AB262" s="253"/>
      <c r="AC262" s="251"/>
      <c r="AD262" s="253"/>
      <c r="AE262" s="253"/>
      <c r="AF262" s="253"/>
      <c r="AG262" s="253"/>
      <c r="AH262" s="251"/>
      <c r="AI262" s="253"/>
      <c r="AJ262" s="253"/>
      <c r="AK262" s="253"/>
      <c r="AL262" s="253"/>
      <c r="AM262" s="251"/>
      <c r="AN262" s="253"/>
      <c r="AO262" s="253"/>
      <c r="AP262" s="253"/>
      <c r="AQ262" s="253"/>
      <c r="AR262" s="253"/>
      <c r="AS262" s="253"/>
      <c r="AT262" s="253"/>
      <c r="AU262" s="253"/>
      <c r="AV262" s="253"/>
      <c r="AW262" s="253"/>
      <c r="AX262" s="253"/>
      <c r="AY262" s="253"/>
      <c r="AZ262" s="253"/>
      <c r="BA262" s="253"/>
      <c r="BB262" s="253"/>
      <c r="BC262" s="253"/>
      <c r="BD262" s="253"/>
      <c r="BE262" s="253"/>
      <c r="BF262" s="253"/>
      <c r="BG262" s="253"/>
      <c r="BH262" s="253"/>
      <c r="BI262" s="253"/>
      <c r="BJ262" s="253"/>
      <c r="BK262" s="253"/>
      <c r="BL262" s="253"/>
      <c r="BM262" s="253"/>
      <c r="BN262" s="253"/>
      <c r="BO262" s="253"/>
      <c r="BP262" s="253"/>
      <c r="BQ262" s="253"/>
      <c r="BR262" s="253"/>
      <c r="BS262" s="253"/>
      <c r="BT262" s="253"/>
      <c r="BU262" s="253"/>
      <c r="BV262" s="253"/>
      <c r="BW262" s="253"/>
      <c r="BX262" s="253"/>
      <c r="BY262" s="253"/>
      <c r="BZ262" s="253"/>
      <c r="CA262" s="253"/>
      <c r="CB262" s="253"/>
      <c r="CC262" s="253"/>
      <c r="CD262" s="253"/>
      <c r="CE262" s="253"/>
      <c r="CF262" s="253"/>
      <c r="CG262" s="253"/>
      <c r="CH262" s="253"/>
      <c r="CI262" s="253"/>
      <c r="CJ262" s="253"/>
      <c r="CK262" s="253"/>
      <c r="CL262" s="253"/>
      <c r="CM262" s="253"/>
      <c r="CN262" s="253"/>
      <c r="CO262" s="253"/>
      <c r="CP262" s="253"/>
      <c r="CQ262" s="253"/>
      <c r="CR262" s="253"/>
      <c r="CS262" s="253"/>
      <c r="CT262" s="253"/>
      <c r="CU262" s="253"/>
      <c r="CV262" s="253"/>
      <c r="CW262" s="253"/>
      <c r="CX262" s="253"/>
      <c r="CY262" s="253"/>
      <c r="CZ262" s="253"/>
      <c r="DA262" s="253"/>
      <c r="DB262" s="253"/>
      <c r="DC262" s="253"/>
      <c r="DD262" s="253"/>
      <c r="DE262" s="253"/>
      <c r="DF262" s="253"/>
      <c r="DG262" s="253"/>
      <c r="DH262" s="253"/>
      <c r="DI262" s="253"/>
      <c r="DJ262" s="253"/>
      <c r="DK262" s="253"/>
      <c r="DL262" s="253"/>
      <c r="DM262" s="253"/>
      <c r="DN262" s="253"/>
      <c r="DO262" s="253"/>
      <c r="DP262" s="253"/>
      <c r="DQ262" s="253"/>
      <c r="DR262" s="253"/>
      <c r="DS262" s="253"/>
      <c r="DT262" s="253"/>
      <c r="DU262" s="253"/>
      <c r="DV262" s="253"/>
      <c r="DW262" s="253"/>
      <c r="DX262" s="253"/>
      <c r="DY262" s="253"/>
      <c r="DZ262" s="253"/>
      <c r="EA262" s="253"/>
      <c r="EB262" s="253"/>
      <c r="EC262" s="253"/>
      <c r="ED262" s="253"/>
      <c r="EE262" s="253"/>
      <c r="EF262" s="253"/>
      <c r="EG262" s="253"/>
      <c r="EH262" s="253"/>
      <c r="EI262" s="253"/>
      <c r="EJ262" s="253"/>
      <c r="EK262" s="253"/>
      <c r="EL262" s="253"/>
      <c r="EM262" s="253"/>
      <c r="EN262" s="253"/>
      <c r="EO262" s="253"/>
      <c r="EP262" s="253"/>
      <c r="EQ262" s="253"/>
      <c r="ER262" s="253"/>
      <c r="ES262" s="253"/>
      <c r="ET262" s="253"/>
      <c r="EU262" s="253"/>
      <c r="EV262" s="253"/>
      <c r="EW262" s="253"/>
      <c r="EX262" s="253"/>
      <c r="EY262" s="253"/>
      <c r="EZ262" s="253"/>
      <c r="FA262" s="253"/>
      <c r="FB262" s="253"/>
      <c r="FC262" s="253"/>
      <c r="FD262" s="253"/>
      <c r="FE262" s="253"/>
      <c r="FF262" s="253"/>
      <c r="FG262" s="253"/>
      <c r="FH262" s="253"/>
      <c r="FI262" s="253"/>
      <c r="FJ262" s="253"/>
      <c r="FK262" s="253"/>
      <c r="FL262" s="253"/>
      <c r="FM262" s="253"/>
      <c r="FN262" s="253"/>
      <c r="FO262" s="253"/>
      <c r="FP262" s="253"/>
      <c r="FQ262" s="253"/>
      <c r="FR262" s="253"/>
      <c r="FS262" s="253"/>
      <c r="FT262" s="253"/>
      <c r="FU262" s="253"/>
      <c r="FV262" s="253"/>
      <c r="FW262" s="253"/>
      <c r="FX262" s="253"/>
      <c r="FY262" s="253"/>
      <c r="FZ262" s="253"/>
      <c r="GA262" s="253"/>
      <c r="GB262" s="253"/>
      <c r="GC262" s="253"/>
      <c r="GD262" s="253"/>
      <c r="GE262" s="253"/>
      <c r="GF262" s="253"/>
      <c r="GG262" s="253"/>
      <c r="GH262" s="253"/>
      <c r="GI262" s="253"/>
      <c r="GJ262" s="253"/>
      <c r="GK262" s="253"/>
      <c r="GL262" s="253"/>
      <c r="GM262" s="253"/>
      <c r="GN262" s="253"/>
      <c r="GO262" s="253"/>
      <c r="GP262" s="253"/>
      <c r="GQ262" s="253"/>
      <c r="GR262" s="253"/>
      <c r="GS262" s="253"/>
      <c r="GT262" s="253"/>
      <c r="GU262" s="253"/>
      <c r="GV262" s="253"/>
      <c r="GW262" s="253"/>
      <c r="GX262" s="253"/>
      <c r="GY262" s="253"/>
      <c r="GZ262" s="253"/>
      <c r="HA262" s="253"/>
      <c r="HB262" s="253"/>
      <c r="HC262" s="253"/>
      <c r="HD262" s="253"/>
      <c r="HE262" s="253"/>
      <c r="HF262" s="253"/>
      <c r="HG262" s="253"/>
      <c r="HH262" s="253"/>
      <c r="HI262" s="253"/>
      <c r="HJ262" s="253"/>
      <c r="HK262" s="253"/>
      <c r="HL262" s="253"/>
      <c r="HM262" s="253"/>
      <c r="HN262" s="253"/>
      <c r="HO262" s="253"/>
      <c r="HP262" s="253"/>
      <c r="HQ262" s="253"/>
      <c r="HR262" s="253"/>
      <c r="HS262" s="253"/>
      <c r="HT262" s="253"/>
      <c r="HU262" s="253"/>
      <c r="HV262" s="253"/>
      <c r="HW262" s="253"/>
      <c r="HX262" s="253"/>
      <c r="HY262" s="253"/>
      <c r="HZ262" s="253"/>
      <c r="IA262" s="253"/>
      <c r="IB262" s="253"/>
      <c r="IC262" s="253"/>
      <c r="ID262" s="253"/>
      <c r="IE262" s="253"/>
      <c r="IF262" s="253"/>
      <c r="IG262" s="253"/>
      <c r="IH262" s="253"/>
      <c r="II262" s="253"/>
      <c r="IJ262" s="253"/>
      <c r="IK262" s="253"/>
      <c r="IL262" s="253"/>
      <c r="IM262" s="253"/>
      <c r="IN262" s="253"/>
      <c r="IO262" s="253"/>
      <c r="IP262" s="253"/>
      <c r="IQ262" s="253"/>
      <c r="IR262" s="253"/>
      <c r="IS262" s="253"/>
      <c r="IT262" s="253"/>
      <c r="IU262" s="253"/>
      <c r="IV262" s="253"/>
      <c r="IW262" s="253"/>
      <c r="IX262" s="253"/>
      <c r="IY262" s="253"/>
      <c r="IZ262" s="253"/>
      <c r="JA262" s="253"/>
      <c r="JB262" s="253"/>
      <c r="JC262" s="253"/>
      <c r="JD262" s="253"/>
      <c r="JE262" s="253"/>
      <c r="JF262" s="253"/>
      <c r="JG262" s="253"/>
      <c r="JH262" s="253"/>
      <c r="JI262" s="253"/>
      <c r="JJ262" s="253"/>
      <c r="JK262" s="253"/>
      <c r="JL262" s="253"/>
      <c r="JM262" s="253"/>
      <c r="JN262" s="253"/>
      <c r="JO262" s="253"/>
      <c r="JP262" s="253"/>
      <c r="JQ262" s="253"/>
      <c r="JR262" s="253"/>
      <c r="JS262" s="253"/>
      <c r="JT262" s="253"/>
      <c r="JU262" s="253"/>
      <c r="JV262" s="253"/>
      <c r="JW262" s="253"/>
      <c r="JX262" s="253"/>
      <c r="JY262" s="253"/>
      <c r="JZ262" s="253"/>
      <c r="KA262" s="253"/>
      <c r="KB262" s="253"/>
      <c r="KC262" s="253"/>
      <c r="KD262" s="253"/>
      <c r="KE262" s="253"/>
      <c r="KF262" s="253"/>
      <c r="KG262" s="253"/>
      <c r="KH262" s="253"/>
      <c r="KI262" s="253"/>
      <c r="KJ262" s="253"/>
      <c r="KK262" s="253"/>
      <c r="KL262" s="253"/>
      <c r="KM262" s="253"/>
      <c r="KN262" s="253"/>
      <c r="KO262" s="253"/>
      <c r="KP262" s="253"/>
      <c r="KQ262" s="253"/>
      <c r="KR262" s="253"/>
      <c r="KS262" s="253"/>
      <c r="KT262" s="253"/>
      <c r="KU262" s="253"/>
      <c r="KV262" s="253"/>
      <c r="KW262" s="253"/>
      <c r="KX262" s="253"/>
      <c r="KY262" s="253"/>
      <c r="KZ262" s="253"/>
      <c r="LA262" s="253"/>
      <c r="LB262" s="253"/>
      <c r="LC262" s="253"/>
      <c r="LD262" s="253"/>
      <c r="LE262" s="253"/>
      <c r="LF262" s="1296"/>
      <c r="LG262" s="253"/>
      <c r="LH262" s="253"/>
      <c r="LI262" s="253"/>
      <c r="LJ262" s="253"/>
      <c r="LK262" s="1296"/>
      <c r="LL262" s="253"/>
      <c r="LM262" s="253"/>
      <c r="LN262" s="253"/>
      <c r="LO262" s="253"/>
      <c r="LP262" s="1296"/>
      <c r="LQ262" s="253"/>
      <c r="LR262" s="253"/>
      <c r="LS262" s="253"/>
      <c r="LT262" s="253"/>
      <c r="LU262" s="1296"/>
      <c r="LV262" s="1296"/>
      <c r="LW262" s="1296"/>
      <c r="LX262" s="1296"/>
      <c r="LY262" s="1296"/>
      <c r="LZ262" s="1296"/>
      <c r="MA262" s="1296"/>
      <c r="MB262" s="1296"/>
      <c r="MC262" s="1296"/>
      <c r="MD262" s="1296"/>
      <c r="ME262" s="1296"/>
      <c r="MF262" s="1296"/>
      <c r="MG262" s="1296"/>
      <c r="MH262" s="1296"/>
      <c r="MI262" s="1296"/>
      <c r="MJ262" s="1296"/>
      <c r="MK262" s="1296"/>
      <c r="ML262" s="1296"/>
      <c r="MM262" s="1296"/>
      <c r="MN262" s="1296"/>
      <c r="MO262" s="1296"/>
      <c r="MP262" s="1296"/>
      <c r="MQ262" s="253"/>
      <c r="MR262" s="253"/>
      <c r="MS262" s="253"/>
      <c r="MT262" s="253"/>
      <c r="MU262" s="253"/>
      <c r="MV262" s="253"/>
      <c r="MW262" s="1184"/>
      <c r="MX262" s="253"/>
      <c r="MY262" s="253"/>
      <c r="MZ262" s="253"/>
      <c r="NA262" s="253"/>
      <c r="NB262" s="253"/>
      <c r="NC262" s="253"/>
      <c r="ND262" s="253"/>
      <c r="NE262" s="253"/>
      <c r="NF262" s="253"/>
      <c r="NG262" s="253"/>
      <c r="NH262" s="253"/>
      <c r="NI262" s="253"/>
      <c r="NJ262" s="253"/>
      <c r="NK262" s="253"/>
      <c r="NL262" s="253"/>
      <c r="NM262" s="1184"/>
      <c r="NN262" s="1184"/>
      <c r="NO262" s="253"/>
      <c r="NP262" s="253"/>
      <c r="NQ262" s="253"/>
      <c r="NR262" s="253"/>
      <c r="NS262" s="253"/>
      <c r="NT262" s="253"/>
      <c r="NU262" s="253"/>
      <c r="NV262" s="253"/>
      <c r="NW262" s="253"/>
      <c r="NX262" s="253"/>
      <c r="NY262" s="253"/>
      <c r="NZ262" s="253"/>
      <c r="OA262" s="253"/>
      <c r="OB262" s="253"/>
      <c r="OC262" s="253"/>
      <c r="OD262" s="253"/>
      <c r="OE262" s="253"/>
      <c r="OF262" s="253"/>
      <c r="OG262" s="253"/>
      <c r="OH262" s="253"/>
      <c r="OI262" s="253"/>
      <c r="OJ262" s="253"/>
      <c r="OK262" s="253"/>
      <c r="OL262" s="253"/>
      <c r="OM262" s="253"/>
      <c r="ON262" s="253"/>
      <c r="OO262" s="253"/>
      <c r="OP262" s="253"/>
      <c r="OQ262" s="253"/>
      <c r="OR262" s="253"/>
      <c r="OS262" s="253"/>
      <c r="OT262" s="253"/>
      <c r="OU262" s="253"/>
      <c r="OV262" s="43"/>
      <c r="OW262" s="43"/>
      <c r="OX262" s="43"/>
      <c r="OY262" s="1796"/>
      <c r="OZ262" s="1798">
        <v>258</v>
      </c>
      <c r="PA262" s="43"/>
      <c r="PB262" s="43"/>
      <c r="PC262" s="43"/>
      <c r="PD262" s="43"/>
      <c r="PE262" s="43"/>
      <c r="PF262" s="43"/>
      <c r="PG262" s="43"/>
      <c r="PH262" s="43"/>
      <c r="PI262" s="43"/>
      <c r="PJ262" s="43"/>
      <c r="PK262" s="43"/>
      <c r="PL262" s="43"/>
      <c r="PM262" s="43"/>
      <c r="PN262" s="43"/>
      <c r="PO262" s="43"/>
      <c r="PP262" s="43"/>
      <c r="PQ262" s="43"/>
      <c r="PR262" s="43"/>
      <c r="PS262" s="43"/>
      <c r="PT262" s="43"/>
      <c r="PU262" s="43"/>
      <c r="PV262" s="43"/>
      <c r="PW262" s="43"/>
      <c r="PX262" s="43"/>
      <c r="PY262" s="43"/>
      <c r="PZ262" s="43"/>
      <c r="QA262" s="43"/>
      <c r="QB262" s="43"/>
      <c r="QC262" s="43"/>
      <c r="QD262" s="43"/>
      <c r="QE262" s="43"/>
      <c r="QF262" s="43"/>
      <c r="QG262" s="43"/>
      <c r="QH262" s="43"/>
      <c r="QI262" s="43"/>
      <c r="QJ262" s="43"/>
      <c r="QK262" s="43"/>
      <c r="QL262" s="43"/>
      <c r="QM262" s="43"/>
      <c r="QN262" s="43"/>
      <c r="QO262" s="43"/>
      <c r="QP262" s="43"/>
      <c r="QQ262" s="43"/>
      <c r="QR262" s="43"/>
      <c r="QS262" s="43"/>
      <c r="QT262" s="43"/>
      <c r="QU262" s="43"/>
      <c r="QV262" s="43"/>
      <c r="QW262" s="43"/>
      <c r="QX262" s="43"/>
      <c r="QY262" s="43"/>
      <c r="QZ262" s="43"/>
      <c r="RA262" s="43"/>
      <c r="RB262" s="43"/>
      <c r="RC262" s="43"/>
      <c r="RD262" s="43"/>
      <c r="RE262" s="43"/>
      <c r="RF262" s="43"/>
      <c r="RG262" s="43"/>
      <c r="RH262" s="43"/>
      <c r="RI262" s="43"/>
      <c r="RJ262" s="43"/>
      <c r="RK262" s="43"/>
      <c r="RL262" s="43"/>
      <c r="RM262" s="43"/>
      <c r="RN262" s="43"/>
      <c r="RO262" s="43"/>
      <c r="RP262" s="43"/>
      <c r="RQ262" s="43"/>
      <c r="RR262" s="43"/>
      <c r="RS262" s="43"/>
      <c r="RT262" s="43"/>
      <c r="RU262" s="43"/>
      <c r="RV262" s="43"/>
      <c r="RW262" s="43"/>
      <c r="RX262" s="43"/>
      <c r="RY262" s="43"/>
      <c r="RZ262" s="43"/>
      <c r="SA262" s="43"/>
      <c r="SB262" s="43"/>
      <c r="SC262" s="43"/>
      <c r="SD262" s="43"/>
      <c r="SE262" s="43"/>
      <c r="SF262" s="43"/>
      <c r="SG262" s="43"/>
      <c r="SH262" s="43"/>
      <c r="SI262" s="43"/>
      <c r="SJ262" s="43"/>
      <c r="SK262" s="43"/>
      <c r="SL262" s="43"/>
      <c r="SM262" s="43"/>
      <c r="SN262" s="43"/>
      <c r="SO262" s="43"/>
      <c r="SP262" s="43"/>
      <c r="SQ262" s="43"/>
      <c r="SR262" s="43"/>
      <c r="SS262" s="43"/>
      <c r="ST262" s="43"/>
      <c r="SU262" s="43"/>
      <c r="SV262" s="43"/>
      <c r="SW262" s="43"/>
      <c r="SX262" s="43"/>
      <c r="SY262" s="43"/>
      <c r="SZ262" s="43"/>
      <c r="TA262" s="43"/>
      <c r="TB262" s="43"/>
      <c r="TC262" s="43"/>
      <c r="TD262" s="43"/>
      <c r="TE262" s="43"/>
      <c r="TF262" s="43"/>
      <c r="TG262" s="43"/>
      <c r="TH262" s="43"/>
    </row>
    <row r="263" spans="1:528" s="41" customFormat="1" ht="16.5" customHeight="1" thickTop="1">
      <c r="A263" s="43"/>
      <c r="B263" s="43" t="s">
        <v>1340</v>
      </c>
      <c r="C263" s="43"/>
      <c r="D263" s="2375"/>
      <c r="E263" s="43"/>
      <c r="F263" s="3761">
        <v>10000</v>
      </c>
      <c r="G263" s="3762"/>
      <c r="H263" s="1778">
        <f t="shared" si="700"/>
        <v>104.16666666666667</v>
      </c>
      <c r="K263" s="5" t="s">
        <v>532</v>
      </c>
      <c r="L263" s="3723">
        <f>SUM(L257:L262)</f>
        <v>53748</v>
      </c>
      <c r="M263" s="3724"/>
      <c r="N263" s="1778">
        <f t="shared" si="699"/>
        <v>559.875</v>
      </c>
      <c r="O263" s="355" t="s">
        <v>1341</v>
      </c>
      <c r="P263" s="494" t="str">
        <f>CONCATENATE(SUM(NY58:OC58)," units x $",'DCA Underwriting Assumptions'!$Q$43," =")</f>
        <v>0 units x $470 =</v>
      </c>
      <c r="Q263" s="354">
        <f>SUM(NY58:OC58)*'DCA Underwriting Assumptions'!$Q$43</f>
        <v>0</v>
      </c>
      <c r="R263" s="3744"/>
      <c r="S263" s="3758"/>
      <c r="T263" s="3759"/>
      <c r="U263" s="3759"/>
      <c r="V263" s="3759"/>
      <c r="W263" s="3760"/>
      <c r="X263" s="251"/>
      <c r="Y263" s="253"/>
      <c r="Z263" s="253"/>
      <c r="AA263" s="253"/>
      <c r="AB263" s="253"/>
      <c r="AC263" s="251"/>
      <c r="AD263" s="253"/>
      <c r="AE263" s="253"/>
      <c r="AF263" s="253"/>
      <c r="AG263" s="253"/>
      <c r="AH263" s="251"/>
      <c r="AI263" s="253"/>
      <c r="AJ263" s="253"/>
      <c r="AK263" s="253"/>
      <c r="AL263" s="253"/>
      <c r="AM263" s="251"/>
      <c r="AN263" s="253"/>
      <c r="AO263" s="253"/>
      <c r="AP263" s="253"/>
      <c r="AQ263" s="253"/>
      <c r="AR263" s="253"/>
      <c r="AS263" s="253"/>
      <c r="AT263" s="253"/>
      <c r="AU263" s="253"/>
      <c r="AV263" s="253"/>
      <c r="AW263" s="253"/>
      <c r="AX263" s="253"/>
      <c r="AY263" s="253"/>
      <c r="AZ263" s="253"/>
      <c r="BA263" s="253"/>
      <c r="BB263" s="253"/>
      <c r="BC263" s="253"/>
      <c r="BD263" s="253"/>
      <c r="BE263" s="253"/>
      <c r="BF263" s="253"/>
      <c r="BG263" s="253"/>
      <c r="BH263" s="253"/>
      <c r="BI263" s="253"/>
      <c r="BJ263" s="253"/>
      <c r="BK263" s="253"/>
      <c r="BL263" s="253"/>
      <c r="BM263" s="253"/>
      <c r="BN263" s="253"/>
      <c r="BO263" s="253"/>
      <c r="BP263" s="253"/>
      <c r="BQ263" s="253"/>
      <c r="BR263" s="253"/>
      <c r="BS263" s="253"/>
      <c r="BT263" s="253"/>
      <c r="BU263" s="253"/>
      <c r="BV263" s="253"/>
      <c r="BW263" s="253"/>
      <c r="BX263" s="253"/>
      <c r="BY263" s="253"/>
      <c r="BZ263" s="253"/>
      <c r="CA263" s="253"/>
      <c r="CB263" s="253"/>
      <c r="CC263" s="253"/>
      <c r="CD263" s="253"/>
      <c r="CE263" s="253"/>
      <c r="CF263" s="253"/>
      <c r="CG263" s="253"/>
      <c r="CH263" s="253"/>
      <c r="CI263" s="253"/>
      <c r="CJ263" s="253"/>
      <c r="CK263" s="253"/>
      <c r="CL263" s="253"/>
      <c r="CM263" s="253"/>
      <c r="CN263" s="253"/>
      <c r="CO263" s="253"/>
      <c r="CP263" s="253"/>
      <c r="CQ263" s="253"/>
      <c r="CR263" s="253"/>
      <c r="CS263" s="253"/>
      <c r="CT263" s="253"/>
      <c r="CU263" s="253"/>
      <c r="CV263" s="253"/>
      <c r="CW263" s="253"/>
      <c r="CX263" s="253"/>
      <c r="CY263" s="253"/>
      <c r="CZ263" s="253"/>
      <c r="DA263" s="253"/>
      <c r="DB263" s="253"/>
      <c r="DC263" s="253"/>
      <c r="DD263" s="253"/>
      <c r="DE263" s="253"/>
      <c r="DF263" s="253"/>
      <c r="DG263" s="253"/>
      <c r="DH263" s="253"/>
      <c r="DI263" s="253"/>
      <c r="DJ263" s="253"/>
      <c r="DK263" s="253"/>
      <c r="DL263" s="253"/>
      <c r="DM263" s="253"/>
      <c r="DN263" s="253"/>
      <c r="DO263" s="253"/>
      <c r="DP263" s="253"/>
      <c r="DQ263" s="253"/>
      <c r="DR263" s="253"/>
      <c r="DS263" s="253"/>
      <c r="DT263" s="253"/>
      <c r="DU263" s="253"/>
      <c r="DV263" s="253"/>
      <c r="DW263" s="253"/>
      <c r="DX263" s="253"/>
      <c r="DY263" s="253"/>
      <c r="DZ263" s="253"/>
      <c r="EA263" s="253"/>
      <c r="EB263" s="253"/>
      <c r="EC263" s="253"/>
      <c r="ED263" s="253"/>
      <c r="EE263" s="253"/>
      <c r="EF263" s="253"/>
      <c r="EG263" s="253"/>
      <c r="EH263" s="253"/>
      <c r="EI263" s="253"/>
      <c r="EJ263" s="253"/>
      <c r="EK263" s="253"/>
      <c r="EL263" s="253"/>
      <c r="EM263" s="253"/>
      <c r="EN263" s="253"/>
      <c r="EO263" s="253"/>
      <c r="EP263" s="253"/>
      <c r="EQ263" s="253"/>
      <c r="ER263" s="253"/>
      <c r="ES263" s="253"/>
      <c r="ET263" s="253"/>
      <c r="EU263" s="253"/>
      <c r="EV263" s="253"/>
      <c r="EW263" s="253"/>
      <c r="EX263" s="253"/>
      <c r="EY263" s="253"/>
      <c r="EZ263" s="253"/>
      <c r="FA263" s="253"/>
      <c r="FB263" s="253"/>
      <c r="FC263" s="253"/>
      <c r="FD263" s="253"/>
      <c r="FE263" s="253"/>
      <c r="FF263" s="253"/>
      <c r="FG263" s="253"/>
      <c r="FH263" s="253"/>
      <c r="FI263" s="253"/>
      <c r="FJ263" s="253"/>
      <c r="FK263" s="253"/>
      <c r="FL263" s="253"/>
      <c r="FM263" s="253"/>
      <c r="FN263" s="253"/>
      <c r="FO263" s="253"/>
      <c r="FP263" s="253"/>
      <c r="FQ263" s="253"/>
      <c r="FR263" s="253"/>
      <c r="FS263" s="253"/>
      <c r="FT263" s="253"/>
      <c r="FU263" s="253"/>
      <c r="FV263" s="253"/>
      <c r="FW263" s="253"/>
      <c r="FX263" s="253"/>
      <c r="FY263" s="253"/>
      <c r="FZ263" s="253"/>
      <c r="GA263" s="253"/>
      <c r="GB263" s="253"/>
      <c r="GC263" s="253"/>
      <c r="GD263" s="253"/>
      <c r="GE263" s="253"/>
      <c r="GF263" s="253"/>
      <c r="GG263" s="253"/>
      <c r="GH263" s="253"/>
      <c r="GI263" s="253"/>
      <c r="GJ263" s="253"/>
      <c r="GK263" s="253"/>
      <c r="GL263" s="253"/>
      <c r="GM263" s="253"/>
      <c r="GN263" s="253"/>
      <c r="GO263" s="253"/>
      <c r="GP263" s="253"/>
      <c r="GQ263" s="253"/>
      <c r="GR263" s="253"/>
      <c r="GS263" s="253"/>
      <c r="GT263" s="253"/>
      <c r="GU263" s="253"/>
      <c r="GV263" s="253"/>
      <c r="GW263" s="253"/>
      <c r="GX263" s="253"/>
      <c r="GY263" s="253"/>
      <c r="GZ263" s="253"/>
      <c r="HA263" s="253"/>
      <c r="HB263" s="253"/>
      <c r="HC263" s="253"/>
      <c r="HD263" s="253"/>
      <c r="HE263" s="253"/>
      <c r="HF263" s="253"/>
      <c r="HG263" s="253"/>
      <c r="HH263" s="253"/>
      <c r="HI263" s="253"/>
      <c r="HJ263" s="253"/>
      <c r="HK263" s="253"/>
      <c r="HL263" s="253"/>
      <c r="HM263" s="253"/>
      <c r="HN263" s="253"/>
      <c r="HO263" s="253"/>
      <c r="HP263" s="253"/>
      <c r="HQ263" s="253"/>
      <c r="HR263" s="253"/>
      <c r="HS263" s="253"/>
      <c r="HT263" s="253"/>
      <c r="HU263" s="253"/>
      <c r="HV263" s="253"/>
      <c r="HW263" s="253"/>
      <c r="HX263" s="253"/>
      <c r="HY263" s="253"/>
      <c r="HZ263" s="253"/>
      <c r="IA263" s="253"/>
      <c r="IB263" s="253"/>
      <c r="IC263" s="253"/>
      <c r="ID263" s="253"/>
      <c r="IE263" s="253"/>
      <c r="IF263" s="253"/>
      <c r="IG263" s="253"/>
      <c r="IH263" s="253"/>
      <c r="II263" s="253"/>
      <c r="IJ263" s="253"/>
      <c r="IK263" s="253"/>
      <c r="IL263" s="253"/>
      <c r="IM263" s="253"/>
      <c r="IN263" s="253"/>
      <c r="IO263" s="253"/>
      <c r="IP263" s="253"/>
      <c r="IQ263" s="253"/>
      <c r="IR263" s="253"/>
      <c r="IS263" s="253"/>
      <c r="IT263" s="253"/>
      <c r="IU263" s="253"/>
      <c r="IV263" s="253"/>
      <c r="IW263" s="253"/>
      <c r="IX263" s="253"/>
      <c r="IY263" s="253"/>
      <c r="IZ263" s="253"/>
      <c r="JA263" s="253"/>
      <c r="JB263" s="253"/>
      <c r="JC263" s="253"/>
      <c r="JD263" s="253"/>
      <c r="JE263" s="253"/>
      <c r="JF263" s="253"/>
      <c r="JG263" s="253"/>
      <c r="JH263" s="253"/>
      <c r="JI263" s="253"/>
      <c r="JJ263" s="253"/>
      <c r="JK263" s="253"/>
      <c r="JL263" s="253"/>
      <c r="JM263" s="253"/>
      <c r="JN263" s="253"/>
      <c r="JO263" s="253"/>
      <c r="JP263" s="253"/>
      <c r="JQ263" s="253"/>
      <c r="JR263" s="253"/>
      <c r="JS263" s="253"/>
      <c r="JT263" s="253"/>
      <c r="JU263" s="253"/>
      <c r="JV263" s="253"/>
      <c r="JW263" s="253"/>
      <c r="JX263" s="253"/>
      <c r="JY263" s="253"/>
      <c r="JZ263" s="253"/>
      <c r="KA263" s="253"/>
      <c r="KB263" s="253"/>
      <c r="KC263" s="253"/>
      <c r="KD263" s="253"/>
      <c r="KE263" s="253"/>
      <c r="KF263" s="253"/>
      <c r="KG263" s="253"/>
      <c r="KH263" s="253"/>
      <c r="KI263" s="253"/>
      <c r="KJ263" s="253"/>
      <c r="KK263" s="253"/>
      <c r="KL263" s="253"/>
      <c r="KM263" s="253"/>
      <c r="KN263" s="253"/>
      <c r="KO263" s="253"/>
      <c r="KP263" s="253"/>
      <c r="KQ263" s="253"/>
      <c r="KR263" s="253"/>
      <c r="KS263" s="253"/>
      <c r="KT263" s="253"/>
      <c r="KU263" s="253"/>
      <c r="KV263" s="253"/>
      <c r="KW263" s="253"/>
      <c r="KX263" s="253"/>
      <c r="KY263" s="253"/>
      <c r="KZ263" s="253"/>
      <c r="LA263" s="253"/>
      <c r="LB263" s="253"/>
      <c r="LC263" s="253"/>
      <c r="LD263" s="253"/>
      <c r="LE263" s="253"/>
      <c r="LF263" s="1296"/>
      <c r="LG263" s="253"/>
      <c r="LH263" s="253"/>
      <c r="LI263" s="253"/>
      <c r="LJ263" s="253"/>
      <c r="LK263" s="1296"/>
      <c r="LL263" s="253"/>
      <c r="LM263" s="253"/>
      <c r="LN263" s="253"/>
      <c r="LO263" s="253"/>
      <c r="LP263" s="1296"/>
      <c r="LQ263" s="253"/>
      <c r="LR263" s="253"/>
      <c r="LS263" s="253"/>
      <c r="LT263" s="253"/>
      <c r="LU263" s="1296"/>
      <c r="LV263" s="1296"/>
      <c r="LW263" s="1296"/>
      <c r="LX263" s="1296"/>
      <c r="LY263" s="1296"/>
      <c r="LZ263" s="1296"/>
      <c r="MA263" s="1296"/>
      <c r="MB263" s="1296"/>
      <c r="MC263" s="1296"/>
      <c r="MD263" s="1296"/>
      <c r="ME263" s="1296"/>
      <c r="MF263" s="1296"/>
      <c r="MG263" s="1296"/>
      <c r="MH263" s="1296"/>
      <c r="MI263" s="1296"/>
      <c r="MJ263" s="1296"/>
      <c r="MK263" s="1296"/>
      <c r="ML263" s="1296"/>
      <c r="MM263" s="1296"/>
      <c r="MN263" s="1296"/>
      <c r="MO263" s="1296"/>
      <c r="MP263" s="1296"/>
      <c r="MQ263" s="253"/>
      <c r="MR263" s="253"/>
      <c r="MS263" s="253"/>
      <c r="MT263" s="253"/>
      <c r="MU263" s="253"/>
      <c r="MV263" s="253"/>
      <c r="MW263" s="1184"/>
      <c r="MX263" s="253"/>
      <c r="MY263" s="253"/>
      <c r="MZ263" s="253"/>
      <c r="NA263" s="253"/>
      <c r="NB263" s="253"/>
      <c r="NC263" s="253"/>
      <c r="ND263" s="253"/>
      <c r="NE263" s="253"/>
      <c r="NF263" s="253"/>
      <c r="NG263" s="253"/>
      <c r="NH263" s="253"/>
      <c r="NI263" s="253"/>
      <c r="NJ263" s="253"/>
      <c r="NK263" s="253"/>
      <c r="NL263" s="253"/>
      <c r="NM263" s="1184"/>
      <c r="NN263" s="1184"/>
      <c r="NO263" s="253"/>
      <c r="NP263" s="253"/>
      <c r="NQ263" s="253"/>
      <c r="NR263" s="253"/>
      <c r="NS263" s="253"/>
      <c r="NT263" s="253"/>
      <c r="NU263" s="253"/>
      <c r="NV263" s="253"/>
      <c r="NW263" s="253"/>
      <c r="NX263" s="253"/>
      <c r="NY263" s="253"/>
      <c r="NZ263" s="253"/>
      <c r="OA263" s="253"/>
      <c r="OB263" s="253"/>
      <c r="OC263" s="253"/>
      <c r="OD263" s="253"/>
      <c r="OE263" s="253"/>
      <c r="OF263" s="253"/>
      <c r="OG263" s="253"/>
      <c r="OH263" s="253"/>
      <c r="OI263" s="253"/>
      <c r="OJ263" s="253"/>
      <c r="OK263" s="253"/>
      <c r="OL263" s="253"/>
      <c r="OM263" s="253"/>
      <c r="ON263" s="253"/>
      <c r="OO263" s="253"/>
      <c r="OP263" s="253"/>
      <c r="OQ263" s="253"/>
      <c r="OR263" s="253"/>
      <c r="OS263" s="253"/>
      <c r="OT263" s="253"/>
      <c r="OU263" s="253"/>
      <c r="OV263" s="43"/>
      <c r="OW263" s="43"/>
      <c r="OX263" s="43"/>
      <c r="OY263" s="1796"/>
      <c r="OZ263" s="1799">
        <v>259</v>
      </c>
      <c r="PA263" s="43"/>
      <c r="PB263" s="43"/>
      <c r="PC263" s="43"/>
      <c r="PD263" s="43"/>
      <c r="PE263" s="43"/>
      <c r="PF263" s="43"/>
      <c r="PG263" s="43"/>
      <c r="PH263" s="43"/>
      <c r="PI263" s="43"/>
      <c r="PJ263" s="43"/>
      <c r="PK263" s="43"/>
      <c r="PL263" s="43"/>
      <c r="PM263" s="43"/>
      <c r="PN263" s="43"/>
      <c r="PO263" s="43"/>
      <c r="PP263" s="43"/>
      <c r="PQ263" s="43"/>
      <c r="PR263" s="43"/>
      <c r="PS263" s="43"/>
      <c r="PT263" s="43"/>
      <c r="PU263" s="43"/>
      <c r="PV263" s="43"/>
      <c r="PW263" s="43"/>
      <c r="PX263" s="43"/>
      <c r="PY263" s="43"/>
      <c r="PZ263" s="43"/>
      <c r="QA263" s="43"/>
      <c r="QB263" s="43"/>
      <c r="QC263" s="43"/>
      <c r="QD263" s="43"/>
      <c r="QE263" s="43"/>
      <c r="QF263" s="43"/>
      <c r="QG263" s="43"/>
      <c r="QH263" s="43"/>
      <c r="QI263" s="43"/>
      <c r="QJ263" s="43"/>
      <c r="QK263" s="43"/>
      <c r="QL263" s="43"/>
      <c r="QM263" s="43"/>
      <c r="QN263" s="43"/>
      <c r="QO263" s="43"/>
      <c r="QP263" s="43"/>
      <c r="QQ263" s="43"/>
      <c r="QR263" s="43"/>
      <c r="QS263" s="43"/>
      <c r="QT263" s="43"/>
      <c r="QU263" s="43"/>
      <c r="QV263" s="43"/>
      <c r="QW263" s="43"/>
      <c r="QX263" s="43"/>
      <c r="QY263" s="43"/>
      <c r="QZ263" s="43"/>
      <c r="RA263" s="43"/>
      <c r="RB263" s="43"/>
      <c r="RC263" s="43"/>
      <c r="RD263" s="43"/>
      <c r="RE263" s="43"/>
      <c r="RF263" s="43"/>
      <c r="RG263" s="43"/>
      <c r="RH263" s="43"/>
      <c r="RI263" s="43"/>
      <c r="RJ263" s="43"/>
      <c r="RK263" s="43"/>
      <c r="RL263" s="43"/>
      <c r="RM263" s="43"/>
      <c r="RN263" s="43"/>
      <c r="RO263" s="43"/>
      <c r="RP263" s="43"/>
      <c r="RQ263" s="43"/>
      <c r="RR263" s="43"/>
      <c r="RS263" s="43"/>
      <c r="RT263" s="43"/>
      <c r="RU263" s="43"/>
      <c r="RV263" s="43"/>
      <c r="RW263" s="43"/>
      <c r="RX263" s="43"/>
      <c r="RY263" s="43"/>
      <c r="RZ263" s="43"/>
      <c r="SA263" s="43"/>
      <c r="SB263" s="43"/>
      <c r="SC263" s="43"/>
      <c r="SD263" s="43"/>
      <c r="SE263" s="43"/>
      <c r="SF263" s="43"/>
      <c r="SG263" s="43"/>
      <c r="SH263" s="43"/>
      <c r="SI263" s="43"/>
      <c r="SJ263" s="43"/>
      <c r="SK263" s="43"/>
      <c r="SL263" s="43"/>
      <c r="SM263" s="43"/>
      <c r="SN263" s="43"/>
      <c r="SO263" s="43"/>
      <c r="SP263" s="43"/>
      <c r="SQ263" s="43"/>
      <c r="SR263" s="43"/>
      <c r="SS263" s="43"/>
      <c r="ST263" s="43"/>
      <c r="SU263" s="43"/>
      <c r="SV263" s="43"/>
      <c r="SW263" s="43"/>
      <c r="SX263" s="43"/>
      <c r="SY263" s="43"/>
      <c r="SZ263" s="43"/>
      <c r="TA263" s="43"/>
      <c r="TB263" s="43"/>
      <c r="TC263" s="43"/>
      <c r="TD263" s="43"/>
      <c r="TE263" s="43"/>
      <c r="TF263" s="43"/>
      <c r="TG263" s="43"/>
      <c r="TH263" s="43"/>
    </row>
    <row r="264" spans="1:528" s="41" customFormat="1" ht="16.5" customHeight="1">
      <c r="A264" s="43"/>
      <c r="B264" s="43" t="s">
        <v>1342</v>
      </c>
      <c r="C264" s="43"/>
      <c r="D264" s="2375"/>
      <c r="E264" s="43"/>
      <c r="F264" s="3754">
        <v>5000</v>
      </c>
      <c r="G264" s="3755"/>
      <c r="H264" s="1778">
        <f t="shared" si="700"/>
        <v>52.083333333333336</v>
      </c>
      <c r="O264" s="355" t="s">
        <v>1343</v>
      </c>
      <c r="P264" s="494" t="str">
        <f>CONCATENATE(P143," units x $",'DCA Underwriting Assumptions'!$Q$44," =")</f>
        <v>0 units x $420 =</v>
      </c>
      <c r="Q264" s="354">
        <f>P143*'DCA Underwriting Assumptions'!$Q$44</f>
        <v>0</v>
      </c>
      <c r="S264" s="3758"/>
      <c r="T264" s="3759"/>
      <c r="U264" s="3759"/>
      <c r="V264" s="3759"/>
      <c r="W264" s="3760"/>
      <c r="X264" s="251"/>
      <c r="Y264" s="253"/>
      <c r="Z264" s="253"/>
      <c r="AA264" s="253"/>
      <c r="AB264" s="253"/>
      <c r="AC264" s="251"/>
      <c r="AD264" s="253"/>
      <c r="AE264" s="253"/>
      <c r="AF264" s="253"/>
      <c r="AG264" s="253"/>
      <c r="AH264" s="251"/>
      <c r="AI264" s="253"/>
      <c r="AJ264" s="253"/>
      <c r="AK264" s="253"/>
      <c r="AL264" s="253"/>
      <c r="AM264" s="251"/>
      <c r="AN264" s="253"/>
      <c r="AO264" s="253"/>
      <c r="AP264" s="253"/>
      <c r="AQ264" s="253"/>
      <c r="AR264" s="253"/>
      <c r="AS264" s="253"/>
      <c r="AT264" s="253"/>
      <c r="AU264" s="253"/>
      <c r="AV264" s="253"/>
      <c r="AW264" s="253"/>
      <c r="AX264" s="253"/>
      <c r="AY264" s="253"/>
      <c r="AZ264" s="253"/>
      <c r="BA264" s="253"/>
      <c r="BB264" s="253"/>
      <c r="BC264" s="253"/>
      <c r="BD264" s="253"/>
      <c r="BE264" s="253"/>
      <c r="BF264" s="253"/>
      <c r="BG264" s="253"/>
      <c r="BH264" s="253"/>
      <c r="BI264" s="253"/>
      <c r="BJ264" s="253"/>
      <c r="BK264" s="253"/>
      <c r="BL264" s="253"/>
      <c r="BM264" s="253"/>
      <c r="BN264" s="253"/>
      <c r="BO264" s="253"/>
      <c r="BP264" s="253"/>
      <c r="BQ264" s="253"/>
      <c r="BR264" s="253"/>
      <c r="BS264" s="253"/>
      <c r="BT264" s="253"/>
      <c r="BU264" s="253"/>
      <c r="BV264" s="253"/>
      <c r="BW264" s="253"/>
      <c r="BX264" s="253"/>
      <c r="BY264" s="253"/>
      <c r="BZ264" s="253"/>
      <c r="CA264" s="253"/>
      <c r="CB264" s="253"/>
      <c r="CC264" s="253"/>
      <c r="CD264" s="253"/>
      <c r="CE264" s="253"/>
      <c r="CF264" s="253"/>
      <c r="CG264" s="253"/>
      <c r="CH264" s="253"/>
      <c r="CI264" s="253"/>
      <c r="CJ264" s="253"/>
      <c r="CK264" s="253"/>
      <c r="CL264" s="253"/>
      <c r="CM264" s="253"/>
      <c r="CN264" s="253"/>
      <c r="CO264" s="253"/>
      <c r="CP264" s="253"/>
      <c r="CQ264" s="253"/>
      <c r="CR264" s="253"/>
      <c r="CS264" s="253"/>
      <c r="CT264" s="253"/>
      <c r="CU264" s="253"/>
      <c r="CV264" s="253"/>
      <c r="CW264" s="253"/>
      <c r="CX264" s="253"/>
      <c r="CY264" s="253"/>
      <c r="CZ264" s="253"/>
      <c r="DA264" s="253"/>
      <c r="DB264" s="253"/>
      <c r="DC264" s="253"/>
      <c r="DD264" s="253"/>
      <c r="DE264" s="253"/>
      <c r="DF264" s="253"/>
      <c r="DG264" s="253"/>
      <c r="DH264" s="253"/>
      <c r="DI264" s="253"/>
      <c r="DJ264" s="253"/>
      <c r="DK264" s="253"/>
      <c r="DL264" s="253"/>
      <c r="DM264" s="253"/>
      <c r="DN264" s="253"/>
      <c r="DO264" s="253"/>
      <c r="DP264" s="253"/>
      <c r="DQ264" s="253"/>
      <c r="DR264" s="253"/>
      <c r="DS264" s="253"/>
      <c r="DT264" s="253"/>
      <c r="DU264" s="253"/>
      <c r="DV264" s="253"/>
      <c r="DW264" s="253"/>
      <c r="DX264" s="253"/>
      <c r="DY264" s="253"/>
      <c r="DZ264" s="253"/>
      <c r="EA264" s="253"/>
      <c r="EB264" s="253"/>
      <c r="EC264" s="253"/>
      <c r="ED264" s="253"/>
      <c r="EE264" s="253"/>
      <c r="EF264" s="253"/>
      <c r="EG264" s="253"/>
      <c r="EH264" s="253"/>
      <c r="EI264" s="253"/>
      <c r="EJ264" s="253"/>
      <c r="EK264" s="253"/>
      <c r="EL264" s="253"/>
      <c r="EM264" s="253"/>
      <c r="EN264" s="253"/>
      <c r="EO264" s="253"/>
      <c r="EP264" s="253"/>
      <c r="EQ264" s="253"/>
      <c r="ER264" s="253"/>
      <c r="ES264" s="253"/>
      <c r="ET264" s="253"/>
      <c r="EU264" s="253"/>
      <c r="EV264" s="253"/>
      <c r="EW264" s="253"/>
      <c r="EX264" s="253"/>
      <c r="EY264" s="253"/>
      <c r="EZ264" s="253"/>
      <c r="FA264" s="253"/>
      <c r="FB264" s="253"/>
      <c r="FC264" s="253"/>
      <c r="FD264" s="253"/>
      <c r="FE264" s="253"/>
      <c r="FF264" s="253"/>
      <c r="FG264" s="253"/>
      <c r="FH264" s="253"/>
      <c r="FI264" s="253"/>
      <c r="FJ264" s="253"/>
      <c r="FK264" s="253"/>
      <c r="FL264" s="253"/>
      <c r="FM264" s="253"/>
      <c r="FN264" s="253"/>
      <c r="FO264" s="253"/>
      <c r="FP264" s="253"/>
      <c r="FQ264" s="253"/>
      <c r="FR264" s="253"/>
      <c r="FS264" s="253"/>
      <c r="FT264" s="253"/>
      <c r="FU264" s="253"/>
      <c r="FV264" s="253"/>
      <c r="FW264" s="253"/>
      <c r="FX264" s="253"/>
      <c r="FY264" s="253"/>
      <c r="FZ264" s="253"/>
      <c r="GA264" s="253"/>
      <c r="GB264" s="253"/>
      <c r="GC264" s="253"/>
      <c r="GD264" s="253"/>
      <c r="GE264" s="253"/>
      <c r="GF264" s="253"/>
      <c r="GG264" s="253"/>
      <c r="GH264" s="253"/>
      <c r="GI264" s="253"/>
      <c r="GJ264" s="253"/>
      <c r="GK264" s="253"/>
      <c r="GL264" s="253"/>
      <c r="GM264" s="253"/>
      <c r="GN264" s="253"/>
      <c r="GO264" s="253"/>
      <c r="GP264" s="253"/>
      <c r="GQ264" s="253"/>
      <c r="GR264" s="253"/>
      <c r="GS264" s="253"/>
      <c r="GT264" s="253"/>
      <c r="GU264" s="253"/>
      <c r="GV264" s="253"/>
      <c r="GW264" s="253"/>
      <c r="GX264" s="253"/>
      <c r="GY264" s="253"/>
      <c r="GZ264" s="253"/>
      <c r="HA264" s="253"/>
      <c r="HB264" s="253"/>
      <c r="HC264" s="253"/>
      <c r="HD264" s="253"/>
      <c r="HE264" s="253"/>
      <c r="HF264" s="253"/>
      <c r="HG264" s="253"/>
      <c r="HH264" s="253"/>
      <c r="HI264" s="253"/>
      <c r="HJ264" s="253"/>
      <c r="HK264" s="253"/>
      <c r="HL264" s="253"/>
      <c r="HM264" s="253"/>
      <c r="HN264" s="253"/>
      <c r="HO264" s="253"/>
      <c r="HP264" s="253"/>
      <c r="HQ264" s="253"/>
      <c r="HR264" s="253"/>
      <c r="HS264" s="253"/>
      <c r="HT264" s="253"/>
      <c r="HU264" s="253"/>
      <c r="HV264" s="253"/>
      <c r="HW264" s="253"/>
      <c r="HX264" s="253"/>
      <c r="HY264" s="253"/>
      <c r="HZ264" s="253"/>
      <c r="IA264" s="253"/>
      <c r="IB264" s="253"/>
      <c r="IC264" s="253"/>
      <c r="ID264" s="253"/>
      <c r="IE264" s="253"/>
      <c r="IF264" s="253"/>
      <c r="IG264" s="253"/>
      <c r="IH264" s="253"/>
      <c r="II264" s="253"/>
      <c r="IJ264" s="253"/>
      <c r="IK264" s="253"/>
      <c r="IL264" s="253"/>
      <c r="IM264" s="253"/>
      <c r="IN264" s="253"/>
      <c r="IO264" s="253"/>
      <c r="IP264" s="253"/>
      <c r="IQ264" s="253"/>
      <c r="IR264" s="253"/>
      <c r="IS264" s="253"/>
      <c r="IT264" s="253"/>
      <c r="IU264" s="253"/>
      <c r="IV264" s="253"/>
      <c r="IW264" s="253"/>
      <c r="IX264" s="253"/>
      <c r="IY264" s="253"/>
      <c r="IZ264" s="253"/>
      <c r="JA264" s="253"/>
      <c r="JB264" s="253"/>
      <c r="JC264" s="253"/>
      <c r="JD264" s="253"/>
      <c r="JE264" s="253"/>
      <c r="JF264" s="253"/>
      <c r="JG264" s="253"/>
      <c r="JH264" s="253"/>
      <c r="JI264" s="253"/>
      <c r="JJ264" s="253"/>
      <c r="JK264" s="253"/>
      <c r="JL264" s="253"/>
      <c r="JM264" s="253"/>
      <c r="JN264" s="253"/>
      <c r="JO264" s="253"/>
      <c r="JP264" s="253"/>
      <c r="JQ264" s="253"/>
      <c r="JR264" s="253"/>
      <c r="JS264" s="253"/>
      <c r="JT264" s="253"/>
      <c r="JU264" s="253"/>
      <c r="JV264" s="253"/>
      <c r="JW264" s="253"/>
      <c r="JX264" s="253"/>
      <c r="JY264" s="253"/>
      <c r="JZ264" s="253"/>
      <c r="KA264" s="253"/>
      <c r="KB264" s="253"/>
      <c r="KC264" s="253"/>
      <c r="KD264" s="253"/>
      <c r="KE264" s="253"/>
      <c r="KF264" s="253"/>
      <c r="KG264" s="253"/>
      <c r="KH264" s="253"/>
      <c r="KI264" s="253"/>
      <c r="KJ264" s="253"/>
      <c r="KK264" s="253"/>
      <c r="KL264" s="253"/>
      <c r="KM264" s="253"/>
      <c r="KN264" s="253"/>
      <c r="KO264" s="253"/>
      <c r="KP264" s="253"/>
      <c r="KQ264" s="253"/>
      <c r="KR264" s="253"/>
      <c r="KS264" s="253"/>
      <c r="KT264" s="253"/>
      <c r="KU264" s="253"/>
      <c r="KV264" s="253"/>
      <c r="KW264" s="253"/>
      <c r="KX264" s="253"/>
      <c r="KY264" s="253"/>
      <c r="KZ264" s="253"/>
      <c r="LA264" s="253"/>
      <c r="LB264" s="253"/>
      <c r="LC264" s="253"/>
      <c r="LD264" s="253"/>
      <c r="LE264" s="253"/>
      <c r="LF264" s="1296"/>
      <c r="LG264" s="253"/>
      <c r="LH264" s="253"/>
      <c r="LI264" s="253"/>
      <c r="LJ264" s="253"/>
      <c r="LK264" s="1296"/>
      <c r="LL264" s="253"/>
      <c r="LM264" s="253"/>
      <c r="LN264" s="253"/>
      <c r="LO264" s="253"/>
      <c r="LP264" s="1296"/>
      <c r="LQ264" s="253"/>
      <c r="LR264" s="253"/>
      <c r="LS264" s="253"/>
      <c r="LT264" s="253"/>
      <c r="LU264" s="1296"/>
      <c r="LV264" s="1296"/>
      <c r="LW264" s="1296"/>
      <c r="LX264" s="1296"/>
      <c r="LY264" s="1296"/>
      <c r="LZ264" s="1296"/>
      <c r="MA264" s="1296"/>
      <c r="MB264" s="1296"/>
      <c r="MC264" s="1296"/>
      <c r="MD264" s="1296"/>
      <c r="ME264" s="1296"/>
      <c r="MF264" s="1296"/>
      <c r="MG264" s="1296"/>
      <c r="MH264" s="1296"/>
      <c r="MI264" s="1296"/>
      <c r="MJ264" s="1296"/>
      <c r="MK264" s="1296"/>
      <c r="ML264" s="1296"/>
      <c r="MM264" s="1296"/>
      <c r="MN264" s="1296"/>
      <c r="MO264" s="1296"/>
      <c r="MP264" s="1296"/>
      <c r="MQ264" s="253"/>
      <c r="MR264" s="253"/>
      <c r="MS264" s="253"/>
      <c r="MT264" s="253"/>
      <c r="MU264" s="253"/>
      <c r="MV264" s="253"/>
      <c r="MW264" s="1184"/>
      <c r="MX264" s="253"/>
      <c r="MY264" s="253"/>
      <c r="MZ264" s="253"/>
      <c r="NA264" s="253"/>
      <c r="NB264" s="253"/>
      <c r="NC264" s="253"/>
      <c r="ND264" s="253"/>
      <c r="NE264" s="253"/>
      <c r="NF264" s="253"/>
      <c r="NG264" s="253"/>
      <c r="NH264" s="253"/>
      <c r="NI264" s="253"/>
      <c r="NJ264" s="253"/>
      <c r="NK264" s="253"/>
      <c r="NL264" s="253"/>
      <c r="NM264" s="1184"/>
      <c r="NN264" s="1184"/>
      <c r="NO264" s="253"/>
      <c r="NP264" s="253"/>
      <c r="NQ264" s="253"/>
      <c r="NR264" s="253"/>
      <c r="NS264" s="253"/>
      <c r="NT264" s="253"/>
      <c r="NU264" s="253"/>
      <c r="NV264" s="253"/>
      <c r="NW264" s="253"/>
      <c r="NX264" s="253"/>
      <c r="NY264" s="253"/>
      <c r="NZ264" s="253"/>
      <c r="OA264" s="253"/>
      <c r="OB264" s="253"/>
      <c r="OC264" s="253"/>
      <c r="OD264" s="253"/>
      <c r="OE264" s="253"/>
      <c r="OF264" s="253"/>
      <c r="OG264" s="253"/>
      <c r="OH264" s="253"/>
      <c r="OI264" s="253"/>
      <c r="OJ264" s="253"/>
      <c r="OK264" s="253"/>
      <c r="OL264" s="253"/>
      <c r="OM264" s="253"/>
      <c r="ON264" s="253"/>
      <c r="OO264" s="253"/>
      <c r="OP264" s="253"/>
      <c r="OQ264" s="253"/>
      <c r="OR264" s="253"/>
      <c r="OS264" s="253"/>
      <c r="OT264" s="253"/>
      <c r="OU264" s="253"/>
      <c r="OV264" s="43"/>
      <c r="OW264" s="43"/>
      <c r="OX264" s="43"/>
      <c r="OY264" s="1796" t="s">
        <v>1344</v>
      </c>
      <c r="OZ264" s="1799">
        <v>260</v>
      </c>
      <c r="PA264" s="43"/>
      <c r="PB264" s="43"/>
      <c r="PC264" s="43"/>
      <c r="PD264" s="43"/>
      <c r="PE264" s="43"/>
      <c r="PF264" s="43"/>
      <c r="PG264" s="43"/>
      <c r="PH264" s="43"/>
      <c r="PI264" s="43"/>
      <c r="PJ264" s="43"/>
      <c r="PK264" s="43"/>
      <c r="PL264" s="43"/>
      <c r="PM264" s="43"/>
      <c r="PN264" s="43"/>
      <c r="PO264" s="43"/>
      <c r="PP264" s="43"/>
      <c r="PQ264" s="43"/>
      <c r="PR264" s="43"/>
      <c r="PS264" s="43"/>
      <c r="PT264" s="43"/>
      <c r="PU264" s="43"/>
      <c r="PV264" s="43"/>
      <c r="PW264" s="43"/>
      <c r="PX264" s="43"/>
      <c r="PY264" s="43"/>
      <c r="PZ264" s="43"/>
      <c r="QA264" s="43"/>
      <c r="QB264" s="43"/>
      <c r="QC264" s="43"/>
      <c r="QD264" s="43"/>
      <c r="QE264" s="43"/>
      <c r="QF264" s="43"/>
      <c r="QG264" s="43"/>
      <c r="QH264" s="43"/>
      <c r="QI264" s="43"/>
      <c r="QJ264" s="43"/>
      <c r="QK264" s="43"/>
      <c r="QL264" s="43"/>
      <c r="QM264" s="43"/>
      <c r="QN264" s="43"/>
      <c r="QO264" s="43"/>
      <c r="QP264" s="43"/>
      <c r="QQ264" s="43"/>
      <c r="QR264" s="43"/>
      <c r="QS264" s="43"/>
      <c r="QT264" s="43"/>
      <c r="QU264" s="43"/>
      <c r="QV264" s="43"/>
      <c r="QW264" s="43"/>
      <c r="QX264" s="43"/>
      <c r="QY264" s="43"/>
      <c r="QZ264" s="43"/>
      <c r="RA264" s="43"/>
      <c r="RB264" s="43"/>
      <c r="RC264" s="43"/>
      <c r="RD264" s="43"/>
      <c r="RE264" s="43"/>
      <c r="RF264" s="43"/>
      <c r="RG264" s="43"/>
      <c r="RH264" s="43"/>
      <c r="RI264" s="43"/>
      <c r="RJ264" s="43"/>
      <c r="RK264" s="43"/>
      <c r="RL264" s="43"/>
      <c r="RM264" s="43"/>
      <c r="RN264" s="43"/>
      <c r="RO264" s="43"/>
      <c r="RP264" s="43"/>
      <c r="RQ264" s="43"/>
      <c r="RR264" s="43"/>
      <c r="RS264" s="43"/>
      <c r="RT264" s="43"/>
      <c r="RU264" s="43"/>
      <c r="RV264" s="43"/>
      <c r="RW264" s="43"/>
      <c r="RX264" s="43"/>
      <c r="RY264" s="43"/>
      <c r="RZ264" s="43"/>
      <c r="SA264" s="43"/>
      <c r="SB264" s="43"/>
      <c r="SC264" s="43"/>
      <c r="SD264" s="43"/>
      <c r="SE264" s="43"/>
      <c r="SF264" s="43"/>
      <c r="SG264" s="43"/>
      <c r="SH264" s="43"/>
      <c r="SI264" s="43"/>
      <c r="SJ264" s="43"/>
      <c r="SK264" s="43"/>
      <c r="SL264" s="43"/>
      <c r="SM264" s="43"/>
      <c r="SN264" s="43"/>
      <c r="SO264" s="43"/>
      <c r="SP264" s="43"/>
      <c r="SQ264" s="43"/>
      <c r="SR264" s="43"/>
      <c r="SS264" s="43"/>
      <c r="ST264" s="43"/>
      <c r="SU264" s="43"/>
      <c r="SV264" s="43"/>
      <c r="SW264" s="43"/>
      <c r="SX264" s="43"/>
      <c r="SY264" s="43"/>
      <c r="SZ264" s="43"/>
      <c r="TA264" s="43"/>
      <c r="TB264" s="43"/>
      <c r="TC264" s="43"/>
      <c r="TD264" s="43"/>
      <c r="TE264" s="43"/>
      <c r="TF264" s="43"/>
      <c r="TG264" s="43"/>
      <c r="TH264" s="43"/>
    </row>
    <row r="265" spans="1:528" s="41" customFormat="1" ht="16.5" customHeight="1">
      <c r="A265" s="43"/>
      <c r="B265" s="43" t="s">
        <v>1345</v>
      </c>
      <c r="C265" s="43"/>
      <c r="D265" s="2375"/>
      <c r="E265" s="43"/>
      <c r="F265" s="3754">
        <v>5000</v>
      </c>
      <c r="G265" s="3755"/>
      <c r="H265" s="1778">
        <f t="shared" si="700"/>
        <v>52.083333333333336</v>
      </c>
      <c r="I265" s="3" t="s">
        <v>1346</v>
      </c>
      <c r="O265" s="561" t="s">
        <v>1347</v>
      </c>
      <c r="P265" s="562">
        <f>SUM(NO58:NS58)+SUM(NT58:NX58)+SUM(NY58:OC58)+P143</f>
        <v>96</v>
      </c>
      <c r="Q265" s="563">
        <f>SUM(Q261:Q264)</f>
        <v>38400</v>
      </c>
      <c r="R265" s="494"/>
      <c r="S265" s="3758"/>
      <c r="T265" s="3759"/>
      <c r="U265" s="3759"/>
      <c r="V265" s="3759"/>
      <c r="W265" s="3760"/>
      <c r="X265" s="251"/>
      <c r="Y265" s="253"/>
      <c r="Z265" s="253"/>
      <c r="AA265" s="253"/>
      <c r="AB265" s="253"/>
      <c r="AC265" s="251"/>
      <c r="AD265" s="253"/>
      <c r="AE265" s="253"/>
      <c r="AF265" s="253"/>
      <c r="AG265" s="253"/>
      <c r="AH265" s="251"/>
      <c r="AI265" s="253"/>
      <c r="AJ265" s="253"/>
      <c r="AK265" s="253"/>
      <c r="AL265" s="253"/>
      <c r="AM265" s="251"/>
      <c r="AN265" s="253"/>
      <c r="AO265" s="253"/>
      <c r="AP265" s="253"/>
      <c r="AQ265" s="253"/>
      <c r="AR265" s="253"/>
      <c r="AS265" s="253"/>
      <c r="AT265" s="253"/>
      <c r="AU265" s="253"/>
      <c r="AV265" s="253"/>
      <c r="AW265" s="253"/>
      <c r="AX265" s="253"/>
      <c r="AY265" s="253"/>
      <c r="AZ265" s="253"/>
      <c r="BA265" s="253"/>
      <c r="BB265" s="253"/>
      <c r="BC265" s="253"/>
      <c r="BD265" s="253"/>
      <c r="BE265" s="253"/>
      <c r="BF265" s="253"/>
      <c r="BG265" s="253"/>
      <c r="BH265" s="253"/>
      <c r="BI265" s="253"/>
      <c r="BJ265" s="253"/>
      <c r="BK265" s="253"/>
      <c r="BL265" s="253"/>
      <c r="BM265" s="253"/>
      <c r="BN265" s="253"/>
      <c r="BO265" s="253"/>
      <c r="BP265" s="253"/>
      <c r="BQ265" s="253"/>
      <c r="BR265" s="253"/>
      <c r="BS265" s="253"/>
      <c r="BT265" s="253"/>
      <c r="BU265" s="253"/>
      <c r="BV265" s="253"/>
      <c r="BW265" s="253"/>
      <c r="BX265" s="253"/>
      <c r="BY265" s="253"/>
      <c r="BZ265" s="253"/>
      <c r="CA265" s="253"/>
      <c r="CB265" s="253"/>
      <c r="CC265" s="253"/>
      <c r="CD265" s="253"/>
      <c r="CE265" s="253"/>
      <c r="CF265" s="253"/>
      <c r="CG265" s="253"/>
      <c r="CH265" s="253"/>
      <c r="CI265" s="253"/>
      <c r="CJ265" s="253"/>
      <c r="CK265" s="253"/>
      <c r="CL265" s="253"/>
      <c r="CM265" s="253"/>
      <c r="CN265" s="253"/>
      <c r="CO265" s="253"/>
      <c r="CP265" s="253"/>
      <c r="CQ265" s="253"/>
      <c r="CR265" s="253"/>
      <c r="CS265" s="253"/>
      <c r="CT265" s="253"/>
      <c r="CU265" s="253"/>
      <c r="CV265" s="253"/>
      <c r="CW265" s="253"/>
      <c r="CX265" s="253"/>
      <c r="CY265" s="253"/>
      <c r="CZ265" s="253"/>
      <c r="DA265" s="253"/>
      <c r="DB265" s="253"/>
      <c r="DC265" s="253"/>
      <c r="DD265" s="253"/>
      <c r="DE265" s="253"/>
      <c r="DF265" s="253"/>
      <c r="DG265" s="253"/>
      <c r="DH265" s="253"/>
      <c r="DI265" s="253"/>
      <c r="DJ265" s="253"/>
      <c r="DK265" s="253"/>
      <c r="DL265" s="253"/>
      <c r="DM265" s="253"/>
      <c r="DN265" s="253"/>
      <c r="DO265" s="253"/>
      <c r="DP265" s="253"/>
      <c r="DQ265" s="253"/>
      <c r="DR265" s="253"/>
      <c r="DS265" s="253"/>
      <c r="DT265" s="253"/>
      <c r="DU265" s="253"/>
      <c r="DV265" s="253"/>
      <c r="DW265" s="253"/>
      <c r="DX265" s="253"/>
      <c r="DY265" s="253"/>
      <c r="DZ265" s="253"/>
      <c r="EA265" s="253"/>
      <c r="EB265" s="253"/>
      <c r="EC265" s="253"/>
      <c r="ED265" s="253"/>
      <c r="EE265" s="253"/>
      <c r="EF265" s="253"/>
      <c r="EG265" s="253"/>
      <c r="EH265" s="253"/>
      <c r="EI265" s="253"/>
      <c r="EJ265" s="253"/>
      <c r="EK265" s="253"/>
      <c r="EL265" s="253"/>
      <c r="EM265" s="253"/>
      <c r="EN265" s="253"/>
      <c r="EO265" s="253"/>
      <c r="EP265" s="253"/>
      <c r="EQ265" s="253"/>
      <c r="ER265" s="253"/>
      <c r="ES265" s="253"/>
      <c r="ET265" s="253"/>
      <c r="EU265" s="253"/>
      <c r="EV265" s="253"/>
      <c r="EW265" s="253"/>
      <c r="EX265" s="253"/>
      <c r="EY265" s="253"/>
      <c r="EZ265" s="253"/>
      <c r="FA265" s="253"/>
      <c r="FB265" s="253"/>
      <c r="FC265" s="253"/>
      <c r="FD265" s="253"/>
      <c r="FE265" s="253"/>
      <c r="FF265" s="253"/>
      <c r="FG265" s="253"/>
      <c r="FH265" s="253"/>
      <c r="FI265" s="253"/>
      <c r="FJ265" s="253"/>
      <c r="FK265" s="253"/>
      <c r="FL265" s="253"/>
      <c r="FM265" s="253"/>
      <c r="FN265" s="253"/>
      <c r="FO265" s="253"/>
      <c r="FP265" s="253"/>
      <c r="FQ265" s="253"/>
      <c r="FR265" s="253"/>
      <c r="FS265" s="253"/>
      <c r="FT265" s="253"/>
      <c r="FU265" s="253"/>
      <c r="FV265" s="253"/>
      <c r="FW265" s="253"/>
      <c r="FX265" s="253"/>
      <c r="FY265" s="253"/>
      <c r="FZ265" s="253"/>
      <c r="GA265" s="253"/>
      <c r="GB265" s="253"/>
      <c r="GC265" s="253"/>
      <c r="GD265" s="253"/>
      <c r="GE265" s="253"/>
      <c r="GF265" s="253"/>
      <c r="GG265" s="253"/>
      <c r="GH265" s="253"/>
      <c r="GI265" s="253"/>
      <c r="GJ265" s="253"/>
      <c r="GK265" s="253"/>
      <c r="GL265" s="253"/>
      <c r="GM265" s="253"/>
      <c r="GN265" s="253"/>
      <c r="GO265" s="253"/>
      <c r="GP265" s="253"/>
      <c r="GQ265" s="253"/>
      <c r="GR265" s="253"/>
      <c r="GS265" s="253"/>
      <c r="GT265" s="253"/>
      <c r="GU265" s="253"/>
      <c r="GV265" s="253"/>
      <c r="GW265" s="253"/>
      <c r="GX265" s="253"/>
      <c r="GY265" s="253"/>
      <c r="GZ265" s="253"/>
      <c r="HA265" s="253"/>
      <c r="HB265" s="253"/>
      <c r="HC265" s="253"/>
      <c r="HD265" s="253"/>
      <c r="HE265" s="253"/>
      <c r="HF265" s="253"/>
      <c r="HG265" s="253"/>
      <c r="HH265" s="253"/>
      <c r="HI265" s="253"/>
      <c r="HJ265" s="253"/>
      <c r="HK265" s="253"/>
      <c r="HL265" s="253"/>
      <c r="HM265" s="253"/>
      <c r="HN265" s="253"/>
      <c r="HO265" s="253"/>
      <c r="HP265" s="253"/>
      <c r="HQ265" s="253"/>
      <c r="HR265" s="253"/>
      <c r="HS265" s="253"/>
      <c r="HT265" s="253"/>
      <c r="HU265" s="253"/>
      <c r="HV265" s="253"/>
      <c r="HW265" s="253"/>
      <c r="HX265" s="253"/>
      <c r="HY265" s="253"/>
      <c r="HZ265" s="253"/>
      <c r="IA265" s="253"/>
      <c r="IB265" s="253"/>
      <c r="IC265" s="253"/>
      <c r="ID265" s="253"/>
      <c r="IE265" s="253"/>
      <c r="IF265" s="253"/>
      <c r="IG265" s="253"/>
      <c r="IH265" s="253"/>
      <c r="II265" s="253"/>
      <c r="IJ265" s="253"/>
      <c r="IK265" s="253"/>
      <c r="IL265" s="253"/>
      <c r="IM265" s="253"/>
      <c r="IN265" s="253"/>
      <c r="IO265" s="253"/>
      <c r="IP265" s="253"/>
      <c r="IQ265" s="253"/>
      <c r="IR265" s="253"/>
      <c r="IS265" s="253"/>
      <c r="IT265" s="253"/>
      <c r="IU265" s="253"/>
      <c r="IV265" s="253"/>
      <c r="IW265" s="253"/>
      <c r="IX265" s="253"/>
      <c r="IY265" s="253"/>
      <c r="IZ265" s="253"/>
      <c r="JA265" s="253"/>
      <c r="JB265" s="253"/>
      <c r="JC265" s="253"/>
      <c r="JD265" s="253"/>
      <c r="JE265" s="253"/>
      <c r="JF265" s="253"/>
      <c r="JG265" s="253"/>
      <c r="JH265" s="253"/>
      <c r="JI265" s="253"/>
      <c r="JJ265" s="253"/>
      <c r="JK265" s="253"/>
      <c r="JL265" s="253"/>
      <c r="JM265" s="253"/>
      <c r="JN265" s="253"/>
      <c r="JO265" s="253"/>
      <c r="JP265" s="253"/>
      <c r="JQ265" s="253"/>
      <c r="JR265" s="253"/>
      <c r="JS265" s="253"/>
      <c r="JT265" s="253"/>
      <c r="JU265" s="253"/>
      <c r="JV265" s="253"/>
      <c r="JW265" s="253"/>
      <c r="JX265" s="253"/>
      <c r="JY265" s="253"/>
      <c r="JZ265" s="253"/>
      <c r="KA265" s="253"/>
      <c r="KB265" s="253"/>
      <c r="KC265" s="253"/>
      <c r="KD265" s="253"/>
      <c r="KE265" s="253"/>
      <c r="KF265" s="253"/>
      <c r="KG265" s="253"/>
      <c r="KH265" s="253"/>
      <c r="KI265" s="253"/>
      <c r="KJ265" s="253"/>
      <c r="KK265" s="253"/>
      <c r="KL265" s="253"/>
      <c r="KM265" s="253"/>
      <c r="KN265" s="253"/>
      <c r="KO265" s="253"/>
      <c r="KP265" s="253"/>
      <c r="KQ265" s="253"/>
      <c r="KR265" s="253"/>
      <c r="KS265" s="253"/>
      <c r="KT265" s="253"/>
      <c r="KU265" s="253"/>
      <c r="KV265" s="253"/>
      <c r="KW265" s="253"/>
      <c r="KX265" s="253"/>
      <c r="KY265" s="253"/>
      <c r="KZ265" s="253"/>
      <c r="LA265" s="253"/>
      <c r="LB265" s="253"/>
      <c r="LC265" s="253"/>
      <c r="LD265" s="253"/>
      <c r="LE265" s="253"/>
      <c r="LF265" s="1296"/>
      <c r="LG265" s="253"/>
      <c r="LH265" s="253"/>
      <c r="LI265" s="253"/>
      <c r="LJ265" s="253"/>
      <c r="LK265" s="1296"/>
      <c r="LL265" s="253"/>
      <c r="LM265" s="253"/>
      <c r="LN265" s="253"/>
      <c r="LO265" s="253"/>
      <c r="LP265" s="1296"/>
      <c r="LQ265" s="253"/>
      <c r="LR265" s="253"/>
      <c r="LS265" s="253"/>
      <c r="LT265" s="253"/>
      <c r="LU265" s="1296"/>
      <c r="LV265" s="1296"/>
      <c r="LW265" s="1296"/>
      <c r="LX265" s="1296"/>
      <c r="LY265" s="1296"/>
      <c r="LZ265" s="1296"/>
      <c r="MA265" s="1296"/>
      <c r="MB265" s="1296"/>
      <c r="MC265" s="1296"/>
      <c r="MD265" s="1296"/>
      <c r="ME265" s="1296"/>
      <c r="MF265" s="1296"/>
      <c r="MG265" s="1296"/>
      <c r="MH265" s="1296"/>
      <c r="MI265" s="1296"/>
      <c r="MJ265" s="1296"/>
      <c r="MK265" s="1296"/>
      <c r="ML265" s="1296"/>
      <c r="MM265" s="1296"/>
      <c r="MN265" s="1296"/>
      <c r="MO265" s="1296"/>
      <c r="MP265" s="1296"/>
      <c r="MQ265" s="253"/>
      <c r="MR265" s="253"/>
      <c r="MS265" s="253"/>
      <c r="MT265" s="253"/>
      <c r="MU265" s="253"/>
      <c r="MV265" s="253"/>
      <c r="MW265" s="1184"/>
      <c r="MX265" s="253"/>
      <c r="MY265" s="253"/>
      <c r="MZ265" s="253"/>
      <c r="NA265" s="253"/>
      <c r="NB265" s="253"/>
      <c r="NC265" s="253"/>
      <c r="ND265" s="253"/>
      <c r="NE265" s="253"/>
      <c r="NF265" s="253"/>
      <c r="NG265" s="253"/>
      <c r="NH265" s="253"/>
      <c r="NI265" s="253"/>
      <c r="NJ265" s="253"/>
      <c r="NK265" s="253"/>
      <c r="NL265" s="253"/>
      <c r="NM265" s="1184"/>
      <c r="NN265" s="1184"/>
      <c r="NO265" s="253"/>
      <c r="NP265" s="253"/>
      <c r="NQ265" s="253"/>
      <c r="NR265" s="253"/>
      <c r="NS265" s="253"/>
      <c r="NT265" s="253"/>
      <c r="NU265" s="253"/>
      <c r="NV265" s="253"/>
      <c r="NW265" s="253"/>
      <c r="NX265" s="253"/>
      <c r="NY265" s="253"/>
      <c r="NZ265" s="253"/>
      <c r="OA265" s="253"/>
      <c r="OB265" s="253"/>
      <c r="OC265" s="253"/>
      <c r="OD265" s="253"/>
      <c r="OE265" s="253"/>
      <c r="OF265" s="253"/>
      <c r="OG265" s="253"/>
      <c r="OH265" s="253"/>
      <c r="OI265" s="253"/>
      <c r="OJ265" s="253"/>
      <c r="OK265" s="253"/>
      <c r="OL265" s="253"/>
      <c r="OM265" s="253"/>
      <c r="ON265" s="253"/>
      <c r="OO265" s="253"/>
      <c r="OP265" s="253"/>
      <c r="OQ265" s="253"/>
      <c r="OR265" s="253"/>
      <c r="OS265" s="253"/>
      <c r="OT265" s="253"/>
      <c r="OU265" s="253"/>
      <c r="OV265" s="43"/>
      <c r="OW265" s="43"/>
      <c r="OX265" s="43"/>
      <c r="OY265" s="1796"/>
      <c r="OZ265" s="1799">
        <v>261</v>
      </c>
      <c r="PA265" s="43"/>
      <c r="PB265" s="43"/>
      <c r="PC265" s="43"/>
      <c r="PD265" s="43"/>
      <c r="PE265" s="43"/>
      <c r="PF265" s="43"/>
      <c r="PG265" s="43"/>
      <c r="PH265" s="43"/>
      <c r="PI265" s="43"/>
      <c r="PJ265" s="43"/>
      <c r="PK265" s="43"/>
      <c r="PL265" s="43"/>
      <c r="PM265" s="43"/>
      <c r="PN265" s="43"/>
      <c r="PO265" s="43"/>
      <c r="PP265" s="43"/>
      <c r="PQ265" s="43"/>
      <c r="PR265" s="43"/>
      <c r="PS265" s="43"/>
      <c r="PT265" s="43"/>
      <c r="PU265" s="43"/>
      <c r="PV265" s="43"/>
      <c r="PW265" s="43"/>
      <c r="PX265" s="43"/>
      <c r="PY265" s="43"/>
      <c r="PZ265" s="43"/>
      <c r="QA265" s="43"/>
      <c r="QB265" s="43"/>
      <c r="QC265" s="43"/>
      <c r="QD265" s="43"/>
      <c r="QE265" s="43"/>
      <c r="QF265" s="43"/>
      <c r="QG265" s="43"/>
      <c r="QH265" s="43"/>
      <c r="QI265" s="43"/>
      <c r="QJ265" s="43"/>
      <c r="QK265" s="43"/>
      <c r="QL265" s="43"/>
      <c r="QM265" s="43"/>
      <c r="QN265" s="43"/>
      <c r="QO265" s="43"/>
      <c r="QP265" s="43"/>
      <c r="QQ265" s="43"/>
      <c r="QR265" s="43"/>
      <c r="QS265" s="43"/>
      <c r="QT265" s="43"/>
      <c r="QU265" s="43"/>
      <c r="QV265" s="43"/>
      <c r="QW265" s="43"/>
      <c r="QX265" s="43"/>
      <c r="QY265" s="43"/>
      <c r="QZ265" s="43"/>
      <c r="RA265" s="43"/>
      <c r="RB265" s="43"/>
      <c r="RC265" s="43"/>
      <c r="RD265" s="43"/>
      <c r="RE265" s="43"/>
      <c r="RF265" s="43"/>
      <c r="RG265" s="43"/>
      <c r="RH265" s="43"/>
      <c r="RI265" s="43"/>
      <c r="RJ265" s="43"/>
      <c r="RK265" s="43"/>
      <c r="RL265" s="43"/>
      <c r="RM265" s="43"/>
      <c r="RN265" s="43"/>
      <c r="RO265" s="43"/>
      <c r="RP265" s="43"/>
      <c r="RQ265" s="43"/>
      <c r="RR265" s="43"/>
      <c r="RS265" s="43"/>
      <c r="RT265" s="43"/>
      <c r="RU265" s="43"/>
      <c r="RV265" s="43"/>
      <c r="RW265" s="43"/>
      <c r="RX265" s="43"/>
      <c r="RY265" s="43"/>
      <c r="RZ265" s="43"/>
      <c r="SA265" s="43"/>
      <c r="SB265" s="43"/>
      <c r="SC265" s="43"/>
      <c r="SD265" s="43"/>
      <c r="SE265" s="43"/>
      <c r="SF265" s="43"/>
      <c r="SG265" s="43"/>
      <c r="SH265" s="43"/>
      <c r="SI265" s="43"/>
      <c r="SJ265" s="43"/>
      <c r="SK265" s="43"/>
      <c r="SL265" s="43"/>
      <c r="SM265" s="43"/>
      <c r="SN265" s="43"/>
      <c r="SO265" s="43"/>
      <c r="SP265" s="43"/>
      <c r="SQ265" s="43"/>
      <c r="SR265" s="43"/>
      <c r="SS265" s="43"/>
      <c r="ST265" s="43"/>
      <c r="SU265" s="43"/>
      <c r="SV265" s="43"/>
      <c r="SW265" s="43"/>
      <c r="SX265" s="43"/>
      <c r="SY265" s="43"/>
      <c r="SZ265" s="43"/>
      <c r="TA265" s="43"/>
      <c r="TB265" s="43"/>
      <c r="TC265" s="43"/>
      <c r="TD265" s="43"/>
      <c r="TE265" s="43"/>
      <c r="TF265" s="43"/>
      <c r="TG265" s="43"/>
      <c r="TH265" s="43"/>
    </row>
    <row r="266" spans="1:528" s="41" customFormat="1" ht="16.5" customHeight="1">
      <c r="A266" s="43"/>
      <c r="B266" s="43" t="s">
        <v>1348</v>
      </c>
      <c r="C266" s="43"/>
      <c r="D266" s="2375"/>
      <c r="E266" s="43"/>
      <c r="F266" s="3754"/>
      <c r="G266" s="3755"/>
      <c r="H266" s="1778" t="str">
        <f t="shared" si="700"/>
        <v/>
      </c>
      <c r="I266" s="43" t="s">
        <v>1349</v>
      </c>
      <c r="K266" s="43"/>
      <c r="L266" s="3756">
        <v>44365</v>
      </c>
      <c r="M266" s="3757"/>
      <c r="N266" s="1778">
        <f t="shared" ref="N266:N269" si="701">IF(OR(L266="",L266=0),"",L266/$E$58)</f>
        <v>462.13541666666669</v>
      </c>
      <c r="O266" s="3741" t="str">
        <f>IF(L266+L267='Part III-A-Uses of Funds'!$G$132,"", CONCATENATE("Real Estate Taxes and Insurance Reserves from Development Budget = $:",'Part III-A-Uses of Funds'!$G$132))</f>
        <v/>
      </c>
      <c r="P266" s="3741"/>
      <c r="Q266" s="3741"/>
      <c r="R266" s="494"/>
      <c r="S266" s="3758"/>
      <c r="T266" s="3759"/>
      <c r="U266" s="3759"/>
      <c r="V266" s="3759"/>
      <c r="W266" s="3760"/>
      <c r="X266" s="251"/>
      <c r="Y266" s="253"/>
      <c r="Z266" s="253"/>
      <c r="AA266" s="253"/>
      <c r="AB266" s="253"/>
      <c r="AC266" s="251"/>
      <c r="AD266" s="253"/>
      <c r="AE266" s="253"/>
      <c r="AF266" s="253"/>
      <c r="AG266" s="253"/>
      <c r="AH266" s="251"/>
      <c r="AI266" s="253"/>
      <c r="AJ266" s="253"/>
      <c r="AK266" s="253"/>
      <c r="AL266" s="253"/>
      <c r="AM266" s="251"/>
      <c r="AN266" s="253"/>
      <c r="AO266" s="253"/>
      <c r="AP266" s="253"/>
      <c r="AQ266" s="253"/>
      <c r="AR266" s="253"/>
      <c r="AS266" s="253"/>
      <c r="AT266" s="253"/>
      <c r="AU266" s="253"/>
      <c r="AV266" s="253"/>
      <c r="AW266" s="253"/>
      <c r="AX266" s="253"/>
      <c r="AY266" s="253"/>
      <c r="AZ266" s="253"/>
      <c r="BA266" s="253"/>
      <c r="BB266" s="253"/>
      <c r="BC266" s="253"/>
      <c r="BD266" s="253"/>
      <c r="BE266" s="253"/>
      <c r="BF266" s="253"/>
      <c r="BG266" s="253"/>
      <c r="BH266" s="253"/>
      <c r="BI266" s="253"/>
      <c r="BJ266" s="253"/>
      <c r="BK266" s="253"/>
      <c r="BL266" s="253"/>
      <c r="BM266" s="253"/>
      <c r="BN266" s="253"/>
      <c r="BO266" s="253"/>
      <c r="BP266" s="253"/>
      <c r="BQ266" s="253"/>
      <c r="BR266" s="253"/>
      <c r="BS266" s="253"/>
      <c r="BT266" s="253"/>
      <c r="BU266" s="253"/>
      <c r="BV266" s="253"/>
      <c r="BW266" s="253"/>
      <c r="BX266" s="253"/>
      <c r="BY266" s="253"/>
      <c r="BZ266" s="253"/>
      <c r="CA266" s="253"/>
      <c r="CB266" s="253"/>
      <c r="CC266" s="253"/>
      <c r="CD266" s="253"/>
      <c r="CE266" s="253"/>
      <c r="CF266" s="253"/>
      <c r="CG266" s="253"/>
      <c r="CH266" s="253"/>
      <c r="CI266" s="253"/>
      <c r="CJ266" s="253"/>
      <c r="CK266" s="253"/>
      <c r="CL266" s="253"/>
      <c r="CM266" s="253"/>
      <c r="CN266" s="253"/>
      <c r="CO266" s="253"/>
      <c r="CP266" s="253"/>
      <c r="CQ266" s="253"/>
      <c r="CR266" s="253"/>
      <c r="CS266" s="253"/>
      <c r="CT266" s="253"/>
      <c r="CU266" s="253"/>
      <c r="CV266" s="253"/>
      <c r="CW266" s="253"/>
      <c r="CX266" s="253"/>
      <c r="CY266" s="253"/>
      <c r="CZ266" s="253"/>
      <c r="DA266" s="253"/>
      <c r="DB266" s="253"/>
      <c r="DC266" s="253"/>
      <c r="DD266" s="253"/>
      <c r="DE266" s="253"/>
      <c r="DF266" s="253"/>
      <c r="DG266" s="253"/>
      <c r="DH266" s="253"/>
      <c r="DI266" s="253"/>
      <c r="DJ266" s="253"/>
      <c r="DK266" s="253"/>
      <c r="DL266" s="253"/>
      <c r="DM266" s="253"/>
      <c r="DN266" s="253"/>
      <c r="DO266" s="253"/>
      <c r="DP266" s="253"/>
      <c r="DQ266" s="253"/>
      <c r="DR266" s="253"/>
      <c r="DS266" s="253"/>
      <c r="DT266" s="253"/>
      <c r="DU266" s="253"/>
      <c r="DV266" s="253"/>
      <c r="DW266" s="253"/>
      <c r="DX266" s="253"/>
      <c r="DY266" s="253"/>
      <c r="DZ266" s="253"/>
      <c r="EA266" s="253"/>
      <c r="EB266" s="253"/>
      <c r="EC266" s="253"/>
      <c r="ED266" s="253"/>
      <c r="EE266" s="253"/>
      <c r="EF266" s="253"/>
      <c r="EG266" s="253"/>
      <c r="EH266" s="253"/>
      <c r="EI266" s="253"/>
      <c r="EJ266" s="253"/>
      <c r="EK266" s="253"/>
      <c r="EL266" s="253"/>
      <c r="EM266" s="253"/>
      <c r="EN266" s="253"/>
      <c r="EO266" s="253"/>
      <c r="EP266" s="253"/>
      <c r="EQ266" s="253"/>
      <c r="ER266" s="253"/>
      <c r="ES266" s="253"/>
      <c r="ET266" s="253"/>
      <c r="EU266" s="253"/>
      <c r="EV266" s="253"/>
      <c r="EW266" s="253"/>
      <c r="EX266" s="253"/>
      <c r="EY266" s="253"/>
      <c r="EZ266" s="253"/>
      <c r="FA266" s="253"/>
      <c r="FB266" s="253"/>
      <c r="FC266" s="253"/>
      <c r="FD266" s="253"/>
      <c r="FE266" s="253"/>
      <c r="FF266" s="253"/>
      <c r="FG266" s="253"/>
      <c r="FH266" s="253"/>
      <c r="FI266" s="253"/>
      <c r="FJ266" s="253"/>
      <c r="FK266" s="253"/>
      <c r="FL266" s="253"/>
      <c r="FM266" s="253"/>
      <c r="FN266" s="253"/>
      <c r="FO266" s="253"/>
      <c r="FP266" s="253"/>
      <c r="FQ266" s="253"/>
      <c r="FR266" s="253"/>
      <c r="FS266" s="253"/>
      <c r="FT266" s="253"/>
      <c r="FU266" s="253"/>
      <c r="FV266" s="253"/>
      <c r="FW266" s="253"/>
      <c r="FX266" s="253"/>
      <c r="FY266" s="253"/>
      <c r="FZ266" s="253"/>
      <c r="GA266" s="253"/>
      <c r="GB266" s="253"/>
      <c r="GC266" s="253"/>
      <c r="GD266" s="253"/>
      <c r="GE266" s="253"/>
      <c r="GF266" s="253"/>
      <c r="GG266" s="253"/>
      <c r="GH266" s="253"/>
      <c r="GI266" s="253"/>
      <c r="GJ266" s="253"/>
      <c r="GK266" s="253"/>
      <c r="GL266" s="253"/>
      <c r="GM266" s="253"/>
      <c r="GN266" s="253"/>
      <c r="GO266" s="253"/>
      <c r="GP266" s="253"/>
      <c r="GQ266" s="253"/>
      <c r="GR266" s="253"/>
      <c r="GS266" s="253"/>
      <c r="GT266" s="253"/>
      <c r="GU266" s="253"/>
      <c r="GV266" s="253"/>
      <c r="GW266" s="253"/>
      <c r="GX266" s="253"/>
      <c r="GY266" s="253"/>
      <c r="GZ266" s="253"/>
      <c r="HA266" s="253"/>
      <c r="HB266" s="253"/>
      <c r="HC266" s="253"/>
      <c r="HD266" s="253"/>
      <c r="HE266" s="253"/>
      <c r="HF266" s="253"/>
      <c r="HG266" s="253"/>
      <c r="HH266" s="253"/>
      <c r="HI266" s="253"/>
      <c r="HJ266" s="253"/>
      <c r="HK266" s="253"/>
      <c r="HL266" s="253"/>
      <c r="HM266" s="253"/>
      <c r="HN266" s="253"/>
      <c r="HO266" s="253"/>
      <c r="HP266" s="253"/>
      <c r="HQ266" s="253"/>
      <c r="HR266" s="253"/>
      <c r="HS266" s="253"/>
      <c r="HT266" s="253"/>
      <c r="HU266" s="253"/>
      <c r="HV266" s="253"/>
      <c r="HW266" s="253"/>
      <c r="HX266" s="253"/>
      <c r="HY266" s="253"/>
      <c r="HZ266" s="253"/>
      <c r="IA266" s="253"/>
      <c r="IB266" s="253"/>
      <c r="IC266" s="253"/>
      <c r="ID266" s="253"/>
      <c r="IE266" s="253"/>
      <c r="IF266" s="253"/>
      <c r="IG266" s="253"/>
      <c r="IH266" s="253"/>
      <c r="II266" s="253"/>
      <c r="IJ266" s="253"/>
      <c r="IK266" s="253"/>
      <c r="IL266" s="253"/>
      <c r="IM266" s="253"/>
      <c r="IN266" s="253"/>
      <c r="IO266" s="253"/>
      <c r="IP266" s="253"/>
      <c r="IQ266" s="253"/>
      <c r="IR266" s="253"/>
      <c r="IS266" s="253"/>
      <c r="IT266" s="253"/>
      <c r="IU266" s="253"/>
      <c r="IV266" s="253"/>
      <c r="IW266" s="253"/>
      <c r="IX266" s="253"/>
      <c r="IY266" s="253"/>
      <c r="IZ266" s="253"/>
      <c r="JA266" s="253"/>
      <c r="JB266" s="253"/>
      <c r="JC266" s="253"/>
      <c r="JD266" s="253"/>
      <c r="JE266" s="253"/>
      <c r="JF266" s="253"/>
      <c r="JG266" s="253"/>
      <c r="JH266" s="253"/>
      <c r="JI266" s="253"/>
      <c r="JJ266" s="253"/>
      <c r="JK266" s="253"/>
      <c r="JL266" s="253"/>
      <c r="JM266" s="253"/>
      <c r="JN266" s="253"/>
      <c r="JO266" s="253"/>
      <c r="JP266" s="253"/>
      <c r="JQ266" s="253"/>
      <c r="JR266" s="253"/>
      <c r="JS266" s="253"/>
      <c r="JT266" s="253"/>
      <c r="JU266" s="253"/>
      <c r="JV266" s="253"/>
      <c r="JW266" s="253"/>
      <c r="JX266" s="253"/>
      <c r="JY266" s="253"/>
      <c r="JZ266" s="253"/>
      <c r="KA266" s="253"/>
      <c r="KB266" s="253"/>
      <c r="KC266" s="253"/>
      <c r="KD266" s="253"/>
      <c r="KE266" s="253"/>
      <c r="KF266" s="253"/>
      <c r="KG266" s="253"/>
      <c r="KH266" s="253"/>
      <c r="KI266" s="253"/>
      <c r="KJ266" s="253"/>
      <c r="KK266" s="253"/>
      <c r="KL266" s="253"/>
      <c r="KM266" s="253"/>
      <c r="KN266" s="253"/>
      <c r="KO266" s="253"/>
      <c r="KP266" s="253"/>
      <c r="KQ266" s="253"/>
      <c r="KR266" s="253"/>
      <c r="KS266" s="253"/>
      <c r="KT266" s="253"/>
      <c r="KU266" s="253"/>
      <c r="KV266" s="253"/>
      <c r="KW266" s="253"/>
      <c r="KX266" s="253"/>
      <c r="KY266" s="253"/>
      <c r="KZ266" s="253"/>
      <c r="LA266" s="253"/>
      <c r="LB266" s="253"/>
      <c r="LC266" s="253"/>
      <c r="LD266" s="253"/>
      <c r="LE266" s="253"/>
      <c r="LF266" s="1296"/>
      <c r="LG266" s="253"/>
      <c r="LH266" s="253"/>
      <c r="LI266" s="253"/>
      <c r="LJ266" s="253"/>
      <c r="LK266" s="1296"/>
      <c r="LL266" s="253"/>
      <c r="LM266" s="253"/>
      <c r="LN266" s="253"/>
      <c r="LO266" s="253"/>
      <c r="LP266" s="1296"/>
      <c r="LQ266" s="253"/>
      <c r="LR266" s="253"/>
      <c r="LS266" s="253"/>
      <c r="LT266" s="253"/>
      <c r="LU266" s="1296"/>
      <c r="LV266" s="1296"/>
      <c r="LW266" s="1296"/>
      <c r="LX266" s="1296"/>
      <c r="LY266" s="1296"/>
      <c r="LZ266" s="1296"/>
      <c r="MA266" s="1296"/>
      <c r="MB266" s="1296"/>
      <c r="MC266" s="1296"/>
      <c r="MD266" s="1296"/>
      <c r="ME266" s="1296"/>
      <c r="MF266" s="1296"/>
      <c r="MG266" s="1296"/>
      <c r="MH266" s="1296"/>
      <c r="MI266" s="1296"/>
      <c r="MJ266" s="1296"/>
      <c r="MK266" s="1296"/>
      <c r="ML266" s="1296"/>
      <c r="MM266" s="1296"/>
      <c r="MN266" s="1296"/>
      <c r="MO266" s="1296"/>
      <c r="MP266" s="1296"/>
      <c r="MQ266" s="253"/>
      <c r="MR266" s="253"/>
      <c r="MS266" s="253"/>
      <c r="MT266" s="253"/>
      <c r="MU266" s="253"/>
      <c r="MV266" s="253"/>
      <c r="MW266" s="1184"/>
      <c r="MX266" s="253"/>
      <c r="MY266" s="253"/>
      <c r="MZ266" s="253"/>
      <c r="NA266" s="253"/>
      <c r="NB266" s="253"/>
      <c r="NC266" s="253"/>
      <c r="ND266" s="253"/>
      <c r="NE266" s="253"/>
      <c r="NF266" s="253"/>
      <c r="NG266" s="253"/>
      <c r="NH266" s="253"/>
      <c r="NI266" s="253"/>
      <c r="NJ266" s="253"/>
      <c r="NK266" s="253"/>
      <c r="NL266" s="253"/>
      <c r="NM266" s="1184"/>
      <c r="NN266" s="1184"/>
      <c r="NO266" s="253"/>
      <c r="NP266" s="253"/>
      <c r="NQ266" s="253"/>
      <c r="NR266" s="253"/>
      <c r="NS266" s="253"/>
      <c r="NT266" s="253"/>
      <c r="NU266" s="253"/>
      <c r="NV266" s="253"/>
      <c r="NW266" s="253"/>
      <c r="NX266" s="253"/>
      <c r="NY266" s="253"/>
      <c r="NZ266" s="253"/>
      <c r="OA266" s="253"/>
      <c r="OB266" s="253"/>
      <c r="OC266" s="253"/>
      <c r="OD266" s="253"/>
      <c r="OE266" s="253"/>
      <c r="OF266" s="253"/>
      <c r="OG266" s="253"/>
      <c r="OH266" s="253"/>
      <c r="OI266" s="253"/>
      <c r="OJ266" s="253"/>
      <c r="OK266" s="253"/>
      <c r="OL266" s="253"/>
      <c r="OM266" s="253"/>
      <c r="ON266" s="253"/>
      <c r="OO266" s="253"/>
      <c r="OP266" s="253"/>
      <c r="OQ266" s="253"/>
      <c r="OR266" s="253"/>
      <c r="OS266" s="253"/>
      <c r="OT266" s="253"/>
      <c r="OU266" s="253"/>
      <c r="OV266" s="43"/>
      <c r="OW266" s="43"/>
      <c r="OX266" s="43"/>
      <c r="OY266" s="1796"/>
      <c r="OZ266" s="1799">
        <v>262</v>
      </c>
      <c r="PA266" s="43"/>
      <c r="PB266" s="43"/>
      <c r="PC266" s="43"/>
      <c r="PD266" s="43"/>
      <c r="PE266" s="43"/>
      <c r="PF266" s="43"/>
      <c r="PG266" s="43"/>
      <c r="PH266" s="43"/>
      <c r="PI266" s="43"/>
      <c r="PJ266" s="43"/>
      <c r="PK266" s="43"/>
      <c r="PL266" s="43"/>
      <c r="PM266" s="43"/>
      <c r="PN266" s="43"/>
      <c r="PO266" s="43"/>
      <c r="PP266" s="43"/>
      <c r="PQ266" s="43"/>
      <c r="PR266" s="43"/>
      <c r="PS266" s="43"/>
      <c r="PT266" s="43"/>
      <c r="PU266" s="43"/>
      <c r="PV266" s="43"/>
      <c r="PW266" s="43"/>
      <c r="PX266" s="43"/>
      <c r="PY266" s="43"/>
      <c r="PZ266" s="43"/>
      <c r="QA266" s="43"/>
      <c r="QB266" s="43"/>
      <c r="QC266" s="43"/>
      <c r="QD266" s="43"/>
      <c r="QE266" s="43"/>
      <c r="QF266" s="43"/>
      <c r="QG266" s="43"/>
      <c r="QH266" s="43"/>
      <c r="QI266" s="43"/>
      <c r="QJ266" s="43"/>
      <c r="QK266" s="43"/>
      <c r="QL266" s="43"/>
      <c r="QM266" s="43"/>
      <c r="QN266" s="43"/>
      <c r="QO266" s="43"/>
      <c r="QP266" s="43"/>
      <c r="QQ266" s="43"/>
      <c r="QR266" s="43"/>
      <c r="QS266" s="43"/>
      <c r="QT266" s="43"/>
      <c r="QU266" s="43"/>
      <c r="QV266" s="43"/>
      <c r="QW266" s="43"/>
      <c r="QX266" s="43"/>
      <c r="QY266" s="43"/>
      <c r="QZ266" s="43"/>
      <c r="RA266" s="43"/>
      <c r="RB266" s="43"/>
      <c r="RC266" s="43"/>
      <c r="RD266" s="43"/>
      <c r="RE266" s="43"/>
      <c r="RF266" s="43"/>
      <c r="RG266" s="43"/>
      <c r="RH266" s="43"/>
      <c r="RI266" s="43"/>
      <c r="RJ266" s="43"/>
      <c r="RK266" s="43"/>
      <c r="RL266" s="43"/>
      <c r="RM266" s="43"/>
      <c r="RN266" s="43"/>
      <c r="RO266" s="43"/>
      <c r="RP266" s="43"/>
      <c r="RQ266" s="43"/>
      <c r="RR266" s="43"/>
      <c r="RS266" s="43"/>
      <c r="RT266" s="43"/>
      <c r="RU266" s="43"/>
      <c r="RV266" s="43"/>
      <c r="RW266" s="43"/>
      <c r="RX266" s="43"/>
      <c r="RY266" s="43"/>
      <c r="RZ266" s="43"/>
      <c r="SA266" s="43"/>
      <c r="SB266" s="43"/>
      <c r="SC266" s="43"/>
      <c r="SD266" s="43"/>
      <c r="SE266" s="43"/>
      <c r="SF266" s="43"/>
      <c r="SG266" s="43"/>
      <c r="SH266" s="43"/>
      <c r="SI266" s="43"/>
      <c r="SJ266" s="43"/>
      <c r="SK266" s="43"/>
      <c r="SL266" s="43"/>
      <c r="SM266" s="43"/>
      <c r="SN266" s="43"/>
      <c r="SO266" s="43"/>
      <c r="SP266" s="43"/>
      <c r="SQ266" s="43"/>
      <c r="SR266" s="43"/>
      <c r="SS266" s="43"/>
      <c r="ST266" s="43"/>
      <c r="SU266" s="43"/>
      <c r="SV266" s="43"/>
      <c r="SW266" s="43"/>
      <c r="SX266" s="43"/>
      <c r="SY266" s="43"/>
      <c r="SZ266" s="43"/>
      <c r="TA266" s="43"/>
      <c r="TB266" s="43"/>
      <c r="TC266" s="43"/>
      <c r="TD266" s="43"/>
      <c r="TE266" s="43"/>
      <c r="TF266" s="43"/>
      <c r="TG266" s="43"/>
      <c r="TH266" s="43"/>
    </row>
    <row r="267" spans="1:528" s="41" customFormat="1" ht="16.5" customHeight="1">
      <c r="A267" s="43"/>
      <c r="B267" s="43" t="s">
        <v>1350</v>
      </c>
      <c r="C267" s="43"/>
      <c r="D267" s="2375"/>
      <c r="E267" s="43"/>
      <c r="F267" s="3754"/>
      <c r="G267" s="3755"/>
      <c r="H267" s="1778" t="str">
        <f t="shared" si="700"/>
        <v/>
      </c>
      <c r="I267" s="43" t="s">
        <v>1351</v>
      </c>
      <c r="K267" s="43"/>
      <c r="L267" s="3752">
        <v>84455</v>
      </c>
      <c r="M267" s="3753"/>
      <c r="N267" s="1778">
        <f t="shared" si="701"/>
        <v>879.73958333333337</v>
      </c>
      <c r="O267" s="3742"/>
      <c r="P267" s="3742"/>
      <c r="Q267" s="3742"/>
      <c r="R267" s="494"/>
      <c r="S267" s="3758"/>
      <c r="T267" s="3759"/>
      <c r="U267" s="3759"/>
      <c r="V267" s="3759"/>
      <c r="W267" s="3760"/>
      <c r="X267" s="251"/>
      <c r="Y267" s="253"/>
      <c r="Z267" s="253"/>
      <c r="AA267" s="253"/>
      <c r="AB267" s="253"/>
      <c r="AC267" s="251"/>
      <c r="AD267" s="253"/>
      <c r="AE267" s="253"/>
      <c r="AF267" s="253"/>
      <c r="AG267" s="253"/>
      <c r="AH267" s="251"/>
      <c r="AI267" s="253"/>
      <c r="AJ267" s="253"/>
      <c r="AK267" s="253"/>
      <c r="AL267" s="253"/>
      <c r="AM267" s="251"/>
      <c r="AN267" s="253"/>
      <c r="AO267" s="253"/>
      <c r="AP267" s="253"/>
      <c r="AQ267" s="253"/>
      <c r="AR267" s="253"/>
      <c r="AS267" s="253"/>
      <c r="AT267" s="253"/>
      <c r="AU267" s="253"/>
      <c r="AV267" s="253"/>
      <c r="AW267" s="253"/>
      <c r="AX267" s="253"/>
      <c r="AY267" s="253"/>
      <c r="AZ267" s="253"/>
      <c r="BA267" s="253"/>
      <c r="BB267" s="253"/>
      <c r="BC267" s="253"/>
      <c r="BD267" s="253"/>
      <c r="BE267" s="253"/>
      <c r="BF267" s="253"/>
      <c r="BG267" s="253"/>
      <c r="BH267" s="253"/>
      <c r="BI267" s="253"/>
      <c r="BJ267" s="253"/>
      <c r="BK267" s="253"/>
      <c r="BL267" s="253"/>
      <c r="BM267" s="253"/>
      <c r="BN267" s="253"/>
      <c r="BO267" s="253"/>
      <c r="BP267" s="253"/>
      <c r="BQ267" s="253"/>
      <c r="BR267" s="253"/>
      <c r="BS267" s="253"/>
      <c r="BT267" s="253"/>
      <c r="BU267" s="253"/>
      <c r="BV267" s="253"/>
      <c r="BW267" s="253"/>
      <c r="BX267" s="253"/>
      <c r="BY267" s="253"/>
      <c r="BZ267" s="253"/>
      <c r="CA267" s="253"/>
      <c r="CB267" s="253"/>
      <c r="CC267" s="253"/>
      <c r="CD267" s="253"/>
      <c r="CE267" s="253"/>
      <c r="CF267" s="253"/>
      <c r="CG267" s="253"/>
      <c r="CH267" s="253"/>
      <c r="CI267" s="253"/>
      <c r="CJ267" s="253"/>
      <c r="CK267" s="253"/>
      <c r="CL267" s="253"/>
      <c r="CM267" s="253"/>
      <c r="CN267" s="253"/>
      <c r="CO267" s="253"/>
      <c r="CP267" s="253"/>
      <c r="CQ267" s="253"/>
      <c r="CR267" s="253"/>
      <c r="CS267" s="253"/>
      <c r="CT267" s="253"/>
      <c r="CU267" s="253"/>
      <c r="CV267" s="253"/>
      <c r="CW267" s="253"/>
      <c r="CX267" s="253"/>
      <c r="CY267" s="253"/>
      <c r="CZ267" s="253"/>
      <c r="DA267" s="253"/>
      <c r="DB267" s="253"/>
      <c r="DC267" s="253"/>
      <c r="DD267" s="253"/>
      <c r="DE267" s="253"/>
      <c r="DF267" s="253"/>
      <c r="DG267" s="253"/>
      <c r="DH267" s="253"/>
      <c r="DI267" s="253"/>
      <c r="DJ267" s="253"/>
      <c r="DK267" s="253"/>
      <c r="DL267" s="253"/>
      <c r="DM267" s="253"/>
      <c r="DN267" s="253"/>
      <c r="DO267" s="253"/>
      <c r="DP267" s="253"/>
      <c r="DQ267" s="253"/>
      <c r="DR267" s="253"/>
      <c r="DS267" s="253"/>
      <c r="DT267" s="253"/>
      <c r="DU267" s="253"/>
      <c r="DV267" s="253"/>
      <c r="DW267" s="253"/>
      <c r="DX267" s="253"/>
      <c r="DY267" s="253"/>
      <c r="DZ267" s="253"/>
      <c r="EA267" s="253"/>
      <c r="EB267" s="253"/>
      <c r="EC267" s="253"/>
      <c r="ED267" s="253"/>
      <c r="EE267" s="253"/>
      <c r="EF267" s="253"/>
      <c r="EG267" s="253"/>
      <c r="EH267" s="253"/>
      <c r="EI267" s="253"/>
      <c r="EJ267" s="253"/>
      <c r="EK267" s="253"/>
      <c r="EL267" s="253"/>
      <c r="EM267" s="253"/>
      <c r="EN267" s="253"/>
      <c r="EO267" s="253"/>
      <c r="EP267" s="253"/>
      <c r="EQ267" s="253"/>
      <c r="ER267" s="253"/>
      <c r="ES267" s="253"/>
      <c r="ET267" s="253"/>
      <c r="EU267" s="253"/>
      <c r="EV267" s="253"/>
      <c r="EW267" s="253"/>
      <c r="EX267" s="253"/>
      <c r="EY267" s="253"/>
      <c r="EZ267" s="253"/>
      <c r="FA267" s="253"/>
      <c r="FB267" s="253"/>
      <c r="FC267" s="253"/>
      <c r="FD267" s="253"/>
      <c r="FE267" s="253"/>
      <c r="FF267" s="253"/>
      <c r="FG267" s="253"/>
      <c r="FH267" s="253"/>
      <c r="FI267" s="253"/>
      <c r="FJ267" s="253"/>
      <c r="FK267" s="253"/>
      <c r="FL267" s="253"/>
      <c r="FM267" s="253"/>
      <c r="FN267" s="253"/>
      <c r="FO267" s="253"/>
      <c r="FP267" s="253"/>
      <c r="FQ267" s="253"/>
      <c r="FR267" s="253"/>
      <c r="FS267" s="253"/>
      <c r="FT267" s="253"/>
      <c r="FU267" s="253"/>
      <c r="FV267" s="253"/>
      <c r="FW267" s="253"/>
      <c r="FX267" s="253"/>
      <c r="FY267" s="253"/>
      <c r="FZ267" s="253"/>
      <c r="GA267" s="253"/>
      <c r="GB267" s="253"/>
      <c r="GC267" s="253"/>
      <c r="GD267" s="253"/>
      <c r="GE267" s="253"/>
      <c r="GF267" s="253"/>
      <c r="GG267" s="253"/>
      <c r="GH267" s="253"/>
      <c r="GI267" s="253"/>
      <c r="GJ267" s="253"/>
      <c r="GK267" s="253"/>
      <c r="GL267" s="253"/>
      <c r="GM267" s="253"/>
      <c r="GN267" s="253"/>
      <c r="GO267" s="253"/>
      <c r="GP267" s="253"/>
      <c r="GQ267" s="253"/>
      <c r="GR267" s="253"/>
      <c r="GS267" s="253"/>
      <c r="GT267" s="253"/>
      <c r="GU267" s="253"/>
      <c r="GV267" s="253"/>
      <c r="GW267" s="253"/>
      <c r="GX267" s="253"/>
      <c r="GY267" s="253"/>
      <c r="GZ267" s="253"/>
      <c r="HA267" s="253"/>
      <c r="HB267" s="253"/>
      <c r="HC267" s="253"/>
      <c r="HD267" s="253"/>
      <c r="HE267" s="253"/>
      <c r="HF267" s="253"/>
      <c r="HG267" s="253"/>
      <c r="HH267" s="253"/>
      <c r="HI267" s="253"/>
      <c r="HJ267" s="253"/>
      <c r="HK267" s="253"/>
      <c r="HL267" s="253"/>
      <c r="HM267" s="253"/>
      <c r="HN267" s="253"/>
      <c r="HO267" s="253"/>
      <c r="HP267" s="253"/>
      <c r="HQ267" s="253"/>
      <c r="HR267" s="253"/>
      <c r="HS267" s="253"/>
      <c r="HT267" s="253"/>
      <c r="HU267" s="253"/>
      <c r="HV267" s="253"/>
      <c r="HW267" s="253"/>
      <c r="HX267" s="253"/>
      <c r="HY267" s="253"/>
      <c r="HZ267" s="253"/>
      <c r="IA267" s="253"/>
      <c r="IB267" s="253"/>
      <c r="IC267" s="253"/>
      <c r="ID267" s="253"/>
      <c r="IE267" s="253"/>
      <c r="IF267" s="253"/>
      <c r="IG267" s="253"/>
      <c r="IH267" s="253"/>
      <c r="II267" s="253"/>
      <c r="IJ267" s="253"/>
      <c r="IK267" s="253"/>
      <c r="IL267" s="253"/>
      <c r="IM267" s="253"/>
      <c r="IN267" s="253"/>
      <c r="IO267" s="253"/>
      <c r="IP267" s="253"/>
      <c r="IQ267" s="253"/>
      <c r="IR267" s="253"/>
      <c r="IS267" s="253"/>
      <c r="IT267" s="253"/>
      <c r="IU267" s="253"/>
      <c r="IV267" s="253"/>
      <c r="IW267" s="253"/>
      <c r="IX267" s="253"/>
      <c r="IY267" s="253"/>
      <c r="IZ267" s="253"/>
      <c r="JA267" s="253"/>
      <c r="JB267" s="253"/>
      <c r="JC267" s="253"/>
      <c r="JD267" s="253"/>
      <c r="JE267" s="253"/>
      <c r="JF267" s="253"/>
      <c r="JG267" s="253"/>
      <c r="JH267" s="253"/>
      <c r="JI267" s="253"/>
      <c r="JJ267" s="253"/>
      <c r="JK267" s="253"/>
      <c r="JL267" s="253"/>
      <c r="JM267" s="253"/>
      <c r="JN267" s="253"/>
      <c r="JO267" s="253"/>
      <c r="JP267" s="253"/>
      <c r="JQ267" s="253"/>
      <c r="JR267" s="253"/>
      <c r="JS267" s="253"/>
      <c r="JT267" s="253"/>
      <c r="JU267" s="253"/>
      <c r="JV267" s="253"/>
      <c r="JW267" s="253"/>
      <c r="JX267" s="253"/>
      <c r="JY267" s="253"/>
      <c r="JZ267" s="253"/>
      <c r="KA267" s="253"/>
      <c r="KB267" s="253"/>
      <c r="KC267" s="253"/>
      <c r="KD267" s="253"/>
      <c r="KE267" s="253"/>
      <c r="KF267" s="253"/>
      <c r="KG267" s="253"/>
      <c r="KH267" s="253"/>
      <c r="KI267" s="253"/>
      <c r="KJ267" s="253"/>
      <c r="KK267" s="253"/>
      <c r="KL267" s="253"/>
      <c r="KM267" s="253"/>
      <c r="KN267" s="253"/>
      <c r="KO267" s="253"/>
      <c r="KP267" s="253"/>
      <c r="KQ267" s="253"/>
      <c r="KR267" s="253"/>
      <c r="KS267" s="253"/>
      <c r="KT267" s="253"/>
      <c r="KU267" s="253"/>
      <c r="KV267" s="253"/>
      <c r="KW267" s="253"/>
      <c r="KX267" s="253"/>
      <c r="KY267" s="253"/>
      <c r="KZ267" s="253"/>
      <c r="LA267" s="253"/>
      <c r="LB267" s="253"/>
      <c r="LC267" s="253"/>
      <c r="LD267" s="253"/>
      <c r="LE267" s="253"/>
      <c r="LF267" s="1296"/>
      <c r="LG267" s="253"/>
      <c r="LH267" s="253"/>
      <c r="LI267" s="253"/>
      <c r="LJ267" s="253"/>
      <c r="LK267" s="1296"/>
      <c r="LL267" s="253"/>
      <c r="LM267" s="253"/>
      <c r="LN267" s="253"/>
      <c r="LO267" s="253"/>
      <c r="LP267" s="1296"/>
      <c r="LQ267" s="253"/>
      <c r="LR267" s="253"/>
      <c r="LS267" s="253"/>
      <c r="LT267" s="253"/>
      <c r="LU267" s="1296"/>
      <c r="LV267" s="1296"/>
      <c r="LW267" s="1296"/>
      <c r="LX267" s="1296"/>
      <c r="LY267" s="1296"/>
      <c r="LZ267" s="1296"/>
      <c r="MA267" s="1296"/>
      <c r="MB267" s="1296"/>
      <c r="MC267" s="1296"/>
      <c r="MD267" s="1296"/>
      <c r="ME267" s="1296"/>
      <c r="MF267" s="1296"/>
      <c r="MG267" s="1296"/>
      <c r="MH267" s="1296"/>
      <c r="MI267" s="1296"/>
      <c r="MJ267" s="1296"/>
      <c r="MK267" s="1296"/>
      <c r="ML267" s="1296"/>
      <c r="MM267" s="1296"/>
      <c r="MN267" s="1296"/>
      <c r="MO267" s="1296"/>
      <c r="MP267" s="1296"/>
      <c r="MQ267" s="253"/>
      <c r="MR267" s="253"/>
      <c r="MS267" s="253"/>
      <c r="MT267" s="253"/>
      <c r="MU267" s="253"/>
      <c r="MV267" s="253"/>
      <c r="MW267" s="1184"/>
      <c r="MX267" s="253"/>
      <c r="MY267" s="253"/>
      <c r="MZ267" s="253"/>
      <c r="NA267" s="253"/>
      <c r="NB267" s="253"/>
      <c r="NC267" s="253"/>
      <c r="ND267" s="253"/>
      <c r="NE267" s="253"/>
      <c r="NF267" s="253"/>
      <c r="NG267" s="253"/>
      <c r="NH267" s="253"/>
      <c r="NI267" s="253"/>
      <c r="NJ267" s="253"/>
      <c r="NK267" s="253"/>
      <c r="NL267" s="253"/>
      <c r="NM267" s="1184"/>
      <c r="NN267" s="1184"/>
      <c r="NO267" s="253"/>
      <c r="NP267" s="253"/>
      <c r="NQ267" s="253"/>
      <c r="NR267" s="253"/>
      <c r="NS267" s="253"/>
      <c r="NT267" s="253"/>
      <c r="NU267" s="253"/>
      <c r="NV267" s="253"/>
      <c r="NW267" s="253"/>
      <c r="NX267" s="253"/>
      <c r="NY267" s="253"/>
      <c r="NZ267" s="253"/>
      <c r="OA267" s="253"/>
      <c r="OB267" s="253"/>
      <c r="OC267" s="253"/>
      <c r="OD267" s="253"/>
      <c r="OE267" s="253"/>
      <c r="OF267" s="253"/>
      <c r="OG267" s="253"/>
      <c r="OH267" s="253"/>
      <c r="OI267" s="253"/>
      <c r="OJ267" s="253"/>
      <c r="OK267" s="253"/>
      <c r="OL267" s="253"/>
      <c r="OM267" s="253"/>
      <c r="ON267" s="253"/>
      <c r="OO267" s="253"/>
      <c r="OP267" s="253"/>
      <c r="OQ267" s="253"/>
      <c r="OR267" s="253"/>
      <c r="OS267" s="253"/>
      <c r="OT267" s="253"/>
      <c r="OU267" s="253"/>
      <c r="OV267" s="43"/>
      <c r="OW267" s="43"/>
      <c r="OX267" s="43"/>
      <c r="OY267" s="1796"/>
      <c r="OZ267" s="1799">
        <v>263</v>
      </c>
      <c r="PA267" s="43"/>
      <c r="PB267" s="43"/>
      <c r="PC267" s="43"/>
      <c r="PD267" s="43"/>
      <c r="PE267" s="43"/>
      <c r="PF267" s="43"/>
      <c r="PG267" s="43"/>
      <c r="PH267" s="43"/>
      <c r="PI267" s="43"/>
      <c r="PJ267" s="43"/>
      <c r="PK267" s="43"/>
      <c r="PL267" s="43"/>
      <c r="PM267" s="43"/>
      <c r="PN267" s="43"/>
      <c r="PO267" s="43"/>
      <c r="PP267" s="43"/>
      <c r="PQ267" s="43"/>
      <c r="PR267" s="43"/>
      <c r="PS267" s="43"/>
      <c r="PT267" s="43"/>
      <c r="PU267" s="43"/>
      <c r="PV267" s="43"/>
      <c r="PW267" s="43"/>
      <c r="PX267" s="43"/>
      <c r="PY267" s="43"/>
      <c r="PZ267" s="43"/>
      <c r="QA267" s="43"/>
      <c r="QB267" s="43"/>
      <c r="QC267" s="43"/>
      <c r="QD267" s="43"/>
      <c r="QE267" s="43"/>
      <c r="QF267" s="43"/>
      <c r="QG267" s="43"/>
      <c r="QH267" s="43"/>
      <c r="QI267" s="43"/>
      <c r="QJ267" s="43"/>
      <c r="QK267" s="43"/>
      <c r="QL267" s="43"/>
      <c r="QM267" s="43"/>
      <c r="QN267" s="43"/>
      <c r="QO267" s="43"/>
      <c r="QP267" s="43"/>
      <c r="QQ267" s="43"/>
      <c r="QR267" s="43"/>
      <c r="QS267" s="43"/>
      <c r="QT267" s="43"/>
      <c r="QU267" s="43"/>
      <c r="QV267" s="43"/>
      <c r="QW267" s="43"/>
      <c r="QX267" s="43"/>
      <c r="QY267" s="43"/>
      <c r="QZ267" s="43"/>
      <c r="RA267" s="43"/>
      <c r="RB267" s="43"/>
      <c r="RC267" s="43"/>
      <c r="RD267" s="43"/>
      <c r="RE267" s="43"/>
      <c r="RF267" s="43"/>
      <c r="RG267" s="43"/>
      <c r="RH267" s="43"/>
      <c r="RI267" s="43"/>
      <c r="RJ267" s="43"/>
      <c r="RK267" s="43"/>
      <c r="RL267" s="43"/>
      <c r="RM267" s="43"/>
      <c r="RN267" s="43"/>
      <c r="RO267" s="43"/>
      <c r="RP267" s="43"/>
      <c r="RQ267" s="43"/>
      <c r="RR267" s="43"/>
      <c r="RS267" s="43"/>
      <c r="RT267" s="43"/>
      <c r="RU267" s="43"/>
      <c r="RV267" s="43"/>
      <c r="RW267" s="43"/>
      <c r="RX267" s="43"/>
      <c r="RY267" s="43"/>
      <c r="RZ267" s="43"/>
      <c r="SA267" s="43"/>
      <c r="SB267" s="43"/>
      <c r="SC267" s="43"/>
      <c r="SD267" s="43"/>
      <c r="SE267" s="43"/>
      <c r="SF267" s="43"/>
      <c r="SG267" s="43"/>
      <c r="SH267" s="43"/>
      <c r="SI267" s="43"/>
      <c r="SJ267" s="43"/>
      <c r="SK267" s="43"/>
      <c r="SL267" s="43"/>
      <c r="SM267" s="43"/>
      <c r="SN267" s="43"/>
      <c r="SO267" s="43"/>
      <c r="SP267" s="43"/>
      <c r="SQ267" s="43"/>
      <c r="SR267" s="43"/>
      <c r="SS267" s="43"/>
      <c r="ST267" s="43"/>
      <c r="SU267" s="43"/>
      <c r="SV267" s="43"/>
      <c r="SW267" s="43"/>
      <c r="SX267" s="43"/>
      <c r="SY267" s="43"/>
      <c r="SZ267" s="43"/>
      <c r="TA267" s="43"/>
      <c r="TB267" s="43"/>
      <c r="TC267" s="43"/>
      <c r="TD267" s="43"/>
      <c r="TE267" s="43"/>
      <c r="TF267" s="43"/>
      <c r="TG267" s="43"/>
      <c r="TH267" s="43"/>
    </row>
    <row r="268" spans="1:528" s="41" customFormat="1" ht="16.5" customHeight="1" thickBot="1">
      <c r="A268" s="43"/>
      <c r="B268" s="3715" t="s">
        <v>1306</v>
      </c>
      <c r="C268" s="3716"/>
      <c r="D268" s="3716"/>
      <c r="E268" s="3717"/>
      <c r="F268" s="3765">
        <v>742</v>
      </c>
      <c r="G268" s="3766"/>
      <c r="H268" s="1778">
        <f t="shared" si="700"/>
        <v>7.729166666666667</v>
      </c>
      <c r="I268" s="3718" t="s">
        <v>1306</v>
      </c>
      <c r="J268" s="3719"/>
      <c r="K268" s="3720"/>
      <c r="L268" s="3808"/>
      <c r="M268" s="3809"/>
      <c r="N268" s="1778" t="str">
        <f t="shared" si="701"/>
        <v/>
      </c>
      <c r="O268" s="3742"/>
      <c r="P268" s="3742"/>
      <c r="Q268" s="3742"/>
      <c r="R268" s="494"/>
      <c r="S268" s="3758"/>
      <c r="T268" s="3759"/>
      <c r="U268" s="3759"/>
      <c r="V268" s="3759"/>
      <c r="W268" s="3760"/>
      <c r="X268" s="251"/>
      <c r="Y268" s="253"/>
      <c r="Z268" s="253"/>
      <c r="AA268" s="253"/>
      <c r="AB268" s="253"/>
      <c r="AC268" s="251"/>
      <c r="AD268" s="253"/>
      <c r="AE268" s="253"/>
      <c r="AF268" s="253"/>
      <c r="AG268" s="253"/>
      <c r="AH268" s="251"/>
      <c r="AI268" s="253"/>
      <c r="AJ268" s="253"/>
      <c r="AK268" s="253"/>
      <c r="AL268" s="253"/>
      <c r="AM268" s="251"/>
      <c r="AN268" s="253"/>
      <c r="AO268" s="253"/>
      <c r="AP268" s="253"/>
      <c r="AQ268" s="253"/>
      <c r="AR268" s="253"/>
      <c r="AS268" s="253"/>
      <c r="AT268" s="253"/>
      <c r="AU268" s="253"/>
      <c r="AV268" s="253"/>
      <c r="AW268" s="253"/>
      <c r="AX268" s="253"/>
      <c r="AY268" s="253"/>
      <c r="AZ268" s="253"/>
      <c r="BA268" s="253"/>
      <c r="BB268" s="253"/>
      <c r="BC268" s="253"/>
      <c r="BD268" s="253"/>
      <c r="BE268" s="253"/>
      <c r="BF268" s="253"/>
      <c r="BG268" s="253"/>
      <c r="BH268" s="253"/>
      <c r="BI268" s="253"/>
      <c r="BJ268" s="253"/>
      <c r="BK268" s="253"/>
      <c r="BL268" s="253"/>
      <c r="BM268" s="253"/>
      <c r="BN268" s="253"/>
      <c r="BO268" s="253"/>
      <c r="BP268" s="253"/>
      <c r="BQ268" s="253"/>
      <c r="BR268" s="253"/>
      <c r="BS268" s="253"/>
      <c r="BT268" s="253"/>
      <c r="BU268" s="253"/>
      <c r="BV268" s="253"/>
      <c r="BW268" s="253"/>
      <c r="BX268" s="253"/>
      <c r="BY268" s="253"/>
      <c r="BZ268" s="253"/>
      <c r="CA268" s="253"/>
      <c r="CB268" s="253"/>
      <c r="CC268" s="253"/>
      <c r="CD268" s="253"/>
      <c r="CE268" s="253"/>
      <c r="CF268" s="253"/>
      <c r="CG268" s="253"/>
      <c r="CH268" s="253"/>
      <c r="CI268" s="253"/>
      <c r="CJ268" s="253"/>
      <c r="CK268" s="253"/>
      <c r="CL268" s="253"/>
      <c r="CM268" s="253"/>
      <c r="CN268" s="253"/>
      <c r="CO268" s="253"/>
      <c r="CP268" s="253"/>
      <c r="CQ268" s="253"/>
      <c r="CR268" s="253"/>
      <c r="CS268" s="253"/>
      <c r="CT268" s="253"/>
      <c r="CU268" s="253"/>
      <c r="CV268" s="253"/>
      <c r="CW268" s="253"/>
      <c r="CX268" s="253"/>
      <c r="CY268" s="253"/>
      <c r="CZ268" s="253"/>
      <c r="DA268" s="253"/>
      <c r="DB268" s="253"/>
      <c r="DC268" s="253"/>
      <c r="DD268" s="253"/>
      <c r="DE268" s="253"/>
      <c r="DF268" s="253"/>
      <c r="DG268" s="253"/>
      <c r="DH268" s="253"/>
      <c r="DI268" s="253"/>
      <c r="DJ268" s="253"/>
      <c r="DK268" s="253"/>
      <c r="DL268" s="253"/>
      <c r="DM268" s="253"/>
      <c r="DN268" s="253"/>
      <c r="DO268" s="253"/>
      <c r="DP268" s="253"/>
      <c r="DQ268" s="253"/>
      <c r="DR268" s="253"/>
      <c r="DS268" s="253"/>
      <c r="DT268" s="253"/>
      <c r="DU268" s="253"/>
      <c r="DV268" s="253"/>
      <c r="DW268" s="253"/>
      <c r="DX268" s="253"/>
      <c r="DY268" s="253"/>
      <c r="DZ268" s="253"/>
      <c r="EA268" s="253"/>
      <c r="EB268" s="253"/>
      <c r="EC268" s="253"/>
      <c r="ED268" s="253"/>
      <c r="EE268" s="253"/>
      <c r="EF268" s="253"/>
      <c r="EG268" s="253"/>
      <c r="EH268" s="253"/>
      <c r="EI268" s="253"/>
      <c r="EJ268" s="253"/>
      <c r="EK268" s="253"/>
      <c r="EL268" s="253"/>
      <c r="EM268" s="253"/>
      <c r="EN268" s="253"/>
      <c r="EO268" s="253"/>
      <c r="EP268" s="253"/>
      <c r="EQ268" s="253"/>
      <c r="ER268" s="253"/>
      <c r="ES268" s="253"/>
      <c r="ET268" s="253"/>
      <c r="EU268" s="253"/>
      <c r="EV268" s="253"/>
      <c r="EW268" s="253"/>
      <c r="EX268" s="253"/>
      <c r="EY268" s="253"/>
      <c r="EZ268" s="253"/>
      <c r="FA268" s="253"/>
      <c r="FB268" s="253"/>
      <c r="FC268" s="253"/>
      <c r="FD268" s="253"/>
      <c r="FE268" s="253"/>
      <c r="FF268" s="253"/>
      <c r="FG268" s="253"/>
      <c r="FH268" s="253"/>
      <c r="FI268" s="253"/>
      <c r="FJ268" s="253"/>
      <c r="FK268" s="253"/>
      <c r="FL268" s="253"/>
      <c r="FM268" s="253"/>
      <c r="FN268" s="253"/>
      <c r="FO268" s="253"/>
      <c r="FP268" s="253"/>
      <c r="FQ268" s="253"/>
      <c r="FR268" s="253"/>
      <c r="FS268" s="253"/>
      <c r="FT268" s="253"/>
      <c r="FU268" s="253"/>
      <c r="FV268" s="253"/>
      <c r="FW268" s="253"/>
      <c r="FX268" s="253"/>
      <c r="FY268" s="253"/>
      <c r="FZ268" s="253"/>
      <c r="GA268" s="253"/>
      <c r="GB268" s="253"/>
      <c r="GC268" s="253"/>
      <c r="GD268" s="253"/>
      <c r="GE268" s="253"/>
      <c r="GF268" s="253"/>
      <c r="GG268" s="253"/>
      <c r="GH268" s="253"/>
      <c r="GI268" s="253"/>
      <c r="GJ268" s="253"/>
      <c r="GK268" s="253"/>
      <c r="GL268" s="253"/>
      <c r="GM268" s="253"/>
      <c r="GN268" s="253"/>
      <c r="GO268" s="253"/>
      <c r="GP268" s="253"/>
      <c r="GQ268" s="253"/>
      <c r="GR268" s="253"/>
      <c r="GS268" s="253"/>
      <c r="GT268" s="253"/>
      <c r="GU268" s="253"/>
      <c r="GV268" s="253"/>
      <c r="GW268" s="253"/>
      <c r="GX268" s="253"/>
      <c r="GY268" s="253"/>
      <c r="GZ268" s="253"/>
      <c r="HA268" s="253"/>
      <c r="HB268" s="253"/>
      <c r="HC268" s="253"/>
      <c r="HD268" s="253"/>
      <c r="HE268" s="253"/>
      <c r="HF268" s="253"/>
      <c r="HG268" s="253"/>
      <c r="HH268" s="253"/>
      <c r="HI268" s="253"/>
      <c r="HJ268" s="253"/>
      <c r="HK268" s="253"/>
      <c r="HL268" s="253"/>
      <c r="HM268" s="253"/>
      <c r="HN268" s="253"/>
      <c r="HO268" s="253"/>
      <c r="HP268" s="253"/>
      <c r="HQ268" s="253"/>
      <c r="HR268" s="253"/>
      <c r="HS268" s="253"/>
      <c r="HT268" s="253"/>
      <c r="HU268" s="253"/>
      <c r="HV268" s="253"/>
      <c r="HW268" s="253"/>
      <c r="HX268" s="253"/>
      <c r="HY268" s="253"/>
      <c r="HZ268" s="253"/>
      <c r="IA268" s="253"/>
      <c r="IB268" s="253"/>
      <c r="IC268" s="253"/>
      <c r="ID268" s="253"/>
      <c r="IE268" s="253"/>
      <c r="IF268" s="253"/>
      <c r="IG268" s="253"/>
      <c r="IH268" s="253"/>
      <c r="II268" s="253"/>
      <c r="IJ268" s="253"/>
      <c r="IK268" s="253"/>
      <c r="IL268" s="253"/>
      <c r="IM268" s="253"/>
      <c r="IN268" s="253"/>
      <c r="IO268" s="253"/>
      <c r="IP268" s="253"/>
      <c r="IQ268" s="253"/>
      <c r="IR268" s="253"/>
      <c r="IS268" s="253"/>
      <c r="IT268" s="253"/>
      <c r="IU268" s="253"/>
      <c r="IV268" s="253"/>
      <c r="IW268" s="253"/>
      <c r="IX268" s="253"/>
      <c r="IY268" s="253"/>
      <c r="IZ268" s="253"/>
      <c r="JA268" s="253"/>
      <c r="JB268" s="253"/>
      <c r="JC268" s="253"/>
      <c r="JD268" s="253"/>
      <c r="JE268" s="253"/>
      <c r="JF268" s="253"/>
      <c r="JG268" s="253"/>
      <c r="JH268" s="253"/>
      <c r="JI268" s="253"/>
      <c r="JJ268" s="253"/>
      <c r="JK268" s="253"/>
      <c r="JL268" s="253"/>
      <c r="JM268" s="253"/>
      <c r="JN268" s="253"/>
      <c r="JO268" s="253"/>
      <c r="JP268" s="253"/>
      <c r="JQ268" s="253"/>
      <c r="JR268" s="253"/>
      <c r="JS268" s="253"/>
      <c r="JT268" s="253"/>
      <c r="JU268" s="253"/>
      <c r="JV268" s="253"/>
      <c r="JW268" s="253"/>
      <c r="JX268" s="253"/>
      <c r="JY268" s="253"/>
      <c r="JZ268" s="253"/>
      <c r="KA268" s="253"/>
      <c r="KB268" s="253"/>
      <c r="KC268" s="253"/>
      <c r="KD268" s="253"/>
      <c r="KE268" s="253"/>
      <c r="KF268" s="253"/>
      <c r="KG268" s="253"/>
      <c r="KH268" s="253"/>
      <c r="KI268" s="253"/>
      <c r="KJ268" s="253"/>
      <c r="KK268" s="253"/>
      <c r="KL268" s="253"/>
      <c r="KM268" s="253"/>
      <c r="KN268" s="253"/>
      <c r="KO268" s="253"/>
      <c r="KP268" s="253"/>
      <c r="KQ268" s="253"/>
      <c r="KR268" s="253"/>
      <c r="KS268" s="253"/>
      <c r="KT268" s="253"/>
      <c r="KU268" s="253"/>
      <c r="KV268" s="253"/>
      <c r="KW268" s="253"/>
      <c r="KX268" s="253"/>
      <c r="KY268" s="253"/>
      <c r="KZ268" s="253"/>
      <c r="LA268" s="253"/>
      <c r="LB268" s="253"/>
      <c r="LC268" s="253"/>
      <c r="LD268" s="253"/>
      <c r="LE268" s="253"/>
      <c r="LF268" s="1296"/>
      <c r="LG268" s="253"/>
      <c r="LH268" s="253"/>
      <c r="LI268" s="253"/>
      <c r="LJ268" s="253"/>
      <c r="LK268" s="1296"/>
      <c r="LL268" s="253"/>
      <c r="LM268" s="253"/>
      <c r="LN268" s="253"/>
      <c r="LO268" s="253"/>
      <c r="LP268" s="1296"/>
      <c r="LQ268" s="253"/>
      <c r="LR268" s="253"/>
      <c r="LS268" s="253"/>
      <c r="LT268" s="253"/>
      <c r="LU268" s="1296"/>
      <c r="LV268" s="1296"/>
      <c r="LW268" s="1296"/>
      <c r="LX268" s="1296"/>
      <c r="LY268" s="1296"/>
      <c r="LZ268" s="1296"/>
      <c r="MA268" s="1296"/>
      <c r="MB268" s="1296"/>
      <c r="MC268" s="1296"/>
      <c r="MD268" s="1296"/>
      <c r="ME268" s="1296"/>
      <c r="MF268" s="1296"/>
      <c r="MG268" s="1296"/>
      <c r="MH268" s="1296"/>
      <c r="MI268" s="1296"/>
      <c r="MJ268" s="1296"/>
      <c r="MK268" s="1296"/>
      <c r="ML268" s="1296"/>
      <c r="MM268" s="1296"/>
      <c r="MN268" s="1296"/>
      <c r="MO268" s="1296"/>
      <c r="MP268" s="1296"/>
      <c r="MQ268" s="253"/>
      <c r="MR268" s="253"/>
      <c r="MS268" s="253"/>
      <c r="MT268" s="253"/>
      <c r="MU268" s="253"/>
      <c r="MV268" s="253"/>
      <c r="MW268" s="1184"/>
      <c r="MX268" s="253"/>
      <c r="MY268" s="253"/>
      <c r="MZ268" s="253"/>
      <c r="NA268" s="253"/>
      <c r="NB268" s="253"/>
      <c r="NC268" s="253"/>
      <c r="ND268" s="253"/>
      <c r="NE268" s="253"/>
      <c r="NF268" s="253"/>
      <c r="NG268" s="253"/>
      <c r="NH268" s="253"/>
      <c r="NI268" s="253"/>
      <c r="NJ268" s="253"/>
      <c r="NK268" s="253"/>
      <c r="NL268" s="253"/>
      <c r="NM268" s="1184"/>
      <c r="NN268" s="1184"/>
      <c r="NO268" s="253"/>
      <c r="NP268" s="253"/>
      <c r="NQ268" s="253"/>
      <c r="NR268" s="253"/>
      <c r="NS268" s="253"/>
      <c r="NT268" s="253"/>
      <c r="NU268" s="253"/>
      <c r="NV268" s="253"/>
      <c r="NW268" s="253"/>
      <c r="NX268" s="253"/>
      <c r="NY268" s="253"/>
      <c r="NZ268" s="253"/>
      <c r="OA268" s="253"/>
      <c r="OB268" s="253"/>
      <c r="OC268" s="253"/>
      <c r="OD268" s="253"/>
      <c r="OE268" s="253"/>
      <c r="OF268" s="253"/>
      <c r="OG268" s="253"/>
      <c r="OH268" s="253"/>
      <c r="OI268" s="253"/>
      <c r="OJ268" s="253"/>
      <c r="OK268" s="253"/>
      <c r="OL268" s="253"/>
      <c r="OM268" s="253"/>
      <c r="ON268" s="253"/>
      <c r="OO268" s="253"/>
      <c r="OP268" s="253"/>
      <c r="OQ268" s="253"/>
      <c r="OR268" s="253"/>
      <c r="OS268" s="253"/>
      <c r="OT268" s="253"/>
      <c r="OU268" s="253"/>
      <c r="OV268" s="43"/>
      <c r="OW268" s="43"/>
      <c r="OX268" s="43"/>
      <c r="OY268" s="1796" t="s">
        <v>1352</v>
      </c>
      <c r="OZ268" s="1801">
        <v>264</v>
      </c>
      <c r="PA268" s="43"/>
      <c r="PB268" s="43"/>
      <c r="PC268" s="43"/>
      <c r="PD268" s="43"/>
      <c r="PE268" s="43"/>
      <c r="PF268" s="43"/>
      <c r="PG268" s="43"/>
      <c r="PH268" s="43"/>
      <c r="PI268" s="43"/>
      <c r="PJ268" s="43"/>
      <c r="PK268" s="43"/>
      <c r="PL268" s="43"/>
      <c r="PM268" s="43"/>
      <c r="PN268" s="43"/>
      <c r="PO268" s="43"/>
      <c r="PP268" s="43"/>
      <c r="PQ268" s="43"/>
      <c r="PR268" s="43"/>
      <c r="PS268" s="43"/>
      <c r="PT268" s="43"/>
      <c r="PU268" s="43"/>
      <c r="PV268" s="43"/>
      <c r="PW268" s="43"/>
      <c r="PX268" s="43"/>
      <c r="PY268" s="43"/>
      <c r="PZ268" s="43"/>
      <c r="QA268" s="43"/>
      <c r="QB268" s="43"/>
      <c r="QC268" s="43"/>
      <c r="QD268" s="43"/>
      <c r="QE268" s="43"/>
      <c r="QF268" s="43"/>
      <c r="QG268" s="43"/>
      <c r="QH268" s="43"/>
      <c r="QI268" s="43"/>
      <c r="QJ268" s="43"/>
      <c r="QK268" s="43"/>
      <c r="QL268" s="43"/>
      <c r="QM268" s="43"/>
      <c r="QN268" s="43"/>
      <c r="QO268" s="43"/>
      <c r="QP268" s="43"/>
      <c r="QQ268" s="43"/>
      <c r="QR268" s="43"/>
      <c r="QS268" s="43"/>
      <c r="QT268" s="43"/>
      <c r="QU268" s="43"/>
      <c r="QV268" s="43"/>
      <c r="QW268" s="43"/>
      <c r="QX268" s="43"/>
      <c r="QY268" s="43"/>
      <c r="QZ268" s="43"/>
      <c r="RA268" s="43"/>
      <c r="RB268" s="43"/>
      <c r="RC268" s="43"/>
      <c r="RD268" s="43"/>
      <c r="RE268" s="43"/>
      <c r="RF268" s="43"/>
      <c r="RG268" s="43"/>
      <c r="RH268" s="43"/>
      <c r="RI268" s="43"/>
      <c r="RJ268" s="43"/>
      <c r="RK268" s="43"/>
      <c r="RL268" s="43"/>
      <c r="RM268" s="43"/>
      <c r="RN268" s="43"/>
      <c r="RO268" s="43"/>
      <c r="RP268" s="43"/>
      <c r="RQ268" s="43"/>
      <c r="RR268" s="43"/>
      <c r="RS268" s="43"/>
      <c r="RT268" s="43"/>
      <c r="RU268" s="43"/>
      <c r="RV268" s="43"/>
      <c r="RW268" s="43"/>
      <c r="RX268" s="43"/>
      <c r="RY268" s="43"/>
      <c r="RZ268" s="43"/>
      <c r="SA268" s="43"/>
      <c r="SB268" s="43"/>
      <c r="SC268" s="43"/>
      <c r="SD268" s="43"/>
      <c r="SE268" s="43"/>
      <c r="SF268" s="43"/>
      <c r="SG268" s="43"/>
      <c r="SH268" s="43"/>
      <c r="SI268" s="43"/>
      <c r="SJ268" s="43"/>
      <c r="SK268" s="43"/>
      <c r="SL268" s="43"/>
      <c r="SM268" s="43"/>
      <c r="SN268" s="43"/>
      <c r="SO268" s="43"/>
      <c r="SP268" s="43"/>
      <c r="SQ268" s="43"/>
      <c r="SR268" s="43"/>
      <c r="SS268" s="43"/>
      <c r="ST268" s="43"/>
      <c r="SU268" s="43"/>
      <c r="SV268" s="43"/>
      <c r="SW268" s="43"/>
      <c r="SX268" s="43"/>
      <c r="SY268" s="43"/>
      <c r="SZ268" s="43"/>
      <c r="TA268" s="43"/>
      <c r="TB268" s="43"/>
      <c r="TC268" s="43"/>
      <c r="TD268" s="43"/>
      <c r="TE268" s="43"/>
      <c r="TF268" s="43"/>
      <c r="TG268" s="43"/>
      <c r="TH268" s="43"/>
    </row>
    <row r="269" spans="1:528" s="41" customFormat="1" ht="16.5" customHeight="1" thickTop="1" thickBot="1">
      <c r="A269" s="43"/>
      <c r="B269" s="3"/>
      <c r="D269" s="43"/>
      <c r="E269" s="5" t="s">
        <v>532</v>
      </c>
      <c r="F269" s="3721">
        <f>SUM(F261:G268)</f>
        <v>45742</v>
      </c>
      <c r="G269" s="3722"/>
      <c r="H269" s="1778">
        <f t="shared" si="700"/>
        <v>476.47916666666669</v>
      </c>
      <c r="K269" s="5" t="s">
        <v>532</v>
      </c>
      <c r="L269" s="3723">
        <f>SUM(L265:L268)</f>
        <v>128820</v>
      </c>
      <c r="M269" s="3724"/>
      <c r="N269" s="1778">
        <f t="shared" si="701"/>
        <v>1341.875</v>
      </c>
      <c r="O269" s="3" t="s">
        <v>1353</v>
      </c>
      <c r="P269" s="43"/>
      <c r="Q269" s="2374">
        <f>Q250+Q256</f>
        <v>511684</v>
      </c>
      <c r="R269" s="494"/>
      <c r="S269" s="3725"/>
      <c r="T269" s="3726"/>
      <c r="U269" s="3726"/>
      <c r="V269" s="3726"/>
      <c r="W269" s="3727"/>
      <c r="X269" s="251"/>
      <c r="Y269" s="253"/>
      <c r="Z269" s="253"/>
      <c r="AA269" s="253"/>
      <c r="AB269" s="253"/>
      <c r="AC269" s="251"/>
      <c r="AD269" s="253"/>
      <c r="AE269" s="253"/>
      <c r="AF269" s="253"/>
      <c r="AG269" s="253"/>
      <c r="AH269" s="251"/>
      <c r="AI269" s="253"/>
      <c r="AJ269" s="253"/>
      <c r="AK269" s="253"/>
      <c r="AL269" s="253"/>
      <c r="AM269" s="251"/>
      <c r="AN269" s="253"/>
      <c r="AO269" s="253"/>
      <c r="AP269" s="253"/>
      <c r="AQ269" s="253"/>
      <c r="AR269" s="253"/>
      <c r="AS269" s="253"/>
      <c r="AT269" s="253"/>
      <c r="AU269" s="253"/>
      <c r="AV269" s="253"/>
      <c r="AW269" s="253"/>
      <c r="AX269" s="253"/>
      <c r="AY269" s="253"/>
      <c r="AZ269" s="253"/>
      <c r="BA269" s="253"/>
      <c r="BB269" s="253"/>
      <c r="BC269" s="253"/>
      <c r="BD269" s="253"/>
      <c r="BE269" s="253"/>
      <c r="BF269" s="253"/>
      <c r="BG269" s="253"/>
      <c r="BH269" s="253"/>
      <c r="BI269" s="253"/>
      <c r="BJ269" s="253"/>
      <c r="BK269" s="253"/>
      <c r="BL269" s="253"/>
      <c r="BM269" s="253"/>
      <c r="BN269" s="253"/>
      <c r="BO269" s="253"/>
      <c r="BP269" s="253"/>
      <c r="BQ269" s="253"/>
      <c r="BR269" s="253"/>
      <c r="BS269" s="253"/>
      <c r="BT269" s="253"/>
      <c r="BU269" s="253"/>
      <c r="BV269" s="253"/>
      <c r="BW269" s="253"/>
      <c r="BX269" s="253"/>
      <c r="BY269" s="253"/>
      <c r="BZ269" s="253"/>
      <c r="CA269" s="253"/>
      <c r="CB269" s="253"/>
      <c r="CC269" s="253"/>
      <c r="CD269" s="253"/>
      <c r="CE269" s="253"/>
      <c r="CF269" s="253"/>
      <c r="CG269" s="253"/>
      <c r="CH269" s="253"/>
      <c r="CI269" s="253"/>
      <c r="CJ269" s="253"/>
      <c r="CK269" s="253"/>
      <c r="CL269" s="253"/>
      <c r="CM269" s="253"/>
      <c r="CN269" s="253"/>
      <c r="CO269" s="253"/>
      <c r="CP269" s="253"/>
      <c r="CQ269" s="253"/>
      <c r="CR269" s="253"/>
      <c r="CS269" s="253"/>
      <c r="CT269" s="253"/>
      <c r="CU269" s="253"/>
      <c r="CV269" s="253"/>
      <c r="CW269" s="253"/>
      <c r="CX269" s="253"/>
      <c r="CY269" s="253"/>
      <c r="CZ269" s="253"/>
      <c r="DA269" s="253"/>
      <c r="DB269" s="253"/>
      <c r="DC269" s="253"/>
      <c r="DD269" s="253"/>
      <c r="DE269" s="253"/>
      <c r="DF269" s="253"/>
      <c r="DG269" s="253"/>
      <c r="DH269" s="253"/>
      <c r="DI269" s="253"/>
      <c r="DJ269" s="253"/>
      <c r="DK269" s="253"/>
      <c r="DL269" s="253"/>
      <c r="DM269" s="253"/>
      <c r="DN269" s="253"/>
      <c r="DO269" s="253"/>
      <c r="DP269" s="253"/>
      <c r="DQ269" s="253"/>
      <c r="DR269" s="253"/>
      <c r="DS269" s="253"/>
      <c r="DT269" s="253"/>
      <c r="DU269" s="253"/>
      <c r="DV269" s="253"/>
      <c r="DW269" s="253"/>
      <c r="DX269" s="253"/>
      <c r="DY269" s="253"/>
      <c r="DZ269" s="253"/>
      <c r="EA269" s="253"/>
      <c r="EB269" s="253"/>
      <c r="EC269" s="253"/>
      <c r="ED269" s="253"/>
      <c r="EE269" s="253"/>
      <c r="EF269" s="253"/>
      <c r="EG269" s="253"/>
      <c r="EH269" s="253"/>
      <c r="EI269" s="253"/>
      <c r="EJ269" s="253"/>
      <c r="EK269" s="253"/>
      <c r="EL269" s="253"/>
      <c r="EM269" s="253"/>
      <c r="EN269" s="253"/>
      <c r="EO269" s="253"/>
      <c r="EP269" s="253"/>
      <c r="EQ269" s="253"/>
      <c r="ER269" s="253"/>
      <c r="ES269" s="253"/>
      <c r="ET269" s="253"/>
      <c r="EU269" s="253"/>
      <c r="EV269" s="253"/>
      <c r="EW269" s="253"/>
      <c r="EX269" s="253"/>
      <c r="EY269" s="253"/>
      <c r="EZ269" s="253"/>
      <c r="FA269" s="253"/>
      <c r="FB269" s="253"/>
      <c r="FC269" s="253"/>
      <c r="FD269" s="253"/>
      <c r="FE269" s="253"/>
      <c r="FF269" s="253"/>
      <c r="FG269" s="253"/>
      <c r="FH269" s="253"/>
      <c r="FI269" s="253"/>
      <c r="FJ269" s="253"/>
      <c r="FK269" s="253"/>
      <c r="FL269" s="253"/>
      <c r="FM269" s="253"/>
      <c r="FN269" s="253"/>
      <c r="FO269" s="253"/>
      <c r="FP269" s="253"/>
      <c r="FQ269" s="253"/>
      <c r="FR269" s="253"/>
      <c r="FS269" s="253"/>
      <c r="FT269" s="253"/>
      <c r="FU269" s="253"/>
      <c r="FV269" s="253"/>
      <c r="FW269" s="253"/>
      <c r="FX269" s="253"/>
      <c r="FY269" s="253"/>
      <c r="FZ269" s="253"/>
      <c r="GA269" s="253"/>
      <c r="GB269" s="253"/>
      <c r="GC269" s="253"/>
      <c r="GD269" s="253"/>
      <c r="GE269" s="253"/>
      <c r="GF269" s="253"/>
      <c r="GG269" s="253"/>
      <c r="GH269" s="253"/>
      <c r="GI269" s="253"/>
      <c r="GJ269" s="253"/>
      <c r="GK269" s="253"/>
      <c r="GL269" s="253"/>
      <c r="GM269" s="253"/>
      <c r="GN269" s="253"/>
      <c r="GO269" s="253"/>
      <c r="GP269" s="253"/>
      <c r="GQ269" s="253"/>
      <c r="GR269" s="253"/>
      <c r="GS269" s="253"/>
      <c r="GT269" s="253"/>
      <c r="GU269" s="253"/>
      <c r="GV269" s="253"/>
      <c r="GW269" s="253"/>
      <c r="GX269" s="253"/>
      <c r="GY269" s="253"/>
      <c r="GZ269" s="253"/>
      <c r="HA269" s="253"/>
      <c r="HB269" s="253"/>
      <c r="HC269" s="253"/>
      <c r="HD269" s="253"/>
      <c r="HE269" s="253"/>
      <c r="HF269" s="253"/>
      <c r="HG269" s="253"/>
      <c r="HH269" s="253"/>
      <c r="HI269" s="253"/>
      <c r="HJ269" s="253"/>
      <c r="HK269" s="253"/>
      <c r="HL269" s="253"/>
      <c r="HM269" s="253"/>
      <c r="HN269" s="253"/>
      <c r="HO269" s="253"/>
      <c r="HP269" s="253"/>
      <c r="HQ269" s="253"/>
      <c r="HR269" s="253"/>
      <c r="HS269" s="253"/>
      <c r="HT269" s="253"/>
      <c r="HU269" s="253"/>
      <c r="HV269" s="253"/>
      <c r="HW269" s="253"/>
      <c r="HX269" s="253"/>
      <c r="HY269" s="253"/>
      <c r="HZ269" s="253"/>
      <c r="IA269" s="253"/>
      <c r="IB269" s="253"/>
      <c r="IC269" s="253"/>
      <c r="ID269" s="253"/>
      <c r="IE269" s="253"/>
      <c r="IF269" s="253"/>
      <c r="IG269" s="253"/>
      <c r="IH269" s="253"/>
      <c r="II269" s="253"/>
      <c r="IJ269" s="253"/>
      <c r="IK269" s="253"/>
      <c r="IL269" s="253"/>
      <c r="IM269" s="253"/>
      <c r="IN269" s="253"/>
      <c r="IO269" s="253"/>
      <c r="IP269" s="253"/>
      <c r="IQ269" s="253"/>
      <c r="IR269" s="253"/>
      <c r="IS269" s="253"/>
      <c r="IT269" s="253"/>
      <c r="IU269" s="253"/>
      <c r="IV269" s="253"/>
      <c r="IW269" s="253"/>
      <c r="IX269" s="253"/>
      <c r="IY269" s="253"/>
      <c r="IZ269" s="253"/>
      <c r="JA269" s="253"/>
      <c r="JB269" s="253"/>
      <c r="JC269" s="253"/>
      <c r="JD269" s="253"/>
      <c r="JE269" s="253"/>
      <c r="JF269" s="253"/>
      <c r="JG269" s="253"/>
      <c r="JH269" s="253"/>
      <c r="JI269" s="253"/>
      <c r="JJ269" s="253"/>
      <c r="JK269" s="253"/>
      <c r="JL269" s="253"/>
      <c r="JM269" s="253"/>
      <c r="JN269" s="253"/>
      <c r="JO269" s="253"/>
      <c r="JP269" s="253"/>
      <c r="JQ269" s="253"/>
      <c r="JR269" s="253"/>
      <c r="JS269" s="253"/>
      <c r="JT269" s="253"/>
      <c r="JU269" s="253"/>
      <c r="JV269" s="253"/>
      <c r="JW269" s="253"/>
      <c r="JX269" s="253"/>
      <c r="JY269" s="253"/>
      <c r="JZ269" s="253"/>
      <c r="KA269" s="253"/>
      <c r="KB269" s="253"/>
      <c r="KC269" s="253"/>
      <c r="KD269" s="253"/>
      <c r="KE269" s="253"/>
      <c r="KF269" s="253"/>
      <c r="KG269" s="253"/>
      <c r="KH269" s="253"/>
      <c r="KI269" s="253"/>
      <c r="KJ269" s="253"/>
      <c r="KK269" s="253"/>
      <c r="KL269" s="253"/>
      <c r="KM269" s="253"/>
      <c r="KN269" s="253"/>
      <c r="KO269" s="253"/>
      <c r="KP269" s="253"/>
      <c r="KQ269" s="253"/>
      <c r="KR269" s="253"/>
      <c r="KS269" s="253"/>
      <c r="KT269" s="253"/>
      <c r="KU269" s="253"/>
      <c r="KV269" s="253"/>
      <c r="KW269" s="253"/>
      <c r="KX269" s="253"/>
      <c r="KY269" s="253"/>
      <c r="KZ269" s="253"/>
      <c r="LA269" s="253"/>
      <c r="LB269" s="253"/>
      <c r="LC269" s="253"/>
      <c r="LD269" s="253"/>
      <c r="LE269" s="253"/>
      <c r="LF269" s="1296"/>
      <c r="LG269" s="253"/>
      <c r="LH269" s="253"/>
      <c r="LI269" s="253"/>
      <c r="LJ269" s="253"/>
      <c r="LK269" s="1296"/>
      <c r="LL269" s="253"/>
      <c r="LM269" s="253"/>
      <c r="LN269" s="253"/>
      <c r="LO269" s="253"/>
      <c r="LP269" s="1296"/>
      <c r="LQ269" s="253"/>
      <c r="LR269" s="253"/>
      <c r="LS269" s="253"/>
      <c r="LT269" s="253"/>
      <c r="LU269" s="1296"/>
      <c r="LV269" s="1296"/>
      <c r="LW269" s="1296"/>
      <c r="LX269" s="1296"/>
      <c r="LY269" s="1296"/>
      <c r="LZ269" s="1296"/>
      <c r="MA269" s="1296"/>
      <c r="MB269" s="1296"/>
      <c r="MC269" s="1296"/>
      <c r="MD269" s="1296"/>
      <c r="ME269" s="1296"/>
      <c r="MF269" s="1296"/>
      <c r="MG269" s="1296"/>
      <c r="MH269" s="1296"/>
      <c r="MI269" s="1296"/>
      <c r="MJ269" s="1296"/>
      <c r="MK269" s="1296"/>
      <c r="ML269" s="1296"/>
      <c r="MM269" s="1296"/>
      <c r="MN269" s="1296"/>
      <c r="MO269" s="1296"/>
      <c r="MP269" s="1296"/>
      <c r="MQ269" s="253"/>
      <c r="MR269" s="253"/>
      <c r="MS269" s="253"/>
      <c r="MT269" s="253"/>
      <c r="MU269" s="253"/>
      <c r="MV269" s="253"/>
      <c r="MW269" s="1184"/>
      <c r="MX269" s="253"/>
      <c r="MY269" s="253"/>
      <c r="MZ269" s="253"/>
      <c r="NA269" s="253"/>
      <c r="NB269" s="253"/>
      <c r="NC269" s="253"/>
      <c r="ND269" s="253"/>
      <c r="NE269" s="253"/>
      <c r="NF269" s="253"/>
      <c r="NG269" s="253"/>
      <c r="NH269" s="253"/>
      <c r="NI269" s="253"/>
      <c r="NJ269" s="253"/>
      <c r="NK269" s="253"/>
      <c r="NL269" s="253"/>
      <c r="NM269" s="1184"/>
      <c r="NN269" s="1184"/>
      <c r="NO269" s="253"/>
      <c r="NP269" s="253"/>
      <c r="NQ269" s="253"/>
      <c r="NR269" s="253"/>
      <c r="NS269" s="253"/>
      <c r="NT269" s="253"/>
      <c r="NU269" s="253"/>
      <c r="NV269" s="253"/>
      <c r="NW269" s="253"/>
      <c r="NX269" s="253"/>
      <c r="NY269" s="253"/>
      <c r="NZ269" s="253"/>
      <c r="OA269" s="253"/>
      <c r="OB269" s="253"/>
      <c r="OC269" s="253"/>
      <c r="OD269" s="253"/>
      <c r="OE269" s="253"/>
      <c r="OF269" s="253"/>
      <c r="OG269" s="253"/>
      <c r="OH269" s="253"/>
      <c r="OI269" s="253"/>
      <c r="OJ269" s="253"/>
      <c r="OK269" s="253"/>
      <c r="OL269" s="253"/>
      <c r="OM269" s="253"/>
      <c r="ON269" s="253"/>
      <c r="OO269" s="253"/>
      <c r="OP269" s="253"/>
      <c r="OQ269" s="253"/>
      <c r="OR269" s="253"/>
      <c r="OS269" s="253"/>
      <c r="OT269" s="253"/>
      <c r="OU269" s="253"/>
      <c r="OV269" s="43"/>
      <c r="OW269" s="43"/>
      <c r="OX269" s="43"/>
      <c r="OY269" s="1796"/>
      <c r="OZ269" s="1799">
        <v>265</v>
      </c>
      <c r="PA269" s="43"/>
      <c r="PB269" s="43"/>
      <c r="PC269" s="43"/>
      <c r="PD269" s="43"/>
      <c r="PE269" s="43"/>
      <c r="PF269" s="43"/>
      <c r="PG269" s="43"/>
      <c r="PH269" s="43"/>
      <c r="PI269" s="43"/>
      <c r="PJ269" s="43"/>
      <c r="PK269" s="43"/>
      <c r="PL269" s="43"/>
      <c r="PM269" s="43"/>
      <c r="PN269" s="43"/>
      <c r="PO269" s="43"/>
      <c r="PP269" s="43"/>
      <c r="PQ269" s="43"/>
      <c r="PR269" s="43"/>
      <c r="PS269" s="43"/>
      <c r="PT269" s="43"/>
      <c r="PU269" s="43"/>
      <c r="PV269" s="43"/>
      <c r="PW269" s="43"/>
      <c r="PX269" s="43"/>
      <c r="PY269" s="43"/>
      <c r="PZ269" s="43"/>
      <c r="QA269" s="43"/>
      <c r="QB269" s="43"/>
      <c r="QC269" s="43"/>
      <c r="QD269" s="43"/>
      <c r="QE269" s="43"/>
      <c r="QF269" s="43"/>
      <c r="QG269" s="43"/>
      <c r="QH269" s="43"/>
      <c r="QI269" s="43"/>
      <c r="QJ269" s="43"/>
      <c r="QK269" s="43"/>
      <c r="QL269" s="43"/>
      <c r="QM269" s="43"/>
      <c r="QN269" s="43"/>
      <c r="QO269" s="43"/>
      <c r="QP269" s="43"/>
      <c r="QQ269" s="43"/>
      <c r="QR269" s="43"/>
      <c r="QS269" s="43"/>
      <c r="QT269" s="43"/>
      <c r="QU269" s="43"/>
      <c r="QV269" s="43"/>
      <c r="QW269" s="43"/>
      <c r="QX269" s="43"/>
      <c r="QY269" s="43"/>
      <c r="QZ269" s="43"/>
      <c r="RA269" s="43"/>
      <c r="RB269" s="43"/>
      <c r="RC269" s="43"/>
      <c r="RD269" s="43"/>
      <c r="RE269" s="43"/>
      <c r="RF269" s="43"/>
      <c r="RG269" s="43"/>
      <c r="RH269" s="43"/>
      <c r="RI269" s="43"/>
      <c r="RJ269" s="43"/>
      <c r="RK269" s="43"/>
      <c r="RL269" s="43"/>
      <c r="RM269" s="43"/>
      <c r="RN269" s="43"/>
      <c r="RO269" s="43"/>
      <c r="RP269" s="43"/>
      <c r="RQ269" s="43"/>
      <c r="RR269" s="43"/>
      <c r="RS269" s="43"/>
      <c r="RT269" s="43"/>
      <c r="RU269" s="43"/>
      <c r="RV269" s="43"/>
      <c r="RW269" s="43"/>
      <c r="RX269" s="43"/>
      <c r="RY269" s="43"/>
      <c r="RZ269" s="43"/>
      <c r="SA269" s="43"/>
      <c r="SB269" s="43"/>
      <c r="SC269" s="43"/>
      <c r="SD269" s="43"/>
      <c r="SE269" s="43"/>
      <c r="SF269" s="43"/>
      <c r="SG269" s="43"/>
      <c r="SH269" s="43"/>
      <c r="SI269" s="43"/>
      <c r="SJ269" s="43"/>
      <c r="SK269" s="43"/>
      <c r="SL269" s="43"/>
      <c r="SM269" s="43"/>
      <c r="SN269" s="43"/>
      <c r="SO269" s="43"/>
      <c r="SP269" s="43"/>
      <c r="SQ269" s="43"/>
      <c r="SR269" s="43"/>
      <c r="SS269" s="43"/>
      <c r="ST269" s="43"/>
      <c r="SU269" s="43"/>
      <c r="SV269" s="43"/>
      <c r="SW269" s="43"/>
      <c r="SX269" s="43"/>
      <c r="SY269" s="43"/>
      <c r="SZ269" s="43"/>
      <c r="TA269" s="43"/>
      <c r="TB269" s="43"/>
      <c r="TC269" s="43"/>
      <c r="TD269" s="43"/>
      <c r="TE269" s="43"/>
      <c r="TF269" s="43"/>
      <c r="TG269" s="43"/>
      <c r="TH269" s="43"/>
    </row>
    <row r="270" spans="1:528" s="41" customFormat="1" ht="6" customHeight="1">
      <c r="A270" s="43"/>
      <c r="B270" s="3"/>
      <c r="C270" s="5"/>
      <c r="D270" s="43"/>
      <c r="E270" s="43"/>
      <c r="F270" s="2373"/>
      <c r="G270" s="2373"/>
      <c r="H270" s="43"/>
      <c r="I270" s="43"/>
      <c r="J270" s="43"/>
      <c r="K270" s="2373"/>
      <c r="L270" s="43"/>
      <c r="M270" s="43"/>
      <c r="N270" s="43"/>
      <c r="X270" s="251"/>
      <c r="Y270" s="253"/>
      <c r="Z270" s="253"/>
      <c r="AA270" s="253"/>
      <c r="AB270" s="253"/>
      <c r="AC270" s="251"/>
      <c r="AD270" s="253"/>
      <c r="AE270" s="253"/>
      <c r="AF270" s="253"/>
      <c r="AG270" s="253"/>
      <c r="AH270" s="251"/>
      <c r="AI270" s="253"/>
      <c r="AJ270" s="253"/>
      <c r="AK270" s="253"/>
      <c r="AL270" s="253"/>
      <c r="AM270" s="251"/>
      <c r="AN270" s="253"/>
      <c r="AO270" s="253"/>
      <c r="AP270" s="253"/>
      <c r="AQ270" s="253"/>
      <c r="AR270" s="253"/>
      <c r="AS270" s="253"/>
      <c r="AT270" s="253"/>
      <c r="AU270" s="253"/>
      <c r="AV270" s="253"/>
      <c r="AW270" s="253"/>
      <c r="AX270" s="253"/>
      <c r="AY270" s="253"/>
      <c r="AZ270" s="253"/>
      <c r="BA270" s="253"/>
      <c r="BB270" s="253"/>
      <c r="BC270" s="253"/>
      <c r="BD270" s="253"/>
      <c r="BE270" s="253"/>
      <c r="BF270" s="253"/>
      <c r="BG270" s="253"/>
      <c r="BH270" s="253"/>
      <c r="BI270" s="253"/>
      <c r="BJ270" s="253"/>
      <c r="BK270" s="253"/>
      <c r="BL270" s="253"/>
      <c r="BM270" s="253"/>
      <c r="BN270" s="253"/>
      <c r="BO270" s="253"/>
      <c r="BP270" s="253"/>
      <c r="BQ270" s="253"/>
      <c r="BR270" s="253"/>
      <c r="BS270" s="253"/>
      <c r="BT270" s="253"/>
      <c r="BU270" s="253"/>
      <c r="BV270" s="253"/>
      <c r="BW270" s="253"/>
      <c r="BX270" s="253"/>
      <c r="BY270" s="253"/>
      <c r="BZ270" s="253"/>
      <c r="CA270" s="253"/>
      <c r="CB270" s="253"/>
      <c r="CC270" s="253"/>
      <c r="CD270" s="253"/>
      <c r="CE270" s="253"/>
      <c r="CF270" s="253"/>
      <c r="CG270" s="253"/>
      <c r="CH270" s="253"/>
      <c r="CI270" s="253"/>
      <c r="CJ270" s="253"/>
      <c r="CK270" s="253"/>
      <c r="CL270" s="253"/>
      <c r="CM270" s="253"/>
      <c r="CN270" s="253"/>
      <c r="CO270" s="253"/>
      <c r="CP270" s="253"/>
      <c r="CQ270" s="253"/>
      <c r="CR270" s="253"/>
      <c r="CS270" s="253"/>
      <c r="CT270" s="253"/>
      <c r="CU270" s="253"/>
      <c r="CV270" s="253"/>
      <c r="CW270" s="253"/>
      <c r="CX270" s="253"/>
      <c r="CY270" s="253"/>
      <c r="CZ270" s="253"/>
      <c r="DA270" s="253"/>
      <c r="DB270" s="253"/>
      <c r="DC270" s="253"/>
      <c r="DD270" s="253"/>
      <c r="DE270" s="253"/>
      <c r="DF270" s="253"/>
      <c r="DG270" s="253"/>
      <c r="DH270" s="253"/>
      <c r="DI270" s="253"/>
      <c r="DJ270" s="253"/>
      <c r="DK270" s="253"/>
      <c r="DL270" s="253"/>
      <c r="DM270" s="253"/>
      <c r="DN270" s="253"/>
      <c r="DO270" s="253"/>
      <c r="DP270" s="253"/>
      <c r="DQ270" s="253"/>
      <c r="DR270" s="253"/>
      <c r="DS270" s="253"/>
      <c r="DT270" s="253"/>
      <c r="DU270" s="253"/>
      <c r="DV270" s="253"/>
      <c r="DW270" s="253"/>
      <c r="DX270" s="253"/>
      <c r="DY270" s="253"/>
      <c r="DZ270" s="253"/>
      <c r="EA270" s="253"/>
      <c r="EB270" s="253"/>
      <c r="EC270" s="253"/>
      <c r="ED270" s="253"/>
      <c r="EE270" s="253"/>
      <c r="EF270" s="253"/>
      <c r="EG270" s="253"/>
      <c r="EH270" s="253"/>
      <c r="EI270" s="253"/>
      <c r="EJ270" s="253"/>
      <c r="EK270" s="253"/>
      <c r="EL270" s="253"/>
      <c r="EM270" s="253"/>
      <c r="EN270" s="253"/>
      <c r="EO270" s="253"/>
      <c r="EP270" s="253"/>
      <c r="EQ270" s="253"/>
      <c r="ER270" s="253"/>
      <c r="ES270" s="253"/>
      <c r="ET270" s="253"/>
      <c r="EU270" s="253"/>
      <c r="EV270" s="253"/>
      <c r="EW270" s="253"/>
      <c r="EX270" s="253"/>
      <c r="EY270" s="253"/>
      <c r="EZ270" s="253"/>
      <c r="FA270" s="253"/>
      <c r="FB270" s="253"/>
      <c r="FC270" s="253"/>
      <c r="FD270" s="253"/>
      <c r="FE270" s="253"/>
      <c r="FF270" s="253"/>
      <c r="FG270" s="253"/>
      <c r="FH270" s="253"/>
      <c r="FI270" s="253"/>
      <c r="FJ270" s="253"/>
      <c r="FK270" s="253"/>
      <c r="FL270" s="253"/>
      <c r="FM270" s="253"/>
      <c r="FN270" s="253"/>
      <c r="FO270" s="253"/>
      <c r="FP270" s="253"/>
      <c r="FQ270" s="253"/>
      <c r="FR270" s="253"/>
      <c r="FS270" s="253"/>
      <c r="FT270" s="253"/>
      <c r="FU270" s="253"/>
      <c r="FV270" s="253"/>
      <c r="FW270" s="253"/>
      <c r="FX270" s="253"/>
      <c r="FY270" s="253"/>
      <c r="FZ270" s="253"/>
      <c r="GA270" s="253"/>
      <c r="GB270" s="253"/>
      <c r="GC270" s="253"/>
      <c r="GD270" s="253"/>
      <c r="GE270" s="253"/>
      <c r="GF270" s="253"/>
      <c r="GG270" s="253"/>
      <c r="GH270" s="253"/>
      <c r="GI270" s="253"/>
      <c r="GJ270" s="253"/>
      <c r="GK270" s="253"/>
      <c r="GL270" s="253"/>
      <c r="GM270" s="253"/>
      <c r="GN270" s="253"/>
      <c r="GO270" s="253"/>
      <c r="GP270" s="253"/>
      <c r="GQ270" s="253"/>
      <c r="GR270" s="253"/>
      <c r="GS270" s="253"/>
      <c r="GT270" s="253"/>
      <c r="GU270" s="253"/>
      <c r="GV270" s="253"/>
      <c r="GW270" s="253"/>
      <c r="GX270" s="253"/>
      <c r="GY270" s="253"/>
      <c r="GZ270" s="253"/>
      <c r="HA270" s="253"/>
      <c r="HB270" s="253"/>
      <c r="HC270" s="253"/>
      <c r="HD270" s="253"/>
      <c r="HE270" s="253"/>
      <c r="HF270" s="253"/>
      <c r="HG270" s="253"/>
      <c r="HH270" s="253"/>
      <c r="HI270" s="253"/>
      <c r="HJ270" s="253"/>
      <c r="HK270" s="253"/>
      <c r="HL270" s="253"/>
      <c r="HM270" s="253"/>
      <c r="HN270" s="253"/>
      <c r="HO270" s="253"/>
      <c r="HP270" s="253"/>
      <c r="HQ270" s="253"/>
      <c r="HR270" s="253"/>
      <c r="HS270" s="253"/>
      <c r="HT270" s="253"/>
      <c r="HU270" s="253"/>
      <c r="HV270" s="253"/>
      <c r="HW270" s="253"/>
      <c r="HX270" s="253"/>
      <c r="HY270" s="253"/>
      <c r="HZ270" s="253"/>
      <c r="IA270" s="253"/>
      <c r="IB270" s="253"/>
      <c r="IC270" s="253"/>
      <c r="ID270" s="253"/>
      <c r="IE270" s="253"/>
      <c r="IF270" s="253"/>
      <c r="IG270" s="253"/>
      <c r="IH270" s="253"/>
      <c r="II270" s="253"/>
      <c r="IJ270" s="253"/>
      <c r="IK270" s="253"/>
      <c r="IL270" s="253"/>
      <c r="IM270" s="253"/>
      <c r="IN270" s="253"/>
      <c r="IO270" s="253"/>
      <c r="IP270" s="253"/>
      <c r="IQ270" s="253"/>
      <c r="IR270" s="253"/>
      <c r="IS270" s="253"/>
      <c r="IT270" s="253"/>
      <c r="IU270" s="253"/>
      <c r="IV270" s="253"/>
      <c r="IW270" s="253"/>
      <c r="IX270" s="253"/>
      <c r="IY270" s="253"/>
      <c r="IZ270" s="253"/>
      <c r="JA270" s="253"/>
      <c r="JB270" s="253"/>
      <c r="JC270" s="253"/>
      <c r="JD270" s="253"/>
      <c r="JE270" s="253"/>
      <c r="JF270" s="253"/>
      <c r="JG270" s="253"/>
      <c r="JH270" s="253"/>
      <c r="JI270" s="253"/>
      <c r="JJ270" s="253"/>
      <c r="JK270" s="253"/>
      <c r="JL270" s="253"/>
      <c r="JM270" s="253"/>
      <c r="JN270" s="253"/>
      <c r="JO270" s="253"/>
      <c r="JP270" s="253"/>
      <c r="JQ270" s="253"/>
      <c r="JR270" s="253"/>
      <c r="JS270" s="253"/>
      <c r="JT270" s="253"/>
      <c r="JU270" s="253"/>
      <c r="JV270" s="253"/>
      <c r="JW270" s="253"/>
      <c r="JX270" s="253"/>
      <c r="JY270" s="253"/>
      <c r="JZ270" s="253"/>
      <c r="KA270" s="253"/>
      <c r="KB270" s="253"/>
      <c r="KC270" s="253"/>
      <c r="KD270" s="253"/>
      <c r="KE270" s="253"/>
      <c r="KF270" s="253"/>
      <c r="KG270" s="253"/>
      <c r="KH270" s="253"/>
      <c r="KI270" s="253"/>
      <c r="KJ270" s="253"/>
      <c r="KK270" s="253"/>
      <c r="KL270" s="253"/>
      <c r="KM270" s="253"/>
      <c r="KN270" s="253"/>
      <c r="KO270" s="253"/>
      <c r="KP270" s="253"/>
      <c r="KQ270" s="253"/>
      <c r="KR270" s="253"/>
      <c r="KS270" s="253"/>
      <c r="KT270" s="253"/>
      <c r="KU270" s="253"/>
      <c r="KV270" s="253"/>
      <c r="KW270" s="253"/>
      <c r="KX270" s="253"/>
      <c r="KY270" s="253"/>
      <c r="KZ270" s="253"/>
      <c r="LA270" s="253"/>
      <c r="LB270" s="253"/>
      <c r="LC270" s="253"/>
      <c r="LD270" s="253"/>
      <c r="LE270" s="253"/>
      <c r="LF270" s="1296"/>
      <c r="LG270" s="253"/>
      <c r="LH270" s="253"/>
      <c r="LI270" s="253"/>
      <c r="LJ270" s="253"/>
      <c r="LK270" s="1296"/>
      <c r="LL270" s="253"/>
      <c r="LM270" s="253"/>
      <c r="LN270" s="253"/>
      <c r="LO270" s="253"/>
      <c r="LP270" s="1296"/>
      <c r="LQ270" s="253"/>
      <c r="LR270" s="253"/>
      <c r="LS270" s="253"/>
      <c r="LT270" s="253"/>
      <c r="LU270" s="1296"/>
      <c r="LV270" s="1296"/>
      <c r="LW270" s="1296"/>
      <c r="LX270" s="1296"/>
      <c r="LY270" s="1296"/>
      <c r="LZ270" s="1296"/>
      <c r="MA270" s="1296"/>
      <c r="MB270" s="1296"/>
      <c r="MC270" s="1296"/>
      <c r="MD270" s="1296"/>
      <c r="ME270" s="1296"/>
      <c r="MF270" s="1296"/>
      <c r="MG270" s="1296"/>
      <c r="MH270" s="1296"/>
      <c r="MI270" s="1296"/>
      <c r="MJ270" s="1296"/>
      <c r="MK270" s="1296"/>
      <c r="ML270" s="1296"/>
      <c r="MM270" s="1296"/>
      <c r="MN270" s="1296"/>
      <c r="MO270" s="1296"/>
      <c r="MP270" s="1296"/>
      <c r="MQ270" s="253"/>
      <c r="MR270" s="253"/>
      <c r="MS270" s="253"/>
      <c r="MT270" s="253"/>
      <c r="MU270" s="253"/>
      <c r="MV270" s="253"/>
      <c r="MW270" s="1184"/>
      <c r="MX270" s="253"/>
      <c r="MY270" s="253"/>
      <c r="MZ270" s="253"/>
      <c r="NA270" s="253"/>
      <c r="NB270" s="253"/>
      <c r="NC270" s="253"/>
      <c r="ND270" s="253"/>
      <c r="NE270" s="253"/>
      <c r="NF270" s="253"/>
      <c r="NG270" s="253"/>
      <c r="NH270" s="253"/>
      <c r="NI270" s="253"/>
      <c r="NJ270" s="253"/>
      <c r="NK270" s="253"/>
      <c r="NL270" s="253"/>
      <c r="NM270" s="1184"/>
      <c r="NN270" s="1184"/>
      <c r="NO270" s="253"/>
      <c r="NP270" s="253"/>
      <c r="NQ270" s="253"/>
      <c r="NR270" s="253"/>
      <c r="NS270" s="253"/>
      <c r="NT270" s="253"/>
      <c r="NU270" s="253"/>
      <c r="NV270" s="253"/>
      <c r="NW270" s="253"/>
      <c r="NX270" s="253"/>
      <c r="NY270" s="253"/>
      <c r="NZ270" s="253"/>
      <c r="OA270" s="253"/>
      <c r="OB270" s="253"/>
      <c r="OC270" s="253"/>
      <c r="OD270" s="253"/>
      <c r="OE270" s="253"/>
      <c r="OF270" s="253"/>
      <c r="OG270" s="253"/>
      <c r="OH270" s="253"/>
      <c r="OI270" s="253"/>
      <c r="OJ270" s="253"/>
      <c r="OK270" s="253"/>
      <c r="OL270" s="253"/>
      <c r="OM270" s="253"/>
      <c r="ON270" s="253"/>
      <c r="OO270" s="253"/>
      <c r="OP270" s="253"/>
      <c r="OQ270" s="253"/>
      <c r="OR270" s="253"/>
      <c r="OS270" s="253"/>
      <c r="OT270" s="253"/>
      <c r="OU270" s="253"/>
      <c r="OV270" s="43"/>
      <c r="OW270" s="43"/>
      <c r="OX270" s="43"/>
      <c r="OY270" s="1796"/>
      <c r="OZ270" s="1798">
        <v>266</v>
      </c>
      <c r="PA270" s="43"/>
      <c r="PB270" s="43"/>
      <c r="PC270" s="43"/>
      <c r="PD270" s="43"/>
      <c r="PE270" s="43"/>
      <c r="PF270" s="43"/>
      <c r="PG270" s="43"/>
      <c r="PH270" s="43"/>
      <c r="PI270" s="43"/>
      <c r="PJ270" s="43"/>
      <c r="PK270" s="43"/>
      <c r="PL270" s="43"/>
      <c r="PM270" s="43"/>
      <c r="PN270" s="43"/>
      <c r="PO270" s="43"/>
      <c r="PP270" s="43"/>
      <c r="PQ270" s="43"/>
      <c r="PR270" s="43"/>
      <c r="PS270" s="43"/>
      <c r="PT270" s="43"/>
      <c r="PU270" s="43"/>
      <c r="PV270" s="43"/>
      <c r="PW270" s="43"/>
      <c r="PX270" s="43"/>
      <c r="PY270" s="43"/>
      <c r="PZ270" s="43"/>
      <c r="QA270" s="43"/>
      <c r="QB270" s="43"/>
      <c r="QC270" s="43"/>
      <c r="QD270" s="43"/>
      <c r="QE270" s="43"/>
      <c r="QF270" s="43"/>
      <c r="QG270" s="43"/>
      <c r="QH270" s="43"/>
      <c r="QI270" s="43"/>
      <c r="QJ270" s="43"/>
      <c r="QK270" s="43"/>
      <c r="QL270" s="43"/>
      <c r="QM270" s="43"/>
      <c r="QN270" s="43"/>
      <c r="QO270" s="43"/>
      <c r="QP270" s="43"/>
      <c r="QQ270" s="43"/>
      <c r="QR270" s="43"/>
      <c r="QS270" s="43"/>
      <c r="QT270" s="43"/>
      <c r="QU270" s="43"/>
      <c r="QV270" s="43"/>
      <c r="QW270" s="43"/>
      <c r="QX270" s="43"/>
      <c r="QY270" s="43"/>
      <c r="QZ270" s="43"/>
      <c r="RA270" s="43"/>
      <c r="RB270" s="43"/>
      <c r="RC270" s="43"/>
      <c r="RD270" s="43"/>
      <c r="RE270" s="43"/>
      <c r="RF270" s="43"/>
      <c r="RG270" s="43"/>
      <c r="RH270" s="43"/>
      <c r="RI270" s="43"/>
      <c r="RJ270" s="43"/>
      <c r="RK270" s="43"/>
      <c r="RL270" s="43"/>
      <c r="RM270" s="43"/>
      <c r="RN270" s="43"/>
      <c r="RO270" s="43"/>
      <c r="RP270" s="43"/>
      <c r="RQ270" s="43"/>
      <c r="RR270" s="43"/>
      <c r="RS270" s="43"/>
      <c r="RT270" s="43"/>
      <c r="RU270" s="43"/>
      <c r="RV270" s="43"/>
      <c r="RW270" s="43"/>
      <c r="RX270" s="43"/>
      <c r="RY270" s="43"/>
      <c r="RZ270" s="43"/>
      <c r="SA270" s="43"/>
      <c r="SB270" s="43"/>
      <c r="SC270" s="43"/>
      <c r="SD270" s="43"/>
      <c r="SE270" s="43"/>
      <c r="SF270" s="43"/>
      <c r="SG270" s="43"/>
      <c r="SH270" s="43"/>
      <c r="SI270" s="43"/>
      <c r="SJ270" s="43"/>
      <c r="SK270" s="43"/>
      <c r="SL270" s="43"/>
      <c r="SM270" s="43"/>
      <c r="SN270" s="43"/>
      <c r="SO270" s="43"/>
      <c r="SP270" s="43"/>
      <c r="SQ270" s="43"/>
      <c r="SR270" s="43"/>
      <c r="SS270" s="43"/>
      <c r="ST270" s="43"/>
      <c r="SU270" s="43"/>
      <c r="SV270" s="43"/>
      <c r="SW270" s="43"/>
      <c r="SX270" s="43"/>
      <c r="SY270" s="43"/>
      <c r="SZ270" s="43"/>
      <c r="TA270" s="43"/>
      <c r="TB270" s="43"/>
      <c r="TC270" s="43"/>
      <c r="TD270" s="43"/>
      <c r="TE270" s="43"/>
      <c r="TF270" s="43"/>
      <c r="TG270" s="43"/>
      <c r="TH270" s="43"/>
    </row>
    <row r="271" spans="1:528" s="41" customFormat="1" ht="15.6" customHeight="1">
      <c r="A271" s="43"/>
      <c r="B271" s="3"/>
      <c r="C271" s="5"/>
      <c r="D271" s="43"/>
      <c r="E271" s="43"/>
      <c r="F271" s="2373"/>
      <c r="G271" s="2373"/>
      <c r="H271" s="43"/>
      <c r="I271" s="43"/>
      <c r="J271" s="43"/>
      <c r="K271" s="2373"/>
      <c r="L271" s="43"/>
      <c r="M271" s="43"/>
      <c r="N271" s="43"/>
      <c r="R271" s="2369"/>
      <c r="X271" s="251"/>
      <c r="Y271" s="253"/>
      <c r="Z271" s="253"/>
      <c r="AA271" s="253"/>
      <c r="AB271" s="253"/>
      <c r="AC271" s="251"/>
      <c r="AD271" s="253"/>
      <c r="AE271" s="253"/>
      <c r="AF271" s="253"/>
      <c r="AG271" s="253"/>
      <c r="AH271" s="251"/>
      <c r="AI271" s="253"/>
      <c r="AJ271" s="253"/>
      <c r="AK271" s="253"/>
      <c r="AL271" s="253"/>
      <c r="AM271" s="251"/>
      <c r="AN271" s="253"/>
      <c r="AO271" s="253"/>
      <c r="AP271" s="253"/>
      <c r="AQ271" s="253"/>
      <c r="AR271" s="253"/>
      <c r="AS271" s="253"/>
      <c r="AT271" s="253"/>
      <c r="AU271" s="253"/>
      <c r="AV271" s="253"/>
      <c r="AW271" s="253"/>
      <c r="AX271" s="253"/>
      <c r="AY271" s="253"/>
      <c r="AZ271" s="253"/>
      <c r="BA271" s="253"/>
      <c r="BB271" s="253"/>
      <c r="BC271" s="253"/>
      <c r="BD271" s="253"/>
      <c r="BE271" s="253"/>
      <c r="BF271" s="253"/>
      <c r="BG271" s="253"/>
      <c r="BH271" s="253"/>
      <c r="BI271" s="253"/>
      <c r="BJ271" s="253"/>
      <c r="BK271" s="253"/>
      <c r="BL271" s="253"/>
      <c r="BM271" s="253"/>
      <c r="BN271" s="253"/>
      <c r="BO271" s="253"/>
      <c r="BP271" s="253"/>
      <c r="BQ271" s="253"/>
      <c r="BR271" s="253"/>
      <c r="BS271" s="253"/>
      <c r="BT271" s="253"/>
      <c r="BU271" s="253"/>
      <c r="BV271" s="253"/>
      <c r="BW271" s="253"/>
      <c r="BX271" s="253"/>
      <c r="BY271" s="253"/>
      <c r="BZ271" s="253"/>
      <c r="CA271" s="253"/>
      <c r="CB271" s="253"/>
      <c r="CC271" s="253"/>
      <c r="CD271" s="253"/>
      <c r="CE271" s="253"/>
      <c r="CF271" s="253"/>
      <c r="CG271" s="253"/>
      <c r="CH271" s="253"/>
      <c r="CI271" s="253"/>
      <c r="CJ271" s="253"/>
      <c r="CK271" s="253"/>
      <c r="CL271" s="253"/>
      <c r="CM271" s="253"/>
      <c r="CN271" s="253"/>
      <c r="CO271" s="253"/>
      <c r="CP271" s="253"/>
      <c r="CQ271" s="253"/>
      <c r="CR271" s="253"/>
      <c r="CS271" s="253"/>
      <c r="CT271" s="253"/>
      <c r="CU271" s="253"/>
      <c r="CV271" s="253"/>
      <c r="CW271" s="253"/>
      <c r="CX271" s="253"/>
      <c r="CY271" s="253"/>
      <c r="CZ271" s="253"/>
      <c r="DA271" s="253"/>
      <c r="DB271" s="253"/>
      <c r="DC271" s="253"/>
      <c r="DD271" s="253"/>
      <c r="DE271" s="253"/>
      <c r="DF271" s="253"/>
      <c r="DG271" s="253"/>
      <c r="DH271" s="253"/>
      <c r="DI271" s="253"/>
      <c r="DJ271" s="253"/>
      <c r="DK271" s="253"/>
      <c r="DL271" s="253"/>
      <c r="DM271" s="253"/>
      <c r="DN271" s="253"/>
      <c r="DO271" s="253"/>
      <c r="DP271" s="253"/>
      <c r="DQ271" s="253"/>
      <c r="DR271" s="253"/>
      <c r="DS271" s="253"/>
      <c r="DT271" s="253"/>
      <c r="DU271" s="253"/>
      <c r="DV271" s="253"/>
      <c r="DW271" s="253"/>
      <c r="DX271" s="253"/>
      <c r="DY271" s="253"/>
      <c r="DZ271" s="253"/>
      <c r="EA271" s="253"/>
      <c r="EB271" s="253"/>
      <c r="EC271" s="253"/>
      <c r="ED271" s="253"/>
      <c r="EE271" s="253"/>
      <c r="EF271" s="253"/>
      <c r="EG271" s="253"/>
      <c r="EH271" s="253"/>
      <c r="EI271" s="253"/>
      <c r="EJ271" s="253"/>
      <c r="EK271" s="253"/>
      <c r="EL271" s="253"/>
      <c r="EM271" s="253"/>
      <c r="EN271" s="253"/>
      <c r="EO271" s="253"/>
      <c r="EP271" s="253"/>
      <c r="EQ271" s="253"/>
      <c r="ER271" s="253"/>
      <c r="ES271" s="253"/>
      <c r="ET271" s="253"/>
      <c r="EU271" s="253"/>
      <c r="EV271" s="253"/>
      <c r="EW271" s="253"/>
      <c r="EX271" s="253"/>
      <c r="EY271" s="253"/>
      <c r="EZ271" s="253"/>
      <c r="FA271" s="253"/>
      <c r="FB271" s="253"/>
      <c r="FC271" s="253"/>
      <c r="FD271" s="253"/>
      <c r="FE271" s="253"/>
      <c r="FF271" s="253"/>
      <c r="FG271" s="253"/>
      <c r="FH271" s="253"/>
      <c r="FI271" s="253"/>
      <c r="FJ271" s="253"/>
      <c r="FK271" s="253"/>
      <c r="FL271" s="253"/>
      <c r="FM271" s="253"/>
      <c r="FN271" s="253"/>
      <c r="FO271" s="253"/>
      <c r="FP271" s="253"/>
      <c r="FQ271" s="253"/>
      <c r="FR271" s="253"/>
      <c r="FS271" s="253"/>
      <c r="FT271" s="253"/>
      <c r="FU271" s="253"/>
      <c r="FV271" s="253"/>
      <c r="FW271" s="253"/>
      <c r="FX271" s="253"/>
      <c r="FY271" s="253"/>
      <c r="FZ271" s="253"/>
      <c r="GA271" s="253"/>
      <c r="GB271" s="253"/>
      <c r="GC271" s="253"/>
      <c r="GD271" s="253"/>
      <c r="GE271" s="253"/>
      <c r="GF271" s="253"/>
      <c r="GG271" s="253"/>
      <c r="GH271" s="253"/>
      <c r="GI271" s="253"/>
      <c r="GJ271" s="253"/>
      <c r="GK271" s="253"/>
      <c r="GL271" s="253"/>
      <c r="GM271" s="253"/>
      <c r="GN271" s="253"/>
      <c r="GO271" s="253"/>
      <c r="GP271" s="253"/>
      <c r="GQ271" s="253"/>
      <c r="GR271" s="253"/>
      <c r="GS271" s="253"/>
      <c r="GT271" s="253"/>
      <c r="GU271" s="253"/>
      <c r="GV271" s="253"/>
      <c r="GW271" s="253"/>
      <c r="GX271" s="253"/>
      <c r="GY271" s="253"/>
      <c r="GZ271" s="253"/>
      <c r="HA271" s="253"/>
      <c r="HB271" s="253"/>
      <c r="HC271" s="253"/>
      <c r="HD271" s="253"/>
      <c r="HE271" s="253"/>
      <c r="HF271" s="253"/>
      <c r="HG271" s="253"/>
      <c r="HH271" s="253"/>
      <c r="HI271" s="253"/>
      <c r="HJ271" s="253"/>
      <c r="HK271" s="253"/>
      <c r="HL271" s="253"/>
      <c r="HM271" s="253"/>
      <c r="HN271" s="253"/>
      <c r="HO271" s="253"/>
      <c r="HP271" s="253"/>
      <c r="HQ271" s="253"/>
      <c r="HR271" s="253"/>
      <c r="HS271" s="253"/>
      <c r="HT271" s="253"/>
      <c r="HU271" s="253"/>
      <c r="HV271" s="253"/>
      <c r="HW271" s="253"/>
      <c r="HX271" s="253"/>
      <c r="HY271" s="253"/>
      <c r="HZ271" s="253"/>
      <c r="IA271" s="253"/>
      <c r="IB271" s="253"/>
      <c r="IC271" s="253"/>
      <c r="ID271" s="253"/>
      <c r="IE271" s="253"/>
      <c r="IF271" s="253"/>
      <c r="IG271" s="253"/>
      <c r="IH271" s="253"/>
      <c r="II271" s="253"/>
      <c r="IJ271" s="253"/>
      <c r="IK271" s="253"/>
      <c r="IL271" s="253"/>
      <c r="IM271" s="253"/>
      <c r="IN271" s="253"/>
      <c r="IO271" s="253"/>
      <c r="IP271" s="253"/>
      <c r="IQ271" s="253"/>
      <c r="IR271" s="253"/>
      <c r="IS271" s="253"/>
      <c r="IT271" s="253"/>
      <c r="IU271" s="253"/>
      <c r="IV271" s="253"/>
      <c r="IW271" s="253"/>
      <c r="IX271" s="253"/>
      <c r="IY271" s="253"/>
      <c r="IZ271" s="253"/>
      <c r="JA271" s="253"/>
      <c r="JB271" s="253"/>
      <c r="JC271" s="253"/>
      <c r="JD271" s="253"/>
      <c r="JE271" s="253"/>
      <c r="JF271" s="253"/>
      <c r="JG271" s="253"/>
      <c r="JH271" s="253"/>
      <c r="JI271" s="253"/>
      <c r="JJ271" s="253"/>
      <c r="JK271" s="253"/>
      <c r="JL271" s="253"/>
      <c r="JM271" s="253"/>
      <c r="JN271" s="253"/>
      <c r="JO271" s="253"/>
      <c r="JP271" s="253"/>
      <c r="JQ271" s="253"/>
      <c r="JR271" s="253"/>
      <c r="JS271" s="253"/>
      <c r="JT271" s="253"/>
      <c r="JU271" s="253"/>
      <c r="JV271" s="253"/>
      <c r="JW271" s="253"/>
      <c r="JX271" s="253"/>
      <c r="JY271" s="253"/>
      <c r="JZ271" s="253"/>
      <c r="KA271" s="253"/>
      <c r="KB271" s="253"/>
      <c r="KC271" s="253"/>
      <c r="KD271" s="253"/>
      <c r="KE271" s="253"/>
      <c r="KF271" s="253"/>
      <c r="KG271" s="253"/>
      <c r="KH271" s="253"/>
      <c r="KI271" s="253"/>
      <c r="KJ271" s="253"/>
      <c r="KK271" s="253"/>
      <c r="KL271" s="253"/>
      <c r="KM271" s="253"/>
      <c r="KN271" s="253"/>
      <c r="KO271" s="253"/>
      <c r="KP271" s="253"/>
      <c r="KQ271" s="253"/>
      <c r="KR271" s="253"/>
      <c r="KS271" s="253"/>
      <c r="KT271" s="253"/>
      <c r="KU271" s="253"/>
      <c r="KV271" s="253"/>
      <c r="KW271" s="253"/>
      <c r="KX271" s="253"/>
      <c r="KY271" s="253"/>
      <c r="KZ271" s="253"/>
      <c r="LA271" s="253"/>
      <c r="LB271" s="253"/>
      <c r="LC271" s="253"/>
      <c r="LD271" s="253"/>
      <c r="LE271" s="253"/>
      <c r="LF271" s="1296"/>
      <c r="LG271" s="253"/>
      <c r="LH271" s="253"/>
      <c r="LI271" s="253"/>
      <c r="LJ271" s="253"/>
      <c r="LK271" s="1296"/>
      <c r="LL271" s="253"/>
      <c r="LM271" s="253"/>
      <c r="LN271" s="253"/>
      <c r="LO271" s="253"/>
      <c r="LP271" s="1296"/>
      <c r="LQ271" s="253"/>
      <c r="LR271" s="253"/>
      <c r="LS271" s="253"/>
      <c r="LT271" s="253"/>
      <c r="LU271" s="1296"/>
      <c r="LV271" s="1296"/>
      <c r="LW271" s="1296"/>
      <c r="LX271" s="1296"/>
      <c r="LY271" s="1296"/>
      <c r="LZ271" s="1296"/>
      <c r="MA271" s="1296"/>
      <c r="MB271" s="1296"/>
      <c r="MC271" s="1296"/>
      <c r="MD271" s="1296"/>
      <c r="ME271" s="1296"/>
      <c r="MF271" s="1296"/>
      <c r="MG271" s="1296"/>
      <c r="MH271" s="1296"/>
      <c r="MI271" s="1296"/>
      <c r="MJ271" s="1296"/>
      <c r="MK271" s="1296"/>
      <c r="ML271" s="1296"/>
      <c r="MM271" s="1296"/>
      <c r="MN271" s="1296"/>
      <c r="MO271" s="1296"/>
      <c r="MP271" s="1296"/>
      <c r="MQ271" s="253"/>
      <c r="MR271" s="253"/>
      <c r="MS271" s="253"/>
      <c r="MT271" s="253"/>
      <c r="MU271" s="253"/>
      <c r="MV271" s="253"/>
      <c r="MW271" s="1184"/>
      <c r="MX271" s="253"/>
      <c r="MY271" s="253"/>
      <c r="MZ271" s="253"/>
      <c r="NA271" s="253"/>
      <c r="NB271" s="253"/>
      <c r="NC271" s="253"/>
      <c r="ND271" s="253"/>
      <c r="NE271" s="253"/>
      <c r="NF271" s="253"/>
      <c r="NG271" s="253"/>
      <c r="NH271" s="253"/>
      <c r="NI271" s="253"/>
      <c r="NJ271" s="253"/>
      <c r="NK271" s="253"/>
      <c r="NL271" s="253"/>
      <c r="NM271" s="1184"/>
      <c r="NN271" s="1184"/>
      <c r="NO271" s="253"/>
      <c r="NP271" s="253"/>
      <c r="NQ271" s="253"/>
      <c r="NR271" s="253"/>
      <c r="NS271" s="253"/>
      <c r="NT271" s="253"/>
      <c r="NU271" s="253"/>
      <c r="NV271" s="253"/>
      <c r="NW271" s="253"/>
      <c r="NX271" s="253"/>
      <c r="NY271" s="253"/>
      <c r="NZ271" s="253"/>
      <c r="OA271" s="253"/>
      <c r="OB271" s="253"/>
      <c r="OC271" s="253"/>
      <c r="OD271" s="253"/>
      <c r="OE271" s="253"/>
      <c r="OF271" s="253"/>
      <c r="OG271" s="253"/>
      <c r="OH271" s="253"/>
      <c r="OI271" s="253"/>
      <c r="OJ271" s="253"/>
      <c r="OK271" s="253"/>
      <c r="OL271" s="253"/>
      <c r="OM271" s="253"/>
      <c r="ON271" s="253"/>
      <c r="OO271" s="253"/>
      <c r="OP271" s="253"/>
      <c r="OQ271" s="253"/>
      <c r="OR271" s="253"/>
      <c r="OS271" s="253"/>
      <c r="OT271" s="253"/>
      <c r="OU271" s="253"/>
      <c r="OV271" s="43"/>
      <c r="OW271" s="43"/>
      <c r="OX271" s="43"/>
      <c r="OY271" s="1796"/>
      <c r="OZ271" s="1799">
        <v>267</v>
      </c>
      <c r="PA271" s="43"/>
      <c r="PB271" s="43"/>
      <c r="PC271" s="43"/>
      <c r="PD271" s="43"/>
      <c r="PE271" s="43"/>
      <c r="PF271" s="43"/>
      <c r="PG271" s="43"/>
      <c r="PH271" s="43"/>
      <c r="PI271" s="43"/>
      <c r="PJ271" s="43"/>
      <c r="PK271" s="43"/>
      <c r="PL271" s="43"/>
      <c r="PM271" s="43"/>
      <c r="PN271" s="43"/>
      <c r="PO271" s="43"/>
      <c r="PP271" s="43"/>
      <c r="PQ271" s="43"/>
      <c r="PR271" s="43"/>
      <c r="PS271" s="43"/>
      <c r="PT271" s="43"/>
      <c r="PU271" s="43"/>
      <c r="PV271" s="43"/>
      <c r="PW271" s="43"/>
      <c r="PX271" s="43"/>
      <c r="PY271" s="43"/>
      <c r="PZ271" s="43"/>
      <c r="QA271" s="43"/>
      <c r="QB271" s="43"/>
      <c r="QC271" s="43"/>
      <c r="QD271" s="43"/>
      <c r="QE271" s="43"/>
      <c r="QF271" s="43"/>
      <c r="QG271" s="43"/>
      <c r="QH271" s="43"/>
      <c r="QI271" s="43"/>
      <c r="QJ271" s="43"/>
      <c r="QK271" s="43"/>
      <c r="QL271" s="43"/>
      <c r="QM271" s="43"/>
      <c r="QN271" s="43"/>
      <c r="QO271" s="43"/>
      <c r="QP271" s="43"/>
      <c r="QQ271" s="43"/>
      <c r="QR271" s="43"/>
      <c r="QS271" s="43"/>
      <c r="QT271" s="43"/>
      <c r="QU271" s="43"/>
      <c r="QV271" s="43"/>
      <c r="QW271" s="43"/>
      <c r="QX271" s="43"/>
      <c r="QY271" s="43"/>
      <c r="QZ271" s="43"/>
      <c r="RA271" s="43"/>
      <c r="RB271" s="43"/>
      <c r="RC271" s="43"/>
      <c r="RD271" s="43"/>
      <c r="RE271" s="43"/>
      <c r="RF271" s="43"/>
      <c r="RG271" s="43"/>
      <c r="RH271" s="43"/>
      <c r="RI271" s="43"/>
      <c r="RJ271" s="43"/>
      <c r="RK271" s="43"/>
      <c r="RL271" s="43"/>
      <c r="RM271" s="43"/>
      <c r="RN271" s="43"/>
      <c r="RO271" s="43"/>
      <c r="RP271" s="43"/>
      <c r="RQ271" s="43"/>
      <c r="RR271" s="43"/>
      <c r="RS271" s="43"/>
      <c r="RT271" s="43"/>
      <c r="RU271" s="43"/>
      <c r="RV271" s="43"/>
      <c r="RW271" s="43"/>
      <c r="RX271" s="43"/>
      <c r="RY271" s="43"/>
      <c r="RZ271" s="43"/>
      <c r="SA271" s="43"/>
      <c r="SB271" s="43"/>
      <c r="SC271" s="43"/>
      <c r="SD271" s="43"/>
      <c r="SE271" s="43"/>
      <c r="SF271" s="43"/>
      <c r="SG271" s="43"/>
      <c r="SH271" s="43"/>
      <c r="SI271" s="43"/>
      <c r="SJ271" s="43"/>
      <c r="SK271" s="43"/>
      <c r="SL271" s="43"/>
      <c r="SM271" s="43"/>
      <c r="SN271" s="43"/>
      <c r="SO271" s="43"/>
      <c r="SP271" s="43"/>
      <c r="SQ271" s="43"/>
      <c r="SR271" s="43"/>
      <c r="SS271" s="43"/>
      <c r="ST271" s="43"/>
      <c r="SU271" s="43"/>
      <c r="SV271" s="43"/>
      <c r="SW271" s="43"/>
      <c r="SX271" s="43"/>
      <c r="SY271" s="43"/>
      <c r="SZ271" s="43"/>
      <c r="TA271" s="43"/>
      <c r="TB271" s="43"/>
      <c r="TC271" s="43"/>
      <c r="TD271" s="43"/>
      <c r="TE271" s="43"/>
      <c r="TF271" s="43"/>
      <c r="TG271" s="43"/>
      <c r="TH271" s="43"/>
    </row>
    <row r="272" spans="1:528" s="41" customFormat="1" ht="15" customHeight="1">
      <c r="A272" s="43"/>
      <c r="B272" s="3"/>
      <c r="C272" s="5"/>
      <c r="D272" s="43"/>
      <c r="E272" s="43"/>
      <c r="F272" s="2373"/>
      <c r="G272" s="2373"/>
      <c r="H272" s="43"/>
      <c r="I272" s="43"/>
      <c r="J272" s="43"/>
      <c r="K272" s="2373"/>
      <c r="L272" s="43"/>
      <c r="M272" s="43"/>
      <c r="N272" s="43"/>
      <c r="O272" s="3"/>
      <c r="P272" s="43"/>
      <c r="Q272" s="2369"/>
      <c r="R272" s="2369"/>
      <c r="X272" s="251"/>
      <c r="Y272" s="253"/>
      <c r="Z272" s="253"/>
      <c r="AA272" s="253"/>
      <c r="AB272" s="253"/>
      <c r="AC272" s="251"/>
      <c r="AD272" s="253"/>
      <c r="AE272" s="253"/>
      <c r="AF272" s="253"/>
      <c r="AG272" s="253"/>
      <c r="AH272" s="251"/>
      <c r="AI272" s="253"/>
      <c r="AJ272" s="253"/>
      <c r="AK272" s="253"/>
      <c r="AL272" s="253"/>
      <c r="AM272" s="251"/>
      <c r="AN272" s="253"/>
      <c r="AO272" s="253"/>
      <c r="AP272" s="253"/>
      <c r="AQ272" s="253"/>
      <c r="AR272" s="253"/>
      <c r="AS272" s="253"/>
      <c r="AT272" s="253"/>
      <c r="AU272" s="253"/>
      <c r="AV272" s="253"/>
      <c r="AW272" s="253"/>
      <c r="AX272" s="253"/>
      <c r="AY272" s="253"/>
      <c r="AZ272" s="253"/>
      <c r="BA272" s="253"/>
      <c r="BB272" s="253"/>
      <c r="BC272" s="253"/>
      <c r="BD272" s="253"/>
      <c r="BE272" s="253"/>
      <c r="BF272" s="253"/>
      <c r="BG272" s="253"/>
      <c r="BH272" s="253"/>
      <c r="BI272" s="253"/>
      <c r="BJ272" s="253"/>
      <c r="BK272" s="253"/>
      <c r="BL272" s="253"/>
      <c r="BM272" s="253"/>
      <c r="BN272" s="253"/>
      <c r="BO272" s="253"/>
      <c r="BP272" s="253"/>
      <c r="BQ272" s="253"/>
      <c r="BR272" s="253"/>
      <c r="BS272" s="253"/>
      <c r="BT272" s="253"/>
      <c r="BU272" s="253"/>
      <c r="BV272" s="253"/>
      <c r="BW272" s="253"/>
      <c r="BX272" s="253"/>
      <c r="BY272" s="253"/>
      <c r="BZ272" s="253"/>
      <c r="CA272" s="253"/>
      <c r="CB272" s="253"/>
      <c r="CC272" s="253"/>
      <c r="CD272" s="253"/>
      <c r="CE272" s="253"/>
      <c r="CF272" s="253"/>
      <c r="CG272" s="253"/>
      <c r="CH272" s="253"/>
      <c r="CI272" s="253"/>
      <c r="CJ272" s="253"/>
      <c r="CK272" s="253"/>
      <c r="CL272" s="253"/>
      <c r="CM272" s="253"/>
      <c r="CN272" s="253"/>
      <c r="CO272" s="253"/>
      <c r="CP272" s="253"/>
      <c r="CQ272" s="253"/>
      <c r="CR272" s="253"/>
      <c r="CS272" s="253"/>
      <c r="CT272" s="253"/>
      <c r="CU272" s="253"/>
      <c r="CV272" s="253"/>
      <c r="CW272" s="253"/>
      <c r="CX272" s="253"/>
      <c r="CY272" s="253"/>
      <c r="CZ272" s="253"/>
      <c r="DA272" s="253"/>
      <c r="DB272" s="253"/>
      <c r="DC272" s="253"/>
      <c r="DD272" s="253"/>
      <c r="DE272" s="253"/>
      <c r="DF272" s="253"/>
      <c r="DG272" s="253"/>
      <c r="DH272" s="253"/>
      <c r="DI272" s="253"/>
      <c r="DJ272" s="253"/>
      <c r="DK272" s="253"/>
      <c r="DL272" s="253"/>
      <c r="DM272" s="253"/>
      <c r="DN272" s="253"/>
      <c r="DO272" s="253"/>
      <c r="DP272" s="253"/>
      <c r="DQ272" s="253"/>
      <c r="DR272" s="253"/>
      <c r="DS272" s="253"/>
      <c r="DT272" s="253"/>
      <c r="DU272" s="253"/>
      <c r="DV272" s="253"/>
      <c r="DW272" s="253"/>
      <c r="DX272" s="253"/>
      <c r="DY272" s="253"/>
      <c r="DZ272" s="253"/>
      <c r="EA272" s="253"/>
      <c r="EB272" s="253"/>
      <c r="EC272" s="253"/>
      <c r="ED272" s="253"/>
      <c r="EE272" s="253"/>
      <c r="EF272" s="253"/>
      <c r="EG272" s="253"/>
      <c r="EH272" s="253"/>
      <c r="EI272" s="253"/>
      <c r="EJ272" s="253"/>
      <c r="EK272" s="253"/>
      <c r="EL272" s="253"/>
      <c r="EM272" s="253"/>
      <c r="EN272" s="253"/>
      <c r="EO272" s="253"/>
      <c r="EP272" s="253"/>
      <c r="EQ272" s="253"/>
      <c r="ER272" s="253"/>
      <c r="ES272" s="253"/>
      <c r="ET272" s="253"/>
      <c r="EU272" s="253"/>
      <c r="EV272" s="253"/>
      <c r="EW272" s="253"/>
      <c r="EX272" s="253"/>
      <c r="EY272" s="253"/>
      <c r="EZ272" s="253"/>
      <c r="FA272" s="253"/>
      <c r="FB272" s="253"/>
      <c r="FC272" s="253"/>
      <c r="FD272" s="253"/>
      <c r="FE272" s="253"/>
      <c r="FF272" s="253"/>
      <c r="FG272" s="253"/>
      <c r="FH272" s="253"/>
      <c r="FI272" s="253"/>
      <c r="FJ272" s="253"/>
      <c r="FK272" s="253"/>
      <c r="FL272" s="253"/>
      <c r="FM272" s="253"/>
      <c r="FN272" s="253"/>
      <c r="FO272" s="253"/>
      <c r="FP272" s="253"/>
      <c r="FQ272" s="253"/>
      <c r="FR272" s="253"/>
      <c r="FS272" s="253"/>
      <c r="FT272" s="253"/>
      <c r="FU272" s="253"/>
      <c r="FV272" s="253"/>
      <c r="FW272" s="253"/>
      <c r="FX272" s="253"/>
      <c r="FY272" s="253"/>
      <c r="FZ272" s="253"/>
      <c r="GA272" s="253"/>
      <c r="GB272" s="253"/>
      <c r="GC272" s="253"/>
      <c r="GD272" s="253"/>
      <c r="GE272" s="253"/>
      <c r="GF272" s="253"/>
      <c r="GG272" s="253"/>
      <c r="GH272" s="253"/>
      <c r="GI272" s="253"/>
      <c r="GJ272" s="253"/>
      <c r="GK272" s="253"/>
      <c r="GL272" s="253"/>
      <c r="GM272" s="253"/>
      <c r="GN272" s="253"/>
      <c r="GO272" s="253"/>
      <c r="GP272" s="253"/>
      <c r="GQ272" s="253"/>
      <c r="GR272" s="253"/>
      <c r="GS272" s="253"/>
      <c r="GT272" s="253"/>
      <c r="GU272" s="253"/>
      <c r="GV272" s="253"/>
      <c r="GW272" s="253"/>
      <c r="GX272" s="253"/>
      <c r="GY272" s="253"/>
      <c r="GZ272" s="253"/>
      <c r="HA272" s="253"/>
      <c r="HB272" s="253"/>
      <c r="HC272" s="253"/>
      <c r="HD272" s="253"/>
      <c r="HE272" s="253"/>
      <c r="HF272" s="253"/>
      <c r="HG272" s="253"/>
      <c r="HH272" s="253"/>
      <c r="HI272" s="253"/>
      <c r="HJ272" s="253"/>
      <c r="HK272" s="253"/>
      <c r="HL272" s="253"/>
      <c r="HM272" s="253"/>
      <c r="HN272" s="253"/>
      <c r="HO272" s="253"/>
      <c r="HP272" s="253"/>
      <c r="HQ272" s="253"/>
      <c r="HR272" s="253"/>
      <c r="HS272" s="253"/>
      <c r="HT272" s="253"/>
      <c r="HU272" s="253"/>
      <c r="HV272" s="253"/>
      <c r="HW272" s="253"/>
      <c r="HX272" s="253"/>
      <c r="HY272" s="253"/>
      <c r="HZ272" s="253"/>
      <c r="IA272" s="253"/>
      <c r="IB272" s="253"/>
      <c r="IC272" s="253"/>
      <c r="ID272" s="253"/>
      <c r="IE272" s="253"/>
      <c r="IF272" s="253"/>
      <c r="IG272" s="253"/>
      <c r="IH272" s="253"/>
      <c r="II272" s="253"/>
      <c r="IJ272" s="253"/>
      <c r="IK272" s="253"/>
      <c r="IL272" s="253"/>
      <c r="IM272" s="253"/>
      <c r="IN272" s="253"/>
      <c r="IO272" s="253"/>
      <c r="IP272" s="253"/>
      <c r="IQ272" s="253"/>
      <c r="IR272" s="253"/>
      <c r="IS272" s="253"/>
      <c r="IT272" s="253"/>
      <c r="IU272" s="253"/>
      <c r="IV272" s="253"/>
      <c r="IW272" s="253"/>
      <c r="IX272" s="253"/>
      <c r="IY272" s="253"/>
      <c r="IZ272" s="253"/>
      <c r="JA272" s="253"/>
      <c r="JB272" s="253"/>
      <c r="JC272" s="253"/>
      <c r="JD272" s="253"/>
      <c r="JE272" s="253"/>
      <c r="JF272" s="253"/>
      <c r="JG272" s="253"/>
      <c r="JH272" s="253"/>
      <c r="JI272" s="253"/>
      <c r="JJ272" s="253"/>
      <c r="JK272" s="253"/>
      <c r="JL272" s="253"/>
      <c r="JM272" s="253"/>
      <c r="JN272" s="253"/>
      <c r="JO272" s="253"/>
      <c r="JP272" s="253"/>
      <c r="JQ272" s="253"/>
      <c r="JR272" s="253"/>
      <c r="JS272" s="253"/>
      <c r="JT272" s="253"/>
      <c r="JU272" s="253"/>
      <c r="JV272" s="253"/>
      <c r="JW272" s="253"/>
      <c r="JX272" s="253"/>
      <c r="JY272" s="253"/>
      <c r="JZ272" s="253"/>
      <c r="KA272" s="253"/>
      <c r="KB272" s="253"/>
      <c r="KC272" s="253"/>
      <c r="KD272" s="253"/>
      <c r="KE272" s="253"/>
      <c r="KF272" s="253"/>
      <c r="KG272" s="253"/>
      <c r="KH272" s="253"/>
      <c r="KI272" s="253"/>
      <c r="KJ272" s="253"/>
      <c r="KK272" s="253"/>
      <c r="KL272" s="253"/>
      <c r="KM272" s="253"/>
      <c r="KN272" s="253"/>
      <c r="KO272" s="253"/>
      <c r="KP272" s="253"/>
      <c r="KQ272" s="253"/>
      <c r="KR272" s="253"/>
      <c r="KS272" s="253"/>
      <c r="KT272" s="253"/>
      <c r="KU272" s="253"/>
      <c r="KV272" s="253"/>
      <c r="KW272" s="253"/>
      <c r="KX272" s="253"/>
      <c r="KY272" s="253"/>
      <c r="KZ272" s="253"/>
      <c r="LA272" s="253"/>
      <c r="LB272" s="253"/>
      <c r="LC272" s="253"/>
      <c r="LD272" s="253"/>
      <c r="LE272" s="253"/>
      <c r="LF272" s="1296"/>
      <c r="LG272" s="253"/>
      <c r="LH272" s="253"/>
      <c r="LI272" s="253"/>
      <c r="LJ272" s="253"/>
      <c r="LK272" s="1296"/>
      <c r="LL272" s="253"/>
      <c r="LM272" s="253"/>
      <c r="LN272" s="253"/>
      <c r="LO272" s="253"/>
      <c r="LP272" s="1296"/>
      <c r="LQ272" s="253"/>
      <c r="LR272" s="253"/>
      <c r="LS272" s="253"/>
      <c r="LT272" s="253"/>
      <c r="LU272" s="1296"/>
      <c r="LV272" s="1296"/>
      <c r="LW272" s="1296"/>
      <c r="LX272" s="1296"/>
      <c r="LY272" s="1296"/>
      <c r="LZ272" s="1296"/>
      <c r="MA272" s="1296"/>
      <c r="MB272" s="1296"/>
      <c r="MC272" s="1296"/>
      <c r="MD272" s="1296"/>
      <c r="ME272" s="1296"/>
      <c r="MF272" s="1296"/>
      <c r="MG272" s="1296"/>
      <c r="MH272" s="1296"/>
      <c r="MI272" s="1296"/>
      <c r="MJ272" s="1296"/>
      <c r="MK272" s="1296"/>
      <c r="ML272" s="1296"/>
      <c r="MM272" s="1296"/>
      <c r="MN272" s="1296"/>
      <c r="MO272" s="1296"/>
      <c r="MP272" s="1296"/>
      <c r="MQ272" s="253"/>
      <c r="MR272" s="253"/>
      <c r="MS272" s="253"/>
      <c r="MT272" s="253"/>
      <c r="MU272" s="253"/>
      <c r="MV272" s="253"/>
      <c r="MW272" s="1184"/>
      <c r="MX272" s="253"/>
      <c r="MY272" s="253"/>
      <c r="MZ272" s="253"/>
      <c r="NA272" s="253"/>
      <c r="NB272" s="253"/>
      <c r="NC272" s="253"/>
      <c r="ND272" s="253"/>
      <c r="NE272" s="253"/>
      <c r="NF272" s="253"/>
      <c r="NG272" s="253"/>
      <c r="NH272" s="253"/>
      <c r="NI272" s="253"/>
      <c r="NJ272" s="253"/>
      <c r="NK272" s="253"/>
      <c r="NL272" s="253"/>
      <c r="NM272" s="1184"/>
      <c r="NN272" s="1184"/>
      <c r="NO272" s="253"/>
      <c r="NP272" s="253"/>
      <c r="NQ272" s="253"/>
      <c r="NR272" s="253"/>
      <c r="NS272" s="253"/>
      <c r="NT272" s="253"/>
      <c r="NU272" s="253"/>
      <c r="NV272" s="253"/>
      <c r="NW272" s="253"/>
      <c r="NX272" s="253"/>
      <c r="NY272" s="253"/>
      <c r="NZ272" s="253"/>
      <c r="OA272" s="253"/>
      <c r="OB272" s="253"/>
      <c r="OC272" s="253"/>
      <c r="OD272" s="253"/>
      <c r="OE272" s="253"/>
      <c r="OF272" s="253"/>
      <c r="OG272" s="253"/>
      <c r="OH272" s="253"/>
      <c r="OI272" s="253"/>
      <c r="OJ272" s="253"/>
      <c r="OK272" s="253"/>
      <c r="OL272" s="253"/>
      <c r="OM272" s="253"/>
      <c r="ON272" s="253"/>
      <c r="OO272" s="253"/>
      <c r="OP272" s="253"/>
      <c r="OQ272" s="253"/>
      <c r="OR272" s="253"/>
      <c r="OS272" s="253"/>
      <c r="OT272" s="253"/>
      <c r="OU272" s="253"/>
      <c r="OV272" s="43"/>
      <c r="OW272" s="43"/>
      <c r="OX272" s="43"/>
      <c r="OY272" s="1796"/>
      <c r="OZ272" s="1799">
        <v>268</v>
      </c>
      <c r="PA272" s="43"/>
      <c r="PB272" s="43"/>
      <c r="PC272" s="43"/>
      <c r="PD272" s="43"/>
      <c r="PE272" s="43"/>
      <c r="PF272" s="43"/>
      <c r="PG272" s="43"/>
      <c r="PH272" s="43"/>
      <c r="PI272" s="43"/>
      <c r="PJ272" s="43"/>
      <c r="PK272" s="43"/>
      <c r="PL272" s="43"/>
      <c r="PM272" s="43"/>
      <c r="PN272" s="43"/>
      <c r="PO272" s="43"/>
      <c r="PP272" s="43"/>
      <c r="PQ272" s="43"/>
      <c r="PR272" s="43"/>
      <c r="PS272" s="43"/>
      <c r="PT272" s="43"/>
      <c r="PU272" s="43"/>
      <c r="PV272" s="43"/>
      <c r="PW272" s="43"/>
      <c r="PX272" s="43"/>
      <c r="PY272" s="43"/>
      <c r="PZ272" s="43"/>
      <c r="QA272" s="43"/>
      <c r="QB272" s="43"/>
      <c r="QC272" s="43"/>
      <c r="QD272" s="43"/>
      <c r="QE272" s="43"/>
      <c r="QF272" s="43"/>
      <c r="QG272" s="43"/>
      <c r="QH272" s="43"/>
      <c r="QI272" s="43"/>
      <c r="QJ272" s="43"/>
      <c r="QK272" s="43"/>
      <c r="QL272" s="43"/>
      <c r="QM272" s="43"/>
      <c r="QN272" s="43"/>
      <c r="QO272" s="43"/>
      <c r="QP272" s="43"/>
      <c r="QQ272" s="43"/>
      <c r="QR272" s="43"/>
      <c r="QS272" s="43"/>
      <c r="QT272" s="43"/>
      <c r="QU272" s="43"/>
      <c r="QV272" s="43"/>
      <c r="QW272" s="43"/>
      <c r="QX272" s="43"/>
      <c r="QY272" s="43"/>
      <c r="QZ272" s="43"/>
      <c r="RA272" s="43"/>
      <c r="RB272" s="43"/>
      <c r="RC272" s="43"/>
      <c r="RD272" s="43"/>
      <c r="RE272" s="43"/>
      <c r="RF272" s="43"/>
      <c r="RG272" s="43"/>
      <c r="RH272" s="43"/>
      <c r="RI272" s="43"/>
      <c r="RJ272" s="43"/>
      <c r="RK272" s="43"/>
      <c r="RL272" s="43"/>
      <c r="RM272" s="43"/>
      <c r="RN272" s="43"/>
      <c r="RO272" s="43"/>
      <c r="RP272" s="43"/>
      <c r="RQ272" s="43"/>
      <c r="RR272" s="43"/>
      <c r="RS272" s="43"/>
      <c r="RT272" s="43"/>
      <c r="RU272" s="43"/>
      <c r="RV272" s="43"/>
      <c r="RW272" s="43"/>
      <c r="RX272" s="43"/>
      <c r="RY272" s="43"/>
      <c r="RZ272" s="43"/>
      <c r="SA272" s="43"/>
      <c r="SB272" s="43"/>
      <c r="SC272" s="43"/>
      <c r="SD272" s="43"/>
      <c r="SE272" s="43"/>
      <c r="SF272" s="43"/>
      <c r="SG272" s="43"/>
      <c r="SH272" s="43"/>
      <c r="SI272" s="43"/>
      <c r="SJ272" s="43"/>
      <c r="SK272" s="43"/>
      <c r="SL272" s="43"/>
      <c r="SM272" s="43"/>
      <c r="SN272" s="43"/>
      <c r="SO272" s="43"/>
      <c r="SP272" s="43"/>
      <c r="SQ272" s="43"/>
      <c r="SR272" s="43"/>
      <c r="SS272" s="43"/>
      <c r="ST272" s="43"/>
      <c r="SU272" s="43"/>
      <c r="SV272" s="43"/>
      <c r="SW272" s="43"/>
      <c r="SX272" s="43"/>
      <c r="SY272" s="43"/>
      <c r="SZ272" s="43"/>
      <c r="TA272" s="43"/>
      <c r="TB272" s="43"/>
      <c r="TC272" s="43"/>
      <c r="TD272" s="43"/>
      <c r="TE272" s="43"/>
      <c r="TF272" s="43"/>
      <c r="TG272" s="43"/>
      <c r="TH272" s="43"/>
    </row>
    <row r="273" spans="1:528" s="41" customFormat="1" ht="15" customHeight="1">
      <c r="A273" s="6" t="s">
        <v>1354</v>
      </c>
      <c r="B273" s="3" t="s">
        <v>1355</v>
      </c>
      <c r="C273" s="5"/>
      <c r="D273" s="43"/>
      <c r="E273" s="43"/>
      <c r="H273" s="2373"/>
      <c r="R273" s="2369"/>
      <c r="S273" s="3730"/>
      <c r="T273" s="3731"/>
      <c r="U273" s="3731"/>
      <c r="V273" s="3731"/>
      <c r="W273" s="3732"/>
      <c r="X273" s="251"/>
      <c r="Y273" s="253"/>
      <c r="Z273" s="253"/>
      <c r="AA273" s="253"/>
      <c r="AB273" s="253"/>
      <c r="AC273" s="251"/>
      <c r="AD273" s="253"/>
      <c r="AE273" s="253"/>
      <c r="AF273" s="253"/>
      <c r="AG273" s="253"/>
      <c r="AH273" s="251"/>
      <c r="AI273" s="253"/>
      <c r="AJ273" s="253"/>
      <c r="AK273" s="253"/>
      <c r="AL273" s="253"/>
      <c r="AM273" s="251"/>
      <c r="AN273" s="253"/>
      <c r="AO273" s="253"/>
      <c r="AP273" s="253"/>
      <c r="AQ273" s="253"/>
      <c r="AR273" s="253"/>
      <c r="AS273" s="253"/>
      <c r="AT273" s="253"/>
      <c r="AU273" s="253"/>
      <c r="AV273" s="253"/>
      <c r="AW273" s="253"/>
      <c r="AX273" s="253"/>
      <c r="AY273" s="253"/>
      <c r="AZ273" s="253"/>
      <c r="BA273" s="253"/>
      <c r="BB273" s="253"/>
      <c r="BC273" s="253"/>
      <c r="BD273" s="253"/>
      <c r="BE273" s="253"/>
      <c r="BF273" s="253"/>
      <c r="BG273" s="253"/>
      <c r="BH273" s="253"/>
      <c r="BI273" s="253"/>
      <c r="BJ273" s="253"/>
      <c r="BK273" s="253"/>
      <c r="BL273" s="253"/>
      <c r="BM273" s="253"/>
      <c r="BN273" s="253"/>
      <c r="BO273" s="253"/>
      <c r="BP273" s="253"/>
      <c r="BQ273" s="253"/>
      <c r="BR273" s="253"/>
      <c r="BS273" s="253"/>
      <c r="BT273" s="253"/>
      <c r="BU273" s="253"/>
      <c r="BV273" s="253"/>
      <c r="BW273" s="253"/>
      <c r="BX273" s="253"/>
      <c r="BY273" s="253"/>
      <c r="BZ273" s="253"/>
      <c r="CA273" s="253"/>
      <c r="CB273" s="253"/>
      <c r="CC273" s="253"/>
      <c r="CD273" s="253"/>
      <c r="CE273" s="253"/>
      <c r="CF273" s="253"/>
      <c r="CG273" s="253"/>
      <c r="CH273" s="253"/>
      <c r="CI273" s="253"/>
      <c r="CJ273" s="253"/>
      <c r="CK273" s="253"/>
      <c r="CL273" s="253"/>
      <c r="CM273" s="253"/>
      <c r="CN273" s="253"/>
      <c r="CO273" s="253"/>
      <c r="CP273" s="253"/>
      <c r="CQ273" s="253"/>
      <c r="CR273" s="253"/>
      <c r="CS273" s="253"/>
      <c r="CT273" s="253"/>
      <c r="CU273" s="253"/>
      <c r="CV273" s="253"/>
      <c r="CW273" s="253"/>
      <c r="CX273" s="253"/>
      <c r="CY273" s="253"/>
      <c r="CZ273" s="253"/>
      <c r="DA273" s="253"/>
      <c r="DB273" s="253"/>
      <c r="DC273" s="253"/>
      <c r="DD273" s="253"/>
      <c r="DE273" s="253"/>
      <c r="DF273" s="253"/>
      <c r="DG273" s="253"/>
      <c r="DH273" s="253"/>
      <c r="DI273" s="253"/>
      <c r="DJ273" s="253"/>
      <c r="DK273" s="253"/>
      <c r="DL273" s="253"/>
      <c r="DM273" s="253"/>
      <c r="DN273" s="253"/>
      <c r="DO273" s="253"/>
      <c r="DP273" s="253"/>
      <c r="DQ273" s="253"/>
      <c r="DR273" s="253"/>
      <c r="DS273" s="253"/>
      <c r="DT273" s="253"/>
      <c r="DU273" s="253"/>
      <c r="DV273" s="253"/>
      <c r="DW273" s="253"/>
      <c r="DX273" s="253"/>
      <c r="DY273" s="253"/>
      <c r="DZ273" s="253"/>
      <c r="EA273" s="253"/>
      <c r="EB273" s="253"/>
      <c r="EC273" s="253"/>
      <c r="ED273" s="253"/>
      <c r="EE273" s="253"/>
      <c r="EF273" s="253"/>
      <c r="EG273" s="253"/>
      <c r="EH273" s="253"/>
      <c r="EI273" s="253"/>
      <c r="EJ273" s="253"/>
      <c r="EK273" s="253"/>
      <c r="EL273" s="253"/>
      <c r="EM273" s="253"/>
      <c r="EN273" s="253"/>
      <c r="EO273" s="253"/>
      <c r="EP273" s="253"/>
      <c r="EQ273" s="253"/>
      <c r="ER273" s="253"/>
      <c r="ES273" s="253"/>
      <c r="ET273" s="253"/>
      <c r="EU273" s="253"/>
      <c r="EV273" s="253"/>
      <c r="EW273" s="253"/>
      <c r="EX273" s="253"/>
      <c r="EY273" s="253"/>
      <c r="EZ273" s="253"/>
      <c r="FA273" s="253"/>
      <c r="FB273" s="253"/>
      <c r="FC273" s="253"/>
      <c r="FD273" s="253"/>
      <c r="FE273" s="253"/>
      <c r="FF273" s="253"/>
      <c r="FG273" s="253"/>
      <c r="FH273" s="253"/>
      <c r="FI273" s="253"/>
      <c r="FJ273" s="253"/>
      <c r="FK273" s="253"/>
      <c r="FL273" s="253"/>
      <c r="FM273" s="253"/>
      <c r="FN273" s="253"/>
      <c r="FO273" s="253"/>
      <c r="FP273" s="253"/>
      <c r="FQ273" s="253"/>
      <c r="FR273" s="253"/>
      <c r="FS273" s="253"/>
      <c r="FT273" s="253"/>
      <c r="FU273" s="253"/>
      <c r="FV273" s="253"/>
      <c r="FW273" s="253"/>
      <c r="FX273" s="253"/>
      <c r="FY273" s="253"/>
      <c r="FZ273" s="253"/>
      <c r="GA273" s="253"/>
      <c r="GB273" s="253"/>
      <c r="GC273" s="253"/>
      <c r="GD273" s="253"/>
      <c r="GE273" s="253"/>
      <c r="GF273" s="253"/>
      <c r="GG273" s="253"/>
      <c r="GH273" s="253"/>
      <c r="GI273" s="253"/>
      <c r="GJ273" s="253"/>
      <c r="GK273" s="253"/>
      <c r="GL273" s="253"/>
      <c r="GM273" s="253"/>
      <c r="GN273" s="253"/>
      <c r="GO273" s="253"/>
      <c r="GP273" s="253"/>
      <c r="GQ273" s="253"/>
      <c r="GR273" s="253"/>
      <c r="GS273" s="253"/>
      <c r="GT273" s="253"/>
      <c r="GU273" s="253"/>
      <c r="GV273" s="253"/>
      <c r="GW273" s="253"/>
      <c r="GX273" s="253"/>
      <c r="GY273" s="253"/>
      <c r="GZ273" s="253"/>
      <c r="HA273" s="253"/>
      <c r="HB273" s="253"/>
      <c r="HC273" s="253"/>
      <c r="HD273" s="253"/>
      <c r="HE273" s="253"/>
      <c r="HF273" s="253"/>
      <c r="HG273" s="253"/>
      <c r="HH273" s="253"/>
      <c r="HI273" s="253"/>
      <c r="HJ273" s="253"/>
      <c r="HK273" s="253"/>
      <c r="HL273" s="253"/>
      <c r="HM273" s="253"/>
      <c r="HN273" s="253"/>
      <c r="HO273" s="253"/>
      <c r="HP273" s="253"/>
      <c r="HQ273" s="253"/>
      <c r="HR273" s="253"/>
      <c r="HS273" s="253"/>
      <c r="HT273" s="253"/>
      <c r="HU273" s="253"/>
      <c r="HV273" s="253"/>
      <c r="HW273" s="253"/>
      <c r="HX273" s="253"/>
      <c r="HY273" s="253"/>
      <c r="HZ273" s="253"/>
      <c r="IA273" s="253"/>
      <c r="IB273" s="253"/>
      <c r="IC273" s="253"/>
      <c r="ID273" s="253"/>
      <c r="IE273" s="253"/>
      <c r="IF273" s="253"/>
      <c r="IG273" s="253"/>
      <c r="IH273" s="253"/>
      <c r="II273" s="253"/>
      <c r="IJ273" s="253"/>
      <c r="IK273" s="253"/>
      <c r="IL273" s="253"/>
      <c r="IM273" s="253"/>
      <c r="IN273" s="253"/>
      <c r="IO273" s="253"/>
      <c r="IP273" s="253"/>
      <c r="IQ273" s="253"/>
      <c r="IR273" s="253"/>
      <c r="IS273" s="253"/>
      <c r="IT273" s="253"/>
      <c r="IU273" s="253"/>
      <c r="IV273" s="253"/>
      <c r="IW273" s="253"/>
      <c r="IX273" s="253"/>
      <c r="IY273" s="253"/>
      <c r="IZ273" s="253"/>
      <c r="JA273" s="253"/>
      <c r="JB273" s="253"/>
      <c r="JC273" s="253"/>
      <c r="JD273" s="253"/>
      <c r="JE273" s="253"/>
      <c r="JF273" s="253"/>
      <c r="JG273" s="253"/>
      <c r="JH273" s="253"/>
      <c r="JI273" s="253"/>
      <c r="JJ273" s="253"/>
      <c r="JK273" s="253"/>
      <c r="JL273" s="253"/>
      <c r="JM273" s="253"/>
      <c r="JN273" s="253"/>
      <c r="JO273" s="253"/>
      <c r="JP273" s="253"/>
      <c r="JQ273" s="253"/>
      <c r="JR273" s="253"/>
      <c r="JS273" s="253"/>
      <c r="JT273" s="253"/>
      <c r="JU273" s="253"/>
      <c r="JV273" s="253"/>
      <c r="JW273" s="253"/>
      <c r="JX273" s="253"/>
      <c r="JY273" s="253"/>
      <c r="JZ273" s="253"/>
      <c r="KA273" s="253"/>
      <c r="KB273" s="253"/>
      <c r="KC273" s="253"/>
      <c r="KD273" s="253"/>
      <c r="KE273" s="253"/>
      <c r="KF273" s="253"/>
      <c r="KG273" s="253"/>
      <c r="KH273" s="253"/>
      <c r="KI273" s="253"/>
      <c r="KJ273" s="253"/>
      <c r="KK273" s="253"/>
      <c r="KL273" s="253"/>
      <c r="KM273" s="253"/>
      <c r="KN273" s="253"/>
      <c r="KO273" s="253"/>
      <c r="KP273" s="253"/>
      <c r="KQ273" s="253"/>
      <c r="KR273" s="253"/>
      <c r="KS273" s="253"/>
      <c r="KT273" s="253"/>
      <c r="KU273" s="253"/>
      <c r="KV273" s="253"/>
      <c r="KW273" s="253"/>
      <c r="KX273" s="253"/>
      <c r="KY273" s="253"/>
      <c r="KZ273" s="253"/>
      <c r="LA273" s="253"/>
      <c r="LB273" s="253"/>
      <c r="LC273" s="253"/>
      <c r="LD273" s="253"/>
      <c r="LE273" s="253"/>
      <c r="LF273" s="1296"/>
      <c r="LG273" s="253"/>
      <c r="LH273" s="253"/>
      <c r="LI273" s="253"/>
      <c r="LJ273" s="253"/>
      <c r="LK273" s="1296"/>
      <c r="LL273" s="253"/>
      <c r="LM273" s="253"/>
      <c r="LN273" s="253"/>
      <c r="LO273" s="253"/>
      <c r="LP273" s="1296"/>
      <c r="LQ273" s="253"/>
      <c r="LR273" s="253"/>
      <c r="LS273" s="253"/>
      <c r="LT273" s="253"/>
      <c r="LU273" s="1296"/>
      <c r="LV273" s="1296"/>
      <c r="LW273" s="1296"/>
      <c r="LX273" s="1296"/>
      <c r="LY273" s="1296"/>
      <c r="LZ273" s="1296"/>
      <c r="MA273" s="1296"/>
      <c r="MB273" s="1296"/>
      <c r="MC273" s="1296"/>
      <c r="MD273" s="1296"/>
      <c r="ME273" s="1296"/>
      <c r="MF273" s="1296"/>
      <c r="MG273" s="1296"/>
      <c r="MH273" s="1296"/>
      <c r="MI273" s="1296"/>
      <c r="MJ273" s="1296"/>
      <c r="MK273" s="1296"/>
      <c r="ML273" s="1296"/>
      <c r="MM273" s="1296"/>
      <c r="MN273" s="1296"/>
      <c r="MO273" s="1296"/>
      <c r="MP273" s="1296"/>
      <c r="MQ273" s="253"/>
      <c r="MR273" s="253"/>
      <c r="MS273" s="253"/>
      <c r="MT273" s="253"/>
      <c r="MU273" s="253"/>
      <c r="MV273" s="253"/>
      <c r="MW273" s="1184"/>
      <c r="MX273" s="253"/>
      <c r="MY273" s="253"/>
      <c r="MZ273" s="253"/>
      <c r="NA273" s="253"/>
      <c r="NB273" s="253"/>
      <c r="NC273" s="253"/>
      <c r="ND273" s="253"/>
      <c r="NE273" s="253"/>
      <c r="NF273" s="253"/>
      <c r="NG273" s="253"/>
      <c r="NH273" s="253"/>
      <c r="NI273" s="253"/>
      <c r="NJ273" s="253"/>
      <c r="NK273" s="253"/>
      <c r="NL273" s="253"/>
      <c r="NM273" s="1184"/>
      <c r="NN273" s="1184"/>
      <c r="NO273" s="253"/>
      <c r="NP273" s="253"/>
      <c r="NQ273" s="253"/>
      <c r="NR273" s="253"/>
      <c r="NS273" s="253"/>
      <c r="NT273" s="253"/>
      <c r="NU273" s="253"/>
      <c r="NV273" s="253"/>
      <c r="NW273" s="253"/>
      <c r="NX273" s="253"/>
      <c r="NY273" s="253"/>
      <c r="NZ273" s="253"/>
      <c r="OA273" s="253"/>
      <c r="OB273" s="253"/>
      <c r="OC273" s="253"/>
      <c r="OD273" s="253"/>
      <c r="OE273" s="253"/>
      <c r="OF273" s="253"/>
      <c r="OG273" s="253"/>
      <c r="OH273" s="253"/>
      <c r="OI273" s="253"/>
      <c r="OJ273" s="253"/>
      <c r="OK273" s="253"/>
      <c r="OL273" s="253"/>
      <c r="OM273" s="253"/>
      <c r="ON273" s="253"/>
      <c r="OO273" s="253"/>
      <c r="OP273" s="253"/>
      <c r="OQ273" s="253"/>
      <c r="OR273" s="253"/>
      <c r="OS273" s="253"/>
      <c r="OT273" s="253"/>
      <c r="OU273" s="253"/>
      <c r="OV273" s="43"/>
      <c r="OW273" s="43"/>
      <c r="OX273" s="43"/>
      <c r="OY273" s="1796"/>
      <c r="OZ273" s="1798">
        <v>269</v>
      </c>
      <c r="PA273" s="43"/>
      <c r="PB273" s="43"/>
      <c r="PC273" s="43"/>
      <c r="PD273" s="43"/>
      <c r="PE273" s="43"/>
      <c r="PF273" s="43"/>
      <c r="PG273" s="43"/>
      <c r="PH273" s="43"/>
      <c r="PI273" s="43"/>
      <c r="PJ273" s="43"/>
      <c r="PK273" s="43"/>
      <c r="PL273" s="43"/>
      <c r="PM273" s="43"/>
      <c r="PN273" s="43"/>
      <c r="PO273" s="43"/>
      <c r="PP273" s="43"/>
      <c r="PQ273" s="43"/>
      <c r="PR273" s="43"/>
      <c r="PS273" s="43"/>
      <c r="PT273" s="43"/>
      <c r="PU273" s="43"/>
      <c r="PV273" s="43"/>
      <c r="PW273" s="43"/>
      <c r="PX273" s="43"/>
      <c r="PY273" s="43"/>
      <c r="PZ273" s="43"/>
      <c r="QA273" s="43"/>
      <c r="QB273" s="43"/>
      <c r="QC273" s="43"/>
      <c r="QD273" s="43"/>
      <c r="QE273" s="43"/>
      <c r="QF273" s="43"/>
      <c r="QG273" s="43"/>
      <c r="QH273" s="43"/>
      <c r="QI273" s="43"/>
      <c r="QJ273" s="43"/>
      <c r="QK273" s="43"/>
      <c r="QL273" s="43"/>
      <c r="QM273" s="43"/>
      <c r="QN273" s="43"/>
      <c r="QO273" s="43"/>
      <c r="QP273" s="43"/>
      <c r="QQ273" s="43"/>
      <c r="QR273" s="43"/>
      <c r="QS273" s="43"/>
      <c r="QT273" s="43"/>
      <c r="QU273" s="43"/>
      <c r="QV273" s="43"/>
      <c r="QW273" s="43"/>
      <c r="QX273" s="43"/>
      <c r="QY273" s="43"/>
      <c r="QZ273" s="43"/>
      <c r="RA273" s="43"/>
      <c r="RB273" s="43"/>
      <c r="RC273" s="43"/>
      <c r="RD273" s="43"/>
      <c r="RE273" s="43"/>
      <c r="RF273" s="43"/>
      <c r="RG273" s="43"/>
      <c r="RH273" s="43"/>
      <c r="RI273" s="43"/>
      <c r="RJ273" s="43"/>
      <c r="RK273" s="43"/>
      <c r="RL273" s="43"/>
      <c r="RM273" s="43"/>
      <c r="RN273" s="43"/>
      <c r="RO273" s="43"/>
      <c r="RP273" s="43"/>
      <c r="RQ273" s="43"/>
      <c r="RR273" s="43"/>
      <c r="RS273" s="43"/>
      <c r="RT273" s="43"/>
      <c r="RU273" s="43"/>
      <c r="RV273" s="43"/>
      <c r="RW273" s="43"/>
      <c r="RX273" s="43"/>
      <c r="RY273" s="43"/>
      <c r="RZ273" s="43"/>
      <c r="SA273" s="43"/>
      <c r="SB273" s="43"/>
      <c r="SC273" s="43"/>
      <c r="SD273" s="43"/>
      <c r="SE273" s="43"/>
      <c r="SF273" s="43"/>
      <c r="SG273" s="43"/>
      <c r="SH273" s="43"/>
      <c r="SI273" s="43"/>
      <c r="SJ273" s="43"/>
      <c r="SK273" s="43"/>
      <c r="SL273" s="43"/>
      <c r="SM273" s="43"/>
      <c r="SN273" s="43"/>
      <c r="SO273" s="43"/>
      <c r="SP273" s="43"/>
      <c r="SQ273" s="43"/>
      <c r="SR273" s="43"/>
      <c r="SS273" s="43"/>
      <c r="ST273" s="43"/>
      <c r="SU273" s="43"/>
      <c r="SV273" s="43"/>
      <c r="SW273" s="43"/>
      <c r="SX273" s="43"/>
      <c r="SY273" s="43"/>
      <c r="SZ273" s="43"/>
      <c r="TA273" s="43"/>
      <c r="TB273" s="43"/>
      <c r="TC273" s="43"/>
      <c r="TD273" s="43"/>
      <c r="TE273" s="43"/>
      <c r="TF273" s="43"/>
      <c r="TG273" s="43"/>
      <c r="TH273" s="43"/>
    </row>
    <row r="274" spans="1:528" s="41" customFormat="1" ht="12" customHeight="1" thickBot="1">
      <c r="A274" s="43"/>
      <c r="B274" s="3"/>
      <c r="C274" s="5"/>
      <c r="D274" s="43"/>
      <c r="E274" s="43"/>
      <c r="F274" s="2373"/>
      <c r="G274" s="2373"/>
      <c r="H274" s="43"/>
      <c r="I274" s="43"/>
      <c r="J274" s="43"/>
      <c r="K274" s="2373"/>
      <c r="L274" s="43"/>
      <c r="M274" s="43"/>
      <c r="N274" s="43"/>
      <c r="O274" s="3"/>
      <c r="P274" s="43"/>
      <c r="Q274" s="2369"/>
      <c r="R274" s="2369"/>
      <c r="X274" s="251"/>
      <c r="Y274" s="253"/>
      <c r="Z274" s="253"/>
      <c r="AA274" s="253"/>
      <c r="AB274" s="253"/>
      <c r="AC274" s="251"/>
      <c r="AD274" s="253"/>
      <c r="AE274" s="253"/>
      <c r="AF274" s="253"/>
      <c r="AG274" s="253"/>
      <c r="AH274" s="251"/>
      <c r="AI274" s="253"/>
      <c r="AJ274" s="253"/>
      <c r="AK274" s="253"/>
      <c r="AL274" s="253"/>
      <c r="AM274" s="251"/>
      <c r="AN274" s="253"/>
      <c r="AO274" s="253"/>
      <c r="AP274" s="253"/>
      <c r="AQ274" s="253"/>
      <c r="AR274" s="253"/>
      <c r="AS274" s="253"/>
      <c r="AT274" s="253"/>
      <c r="AU274" s="253"/>
      <c r="AV274" s="253"/>
      <c r="AW274" s="253"/>
      <c r="AX274" s="253"/>
      <c r="AY274" s="253"/>
      <c r="AZ274" s="253"/>
      <c r="BA274" s="253"/>
      <c r="BB274" s="253"/>
      <c r="BC274" s="253"/>
      <c r="BD274" s="253"/>
      <c r="BE274" s="253"/>
      <c r="BF274" s="253"/>
      <c r="BG274" s="253"/>
      <c r="BH274" s="253"/>
      <c r="BI274" s="253"/>
      <c r="BJ274" s="253"/>
      <c r="BK274" s="253"/>
      <c r="BL274" s="253"/>
      <c r="BM274" s="253"/>
      <c r="BN274" s="253"/>
      <c r="BO274" s="253"/>
      <c r="BP274" s="253"/>
      <c r="BQ274" s="253"/>
      <c r="BR274" s="253"/>
      <c r="BS274" s="253"/>
      <c r="BT274" s="253"/>
      <c r="BU274" s="253"/>
      <c r="BV274" s="253"/>
      <c r="BW274" s="253"/>
      <c r="BX274" s="253"/>
      <c r="BY274" s="253"/>
      <c r="BZ274" s="253"/>
      <c r="CA274" s="253"/>
      <c r="CB274" s="253"/>
      <c r="CC274" s="253"/>
      <c r="CD274" s="253"/>
      <c r="CE274" s="253"/>
      <c r="CF274" s="253"/>
      <c r="CG274" s="253"/>
      <c r="CH274" s="253"/>
      <c r="CI274" s="253"/>
      <c r="CJ274" s="253"/>
      <c r="CK274" s="253"/>
      <c r="CL274" s="253"/>
      <c r="CM274" s="253"/>
      <c r="CN274" s="253"/>
      <c r="CO274" s="253"/>
      <c r="CP274" s="253"/>
      <c r="CQ274" s="253"/>
      <c r="CR274" s="253"/>
      <c r="CS274" s="253"/>
      <c r="CT274" s="253"/>
      <c r="CU274" s="253"/>
      <c r="CV274" s="253"/>
      <c r="CW274" s="253"/>
      <c r="CX274" s="253"/>
      <c r="CY274" s="253"/>
      <c r="CZ274" s="253"/>
      <c r="DA274" s="253"/>
      <c r="DB274" s="253"/>
      <c r="DC274" s="253"/>
      <c r="DD274" s="253"/>
      <c r="DE274" s="253"/>
      <c r="DF274" s="253"/>
      <c r="DG274" s="253"/>
      <c r="DH274" s="253"/>
      <c r="DI274" s="253"/>
      <c r="DJ274" s="253"/>
      <c r="DK274" s="253"/>
      <c r="DL274" s="253"/>
      <c r="DM274" s="253"/>
      <c r="DN274" s="253"/>
      <c r="DO274" s="253"/>
      <c r="DP274" s="253"/>
      <c r="DQ274" s="253"/>
      <c r="DR274" s="253"/>
      <c r="DS274" s="253"/>
      <c r="DT274" s="253"/>
      <c r="DU274" s="253"/>
      <c r="DV274" s="253"/>
      <c r="DW274" s="253"/>
      <c r="DX274" s="253"/>
      <c r="DY274" s="253"/>
      <c r="DZ274" s="253"/>
      <c r="EA274" s="253"/>
      <c r="EB274" s="253"/>
      <c r="EC274" s="253"/>
      <c r="ED274" s="253"/>
      <c r="EE274" s="253"/>
      <c r="EF274" s="253"/>
      <c r="EG274" s="253"/>
      <c r="EH274" s="253"/>
      <c r="EI274" s="253"/>
      <c r="EJ274" s="253"/>
      <c r="EK274" s="253"/>
      <c r="EL274" s="253"/>
      <c r="EM274" s="253"/>
      <c r="EN274" s="253"/>
      <c r="EO274" s="253"/>
      <c r="EP274" s="253"/>
      <c r="EQ274" s="253"/>
      <c r="ER274" s="253"/>
      <c r="ES274" s="253"/>
      <c r="ET274" s="253"/>
      <c r="EU274" s="253"/>
      <c r="EV274" s="253"/>
      <c r="EW274" s="253"/>
      <c r="EX274" s="253"/>
      <c r="EY274" s="253"/>
      <c r="EZ274" s="253"/>
      <c r="FA274" s="253"/>
      <c r="FB274" s="253"/>
      <c r="FC274" s="253"/>
      <c r="FD274" s="253"/>
      <c r="FE274" s="253"/>
      <c r="FF274" s="253"/>
      <c r="FG274" s="253"/>
      <c r="FH274" s="253"/>
      <c r="FI274" s="253"/>
      <c r="FJ274" s="253"/>
      <c r="FK274" s="253"/>
      <c r="FL274" s="253"/>
      <c r="FM274" s="253"/>
      <c r="FN274" s="253"/>
      <c r="FO274" s="253"/>
      <c r="FP274" s="253"/>
      <c r="FQ274" s="253"/>
      <c r="FR274" s="253"/>
      <c r="FS274" s="253"/>
      <c r="FT274" s="253"/>
      <c r="FU274" s="253"/>
      <c r="FV274" s="253"/>
      <c r="FW274" s="253"/>
      <c r="FX274" s="253"/>
      <c r="FY274" s="253"/>
      <c r="FZ274" s="253"/>
      <c r="GA274" s="253"/>
      <c r="GB274" s="253"/>
      <c r="GC274" s="253"/>
      <c r="GD274" s="253"/>
      <c r="GE274" s="253"/>
      <c r="GF274" s="253"/>
      <c r="GG274" s="253"/>
      <c r="GH274" s="253"/>
      <c r="GI274" s="253"/>
      <c r="GJ274" s="253"/>
      <c r="GK274" s="253"/>
      <c r="GL274" s="253"/>
      <c r="GM274" s="253"/>
      <c r="GN274" s="253"/>
      <c r="GO274" s="253"/>
      <c r="GP274" s="253"/>
      <c r="GQ274" s="253"/>
      <c r="GR274" s="253"/>
      <c r="GS274" s="253"/>
      <c r="GT274" s="253"/>
      <c r="GU274" s="253"/>
      <c r="GV274" s="253"/>
      <c r="GW274" s="253"/>
      <c r="GX274" s="253"/>
      <c r="GY274" s="253"/>
      <c r="GZ274" s="253"/>
      <c r="HA274" s="253"/>
      <c r="HB274" s="253"/>
      <c r="HC274" s="253"/>
      <c r="HD274" s="253"/>
      <c r="HE274" s="253"/>
      <c r="HF274" s="253"/>
      <c r="HG274" s="253"/>
      <c r="HH274" s="253"/>
      <c r="HI274" s="253"/>
      <c r="HJ274" s="253"/>
      <c r="HK274" s="253"/>
      <c r="HL274" s="253"/>
      <c r="HM274" s="253"/>
      <c r="HN274" s="253"/>
      <c r="HO274" s="253"/>
      <c r="HP274" s="253"/>
      <c r="HQ274" s="253"/>
      <c r="HR274" s="253"/>
      <c r="HS274" s="253"/>
      <c r="HT274" s="253"/>
      <c r="HU274" s="253"/>
      <c r="HV274" s="253"/>
      <c r="HW274" s="253"/>
      <c r="HX274" s="253"/>
      <c r="HY274" s="253"/>
      <c r="HZ274" s="253"/>
      <c r="IA274" s="253"/>
      <c r="IB274" s="253"/>
      <c r="IC274" s="253"/>
      <c r="ID274" s="253"/>
      <c r="IE274" s="253"/>
      <c r="IF274" s="253"/>
      <c r="IG274" s="253"/>
      <c r="IH274" s="253"/>
      <c r="II274" s="253"/>
      <c r="IJ274" s="253"/>
      <c r="IK274" s="253"/>
      <c r="IL274" s="253"/>
      <c r="IM274" s="253"/>
      <c r="IN274" s="253"/>
      <c r="IO274" s="253"/>
      <c r="IP274" s="253"/>
      <c r="IQ274" s="253"/>
      <c r="IR274" s="253"/>
      <c r="IS274" s="253"/>
      <c r="IT274" s="253"/>
      <c r="IU274" s="253"/>
      <c r="IV274" s="253"/>
      <c r="IW274" s="253"/>
      <c r="IX274" s="253"/>
      <c r="IY274" s="253"/>
      <c r="IZ274" s="253"/>
      <c r="JA274" s="253"/>
      <c r="JB274" s="253"/>
      <c r="JC274" s="253"/>
      <c r="JD274" s="253"/>
      <c r="JE274" s="253"/>
      <c r="JF274" s="253"/>
      <c r="JG274" s="253"/>
      <c r="JH274" s="253"/>
      <c r="JI274" s="253"/>
      <c r="JJ274" s="253"/>
      <c r="JK274" s="253"/>
      <c r="JL274" s="253"/>
      <c r="JM274" s="253"/>
      <c r="JN274" s="253"/>
      <c r="JO274" s="253"/>
      <c r="JP274" s="253"/>
      <c r="JQ274" s="253"/>
      <c r="JR274" s="253"/>
      <c r="JS274" s="253"/>
      <c r="JT274" s="253"/>
      <c r="JU274" s="253"/>
      <c r="JV274" s="253"/>
      <c r="JW274" s="253"/>
      <c r="JX274" s="253"/>
      <c r="JY274" s="253"/>
      <c r="JZ274" s="253"/>
      <c r="KA274" s="253"/>
      <c r="KB274" s="253"/>
      <c r="KC274" s="253"/>
      <c r="KD274" s="253"/>
      <c r="KE274" s="253"/>
      <c r="KF274" s="253"/>
      <c r="KG274" s="253"/>
      <c r="KH274" s="253"/>
      <c r="KI274" s="253"/>
      <c r="KJ274" s="253"/>
      <c r="KK274" s="253"/>
      <c r="KL274" s="253"/>
      <c r="KM274" s="253"/>
      <c r="KN274" s="253"/>
      <c r="KO274" s="253"/>
      <c r="KP274" s="253"/>
      <c r="KQ274" s="253"/>
      <c r="KR274" s="253"/>
      <c r="KS274" s="253"/>
      <c r="KT274" s="253"/>
      <c r="KU274" s="253"/>
      <c r="KV274" s="253"/>
      <c r="KW274" s="253"/>
      <c r="KX274" s="253"/>
      <c r="KY274" s="253"/>
      <c r="KZ274" s="253"/>
      <c r="LA274" s="253"/>
      <c r="LB274" s="253"/>
      <c r="LC274" s="253"/>
      <c r="LD274" s="253"/>
      <c r="LE274" s="253"/>
      <c r="LF274" s="1296"/>
      <c r="LG274" s="253"/>
      <c r="LH274" s="253"/>
      <c r="LI274" s="253"/>
      <c r="LJ274" s="253"/>
      <c r="LK274" s="1296"/>
      <c r="LL274" s="253"/>
      <c r="LM274" s="253"/>
      <c r="LN274" s="253"/>
      <c r="LO274" s="253"/>
      <c r="LP274" s="1296"/>
      <c r="LQ274" s="253"/>
      <c r="LR274" s="253"/>
      <c r="LS274" s="253"/>
      <c r="LT274" s="253"/>
      <c r="LU274" s="1296"/>
      <c r="LV274" s="1296"/>
      <c r="LW274" s="1296"/>
      <c r="LX274" s="1296"/>
      <c r="LY274" s="1296"/>
      <c r="LZ274" s="1296"/>
      <c r="MA274" s="1296"/>
      <c r="MB274" s="1296"/>
      <c r="MC274" s="1296"/>
      <c r="MD274" s="1296"/>
      <c r="ME274" s="1296"/>
      <c r="MF274" s="1296"/>
      <c r="MG274" s="1296"/>
      <c r="MH274" s="1296"/>
      <c r="MI274" s="1296"/>
      <c r="MJ274" s="1296"/>
      <c r="MK274" s="1296"/>
      <c r="ML274" s="1296"/>
      <c r="MM274" s="1296"/>
      <c r="MN274" s="1296"/>
      <c r="MO274" s="1296"/>
      <c r="MP274" s="1296"/>
      <c r="MQ274" s="253"/>
      <c r="MR274" s="253"/>
      <c r="MS274" s="253"/>
      <c r="MT274" s="253"/>
      <c r="MU274" s="253"/>
      <c r="MV274" s="253"/>
      <c r="MW274" s="1184"/>
      <c r="MX274" s="253"/>
      <c r="MY274" s="253"/>
      <c r="MZ274" s="253"/>
      <c r="NA274" s="253"/>
      <c r="NB274" s="253"/>
      <c r="NC274" s="253"/>
      <c r="ND274" s="253"/>
      <c r="NE274" s="253"/>
      <c r="NF274" s="253"/>
      <c r="NG274" s="253"/>
      <c r="NH274" s="253"/>
      <c r="NI274" s="253"/>
      <c r="NJ274" s="253"/>
      <c r="NK274" s="253"/>
      <c r="NL274" s="253"/>
      <c r="NM274" s="1184"/>
      <c r="NN274" s="1184"/>
      <c r="NO274" s="253"/>
      <c r="NP274" s="253"/>
      <c r="NQ274" s="253"/>
      <c r="NR274" s="253"/>
      <c r="NS274" s="253"/>
      <c r="NT274" s="253"/>
      <c r="NU274" s="253"/>
      <c r="NV274" s="253"/>
      <c r="NW274" s="253"/>
      <c r="NX274" s="253"/>
      <c r="NY274" s="253"/>
      <c r="NZ274" s="253"/>
      <c r="OA274" s="253"/>
      <c r="OB274" s="253"/>
      <c r="OC274" s="253"/>
      <c r="OD274" s="253"/>
      <c r="OE274" s="253"/>
      <c r="OF274" s="253"/>
      <c r="OG274" s="253"/>
      <c r="OH274" s="253"/>
      <c r="OI274" s="253"/>
      <c r="OJ274" s="253"/>
      <c r="OK274" s="253"/>
      <c r="OL274" s="253"/>
      <c r="OM274" s="253"/>
      <c r="ON274" s="253"/>
      <c r="OO274" s="253"/>
      <c r="OP274" s="253"/>
      <c r="OQ274" s="253"/>
      <c r="OR274" s="253"/>
      <c r="OS274" s="253"/>
      <c r="OT274" s="253"/>
      <c r="OU274" s="253"/>
      <c r="OV274" s="43"/>
      <c r="OW274" s="43"/>
      <c r="OX274" s="43"/>
      <c r="OY274" s="1796"/>
      <c r="OZ274" s="1799">
        <v>270</v>
      </c>
      <c r="PA274" s="43"/>
      <c r="PB274" s="43"/>
      <c r="PC274" s="43"/>
      <c r="PD274" s="43"/>
      <c r="PE274" s="43"/>
      <c r="PF274" s="43"/>
      <c r="PG274" s="43"/>
      <c r="PH274" s="43"/>
      <c r="PI274" s="43"/>
      <c r="PJ274" s="43"/>
      <c r="PK274" s="43"/>
      <c r="PL274" s="43"/>
      <c r="PM274" s="43"/>
      <c r="PN274" s="43"/>
      <c r="PO274" s="43"/>
      <c r="PP274" s="43"/>
      <c r="PQ274" s="43"/>
      <c r="PR274" s="43"/>
      <c r="PS274" s="43"/>
      <c r="PT274" s="43"/>
      <c r="PU274" s="43"/>
      <c r="PV274" s="43"/>
      <c r="PW274" s="43"/>
      <c r="PX274" s="43"/>
      <c r="PY274" s="43"/>
      <c r="PZ274" s="43"/>
      <c r="QA274" s="43"/>
      <c r="QB274" s="43"/>
      <c r="QC274" s="43"/>
      <c r="QD274" s="43"/>
      <c r="QE274" s="43"/>
      <c r="QF274" s="43"/>
      <c r="QG274" s="43"/>
      <c r="QH274" s="43"/>
      <c r="QI274" s="43"/>
      <c r="QJ274" s="43"/>
      <c r="QK274" s="43"/>
      <c r="QL274" s="43"/>
      <c r="QM274" s="43"/>
      <c r="QN274" s="43"/>
      <c r="QO274" s="43"/>
      <c r="QP274" s="43"/>
      <c r="QQ274" s="43"/>
      <c r="QR274" s="43"/>
      <c r="QS274" s="43"/>
      <c r="QT274" s="43"/>
      <c r="QU274" s="43"/>
      <c r="QV274" s="43"/>
      <c r="QW274" s="43"/>
      <c r="QX274" s="43"/>
      <c r="QY274" s="43"/>
      <c r="QZ274" s="43"/>
      <c r="RA274" s="43"/>
      <c r="RB274" s="43"/>
      <c r="RC274" s="43"/>
      <c r="RD274" s="43"/>
      <c r="RE274" s="43"/>
      <c r="RF274" s="43"/>
      <c r="RG274" s="43"/>
      <c r="RH274" s="43"/>
      <c r="RI274" s="43"/>
      <c r="RJ274" s="43"/>
      <c r="RK274" s="43"/>
      <c r="RL274" s="43"/>
      <c r="RM274" s="43"/>
      <c r="RN274" s="43"/>
      <c r="RO274" s="43"/>
      <c r="RP274" s="43"/>
      <c r="RQ274" s="43"/>
      <c r="RR274" s="43"/>
      <c r="RS274" s="43"/>
      <c r="RT274" s="43"/>
      <c r="RU274" s="43"/>
      <c r="RV274" s="43"/>
      <c r="RW274" s="43"/>
      <c r="RX274" s="43"/>
      <c r="RY274" s="43"/>
      <c r="RZ274" s="43"/>
      <c r="SA274" s="43"/>
      <c r="SB274" s="43"/>
      <c r="SC274" s="43"/>
      <c r="SD274" s="43"/>
      <c r="SE274" s="43"/>
      <c r="SF274" s="43"/>
      <c r="SG274" s="43"/>
      <c r="SH274" s="43"/>
      <c r="SI274" s="43"/>
      <c r="SJ274" s="43"/>
      <c r="SK274" s="43"/>
      <c r="SL274" s="43"/>
      <c r="SM274" s="43"/>
      <c r="SN274" s="43"/>
      <c r="SO274" s="43"/>
      <c r="SP274" s="43"/>
      <c r="SQ274" s="43"/>
      <c r="SR274" s="43"/>
      <c r="SS274" s="43"/>
      <c r="ST274" s="43"/>
      <c r="SU274" s="43"/>
      <c r="SV274" s="43"/>
      <c r="SW274" s="43"/>
      <c r="SX274" s="43"/>
      <c r="SY274" s="43"/>
      <c r="SZ274" s="43"/>
      <c r="TA274" s="43"/>
      <c r="TB274" s="43"/>
      <c r="TC274" s="43"/>
      <c r="TD274" s="43"/>
      <c r="TE274" s="43"/>
      <c r="TF274" s="43"/>
      <c r="TG274" s="43"/>
      <c r="TH274" s="43"/>
    </row>
    <row r="275" spans="1:528" s="41" customFormat="1" ht="16.5" customHeight="1" thickBot="1">
      <c r="A275" s="43"/>
      <c r="B275" s="845" t="s">
        <v>1356</v>
      </c>
      <c r="C275" s="5"/>
      <c r="D275" s="43"/>
      <c r="E275" s="43"/>
      <c r="F275" s="3728"/>
      <c r="G275" s="3729"/>
      <c r="H275" s="43"/>
      <c r="I275" s="878" t="s">
        <v>1357</v>
      </c>
      <c r="J275" s="43"/>
      <c r="K275" s="2373"/>
      <c r="L275" s="3728"/>
      <c r="M275" s="3729"/>
      <c r="N275" s="43"/>
      <c r="O275" s="3" t="s">
        <v>1358</v>
      </c>
      <c r="P275" s="43"/>
      <c r="Q275" s="2378">
        <f>F275*L275</f>
        <v>0</v>
      </c>
      <c r="R275" s="2369"/>
      <c r="X275" s="251"/>
      <c r="Y275" s="253"/>
      <c r="Z275" s="253"/>
      <c r="AA275" s="253"/>
      <c r="AB275" s="253"/>
      <c r="AC275" s="251"/>
      <c r="AD275" s="253"/>
      <c r="AE275" s="253"/>
      <c r="AF275" s="253"/>
      <c r="AG275" s="253"/>
      <c r="AH275" s="251"/>
      <c r="AI275" s="253"/>
      <c r="AJ275" s="253"/>
      <c r="AK275" s="253"/>
      <c r="AL275" s="253"/>
      <c r="AM275" s="251"/>
      <c r="AN275" s="253"/>
      <c r="AO275" s="253"/>
      <c r="AP275" s="253"/>
      <c r="AQ275" s="253"/>
      <c r="AR275" s="253"/>
      <c r="AS275" s="253"/>
      <c r="AT275" s="253"/>
      <c r="AU275" s="253"/>
      <c r="AV275" s="253"/>
      <c r="AW275" s="253"/>
      <c r="AX275" s="253"/>
      <c r="AY275" s="253"/>
      <c r="AZ275" s="253"/>
      <c r="BA275" s="253"/>
      <c r="BB275" s="253"/>
      <c r="BC275" s="253"/>
      <c r="BD275" s="253"/>
      <c r="BE275" s="253"/>
      <c r="BF275" s="253"/>
      <c r="BG275" s="253"/>
      <c r="BH275" s="253"/>
      <c r="BI275" s="253"/>
      <c r="BJ275" s="253"/>
      <c r="BK275" s="253"/>
      <c r="BL275" s="253"/>
      <c r="BM275" s="253"/>
      <c r="BN275" s="253"/>
      <c r="BO275" s="253"/>
      <c r="BP275" s="253"/>
      <c r="BQ275" s="253"/>
      <c r="BR275" s="253"/>
      <c r="BS275" s="253"/>
      <c r="BT275" s="253"/>
      <c r="BU275" s="253"/>
      <c r="BV275" s="253"/>
      <c r="BW275" s="253"/>
      <c r="BX275" s="253"/>
      <c r="BY275" s="253"/>
      <c r="BZ275" s="253"/>
      <c r="CA275" s="253"/>
      <c r="CB275" s="253"/>
      <c r="CC275" s="253"/>
      <c r="CD275" s="253"/>
      <c r="CE275" s="253"/>
      <c r="CF275" s="253"/>
      <c r="CG275" s="253"/>
      <c r="CH275" s="253"/>
      <c r="CI275" s="253"/>
      <c r="CJ275" s="253"/>
      <c r="CK275" s="253"/>
      <c r="CL275" s="253"/>
      <c r="CM275" s="253"/>
      <c r="CN275" s="253"/>
      <c r="CO275" s="253"/>
      <c r="CP275" s="253"/>
      <c r="CQ275" s="253"/>
      <c r="CR275" s="253"/>
      <c r="CS275" s="253"/>
      <c r="CT275" s="253"/>
      <c r="CU275" s="253"/>
      <c r="CV275" s="253"/>
      <c r="CW275" s="253"/>
      <c r="CX275" s="253"/>
      <c r="CY275" s="253"/>
      <c r="CZ275" s="253"/>
      <c r="DA275" s="253"/>
      <c r="DB275" s="253"/>
      <c r="DC275" s="253"/>
      <c r="DD275" s="253"/>
      <c r="DE275" s="253"/>
      <c r="DF275" s="253"/>
      <c r="DG275" s="253"/>
      <c r="DH275" s="253"/>
      <c r="DI275" s="253"/>
      <c r="DJ275" s="253"/>
      <c r="DK275" s="253"/>
      <c r="DL275" s="253"/>
      <c r="DM275" s="253"/>
      <c r="DN275" s="253"/>
      <c r="DO275" s="253"/>
      <c r="DP275" s="253"/>
      <c r="DQ275" s="253"/>
      <c r="DR275" s="253"/>
      <c r="DS275" s="253"/>
      <c r="DT275" s="253"/>
      <c r="DU275" s="253"/>
      <c r="DV275" s="253"/>
      <c r="DW275" s="253"/>
      <c r="DX275" s="253"/>
      <c r="DY275" s="253"/>
      <c r="DZ275" s="253"/>
      <c r="EA275" s="253"/>
      <c r="EB275" s="253"/>
      <c r="EC275" s="253"/>
      <c r="ED275" s="253"/>
      <c r="EE275" s="253"/>
      <c r="EF275" s="253"/>
      <c r="EG275" s="253"/>
      <c r="EH275" s="253"/>
      <c r="EI275" s="253"/>
      <c r="EJ275" s="253"/>
      <c r="EK275" s="253"/>
      <c r="EL275" s="253"/>
      <c r="EM275" s="253"/>
      <c r="EN275" s="253"/>
      <c r="EO275" s="253"/>
      <c r="EP275" s="253"/>
      <c r="EQ275" s="253"/>
      <c r="ER275" s="253"/>
      <c r="ES275" s="253"/>
      <c r="ET275" s="253"/>
      <c r="EU275" s="253"/>
      <c r="EV275" s="253"/>
      <c r="EW275" s="253"/>
      <c r="EX275" s="253"/>
      <c r="EY275" s="253"/>
      <c r="EZ275" s="253"/>
      <c r="FA275" s="253"/>
      <c r="FB275" s="253"/>
      <c r="FC275" s="253"/>
      <c r="FD275" s="253"/>
      <c r="FE275" s="253"/>
      <c r="FF275" s="253"/>
      <c r="FG275" s="253"/>
      <c r="FH275" s="253"/>
      <c r="FI275" s="253"/>
      <c r="FJ275" s="253"/>
      <c r="FK275" s="253"/>
      <c r="FL275" s="253"/>
      <c r="FM275" s="253"/>
      <c r="FN275" s="253"/>
      <c r="FO275" s="253"/>
      <c r="FP275" s="253"/>
      <c r="FQ275" s="253"/>
      <c r="FR275" s="253"/>
      <c r="FS275" s="253"/>
      <c r="FT275" s="253"/>
      <c r="FU275" s="253"/>
      <c r="FV275" s="253"/>
      <c r="FW275" s="253"/>
      <c r="FX275" s="253"/>
      <c r="FY275" s="253"/>
      <c r="FZ275" s="253"/>
      <c r="GA275" s="253"/>
      <c r="GB275" s="253"/>
      <c r="GC275" s="253"/>
      <c r="GD275" s="253"/>
      <c r="GE275" s="253"/>
      <c r="GF275" s="253"/>
      <c r="GG275" s="253"/>
      <c r="GH275" s="253"/>
      <c r="GI275" s="253"/>
      <c r="GJ275" s="253"/>
      <c r="GK275" s="253"/>
      <c r="GL275" s="253"/>
      <c r="GM275" s="253"/>
      <c r="GN275" s="253"/>
      <c r="GO275" s="253"/>
      <c r="GP275" s="253"/>
      <c r="GQ275" s="253"/>
      <c r="GR275" s="253"/>
      <c r="GS275" s="253"/>
      <c r="GT275" s="253"/>
      <c r="GU275" s="253"/>
      <c r="GV275" s="253"/>
      <c r="GW275" s="253"/>
      <c r="GX275" s="253"/>
      <c r="GY275" s="253"/>
      <c r="GZ275" s="253"/>
      <c r="HA275" s="253"/>
      <c r="HB275" s="253"/>
      <c r="HC275" s="253"/>
      <c r="HD275" s="253"/>
      <c r="HE275" s="253"/>
      <c r="HF275" s="253"/>
      <c r="HG275" s="253"/>
      <c r="HH275" s="253"/>
      <c r="HI275" s="253"/>
      <c r="HJ275" s="253"/>
      <c r="HK275" s="253"/>
      <c r="HL275" s="253"/>
      <c r="HM275" s="253"/>
      <c r="HN275" s="253"/>
      <c r="HO275" s="253"/>
      <c r="HP275" s="253"/>
      <c r="HQ275" s="253"/>
      <c r="HR275" s="253"/>
      <c r="HS275" s="253"/>
      <c r="HT275" s="253"/>
      <c r="HU275" s="253"/>
      <c r="HV275" s="253"/>
      <c r="HW275" s="253"/>
      <c r="HX275" s="253"/>
      <c r="HY275" s="253"/>
      <c r="HZ275" s="253"/>
      <c r="IA275" s="253"/>
      <c r="IB275" s="253"/>
      <c r="IC275" s="253"/>
      <c r="ID275" s="253"/>
      <c r="IE275" s="253"/>
      <c r="IF275" s="253"/>
      <c r="IG275" s="253"/>
      <c r="IH275" s="253"/>
      <c r="II275" s="253"/>
      <c r="IJ275" s="253"/>
      <c r="IK275" s="253"/>
      <c r="IL275" s="253"/>
      <c r="IM275" s="253"/>
      <c r="IN275" s="253"/>
      <c r="IO275" s="253"/>
      <c r="IP275" s="253"/>
      <c r="IQ275" s="253"/>
      <c r="IR275" s="253"/>
      <c r="IS275" s="253"/>
      <c r="IT275" s="253"/>
      <c r="IU275" s="253"/>
      <c r="IV275" s="253"/>
      <c r="IW275" s="253"/>
      <c r="IX275" s="253"/>
      <c r="IY275" s="253"/>
      <c r="IZ275" s="253"/>
      <c r="JA275" s="253"/>
      <c r="JB275" s="253"/>
      <c r="JC275" s="253"/>
      <c r="JD275" s="253"/>
      <c r="JE275" s="253"/>
      <c r="JF275" s="253"/>
      <c r="JG275" s="253"/>
      <c r="JH275" s="253"/>
      <c r="JI275" s="253"/>
      <c r="JJ275" s="253"/>
      <c r="JK275" s="253"/>
      <c r="JL275" s="253"/>
      <c r="JM275" s="253"/>
      <c r="JN275" s="253"/>
      <c r="JO275" s="253"/>
      <c r="JP275" s="253"/>
      <c r="JQ275" s="253"/>
      <c r="JR275" s="253"/>
      <c r="JS275" s="253"/>
      <c r="JT275" s="253"/>
      <c r="JU275" s="253"/>
      <c r="JV275" s="253"/>
      <c r="JW275" s="253"/>
      <c r="JX275" s="253"/>
      <c r="JY275" s="253"/>
      <c r="JZ275" s="253"/>
      <c r="KA275" s="253"/>
      <c r="KB275" s="253"/>
      <c r="KC275" s="253"/>
      <c r="KD275" s="253"/>
      <c r="KE275" s="253"/>
      <c r="KF275" s="253"/>
      <c r="KG275" s="253"/>
      <c r="KH275" s="253"/>
      <c r="KI275" s="253"/>
      <c r="KJ275" s="253"/>
      <c r="KK275" s="253"/>
      <c r="KL275" s="253"/>
      <c r="KM275" s="253"/>
      <c r="KN275" s="253"/>
      <c r="KO275" s="253"/>
      <c r="KP275" s="253"/>
      <c r="KQ275" s="253"/>
      <c r="KR275" s="253"/>
      <c r="KS275" s="253"/>
      <c r="KT275" s="253"/>
      <c r="KU275" s="253"/>
      <c r="KV275" s="253"/>
      <c r="KW275" s="253"/>
      <c r="KX275" s="253"/>
      <c r="KY275" s="253"/>
      <c r="KZ275" s="253"/>
      <c r="LA275" s="253"/>
      <c r="LB275" s="253"/>
      <c r="LC275" s="253"/>
      <c r="LD275" s="253"/>
      <c r="LE275" s="253"/>
      <c r="LF275" s="1296"/>
      <c r="LG275" s="253"/>
      <c r="LH275" s="253"/>
      <c r="LI275" s="253"/>
      <c r="LJ275" s="253"/>
      <c r="LK275" s="1296"/>
      <c r="LL275" s="253"/>
      <c r="LM275" s="253"/>
      <c r="LN275" s="253"/>
      <c r="LO275" s="253"/>
      <c r="LP275" s="1296"/>
      <c r="LQ275" s="253"/>
      <c r="LR275" s="253"/>
      <c r="LS275" s="253"/>
      <c r="LT275" s="253"/>
      <c r="LU275" s="1296"/>
      <c r="LV275" s="1296"/>
      <c r="LW275" s="1296"/>
      <c r="LX275" s="1296"/>
      <c r="LY275" s="1296"/>
      <c r="LZ275" s="1296"/>
      <c r="MA275" s="1296"/>
      <c r="MB275" s="1296"/>
      <c r="MC275" s="1296"/>
      <c r="MD275" s="1296"/>
      <c r="ME275" s="1296"/>
      <c r="MF275" s="1296"/>
      <c r="MG275" s="1296"/>
      <c r="MH275" s="1296"/>
      <c r="MI275" s="1296"/>
      <c r="MJ275" s="1296"/>
      <c r="MK275" s="1296"/>
      <c r="ML275" s="1296"/>
      <c r="MM275" s="1296"/>
      <c r="MN275" s="1296"/>
      <c r="MO275" s="1296"/>
      <c r="MP275" s="1296"/>
      <c r="MQ275" s="253"/>
      <c r="MR275" s="253"/>
      <c r="MS275" s="253"/>
      <c r="MT275" s="253"/>
      <c r="MU275" s="253"/>
      <c r="MV275" s="253"/>
      <c r="MW275" s="1184"/>
      <c r="MX275" s="253"/>
      <c r="MY275" s="253"/>
      <c r="MZ275" s="253"/>
      <c r="NA275" s="253"/>
      <c r="NB275" s="253"/>
      <c r="NC275" s="253"/>
      <c r="ND275" s="253"/>
      <c r="NE275" s="253"/>
      <c r="NF275" s="253"/>
      <c r="NG275" s="253"/>
      <c r="NH275" s="253"/>
      <c r="NI275" s="253"/>
      <c r="NJ275" s="253"/>
      <c r="NK275" s="253"/>
      <c r="NL275" s="253"/>
      <c r="NM275" s="1184"/>
      <c r="NN275" s="1184"/>
      <c r="NO275" s="253"/>
      <c r="NP275" s="253"/>
      <c r="NQ275" s="253"/>
      <c r="NR275" s="253"/>
      <c r="NS275" s="253"/>
      <c r="NT275" s="253"/>
      <c r="NU275" s="253"/>
      <c r="NV275" s="253"/>
      <c r="NW275" s="253"/>
      <c r="NX275" s="253"/>
      <c r="NY275" s="253"/>
      <c r="NZ275" s="253"/>
      <c r="OA275" s="253"/>
      <c r="OB275" s="253"/>
      <c r="OC275" s="253"/>
      <c r="OD275" s="253"/>
      <c r="OE275" s="253"/>
      <c r="OF275" s="253"/>
      <c r="OG275" s="253"/>
      <c r="OH275" s="253"/>
      <c r="OI275" s="253"/>
      <c r="OJ275" s="253"/>
      <c r="OK275" s="253"/>
      <c r="OL275" s="253"/>
      <c r="OM275" s="253"/>
      <c r="ON275" s="253"/>
      <c r="OO275" s="253"/>
      <c r="OP275" s="253"/>
      <c r="OQ275" s="253"/>
      <c r="OR275" s="253"/>
      <c r="OS275" s="253"/>
      <c r="OT275" s="253"/>
      <c r="OU275" s="253"/>
      <c r="OV275" s="43"/>
      <c r="OW275" s="43"/>
      <c r="OX275" s="43"/>
      <c r="OY275" s="1796"/>
      <c r="OZ275" s="1799">
        <v>271</v>
      </c>
      <c r="PA275" s="43"/>
      <c r="PB275" s="43"/>
      <c r="PC275" s="43"/>
      <c r="PD275" s="43"/>
      <c r="PE275" s="43"/>
      <c r="PF275" s="43"/>
      <c r="PG275" s="43"/>
      <c r="PH275" s="43"/>
      <c r="PI275" s="43"/>
      <c r="PJ275" s="43"/>
      <c r="PK275" s="43"/>
      <c r="PL275" s="43"/>
      <c r="PM275" s="43"/>
      <c r="PN275" s="43"/>
      <c r="PO275" s="43"/>
      <c r="PP275" s="43"/>
      <c r="PQ275" s="43"/>
      <c r="PR275" s="43"/>
      <c r="PS275" s="43"/>
      <c r="PT275" s="43"/>
      <c r="PU275" s="43"/>
      <c r="PV275" s="43"/>
      <c r="PW275" s="43"/>
      <c r="PX275" s="43"/>
      <c r="PY275" s="43"/>
      <c r="PZ275" s="43"/>
      <c r="QA275" s="43"/>
      <c r="QB275" s="43"/>
      <c r="QC275" s="43"/>
      <c r="QD275" s="43"/>
      <c r="QE275" s="43"/>
      <c r="QF275" s="43"/>
      <c r="QG275" s="43"/>
      <c r="QH275" s="43"/>
      <c r="QI275" s="43"/>
      <c r="QJ275" s="43"/>
      <c r="QK275" s="43"/>
      <c r="QL275" s="43"/>
      <c r="QM275" s="43"/>
      <c r="QN275" s="43"/>
      <c r="QO275" s="43"/>
      <c r="QP275" s="43"/>
      <c r="QQ275" s="43"/>
      <c r="QR275" s="43"/>
      <c r="QS275" s="43"/>
      <c r="QT275" s="43"/>
      <c r="QU275" s="43"/>
      <c r="QV275" s="43"/>
      <c r="QW275" s="43"/>
      <c r="QX275" s="43"/>
      <c r="QY275" s="43"/>
      <c r="QZ275" s="43"/>
      <c r="RA275" s="43"/>
      <c r="RB275" s="43"/>
      <c r="RC275" s="43"/>
      <c r="RD275" s="43"/>
      <c r="RE275" s="43"/>
      <c r="RF275" s="43"/>
      <c r="RG275" s="43"/>
      <c r="RH275" s="43"/>
      <c r="RI275" s="43"/>
      <c r="RJ275" s="43"/>
      <c r="RK275" s="43"/>
      <c r="RL275" s="43"/>
      <c r="RM275" s="43"/>
      <c r="RN275" s="43"/>
      <c r="RO275" s="43"/>
      <c r="RP275" s="43"/>
      <c r="RQ275" s="43"/>
      <c r="RR275" s="43"/>
      <c r="RS275" s="43"/>
      <c r="RT275" s="43"/>
      <c r="RU275" s="43"/>
      <c r="RV275" s="43"/>
      <c r="RW275" s="43"/>
      <c r="RX275" s="43"/>
      <c r="RY275" s="43"/>
      <c r="RZ275" s="43"/>
      <c r="SA275" s="43"/>
      <c r="SB275" s="43"/>
      <c r="SC275" s="43"/>
      <c r="SD275" s="43"/>
      <c r="SE275" s="43"/>
      <c r="SF275" s="43"/>
      <c r="SG275" s="43"/>
      <c r="SH275" s="43"/>
      <c r="SI275" s="43"/>
      <c r="SJ275" s="43"/>
      <c r="SK275" s="43"/>
      <c r="SL275" s="43"/>
      <c r="SM275" s="43"/>
      <c r="SN275" s="43"/>
      <c r="SO275" s="43"/>
      <c r="SP275" s="43"/>
      <c r="SQ275" s="43"/>
      <c r="SR275" s="43"/>
      <c r="SS275" s="43"/>
      <c r="ST275" s="43"/>
      <c r="SU275" s="43"/>
      <c r="SV275" s="43"/>
      <c r="SW275" s="43"/>
      <c r="SX275" s="43"/>
      <c r="SY275" s="43"/>
      <c r="SZ275" s="43"/>
      <c r="TA275" s="43"/>
      <c r="TB275" s="43"/>
      <c r="TC275" s="43"/>
      <c r="TD275" s="43"/>
      <c r="TE275" s="43"/>
      <c r="TF275" s="43"/>
      <c r="TG275" s="43"/>
      <c r="TH275" s="43"/>
    </row>
    <row r="276" spans="1:528" s="41" customFormat="1" ht="12" customHeight="1">
      <c r="A276" s="43"/>
      <c r="B276" s="3"/>
      <c r="C276" s="5"/>
      <c r="D276" s="43"/>
      <c r="E276" s="43"/>
      <c r="F276" s="2373"/>
      <c r="G276" s="2373"/>
      <c r="H276" s="43"/>
      <c r="I276" s="43"/>
      <c r="J276" s="43"/>
      <c r="K276" s="2373"/>
      <c r="L276" s="43"/>
      <c r="M276" s="43"/>
      <c r="N276" s="43"/>
      <c r="O276" s="3"/>
      <c r="P276" s="43"/>
      <c r="Q276" s="2369"/>
      <c r="R276" s="2369"/>
      <c r="X276" s="251"/>
      <c r="Y276" s="253"/>
      <c r="Z276" s="253"/>
      <c r="AA276" s="253"/>
      <c r="AB276" s="253"/>
      <c r="AC276" s="251"/>
      <c r="AD276" s="253"/>
      <c r="AE276" s="253"/>
      <c r="AF276" s="253"/>
      <c r="AG276" s="253"/>
      <c r="AH276" s="251"/>
      <c r="AI276" s="253"/>
      <c r="AJ276" s="253"/>
      <c r="AK276" s="253"/>
      <c r="AL276" s="253"/>
      <c r="AM276" s="251"/>
      <c r="AN276" s="253"/>
      <c r="AO276" s="253"/>
      <c r="AP276" s="253"/>
      <c r="AQ276" s="253"/>
      <c r="AR276" s="253"/>
      <c r="AS276" s="253"/>
      <c r="AT276" s="253"/>
      <c r="AU276" s="253"/>
      <c r="AV276" s="253"/>
      <c r="AW276" s="253"/>
      <c r="AX276" s="253"/>
      <c r="AY276" s="253"/>
      <c r="AZ276" s="253"/>
      <c r="BA276" s="253"/>
      <c r="BB276" s="253"/>
      <c r="BC276" s="253"/>
      <c r="BD276" s="253"/>
      <c r="BE276" s="253"/>
      <c r="BF276" s="253"/>
      <c r="BG276" s="253"/>
      <c r="BH276" s="253"/>
      <c r="BI276" s="253"/>
      <c r="BJ276" s="253"/>
      <c r="BK276" s="253"/>
      <c r="BL276" s="253"/>
      <c r="BM276" s="253"/>
      <c r="BN276" s="253"/>
      <c r="BO276" s="253"/>
      <c r="BP276" s="253"/>
      <c r="BQ276" s="253"/>
      <c r="BR276" s="253"/>
      <c r="BS276" s="253"/>
      <c r="BT276" s="253"/>
      <c r="BU276" s="253"/>
      <c r="BV276" s="253"/>
      <c r="BW276" s="253"/>
      <c r="BX276" s="253"/>
      <c r="BY276" s="253"/>
      <c r="BZ276" s="253"/>
      <c r="CA276" s="253"/>
      <c r="CB276" s="253"/>
      <c r="CC276" s="253"/>
      <c r="CD276" s="253"/>
      <c r="CE276" s="253"/>
      <c r="CF276" s="253"/>
      <c r="CG276" s="253"/>
      <c r="CH276" s="253"/>
      <c r="CI276" s="253"/>
      <c r="CJ276" s="253"/>
      <c r="CK276" s="253"/>
      <c r="CL276" s="253"/>
      <c r="CM276" s="253"/>
      <c r="CN276" s="253"/>
      <c r="CO276" s="253"/>
      <c r="CP276" s="253"/>
      <c r="CQ276" s="253"/>
      <c r="CR276" s="253"/>
      <c r="CS276" s="253"/>
      <c r="CT276" s="253"/>
      <c r="CU276" s="253"/>
      <c r="CV276" s="253"/>
      <c r="CW276" s="253"/>
      <c r="CX276" s="253"/>
      <c r="CY276" s="253"/>
      <c r="CZ276" s="253"/>
      <c r="DA276" s="253"/>
      <c r="DB276" s="253"/>
      <c r="DC276" s="253"/>
      <c r="DD276" s="253"/>
      <c r="DE276" s="253"/>
      <c r="DF276" s="253"/>
      <c r="DG276" s="253"/>
      <c r="DH276" s="253"/>
      <c r="DI276" s="253"/>
      <c r="DJ276" s="253"/>
      <c r="DK276" s="253"/>
      <c r="DL276" s="253"/>
      <c r="DM276" s="253"/>
      <c r="DN276" s="253"/>
      <c r="DO276" s="253"/>
      <c r="DP276" s="253"/>
      <c r="DQ276" s="253"/>
      <c r="DR276" s="253"/>
      <c r="DS276" s="253"/>
      <c r="DT276" s="253"/>
      <c r="DU276" s="253"/>
      <c r="DV276" s="253"/>
      <c r="DW276" s="253"/>
      <c r="DX276" s="253"/>
      <c r="DY276" s="253"/>
      <c r="DZ276" s="253"/>
      <c r="EA276" s="253"/>
      <c r="EB276" s="253"/>
      <c r="EC276" s="253"/>
      <c r="ED276" s="253"/>
      <c r="EE276" s="253"/>
      <c r="EF276" s="253"/>
      <c r="EG276" s="253"/>
      <c r="EH276" s="253"/>
      <c r="EI276" s="253"/>
      <c r="EJ276" s="253"/>
      <c r="EK276" s="253"/>
      <c r="EL276" s="253"/>
      <c r="EM276" s="253"/>
      <c r="EN276" s="253"/>
      <c r="EO276" s="253"/>
      <c r="EP276" s="253"/>
      <c r="EQ276" s="253"/>
      <c r="ER276" s="253"/>
      <c r="ES276" s="253"/>
      <c r="ET276" s="253"/>
      <c r="EU276" s="253"/>
      <c r="EV276" s="253"/>
      <c r="EW276" s="253"/>
      <c r="EX276" s="253"/>
      <c r="EY276" s="253"/>
      <c r="EZ276" s="253"/>
      <c r="FA276" s="253"/>
      <c r="FB276" s="253"/>
      <c r="FC276" s="253"/>
      <c r="FD276" s="253"/>
      <c r="FE276" s="253"/>
      <c r="FF276" s="253"/>
      <c r="FG276" s="253"/>
      <c r="FH276" s="253"/>
      <c r="FI276" s="253"/>
      <c r="FJ276" s="253"/>
      <c r="FK276" s="253"/>
      <c r="FL276" s="253"/>
      <c r="FM276" s="253"/>
      <c r="FN276" s="253"/>
      <c r="FO276" s="253"/>
      <c r="FP276" s="253"/>
      <c r="FQ276" s="253"/>
      <c r="FR276" s="253"/>
      <c r="FS276" s="253"/>
      <c r="FT276" s="253"/>
      <c r="FU276" s="253"/>
      <c r="FV276" s="253"/>
      <c r="FW276" s="253"/>
      <c r="FX276" s="253"/>
      <c r="FY276" s="253"/>
      <c r="FZ276" s="253"/>
      <c r="GA276" s="253"/>
      <c r="GB276" s="253"/>
      <c r="GC276" s="253"/>
      <c r="GD276" s="253"/>
      <c r="GE276" s="253"/>
      <c r="GF276" s="253"/>
      <c r="GG276" s="253"/>
      <c r="GH276" s="253"/>
      <c r="GI276" s="253"/>
      <c r="GJ276" s="253"/>
      <c r="GK276" s="253"/>
      <c r="GL276" s="253"/>
      <c r="GM276" s="253"/>
      <c r="GN276" s="253"/>
      <c r="GO276" s="253"/>
      <c r="GP276" s="253"/>
      <c r="GQ276" s="253"/>
      <c r="GR276" s="253"/>
      <c r="GS276" s="253"/>
      <c r="GT276" s="253"/>
      <c r="GU276" s="253"/>
      <c r="GV276" s="253"/>
      <c r="GW276" s="253"/>
      <c r="GX276" s="253"/>
      <c r="GY276" s="253"/>
      <c r="GZ276" s="253"/>
      <c r="HA276" s="253"/>
      <c r="HB276" s="253"/>
      <c r="HC276" s="253"/>
      <c r="HD276" s="253"/>
      <c r="HE276" s="253"/>
      <c r="HF276" s="253"/>
      <c r="HG276" s="253"/>
      <c r="HH276" s="253"/>
      <c r="HI276" s="253"/>
      <c r="HJ276" s="253"/>
      <c r="HK276" s="253"/>
      <c r="HL276" s="253"/>
      <c r="HM276" s="253"/>
      <c r="HN276" s="253"/>
      <c r="HO276" s="253"/>
      <c r="HP276" s="253"/>
      <c r="HQ276" s="253"/>
      <c r="HR276" s="253"/>
      <c r="HS276" s="253"/>
      <c r="HT276" s="253"/>
      <c r="HU276" s="253"/>
      <c r="HV276" s="253"/>
      <c r="HW276" s="253"/>
      <c r="HX276" s="253"/>
      <c r="HY276" s="253"/>
      <c r="HZ276" s="253"/>
      <c r="IA276" s="253"/>
      <c r="IB276" s="253"/>
      <c r="IC276" s="253"/>
      <c r="ID276" s="253"/>
      <c r="IE276" s="253"/>
      <c r="IF276" s="253"/>
      <c r="IG276" s="253"/>
      <c r="IH276" s="253"/>
      <c r="II276" s="253"/>
      <c r="IJ276" s="253"/>
      <c r="IK276" s="253"/>
      <c r="IL276" s="253"/>
      <c r="IM276" s="253"/>
      <c r="IN276" s="253"/>
      <c r="IO276" s="253"/>
      <c r="IP276" s="253"/>
      <c r="IQ276" s="253"/>
      <c r="IR276" s="253"/>
      <c r="IS276" s="253"/>
      <c r="IT276" s="253"/>
      <c r="IU276" s="253"/>
      <c r="IV276" s="253"/>
      <c r="IW276" s="253"/>
      <c r="IX276" s="253"/>
      <c r="IY276" s="253"/>
      <c r="IZ276" s="253"/>
      <c r="JA276" s="253"/>
      <c r="JB276" s="253"/>
      <c r="JC276" s="253"/>
      <c r="JD276" s="253"/>
      <c r="JE276" s="253"/>
      <c r="JF276" s="253"/>
      <c r="JG276" s="253"/>
      <c r="JH276" s="253"/>
      <c r="JI276" s="253"/>
      <c r="JJ276" s="253"/>
      <c r="JK276" s="253"/>
      <c r="JL276" s="253"/>
      <c r="JM276" s="253"/>
      <c r="JN276" s="253"/>
      <c r="JO276" s="253"/>
      <c r="JP276" s="253"/>
      <c r="JQ276" s="253"/>
      <c r="JR276" s="253"/>
      <c r="JS276" s="253"/>
      <c r="JT276" s="253"/>
      <c r="JU276" s="253"/>
      <c r="JV276" s="253"/>
      <c r="JW276" s="253"/>
      <c r="JX276" s="253"/>
      <c r="JY276" s="253"/>
      <c r="JZ276" s="253"/>
      <c r="KA276" s="253"/>
      <c r="KB276" s="253"/>
      <c r="KC276" s="253"/>
      <c r="KD276" s="253"/>
      <c r="KE276" s="253"/>
      <c r="KF276" s="253"/>
      <c r="KG276" s="253"/>
      <c r="KH276" s="253"/>
      <c r="KI276" s="253"/>
      <c r="KJ276" s="253"/>
      <c r="KK276" s="253"/>
      <c r="KL276" s="253"/>
      <c r="KM276" s="253"/>
      <c r="KN276" s="253"/>
      <c r="KO276" s="253"/>
      <c r="KP276" s="253"/>
      <c r="KQ276" s="253"/>
      <c r="KR276" s="253"/>
      <c r="KS276" s="253"/>
      <c r="KT276" s="253"/>
      <c r="KU276" s="253"/>
      <c r="KV276" s="253"/>
      <c r="KW276" s="253"/>
      <c r="KX276" s="253"/>
      <c r="KY276" s="253"/>
      <c r="KZ276" s="253"/>
      <c r="LA276" s="253"/>
      <c r="LB276" s="253"/>
      <c r="LC276" s="253"/>
      <c r="LD276" s="253"/>
      <c r="LE276" s="253"/>
      <c r="LF276" s="1296"/>
      <c r="LG276" s="253"/>
      <c r="LH276" s="253"/>
      <c r="LI276" s="253"/>
      <c r="LJ276" s="253"/>
      <c r="LK276" s="1296"/>
      <c r="LL276" s="253"/>
      <c r="LM276" s="253"/>
      <c r="LN276" s="253"/>
      <c r="LO276" s="253"/>
      <c r="LP276" s="1296"/>
      <c r="LQ276" s="253"/>
      <c r="LR276" s="253"/>
      <c r="LS276" s="253"/>
      <c r="LT276" s="253"/>
      <c r="LU276" s="1296"/>
      <c r="LV276" s="1296"/>
      <c r="LW276" s="1296"/>
      <c r="LX276" s="1296"/>
      <c r="LY276" s="1296"/>
      <c r="LZ276" s="1296"/>
      <c r="MA276" s="1296"/>
      <c r="MB276" s="1296"/>
      <c r="MC276" s="1296"/>
      <c r="MD276" s="1296"/>
      <c r="ME276" s="1296"/>
      <c r="MF276" s="1296"/>
      <c r="MG276" s="1296"/>
      <c r="MH276" s="1296"/>
      <c r="MI276" s="1296"/>
      <c r="MJ276" s="1296"/>
      <c r="MK276" s="1296"/>
      <c r="ML276" s="1296"/>
      <c r="MM276" s="1296"/>
      <c r="MN276" s="1296"/>
      <c r="MO276" s="1296"/>
      <c r="MP276" s="1296"/>
      <c r="MQ276" s="253"/>
      <c r="MR276" s="253"/>
      <c r="MS276" s="253"/>
      <c r="MT276" s="253"/>
      <c r="MU276" s="253"/>
      <c r="MV276" s="253"/>
      <c r="MW276" s="1184"/>
      <c r="MX276" s="253"/>
      <c r="MY276" s="253"/>
      <c r="MZ276" s="253"/>
      <c r="NA276" s="253"/>
      <c r="NB276" s="253"/>
      <c r="NC276" s="253"/>
      <c r="ND276" s="253"/>
      <c r="NE276" s="253"/>
      <c r="NF276" s="253"/>
      <c r="NG276" s="253"/>
      <c r="NH276" s="253"/>
      <c r="NI276" s="253"/>
      <c r="NJ276" s="253"/>
      <c r="NK276" s="253"/>
      <c r="NL276" s="253"/>
      <c r="NM276" s="1184"/>
      <c r="NN276" s="1184"/>
      <c r="NO276" s="253"/>
      <c r="NP276" s="253"/>
      <c r="NQ276" s="253"/>
      <c r="NR276" s="253"/>
      <c r="NS276" s="253"/>
      <c r="NT276" s="253"/>
      <c r="NU276" s="253"/>
      <c r="NV276" s="253"/>
      <c r="NW276" s="253"/>
      <c r="NX276" s="253"/>
      <c r="NY276" s="253"/>
      <c r="NZ276" s="253"/>
      <c r="OA276" s="253"/>
      <c r="OB276" s="253"/>
      <c r="OC276" s="253"/>
      <c r="OD276" s="253"/>
      <c r="OE276" s="253"/>
      <c r="OF276" s="253"/>
      <c r="OG276" s="253"/>
      <c r="OH276" s="253"/>
      <c r="OI276" s="253"/>
      <c r="OJ276" s="253"/>
      <c r="OK276" s="253"/>
      <c r="OL276" s="253"/>
      <c r="OM276" s="253"/>
      <c r="ON276" s="253"/>
      <c r="OO276" s="253"/>
      <c r="OP276" s="253"/>
      <c r="OQ276" s="253"/>
      <c r="OR276" s="253"/>
      <c r="OS276" s="253"/>
      <c r="OT276" s="253"/>
      <c r="OU276" s="253"/>
      <c r="OV276" s="43"/>
      <c r="OW276" s="43"/>
      <c r="OX276" s="43"/>
      <c r="OY276" s="1796"/>
      <c r="OZ276" s="1799">
        <v>272</v>
      </c>
      <c r="PA276" s="43"/>
      <c r="PB276" s="43"/>
      <c r="PC276" s="43"/>
      <c r="PD276" s="43"/>
      <c r="PE276" s="43"/>
      <c r="PF276" s="43"/>
      <c r="PG276" s="43"/>
      <c r="PH276" s="43"/>
      <c r="PI276" s="43"/>
      <c r="PJ276" s="43"/>
      <c r="PK276" s="43"/>
      <c r="PL276" s="43"/>
      <c r="PM276" s="43"/>
      <c r="PN276" s="43"/>
      <c r="PO276" s="43"/>
      <c r="PP276" s="43"/>
      <c r="PQ276" s="43"/>
      <c r="PR276" s="43"/>
      <c r="PS276" s="43"/>
      <c r="PT276" s="43"/>
      <c r="PU276" s="43"/>
      <c r="PV276" s="43"/>
      <c r="PW276" s="43"/>
      <c r="PX276" s="43"/>
      <c r="PY276" s="43"/>
      <c r="PZ276" s="43"/>
      <c r="QA276" s="43"/>
      <c r="QB276" s="43"/>
      <c r="QC276" s="43"/>
      <c r="QD276" s="43"/>
      <c r="QE276" s="43"/>
      <c r="QF276" s="43"/>
      <c r="QG276" s="43"/>
      <c r="QH276" s="43"/>
      <c r="QI276" s="43"/>
      <c r="QJ276" s="43"/>
      <c r="QK276" s="43"/>
      <c r="QL276" s="43"/>
      <c r="QM276" s="43"/>
      <c r="QN276" s="43"/>
      <c r="QO276" s="43"/>
      <c r="QP276" s="43"/>
      <c r="QQ276" s="43"/>
      <c r="QR276" s="43"/>
      <c r="QS276" s="43"/>
      <c r="QT276" s="43"/>
      <c r="QU276" s="43"/>
      <c r="QV276" s="43"/>
      <c r="QW276" s="43"/>
      <c r="QX276" s="43"/>
      <c r="QY276" s="43"/>
      <c r="QZ276" s="43"/>
      <c r="RA276" s="43"/>
      <c r="RB276" s="43"/>
      <c r="RC276" s="43"/>
      <c r="RD276" s="43"/>
      <c r="RE276" s="43"/>
      <c r="RF276" s="43"/>
      <c r="RG276" s="43"/>
      <c r="RH276" s="43"/>
      <c r="RI276" s="43"/>
      <c r="RJ276" s="43"/>
      <c r="RK276" s="43"/>
      <c r="RL276" s="43"/>
      <c r="RM276" s="43"/>
      <c r="RN276" s="43"/>
      <c r="RO276" s="43"/>
      <c r="RP276" s="43"/>
      <c r="RQ276" s="43"/>
      <c r="RR276" s="43"/>
      <c r="RS276" s="43"/>
      <c r="RT276" s="43"/>
      <c r="RU276" s="43"/>
      <c r="RV276" s="43"/>
      <c r="RW276" s="43"/>
      <c r="RX276" s="43"/>
      <c r="RY276" s="43"/>
      <c r="RZ276" s="43"/>
      <c r="SA276" s="43"/>
      <c r="SB276" s="43"/>
      <c r="SC276" s="43"/>
      <c r="SD276" s="43"/>
      <c r="SE276" s="43"/>
      <c r="SF276" s="43"/>
      <c r="SG276" s="43"/>
      <c r="SH276" s="43"/>
      <c r="SI276" s="43"/>
      <c r="SJ276" s="43"/>
      <c r="SK276" s="43"/>
      <c r="SL276" s="43"/>
      <c r="SM276" s="43"/>
      <c r="SN276" s="43"/>
      <c r="SO276" s="43"/>
      <c r="SP276" s="43"/>
      <c r="SQ276" s="43"/>
      <c r="SR276" s="43"/>
      <c r="SS276" s="43"/>
      <c r="ST276" s="43"/>
      <c r="SU276" s="43"/>
      <c r="SV276" s="43"/>
      <c r="SW276" s="43"/>
      <c r="SX276" s="43"/>
      <c r="SY276" s="43"/>
      <c r="SZ276" s="43"/>
      <c r="TA276" s="43"/>
      <c r="TB276" s="43"/>
      <c r="TC276" s="43"/>
      <c r="TD276" s="43"/>
      <c r="TE276" s="43"/>
      <c r="TF276" s="43"/>
      <c r="TG276" s="43"/>
      <c r="TH276" s="43"/>
    </row>
    <row r="277" spans="1:528" s="41" customFormat="1" ht="16.5" customHeight="1">
      <c r="A277" s="43"/>
      <c r="B277" s="43" t="s">
        <v>1359</v>
      </c>
      <c r="C277" s="5"/>
      <c r="D277" s="43"/>
      <c r="E277" s="43"/>
      <c r="F277" s="2373"/>
      <c r="G277" s="2373"/>
      <c r="H277" s="43"/>
      <c r="I277" s="43"/>
      <c r="L277" s="3737" t="s">
        <v>721</v>
      </c>
      <c r="M277" s="3738"/>
      <c r="P277" s="43"/>
      <c r="R277" s="2369"/>
      <c r="S277" s="3730"/>
      <c r="T277" s="3731"/>
      <c r="U277" s="3731"/>
      <c r="V277" s="3731"/>
      <c r="W277" s="3732"/>
      <c r="X277" s="251"/>
      <c r="Y277" s="253"/>
      <c r="Z277" s="253"/>
      <c r="AA277" s="253"/>
      <c r="AB277" s="253"/>
      <c r="AC277" s="251"/>
      <c r="AD277" s="253"/>
      <c r="AE277" s="253"/>
      <c r="AF277" s="253"/>
      <c r="AG277" s="253"/>
      <c r="AH277" s="251"/>
      <c r="AI277" s="253"/>
      <c r="AJ277" s="253"/>
      <c r="AK277" s="253"/>
      <c r="AL277" s="253"/>
      <c r="AM277" s="251"/>
      <c r="AN277" s="253"/>
      <c r="AO277" s="253"/>
      <c r="AP277" s="253"/>
      <c r="AQ277" s="253"/>
      <c r="AR277" s="253"/>
      <c r="AS277" s="253"/>
      <c r="AT277" s="253"/>
      <c r="AU277" s="253"/>
      <c r="AV277" s="253"/>
      <c r="AW277" s="253"/>
      <c r="AX277" s="253"/>
      <c r="AY277" s="253"/>
      <c r="AZ277" s="253"/>
      <c r="BA277" s="253"/>
      <c r="BB277" s="253"/>
      <c r="BC277" s="253"/>
      <c r="BD277" s="253"/>
      <c r="BE277" s="253"/>
      <c r="BF277" s="253"/>
      <c r="BG277" s="253"/>
      <c r="BH277" s="253"/>
      <c r="BI277" s="253"/>
      <c r="BJ277" s="253"/>
      <c r="BK277" s="253"/>
      <c r="BL277" s="253"/>
      <c r="BM277" s="253"/>
      <c r="BN277" s="253"/>
      <c r="BO277" s="253"/>
      <c r="BP277" s="253"/>
      <c r="BQ277" s="253"/>
      <c r="BR277" s="253"/>
      <c r="BS277" s="253"/>
      <c r="BT277" s="253"/>
      <c r="BU277" s="253"/>
      <c r="BV277" s="253"/>
      <c r="BW277" s="253"/>
      <c r="BX277" s="253"/>
      <c r="BY277" s="253"/>
      <c r="BZ277" s="253"/>
      <c r="CA277" s="253"/>
      <c r="CB277" s="253"/>
      <c r="CC277" s="253"/>
      <c r="CD277" s="253"/>
      <c r="CE277" s="253"/>
      <c r="CF277" s="253"/>
      <c r="CG277" s="253"/>
      <c r="CH277" s="253"/>
      <c r="CI277" s="253"/>
      <c r="CJ277" s="253"/>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3"/>
      <c r="DG277" s="253"/>
      <c r="DH277" s="253"/>
      <c r="DI277" s="253"/>
      <c r="DJ277" s="253"/>
      <c r="DK277" s="253"/>
      <c r="DL277" s="253"/>
      <c r="DM277" s="253"/>
      <c r="DN277" s="253"/>
      <c r="DO277" s="253"/>
      <c r="DP277" s="253"/>
      <c r="DQ277" s="253"/>
      <c r="DR277" s="253"/>
      <c r="DS277" s="253"/>
      <c r="DT277" s="253"/>
      <c r="DU277" s="253"/>
      <c r="DV277" s="253"/>
      <c r="DW277" s="253"/>
      <c r="DX277" s="253"/>
      <c r="DY277" s="253"/>
      <c r="DZ277" s="253"/>
      <c r="EA277" s="253"/>
      <c r="EB277" s="253"/>
      <c r="EC277" s="253"/>
      <c r="ED277" s="253"/>
      <c r="EE277" s="253"/>
      <c r="EF277" s="253"/>
      <c r="EG277" s="253"/>
      <c r="EH277" s="253"/>
      <c r="EI277" s="253"/>
      <c r="EJ277" s="253"/>
      <c r="EK277" s="253"/>
      <c r="EL277" s="253"/>
      <c r="EM277" s="253"/>
      <c r="EN277" s="253"/>
      <c r="EO277" s="253"/>
      <c r="EP277" s="253"/>
      <c r="EQ277" s="253"/>
      <c r="ER277" s="253"/>
      <c r="ES277" s="253"/>
      <c r="ET277" s="253"/>
      <c r="EU277" s="253"/>
      <c r="EV277" s="253"/>
      <c r="EW277" s="253"/>
      <c r="EX277" s="253"/>
      <c r="EY277" s="253"/>
      <c r="EZ277" s="253"/>
      <c r="FA277" s="253"/>
      <c r="FB277" s="253"/>
      <c r="FC277" s="253"/>
      <c r="FD277" s="253"/>
      <c r="FE277" s="253"/>
      <c r="FF277" s="253"/>
      <c r="FG277" s="253"/>
      <c r="FH277" s="253"/>
      <c r="FI277" s="253"/>
      <c r="FJ277" s="253"/>
      <c r="FK277" s="253"/>
      <c r="FL277" s="253"/>
      <c r="FM277" s="253"/>
      <c r="FN277" s="253"/>
      <c r="FO277" s="253"/>
      <c r="FP277" s="253"/>
      <c r="FQ277" s="253"/>
      <c r="FR277" s="253"/>
      <c r="FS277" s="253"/>
      <c r="FT277" s="253"/>
      <c r="FU277" s="253"/>
      <c r="FV277" s="253"/>
      <c r="FW277" s="253"/>
      <c r="FX277" s="253"/>
      <c r="FY277" s="253"/>
      <c r="FZ277" s="253"/>
      <c r="GA277" s="253"/>
      <c r="GB277" s="253"/>
      <c r="GC277" s="253"/>
      <c r="GD277" s="253"/>
      <c r="GE277" s="253"/>
      <c r="GF277" s="253"/>
      <c r="GG277" s="253"/>
      <c r="GH277" s="253"/>
      <c r="GI277" s="253"/>
      <c r="GJ277" s="253"/>
      <c r="GK277" s="253"/>
      <c r="GL277" s="253"/>
      <c r="GM277" s="253"/>
      <c r="GN277" s="253"/>
      <c r="GO277" s="253"/>
      <c r="GP277" s="253"/>
      <c r="GQ277" s="253"/>
      <c r="GR277" s="253"/>
      <c r="GS277" s="253"/>
      <c r="GT277" s="253"/>
      <c r="GU277" s="253"/>
      <c r="GV277" s="253"/>
      <c r="GW277" s="253"/>
      <c r="GX277" s="253"/>
      <c r="GY277" s="253"/>
      <c r="GZ277" s="253"/>
      <c r="HA277" s="253"/>
      <c r="HB277" s="253"/>
      <c r="HC277" s="253"/>
      <c r="HD277" s="253"/>
      <c r="HE277" s="253"/>
      <c r="HF277" s="253"/>
      <c r="HG277" s="253"/>
      <c r="HH277" s="253"/>
      <c r="HI277" s="253"/>
      <c r="HJ277" s="253"/>
      <c r="HK277" s="253"/>
      <c r="HL277" s="253"/>
      <c r="HM277" s="253"/>
      <c r="HN277" s="253"/>
      <c r="HO277" s="253"/>
      <c r="HP277" s="253"/>
      <c r="HQ277" s="253"/>
      <c r="HR277" s="253"/>
      <c r="HS277" s="253"/>
      <c r="HT277" s="253"/>
      <c r="HU277" s="253"/>
      <c r="HV277" s="253"/>
      <c r="HW277" s="253"/>
      <c r="HX277" s="253"/>
      <c r="HY277" s="253"/>
      <c r="HZ277" s="253"/>
      <c r="IA277" s="253"/>
      <c r="IB277" s="253"/>
      <c r="IC277" s="253"/>
      <c r="ID277" s="253"/>
      <c r="IE277" s="253"/>
      <c r="IF277" s="253"/>
      <c r="IG277" s="253"/>
      <c r="IH277" s="253"/>
      <c r="II277" s="253"/>
      <c r="IJ277" s="253"/>
      <c r="IK277" s="253"/>
      <c r="IL277" s="253"/>
      <c r="IM277" s="253"/>
      <c r="IN277" s="253"/>
      <c r="IO277" s="253"/>
      <c r="IP277" s="253"/>
      <c r="IQ277" s="253"/>
      <c r="IR277" s="253"/>
      <c r="IS277" s="253"/>
      <c r="IT277" s="253"/>
      <c r="IU277" s="253"/>
      <c r="IV277" s="253"/>
      <c r="IW277" s="253"/>
      <c r="IX277" s="253"/>
      <c r="IY277" s="253"/>
      <c r="IZ277" s="253"/>
      <c r="JA277" s="253"/>
      <c r="JB277" s="253"/>
      <c r="JC277" s="253"/>
      <c r="JD277" s="253"/>
      <c r="JE277" s="253"/>
      <c r="JF277" s="253"/>
      <c r="JG277" s="253"/>
      <c r="JH277" s="253"/>
      <c r="JI277" s="253"/>
      <c r="JJ277" s="253"/>
      <c r="JK277" s="253"/>
      <c r="JL277" s="253"/>
      <c r="JM277" s="253"/>
      <c r="JN277" s="253"/>
      <c r="JO277" s="253"/>
      <c r="JP277" s="253"/>
      <c r="JQ277" s="253"/>
      <c r="JR277" s="253"/>
      <c r="JS277" s="253"/>
      <c r="JT277" s="253"/>
      <c r="JU277" s="253"/>
      <c r="JV277" s="253"/>
      <c r="JW277" s="253"/>
      <c r="JX277" s="253"/>
      <c r="JY277" s="253"/>
      <c r="JZ277" s="253"/>
      <c r="KA277" s="253"/>
      <c r="KB277" s="253"/>
      <c r="KC277" s="253"/>
      <c r="KD277" s="253"/>
      <c r="KE277" s="253"/>
      <c r="KF277" s="253"/>
      <c r="KG277" s="253"/>
      <c r="KH277" s="253"/>
      <c r="KI277" s="253"/>
      <c r="KJ277" s="253"/>
      <c r="KK277" s="253"/>
      <c r="KL277" s="253"/>
      <c r="KM277" s="253"/>
      <c r="KN277" s="253"/>
      <c r="KO277" s="253"/>
      <c r="KP277" s="253"/>
      <c r="KQ277" s="253"/>
      <c r="KR277" s="253"/>
      <c r="KS277" s="253"/>
      <c r="KT277" s="253"/>
      <c r="KU277" s="253"/>
      <c r="KV277" s="253"/>
      <c r="KW277" s="253"/>
      <c r="KX277" s="253"/>
      <c r="KY277" s="253"/>
      <c r="KZ277" s="253"/>
      <c r="LA277" s="253"/>
      <c r="LB277" s="253"/>
      <c r="LC277" s="253"/>
      <c r="LD277" s="253"/>
      <c r="LE277" s="253"/>
      <c r="LF277" s="1296"/>
      <c r="LG277" s="253"/>
      <c r="LH277" s="253"/>
      <c r="LI277" s="253"/>
      <c r="LJ277" s="253"/>
      <c r="LK277" s="1296"/>
      <c r="LL277" s="253"/>
      <c r="LM277" s="253"/>
      <c r="LN277" s="253"/>
      <c r="LO277" s="253"/>
      <c r="LP277" s="1296"/>
      <c r="LQ277" s="253"/>
      <c r="LR277" s="253"/>
      <c r="LS277" s="253"/>
      <c r="LT277" s="253"/>
      <c r="LU277" s="1296"/>
      <c r="LV277" s="1296"/>
      <c r="LW277" s="1296"/>
      <c r="LX277" s="1296"/>
      <c r="LY277" s="1296"/>
      <c r="LZ277" s="1296"/>
      <c r="MA277" s="1296"/>
      <c r="MB277" s="1296"/>
      <c r="MC277" s="1296"/>
      <c r="MD277" s="1296"/>
      <c r="ME277" s="1296"/>
      <c r="MF277" s="1296"/>
      <c r="MG277" s="1296"/>
      <c r="MH277" s="1296"/>
      <c r="MI277" s="1296"/>
      <c r="MJ277" s="1296"/>
      <c r="MK277" s="1296"/>
      <c r="ML277" s="1296"/>
      <c r="MM277" s="1296"/>
      <c r="MN277" s="1296"/>
      <c r="MO277" s="1296"/>
      <c r="MP277" s="1296"/>
      <c r="MQ277" s="253"/>
      <c r="MR277" s="253"/>
      <c r="MS277" s="253"/>
      <c r="MT277" s="253"/>
      <c r="MU277" s="253"/>
      <c r="MV277" s="253"/>
      <c r="MW277" s="1184"/>
      <c r="MX277" s="253"/>
      <c r="MY277" s="253"/>
      <c r="MZ277" s="253"/>
      <c r="NA277" s="253"/>
      <c r="NB277" s="253"/>
      <c r="NC277" s="253"/>
      <c r="ND277" s="253"/>
      <c r="NE277" s="253"/>
      <c r="NF277" s="253"/>
      <c r="NG277" s="253"/>
      <c r="NH277" s="253"/>
      <c r="NI277" s="253"/>
      <c r="NJ277" s="253"/>
      <c r="NK277" s="253"/>
      <c r="NL277" s="253"/>
      <c r="NM277" s="1184"/>
      <c r="NN277" s="1184"/>
      <c r="NO277" s="253"/>
      <c r="NP277" s="253"/>
      <c r="NQ277" s="253"/>
      <c r="NR277" s="253"/>
      <c r="NS277" s="253"/>
      <c r="NT277" s="253"/>
      <c r="NU277" s="253"/>
      <c r="NV277" s="253"/>
      <c r="NW277" s="253"/>
      <c r="NX277" s="253"/>
      <c r="NY277" s="253"/>
      <c r="NZ277" s="253"/>
      <c r="OA277" s="253"/>
      <c r="OB277" s="253"/>
      <c r="OC277" s="253"/>
      <c r="OD277" s="253"/>
      <c r="OE277" s="253"/>
      <c r="OF277" s="253"/>
      <c r="OG277" s="253"/>
      <c r="OH277" s="253"/>
      <c r="OI277" s="253"/>
      <c r="OJ277" s="253"/>
      <c r="OK277" s="253"/>
      <c r="OL277" s="253"/>
      <c r="OM277" s="253"/>
      <c r="ON277" s="253"/>
      <c r="OO277" s="253"/>
      <c r="OP277" s="253"/>
      <c r="OQ277" s="253"/>
      <c r="OR277" s="253"/>
      <c r="OS277" s="253"/>
      <c r="OT277" s="253"/>
      <c r="OU277" s="253"/>
      <c r="OV277" s="43"/>
      <c r="OW277" s="43"/>
      <c r="OX277" s="43"/>
      <c r="OY277" s="1796" t="s">
        <v>1360</v>
      </c>
      <c r="OZ277" s="1799">
        <v>273</v>
      </c>
      <c r="PA277" s="43"/>
      <c r="PB277" s="43"/>
      <c r="PC277" s="43"/>
      <c r="PD277" s="43"/>
      <c r="PE277" s="43"/>
      <c r="PF277" s="43"/>
      <c r="PG277" s="43"/>
      <c r="PH277" s="43"/>
      <c r="PI277" s="43"/>
      <c r="PJ277" s="43"/>
      <c r="PK277" s="43"/>
      <c r="PL277" s="43"/>
      <c r="PM277" s="43"/>
      <c r="PN277" s="43"/>
      <c r="PO277" s="43"/>
      <c r="PP277" s="43"/>
      <c r="PQ277" s="43"/>
      <c r="PR277" s="43"/>
      <c r="PS277" s="43"/>
      <c r="PT277" s="43"/>
      <c r="PU277" s="43"/>
      <c r="PV277" s="43"/>
      <c r="PW277" s="43"/>
      <c r="PX277" s="43"/>
      <c r="PY277" s="43"/>
      <c r="PZ277" s="43"/>
      <c r="QA277" s="43"/>
      <c r="QB277" s="43"/>
      <c r="QC277" s="43"/>
      <c r="QD277" s="43"/>
      <c r="QE277" s="43"/>
      <c r="QF277" s="43"/>
      <c r="QG277" s="43"/>
      <c r="QH277" s="43"/>
      <c r="QI277" s="43"/>
      <c r="QJ277" s="43"/>
      <c r="QK277" s="43"/>
      <c r="QL277" s="43"/>
      <c r="QM277" s="43"/>
      <c r="QN277" s="43"/>
      <c r="QO277" s="43"/>
      <c r="QP277" s="43"/>
      <c r="QQ277" s="43"/>
      <c r="QR277" s="43"/>
      <c r="QS277" s="43"/>
      <c r="QT277" s="43"/>
      <c r="QU277" s="43"/>
      <c r="QV277" s="43"/>
      <c r="QW277" s="43"/>
      <c r="QX277" s="43"/>
      <c r="QY277" s="43"/>
      <c r="QZ277" s="43"/>
      <c r="RA277" s="43"/>
      <c r="RB277" s="43"/>
      <c r="RC277" s="43"/>
      <c r="RD277" s="43"/>
      <c r="RE277" s="43"/>
      <c r="RF277" s="43"/>
      <c r="RG277" s="43"/>
      <c r="RH277" s="43"/>
      <c r="RI277" s="43"/>
      <c r="RJ277" s="43"/>
      <c r="RK277" s="43"/>
      <c r="RL277" s="43"/>
      <c r="RM277" s="43"/>
      <c r="RN277" s="43"/>
      <c r="RO277" s="43"/>
      <c r="RP277" s="43"/>
      <c r="RQ277" s="43"/>
      <c r="RR277" s="43"/>
      <c r="RS277" s="43"/>
      <c r="RT277" s="43"/>
      <c r="RU277" s="43"/>
      <c r="RV277" s="43"/>
      <c r="RW277" s="43"/>
      <c r="RX277" s="43"/>
      <c r="RY277" s="43"/>
      <c r="RZ277" s="43"/>
      <c r="SA277" s="43"/>
      <c r="SB277" s="43"/>
      <c r="SC277" s="43"/>
      <c r="SD277" s="43"/>
      <c r="SE277" s="43"/>
      <c r="SF277" s="43"/>
      <c r="SG277" s="43"/>
      <c r="SH277" s="43"/>
      <c r="SI277" s="43"/>
      <c r="SJ277" s="43"/>
      <c r="SK277" s="43"/>
      <c r="SL277" s="43"/>
      <c r="SM277" s="43"/>
      <c r="SN277" s="43"/>
      <c r="SO277" s="43"/>
      <c r="SP277" s="43"/>
      <c r="SQ277" s="43"/>
      <c r="SR277" s="43"/>
      <c r="SS277" s="43"/>
      <c r="ST277" s="43"/>
      <c r="SU277" s="43"/>
      <c r="SV277" s="43"/>
      <c r="SW277" s="43"/>
      <c r="SX277" s="43"/>
      <c r="SY277" s="43"/>
      <c r="SZ277" s="43"/>
      <c r="TA277" s="43"/>
      <c r="TB277" s="43"/>
      <c r="TC277" s="43"/>
      <c r="TD277" s="43"/>
      <c r="TE277" s="43"/>
      <c r="TF277" s="43"/>
      <c r="TG277" s="43"/>
      <c r="TH277" s="43"/>
    </row>
    <row r="278" spans="1:528" s="41" customFormat="1" ht="16.5" customHeight="1">
      <c r="A278" s="43"/>
      <c r="B278" s="3"/>
      <c r="C278" s="5"/>
      <c r="D278" s="43"/>
      <c r="E278" s="43"/>
      <c r="F278" s="2373"/>
      <c r="G278" s="2373"/>
      <c r="H278" s="43"/>
      <c r="I278" s="845" t="s">
        <v>1361</v>
      </c>
      <c r="K278" s="2373"/>
      <c r="L278" s="3735" t="s">
        <v>721</v>
      </c>
      <c r="M278" s="3736"/>
      <c r="N278" s="43"/>
      <c r="O278" s="3"/>
      <c r="P278" s="43"/>
      <c r="Q278" s="2369"/>
      <c r="R278" s="2369"/>
      <c r="X278" s="251"/>
      <c r="Y278" s="253"/>
      <c r="Z278" s="253"/>
      <c r="AA278" s="253"/>
      <c r="AB278" s="253"/>
      <c r="AC278" s="251"/>
      <c r="AD278" s="253"/>
      <c r="AE278" s="253"/>
      <c r="AF278" s="253"/>
      <c r="AG278" s="253"/>
      <c r="AH278" s="251"/>
      <c r="AI278" s="253"/>
      <c r="AJ278" s="253"/>
      <c r="AK278" s="253"/>
      <c r="AL278" s="253"/>
      <c r="AM278" s="251"/>
      <c r="AN278" s="253"/>
      <c r="AO278" s="253"/>
      <c r="AP278" s="253"/>
      <c r="AQ278" s="253"/>
      <c r="AR278" s="253"/>
      <c r="AS278" s="253"/>
      <c r="AT278" s="253"/>
      <c r="AU278" s="253"/>
      <c r="AV278" s="253"/>
      <c r="AW278" s="253"/>
      <c r="AX278" s="253"/>
      <c r="AY278" s="253"/>
      <c r="AZ278" s="253"/>
      <c r="BA278" s="253"/>
      <c r="BB278" s="253"/>
      <c r="BC278" s="253"/>
      <c r="BD278" s="253"/>
      <c r="BE278" s="253"/>
      <c r="BF278" s="253"/>
      <c r="BG278" s="253"/>
      <c r="BH278" s="253"/>
      <c r="BI278" s="253"/>
      <c r="BJ278" s="253"/>
      <c r="BK278" s="253"/>
      <c r="BL278" s="253"/>
      <c r="BM278" s="253"/>
      <c r="BN278" s="253"/>
      <c r="BO278" s="253"/>
      <c r="BP278" s="253"/>
      <c r="BQ278" s="253"/>
      <c r="BR278" s="253"/>
      <c r="BS278" s="253"/>
      <c r="BT278" s="253"/>
      <c r="BU278" s="253"/>
      <c r="BV278" s="253"/>
      <c r="BW278" s="253"/>
      <c r="BX278" s="253"/>
      <c r="BY278" s="253"/>
      <c r="BZ278" s="253"/>
      <c r="CA278" s="253"/>
      <c r="CB278" s="253"/>
      <c r="CC278" s="253"/>
      <c r="CD278" s="253"/>
      <c r="CE278" s="253"/>
      <c r="CF278" s="253"/>
      <c r="CG278" s="253"/>
      <c r="CH278" s="253"/>
      <c r="CI278" s="253"/>
      <c r="CJ278" s="253"/>
      <c r="CK278" s="253"/>
      <c r="CL278" s="253"/>
      <c r="CM278" s="253"/>
      <c r="CN278" s="253"/>
      <c r="CO278" s="253"/>
      <c r="CP278" s="253"/>
      <c r="CQ278" s="253"/>
      <c r="CR278" s="253"/>
      <c r="CS278" s="253"/>
      <c r="CT278" s="253"/>
      <c r="CU278" s="253"/>
      <c r="CV278" s="253"/>
      <c r="CW278" s="253"/>
      <c r="CX278" s="253"/>
      <c r="CY278" s="253"/>
      <c r="CZ278" s="253"/>
      <c r="DA278" s="253"/>
      <c r="DB278" s="253"/>
      <c r="DC278" s="253"/>
      <c r="DD278" s="253"/>
      <c r="DE278" s="253"/>
      <c r="DF278" s="253"/>
      <c r="DG278" s="253"/>
      <c r="DH278" s="253"/>
      <c r="DI278" s="253"/>
      <c r="DJ278" s="253"/>
      <c r="DK278" s="253"/>
      <c r="DL278" s="253"/>
      <c r="DM278" s="253"/>
      <c r="DN278" s="253"/>
      <c r="DO278" s="253"/>
      <c r="DP278" s="253"/>
      <c r="DQ278" s="253"/>
      <c r="DR278" s="253"/>
      <c r="DS278" s="253"/>
      <c r="DT278" s="253"/>
      <c r="DU278" s="253"/>
      <c r="DV278" s="253"/>
      <c r="DW278" s="253"/>
      <c r="DX278" s="253"/>
      <c r="DY278" s="253"/>
      <c r="DZ278" s="253"/>
      <c r="EA278" s="253"/>
      <c r="EB278" s="253"/>
      <c r="EC278" s="253"/>
      <c r="ED278" s="253"/>
      <c r="EE278" s="253"/>
      <c r="EF278" s="253"/>
      <c r="EG278" s="253"/>
      <c r="EH278" s="253"/>
      <c r="EI278" s="253"/>
      <c r="EJ278" s="253"/>
      <c r="EK278" s="253"/>
      <c r="EL278" s="253"/>
      <c r="EM278" s="253"/>
      <c r="EN278" s="253"/>
      <c r="EO278" s="253"/>
      <c r="EP278" s="253"/>
      <c r="EQ278" s="253"/>
      <c r="ER278" s="253"/>
      <c r="ES278" s="253"/>
      <c r="ET278" s="253"/>
      <c r="EU278" s="253"/>
      <c r="EV278" s="253"/>
      <c r="EW278" s="253"/>
      <c r="EX278" s="253"/>
      <c r="EY278" s="253"/>
      <c r="EZ278" s="253"/>
      <c r="FA278" s="253"/>
      <c r="FB278" s="253"/>
      <c r="FC278" s="253"/>
      <c r="FD278" s="253"/>
      <c r="FE278" s="253"/>
      <c r="FF278" s="253"/>
      <c r="FG278" s="253"/>
      <c r="FH278" s="253"/>
      <c r="FI278" s="253"/>
      <c r="FJ278" s="253"/>
      <c r="FK278" s="253"/>
      <c r="FL278" s="253"/>
      <c r="FM278" s="253"/>
      <c r="FN278" s="253"/>
      <c r="FO278" s="253"/>
      <c r="FP278" s="253"/>
      <c r="FQ278" s="253"/>
      <c r="FR278" s="253"/>
      <c r="FS278" s="253"/>
      <c r="FT278" s="253"/>
      <c r="FU278" s="253"/>
      <c r="FV278" s="253"/>
      <c r="FW278" s="253"/>
      <c r="FX278" s="253"/>
      <c r="FY278" s="253"/>
      <c r="FZ278" s="253"/>
      <c r="GA278" s="253"/>
      <c r="GB278" s="253"/>
      <c r="GC278" s="253"/>
      <c r="GD278" s="253"/>
      <c r="GE278" s="253"/>
      <c r="GF278" s="253"/>
      <c r="GG278" s="253"/>
      <c r="GH278" s="253"/>
      <c r="GI278" s="253"/>
      <c r="GJ278" s="253"/>
      <c r="GK278" s="253"/>
      <c r="GL278" s="253"/>
      <c r="GM278" s="253"/>
      <c r="GN278" s="253"/>
      <c r="GO278" s="253"/>
      <c r="GP278" s="253"/>
      <c r="GQ278" s="253"/>
      <c r="GR278" s="253"/>
      <c r="GS278" s="253"/>
      <c r="GT278" s="253"/>
      <c r="GU278" s="253"/>
      <c r="GV278" s="253"/>
      <c r="GW278" s="253"/>
      <c r="GX278" s="253"/>
      <c r="GY278" s="253"/>
      <c r="GZ278" s="253"/>
      <c r="HA278" s="253"/>
      <c r="HB278" s="253"/>
      <c r="HC278" s="253"/>
      <c r="HD278" s="253"/>
      <c r="HE278" s="253"/>
      <c r="HF278" s="253"/>
      <c r="HG278" s="253"/>
      <c r="HH278" s="253"/>
      <c r="HI278" s="253"/>
      <c r="HJ278" s="253"/>
      <c r="HK278" s="253"/>
      <c r="HL278" s="253"/>
      <c r="HM278" s="253"/>
      <c r="HN278" s="253"/>
      <c r="HO278" s="253"/>
      <c r="HP278" s="253"/>
      <c r="HQ278" s="253"/>
      <c r="HR278" s="253"/>
      <c r="HS278" s="253"/>
      <c r="HT278" s="253"/>
      <c r="HU278" s="253"/>
      <c r="HV278" s="253"/>
      <c r="HW278" s="253"/>
      <c r="HX278" s="253"/>
      <c r="HY278" s="253"/>
      <c r="HZ278" s="253"/>
      <c r="IA278" s="253"/>
      <c r="IB278" s="253"/>
      <c r="IC278" s="253"/>
      <c r="ID278" s="253"/>
      <c r="IE278" s="253"/>
      <c r="IF278" s="253"/>
      <c r="IG278" s="253"/>
      <c r="IH278" s="253"/>
      <c r="II278" s="253"/>
      <c r="IJ278" s="253"/>
      <c r="IK278" s="253"/>
      <c r="IL278" s="253"/>
      <c r="IM278" s="253"/>
      <c r="IN278" s="253"/>
      <c r="IO278" s="253"/>
      <c r="IP278" s="253"/>
      <c r="IQ278" s="253"/>
      <c r="IR278" s="253"/>
      <c r="IS278" s="253"/>
      <c r="IT278" s="253"/>
      <c r="IU278" s="253"/>
      <c r="IV278" s="253"/>
      <c r="IW278" s="253"/>
      <c r="IX278" s="253"/>
      <c r="IY278" s="253"/>
      <c r="IZ278" s="253"/>
      <c r="JA278" s="253"/>
      <c r="JB278" s="253"/>
      <c r="JC278" s="253"/>
      <c r="JD278" s="253"/>
      <c r="JE278" s="253"/>
      <c r="JF278" s="253"/>
      <c r="JG278" s="253"/>
      <c r="JH278" s="253"/>
      <c r="JI278" s="253"/>
      <c r="JJ278" s="253"/>
      <c r="JK278" s="253"/>
      <c r="JL278" s="253"/>
      <c r="JM278" s="253"/>
      <c r="JN278" s="253"/>
      <c r="JO278" s="253"/>
      <c r="JP278" s="253"/>
      <c r="JQ278" s="253"/>
      <c r="JR278" s="253"/>
      <c r="JS278" s="253"/>
      <c r="JT278" s="253"/>
      <c r="JU278" s="253"/>
      <c r="JV278" s="253"/>
      <c r="JW278" s="253"/>
      <c r="JX278" s="253"/>
      <c r="JY278" s="253"/>
      <c r="JZ278" s="253"/>
      <c r="KA278" s="253"/>
      <c r="KB278" s="253"/>
      <c r="KC278" s="253"/>
      <c r="KD278" s="253"/>
      <c r="KE278" s="253"/>
      <c r="KF278" s="253"/>
      <c r="KG278" s="253"/>
      <c r="KH278" s="253"/>
      <c r="KI278" s="253"/>
      <c r="KJ278" s="253"/>
      <c r="KK278" s="253"/>
      <c r="KL278" s="253"/>
      <c r="KM278" s="253"/>
      <c r="KN278" s="253"/>
      <c r="KO278" s="253"/>
      <c r="KP278" s="253"/>
      <c r="KQ278" s="253"/>
      <c r="KR278" s="253"/>
      <c r="KS278" s="253"/>
      <c r="KT278" s="253"/>
      <c r="KU278" s="253"/>
      <c r="KV278" s="253"/>
      <c r="KW278" s="253"/>
      <c r="KX278" s="253"/>
      <c r="KY278" s="253"/>
      <c r="KZ278" s="253"/>
      <c r="LA278" s="253"/>
      <c r="LB278" s="253"/>
      <c r="LC278" s="253"/>
      <c r="LD278" s="253"/>
      <c r="LE278" s="253"/>
      <c r="LF278" s="1296"/>
      <c r="LG278" s="253"/>
      <c r="LH278" s="253"/>
      <c r="LI278" s="253"/>
      <c r="LJ278" s="253"/>
      <c r="LK278" s="1296"/>
      <c r="LL278" s="253"/>
      <c r="LM278" s="253"/>
      <c r="LN278" s="253"/>
      <c r="LO278" s="253"/>
      <c r="LP278" s="1296"/>
      <c r="LQ278" s="253"/>
      <c r="LR278" s="253"/>
      <c r="LS278" s="253"/>
      <c r="LT278" s="253"/>
      <c r="LU278" s="1296"/>
      <c r="LV278" s="1296"/>
      <c r="LW278" s="1296"/>
      <c r="LX278" s="1296"/>
      <c r="LY278" s="1296"/>
      <c r="LZ278" s="1296"/>
      <c r="MA278" s="1296"/>
      <c r="MB278" s="1296"/>
      <c r="MC278" s="1296"/>
      <c r="MD278" s="1296"/>
      <c r="ME278" s="1296"/>
      <c r="MF278" s="1296"/>
      <c r="MG278" s="1296"/>
      <c r="MH278" s="1296"/>
      <c r="MI278" s="1296"/>
      <c r="MJ278" s="1296"/>
      <c r="MK278" s="1296"/>
      <c r="ML278" s="1296"/>
      <c r="MM278" s="1296"/>
      <c r="MN278" s="1296"/>
      <c r="MO278" s="1296"/>
      <c r="MP278" s="1296"/>
      <c r="MQ278" s="253"/>
      <c r="MR278" s="253"/>
      <c r="MS278" s="253"/>
      <c r="MT278" s="253"/>
      <c r="MU278" s="253"/>
      <c r="MV278" s="253"/>
      <c r="MW278" s="1184"/>
      <c r="MX278" s="253"/>
      <c r="MY278" s="253"/>
      <c r="MZ278" s="253"/>
      <c r="NA278" s="253"/>
      <c r="NB278" s="253"/>
      <c r="NC278" s="253"/>
      <c r="ND278" s="253"/>
      <c r="NE278" s="253"/>
      <c r="NF278" s="253"/>
      <c r="NG278" s="253"/>
      <c r="NH278" s="253"/>
      <c r="NI278" s="253"/>
      <c r="NJ278" s="253"/>
      <c r="NK278" s="253"/>
      <c r="NL278" s="253"/>
      <c r="NM278" s="1184"/>
      <c r="NN278" s="1184"/>
      <c r="NO278" s="253"/>
      <c r="NP278" s="253"/>
      <c r="NQ278" s="253"/>
      <c r="NR278" s="253"/>
      <c r="NS278" s="253"/>
      <c r="NT278" s="253"/>
      <c r="NU278" s="253"/>
      <c r="NV278" s="253"/>
      <c r="NW278" s="253"/>
      <c r="NX278" s="253"/>
      <c r="NY278" s="253"/>
      <c r="NZ278" s="253"/>
      <c r="OA278" s="253"/>
      <c r="OB278" s="253"/>
      <c r="OC278" s="253"/>
      <c r="OD278" s="253"/>
      <c r="OE278" s="253"/>
      <c r="OF278" s="253"/>
      <c r="OG278" s="253"/>
      <c r="OH278" s="253"/>
      <c r="OI278" s="253"/>
      <c r="OJ278" s="253"/>
      <c r="OK278" s="253"/>
      <c r="OL278" s="253"/>
      <c r="OM278" s="253"/>
      <c r="ON278" s="253"/>
      <c r="OO278" s="253"/>
      <c r="OP278" s="253"/>
      <c r="OQ278" s="253"/>
      <c r="OR278" s="253"/>
      <c r="OS278" s="253"/>
      <c r="OT278" s="253"/>
      <c r="OU278" s="253"/>
      <c r="OV278" s="43"/>
      <c r="OW278" s="43"/>
      <c r="OX278" s="43"/>
      <c r="OY278" s="1796"/>
      <c r="OZ278" s="1799">
        <v>274</v>
      </c>
      <c r="PA278" s="43"/>
      <c r="PB278" s="43"/>
      <c r="PC278" s="43"/>
      <c r="PD278" s="43"/>
      <c r="PE278" s="43"/>
      <c r="PF278" s="43"/>
      <c r="PG278" s="43"/>
      <c r="PH278" s="43"/>
      <c r="PI278" s="43"/>
      <c r="PJ278" s="43"/>
      <c r="PK278" s="43"/>
      <c r="PL278" s="43"/>
      <c r="PM278" s="43"/>
      <c r="PN278" s="43"/>
      <c r="PO278" s="43"/>
      <c r="PP278" s="43"/>
      <c r="PQ278" s="43"/>
      <c r="PR278" s="43"/>
      <c r="PS278" s="43"/>
      <c r="PT278" s="43"/>
      <c r="PU278" s="43"/>
      <c r="PV278" s="43"/>
      <c r="PW278" s="43"/>
      <c r="PX278" s="43"/>
      <c r="PY278" s="43"/>
      <c r="PZ278" s="43"/>
      <c r="QA278" s="43"/>
      <c r="QB278" s="43"/>
      <c r="QC278" s="43"/>
      <c r="QD278" s="43"/>
      <c r="QE278" s="43"/>
      <c r="QF278" s="43"/>
      <c r="QG278" s="43"/>
      <c r="QH278" s="43"/>
      <c r="QI278" s="43"/>
      <c r="QJ278" s="43"/>
      <c r="QK278" s="43"/>
      <c r="QL278" s="43"/>
      <c r="QM278" s="43"/>
      <c r="QN278" s="43"/>
      <c r="QO278" s="43"/>
      <c r="QP278" s="43"/>
      <c r="QQ278" s="43"/>
      <c r="QR278" s="43"/>
      <c r="QS278" s="43"/>
      <c r="QT278" s="43"/>
      <c r="QU278" s="43"/>
      <c r="QV278" s="43"/>
      <c r="QW278" s="43"/>
      <c r="QX278" s="43"/>
      <c r="QY278" s="43"/>
      <c r="QZ278" s="43"/>
      <c r="RA278" s="43"/>
      <c r="RB278" s="43"/>
      <c r="RC278" s="43"/>
      <c r="RD278" s="43"/>
      <c r="RE278" s="43"/>
      <c r="RF278" s="43"/>
      <c r="RG278" s="43"/>
      <c r="RH278" s="43"/>
      <c r="RI278" s="43"/>
      <c r="RJ278" s="43"/>
      <c r="RK278" s="43"/>
      <c r="RL278" s="43"/>
      <c r="RM278" s="43"/>
      <c r="RN278" s="43"/>
      <c r="RO278" s="43"/>
      <c r="RP278" s="43"/>
      <c r="RQ278" s="43"/>
      <c r="RR278" s="43"/>
      <c r="RS278" s="43"/>
      <c r="RT278" s="43"/>
      <c r="RU278" s="43"/>
      <c r="RV278" s="43"/>
      <c r="RW278" s="43"/>
      <c r="RX278" s="43"/>
      <c r="RY278" s="43"/>
      <c r="RZ278" s="43"/>
      <c r="SA278" s="43"/>
      <c r="SB278" s="43"/>
      <c r="SC278" s="43"/>
      <c r="SD278" s="43"/>
      <c r="SE278" s="43"/>
      <c r="SF278" s="43"/>
      <c r="SG278" s="43"/>
      <c r="SH278" s="43"/>
      <c r="SI278" s="43"/>
      <c r="SJ278" s="43"/>
      <c r="SK278" s="43"/>
      <c r="SL278" s="43"/>
      <c r="SM278" s="43"/>
      <c r="SN278" s="43"/>
      <c r="SO278" s="43"/>
      <c r="SP278" s="43"/>
      <c r="SQ278" s="43"/>
      <c r="SR278" s="43"/>
      <c r="SS278" s="43"/>
      <c r="ST278" s="43"/>
      <c r="SU278" s="43"/>
      <c r="SV278" s="43"/>
      <c r="SW278" s="43"/>
      <c r="SX278" s="43"/>
      <c r="SY278" s="43"/>
      <c r="SZ278" s="43"/>
      <c r="TA278" s="43"/>
      <c r="TB278" s="43"/>
      <c r="TC278" s="43"/>
      <c r="TD278" s="43"/>
      <c r="TE278" s="43"/>
      <c r="TF278" s="43"/>
      <c r="TG278" s="43"/>
      <c r="TH278" s="43"/>
    </row>
    <row r="279" spans="1:528" s="41" customFormat="1" ht="16.5" customHeight="1">
      <c r="A279" s="43"/>
      <c r="B279" s="3"/>
      <c r="C279" s="5"/>
      <c r="D279" s="43"/>
      <c r="E279" s="43"/>
      <c r="F279" s="2373"/>
      <c r="G279" s="2373"/>
      <c r="H279" s="43"/>
      <c r="I279" s="878" t="s">
        <v>1362</v>
      </c>
      <c r="K279" s="2373"/>
      <c r="L279" s="3733"/>
      <c r="M279" s="3734"/>
      <c r="N279" s="43"/>
      <c r="O279" s="3"/>
      <c r="P279" s="43"/>
      <c r="Q279" s="2369"/>
      <c r="R279" s="2369"/>
      <c r="X279" s="251"/>
      <c r="Y279" s="253"/>
      <c r="Z279" s="253"/>
      <c r="AA279" s="253"/>
      <c r="AB279" s="253"/>
      <c r="AC279" s="251"/>
      <c r="AD279" s="253"/>
      <c r="AE279" s="253"/>
      <c r="AF279" s="253"/>
      <c r="AG279" s="253"/>
      <c r="AH279" s="251"/>
      <c r="AI279" s="253"/>
      <c r="AJ279" s="253"/>
      <c r="AK279" s="253"/>
      <c r="AL279" s="253"/>
      <c r="AM279" s="251"/>
      <c r="AN279" s="253"/>
      <c r="AO279" s="253"/>
      <c r="AP279" s="253"/>
      <c r="AQ279" s="253"/>
      <c r="AR279" s="253"/>
      <c r="AS279" s="253"/>
      <c r="AT279" s="253"/>
      <c r="AU279" s="253"/>
      <c r="AV279" s="253"/>
      <c r="AW279" s="253"/>
      <c r="AX279" s="253"/>
      <c r="AY279" s="253"/>
      <c r="AZ279" s="253"/>
      <c r="BA279" s="253"/>
      <c r="BB279" s="253"/>
      <c r="BC279" s="253"/>
      <c r="BD279" s="253"/>
      <c r="BE279" s="253"/>
      <c r="BF279" s="253"/>
      <c r="BG279" s="253"/>
      <c r="BH279" s="253"/>
      <c r="BI279" s="253"/>
      <c r="BJ279" s="253"/>
      <c r="BK279" s="253"/>
      <c r="BL279" s="253"/>
      <c r="BM279" s="253"/>
      <c r="BN279" s="253"/>
      <c r="BO279" s="253"/>
      <c r="BP279" s="253"/>
      <c r="BQ279" s="253"/>
      <c r="BR279" s="253"/>
      <c r="BS279" s="253"/>
      <c r="BT279" s="253"/>
      <c r="BU279" s="253"/>
      <c r="BV279" s="253"/>
      <c r="BW279" s="253"/>
      <c r="BX279" s="253"/>
      <c r="BY279" s="253"/>
      <c r="BZ279" s="253"/>
      <c r="CA279" s="253"/>
      <c r="CB279" s="253"/>
      <c r="CC279" s="253"/>
      <c r="CD279" s="253"/>
      <c r="CE279" s="253"/>
      <c r="CF279" s="253"/>
      <c r="CG279" s="253"/>
      <c r="CH279" s="253"/>
      <c r="CI279" s="253"/>
      <c r="CJ279" s="253"/>
      <c r="CK279" s="253"/>
      <c r="CL279" s="253"/>
      <c r="CM279" s="253"/>
      <c r="CN279" s="253"/>
      <c r="CO279" s="253"/>
      <c r="CP279" s="253"/>
      <c r="CQ279" s="253"/>
      <c r="CR279" s="253"/>
      <c r="CS279" s="253"/>
      <c r="CT279" s="253"/>
      <c r="CU279" s="253"/>
      <c r="CV279" s="253"/>
      <c r="CW279" s="253"/>
      <c r="CX279" s="253"/>
      <c r="CY279" s="253"/>
      <c r="CZ279" s="253"/>
      <c r="DA279" s="253"/>
      <c r="DB279" s="253"/>
      <c r="DC279" s="253"/>
      <c r="DD279" s="253"/>
      <c r="DE279" s="253"/>
      <c r="DF279" s="253"/>
      <c r="DG279" s="253"/>
      <c r="DH279" s="253"/>
      <c r="DI279" s="253"/>
      <c r="DJ279" s="253"/>
      <c r="DK279" s="253"/>
      <c r="DL279" s="253"/>
      <c r="DM279" s="253"/>
      <c r="DN279" s="253"/>
      <c r="DO279" s="253"/>
      <c r="DP279" s="253"/>
      <c r="DQ279" s="253"/>
      <c r="DR279" s="253"/>
      <c r="DS279" s="253"/>
      <c r="DT279" s="253"/>
      <c r="DU279" s="253"/>
      <c r="DV279" s="253"/>
      <c r="DW279" s="253"/>
      <c r="DX279" s="253"/>
      <c r="DY279" s="253"/>
      <c r="DZ279" s="253"/>
      <c r="EA279" s="253"/>
      <c r="EB279" s="253"/>
      <c r="EC279" s="253"/>
      <c r="ED279" s="253"/>
      <c r="EE279" s="253"/>
      <c r="EF279" s="253"/>
      <c r="EG279" s="253"/>
      <c r="EH279" s="253"/>
      <c r="EI279" s="253"/>
      <c r="EJ279" s="253"/>
      <c r="EK279" s="253"/>
      <c r="EL279" s="253"/>
      <c r="EM279" s="253"/>
      <c r="EN279" s="253"/>
      <c r="EO279" s="253"/>
      <c r="EP279" s="253"/>
      <c r="EQ279" s="253"/>
      <c r="ER279" s="253"/>
      <c r="ES279" s="253"/>
      <c r="ET279" s="253"/>
      <c r="EU279" s="253"/>
      <c r="EV279" s="253"/>
      <c r="EW279" s="253"/>
      <c r="EX279" s="253"/>
      <c r="EY279" s="253"/>
      <c r="EZ279" s="253"/>
      <c r="FA279" s="253"/>
      <c r="FB279" s="253"/>
      <c r="FC279" s="253"/>
      <c r="FD279" s="253"/>
      <c r="FE279" s="253"/>
      <c r="FF279" s="253"/>
      <c r="FG279" s="253"/>
      <c r="FH279" s="253"/>
      <c r="FI279" s="253"/>
      <c r="FJ279" s="253"/>
      <c r="FK279" s="253"/>
      <c r="FL279" s="253"/>
      <c r="FM279" s="253"/>
      <c r="FN279" s="253"/>
      <c r="FO279" s="253"/>
      <c r="FP279" s="253"/>
      <c r="FQ279" s="253"/>
      <c r="FR279" s="253"/>
      <c r="FS279" s="253"/>
      <c r="FT279" s="253"/>
      <c r="FU279" s="253"/>
      <c r="FV279" s="253"/>
      <c r="FW279" s="253"/>
      <c r="FX279" s="253"/>
      <c r="FY279" s="253"/>
      <c r="FZ279" s="253"/>
      <c r="GA279" s="253"/>
      <c r="GB279" s="253"/>
      <c r="GC279" s="253"/>
      <c r="GD279" s="253"/>
      <c r="GE279" s="253"/>
      <c r="GF279" s="253"/>
      <c r="GG279" s="253"/>
      <c r="GH279" s="253"/>
      <c r="GI279" s="253"/>
      <c r="GJ279" s="253"/>
      <c r="GK279" s="253"/>
      <c r="GL279" s="253"/>
      <c r="GM279" s="253"/>
      <c r="GN279" s="253"/>
      <c r="GO279" s="253"/>
      <c r="GP279" s="253"/>
      <c r="GQ279" s="253"/>
      <c r="GR279" s="253"/>
      <c r="GS279" s="253"/>
      <c r="GT279" s="253"/>
      <c r="GU279" s="253"/>
      <c r="GV279" s="253"/>
      <c r="GW279" s="253"/>
      <c r="GX279" s="253"/>
      <c r="GY279" s="253"/>
      <c r="GZ279" s="253"/>
      <c r="HA279" s="253"/>
      <c r="HB279" s="253"/>
      <c r="HC279" s="253"/>
      <c r="HD279" s="253"/>
      <c r="HE279" s="253"/>
      <c r="HF279" s="253"/>
      <c r="HG279" s="253"/>
      <c r="HH279" s="253"/>
      <c r="HI279" s="253"/>
      <c r="HJ279" s="253"/>
      <c r="HK279" s="253"/>
      <c r="HL279" s="253"/>
      <c r="HM279" s="253"/>
      <c r="HN279" s="253"/>
      <c r="HO279" s="253"/>
      <c r="HP279" s="253"/>
      <c r="HQ279" s="253"/>
      <c r="HR279" s="253"/>
      <c r="HS279" s="253"/>
      <c r="HT279" s="253"/>
      <c r="HU279" s="253"/>
      <c r="HV279" s="253"/>
      <c r="HW279" s="253"/>
      <c r="HX279" s="253"/>
      <c r="HY279" s="253"/>
      <c r="HZ279" s="253"/>
      <c r="IA279" s="253"/>
      <c r="IB279" s="253"/>
      <c r="IC279" s="253"/>
      <c r="ID279" s="253"/>
      <c r="IE279" s="253"/>
      <c r="IF279" s="253"/>
      <c r="IG279" s="253"/>
      <c r="IH279" s="253"/>
      <c r="II279" s="253"/>
      <c r="IJ279" s="253"/>
      <c r="IK279" s="253"/>
      <c r="IL279" s="253"/>
      <c r="IM279" s="253"/>
      <c r="IN279" s="253"/>
      <c r="IO279" s="253"/>
      <c r="IP279" s="253"/>
      <c r="IQ279" s="253"/>
      <c r="IR279" s="253"/>
      <c r="IS279" s="253"/>
      <c r="IT279" s="253"/>
      <c r="IU279" s="253"/>
      <c r="IV279" s="253"/>
      <c r="IW279" s="253"/>
      <c r="IX279" s="253"/>
      <c r="IY279" s="253"/>
      <c r="IZ279" s="253"/>
      <c r="JA279" s="253"/>
      <c r="JB279" s="253"/>
      <c r="JC279" s="253"/>
      <c r="JD279" s="253"/>
      <c r="JE279" s="253"/>
      <c r="JF279" s="253"/>
      <c r="JG279" s="253"/>
      <c r="JH279" s="253"/>
      <c r="JI279" s="253"/>
      <c r="JJ279" s="253"/>
      <c r="JK279" s="253"/>
      <c r="JL279" s="253"/>
      <c r="JM279" s="253"/>
      <c r="JN279" s="253"/>
      <c r="JO279" s="253"/>
      <c r="JP279" s="253"/>
      <c r="JQ279" s="253"/>
      <c r="JR279" s="253"/>
      <c r="JS279" s="253"/>
      <c r="JT279" s="253"/>
      <c r="JU279" s="253"/>
      <c r="JV279" s="253"/>
      <c r="JW279" s="253"/>
      <c r="JX279" s="253"/>
      <c r="JY279" s="253"/>
      <c r="JZ279" s="253"/>
      <c r="KA279" s="253"/>
      <c r="KB279" s="253"/>
      <c r="KC279" s="253"/>
      <c r="KD279" s="253"/>
      <c r="KE279" s="253"/>
      <c r="KF279" s="253"/>
      <c r="KG279" s="253"/>
      <c r="KH279" s="253"/>
      <c r="KI279" s="253"/>
      <c r="KJ279" s="253"/>
      <c r="KK279" s="253"/>
      <c r="KL279" s="253"/>
      <c r="KM279" s="253"/>
      <c r="KN279" s="253"/>
      <c r="KO279" s="253"/>
      <c r="KP279" s="253"/>
      <c r="KQ279" s="253"/>
      <c r="KR279" s="253"/>
      <c r="KS279" s="253"/>
      <c r="KT279" s="253"/>
      <c r="KU279" s="253"/>
      <c r="KV279" s="253"/>
      <c r="KW279" s="253"/>
      <c r="KX279" s="253"/>
      <c r="KY279" s="253"/>
      <c r="KZ279" s="253"/>
      <c r="LA279" s="253"/>
      <c r="LB279" s="253"/>
      <c r="LC279" s="253"/>
      <c r="LD279" s="253"/>
      <c r="LE279" s="253"/>
      <c r="LF279" s="1296"/>
      <c r="LG279" s="253"/>
      <c r="LH279" s="253"/>
      <c r="LI279" s="253"/>
      <c r="LJ279" s="253"/>
      <c r="LK279" s="1296"/>
      <c r="LL279" s="253"/>
      <c r="LM279" s="253"/>
      <c r="LN279" s="253"/>
      <c r="LO279" s="253"/>
      <c r="LP279" s="1296"/>
      <c r="LQ279" s="253"/>
      <c r="LR279" s="253"/>
      <c r="LS279" s="253"/>
      <c r="LT279" s="253"/>
      <c r="LU279" s="1296"/>
      <c r="LV279" s="1296"/>
      <c r="LW279" s="1296"/>
      <c r="LX279" s="1296"/>
      <c r="LY279" s="1296"/>
      <c r="LZ279" s="1296"/>
      <c r="MA279" s="1296"/>
      <c r="MB279" s="1296"/>
      <c r="MC279" s="1296"/>
      <c r="MD279" s="1296"/>
      <c r="ME279" s="1296"/>
      <c r="MF279" s="1296"/>
      <c r="MG279" s="1296"/>
      <c r="MH279" s="1296"/>
      <c r="MI279" s="1296"/>
      <c r="MJ279" s="1296"/>
      <c r="MK279" s="1296"/>
      <c r="ML279" s="1296"/>
      <c r="MM279" s="1296"/>
      <c r="MN279" s="1296"/>
      <c r="MO279" s="1296"/>
      <c r="MP279" s="1296"/>
      <c r="MQ279" s="253"/>
      <c r="MR279" s="253"/>
      <c r="MS279" s="253"/>
      <c r="MT279" s="253"/>
      <c r="MU279" s="253"/>
      <c r="MV279" s="253"/>
      <c r="MW279" s="1184"/>
      <c r="MX279" s="253"/>
      <c r="MY279" s="253"/>
      <c r="MZ279" s="253"/>
      <c r="NA279" s="253"/>
      <c r="NB279" s="253"/>
      <c r="NC279" s="253"/>
      <c r="ND279" s="253"/>
      <c r="NE279" s="253"/>
      <c r="NF279" s="253"/>
      <c r="NG279" s="253"/>
      <c r="NH279" s="253"/>
      <c r="NI279" s="253"/>
      <c r="NJ279" s="253"/>
      <c r="NK279" s="253"/>
      <c r="NL279" s="253"/>
      <c r="NM279" s="1184"/>
      <c r="NN279" s="1184"/>
      <c r="NO279" s="253"/>
      <c r="NP279" s="253"/>
      <c r="NQ279" s="253"/>
      <c r="NR279" s="253"/>
      <c r="NS279" s="253"/>
      <c r="NT279" s="253"/>
      <c r="NU279" s="253"/>
      <c r="NV279" s="253"/>
      <c r="NW279" s="253"/>
      <c r="NX279" s="253"/>
      <c r="NY279" s="253"/>
      <c r="NZ279" s="253"/>
      <c r="OA279" s="253"/>
      <c r="OB279" s="253"/>
      <c r="OC279" s="253"/>
      <c r="OD279" s="253"/>
      <c r="OE279" s="253"/>
      <c r="OF279" s="253"/>
      <c r="OG279" s="253"/>
      <c r="OH279" s="253"/>
      <c r="OI279" s="253"/>
      <c r="OJ279" s="253"/>
      <c r="OK279" s="253"/>
      <c r="OL279" s="253"/>
      <c r="OM279" s="253"/>
      <c r="ON279" s="253"/>
      <c r="OO279" s="253"/>
      <c r="OP279" s="253"/>
      <c r="OQ279" s="253"/>
      <c r="OR279" s="253"/>
      <c r="OS279" s="253"/>
      <c r="OT279" s="253"/>
      <c r="OU279" s="253"/>
      <c r="OV279" s="43"/>
      <c r="OW279" s="43"/>
      <c r="OX279" s="43"/>
      <c r="OY279" s="1796"/>
      <c r="OZ279" s="1801">
        <v>275</v>
      </c>
      <c r="PA279" s="43"/>
      <c r="PB279" s="43"/>
      <c r="PC279" s="43"/>
      <c r="PD279" s="43"/>
      <c r="PE279" s="43"/>
      <c r="PF279" s="43"/>
      <c r="PG279" s="43"/>
      <c r="PH279" s="43"/>
      <c r="PI279" s="43"/>
      <c r="PJ279" s="43"/>
      <c r="PK279" s="43"/>
      <c r="PL279" s="43"/>
      <c r="PM279" s="43"/>
      <c r="PN279" s="43"/>
      <c r="PO279" s="43"/>
      <c r="PP279" s="43"/>
      <c r="PQ279" s="43"/>
      <c r="PR279" s="43"/>
      <c r="PS279" s="43"/>
      <c r="PT279" s="43"/>
      <c r="PU279" s="43"/>
      <c r="PV279" s="43"/>
      <c r="PW279" s="43"/>
      <c r="PX279" s="43"/>
      <c r="PY279" s="43"/>
      <c r="PZ279" s="43"/>
      <c r="QA279" s="43"/>
      <c r="QB279" s="43"/>
      <c r="QC279" s="43"/>
      <c r="QD279" s="43"/>
      <c r="QE279" s="43"/>
      <c r="QF279" s="43"/>
      <c r="QG279" s="43"/>
      <c r="QH279" s="43"/>
      <c r="QI279" s="43"/>
      <c r="QJ279" s="43"/>
      <c r="QK279" s="43"/>
      <c r="QL279" s="43"/>
      <c r="QM279" s="43"/>
      <c r="QN279" s="43"/>
      <c r="QO279" s="43"/>
      <c r="QP279" s="43"/>
      <c r="QQ279" s="43"/>
      <c r="QR279" s="43"/>
      <c r="QS279" s="43"/>
      <c r="QT279" s="43"/>
      <c r="QU279" s="43"/>
      <c r="QV279" s="43"/>
      <c r="QW279" s="43"/>
      <c r="QX279" s="43"/>
      <c r="QY279" s="43"/>
      <c r="QZ279" s="43"/>
      <c r="RA279" s="43"/>
      <c r="RB279" s="43"/>
      <c r="RC279" s="43"/>
      <c r="RD279" s="43"/>
      <c r="RE279" s="43"/>
      <c r="RF279" s="43"/>
      <c r="RG279" s="43"/>
      <c r="RH279" s="43"/>
      <c r="RI279" s="43"/>
      <c r="RJ279" s="43"/>
      <c r="RK279" s="43"/>
      <c r="RL279" s="43"/>
      <c r="RM279" s="43"/>
      <c r="RN279" s="43"/>
      <c r="RO279" s="43"/>
      <c r="RP279" s="43"/>
      <c r="RQ279" s="43"/>
      <c r="RR279" s="43"/>
      <c r="RS279" s="43"/>
      <c r="RT279" s="43"/>
      <c r="RU279" s="43"/>
      <c r="RV279" s="43"/>
      <c r="RW279" s="43"/>
      <c r="RX279" s="43"/>
      <c r="RY279" s="43"/>
      <c r="RZ279" s="43"/>
      <c r="SA279" s="43"/>
      <c r="SB279" s="43"/>
      <c r="SC279" s="43"/>
      <c r="SD279" s="43"/>
      <c r="SE279" s="43"/>
      <c r="SF279" s="43"/>
      <c r="SG279" s="43"/>
      <c r="SH279" s="43"/>
      <c r="SI279" s="43"/>
      <c r="SJ279" s="43"/>
      <c r="SK279" s="43"/>
      <c r="SL279" s="43"/>
      <c r="SM279" s="43"/>
      <c r="SN279" s="43"/>
      <c r="SO279" s="43"/>
      <c r="SP279" s="43"/>
      <c r="SQ279" s="43"/>
      <c r="SR279" s="43"/>
      <c r="SS279" s="43"/>
      <c r="ST279" s="43"/>
      <c r="SU279" s="43"/>
      <c r="SV279" s="43"/>
      <c r="SW279" s="43"/>
      <c r="SX279" s="43"/>
      <c r="SY279" s="43"/>
      <c r="SZ279" s="43"/>
      <c r="TA279" s="43"/>
      <c r="TB279" s="43"/>
      <c r="TC279" s="43"/>
      <c r="TD279" s="43"/>
      <c r="TE279" s="43"/>
      <c r="TF279" s="43"/>
      <c r="TG279" s="43"/>
      <c r="TH279" s="43"/>
    </row>
    <row r="280" spans="1:528" s="41" customFormat="1" ht="16.5" customHeight="1">
      <c r="A280" s="43"/>
      <c r="B280" s="3"/>
      <c r="C280" s="5"/>
      <c r="D280" s="43"/>
      <c r="E280" s="43"/>
      <c r="F280" s="2373"/>
      <c r="G280" s="2373"/>
      <c r="H280" s="43"/>
      <c r="I280" s="43" t="s">
        <v>1363</v>
      </c>
      <c r="K280" s="2373"/>
      <c r="L280" s="3739"/>
      <c r="M280" s="3740"/>
      <c r="N280" s="43"/>
      <c r="O280" s="3"/>
      <c r="P280" s="43"/>
      <c r="Q280" s="2369"/>
      <c r="R280" s="2369"/>
      <c r="X280" s="251"/>
      <c r="Y280" s="253"/>
      <c r="Z280" s="253"/>
      <c r="AA280" s="253"/>
      <c r="AB280" s="253"/>
      <c r="AC280" s="251"/>
      <c r="AD280" s="253"/>
      <c r="AE280" s="253"/>
      <c r="AF280" s="253"/>
      <c r="AG280" s="253"/>
      <c r="AH280" s="251"/>
      <c r="AI280" s="253"/>
      <c r="AJ280" s="253"/>
      <c r="AK280" s="253"/>
      <c r="AL280" s="253"/>
      <c r="AM280" s="251"/>
      <c r="AN280" s="253"/>
      <c r="AO280" s="253"/>
      <c r="AP280" s="253"/>
      <c r="AQ280" s="253"/>
      <c r="AR280" s="253"/>
      <c r="AS280" s="253"/>
      <c r="AT280" s="253"/>
      <c r="AU280" s="253"/>
      <c r="AV280" s="253"/>
      <c r="AW280" s="253"/>
      <c r="AX280" s="253"/>
      <c r="AY280" s="253"/>
      <c r="AZ280" s="253"/>
      <c r="BA280" s="253"/>
      <c r="BB280" s="253"/>
      <c r="BC280" s="253"/>
      <c r="BD280" s="253"/>
      <c r="BE280" s="253"/>
      <c r="BF280" s="253"/>
      <c r="BG280" s="253"/>
      <c r="BH280" s="253"/>
      <c r="BI280" s="253"/>
      <c r="BJ280" s="253"/>
      <c r="BK280" s="253"/>
      <c r="BL280" s="253"/>
      <c r="BM280" s="253"/>
      <c r="BN280" s="253"/>
      <c r="BO280" s="253"/>
      <c r="BP280" s="253"/>
      <c r="BQ280" s="253"/>
      <c r="BR280" s="253"/>
      <c r="BS280" s="253"/>
      <c r="BT280" s="253"/>
      <c r="BU280" s="253"/>
      <c r="BV280" s="253"/>
      <c r="BW280" s="253"/>
      <c r="BX280" s="253"/>
      <c r="BY280" s="253"/>
      <c r="BZ280" s="253"/>
      <c r="CA280" s="253"/>
      <c r="CB280" s="253"/>
      <c r="CC280" s="253"/>
      <c r="CD280" s="253"/>
      <c r="CE280" s="253"/>
      <c r="CF280" s="253"/>
      <c r="CG280" s="253"/>
      <c r="CH280" s="253"/>
      <c r="CI280" s="253"/>
      <c r="CJ280" s="253"/>
      <c r="CK280" s="253"/>
      <c r="CL280" s="253"/>
      <c r="CM280" s="253"/>
      <c r="CN280" s="253"/>
      <c r="CO280" s="253"/>
      <c r="CP280" s="253"/>
      <c r="CQ280" s="253"/>
      <c r="CR280" s="253"/>
      <c r="CS280" s="253"/>
      <c r="CT280" s="253"/>
      <c r="CU280" s="253"/>
      <c r="CV280" s="253"/>
      <c r="CW280" s="253"/>
      <c r="CX280" s="253"/>
      <c r="CY280" s="253"/>
      <c r="CZ280" s="253"/>
      <c r="DA280" s="253"/>
      <c r="DB280" s="253"/>
      <c r="DC280" s="253"/>
      <c r="DD280" s="253"/>
      <c r="DE280" s="253"/>
      <c r="DF280" s="253"/>
      <c r="DG280" s="253"/>
      <c r="DH280" s="253"/>
      <c r="DI280" s="253"/>
      <c r="DJ280" s="253"/>
      <c r="DK280" s="253"/>
      <c r="DL280" s="253"/>
      <c r="DM280" s="253"/>
      <c r="DN280" s="253"/>
      <c r="DO280" s="253"/>
      <c r="DP280" s="253"/>
      <c r="DQ280" s="253"/>
      <c r="DR280" s="253"/>
      <c r="DS280" s="253"/>
      <c r="DT280" s="253"/>
      <c r="DU280" s="253"/>
      <c r="DV280" s="253"/>
      <c r="DW280" s="253"/>
      <c r="DX280" s="253"/>
      <c r="DY280" s="253"/>
      <c r="DZ280" s="253"/>
      <c r="EA280" s="253"/>
      <c r="EB280" s="253"/>
      <c r="EC280" s="253"/>
      <c r="ED280" s="253"/>
      <c r="EE280" s="253"/>
      <c r="EF280" s="253"/>
      <c r="EG280" s="253"/>
      <c r="EH280" s="253"/>
      <c r="EI280" s="253"/>
      <c r="EJ280" s="253"/>
      <c r="EK280" s="253"/>
      <c r="EL280" s="253"/>
      <c r="EM280" s="253"/>
      <c r="EN280" s="253"/>
      <c r="EO280" s="253"/>
      <c r="EP280" s="253"/>
      <c r="EQ280" s="253"/>
      <c r="ER280" s="253"/>
      <c r="ES280" s="253"/>
      <c r="ET280" s="253"/>
      <c r="EU280" s="253"/>
      <c r="EV280" s="253"/>
      <c r="EW280" s="253"/>
      <c r="EX280" s="253"/>
      <c r="EY280" s="253"/>
      <c r="EZ280" s="253"/>
      <c r="FA280" s="253"/>
      <c r="FB280" s="253"/>
      <c r="FC280" s="253"/>
      <c r="FD280" s="253"/>
      <c r="FE280" s="253"/>
      <c r="FF280" s="253"/>
      <c r="FG280" s="253"/>
      <c r="FH280" s="253"/>
      <c r="FI280" s="253"/>
      <c r="FJ280" s="253"/>
      <c r="FK280" s="253"/>
      <c r="FL280" s="253"/>
      <c r="FM280" s="253"/>
      <c r="FN280" s="253"/>
      <c r="FO280" s="253"/>
      <c r="FP280" s="253"/>
      <c r="FQ280" s="253"/>
      <c r="FR280" s="253"/>
      <c r="FS280" s="253"/>
      <c r="FT280" s="253"/>
      <c r="FU280" s="253"/>
      <c r="FV280" s="253"/>
      <c r="FW280" s="253"/>
      <c r="FX280" s="253"/>
      <c r="FY280" s="253"/>
      <c r="FZ280" s="253"/>
      <c r="GA280" s="253"/>
      <c r="GB280" s="253"/>
      <c r="GC280" s="253"/>
      <c r="GD280" s="253"/>
      <c r="GE280" s="253"/>
      <c r="GF280" s="253"/>
      <c r="GG280" s="253"/>
      <c r="GH280" s="253"/>
      <c r="GI280" s="253"/>
      <c r="GJ280" s="253"/>
      <c r="GK280" s="253"/>
      <c r="GL280" s="253"/>
      <c r="GM280" s="253"/>
      <c r="GN280" s="253"/>
      <c r="GO280" s="253"/>
      <c r="GP280" s="253"/>
      <c r="GQ280" s="253"/>
      <c r="GR280" s="253"/>
      <c r="GS280" s="253"/>
      <c r="GT280" s="253"/>
      <c r="GU280" s="253"/>
      <c r="GV280" s="253"/>
      <c r="GW280" s="253"/>
      <c r="GX280" s="253"/>
      <c r="GY280" s="253"/>
      <c r="GZ280" s="253"/>
      <c r="HA280" s="253"/>
      <c r="HB280" s="253"/>
      <c r="HC280" s="253"/>
      <c r="HD280" s="253"/>
      <c r="HE280" s="253"/>
      <c r="HF280" s="253"/>
      <c r="HG280" s="253"/>
      <c r="HH280" s="253"/>
      <c r="HI280" s="253"/>
      <c r="HJ280" s="253"/>
      <c r="HK280" s="253"/>
      <c r="HL280" s="253"/>
      <c r="HM280" s="253"/>
      <c r="HN280" s="253"/>
      <c r="HO280" s="253"/>
      <c r="HP280" s="253"/>
      <c r="HQ280" s="253"/>
      <c r="HR280" s="253"/>
      <c r="HS280" s="253"/>
      <c r="HT280" s="253"/>
      <c r="HU280" s="253"/>
      <c r="HV280" s="253"/>
      <c r="HW280" s="253"/>
      <c r="HX280" s="253"/>
      <c r="HY280" s="253"/>
      <c r="HZ280" s="253"/>
      <c r="IA280" s="253"/>
      <c r="IB280" s="253"/>
      <c r="IC280" s="253"/>
      <c r="ID280" s="253"/>
      <c r="IE280" s="253"/>
      <c r="IF280" s="253"/>
      <c r="IG280" s="253"/>
      <c r="IH280" s="253"/>
      <c r="II280" s="253"/>
      <c r="IJ280" s="253"/>
      <c r="IK280" s="253"/>
      <c r="IL280" s="253"/>
      <c r="IM280" s="253"/>
      <c r="IN280" s="253"/>
      <c r="IO280" s="253"/>
      <c r="IP280" s="253"/>
      <c r="IQ280" s="253"/>
      <c r="IR280" s="253"/>
      <c r="IS280" s="253"/>
      <c r="IT280" s="253"/>
      <c r="IU280" s="253"/>
      <c r="IV280" s="253"/>
      <c r="IW280" s="253"/>
      <c r="IX280" s="253"/>
      <c r="IY280" s="253"/>
      <c r="IZ280" s="253"/>
      <c r="JA280" s="253"/>
      <c r="JB280" s="253"/>
      <c r="JC280" s="253"/>
      <c r="JD280" s="253"/>
      <c r="JE280" s="253"/>
      <c r="JF280" s="253"/>
      <c r="JG280" s="253"/>
      <c r="JH280" s="253"/>
      <c r="JI280" s="253"/>
      <c r="JJ280" s="253"/>
      <c r="JK280" s="253"/>
      <c r="JL280" s="253"/>
      <c r="JM280" s="253"/>
      <c r="JN280" s="253"/>
      <c r="JO280" s="253"/>
      <c r="JP280" s="253"/>
      <c r="JQ280" s="253"/>
      <c r="JR280" s="253"/>
      <c r="JS280" s="253"/>
      <c r="JT280" s="253"/>
      <c r="JU280" s="253"/>
      <c r="JV280" s="253"/>
      <c r="JW280" s="253"/>
      <c r="JX280" s="253"/>
      <c r="JY280" s="253"/>
      <c r="JZ280" s="253"/>
      <c r="KA280" s="253"/>
      <c r="KB280" s="253"/>
      <c r="KC280" s="253"/>
      <c r="KD280" s="253"/>
      <c r="KE280" s="253"/>
      <c r="KF280" s="253"/>
      <c r="KG280" s="253"/>
      <c r="KH280" s="253"/>
      <c r="KI280" s="253"/>
      <c r="KJ280" s="253"/>
      <c r="KK280" s="253"/>
      <c r="KL280" s="253"/>
      <c r="KM280" s="253"/>
      <c r="KN280" s="253"/>
      <c r="KO280" s="253"/>
      <c r="KP280" s="253"/>
      <c r="KQ280" s="253"/>
      <c r="KR280" s="253"/>
      <c r="KS280" s="253"/>
      <c r="KT280" s="253"/>
      <c r="KU280" s="253"/>
      <c r="KV280" s="253"/>
      <c r="KW280" s="253"/>
      <c r="KX280" s="253"/>
      <c r="KY280" s="253"/>
      <c r="KZ280" s="253"/>
      <c r="LA280" s="253"/>
      <c r="LB280" s="253"/>
      <c r="LC280" s="253"/>
      <c r="LD280" s="253"/>
      <c r="LE280" s="253"/>
      <c r="LF280" s="1296"/>
      <c r="LG280" s="253"/>
      <c r="LH280" s="253"/>
      <c r="LI280" s="253"/>
      <c r="LJ280" s="253"/>
      <c r="LK280" s="1296"/>
      <c r="LL280" s="253"/>
      <c r="LM280" s="253"/>
      <c r="LN280" s="253"/>
      <c r="LO280" s="253"/>
      <c r="LP280" s="1296"/>
      <c r="LQ280" s="253"/>
      <c r="LR280" s="253"/>
      <c r="LS280" s="253"/>
      <c r="LT280" s="253"/>
      <c r="LU280" s="1296"/>
      <c r="LV280" s="1296"/>
      <c r="LW280" s="1296"/>
      <c r="LX280" s="1296"/>
      <c r="LY280" s="1296"/>
      <c r="LZ280" s="1296"/>
      <c r="MA280" s="1296"/>
      <c r="MB280" s="1296"/>
      <c r="MC280" s="1296"/>
      <c r="MD280" s="1296"/>
      <c r="ME280" s="1296"/>
      <c r="MF280" s="1296"/>
      <c r="MG280" s="1296"/>
      <c r="MH280" s="1296"/>
      <c r="MI280" s="1296"/>
      <c r="MJ280" s="1296"/>
      <c r="MK280" s="1296"/>
      <c r="ML280" s="1296"/>
      <c r="MM280" s="1296"/>
      <c r="MN280" s="1296"/>
      <c r="MO280" s="1296"/>
      <c r="MP280" s="1296"/>
      <c r="MQ280" s="253"/>
      <c r="MR280" s="253"/>
      <c r="MS280" s="253"/>
      <c r="MT280" s="253"/>
      <c r="MU280" s="253"/>
      <c r="MV280" s="253"/>
      <c r="MW280" s="1184"/>
      <c r="MX280" s="253"/>
      <c r="MY280" s="253"/>
      <c r="MZ280" s="253"/>
      <c r="NA280" s="253"/>
      <c r="NB280" s="253"/>
      <c r="NC280" s="253"/>
      <c r="ND280" s="253"/>
      <c r="NE280" s="253"/>
      <c r="NF280" s="253"/>
      <c r="NG280" s="253"/>
      <c r="NH280" s="253"/>
      <c r="NI280" s="253"/>
      <c r="NJ280" s="253"/>
      <c r="NK280" s="253"/>
      <c r="NL280" s="253"/>
      <c r="NM280" s="1184"/>
      <c r="NN280" s="1184"/>
      <c r="NO280" s="253"/>
      <c r="NP280" s="253"/>
      <c r="NQ280" s="253"/>
      <c r="NR280" s="253"/>
      <c r="NS280" s="253"/>
      <c r="NT280" s="253"/>
      <c r="NU280" s="253"/>
      <c r="NV280" s="253"/>
      <c r="NW280" s="253"/>
      <c r="NX280" s="253"/>
      <c r="NY280" s="253"/>
      <c r="NZ280" s="253"/>
      <c r="OA280" s="253"/>
      <c r="OB280" s="253"/>
      <c r="OC280" s="253"/>
      <c r="OD280" s="253"/>
      <c r="OE280" s="253"/>
      <c r="OF280" s="253"/>
      <c r="OG280" s="253"/>
      <c r="OH280" s="253"/>
      <c r="OI280" s="253"/>
      <c r="OJ280" s="253"/>
      <c r="OK280" s="253"/>
      <c r="OL280" s="253"/>
      <c r="OM280" s="253"/>
      <c r="ON280" s="253"/>
      <c r="OO280" s="253"/>
      <c r="OP280" s="253"/>
      <c r="OQ280" s="253"/>
      <c r="OR280" s="253"/>
      <c r="OS280" s="253"/>
      <c r="OT280" s="253"/>
      <c r="OU280" s="253"/>
      <c r="OV280" s="43"/>
      <c r="OW280" s="43"/>
      <c r="OX280" s="43"/>
      <c r="OY280" s="1796"/>
      <c r="OZ280" s="1799">
        <v>276</v>
      </c>
      <c r="PA280" s="43"/>
      <c r="PB280" s="43"/>
      <c r="PC280" s="43"/>
      <c r="PD280" s="43"/>
      <c r="PE280" s="43"/>
      <c r="PF280" s="43"/>
      <c r="PG280" s="43"/>
      <c r="PH280" s="43"/>
      <c r="PI280" s="43"/>
      <c r="PJ280" s="43"/>
      <c r="PK280" s="43"/>
      <c r="PL280" s="43"/>
      <c r="PM280" s="43"/>
      <c r="PN280" s="43"/>
      <c r="PO280" s="43"/>
      <c r="PP280" s="43"/>
      <c r="PQ280" s="43"/>
      <c r="PR280" s="43"/>
      <c r="PS280" s="43"/>
      <c r="PT280" s="43"/>
      <c r="PU280" s="43"/>
      <c r="PV280" s="43"/>
      <c r="PW280" s="43"/>
      <c r="PX280" s="43"/>
      <c r="PY280" s="43"/>
      <c r="PZ280" s="43"/>
      <c r="QA280" s="43"/>
      <c r="QB280" s="43"/>
      <c r="QC280" s="43"/>
      <c r="QD280" s="43"/>
      <c r="QE280" s="43"/>
      <c r="QF280" s="43"/>
      <c r="QG280" s="43"/>
      <c r="QH280" s="43"/>
      <c r="QI280" s="43"/>
      <c r="QJ280" s="43"/>
      <c r="QK280" s="43"/>
      <c r="QL280" s="43"/>
      <c r="QM280" s="43"/>
      <c r="QN280" s="43"/>
      <c r="QO280" s="43"/>
      <c r="QP280" s="43"/>
      <c r="QQ280" s="43"/>
      <c r="QR280" s="43"/>
      <c r="QS280" s="43"/>
      <c r="QT280" s="43"/>
      <c r="QU280" s="43"/>
      <c r="QV280" s="43"/>
      <c r="QW280" s="43"/>
      <c r="QX280" s="43"/>
      <c r="QY280" s="43"/>
      <c r="QZ280" s="43"/>
      <c r="RA280" s="43"/>
      <c r="RB280" s="43"/>
      <c r="RC280" s="43"/>
      <c r="RD280" s="43"/>
      <c r="RE280" s="43"/>
      <c r="RF280" s="43"/>
      <c r="RG280" s="43"/>
      <c r="RH280" s="43"/>
      <c r="RI280" s="43"/>
      <c r="RJ280" s="43"/>
      <c r="RK280" s="43"/>
      <c r="RL280" s="43"/>
      <c r="RM280" s="43"/>
      <c r="RN280" s="43"/>
      <c r="RO280" s="43"/>
      <c r="RP280" s="43"/>
      <c r="RQ280" s="43"/>
      <c r="RR280" s="43"/>
      <c r="RS280" s="43"/>
      <c r="RT280" s="43"/>
      <c r="RU280" s="43"/>
      <c r="RV280" s="43"/>
      <c r="RW280" s="43"/>
      <c r="RX280" s="43"/>
      <c r="RY280" s="43"/>
      <c r="RZ280" s="43"/>
      <c r="SA280" s="43"/>
      <c r="SB280" s="43"/>
      <c r="SC280" s="43"/>
      <c r="SD280" s="43"/>
      <c r="SE280" s="43"/>
      <c r="SF280" s="43"/>
      <c r="SG280" s="43"/>
      <c r="SH280" s="43"/>
      <c r="SI280" s="43"/>
      <c r="SJ280" s="43"/>
      <c r="SK280" s="43"/>
      <c r="SL280" s="43"/>
      <c r="SM280" s="43"/>
      <c r="SN280" s="43"/>
      <c r="SO280" s="43"/>
      <c r="SP280" s="43"/>
      <c r="SQ280" s="43"/>
      <c r="SR280" s="43"/>
      <c r="SS280" s="43"/>
      <c r="ST280" s="43"/>
      <c r="SU280" s="43"/>
      <c r="SV280" s="43"/>
      <c r="SW280" s="43"/>
      <c r="SX280" s="43"/>
      <c r="SY280" s="43"/>
      <c r="SZ280" s="43"/>
      <c r="TA280" s="43"/>
      <c r="TB280" s="43"/>
      <c r="TC280" s="43"/>
      <c r="TD280" s="43"/>
      <c r="TE280" s="43"/>
      <c r="TF280" s="43"/>
      <c r="TG280" s="43"/>
      <c r="TH280" s="43"/>
    </row>
    <row r="281" spans="1:528" s="41" customFormat="1" ht="16.5" customHeight="1">
      <c r="A281" s="43"/>
      <c r="B281" s="3"/>
      <c r="C281" s="5"/>
      <c r="D281" s="43"/>
      <c r="E281" s="43"/>
      <c r="F281" s="2373"/>
      <c r="G281" s="2373"/>
      <c r="H281" s="43"/>
      <c r="I281" s="43"/>
      <c r="J281" s="43"/>
      <c r="K281" s="2373"/>
      <c r="L281" s="43"/>
      <c r="M281" s="43"/>
      <c r="N281" s="43"/>
      <c r="O281" s="3"/>
      <c r="P281" s="43"/>
      <c r="Q281" s="2369"/>
      <c r="R281" s="2369"/>
      <c r="X281" s="251"/>
      <c r="Y281" s="253"/>
      <c r="Z281" s="253"/>
      <c r="AA281" s="253"/>
      <c r="AB281" s="253"/>
      <c r="AC281" s="251"/>
      <c r="AD281" s="253"/>
      <c r="AE281" s="253"/>
      <c r="AF281" s="253"/>
      <c r="AG281" s="253"/>
      <c r="AH281" s="251"/>
      <c r="AI281" s="253"/>
      <c r="AJ281" s="253"/>
      <c r="AK281" s="253"/>
      <c r="AL281" s="253"/>
      <c r="AM281" s="251"/>
      <c r="AN281" s="253"/>
      <c r="AO281" s="253"/>
      <c r="AP281" s="253"/>
      <c r="AQ281" s="253"/>
      <c r="AR281" s="253"/>
      <c r="AS281" s="253"/>
      <c r="AT281" s="253"/>
      <c r="AU281" s="253"/>
      <c r="AV281" s="253"/>
      <c r="AW281" s="253"/>
      <c r="AX281" s="253"/>
      <c r="AY281" s="253"/>
      <c r="AZ281" s="253"/>
      <c r="BA281" s="253"/>
      <c r="BB281" s="253"/>
      <c r="BC281" s="253"/>
      <c r="BD281" s="253"/>
      <c r="BE281" s="253"/>
      <c r="BF281" s="253"/>
      <c r="BG281" s="253"/>
      <c r="BH281" s="253"/>
      <c r="BI281" s="253"/>
      <c r="BJ281" s="253"/>
      <c r="BK281" s="253"/>
      <c r="BL281" s="253"/>
      <c r="BM281" s="253"/>
      <c r="BN281" s="253"/>
      <c r="BO281" s="253"/>
      <c r="BP281" s="253"/>
      <c r="BQ281" s="253"/>
      <c r="BR281" s="253"/>
      <c r="BS281" s="253"/>
      <c r="BT281" s="253"/>
      <c r="BU281" s="253"/>
      <c r="BV281" s="253"/>
      <c r="BW281" s="253"/>
      <c r="BX281" s="253"/>
      <c r="BY281" s="253"/>
      <c r="BZ281" s="253"/>
      <c r="CA281" s="253"/>
      <c r="CB281" s="253"/>
      <c r="CC281" s="253"/>
      <c r="CD281" s="253"/>
      <c r="CE281" s="253"/>
      <c r="CF281" s="253"/>
      <c r="CG281" s="253"/>
      <c r="CH281" s="253"/>
      <c r="CI281" s="253"/>
      <c r="CJ281" s="253"/>
      <c r="CK281" s="253"/>
      <c r="CL281" s="253"/>
      <c r="CM281" s="253"/>
      <c r="CN281" s="253"/>
      <c r="CO281" s="253"/>
      <c r="CP281" s="253"/>
      <c r="CQ281" s="253"/>
      <c r="CR281" s="253"/>
      <c r="CS281" s="253"/>
      <c r="CT281" s="253"/>
      <c r="CU281" s="253"/>
      <c r="CV281" s="253"/>
      <c r="CW281" s="253"/>
      <c r="CX281" s="253"/>
      <c r="CY281" s="253"/>
      <c r="CZ281" s="253"/>
      <c r="DA281" s="253"/>
      <c r="DB281" s="253"/>
      <c r="DC281" s="253"/>
      <c r="DD281" s="253"/>
      <c r="DE281" s="253"/>
      <c r="DF281" s="253"/>
      <c r="DG281" s="253"/>
      <c r="DH281" s="253"/>
      <c r="DI281" s="253"/>
      <c r="DJ281" s="253"/>
      <c r="DK281" s="253"/>
      <c r="DL281" s="253"/>
      <c r="DM281" s="253"/>
      <c r="DN281" s="253"/>
      <c r="DO281" s="253"/>
      <c r="DP281" s="253"/>
      <c r="DQ281" s="253"/>
      <c r="DR281" s="253"/>
      <c r="DS281" s="253"/>
      <c r="DT281" s="253"/>
      <c r="DU281" s="253"/>
      <c r="DV281" s="253"/>
      <c r="DW281" s="253"/>
      <c r="DX281" s="253"/>
      <c r="DY281" s="253"/>
      <c r="DZ281" s="253"/>
      <c r="EA281" s="253"/>
      <c r="EB281" s="253"/>
      <c r="EC281" s="253"/>
      <c r="ED281" s="253"/>
      <c r="EE281" s="253"/>
      <c r="EF281" s="253"/>
      <c r="EG281" s="253"/>
      <c r="EH281" s="253"/>
      <c r="EI281" s="253"/>
      <c r="EJ281" s="253"/>
      <c r="EK281" s="253"/>
      <c r="EL281" s="253"/>
      <c r="EM281" s="253"/>
      <c r="EN281" s="253"/>
      <c r="EO281" s="253"/>
      <c r="EP281" s="253"/>
      <c r="EQ281" s="253"/>
      <c r="ER281" s="253"/>
      <c r="ES281" s="253"/>
      <c r="ET281" s="253"/>
      <c r="EU281" s="253"/>
      <c r="EV281" s="253"/>
      <c r="EW281" s="253"/>
      <c r="EX281" s="253"/>
      <c r="EY281" s="253"/>
      <c r="EZ281" s="253"/>
      <c r="FA281" s="253"/>
      <c r="FB281" s="253"/>
      <c r="FC281" s="253"/>
      <c r="FD281" s="253"/>
      <c r="FE281" s="253"/>
      <c r="FF281" s="253"/>
      <c r="FG281" s="253"/>
      <c r="FH281" s="253"/>
      <c r="FI281" s="253"/>
      <c r="FJ281" s="253"/>
      <c r="FK281" s="253"/>
      <c r="FL281" s="253"/>
      <c r="FM281" s="253"/>
      <c r="FN281" s="253"/>
      <c r="FO281" s="253"/>
      <c r="FP281" s="253"/>
      <c r="FQ281" s="253"/>
      <c r="FR281" s="253"/>
      <c r="FS281" s="253"/>
      <c r="FT281" s="253"/>
      <c r="FU281" s="253"/>
      <c r="FV281" s="253"/>
      <c r="FW281" s="253"/>
      <c r="FX281" s="253"/>
      <c r="FY281" s="253"/>
      <c r="FZ281" s="253"/>
      <c r="GA281" s="253"/>
      <c r="GB281" s="253"/>
      <c r="GC281" s="253"/>
      <c r="GD281" s="253"/>
      <c r="GE281" s="253"/>
      <c r="GF281" s="253"/>
      <c r="GG281" s="253"/>
      <c r="GH281" s="253"/>
      <c r="GI281" s="253"/>
      <c r="GJ281" s="253"/>
      <c r="GK281" s="253"/>
      <c r="GL281" s="253"/>
      <c r="GM281" s="253"/>
      <c r="GN281" s="253"/>
      <c r="GO281" s="253"/>
      <c r="GP281" s="253"/>
      <c r="GQ281" s="253"/>
      <c r="GR281" s="253"/>
      <c r="GS281" s="253"/>
      <c r="GT281" s="253"/>
      <c r="GU281" s="253"/>
      <c r="GV281" s="253"/>
      <c r="GW281" s="253"/>
      <c r="GX281" s="253"/>
      <c r="GY281" s="253"/>
      <c r="GZ281" s="253"/>
      <c r="HA281" s="253"/>
      <c r="HB281" s="253"/>
      <c r="HC281" s="253"/>
      <c r="HD281" s="253"/>
      <c r="HE281" s="253"/>
      <c r="HF281" s="253"/>
      <c r="HG281" s="253"/>
      <c r="HH281" s="253"/>
      <c r="HI281" s="253"/>
      <c r="HJ281" s="253"/>
      <c r="HK281" s="253"/>
      <c r="HL281" s="253"/>
      <c r="HM281" s="253"/>
      <c r="HN281" s="253"/>
      <c r="HO281" s="253"/>
      <c r="HP281" s="253"/>
      <c r="HQ281" s="253"/>
      <c r="HR281" s="253"/>
      <c r="HS281" s="253"/>
      <c r="HT281" s="253"/>
      <c r="HU281" s="253"/>
      <c r="HV281" s="253"/>
      <c r="HW281" s="253"/>
      <c r="HX281" s="253"/>
      <c r="HY281" s="253"/>
      <c r="HZ281" s="253"/>
      <c r="IA281" s="253"/>
      <c r="IB281" s="253"/>
      <c r="IC281" s="253"/>
      <c r="ID281" s="253"/>
      <c r="IE281" s="253"/>
      <c r="IF281" s="253"/>
      <c r="IG281" s="253"/>
      <c r="IH281" s="253"/>
      <c r="II281" s="253"/>
      <c r="IJ281" s="253"/>
      <c r="IK281" s="253"/>
      <c r="IL281" s="253"/>
      <c r="IM281" s="253"/>
      <c r="IN281" s="253"/>
      <c r="IO281" s="253"/>
      <c r="IP281" s="253"/>
      <c r="IQ281" s="253"/>
      <c r="IR281" s="253"/>
      <c r="IS281" s="253"/>
      <c r="IT281" s="253"/>
      <c r="IU281" s="253"/>
      <c r="IV281" s="253"/>
      <c r="IW281" s="253"/>
      <c r="IX281" s="253"/>
      <c r="IY281" s="253"/>
      <c r="IZ281" s="253"/>
      <c r="JA281" s="253"/>
      <c r="JB281" s="253"/>
      <c r="JC281" s="253"/>
      <c r="JD281" s="253"/>
      <c r="JE281" s="253"/>
      <c r="JF281" s="253"/>
      <c r="JG281" s="253"/>
      <c r="JH281" s="253"/>
      <c r="JI281" s="253"/>
      <c r="JJ281" s="253"/>
      <c r="JK281" s="253"/>
      <c r="JL281" s="253"/>
      <c r="JM281" s="253"/>
      <c r="JN281" s="253"/>
      <c r="JO281" s="253"/>
      <c r="JP281" s="253"/>
      <c r="JQ281" s="253"/>
      <c r="JR281" s="253"/>
      <c r="JS281" s="253"/>
      <c r="JT281" s="253"/>
      <c r="JU281" s="253"/>
      <c r="JV281" s="253"/>
      <c r="JW281" s="253"/>
      <c r="JX281" s="253"/>
      <c r="JY281" s="253"/>
      <c r="JZ281" s="253"/>
      <c r="KA281" s="253"/>
      <c r="KB281" s="253"/>
      <c r="KC281" s="253"/>
      <c r="KD281" s="253"/>
      <c r="KE281" s="253"/>
      <c r="KF281" s="253"/>
      <c r="KG281" s="253"/>
      <c r="KH281" s="253"/>
      <c r="KI281" s="253"/>
      <c r="KJ281" s="253"/>
      <c r="KK281" s="253"/>
      <c r="KL281" s="253"/>
      <c r="KM281" s="253"/>
      <c r="KN281" s="253"/>
      <c r="KO281" s="253"/>
      <c r="KP281" s="253"/>
      <c r="KQ281" s="253"/>
      <c r="KR281" s="253"/>
      <c r="KS281" s="253"/>
      <c r="KT281" s="253"/>
      <c r="KU281" s="253"/>
      <c r="KV281" s="253"/>
      <c r="KW281" s="253"/>
      <c r="KX281" s="253"/>
      <c r="KY281" s="253"/>
      <c r="KZ281" s="253"/>
      <c r="LA281" s="253"/>
      <c r="LB281" s="253"/>
      <c r="LC281" s="253"/>
      <c r="LD281" s="253"/>
      <c r="LE281" s="253"/>
      <c r="LF281" s="1296"/>
      <c r="LG281" s="253"/>
      <c r="LH281" s="253"/>
      <c r="LI281" s="253"/>
      <c r="LJ281" s="253"/>
      <c r="LK281" s="1296"/>
      <c r="LL281" s="253"/>
      <c r="LM281" s="253"/>
      <c r="LN281" s="253"/>
      <c r="LO281" s="253"/>
      <c r="LP281" s="1296"/>
      <c r="LQ281" s="253"/>
      <c r="LR281" s="253"/>
      <c r="LS281" s="253"/>
      <c r="LT281" s="253"/>
      <c r="LU281" s="1296"/>
      <c r="LV281" s="1296"/>
      <c r="LW281" s="1296"/>
      <c r="LX281" s="1296"/>
      <c r="LY281" s="1296"/>
      <c r="LZ281" s="1296"/>
      <c r="MA281" s="1296"/>
      <c r="MB281" s="1296"/>
      <c r="MC281" s="1296"/>
      <c r="MD281" s="1296"/>
      <c r="ME281" s="1296"/>
      <c r="MF281" s="1296"/>
      <c r="MG281" s="1296"/>
      <c r="MH281" s="1296"/>
      <c r="MI281" s="1296"/>
      <c r="MJ281" s="1296"/>
      <c r="MK281" s="1296"/>
      <c r="ML281" s="1296"/>
      <c r="MM281" s="1296"/>
      <c r="MN281" s="1296"/>
      <c r="MO281" s="1296"/>
      <c r="MP281" s="1296"/>
      <c r="MQ281" s="253"/>
      <c r="MR281" s="253"/>
      <c r="MS281" s="253"/>
      <c r="MT281" s="253"/>
      <c r="MU281" s="253"/>
      <c r="MV281" s="253"/>
      <c r="MW281" s="1184"/>
      <c r="MX281" s="253"/>
      <c r="MY281" s="253"/>
      <c r="MZ281" s="253"/>
      <c r="NA281" s="253"/>
      <c r="NB281" s="253"/>
      <c r="NC281" s="253"/>
      <c r="ND281" s="253"/>
      <c r="NE281" s="253"/>
      <c r="NF281" s="253"/>
      <c r="NG281" s="253"/>
      <c r="NH281" s="253"/>
      <c r="NI281" s="253"/>
      <c r="NJ281" s="253"/>
      <c r="NK281" s="253"/>
      <c r="NL281" s="253"/>
      <c r="NM281" s="1184"/>
      <c r="NN281" s="1184"/>
      <c r="NO281" s="253"/>
      <c r="NP281" s="253"/>
      <c r="NQ281" s="253"/>
      <c r="NR281" s="253"/>
      <c r="NS281" s="253"/>
      <c r="NT281" s="253"/>
      <c r="NU281" s="253"/>
      <c r="NV281" s="253"/>
      <c r="NW281" s="253"/>
      <c r="NX281" s="253"/>
      <c r="NY281" s="253"/>
      <c r="NZ281" s="253"/>
      <c r="OA281" s="253"/>
      <c r="OB281" s="253"/>
      <c r="OC281" s="253"/>
      <c r="OD281" s="253"/>
      <c r="OE281" s="253"/>
      <c r="OF281" s="253"/>
      <c r="OG281" s="253"/>
      <c r="OH281" s="253"/>
      <c r="OI281" s="253"/>
      <c r="OJ281" s="253"/>
      <c r="OK281" s="253"/>
      <c r="OL281" s="253"/>
      <c r="OM281" s="253"/>
      <c r="ON281" s="253"/>
      <c r="OO281" s="253"/>
      <c r="OP281" s="253"/>
      <c r="OQ281" s="253"/>
      <c r="OR281" s="253"/>
      <c r="OS281" s="253"/>
      <c r="OT281" s="253"/>
      <c r="OU281" s="253"/>
      <c r="OV281" s="43"/>
      <c r="OW281" s="43"/>
      <c r="OX281" s="43"/>
      <c r="OY281" s="1796"/>
      <c r="OZ281" s="1799">
        <v>277</v>
      </c>
      <c r="PA281" s="43"/>
      <c r="PB281" s="43"/>
      <c r="PC281" s="43"/>
      <c r="PD281" s="43"/>
      <c r="PE281" s="43"/>
      <c r="PF281" s="43"/>
      <c r="PG281" s="43"/>
      <c r="PH281" s="43"/>
      <c r="PI281" s="43"/>
      <c r="PJ281" s="43"/>
      <c r="PK281" s="43"/>
      <c r="PL281" s="43"/>
      <c r="PM281" s="43"/>
      <c r="PN281" s="43"/>
      <c r="PO281" s="43"/>
      <c r="PP281" s="43"/>
      <c r="PQ281" s="43"/>
      <c r="PR281" s="43"/>
      <c r="PS281" s="43"/>
      <c r="PT281" s="43"/>
      <c r="PU281" s="43"/>
      <c r="PV281" s="43"/>
      <c r="PW281" s="43"/>
      <c r="PX281" s="43"/>
      <c r="PY281" s="43"/>
      <c r="PZ281" s="43"/>
      <c r="QA281" s="43"/>
      <c r="QB281" s="43"/>
      <c r="QC281" s="43"/>
      <c r="QD281" s="43"/>
      <c r="QE281" s="43"/>
      <c r="QF281" s="43"/>
      <c r="QG281" s="43"/>
      <c r="QH281" s="43"/>
      <c r="QI281" s="43"/>
      <c r="QJ281" s="43"/>
      <c r="QK281" s="43"/>
      <c r="QL281" s="43"/>
      <c r="QM281" s="43"/>
      <c r="QN281" s="43"/>
      <c r="QO281" s="43"/>
      <c r="QP281" s="43"/>
      <c r="QQ281" s="43"/>
      <c r="QR281" s="43"/>
      <c r="QS281" s="43"/>
      <c r="QT281" s="43"/>
      <c r="QU281" s="43"/>
      <c r="QV281" s="43"/>
      <c r="QW281" s="43"/>
      <c r="QX281" s="43"/>
      <c r="QY281" s="43"/>
      <c r="QZ281" s="43"/>
      <c r="RA281" s="43"/>
      <c r="RB281" s="43"/>
      <c r="RC281" s="43"/>
      <c r="RD281" s="43"/>
      <c r="RE281" s="43"/>
      <c r="RF281" s="43"/>
      <c r="RG281" s="43"/>
      <c r="RH281" s="43"/>
      <c r="RI281" s="43"/>
      <c r="RJ281" s="43"/>
      <c r="RK281" s="43"/>
      <c r="RL281" s="43"/>
      <c r="RM281" s="43"/>
      <c r="RN281" s="43"/>
      <c r="RO281" s="43"/>
      <c r="RP281" s="43"/>
      <c r="RQ281" s="43"/>
      <c r="RR281" s="43"/>
      <c r="RS281" s="43"/>
      <c r="RT281" s="43"/>
      <c r="RU281" s="43"/>
      <c r="RV281" s="43"/>
      <c r="RW281" s="43"/>
      <c r="RX281" s="43"/>
      <c r="RY281" s="43"/>
      <c r="RZ281" s="43"/>
      <c r="SA281" s="43"/>
      <c r="SB281" s="43"/>
      <c r="SC281" s="43"/>
      <c r="SD281" s="43"/>
      <c r="SE281" s="43"/>
      <c r="SF281" s="43"/>
      <c r="SG281" s="43"/>
      <c r="SH281" s="43"/>
      <c r="SI281" s="43"/>
      <c r="SJ281" s="43"/>
      <c r="SK281" s="43"/>
      <c r="SL281" s="43"/>
      <c r="SM281" s="43"/>
      <c r="SN281" s="43"/>
      <c r="SO281" s="43"/>
      <c r="SP281" s="43"/>
      <c r="SQ281" s="43"/>
      <c r="SR281" s="43"/>
      <c r="SS281" s="43"/>
      <c r="ST281" s="43"/>
      <c r="SU281" s="43"/>
      <c r="SV281" s="43"/>
      <c r="SW281" s="43"/>
      <c r="SX281" s="43"/>
      <c r="SY281" s="43"/>
      <c r="SZ281" s="43"/>
      <c r="TA281" s="43"/>
      <c r="TB281" s="43"/>
      <c r="TC281" s="43"/>
      <c r="TD281" s="43"/>
      <c r="TE281" s="43"/>
      <c r="TF281" s="43"/>
      <c r="TG281" s="43"/>
      <c r="TH281" s="43"/>
    </row>
    <row r="282" spans="1:528" ht="12" customHeight="1">
      <c r="A282" s="6" t="s">
        <v>1364</v>
      </c>
      <c r="B282" s="6" t="s">
        <v>68</v>
      </c>
      <c r="C282" s="77"/>
      <c r="D282" s="77"/>
      <c r="E282" s="77"/>
      <c r="F282" s="77"/>
      <c r="G282" s="77"/>
      <c r="H282" s="77"/>
      <c r="I282" s="77"/>
      <c r="J282" s="77"/>
      <c r="K282" s="77"/>
      <c r="L282" s="77"/>
      <c r="M282" s="77"/>
      <c r="N282" s="6" t="s">
        <v>1365</v>
      </c>
      <c r="O282" s="6"/>
      <c r="P282" s="77"/>
      <c r="OY282" s="1796"/>
      <c r="OZ282" s="1798">
        <v>278</v>
      </c>
    </row>
    <row r="283" spans="1:528" ht="331.2" customHeight="1">
      <c r="A283" s="3713" t="s">
        <v>7733</v>
      </c>
      <c r="B283" s="3713"/>
      <c r="C283" s="3713"/>
      <c r="D283" s="3713"/>
      <c r="E283" s="3713"/>
      <c r="F283" s="3713"/>
      <c r="G283" s="3713"/>
      <c r="H283" s="3713"/>
      <c r="I283" s="3713"/>
      <c r="J283" s="3713"/>
      <c r="K283" s="3713"/>
      <c r="L283" s="3713"/>
      <c r="M283" s="3713"/>
      <c r="N283" s="3714"/>
      <c r="O283" s="3714"/>
      <c r="P283" s="3714"/>
      <c r="Q283" s="3714"/>
      <c r="R283" s="3199" t="s">
        <v>1367</v>
      </c>
      <c r="S283" s="3179"/>
      <c r="T283" s="3179"/>
      <c r="U283" s="3179"/>
      <c r="OY283" s="1796"/>
      <c r="OZ283" s="1799">
        <v>279</v>
      </c>
    </row>
    <row r="284" spans="1:528" ht="11.25" customHeight="1">
      <c r="A284" s="77"/>
      <c r="B284" s="77"/>
      <c r="C284" s="77"/>
      <c r="D284" s="77"/>
      <c r="E284" s="77"/>
      <c r="F284" s="77"/>
      <c r="G284" s="77"/>
      <c r="H284" s="77"/>
      <c r="I284" s="77"/>
      <c r="J284" s="77"/>
      <c r="K284" s="77"/>
      <c r="L284" s="77"/>
      <c r="M284" s="77"/>
      <c r="N284" s="77"/>
      <c r="O284" s="77"/>
      <c r="P284" s="77"/>
      <c r="OY284" s="1796"/>
      <c r="OZ284" s="1799">
        <v>280</v>
      </c>
    </row>
    <row r="285" spans="1:528" ht="12" customHeight="1">
      <c r="A285" s="77"/>
      <c r="B285" s="77"/>
      <c r="C285" s="77"/>
      <c r="D285" s="77"/>
      <c r="E285" s="77"/>
      <c r="F285" s="77"/>
      <c r="G285" s="77"/>
      <c r="H285" s="77"/>
      <c r="I285" s="77"/>
      <c r="J285" s="77"/>
      <c r="K285" s="77"/>
      <c r="L285" s="77"/>
      <c r="M285" s="77"/>
      <c r="N285" s="77"/>
      <c r="O285" s="77"/>
      <c r="P285" s="77"/>
      <c r="OY285" s="1796"/>
      <c r="OZ285" s="1799">
        <v>281</v>
      </c>
    </row>
    <row r="286" spans="1:528" ht="12" customHeight="1">
      <c r="A286" s="77"/>
      <c r="B286" s="77"/>
      <c r="C286" s="77"/>
      <c r="D286" s="77"/>
      <c r="E286" s="77"/>
      <c r="F286" s="77"/>
      <c r="G286" s="77"/>
      <c r="H286" s="77"/>
      <c r="I286" s="77"/>
      <c r="J286" s="77"/>
      <c r="K286" s="77"/>
      <c r="L286" s="77"/>
      <c r="M286" s="77"/>
      <c r="N286" s="77"/>
      <c r="O286" s="77"/>
      <c r="P286" s="77"/>
      <c r="OY286" s="1796"/>
      <c r="OZ286" s="1799">
        <v>282</v>
      </c>
    </row>
    <row r="287" spans="1:528" ht="14.1" customHeight="1">
      <c r="A287" s="77"/>
      <c r="B287" s="77"/>
      <c r="C287" s="77"/>
      <c r="D287" s="77"/>
      <c r="E287" s="77"/>
      <c r="F287" s="77"/>
      <c r="G287" s="77"/>
      <c r="H287" s="77"/>
      <c r="I287" s="77"/>
      <c r="J287" s="77"/>
      <c r="K287" s="77"/>
      <c r="L287" s="77"/>
      <c r="M287" s="77"/>
      <c r="N287" s="77"/>
      <c r="O287" s="77"/>
      <c r="P287" s="77"/>
      <c r="OY287" s="1796"/>
      <c r="OZ287" s="1799">
        <v>283</v>
      </c>
    </row>
    <row r="288" spans="1:528" s="41" customFormat="1" ht="14.1" customHeight="1">
      <c r="A288" s="43"/>
      <c r="B288" s="43"/>
      <c r="C288" s="43"/>
      <c r="D288" s="43"/>
      <c r="E288" s="43"/>
      <c r="F288" s="43"/>
      <c r="G288" s="43"/>
      <c r="H288" s="43"/>
      <c r="I288" s="43"/>
      <c r="J288" s="43"/>
      <c r="K288" s="43"/>
      <c r="L288" s="43"/>
      <c r="M288" s="43"/>
      <c r="N288" s="43"/>
      <c r="O288" s="43"/>
      <c r="P288" s="43"/>
      <c r="X288" s="253"/>
      <c r="Y288" s="253"/>
      <c r="Z288" s="253"/>
      <c r="AA288" s="253"/>
      <c r="AB288" s="253"/>
      <c r="AC288" s="253"/>
      <c r="AD288" s="253"/>
      <c r="AE288" s="253"/>
      <c r="AF288" s="253"/>
      <c r="AG288" s="253"/>
      <c r="AH288" s="253"/>
      <c r="AI288" s="253"/>
      <c r="AJ288" s="253"/>
      <c r="AK288" s="253"/>
      <c r="AL288" s="253"/>
      <c r="AM288" s="253"/>
      <c r="AN288" s="253"/>
      <c r="AO288" s="253"/>
      <c r="AP288" s="253"/>
      <c r="AQ288" s="253"/>
      <c r="AR288" s="253"/>
      <c r="AS288" s="253"/>
      <c r="AT288" s="253"/>
      <c r="AU288" s="253"/>
      <c r="AV288" s="253"/>
      <c r="AW288" s="253"/>
      <c r="AX288" s="253"/>
      <c r="AY288" s="253"/>
      <c r="AZ288" s="253"/>
      <c r="BA288" s="253"/>
      <c r="BB288" s="253"/>
      <c r="BC288" s="253"/>
      <c r="BD288" s="253"/>
      <c r="BE288" s="253"/>
      <c r="BF288" s="253"/>
      <c r="BG288" s="253"/>
      <c r="BH288" s="253"/>
      <c r="BI288" s="253"/>
      <c r="BJ288" s="253"/>
      <c r="BK288" s="253"/>
      <c r="BL288" s="253"/>
      <c r="BM288" s="253"/>
      <c r="BN288" s="253"/>
      <c r="BO288" s="253"/>
      <c r="BP288" s="253"/>
      <c r="BQ288" s="253"/>
      <c r="BR288" s="253"/>
      <c r="BS288" s="253"/>
      <c r="BT288" s="253"/>
      <c r="BU288" s="253"/>
      <c r="BV288" s="253"/>
      <c r="BW288" s="253"/>
      <c r="BX288" s="253"/>
      <c r="BY288" s="253"/>
      <c r="BZ288" s="253"/>
      <c r="CA288" s="253"/>
      <c r="CB288" s="253"/>
      <c r="CC288" s="253"/>
      <c r="CD288" s="253"/>
      <c r="CE288" s="253"/>
      <c r="CF288" s="253"/>
      <c r="CG288" s="253"/>
      <c r="CH288" s="253"/>
      <c r="CI288" s="253"/>
      <c r="CJ288" s="253"/>
      <c r="CK288" s="253"/>
      <c r="CL288" s="253"/>
      <c r="CM288" s="253"/>
      <c r="CN288" s="253"/>
      <c r="CO288" s="253"/>
      <c r="CP288" s="253"/>
      <c r="CQ288" s="253"/>
      <c r="CR288" s="253"/>
      <c r="CS288" s="253"/>
      <c r="CT288" s="253"/>
      <c r="CU288" s="253"/>
      <c r="CV288" s="253"/>
      <c r="CW288" s="253"/>
      <c r="CX288" s="253"/>
      <c r="CY288" s="253"/>
      <c r="CZ288" s="253"/>
      <c r="DA288" s="253"/>
      <c r="DB288" s="253"/>
      <c r="DC288" s="253"/>
      <c r="DD288" s="253"/>
      <c r="DE288" s="253"/>
      <c r="DF288" s="253"/>
      <c r="DG288" s="253"/>
      <c r="DH288" s="253"/>
      <c r="DI288" s="253"/>
      <c r="DJ288" s="253"/>
      <c r="DK288" s="253"/>
      <c r="DL288" s="253"/>
      <c r="DM288" s="253"/>
      <c r="DN288" s="253"/>
      <c r="DO288" s="253"/>
      <c r="DP288" s="253"/>
      <c r="DQ288" s="253"/>
      <c r="DR288" s="253"/>
      <c r="DS288" s="253"/>
      <c r="DT288" s="253"/>
      <c r="DU288" s="253"/>
      <c r="DV288" s="253"/>
      <c r="DW288" s="253"/>
      <c r="DX288" s="253"/>
      <c r="DY288" s="253"/>
      <c r="DZ288" s="253"/>
      <c r="EA288" s="253"/>
      <c r="EB288" s="253"/>
      <c r="EC288" s="253"/>
      <c r="ED288" s="253"/>
      <c r="EE288" s="253"/>
      <c r="EF288" s="253"/>
      <c r="EG288" s="253"/>
      <c r="EH288" s="253"/>
      <c r="EI288" s="253"/>
      <c r="EJ288" s="253"/>
      <c r="EK288" s="253"/>
      <c r="EL288" s="253"/>
      <c r="EM288" s="253"/>
      <c r="EN288" s="253"/>
      <c r="EO288" s="253"/>
      <c r="EP288" s="253"/>
      <c r="EQ288" s="253"/>
      <c r="ER288" s="253"/>
      <c r="ES288" s="253"/>
      <c r="ET288" s="253"/>
      <c r="EU288" s="253"/>
      <c r="EV288" s="253"/>
      <c r="EW288" s="253"/>
      <c r="EX288" s="253"/>
      <c r="EY288" s="253"/>
      <c r="EZ288" s="253"/>
      <c r="FA288" s="253"/>
      <c r="FB288" s="253"/>
      <c r="FC288" s="253"/>
      <c r="FD288" s="253"/>
      <c r="FE288" s="253"/>
      <c r="FF288" s="253"/>
      <c r="FG288" s="253"/>
      <c r="FH288" s="253"/>
      <c r="FI288" s="253"/>
      <c r="FJ288" s="253"/>
      <c r="FK288" s="253"/>
      <c r="FL288" s="253"/>
      <c r="FM288" s="253"/>
      <c r="FN288" s="253"/>
      <c r="FO288" s="253"/>
      <c r="FP288" s="253"/>
      <c r="FQ288" s="253"/>
      <c r="FR288" s="253"/>
      <c r="FS288" s="253"/>
      <c r="FT288" s="253"/>
      <c r="FU288" s="253"/>
      <c r="FV288" s="253"/>
      <c r="FW288" s="253"/>
      <c r="FX288" s="253"/>
      <c r="FY288" s="253"/>
      <c r="FZ288" s="253"/>
      <c r="GA288" s="253"/>
      <c r="GB288" s="253"/>
      <c r="GC288" s="253"/>
      <c r="GD288" s="253"/>
      <c r="GE288" s="253"/>
      <c r="GF288" s="253"/>
      <c r="GG288" s="253"/>
      <c r="GH288" s="253"/>
      <c r="GI288" s="253"/>
      <c r="GJ288" s="253"/>
      <c r="GK288" s="253"/>
      <c r="GL288" s="253"/>
      <c r="GM288" s="253"/>
      <c r="GN288" s="253"/>
      <c r="GO288" s="253"/>
      <c r="GP288" s="253"/>
      <c r="GQ288" s="253"/>
      <c r="GR288" s="253"/>
      <c r="GS288" s="253"/>
      <c r="GT288" s="253"/>
      <c r="GU288" s="253"/>
      <c r="GV288" s="253"/>
      <c r="GW288" s="253"/>
      <c r="GX288" s="253"/>
      <c r="GY288" s="253"/>
      <c r="GZ288" s="253"/>
      <c r="HA288" s="253"/>
      <c r="HB288" s="253"/>
      <c r="HC288" s="253"/>
      <c r="HD288" s="253"/>
      <c r="HE288" s="253"/>
      <c r="HF288" s="253"/>
      <c r="HG288" s="253"/>
      <c r="HH288" s="253"/>
      <c r="HI288" s="253"/>
      <c r="HJ288" s="253"/>
      <c r="HK288" s="253"/>
      <c r="HL288" s="253"/>
      <c r="HM288" s="253"/>
      <c r="HN288" s="253"/>
      <c r="HO288" s="253"/>
      <c r="HP288" s="253"/>
      <c r="HQ288" s="253"/>
      <c r="HR288" s="253"/>
      <c r="HS288" s="253"/>
      <c r="HT288" s="253"/>
      <c r="HU288" s="253"/>
      <c r="HV288" s="253"/>
      <c r="HW288" s="253"/>
      <c r="HX288" s="253"/>
      <c r="HY288" s="253"/>
      <c r="HZ288" s="253"/>
      <c r="IA288" s="253"/>
      <c r="IB288" s="253"/>
      <c r="IC288" s="253"/>
      <c r="ID288" s="253"/>
      <c r="IE288" s="253"/>
      <c r="IF288" s="253"/>
      <c r="IG288" s="253"/>
      <c r="IH288" s="253"/>
      <c r="II288" s="253"/>
      <c r="IJ288" s="253"/>
      <c r="IK288" s="253"/>
      <c r="IL288" s="253"/>
      <c r="IM288" s="253"/>
      <c r="IN288" s="253"/>
      <c r="IO288" s="253"/>
      <c r="IP288" s="253"/>
      <c r="IQ288" s="253"/>
      <c r="IR288" s="253"/>
      <c r="IS288" s="253"/>
      <c r="IT288" s="253"/>
      <c r="IU288" s="253"/>
      <c r="IV288" s="253"/>
      <c r="IW288" s="253"/>
      <c r="IX288" s="253"/>
      <c r="IY288" s="253"/>
      <c r="IZ288" s="253"/>
      <c r="JA288" s="253"/>
      <c r="JB288" s="253"/>
      <c r="JC288" s="253"/>
      <c r="JD288" s="253"/>
      <c r="JE288" s="253"/>
      <c r="JF288" s="253"/>
      <c r="JG288" s="253"/>
      <c r="JH288" s="253"/>
      <c r="JI288" s="253"/>
      <c r="JJ288" s="253"/>
      <c r="JK288" s="253"/>
      <c r="JL288" s="253"/>
      <c r="JM288" s="253"/>
      <c r="JN288" s="253"/>
      <c r="JO288" s="253"/>
      <c r="JP288" s="253"/>
      <c r="JQ288" s="253"/>
      <c r="JR288" s="253"/>
      <c r="JS288" s="253"/>
      <c r="JT288" s="253"/>
      <c r="JU288" s="253"/>
      <c r="JV288" s="253"/>
      <c r="JW288" s="253"/>
      <c r="JX288" s="253"/>
      <c r="JY288" s="253"/>
      <c r="JZ288" s="253"/>
      <c r="KA288" s="253"/>
      <c r="KB288" s="253"/>
      <c r="KC288" s="253"/>
      <c r="KD288" s="253"/>
      <c r="KE288" s="253"/>
      <c r="KF288" s="253"/>
      <c r="KG288" s="253"/>
      <c r="KH288" s="253"/>
      <c r="KI288" s="253"/>
      <c r="KJ288" s="253"/>
      <c r="KK288" s="253"/>
      <c r="KL288" s="253"/>
      <c r="KM288" s="253"/>
      <c r="KN288" s="253"/>
      <c r="KO288" s="253"/>
      <c r="KP288" s="253"/>
      <c r="KQ288" s="253"/>
      <c r="KR288" s="253"/>
      <c r="KS288" s="253"/>
      <c r="KT288" s="253"/>
      <c r="KU288" s="253"/>
      <c r="KV288" s="253"/>
      <c r="KW288" s="253"/>
      <c r="KX288" s="253"/>
      <c r="KY288" s="253"/>
      <c r="KZ288" s="253"/>
      <c r="LA288" s="253"/>
      <c r="LB288" s="253"/>
      <c r="LC288" s="253"/>
      <c r="LD288" s="253"/>
      <c r="LE288" s="253"/>
      <c r="LF288" s="1296"/>
      <c r="LG288" s="253"/>
      <c r="LH288" s="253"/>
      <c r="LI288" s="253"/>
      <c r="LJ288" s="253"/>
      <c r="LK288" s="1296"/>
      <c r="LL288" s="253"/>
      <c r="LM288" s="253"/>
      <c r="LN288" s="253"/>
      <c r="LO288" s="253"/>
      <c r="LP288" s="1296"/>
      <c r="LQ288" s="253"/>
      <c r="LR288" s="253"/>
      <c r="LS288" s="253"/>
      <c r="LT288" s="253"/>
      <c r="LU288" s="1296"/>
      <c r="LV288" s="1296"/>
      <c r="LW288" s="1296"/>
      <c r="LX288" s="1296"/>
      <c r="LY288" s="1296"/>
      <c r="LZ288" s="1296"/>
      <c r="MA288" s="1296"/>
      <c r="MB288" s="1296"/>
      <c r="MC288" s="1296"/>
      <c r="MD288" s="1296"/>
      <c r="ME288" s="1296"/>
      <c r="MF288" s="1296"/>
      <c r="MG288" s="1296"/>
      <c r="MH288" s="1296"/>
      <c r="MI288" s="1296"/>
      <c r="MJ288" s="1296"/>
      <c r="MK288" s="1296"/>
      <c r="ML288" s="1296"/>
      <c r="MM288" s="1296"/>
      <c r="MN288" s="1296"/>
      <c r="MO288" s="1296"/>
      <c r="MP288" s="1296"/>
      <c r="MQ288" s="253"/>
      <c r="MR288" s="253"/>
      <c r="MS288" s="253"/>
      <c r="MT288" s="253"/>
      <c r="MU288" s="253"/>
      <c r="MV288" s="253"/>
      <c r="MW288" s="1184"/>
      <c r="MX288" s="253"/>
      <c r="MY288" s="253"/>
      <c r="MZ288" s="253"/>
      <c r="NA288" s="253"/>
      <c r="NB288" s="253"/>
      <c r="NC288" s="253"/>
      <c r="ND288" s="253"/>
      <c r="NE288" s="253"/>
      <c r="NF288" s="253"/>
      <c r="NG288" s="253"/>
      <c r="NH288" s="253"/>
      <c r="NI288" s="253"/>
      <c r="NJ288" s="253"/>
      <c r="NK288" s="253"/>
      <c r="NL288" s="253"/>
      <c r="NM288" s="1184"/>
      <c r="NN288" s="1184"/>
      <c r="NO288" s="253"/>
      <c r="NP288" s="253"/>
      <c r="NQ288" s="253"/>
      <c r="NR288" s="253"/>
      <c r="NS288" s="253"/>
      <c r="NT288" s="253"/>
      <c r="NU288" s="253"/>
      <c r="NV288" s="253"/>
      <c r="NW288" s="253"/>
      <c r="NX288" s="253"/>
      <c r="NY288" s="253"/>
      <c r="NZ288" s="253"/>
      <c r="OA288" s="253"/>
      <c r="OB288" s="253"/>
      <c r="OC288" s="253"/>
      <c r="OD288" s="253"/>
      <c r="OE288" s="253"/>
      <c r="OF288" s="253"/>
      <c r="OG288" s="253"/>
      <c r="OH288" s="253"/>
      <c r="OI288" s="253"/>
      <c r="OJ288" s="253"/>
      <c r="OK288" s="253"/>
      <c r="OL288" s="253"/>
      <c r="OM288" s="253"/>
      <c r="ON288" s="253"/>
      <c r="OO288" s="253"/>
      <c r="OP288" s="253"/>
      <c r="OQ288" s="253"/>
      <c r="OR288" s="253"/>
      <c r="OS288" s="253"/>
      <c r="OT288" s="253"/>
      <c r="OU288" s="253"/>
      <c r="OV288" s="43"/>
      <c r="OW288" s="43"/>
      <c r="OX288" s="43"/>
      <c r="OY288" s="1794"/>
      <c r="OZ288" s="1801">
        <v>284</v>
      </c>
      <c r="PA288" s="43"/>
      <c r="PB288" s="43"/>
      <c r="PC288" s="43"/>
      <c r="PD288" s="43"/>
      <c r="PE288" s="43"/>
      <c r="PF288" s="43"/>
      <c r="PG288" s="43"/>
      <c r="PH288" s="43"/>
      <c r="PI288" s="43"/>
      <c r="PJ288" s="43"/>
      <c r="PK288" s="43"/>
      <c r="PL288" s="43"/>
      <c r="PM288" s="43"/>
      <c r="PN288" s="43"/>
      <c r="PO288" s="43"/>
      <c r="PP288" s="43"/>
      <c r="PQ288" s="43"/>
      <c r="PR288" s="43"/>
      <c r="PS288" s="43"/>
      <c r="PT288" s="43"/>
      <c r="PU288" s="43"/>
      <c r="PV288" s="43"/>
      <c r="PW288" s="43"/>
      <c r="PX288" s="43"/>
      <c r="PY288" s="43"/>
      <c r="PZ288" s="43"/>
      <c r="QA288" s="43"/>
      <c r="QB288" s="43"/>
      <c r="QC288" s="43"/>
      <c r="QD288" s="43"/>
      <c r="QE288" s="43"/>
      <c r="QF288" s="43"/>
      <c r="QG288" s="43"/>
      <c r="QH288" s="43"/>
      <c r="QI288" s="43"/>
      <c r="QJ288" s="43"/>
      <c r="QK288" s="43"/>
      <c r="QL288" s="43"/>
      <c r="QM288" s="43"/>
      <c r="QN288" s="43"/>
      <c r="QO288" s="43"/>
      <c r="QP288" s="43"/>
      <c r="QQ288" s="43"/>
      <c r="QR288" s="43"/>
      <c r="QS288" s="43"/>
      <c r="QT288" s="43"/>
      <c r="QU288" s="43"/>
      <c r="QV288" s="43"/>
      <c r="QW288" s="43"/>
      <c r="QX288" s="43"/>
      <c r="QY288" s="43"/>
      <c r="QZ288" s="43"/>
      <c r="RA288" s="43"/>
      <c r="RB288" s="43"/>
      <c r="RC288" s="43"/>
      <c r="RD288" s="43"/>
      <c r="RE288" s="43"/>
      <c r="RF288" s="43"/>
      <c r="RG288" s="43"/>
      <c r="RH288" s="43"/>
      <c r="RI288" s="43"/>
      <c r="RJ288" s="43"/>
      <c r="RK288" s="43"/>
      <c r="RL288" s="43"/>
      <c r="RM288" s="43"/>
      <c r="RN288" s="43"/>
      <c r="RO288" s="43"/>
      <c r="RP288" s="43"/>
      <c r="RQ288" s="43"/>
      <c r="RR288" s="43"/>
      <c r="RS288" s="43"/>
      <c r="RT288" s="43"/>
      <c r="RU288" s="43"/>
      <c r="RV288" s="43"/>
      <c r="RW288" s="43"/>
      <c r="RX288" s="43"/>
      <c r="RY288" s="43"/>
      <c r="RZ288" s="43"/>
      <c r="SA288" s="43"/>
      <c r="SB288" s="43"/>
      <c r="SC288" s="43"/>
      <c r="SD288" s="43"/>
      <c r="SE288" s="43"/>
      <c r="SF288" s="43"/>
      <c r="SG288" s="43"/>
      <c r="SH288" s="43"/>
      <c r="SI288" s="43"/>
      <c r="SJ288" s="43"/>
      <c r="SK288" s="43"/>
      <c r="SL288" s="43"/>
      <c r="SM288" s="43"/>
      <c r="SN288" s="43"/>
      <c r="SO288" s="43"/>
      <c r="SP288" s="43"/>
      <c r="SQ288" s="43"/>
      <c r="SR288" s="43"/>
      <c r="SS288" s="43"/>
      <c r="ST288" s="43"/>
      <c r="SU288" s="43"/>
      <c r="SV288" s="43"/>
      <c r="SW288" s="43"/>
      <c r="SX288" s="43"/>
      <c r="SY288" s="43"/>
      <c r="SZ288" s="43"/>
      <c r="TA288" s="43"/>
      <c r="TB288" s="43"/>
      <c r="TC288" s="43"/>
      <c r="TD288" s="43"/>
      <c r="TE288" s="43"/>
      <c r="TF288" s="43"/>
      <c r="TG288" s="43"/>
      <c r="TH288" s="43"/>
    </row>
    <row r="289" spans="1:528" s="41" customFormat="1" ht="14.1" customHeight="1">
      <c r="A289" s="43"/>
      <c r="B289" s="43"/>
      <c r="C289" s="43"/>
      <c r="D289" s="43"/>
      <c r="E289" s="43"/>
      <c r="F289" s="43"/>
      <c r="G289" s="43"/>
      <c r="H289" s="43"/>
      <c r="I289" s="43"/>
      <c r="J289" s="43"/>
      <c r="K289" s="43"/>
      <c r="L289" s="43"/>
      <c r="M289" s="43"/>
      <c r="N289" s="43"/>
      <c r="O289" s="43"/>
      <c r="P289" s="43"/>
      <c r="X289" s="253"/>
      <c r="Y289" s="253"/>
      <c r="Z289" s="253"/>
      <c r="AA289" s="253"/>
      <c r="AB289" s="253"/>
      <c r="AC289" s="253"/>
      <c r="AD289" s="253"/>
      <c r="AE289" s="253"/>
      <c r="AF289" s="253"/>
      <c r="AG289" s="253"/>
      <c r="AH289" s="253"/>
      <c r="AI289" s="253"/>
      <c r="AJ289" s="253"/>
      <c r="AK289" s="253"/>
      <c r="AL289" s="253"/>
      <c r="AM289" s="253"/>
      <c r="AN289" s="253"/>
      <c r="AO289" s="253"/>
      <c r="AP289" s="253"/>
      <c r="AQ289" s="253"/>
      <c r="AR289" s="253"/>
      <c r="AS289" s="253"/>
      <c r="AT289" s="253"/>
      <c r="AU289" s="253"/>
      <c r="AV289" s="253"/>
      <c r="AW289" s="253"/>
      <c r="AX289" s="253"/>
      <c r="AY289" s="253"/>
      <c r="AZ289" s="253"/>
      <c r="BA289" s="253"/>
      <c r="BB289" s="253"/>
      <c r="BC289" s="253"/>
      <c r="BD289" s="253"/>
      <c r="BE289" s="253"/>
      <c r="BF289" s="253"/>
      <c r="BG289" s="253"/>
      <c r="BH289" s="253"/>
      <c r="BI289" s="253"/>
      <c r="BJ289" s="253"/>
      <c r="BK289" s="253"/>
      <c r="BL289" s="253"/>
      <c r="BM289" s="253"/>
      <c r="BN289" s="253"/>
      <c r="BO289" s="253"/>
      <c r="BP289" s="253"/>
      <c r="BQ289" s="253"/>
      <c r="BR289" s="253"/>
      <c r="BS289" s="253"/>
      <c r="BT289" s="253"/>
      <c r="BU289" s="253"/>
      <c r="BV289" s="253"/>
      <c r="BW289" s="253"/>
      <c r="BX289" s="253"/>
      <c r="BY289" s="253"/>
      <c r="BZ289" s="253"/>
      <c r="CA289" s="253"/>
      <c r="CB289" s="253"/>
      <c r="CC289" s="253"/>
      <c r="CD289" s="253"/>
      <c r="CE289" s="253"/>
      <c r="CF289" s="253"/>
      <c r="CG289" s="253"/>
      <c r="CH289" s="253"/>
      <c r="CI289" s="253"/>
      <c r="CJ289" s="253"/>
      <c r="CK289" s="253"/>
      <c r="CL289" s="253"/>
      <c r="CM289" s="253"/>
      <c r="CN289" s="253"/>
      <c r="CO289" s="253"/>
      <c r="CP289" s="253"/>
      <c r="CQ289" s="253"/>
      <c r="CR289" s="253"/>
      <c r="CS289" s="253"/>
      <c r="CT289" s="253"/>
      <c r="CU289" s="253"/>
      <c r="CV289" s="253"/>
      <c r="CW289" s="253"/>
      <c r="CX289" s="253"/>
      <c r="CY289" s="253"/>
      <c r="CZ289" s="253"/>
      <c r="DA289" s="253"/>
      <c r="DB289" s="253"/>
      <c r="DC289" s="253"/>
      <c r="DD289" s="253"/>
      <c r="DE289" s="253"/>
      <c r="DF289" s="253"/>
      <c r="DG289" s="253"/>
      <c r="DH289" s="253"/>
      <c r="DI289" s="253"/>
      <c r="DJ289" s="253"/>
      <c r="DK289" s="253"/>
      <c r="DL289" s="253"/>
      <c r="DM289" s="253"/>
      <c r="DN289" s="253"/>
      <c r="DO289" s="253"/>
      <c r="DP289" s="253"/>
      <c r="DQ289" s="253"/>
      <c r="DR289" s="253"/>
      <c r="DS289" s="253"/>
      <c r="DT289" s="253"/>
      <c r="DU289" s="253"/>
      <c r="DV289" s="253"/>
      <c r="DW289" s="253"/>
      <c r="DX289" s="253"/>
      <c r="DY289" s="253"/>
      <c r="DZ289" s="253"/>
      <c r="EA289" s="253"/>
      <c r="EB289" s="253"/>
      <c r="EC289" s="253"/>
      <c r="ED289" s="253"/>
      <c r="EE289" s="253"/>
      <c r="EF289" s="253"/>
      <c r="EG289" s="253"/>
      <c r="EH289" s="253"/>
      <c r="EI289" s="253"/>
      <c r="EJ289" s="253"/>
      <c r="EK289" s="253"/>
      <c r="EL289" s="253"/>
      <c r="EM289" s="253"/>
      <c r="EN289" s="253"/>
      <c r="EO289" s="253"/>
      <c r="EP289" s="253"/>
      <c r="EQ289" s="253"/>
      <c r="ER289" s="253"/>
      <c r="ES289" s="253"/>
      <c r="ET289" s="253"/>
      <c r="EU289" s="253"/>
      <c r="EV289" s="253"/>
      <c r="EW289" s="253"/>
      <c r="EX289" s="253"/>
      <c r="EY289" s="253"/>
      <c r="EZ289" s="253"/>
      <c r="FA289" s="253"/>
      <c r="FB289" s="253"/>
      <c r="FC289" s="253"/>
      <c r="FD289" s="253"/>
      <c r="FE289" s="253"/>
      <c r="FF289" s="253"/>
      <c r="FG289" s="253"/>
      <c r="FH289" s="253"/>
      <c r="FI289" s="253"/>
      <c r="FJ289" s="253"/>
      <c r="FK289" s="253"/>
      <c r="FL289" s="253"/>
      <c r="FM289" s="253"/>
      <c r="FN289" s="253"/>
      <c r="FO289" s="253"/>
      <c r="FP289" s="253"/>
      <c r="FQ289" s="253"/>
      <c r="FR289" s="253"/>
      <c r="FS289" s="253"/>
      <c r="FT289" s="253"/>
      <c r="FU289" s="253"/>
      <c r="FV289" s="253"/>
      <c r="FW289" s="253"/>
      <c r="FX289" s="253"/>
      <c r="FY289" s="253"/>
      <c r="FZ289" s="253"/>
      <c r="GA289" s="253"/>
      <c r="GB289" s="253"/>
      <c r="GC289" s="253"/>
      <c r="GD289" s="253"/>
      <c r="GE289" s="253"/>
      <c r="GF289" s="253"/>
      <c r="GG289" s="253"/>
      <c r="GH289" s="253"/>
      <c r="GI289" s="253"/>
      <c r="GJ289" s="253"/>
      <c r="GK289" s="253"/>
      <c r="GL289" s="253"/>
      <c r="GM289" s="253"/>
      <c r="GN289" s="253"/>
      <c r="GO289" s="253"/>
      <c r="GP289" s="253"/>
      <c r="GQ289" s="253"/>
      <c r="GR289" s="253"/>
      <c r="GS289" s="253"/>
      <c r="GT289" s="253"/>
      <c r="GU289" s="253"/>
      <c r="GV289" s="253"/>
      <c r="GW289" s="253"/>
      <c r="GX289" s="253"/>
      <c r="GY289" s="253"/>
      <c r="GZ289" s="253"/>
      <c r="HA289" s="253"/>
      <c r="HB289" s="253"/>
      <c r="HC289" s="253"/>
      <c r="HD289" s="253"/>
      <c r="HE289" s="253"/>
      <c r="HF289" s="253"/>
      <c r="HG289" s="253"/>
      <c r="HH289" s="253"/>
      <c r="HI289" s="253"/>
      <c r="HJ289" s="253"/>
      <c r="HK289" s="253"/>
      <c r="HL289" s="253"/>
      <c r="HM289" s="253"/>
      <c r="HN289" s="253"/>
      <c r="HO289" s="253"/>
      <c r="HP289" s="253"/>
      <c r="HQ289" s="253"/>
      <c r="HR289" s="253"/>
      <c r="HS289" s="253"/>
      <c r="HT289" s="253"/>
      <c r="HU289" s="253"/>
      <c r="HV289" s="253"/>
      <c r="HW289" s="253"/>
      <c r="HX289" s="253"/>
      <c r="HY289" s="253"/>
      <c r="HZ289" s="253"/>
      <c r="IA289" s="253"/>
      <c r="IB289" s="253"/>
      <c r="IC289" s="253"/>
      <c r="ID289" s="253"/>
      <c r="IE289" s="253"/>
      <c r="IF289" s="253"/>
      <c r="IG289" s="253"/>
      <c r="IH289" s="253"/>
      <c r="II289" s="253"/>
      <c r="IJ289" s="253"/>
      <c r="IK289" s="253"/>
      <c r="IL289" s="253"/>
      <c r="IM289" s="253"/>
      <c r="IN289" s="253"/>
      <c r="IO289" s="253"/>
      <c r="IP289" s="253"/>
      <c r="IQ289" s="253"/>
      <c r="IR289" s="253"/>
      <c r="IS289" s="253"/>
      <c r="IT289" s="253"/>
      <c r="IU289" s="253"/>
      <c r="IV289" s="253"/>
      <c r="IW289" s="253"/>
      <c r="IX289" s="253"/>
      <c r="IY289" s="253"/>
      <c r="IZ289" s="253"/>
      <c r="JA289" s="253"/>
      <c r="JB289" s="253"/>
      <c r="JC289" s="253"/>
      <c r="JD289" s="253"/>
      <c r="JE289" s="253"/>
      <c r="JF289" s="253"/>
      <c r="JG289" s="253"/>
      <c r="JH289" s="253"/>
      <c r="JI289" s="253"/>
      <c r="JJ289" s="253"/>
      <c r="JK289" s="253"/>
      <c r="JL289" s="253"/>
      <c r="JM289" s="253"/>
      <c r="JN289" s="253"/>
      <c r="JO289" s="253"/>
      <c r="JP289" s="253"/>
      <c r="JQ289" s="253"/>
      <c r="JR289" s="253"/>
      <c r="JS289" s="253"/>
      <c r="JT289" s="253"/>
      <c r="JU289" s="253"/>
      <c r="JV289" s="253"/>
      <c r="JW289" s="253"/>
      <c r="JX289" s="253"/>
      <c r="JY289" s="253"/>
      <c r="JZ289" s="253"/>
      <c r="KA289" s="253"/>
      <c r="KB289" s="253"/>
      <c r="KC289" s="253"/>
      <c r="KD289" s="253"/>
      <c r="KE289" s="253"/>
      <c r="KF289" s="253"/>
      <c r="KG289" s="253"/>
      <c r="KH289" s="253"/>
      <c r="KI289" s="253"/>
      <c r="KJ289" s="253"/>
      <c r="KK289" s="253"/>
      <c r="KL289" s="253"/>
      <c r="KM289" s="253"/>
      <c r="KN289" s="253"/>
      <c r="KO289" s="253"/>
      <c r="KP289" s="253"/>
      <c r="KQ289" s="253"/>
      <c r="KR289" s="253"/>
      <c r="KS289" s="253"/>
      <c r="KT289" s="253"/>
      <c r="KU289" s="253"/>
      <c r="KV289" s="253"/>
      <c r="KW289" s="253"/>
      <c r="KX289" s="253"/>
      <c r="KY289" s="253"/>
      <c r="KZ289" s="253"/>
      <c r="LA289" s="253"/>
      <c r="LB289" s="253"/>
      <c r="LC289" s="253"/>
      <c r="LD289" s="253"/>
      <c r="LE289" s="253"/>
      <c r="LF289" s="1296"/>
      <c r="LG289" s="253"/>
      <c r="LH289" s="253"/>
      <c r="LI289" s="253"/>
      <c r="LJ289" s="253"/>
      <c r="LK289" s="1296"/>
      <c r="LL289" s="253"/>
      <c r="LM289" s="253"/>
      <c r="LN289" s="253"/>
      <c r="LO289" s="253"/>
      <c r="LP289" s="1296"/>
      <c r="LQ289" s="253"/>
      <c r="LR289" s="253"/>
      <c r="LS289" s="253"/>
      <c r="LT289" s="253"/>
      <c r="LU289" s="1296"/>
      <c r="LV289" s="1296"/>
      <c r="LW289" s="1296"/>
      <c r="LX289" s="1296"/>
      <c r="LY289" s="1296"/>
      <c r="LZ289" s="1296"/>
      <c r="MA289" s="1296"/>
      <c r="MB289" s="1296"/>
      <c r="MC289" s="1296"/>
      <c r="MD289" s="1296"/>
      <c r="ME289" s="1296"/>
      <c r="MF289" s="1296"/>
      <c r="MG289" s="1296"/>
      <c r="MH289" s="1296"/>
      <c r="MI289" s="1296"/>
      <c r="MJ289" s="1296"/>
      <c r="MK289" s="1296"/>
      <c r="ML289" s="1296"/>
      <c r="MM289" s="1296"/>
      <c r="MN289" s="1296"/>
      <c r="MO289" s="1296"/>
      <c r="MP289" s="1296"/>
      <c r="MQ289" s="253"/>
      <c r="MR289" s="253"/>
      <c r="MS289" s="253"/>
      <c r="MT289" s="253"/>
      <c r="MU289" s="253"/>
      <c r="MV289" s="253"/>
      <c r="MW289" s="1184"/>
      <c r="MX289" s="253"/>
      <c r="MY289" s="253"/>
      <c r="MZ289" s="253"/>
      <c r="NA289" s="253"/>
      <c r="NB289" s="253"/>
      <c r="NC289" s="253"/>
      <c r="ND289" s="253"/>
      <c r="NE289" s="253"/>
      <c r="NF289" s="253"/>
      <c r="NG289" s="253"/>
      <c r="NH289" s="253"/>
      <c r="NI289" s="253"/>
      <c r="NJ289" s="253"/>
      <c r="NK289" s="253"/>
      <c r="NL289" s="253"/>
      <c r="NM289" s="1184"/>
      <c r="NN289" s="1184"/>
      <c r="NO289" s="253"/>
      <c r="NP289" s="253"/>
      <c r="NQ289" s="253"/>
      <c r="NR289" s="253"/>
      <c r="NS289" s="253"/>
      <c r="NT289" s="253"/>
      <c r="NU289" s="253"/>
      <c r="NV289" s="253"/>
      <c r="NW289" s="253"/>
      <c r="NX289" s="253"/>
      <c r="NY289" s="253"/>
      <c r="NZ289" s="253"/>
      <c r="OA289" s="253"/>
      <c r="OB289" s="253"/>
      <c r="OC289" s="253"/>
      <c r="OD289" s="253"/>
      <c r="OE289" s="253"/>
      <c r="OF289" s="253"/>
      <c r="OG289" s="253"/>
      <c r="OH289" s="253"/>
      <c r="OI289" s="253"/>
      <c r="OJ289" s="253"/>
      <c r="OK289" s="253"/>
      <c r="OL289" s="253"/>
      <c r="OM289" s="253"/>
      <c r="ON289" s="253"/>
      <c r="OO289" s="253"/>
      <c r="OP289" s="253"/>
      <c r="OQ289" s="253"/>
      <c r="OR289" s="253"/>
      <c r="OS289" s="253"/>
      <c r="OT289" s="253"/>
      <c r="OU289" s="253"/>
      <c r="OV289" s="43"/>
      <c r="OW289" s="43"/>
      <c r="OX289" s="43"/>
      <c r="OY289" s="1794"/>
      <c r="OZ289" s="1799">
        <v>285</v>
      </c>
      <c r="PA289" s="43"/>
      <c r="PB289" s="43"/>
      <c r="PC289" s="43"/>
      <c r="PD289" s="43"/>
      <c r="PE289" s="43"/>
      <c r="PF289" s="43"/>
      <c r="PG289" s="43"/>
      <c r="PH289" s="43"/>
      <c r="PI289" s="43"/>
      <c r="PJ289" s="43"/>
      <c r="PK289" s="43"/>
      <c r="PL289" s="43"/>
      <c r="PM289" s="43"/>
      <c r="PN289" s="43"/>
      <c r="PO289" s="43"/>
      <c r="PP289" s="43"/>
      <c r="PQ289" s="43"/>
      <c r="PR289" s="43"/>
      <c r="PS289" s="43"/>
      <c r="PT289" s="43"/>
      <c r="PU289" s="43"/>
      <c r="PV289" s="43"/>
      <c r="PW289" s="43"/>
      <c r="PX289" s="43"/>
      <c r="PY289" s="43"/>
      <c r="PZ289" s="43"/>
      <c r="QA289" s="43"/>
      <c r="QB289" s="43"/>
      <c r="QC289" s="43"/>
      <c r="QD289" s="43"/>
      <c r="QE289" s="43"/>
      <c r="QF289" s="43"/>
      <c r="QG289" s="43"/>
      <c r="QH289" s="43"/>
      <c r="QI289" s="43"/>
      <c r="QJ289" s="43"/>
      <c r="QK289" s="43"/>
      <c r="QL289" s="43"/>
      <c r="QM289" s="43"/>
      <c r="QN289" s="43"/>
      <c r="QO289" s="43"/>
      <c r="QP289" s="43"/>
      <c r="QQ289" s="43"/>
      <c r="QR289" s="43"/>
      <c r="QS289" s="43"/>
      <c r="QT289" s="43"/>
      <c r="QU289" s="43"/>
      <c r="QV289" s="43"/>
      <c r="QW289" s="43"/>
      <c r="QX289" s="43"/>
      <c r="QY289" s="43"/>
      <c r="QZ289" s="43"/>
      <c r="RA289" s="43"/>
      <c r="RB289" s="43"/>
      <c r="RC289" s="43"/>
      <c r="RD289" s="43"/>
      <c r="RE289" s="43"/>
      <c r="RF289" s="43"/>
      <c r="RG289" s="43"/>
      <c r="RH289" s="43"/>
      <c r="RI289" s="43"/>
      <c r="RJ289" s="43"/>
      <c r="RK289" s="43"/>
      <c r="RL289" s="43"/>
      <c r="RM289" s="43"/>
      <c r="RN289" s="43"/>
      <c r="RO289" s="43"/>
      <c r="RP289" s="43"/>
      <c r="RQ289" s="43"/>
      <c r="RR289" s="43"/>
      <c r="RS289" s="43"/>
      <c r="RT289" s="43"/>
      <c r="RU289" s="43"/>
      <c r="RV289" s="43"/>
      <c r="RW289" s="43"/>
      <c r="RX289" s="43"/>
      <c r="RY289" s="43"/>
      <c r="RZ289" s="43"/>
      <c r="SA289" s="43"/>
      <c r="SB289" s="43"/>
      <c r="SC289" s="43"/>
      <c r="SD289" s="43"/>
      <c r="SE289" s="43"/>
      <c r="SF289" s="43"/>
      <c r="SG289" s="43"/>
      <c r="SH289" s="43"/>
      <c r="SI289" s="43"/>
      <c r="SJ289" s="43"/>
      <c r="SK289" s="43"/>
      <c r="SL289" s="43"/>
      <c r="SM289" s="43"/>
      <c r="SN289" s="43"/>
      <c r="SO289" s="43"/>
      <c r="SP289" s="43"/>
      <c r="SQ289" s="43"/>
      <c r="SR289" s="43"/>
      <c r="SS289" s="43"/>
      <c r="ST289" s="43"/>
      <c r="SU289" s="43"/>
      <c r="SV289" s="43"/>
      <c r="SW289" s="43"/>
      <c r="SX289" s="43"/>
      <c r="SY289" s="43"/>
      <c r="SZ289" s="43"/>
      <c r="TA289" s="43"/>
      <c r="TB289" s="43"/>
      <c r="TC289" s="43"/>
      <c r="TD289" s="43"/>
      <c r="TE289" s="43"/>
      <c r="TF289" s="43"/>
      <c r="TG289" s="43"/>
      <c r="TH289" s="43"/>
    </row>
    <row r="290" spans="1:528" s="41" customFormat="1" ht="14.1" customHeight="1">
      <c r="A290" s="43"/>
      <c r="B290" s="43"/>
      <c r="C290" s="43"/>
      <c r="D290" s="43"/>
      <c r="E290" s="43"/>
      <c r="F290" s="43"/>
      <c r="G290" s="43"/>
      <c r="H290" s="43"/>
      <c r="I290" s="43"/>
      <c r="J290" s="43"/>
      <c r="K290" s="43"/>
      <c r="L290" s="43"/>
      <c r="M290" s="43"/>
      <c r="N290" s="43"/>
      <c r="O290" s="43"/>
      <c r="P290" s="43"/>
      <c r="X290" s="253"/>
      <c r="Y290" s="253"/>
      <c r="Z290" s="253"/>
      <c r="AA290" s="253"/>
      <c r="AB290" s="253"/>
      <c r="AC290" s="253"/>
      <c r="AD290" s="253"/>
      <c r="AE290" s="253"/>
      <c r="AF290" s="253"/>
      <c r="AG290" s="253"/>
      <c r="AH290" s="253"/>
      <c r="AI290" s="253"/>
      <c r="AJ290" s="253"/>
      <c r="AK290" s="253"/>
      <c r="AL290" s="253"/>
      <c r="AM290" s="253"/>
      <c r="AN290" s="253"/>
      <c r="AO290" s="253"/>
      <c r="AP290" s="253"/>
      <c r="AQ290" s="253"/>
      <c r="AR290" s="253"/>
      <c r="AS290" s="253"/>
      <c r="AT290" s="253"/>
      <c r="AU290" s="253"/>
      <c r="AV290" s="253"/>
      <c r="AW290" s="253"/>
      <c r="AX290" s="253"/>
      <c r="AY290" s="253"/>
      <c r="AZ290" s="253"/>
      <c r="BA290" s="253"/>
      <c r="BB290" s="253"/>
      <c r="BC290" s="253"/>
      <c r="BD290" s="253"/>
      <c r="BE290" s="253"/>
      <c r="BF290" s="253"/>
      <c r="BG290" s="253"/>
      <c r="BH290" s="253"/>
      <c r="BI290" s="253"/>
      <c r="BJ290" s="253"/>
      <c r="BK290" s="253"/>
      <c r="BL290" s="253"/>
      <c r="BM290" s="253"/>
      <c r="BN290" s="253"/>
      <c r="BO290" s="253"/>
      <c r="BP290" s="253"/>
      <c r="BQ290" s="253"/>
      <c r="BR290" s="253"/>
      <c r="BS290" s="253"/>
      <c r="BT290" s="253"/>
      <c r="BU290" s="253"/>
      <c r="BV290" s="253"/>
      <c r="BW290" s="253"/>
      <c r="BX290" s="253"/>
      <c r="BY290" s="253"/>
      <c r="BZ290" s="253"/>
      <c r="CA290" s="253"/>
      <c r="CB290" s="253"/>
      <c r="CC290" s="253"/>
      <c r="CD290" s="253"/>
      <c r="CE290" s="253"/>
      <c r="CF290" s="253"/>
      <c r="CG290" s="253"/>
      <c r="CH290" s="253"/>
      <c r="CI290" s="253"/>
      <c r="CJ290" s="253"/>
      <c r="CK290" s="253"/>
      <c r="CL290" s="253"/>
      <c r="CM290" s="253"/>
      <c r="CN290" s="253"/>
      <c r="CO290" s="253"/>
      <c r="CP290" s="253"/>
      <c r="CQ290" s="253"/>
      <c r="CR290" s="253"/>
      <c r="CS290" s="253"/>
      <c r="CT290" s="253"/>
      <c r="CU290" s="253"/>
      <c r="CV290" s="253"/>
      <c r="CW290" s="253"/>
      <c r="CX290" s="253"/>
      <c r="CY290" s="253"/>
      <c r="CZ290" s="253"/>
      <c r="DA290" s="253"/>
      <c r="DB290" s="253"/>
      <c r="DC290" s="253"/>
      <c r="DD290" s="253"/>
      <c r="DE290" s="253"/>
      <c r="DF290" s="253"/>
      <c r="DG290" s="253"/>
      <c r="DH290" s="253"/>
      <c r="DI290" s="253"/>
      <c r="DJ290" s="253"/>
      <c r="DK290" s="253"/>
      <c r="DL290" s="253"/>
      <c r="DM290" s="253"/>
      <c r="DN290" s="253"/>
      <c r="DO290" s="253"/>
      <c r="DP290" s="253"/>
      <c r="DQ290" s="253"/>
      <c r="DR290" s="253"/>
      <c r="DS290" s="253"/>
      <c r="DT290" s="253"/>
      <c r="DU290" s="253"/>
      <c r="DV290" s="253"/>
      <c r="DW290" s="253"/>
      <c r="DX290" s="253"/>
      <c r="DY290" s="253"/>
      <c r="DZ290" s="253"/>
      <c r="EA290" s="253"/>
      <c r="EB290" s="253"/>
      <c r="EC290" s="253"/>
      <c r="ED290" s="253"/>
      <c r="EE290" s="253"/>
      <c r="EF290" s="253"/>
      <c r="EG290" s="253"/>
      <c r="EH290" s="253"/>
      <c r="EI290" s="253"/>
      <c r="EJ290" s="253"/>
      <c r="EK290" s="253"/>
      <c r="EL290" s="253"/>
      <c r="EM290" s="253"/>
      <c r="EN290" s="253"/>
      <c r="EO290" s="253"/>
      <c r="EP290" s="253"/>
      <c r="EQ290" s="253"/>
      <c r="ER290" s="253"/>
      <c r="ES290" s="253"/>
      <c r="ET290" s="253"/>
      <c r="EU290" s="253"/>
      <c r="EV290" s="253"/>
      <c r="EW290" s="253"/>
      <c r="EX290" s="253"/>
      <c r="EY290" s="253"/>
      <c r="EZ290" s="253"/>
      <c r="FA290" s="253"/>
      <c r="FB290" s="253"/>
      <c r="FC290" s="253"/>
      <c r="FD290" s="253"/>
      <c r="FE290" s="253"/>
      <c r="FF290" s="253"/>
      <c r="FG290" s="253"/>
      <c r="FH290" s="253"/>
      <c r="FI290" s="253"/>
      <c r="FJ290" s="253"/>
      <c r="FK290" s="253"/>
      <c r="FL290" s="253"/>
      <c r="FM290" s="253"/>
      <c r="FN290" s="253"/>
      <c r="FO290" s="253"/>
      <c r="FP290" s="253"/>
      <c r="FQ290" s="253"/>
      <c r="FR290" s="253"/>
      <c r="FS290" s="253"/>
      <c r="FT290" s="253"/>
      <c r="FU290" s="253"/>
      <c r="FV290" s="253"/>
      <c r="FW290" s="253"/>
      <c r="FX290" s="253"/>
      <c r="FY290" s="253"/>
      <c r="FZ290" s="253"/>
      <c r="GA290" s="253"/>
      <c r="GB290" s="253"/>
      <c r="GC290" s="253"/>
      <c r="GD290" s="253"/>
      <c r="GE290" s="253"/>
      <c r="GF290" s="253"/>
      <c r="GG290" s="253"/>
      <c r="GH290" s="253"/>
      <c r="GI290" s="253"/>
      <c r="GJ290" s="253"/>
      <c r="GK290" s="253"/>
      <c r="GL290" s="253"/>
      <c r="GM290" s="253"/>
      <c r="GN290" s="253"/>
      <c r="GO290" s="253"/>
      <c r="GP290" s="253"/>
      <c r="GQ290" s="253"/>
      <c r="GR290" s="253"/>
      <c r="GS290" s="253"/>
      <c r="GT290" s="253"/>
      <c r="GU290" s="253"/>
      <c r="GV290" s="253"/>
      <c r="GW290" s="253"/>
      <c r="GX290" s="253"/>
      <c r="GY290" s="253"/>
      <c r="GZ290" s="253"/>
      <c r="HA290" s="253"/>
      <c r="HB290" s="253"/>
      <c r="HC290" s="253"/>
      <c r="HD290" s="253"/>
      <c r="HE290" s="253"/>
      <c r="HF290" s="253"/>
      <c r="HG290" s="253"/>
      <c r="HH290" s="253"/>
      <c r="HI290" s="253"/>
      <c r="HJ290" s="253"/>
      <c r="HK290" s="253"/>
      <c r="HL290" s="253"/>
      <c r="HM290" s="253"/>
      <c r="HN290" s="253"/>
      <c r="HO290" s="253"/>
      <c r="HP290" s="253"/>
      <c r="HQ290" s="253"/>
      <c r="HR290" s="253"/>
      <c r="HS290" s="253"/>
      <c r="HT290" s="253"/>
      <c r="HU290" s="253"/>
      <c r="HV290" s="253"/>
      <c r="HW290" s="253"/>
      <c r="HX290" s="253"/>
      <c r="HY290" s="253"/>
      <c r="HZ290" s="253"/>
      <c r="IA290" s="253"/>
      <c r="IB290" s="253"/>
      <c r="IC290" s="253"/>
      <c r="ID290" s="253"/>
      <c r="IE290" s="253"/>
      <c r="IF290" s="253"/>
      <c r="IG290" s="253"/>
      <c r="IH290" s="253"/>
      <c r="II290" s="253"/>
      <c r="IJ290" s="253"/>
      <c r="IK290" s="253"/>
      <c r="IL290" s="253"/>
      <c r="IM290" s="253"/>
      <c r="IN290" s="253"/>
      <c r="IO290" s="253"/>
      <c r="IP290" s="253"/>
      <c r="IQ290" s="253"/>
      <c r="IR290" s="253"/>
      <c r="IS290" s="253"/>
      <c r="IT290" s="253"/>
      <c r="IU290" s="253"/>
      <c r="IV290" s="253"/>
      <c r="IW290" s="253"/>
      <c r="IX290" s="253"/>
      <c r="IY290" s="253"/>
      <c r="IZ290" s="253"/>
      <c r="JA290" s="253"/>
      <c r="JB290" s="253"/>
      <c r="JC290" s="253"/>
      <c r="JD290" s="253"/>
      <c r="JE290" s="253"/>
      <c r="JF290" s="253"/>
      <c r="JG290" s="253"/>
      <c r="JH290" s="253"/>
      <c r="JI290" s="253"/>
      <c r="JJ290" s="253"/>
      <c r="JK290" s="253"/>
      <c r="JL290" s="253"/>
      <c r="JM290" s="253"/>
      <c r="JN290" s="253"/>
      <c r="JO290" s="253"/>
      <c r="JP290" s="253"/>
      <c r="JQ290" s="253"/>
      <c r="JR290" s="253"/>
      <c r="JS290" s="253"/>
      <c r="JT290" s="253"/>
      <c r="JU290" s="253"/>
      <c r="JV290" s="253"/>
      <c r="JW290" s="253"/>
      <c r="JX290" s="253"/>
      <c r="JY290" s="253"/>
      <c r="JZ290" s="253"/>
      <c r="KA290" s="253"/>
      <c r="KB290" s="253"/>
      <c r="KC290" s="253"/>
      <c r="KD290" s="253"/>
      <c r="KE290" s="253"/>
      <c r="KF290" s="253"/>
      <c r="KG290" s="253"/>
      <c r="KH290" s="253"/>
      <c r="KI290" s="253"/>
      <c r="KJ290" s="253"/>
      <c r="KK290" s="253"/>
      <c r="KL290" s="253"/>
      <c r="KM290" s="253"/>
      <c r="KN290" s="253"/>
      <c r="KO290" s="253"/>
      <c r="KP290" s="253"/>
      <c r="KQ290" s="253"/>
      <c r="KR290" s="253"/>
      <c r="KS290" s="253"/>
      <c r="KT290" s="253"/>
      <c r="KU290" s="253"/>
      <c r="KV290" s="253"/>
      <c r="KW290" s="253"/>
      <c r="KX290" s="253"/>
      <c r="KY290" s="253"/>
      <c r="KZ290" s="253"/>
      <c r="LA290" s="253"/>
      <c r="LB290" s="253"/>
      <c r="LC290" s="253"/>
      <c r="LD290" s="253"/>
      <c r="LE290" s="253"/>
      <c r="LF290" s="1296"/>
      <c r="LG290" s="253"/>
      <c r="LH290" s="253"/>
      <c r="LI290" s="253"/>
      <c r="LJ290" s="253"/>
      <c r="LK290" s="1296"/>
      <c r="LL290" s="253"/>
      <c r="LM290" s="253"/>
      <c r="LN290" s="253"/>
      <c r="LO290" s="253"/>
      <c r="LP290" s="1296"/>
      <c r="LQ290" s="253"/>
      <c r="LR290" s="253"/>
      <c r="LS290" s="253"/>
      <c r="LT290" s="253"/>
      <c r="LU290" s="1296"/>
      <c r="LV290" s="1296"/>
      <c r="LW290" s="1296"/>
      <c r="LX290" s="1296"/>
      <c r="LY290" s="1296"/>
      <c r="LZ290" s="1296"/>
      <c r="MA290" s="1296"/>
      <c r="MB290" s="1296"/>
      <c r="MC290" s="1296"/>
      <c r="MD290" s="1296"/>
      <c r="ME290" s="1296"/>
      <c r="MF290" s="1296"/>
      <c r="MG290" s="1296"/>
      <c r="MH290" s="1296"/>
      <c r="MI290" s="1296"/>
      <c r="MJ290" s="1296"/>
      <c r="MK290" s="1296"/>
      <c r="ML290" s="1296"/>
      <c r="MM290" s="1296"/>
      <c r="MN290" s="1296"/>
      <c r="MO290" s="1296"/>
      <c r="MP290" s="1296"/>
      <c r="MQ290" s="253"/>
      <c r="MR290" s="253"/>
      <c r="MS290" s="253"/>
      <c r="MT290" s="253"/>
      <c r="MU290" s="253"/>
      <c r="MV290" s="253"/>
      <c r="MW290" s="1184"/>
      <c r="MX290" s="253"/>
      <c r="MY290" s="253"/>
      <c r="MZ290" s="253"/>
      <c r="NA290" s="253"/>
      <c r="NB290" s="253"/>
      <c r="NC290" s="253"/>
      <c r="ND290" s="253"/>
      <c r="NE290" s="253"/>
      <c r="NF290" s="253"/>
      <c r="NG290" s="253"/>
      <c r="NH290" s="253"/>
      <c r="NI290" s="253"/>
      <c r="NJ290" s="253"/>
      <c r="NK290" s="253"/>
      <c r="NL290" s="253"/>
      <c r="NM290" s="1184"/>
      <c r="NN290" s="1184"/>
      <c r="NO290" s="253"/>
      <c r="NP290" s="253"/>
      <c r="NQ290" s="253"/>
      <c r="NR290" s="253"/>
      <c r="NS290" s="253"/>
      <c r="NT290" s="253"/>
      <c r="NU290" s="253"/>
      <c r="NV290" s="253"/>
      <c r="NW290" s="253"/>
      <c r="NX290" s="253"/>
      <c r="NY290" s="253"/>
      <c r="NZ290" s="253"/>
      <c r="OA290" s="253"/>
      <c r="OB290" s="253"/>
      <c r="OC290" s="253"/>
      <c r="OD290" s="253"/>
      <c r="OE290" s="253"/>
      <c r="OF290" s="253"/>
      <c r="OG290" s="253"/>
      <c r="OH290" s="253"/>
      <c r="OI290" s="253"/>
      <c r="OJ290" s="253"/>
      <c r="OK290" s="253"/>
      <c r="OL290" s="253"/>
      <c r="OM290" s="253"/>
      <c r="ON290" s="253"/>
      <c r="OO290" s="253"/>
      <c r="OP290" s="253"/>
      <c r="OQ290" s="253"/>
      <c r="OR290" s="253"/>
      <c r="OS290" s="253"/>
      <c r="OT290" s="253"/>
      <c r="OU290" s="253"/>
      <c r="OV290" s="43"/>
      <c r="OW290" s="43"/>
      <c r="OX290" s="43"/>
      <c r="OY290" s="1794"/>
      <c r="OZ290" s="1798">
        <v>286</v>
      </c>
      <c r="PA290" s="43"/>
      <c r="PB290" s="43"/>
      <c r="PC290" s="43"/>
      <c r="PD290" s="43"/>
      <c r="PE290" s="43"/>
      <c r="PF290" s="43"/>
      <c r="PG290" s="43"/>
      <c r="PH290" s="43"/>
      <c r="PI290" s="43"/>
      <c r="PJ290" s="43"/>
      <c r="PK290" s="43"/>
      <c r="PL290" s="43"/>
      <c r="PM290" s="43"/>
      <c r="PN290" s="43"/>
      <c r="PO290" s="43"/>
      <c r="PP290" s="43"/>
      <c r="PQ290" s="43"/>
      <c r="PR290" s="43"/>
      <c r="PS290" s="43"/>
      <c r="PT290" s="43"/>
      <c r="PU290" s="43"/>
      <c r="PV290" s="43"/>
      <c r="PW290" s="43"/>
      <c r="PX290" s="43"/>
      <c r="PY290" s="43"/>
      <c r="PZ290" s="43"/>
      <c r="QA290" s="43"/>
      <c r="QB290" s="43"/>
      <c r="QC290" s="43"/>
      <c r="QD290" s="43"/>
      <c r="QE290" s="43"/>
      <c r="QF290" s="43"/>
      <c r="QG290" s="43"/>
      <c r="QH290" s="43"/>
      <c r="QI290" s="43"/>
      <c r="QJ290" s="43"/>
      <c r="QK290" s="43"/>
      <c r="QL290" s="43"/>
      <c r="QM290" s="43"/>
      <c r="QN290" s="43"/>
      <c r="QO290" s="43"/>
      <c r="QP290" s="43"/>
      <c r="QQ290" s="43"/>
      <c r="QR290" s="43"/>
      <c r="QS290" s="43"/>
      <c r="QT290" s="43"/>
      <c r="QU290" s="43"/>
      <c r="QV290" s="43"/>
      <c r="QW290" s="43"/>
      <c r="QX290" s="43"/>
      <c r="QY290" s="43"/>
      <c r="QZ290" s="43"/>
      <c r="RA290" s="43"/>
      <c r="RB290" s="43"/>
      <c r="RC290" s="43"/>
      <c r="RD290" s="43"/>
      <c r="RE290" s="43"/>
      <c r="RF290" s="43"/>
      <c r="RG290" s="43"/>
      <c r="RH290" s="43"/>
      <c r="RI290" s="43"/>
      <c r="RJ290" s="43"/>
      <c r="RK290" s="43"/>
      <c r="RL290" s="43"/>
      <c r="RM290" s="43"/>
      <c r="RN290" s="43"/>
      <c r="RO290" s="43"/>
      <c r="RP290" s="43"/>
      <c r="RQ290" s="43"/>
      <c r="RR290" s="43"/>
      <c r="RS290" s="43"/>
      <c r="RT290" s="43"/>
      <c r="RU290" s="43"/>
      <c r="RV290" s="43"/>
      <c r="RW290" s="43"/>
      <c r="RX290" s="43"/>
      <c r="RY290" s="43"/>
      <c r="RZ290" s="43"/>
      <c r="SA290" s="43"/>
      <c r="SB290" s="43"/>
      <c r="SC290" s="43"/>
      <c r="SD290" s="43"/>
      <c r="SE290" s="43"/>
      <c r="SF290" s="43"/>
      <c r="SG290" s="43"/>
      <c r="SH290" s="43"/>
      <c r="SI290" s="43"/>
      <c r="SJ290" s="43"/>
      <c r="SK290" s="43"/>
      <c r="SL290" s="43"/>
      <c r="SM290" s="43"/>
      <c r="SN290" s="43"/>
      <c r="SO290" s="43"/>
      <c r="SP290" s="43"/>
      <c r="SQ290" s="43"/>
      <c r="SR290" s="43"/>
      <c r="SS290" s="43"/>
      <c r="ST290" s="43"/>
      <c r="SU290" s="43"/>
      <c r="SV290" s="43"/>
      <c r="SW290" s="43"/>
      <c r="SX290" s="43"/>
      <c r="SY290" s="43"/>
      <c r="SZ290" s="43"/>
      <c r="TA290" s="43"/>
      <c r="TB290" s="43"/>
      <c r="TC290" s="43"/>
      <c r="TD290" s="43"/>
      <c r="TE290" s="43"/>
      <c r="TF290" s="43"/>
      <c r="TG290" s="43"/>
      <c r="TH290" s="43"/>
    </row>
    <row r="291" spans="1:528" s="41" customFormat="1" ht="14.1" customHeight="1">
      <c r="A291" s="10"/>
      <c r="B291" s="43"/>
      <c r="C291" s="43"/>
      <c r="D291" s="43"/>
      <c r="E291" s="43"/>
      <c r="F291" s="43"/>
      <c r="G291" s="43"/>
      <c r="H291" s="43"/>
      <c r="I291" s="43"/>
      <c r="J291" s="43"/>
      <c r="K291" s="43"/>
      <c r="L291" s="43"/>
      <c r="M291" s="43"/>
      <c r="N291" s="43"/>
      <c r="O291" s="43"/>
      <c r="P291" s="4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BQ291" s="253"/>
      <c r="BR291" s="253"/>
      <c r="BS291" s="253"/>
      <c r="BT291" s="253"/>
      <c r="BU291" s="253"/>
      <c r="BV291" s="253"/>
      <c r="BW291" s="253"/>
      <c r="BX291" s="253"/>
      <c r="BY291" s="253"/>
      <c r="BZ291" s="253"/>
      <c r="CA291" s="253"/>
      <c r="CB291" s="253"/>
      <c r="CC291" s="253"/>
      <c r="CD291" s="253"/>
      <c r="CE291" s="253"/>
      <c r="CF291" s="253"/>
      <c r="CG291" s="253"/>
      <c r="CH291" s="253"/>
      <c r="CI291" s="253"/>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EU291" s="253"/>
      <c r="EV291" s="253"/>
      <c r="EW291" s="253"/>
      <c r="EX291" s="253"/>
      <c r="EY291" s="253"/>
      <c r="EZ291" s="253"/>
      <c r="FA291" s="253"/>
      <c r="FB291" s="253"/>
      <c r="FC291" s="253"/>
      <c r="FD291" s="253"/>
      <c r="FE291" s="253"/>
      <c r="FF291" s="253"/>
      <c r="FG291" s="253"/>
      <c r="FH291" s="253"/>
      <c r="FI291" s="253"/>
      <c r="FJ291" s="253"/>
      <c r="FK291" s="253"/>
      <c r="FL291" s="253"/>
      <c r="FM291" s="253"/>
      <c r="FN291" s="253"/>
      <c r="FO291" s="253"/>
      <c r="FP291" s="253"/>
      <c r="FQ291" s="253"/>
      <c r="FR291" s="253"/>
      <c r="FS291" s="253"/>
      <c r="FT291" s="253"/>
      <c r="FU291" s="253"/>
      <c r="FV291" s="253"/>
      <c r="FW291" s="253"/>
      <c r="FX291" s="253"/>
      <c r="FY291" s="253"/>
      <c r="FZ291" s="253"/>
      <c r="GA291" s="253"/>
      <c r="GB291" s="253"/>
      <c r="GC291" s="253"/>
      <c r="GD291" s="253"/>
      <c r="GE291" s="253"/>
      <c r="GF291" s="253"/>
      <c r="GG291" s="253"/>
      <c r="GH291" s="253"/>
      <c r="GI291" s="253"/>
      <c r="GJ291" s="253"/>
      <c r="GK291" s="253"/>
      <c r="GL291" s="253"/>
      <c r="GM291" s="253"/>
      <c r="GN291" s="253"/>
      <c r="GO291" s="253"/>
      <c r="GP291" s="253"/>
      <c r="GQ291" s="253"/>
      <c r="GR291" s="253"/>
      <c r="GS291" s="253"/>
      <c r="GT291" s="253"/>
      <c r="GU291" s="253"/>
      <c r="GV291" s="253"/>
      <c r="GW291" s="253"/>
      <c r="GX291" s="253"/>
      <c r="GY291" s="253"/>
      <c r="GZ291" s="253"/>
      <c r="HA291" s="253"/>
      <c r="HB291" s="253"/>
      <c r="HC291" s="253"/>
      <c r="HD291" s="253"/>
      <c r="HE291" s="253"/>
      <c r="HF291" s="253"/>
      <c r="HG291" s="253"/>
      <c r="HH291" s="253"/>
      <c r="HI291" s="253"/>
      <c r="HJ291" s="253"/>
      <c r="HK291" s="253"/>
      <c r="HL291" s="253"/>
      <c r="HM291" s="253"/>
      <c r="HN291" s="253"/>
      <c r="HO291" s="253"/>
      <c r="HP291" s="253"/>
      <c r="HQ291" s="253"/>
      <c r="HR291" s="253"/>
      <c r="HS291" s="253"/>
      <c r="HT291" s="253"/>
      <c r="HU291" s="253"/>
      <c r="HV291" s="253"/>
      <c r="HW291" s="253"/>
      <c r="HX291" s="253"/>
      <c r="HY291" s="253"/>
      <c r="HZ291" s="253"/>
      <c r="IA291" s="253"/>
      <c r="IB291" s="253"/>
      <c r="IC291" s="253"/>
      <c r="ID291" s="253"/>
      <c r="IE291" s="253"/>
      <c r="IF291" s="253"/>
      <c r="IG291" s="253"/>
      <c r="IH291" s="253"/>
      <c r="II291" s="253"/>
      <c r="IJ291" s="253"/>
      <c r="IK291" s="253"/>
      <c r="IL291" s="253"/>
      <c r="IM291" s="253"/>
      <c r="IN291" s="253"/>
      <c r="IO291" s="253"/>
      <c r="IP291" s="253"/>
      <c r="IQ291" s="253"/>
      <c r="IR291" s="253"/>
      <c r="IS291" s="253"/>
      <c r="IT291" s="253"/>
      <c r="IU291" s="253"/>
      <c r="IV291" s="253"/>
      <c r="IW291" s="253"/>
      <c r="IX291" s="253"/>
      <c r="IY291" s="253"/>
      <c r="IZ291" s="253"/>
      <c r="JA291" s="253"/>
      <c r="JB291" s="253"/>
      <c r="JC291" s="253"/>
      <c r="JD291" s="253"/>
      <c r="JE291" s="253"/>
      <c r="JF291" s="253"/>
      <c r="JG291" s="253"/>
      <c r="JH291" s="253"/>
      <c r="JI291" s="253"/>
      <c r="JJ291" s="253"/>
      <c r="JK291" s="253"/>
      <c r="JL291" s="253"/>
      <c r="JM291" s="253"/>
      <c r="JN291" s="253"/>
      <c r="JO291" s="253"/>
      <c r="JP291" s="253"/>
      <c r="JQ291" s="253"/>
      <c r="JR291" s="253"/>
      <c r="JS291" s="253"/>
      <c r="JT291" s="253"/>
      <c r="JU291" s="253"/>
      <c r="JV291" s="253"/>
      <c r="JW291" s="253"/>
      <c r="JX291" s="253"/>
      <c r="JY291" s="253"/>
      <c r="JZ291" s="253"/>
      <c r="KA291" s="253"/>
      <c r="KB291" s="253"/>
      <c r="KC291" s="253"/>
      <c r="KD291" s="253"/>
      <c r="KE291" s="253"/>
      <c r="KF291" s="253"/>
      <c r="KG291" s="253"/>
      <c r="KH291" s="253"/>
      <c r="KI291" s="253"/>
      <c r="KJ291" s="253"/>
      <c r="KK291" s="253"/>
      <c r="KL291" s="253"/>
      <c r="KM291" s="253"/>
      <c r="KN291" s="253"/>
      <c r="KO291" s="253"/>
      <c r="KP291" s="253"/>
      <c r="KQ291" s="253"/>
      <c r="KR291" s="253"/>
      <c r="KS291" s="253"/>
      <c r="KT291" s="253"/>
      <c r="KU291" s="253"/>
      <c r="KV291" s="253"/>
      <c r="KW291" s="253"/>
      <c r="KX291" s="253"/>
      <c r="KY291" s="253"/>
      <c r="KZ291" s="253"/>
      <c r="LA291" s="253"/>
      <c r="LB291" s="253"/>
      <c r="LC291" s="253"/>
      <c r="LD291" s="253"/>
      <c r="LE291" s="253"/>
      <c r="LF291" s="1296"/>
      <c r="LG291" s="253"/>
      <c r="LH291" s="253"/>
      <c r="LI291" s="253"/>
      <c r="LJ291" s="253"/>
      <c r="LK291" s="1296"/>
      <c r="LL291" s="253"/>
      <c r="LM291" s="253"/>
      <c r="LN291" s="253"/>
      <c r="LO291" s="253"/>
      <c r="LP291" s="1296"/>
      <c r="LQ291" s="253"/>
      <c r="LR291" s="253"/>
      <c r="LS291" s="253"/>
      <c r="LT291" s="253"/>
      <c r="LU291" s="1296"/>
      <c r="LV291" s="1296"/>
      <c r="LW291" s="1296"/>
      <c r="LX291" s="1296"/>
      <c r="LY291" s="1296"/>
      <c r="LZ291" s="1296"/>
      <c r="MA291" s="1296"/>
      <c r="MB291" s="1296"/>
      <c r="MC291" s="1296"/>
      <c r="MD291" s="1296"/>
      <c r="ME291" s="1296"/>
      <c r="MF291" s="1296"/>
      <c r="MG291" s="1296"/>
      <c r="MH291" s="1296"/>
      <c r="MI291" s="1296"/>
      <c r="MJ291" s="1296"/>
      <c r="MK291" s="1296"/>
      <c r="ML291" s="1296"/>
      <c r="MM291" s="1296"/>
      <c r="MN291" s="1296"/>
      <c r="MO291" s="1296"/>
      <c r="MP291" s="1296"/>
      <c r="MQ291" s="253"/>
      <c r="MR291" s="253"/>
      <c r="MS291" s="253"/>
      <c r="MT291" s="253"/>
      <c r="MU291" s="253"/>
      <c r="MV291" s="253"/>
      <c r="MW291" s="1184"/>
      <c r="MX291" s="253"/>
      <c r="MY291" s="253"/>
      <c r="MZ291" s="253"/>
      <c r="NA291" s="253"/>
      <c r="NB291" s="253"/>
      <c r="NC291" s="253"/>
      <c r="ND291" s="253"/>
      <c r="NE291" s="253"/>
      <c r="NF291" s="253"/>
      <c r="NG291" s="253"/>
      <c r="NH291" s="253"/>
      <c r="NI291" s="253"/>
      <c r="NJ291" s="253"/>
      <c r="NK291" s="253"/>
      <c r="NL291" s="253"/>
      <c r="NM291" s="1184"/>
      <c r="NN291" s="1184"/>
      <c r="NO291" s="253"/>
      <c r="NP291" s="253"/>
      <c r="NQ291" s="253"/>
      <c r="NR291" s="253"/>
      <c r="NS291" s="253"/>
      <c r="NT291" s="253"/>
      <c r="NU291" s="253"/>
      <c r="NV291" s="253"/>
      <c r="NW291" s="253"/>
      <c r="NX291" s="253"/>
      <c r="NY291" s="253"/>
      <c r="NZ291" s="253"/>
      <c r="OA291" s="253"/>
      <c r="OB291" s="253"/>
      <c r="OC291" s="253"/>
      <c r="OD291" s="253"/>
      <c r="OE291" s="253"/>
      <c r="OF291" s="253"/>
      <c r="OG291" s="253"/>
      <c r="OH291" s="253"/>
      <c r="OI291" s="253"/>
      <c r="OJ291" s="253"/>
      <c r="OK291" s="253"/>
      <c r="OL291" s="253"/>
      <c r="OM291" s="253"/>
      <c r="ON291" s="253"/>
      <c r="OO291" s="253"/>
      <c r="OP291" s="253"/>
      <c r="OQ291" s="253"/>
      <c r="OR291" s="253"/>
      <c r="OS291" s="253"/>
      <c r="OT291" s="253"/>
      <c r="OU291" s="253"/>
      <c r="OV291" s="43"/>
      <c r="OW291" s="43"/>
      <c r="OX291" s="43"/>
      <c r="OY291" s="1794"/>
      <c r="OZ291" s="1799">
        <v>287</v>
      </c>
      <c r="PA291" s="43"/>
      <c r="PB291" s="43"/>
      <c r="PC291" s="43"/>
      <c r="PD291" s="43"/>
      <c r="PE291" s="43"/>
      <c r="PF291" s="43"/>
      <c r="PG291" s="43"/>
      <c r="PH291" s="43"/>
      <c r="PI291" s="43"/>
      <c r="PJ291" s="43"/>
      <c r="PK291" s="43"/>
      <c r="PL291" s="43"/>
      <c r="PM291" s="43"/>
      <c r="PN291" s="43"/>
      <c r="PO291" s="43"/>
      <c r="PP291" s="43"/>
      <c r="PQ291" s="43"/>
      <c r="PR291" s="43"/>
      <c r="PS291" s="43"/>
      <c r="PT291" s="43"/>
      <c r="PU291" s="43"/>
      <c r="PV291" s="43"/>
      <c r="PW291" s="43"/>
      <c r="PX291" s="43"/>
      <c r="PY291" s="43"/>
      <c r="PZ291" s="43"/>
      <c r="QA291" s="43"/>
      <c r="QB291" s="43"/>
      <c r="QC291" s="43"/>
      <c r="QD291" s="43"/>
      <c r="QE291" s="43"/>
      <c r="QF291" s="43"/>
      <c r="QG291" s="43"/>
      <c r="QH291" s="43"/>
      <c r="QI291" s="43"/>
      <c r="QJ291" s="43"/>
      <c r="QK291" s="43"/>
      <c r="QL291" s="43"/>
      <c r="QM291" s="43"/>
      <c r="QN291" s="43"/>
      <c r="QO291" s="43"/>
      <c r="QP291" s="43"/>
      <c r="QQ291" s="43"/>
      <c r="QR291" s="43"/>
      <c r="QS291" s="43"/>
      <c r="QT291" s="43"/>
      <c r="QU291" s="43"/>
      <c r="QV291" s="43"/>
      <c r="QW291" s="43"/>
      <c r="QX291" s="43"/>
      <c r="QY291" s="43"/>
      <c r="QZ291" s="43"/>
      <c r="RA291" s="43"/>
      <c r="RB291" s="43"/>
      <c r="RC291" s="43"/>
      <c r="RD291" s="43"/>
      <c r="RE291" s="43"/>
      <c r="RF291" s="43"/>
      <c r="RG291" s="43"/>
      <c r="RH291" s="43"/>
      <c r="RI291" s="43"/>
      <c r="RJ291" s="43"/>
      <c r="RK291" s="43"/>
      <c r="RL291" s="43"/>
      <c r="RM291" s="43"/>
      <c r="RN291" s="43"/>
      <c r="RO291" s="43"/>
      <c r="RP291" s="43"/>
      <c r="RQ291" s="43"/>
      <c r="RR291" s="43"/>
      <c r="RS291" s="43"/>
      <c r="RT291" s="43"/>
      <c r="RU291" s="43"/>
      <c r="RV291" s="43"/>
      <c r="RW291" s="43"/>
      <c r="RX291" s="43"/>
      <c r="RY291" s="43"/>
      <c r="RZ291" s="43"/>
      <c r="SA291" s="43"/>
      <c r="SB291" s="43"/>
      <c r="SC291" s="43"/>
      <c r="SD291" s="43"/>
      <c r="SE291" s="43"/>
      <c r="SF291" s="43"/>
      <c r="SG291" s="43"/>
      <c r="SH291" s="43"/>
      <c r="SI291" s="43"/>
      <c r="SJ291" s="43"/>
      <c r="SK291" s="43"/>
      <c r="SL291" s="43"/>
      <c r="SM291" s="43"/>
      <c r="SN291" s="43"/>
      <c r="SO291" s="43"/>
      <c r="SP291" s="43"/>
      <c r="SQ291" s="43"/>
      <c r="SR291" s="43"/>
      <c r="SS291" s="43"/>
      <c r="ST291" s="43"/>
      <c r="SU291" s="43"/>
      <c r="SV291" s="43"/>
      <c r="SW291" s="43"/>
      <c r="SX291" s="43"/>
      <c r="SY291" s="43"/>
      <c r="SZ291" s="43"/>
      <c r="TA291" s="43"/>
      <c r="TB291" s="43"/>
      <c r="TC291" s="43"/>
      <c r="TD291" s="43"/>
      <c r="TE291" s="43"/>
      <c r="TF291" s="43"/>
      <c r="TG291" s="43"/>
      <c r="TH291" s="43"/>
    </row>
    <row r="292" spans="1:528" s="41" customFormat="1" ht="14.1" customHeight="1">
      <c r="A292" s="10"/>
      <c r="B292" s="43"/>
      <c r="C292" s="43"/>
      <c r="D292" s="43"/>
      <c r="E292" s="43"/>
      <c r="F292" s="43"/>
      <c r="G292" s="43"/>
      <c r="H292" s="43"/>
      <c r="I292" s="43"/>
      <c r="J292" s="43"/>
      <c r="K292" s="43"/>
      <c r="L292" s="43"/>
      <c r="M292" s="43"/>
      <c r="N292" s="43"/>
      <c r="O292" s="43"/>
      <c r="P292" s="43"/>
      <c r="X292" s="253"/>
      <c r="Y292" s="253"/>
      <c r="Z292" s="253"/>
      <c r="AA292" s="253"/>
      <c r="AB292" s="253"/>
      <c r="AC292" s="253"/>
      <c r="AD292" s="253"/>
      <c r="AE292" s="253"/>
      <c r="AF292" s="253"/>
      <c r="AG292" s="253"/>
      <c r="AH292" s="253"/>
      <c r="AI292" s="253"/>
      <c r="AJ292" s="253"/>
      <c r="AK292" s="253"/>
      <c r="AL292" s="253"/>
      <c r="AM292" s="253"/>
      <c r="AN292" s="253"/>
      <c r="AO292" s="253"/>
      <c r="AP292" s="253"/>
      <c r="AQ292" s="253"/>
      <c r="AR292" s="253"/>
      <c r="AS292" s="253"/>
      <c r="AT292" s="253"/>
      <c r="AU292" s="253"/>
      <c r="AV292" s="253"/>
      <c r="AW292" s="253"/>
      <c r="AX292" s="253"/>
      <c r="AY292" s="253"/>
      <c r="AZ292" s="253"/>
      <c r="BA292" s="253"/>
      <c r="BB292" s="253"/>
      <c r="BC292" s="253"/>
      <c r="BD292" s="253"/>
      <c r="BE292" s="253"/>
      <c r="BF292" s="253"/>
      <c r="BG292" s="253"/>
      <c r="BH292" s="253"/>
      <c r="BI292" s="253"/>
      <c r="BJ292" s="253"/>
      <c r="BK292" s="253"/>
      <c r="BL292" s="253"/>
      <c r="BM292" s="253"/>
      <c r="BN292" s="253"/>
      <c r="BO292" s="253"/>
      <c r="BP292" s="253"/>
      <c r="BQ292" s="253"/>
      <c r="BR292" s="253"/>
      <c r="BS292" s="253"/>
      <c r="BT292" s="253"/>
      <c r="BU292" s="253"/>
      <c r="BV292" s="253"/>
      <c r="BW292" s="253"/>
      <c r="BX292" s="253"/>
      <c r="BY292" s="253"/>
      <c r="BZ292" s="253"/>
      <c r="CA292" s="253"/>
      <c r="CB292" s="253"/>
      <c r="CC292" s="253"/>
      <c r="CD292" s="253"/>
      <c r="CE292" s="253"/>
      <c r="CF292" s="253"/>
      <c r="CG292" s="253"/>
      <c r="CH292" s="253"/>
      <c r="CI292" s="253"/>
      <c r="CJ292" s="253"/>
      <c r="CK292" s="253"/>
      <c r="CL292" s="253"/>
      <c r="CM292" s="253"/>
      <c r="CN292" s="253"/>
      <c r="CO292" s="253"/>
      <c r="CP292" s="253"/>
      <c r="CQ292" s="253"/>
      <c r="CR292" s="253"/>
      <c r="CS292" s="253"/>
      <c r="CT292" s="253"/>
      <c r="CU292" s="253"/>
      <c r="CV292" s="253"/>
      <c r="CW292" s="253"/>
      <c r="CX292" s="253"/>
      <c r="CY292" s="253"/>
      <c r="CZ292" s="253"/>
      <c r="DA292" s="253"/>
      <c r="DB292" s="253"/>
      <c r="DC292" s="253"/>
      <c r="DD292" s="253"/>
      <c r="DE292" s="253"/>
      <c r="DF292" s="253"/>
      <c r="DG292" s="253"/>
      <c r="DH292" s="253"/>
      <c r="DI292" s="253"/>
      <c r="DJ292" s="253"/>
      <c r="DK292" s="253"/>
      <c r="DL292" s="253"/>
      <c r="DM292" s="253"/>
      <c r="DN292" s="253"/>
      <c r="DO292" s="253"/>
      <c r="DP292" s="253"/>
      <c r="DQ292" s="253"/>
      <c r="DR292" s="253"/>
      <c r="DS292" s="253"/>
      <c r="DT292" s="253"/>
      <c r="DU292" s="253"/>
      <c r="DV292" s="253"/>
      <c r="DW292" s="253"/>
      <c r="DX292" s="253"/>
      <c r="DY292" s="253"/>
      <c r="DZ292" s="253"/>
      <c r="EA292" s="253"/>
      <c r="EB292" s="253"/>
      <c r="EC292" s="253"/>
      <c r="ED292" s="253"/>
      <c r="EE292" s="253"/>
      <c r="EF292" s="253"/>
      <c r="EG292" s="253"/>
      <c r="EH292" s="253"/>
      <c r="EI292" s="253"/>
      <c r="EJ292" s="253"/>
      <c r="EK292" s="253"/>
      <c r="EL292" s="253"/>
      <c r="EM292" s="253"/>
      <c r="EN292" s="253"/>
      <c r="EO292" s="253"/>
      <c r="EP292" s="253"/>
      <c r="EQ292" s="253"/>
      <c r="ER292" s="253"/>
      <c r="ES292" s="253"/>
      <c r="ET292" s="253"/>
      <c r="EU292" s="253"/>
      <c r="EV292" s="253"/>
      <c r="EW292" s="253"/>
      <c r="EX292" s="253"/>
      <c r="EY292" s="253"/>
      <c r="EZ292" s="253"/>
      <c r="FA292" s="253"/>
      <c r="FB292" s="253"/>
      <c r="FC292" s="253"/>
      <c r="FD292" s="253"/>
      <c r="FE292" s="253"/>
      <c r="FF292" s="253"/>
      <c r="FG292" s="253"/>
      <c r="FH292" s="253"/>
      <c r="FI292" s="253"/>
      <c r="FJ292" s="253"/>
      <c r="FK292" s="253"/>
      <c r="FL292" s="253"/>
      <c r="FM292" s="253"/>
      <c r="FN292" s="253"/>
      <c r="FO292" s="253"/>
      <c r="FP292" s="253"/>
      <c r="FQ292" s="253"/>
      <c r="FR292" s="253"/>
      <c r="FS292" s="253"/>
      <c r="FT292" s="253"/>
      <c r="FU292" s="253"/>
      <c r="FV292" s="253"/>
      <c r="FW292" s="253"/>
      <c r="FX292" s="253"/>
      <c r="FY292" s="253"/>
      <c r="FZ292" s="253"/>
      <c r="GA292" s="253"/>
      <c r="GB292" s="253"/>
      <c r="GC292" s="253"/>
      <c r="GD292" s="253"/>
      <c r="GE292" s="253"/>
      <c r="GF292" s="253"/>
      <c r="GG292" s="253"/>
      <c r="GH292" s="253"/>
      <c r="GI292" s="253"/>
      <c r="GJ292" s="253"/>
      <c r="GK292" s="253"/>
      <c r="GL292" s="253"/>
      <c r="GM292" s="253"/>
      <c r="GN292" s="253"/>
      <c r="GO292" s="253"/>
      <c r="GP292" s="253"/>
      <c r="GQ292" s="253"/>
      <c r="GR292" s="253"/>
      <c r="GS292" s="253"/>
      <c r="GT292" s="253"/>
      <c r="GU292" s="253"/>
      <c r="GV292" s="253"/>
      <c r="GW292" s="253"/>
      <c r="GX292" s="253"/>
      <c r="GY292" s="253"/>
      <c r="GZ292" s="253"/>
      <c r="HA292" s="253"/>
      <c r="HB292" s="253"/>
      <c r="HC292" s="253"/>
      <c r="HD292" s="253"/>
      <c r="HE292" s="253"/>
      <c r="HF292" s="253"/>
      <c r="HG292" s="253"/>
      <c r="HH292" s="253"/>
      <c r="HI292" s="253"/>
      <c r="HJ292" s="253"/>
      <c r="HK292" s="253"/>
      <c r="HL292" s="253"/>
      <c r="HM292" s="253"/>
      <c r="HN292" s="253"/>
      <c r="HO292" s="253"/>
      <c r="HP292" s="253"/>
      <c r="HQ292" s="253"/>
      <c r="HR292" s="253"/>
      <c r="HS292" s="253"/>
      <c r="HT292" s="253"/>
      <c r="HU292" s="253"/>
      <c r="HV292" s="253"/>
      <c r="HW292" s="253"/>
      <c r="HX292" s="253"/>
      <c r="HY292" s="253"/>
      <c r="HZ292" s="253"/>
      <c r="IA292" s="253"/>
      <c r="IB292" s="253"/>
      <c r="IC292" s="253"/>
      <c r="ID292" s="253"/>
      <c r="IE292" s="253"/>
      <c r="IF292" s="253"/>
      <c r="IG292" s="253"/>
      <c r="IH292" s="253"/>
      <c r="II292" s="253"/>
      <c r="IJ292" s="253"/>
      <c r="IK292" s="253"/>
      <c r="IL292" s="253"/>
      <c r="IM292" s="253"/>
      <c r="IN292" s="253"/>
      <c r="IO292" s="253"/>
      <c r="IP292" s="253"/>
      <c r="IQ292" s="253"/>
      <c r="IR292" s="253"/>
      <c r="IS292" s="253"/>
      <c r="IT292" s="253"/>
      <c r="IU292" s="253"/>
      <c r="IV292" s="253"/>
      <c r="IW292" s="253"/>
      <c r="IX292" s="253"/>
      <c r="IY292" s="253"/>
      <c r="IZ292" s="253"/>
      <c r="JA292" s="253"/>
      <c r="JB292" s="253"/>
      <c r="JC292" s="253"/>
      <c r="JD292" s="253"/>
      <c r="JE292" s="253"/>
      <c r="JF292" s="253"/>
      <c r="JG292" s="253"/>
      <c r="JH292" s="253"/>
      <c r="JI292" s="253"/>
      <c r="JJ292" s="253"/>
      <c r="JK292" s="253"/>
      <c r="JL292" s="253"/>
      <c r="JM292" s="253"/>
      <c r="JN292" s="253"/>
      <c r="JO292" s="253"/>
      <c r="JP292" s="253"/>
      <c r="JQ292" s="253"/>
      <c r="JR292" s="253"/>
      <c r="JS292" s="253"/>
      <c r="JT292" s="253"/>
      <c r="JU292" s="253"/>
      <c r="JV292" s="253"/>
      <c r="JW292" s="253"/>
      <c r="JX292" s="253"/>
      <c r="JY292" s="253"/>
      <c r="JZ292" s="253"/>
      <c r="KA292" s="253"/>
      <c r="KB292" s="253"/>
      <c r="KC292" s="253"/>
      <c r="KD292" s="253"/>
      <c r="KE292" s="253"/>
      <c r="KF292" s="253"/>
      <c r="KG292" s="253"/>
      <c r="KH292" s="253"/>
      <c r="KI292" s="253"/>
      <c r="KJ292" s="253"/>
      <c r="KK292" s="253"/>
      <c r="KL292" s="253"/>
      <c r="KM292" s="253"/>
      <c r="KN292" s="253"/>
      <c r="KO292" s="253"/>
      <c r="KP292" s="253"/>
      <c r="KQ292" s="253"/>
      <c r="KR292" s="253"/>
      <c r="KS292" s="253"/>
      <c r="KT292" s="253"/>
      <c r="KU292" s="253"/>
      <c r="KV292" s="253"/>
      <c r="KW292" s="253"/>
      <c r="KX292" s="253"/>
      <c r="KY292" s="253"/>
      <c r="KZ292" s="253"/>
      <c r="LA292" s="253"/>
      <c r="LB292" s="253"/>
      <c r="LC292" s="253"/>
      <c r="LD292" s="253"/>
      <c r="LE292" s="253"/>
      <c r="LF292" s="1296"/>
      <c r="LG292" s="253"/>
      <c r="LH292" s="253"/>
      <c r="LI292" s="253"/>
      <c r="LJ292" s="253"/>
      <c r="LK292" s="1296"/>
      <c r="LL292" s="253"/>
      <c r="LM292" s="253"/>
      <c r="LN292" s="253"/>
      <c r="LO292" s="253"/>
      <c r="LP292" s="1296"/>
      <c r="LQ292" s="253"/>
      <c r="LR292" s="253"/>
      <c r="LS292" s="253"/>
      <c r="LT292" s="253"/>
      <c r="LU292" s="1296"/>
      <c r="LV292" s="1296"/>
      <c r="LW292" s="1296"/>
      <c r="LX292" s="1296"/>
      <c r="LY292" s="1296"/>
      <c r="LZ292" s="1296"/>
      <c r="MA292" s="1296"/>
      <c r="MB292" s="1296"/>
      <c r="MC292" s="1296"/>
      <c r="MD292" s="1296"/>
      <c r="ME292" s="1296"/>
      <c r="MF292" s="1296"/>
      <c r="MG292" s="1296"/>
      <c r="MH292" s="1296"/>
      <c r="MI292" s="1296"/>
      <c r="MJ292" s="1296"/>
      <c r="MK292" s="1296"/>
      <c r="ML292" s="1296"/>
      <c r="MM292" s="1296"/>
      <c r="MN292" s="1296"/>
      <c r="MO292" s="1296"/>
      <c r="MP292" s="1296"/>
      <c r="MQ292" s="253"/>
      <c r="MR292" s="253"/>
      <c r="MS292" s="253"/>
      <c r="MT292" s="253"/>
      <c r="MU292" s="253"/>
      <c r="MV292" s="253"/>
      <c r="MW292" s="1184"/>
      <c r="MX292" s="253"/>
      <c r="MY292" s="253"/>
      <c r="MZ292" s="253"/>
      <c r="NA292" s="253"/>
      <c r="NB292" s="253"/>
      <c r="NC292" s="253"/>
      <c r="ND292" s="253"/>
      <c r="NE292" s="253"/>
      <c r="NF292" s="253"/>
      <c r="NG292" s="253"/>
      <c r="NH292" s="253"/>
      <c r="NI292" s="253"/>
      <c r="NJ292" s="253"/>
      <c r="NK292" s="253"/>
      <c r="NL292" s="253"/>
      <c r="NM292" s="1184"/>
      <c r="NN292" s="1184"/>
      <c r="NO292" s="253"/>
      <c r="NP292" s="253"/>
      <c r="NQ292" s="253"/>
      <c r="NR292" s="253"/>
      <c r="NS292" s="253"/>
      <c r="NT292" s="253"/>
      <c r="NU292" s="253"/>
      <c r="NV292" s="253"/>
      <c r="NW292" s="253"/>
      <c r="NX292" s="253"/>
      <c r="NY292" s="253"/>
      <c r="NZ292" s="253"/>
      <c r="OA292" s="253"/>
      <c r="OB292" s="253"/>
      <c r="OC292" s="253"/>
      <c r="OD292" s="253"/>
      <c r="OE292" s="253"/>
      <c r="OF292" s="253"/>
      <c r="OG292" s="253"/>
      <c r="OH292" s="253"/>
      <c r="OI292" s="253"/>
      <c r="OJ292" s="253"/>
      <c r="OK292" s="253"/>
      <c r="OL292" s="253"/>
      <c r="OM292" s="253"/>
      <c r="ON292" s="253"/>
      <c r="OO292" s="253"/>
      <c r="OP292" s="253"/>
      <c r="OQ292" s="253"/>
      <c r="OR292" s="253"/>
      <c r="OS292" s="253"/>
      <c r="OT292" s="253"/>
      <c r="OU292" s="253"/>
      <c r="OV292" s="43"/>
      <c r="OW292" s="43"/>
      <c r="OX292" s="43"/>
      <c r="OY292" s="1794"/>
      <c r="OZ292" s="1799">
        <v>288</v>
      </c>
      <c r="PA292" s="43"/>
      <c r="PB292" s="43"/>
      <c r="PC292" s="43"/>
      <c r="PD292" s="43"/>
      <c r="PE292" s="43"/>
      <c r="PF292" s="43"/>
      <c r="PG292" s="43"/>
      <c r="PH292" s="43"/>
      <c r="PI292" s="43"/>
      <c r="PJ292" s="43"/>
      <c r="PK292" s="43"/>
      <c r="PL292" s="43"/>
      <c r="PM292" s="43"/>
      <c r="PN292" s="43"/>
      <c r="PO292" s="43"/>
      <c r="PP292" s="43"/>
      <c r="PQ292" s="43"/>
      <c r="PR292" s="43"/>
      <c r="PS292" s="43"/>
      <c r="PT292" s="43"/>
      <c r="PU292" s="43"/>
      <c r="PV292" s="43"/>
      <c r="PW292" s="43"/>
      <c r="PX292" s="43"/>
      <c r="PY292" s="43"/>
      <c r="PZ292" s="43"/>
      <c r="QA292" s="43"/>
      <c r="QB292" s="43"/>
      <c r="QC292" s="43"/>
      <c r="QD292" s="43"/>
      <c r="QE292" s="43"/>
      <c r="QF292" s="43"/>
      <c r="QG292" s="43"/>
      <c r="QH292" s="43"/>
      <c r="QI292" s="43"/>
      <c r="QJ292" s="43"/>
      <c r="QK292" s="43"/>
      <c r="QL292" s="43"/>
      <c r="QM292" s="43"/>
      <c r="QN292" s="43"/>
      <c r="QO292" s="43"/>
      <c r="QP292" s="43"/>
      <c r="QQ292" s="43"/>
      <c r="QR292" s="43"/>
      <c r="QS292" s="43"/>
      <c r="QT292" s="43"/>
      <c r="QU292" s="43"/>
      <c r="QV292" s="43"/>
      <c r="QW292" s="43"/>
      <c r="QX292" s="43"/>
      <c r="QY292" s="43"/>
      <c r="QZ292" s="43"/>
      <c r="RA292" s="43"/>
      <c r="RB292" s="43"/>
      <c r="RC292" s="43"/>
      <c r="RD292" s="43"/>
      <c r="RE292" s="43"/>
      <c r="RF292" s="43"/>
      <c r="RG292" s="43"/>
      <c r="RH292" s="43"/>
      <c r="RI292" s="43"/>
      <c r="RJ292" s="43"/>
      <c r="RK292" s="43"/>
      <c r="RL292" s="43"/>
      <c r="RM292" s="43"/>
      <c r="RN292" s="43"/>
      <c r="RO292" s="43"/>
      <c r="RP292" s="43"/>
      <c r="RQ292" s="43"/>
      <c r="RR292" s="43"/>
      <c r="RS292" s="43"/>
      <c r="RT292" s="43"/>
      <c r="RU292" s="43"/>
      <c r="RV292" s="43"/>
      <c r="RW292" s="43"/>
      <c r="RX292" s="43"/>
      <c r="RY292" s="43"/>
      <c r="RZ292" s="43"/>
      <c r="SA292" s="43"/>
      <c r="SB292" s="43"/>
      <c r="SC292" s="43"/>
      <c r="SD292" s="43"/>
      <c r="SE292" s="43"/>
      <c r="SF292" s="43"/>
      <c r="SG292" s="43"/>
      <c r="SH292" s="43"/>
      <c r="SI292" s="43"/>
      <c r="SJ292" s="43"/>
      <c r="SK292" s="43"/>
      <c r="SL292" s="43"/>
      <c r="SM292" s="43"/>
      <c r="SN292" s="43"/>
      <c r="SO292" s="43"/>
      <c r="SP292" s="43"/>
      <c r="SQ292" s="43"/>
      <c r="SR292" s="43"/>
      <c r="SS292" s="43"/>
      <c r="ST292" s="43"/>
      <c r="SU292" s="43"/>
      <c r="SV292" s="43"/>
      <c r="SW292" s="43"/>
      <c r="SX292" s="43"/>
      <c r="SY292" s="43"/>
      <c r="SZ292" s="43"/>
      <c r="TA292" s="43"/>
      <c r="TB292" s="43"/>
      <c r="TC292" s="43"/>
      <c r="TD292" s="43"/>
      <c r="TE292" s="43"/>
      <c r="TF292" s="43"/>
      <c r="TG292" s="43"/>
      <c r="TH292" s="43"/>
    </row>
    <row r="293" spans="1:528" s="41" customFormat="1" ht="14.1" customHeight="1">
      <c r="A293" s="2542"/>
      <c r="B293" s="43"/>
      <c r="C293" s="43"/>
      <c r="D293" s="43"/>
      <c r="E293" s="43"/>
      <c r="F293" s="43"/>
      <c r="G293" s="43"/>
      <c r="H293" s="43"/>
      <c r="I293" s="43"/>
      <c r="J293" s="43"/>
      <c r="K293" s="43"/>
      <c r="L293" s="43"/>
      <c r="M293" s="43"/>
      <c r="N293" s="43"/>
      <c r="O293" s="43"/>
      <c r="P293" s="43"/>
      <c r="X293" s="253"/>
      <c r="Y293" s="253"/>
      <c r="Z293" s="253"/>
      <c r="AA293" s="253"/>
      <c r="AB293" s="253"/>
      <c r="AC293" s="253"/>
      <c r="AD293" s="253"/>
      <c r="AE293" s="253"/>
      <c r="AF293" s="253"/>
      <c r="AG293" s="253"/>
      <c r="AH293" s="253"/>
      <c r="AI293" s="253"/>
      <c r="AJ293" s="253"/>
      <c r="AK293" s="253"/>
      <c r="AL293" s="253"/>
      <c r="AM293" s="253"/>
      <c r="AN293" s="253"/>
      <c r="AO293" s="253"/>
      <c r="AP293" s="253"/>
      <c r="AQ293" s="253"/>
      <c r="AR293" s="253"/>
      <c r="AS293" s="253"/>
      <c r="AT293" s="253"/>
      <c r="AU293" s="253"/>
      <c r="AV293" s="253"/>
      <c r="AW293" s="253"/>
      <c r="AX293" s="253"/>
      <c r="AY293" s="253"/>
      <c r="AZ293" s="253"/>
      <c r="BA293" s="253"/>
      <c r="BB293" s="253"/>
      <c r="BC293" s="253"/>
      <c r="BD293" s="253"/>
      <c r="BE293" s="253"/>
      <c r="BF293" s="253"/>
      <c r="BG293" s="253"/>
      <c r="BH293" s="253"/>
      <c r="BI293" s="253"/>
      <c r="BJ293" s="253"/>
      <c r="BK293" s="253"/>
      <c r="BL293" s="253"/>
      <c r="BM293" s="253"/>
      <c r="BN293" s="253"/>
      <c r="BO293" s="253"/>
      <c r="BP293" s="253"/>
      <c r="BQ293" s="253"/>
      <c r="BR293" s="253"/>
      <c r="BS293" s="253"/>
      <c r="BT293" s="253"/>
      <c r="BU293" s="253"/>
      <c r="BV293" s="253"/>
      <c r="BW293" s="253"/>
      <c r="BX293" s="253"/>
      <c r="BY293" s="253"/>
      <c r="BZ293" s="253"/>
      <c r="CA293" s="253"/>
      <c r="CB293" s="253"/>
      <c r="CC293" s="253"/>
      <c r="CD293" s="253"/>
      <c r="CE293" s="253"/>
      <c r="CF293" s="253"/>
      <c r="CG293" s="253"/>
      <c r="CH293" s="253"/>
      <c r="CI293" s="253"/>
      <c r="CJ293" s="253"/>
      <c r="CK293" s="253"/>
      <c r="CL293" s="253"/>
      <c r="CM293" s="253"/>
      <c r="CN293" s="253"/>
      <c r="CO293" s="253"/>
      <c r="CP293" s="253"/>
      <c r="CQ293" s="253"/>
      <c r="CR293" s="253"/>
      <c r="CS293" s="253"/>
      <c r="CT293" s="253"/>
      <c r="CU293" s="253"/>
      <c r="CV293" s="253"/>
      <c r="CW293" s="253"/>
      <c r="CX293" s="253"/>
      <c r="CY293" s="253"/>
      <c r="CZ293" s="253"/>
      <c r="DA293" s="253"/>
      <c r="DB293" s="253"/>
      <c r="DC293" s="253"/>
      <c r="DD293" s="253"/>
      <c r="DE293" s="253"/>
      <c r="DF293" s="253"/>
      <c r="DG293" s="253"/>
      <c r="DH293" s="253"/>
      <c r="DI293" s="253"/>
      <c r="DJ293" s="253"/>
      <c r="DK293" s="253"/>
      <c r="DL293" s="253"/>
      <c r="DM293" s="253"/>
      <c r="DN293" s="253"/>
      <c r="DO293" s="253"/>
      <c r="DP293" s="253"/>
      <c r="DQ293" s="253"/>
      <c r="DR293" s="253"/>
      <c r="DS293" s="253"/>
      <c r="DT293" s="253"/>
      <c r="DU293" s="253"/>
      <c r="DV293" s="253"/>
      <c r="DW293" s="253"/>
      <c r="DX293" s="253"/>
      <c r="DY293" s="253"/>
      <c r="DZ293" s="253"/>
      <c r="EA293" s="253"/>
      <c r="EB293" s="253"/>
      <c r="EC293" s="253"/>
      <c r="ED293" s="253"/>
      <c r="EE293" s="253"/>
      <c r="EF293" s="253"/>
      <c r="EG293" s="253"/>
      <c r="EH293" s="253"/>
      <c r="EI293" s="253"/>
      <c r="EJ293" s="253"/>
      <c r="EK293" s="253"/>
      <c r="EL293" s="253"/>
      <c r="EM293" s="253"/>
      <c r="EN293" s="253"/>
      <c r="EO293" s="253"/>
      <c r="EP293" s="253"/>
      <c r="EQ293" s="253"/>
      <c r="ER293" s="253"/>
      <c r="ES293" s="253"/>
      <c r="ET293" s="253"/>
      <c r="EU293" s="253"/>
      <c r="EV293" s="253"/>
      <c r="EW293" s="253"/>
      <c r="EX293" s="253"/>
      <c r="EY293" s="253"/>
      <c r="EZ293" s="253"/>
      <c r="FA293" s="253"/>
      <c r="FB293" s="253"/>
      <c r="FC293" s="253"/>
      <c r="FD293" s="253"/>
      <c r="FE293" s="253"/>
      <c r="FF293" s="253"/>
      <c r="FG293" s="253"/>
      <c r="FH293" s="253"/>
      <c r="FI293" s="253"/>
      <c r="FJ293" s="253"/>
      <c r="FK293" s="253"/>
      <c r="FL293" s="253"/>
      <c r="FM293" s="253"/>
      <c r="FN293" s="253"/>
      <c r="FO293" s="253"/>
      <c r="FP293" s="253"/>
      <c r="FQ293" s="253"/>
      <c r="FR293" s="253"/>
      <c r="FS293" s="253"/>
      <c r="FT293" s="253"/>
      <c r="FU293" s="253"/>
      <c r="FV293" s="253"/>
      <c r="FW293" s="253"/>
      <c r="FX293" s="253"/>
      <c r="FY293" s="253"/>
      <c r="FZ293" s="253"/>
      <c r="GA293" s="253"/>
      <c r="GB293" s="253"/>
      <c r="GC293" s="253"/>
      <c r="GD293" s="253"/>
      <c r="GE293" s="253"/>
      <c r="GF293" s="253"/>
      <c r="GG293" s="253"/>
      <c r="GH293" s="253"/>
      <c r="GI293" s="253"/>
      <c r="GJ293" s="253"/>
      <c r="GK293" s="253"/>
      <c r="GL293" s="253"/>
      <c r="GM293" s="253"/>
      <c r="GN293" s="253"/>
      <c r="GO293" s="253"/>
      <c r="GP293" s="253"/>
      <c r="GQ293" s="253"/>
      <c r="GR293" s="253"/>
      <c r="GS293" s="253"/>
      <c r="GT293" s="253"/>
      <c r="GU293" s="253"/>
      <c r="GV293" s="253"/>
      <c r="GW293" s="253"/>
      <c r="GX293" s="253"/>
      <c r="GY293" s="253"/>
      <c r="GZ293" s="253"/>
      <c r="HA293" s="253"/>
      <c r="HB293" s="253"/>
      <c r="HC293" s="253"/>
      <c r="HD293" s="253"/>
      <c r="HE293" s="253"/>
      <c r="HF293" s="253"/>
      <c r="HG293" s="253"/>
      <c r="HH293" s="253"/>
      <c r="HI293" s="253"/>
      <c r="HJ293" s="253"/>
      <c r="HK293" s="253"/>
      <c r="HL293" s="253"/>
      <c r="HM293" s="253"/>
      <c r="HN293" s="253"/>
      <c r="HO293" s="253"/>
      <c r="HP293" s="253"/>
      <c r="HQ293" s="253"/>
      <c r="HR293" s="253"/>
      <c r="HS293" s="253"/>
      <c r="HT293" s="253"/>
      <c r="HU293" s="253"/>
      <c r="HV293" s="253"/>
      <c r="HW293" s="253"/>
      <c r="HX293" s="253"/>
      <c r="HY293" s="253"/>
      <c r="HZ293" s="253"/>
      <c r="IA293" s="253"/>
      <c r="IB293" s="253"/>
      <c r="IC293" s="253"/>
      <c r="ID293" s="253"/>
      <c r="IE293" s="253"/>
      <c r="IF293" s="253"/>
      <c r="IG293" s="253"/>
      <c r="IH293" s="253"/>
      <c r="II293" s="253"/>
      <c r="IJ293" s="253"/>
      <c r="IK293" s="253"/>
      <c r="IL293" s="253"/>
      <c r="IM293" s="253"/>
      <c r="IN293" s="253"/>
      <c r="IO293" s="253"/>
      <c r="IP293" s="253"/>
      <c r="IQ293" s="253"/>
      <c r="IR293" s="253"/>
      <c r="IS293" s="253"/>
      <c r="IT293" s="253"/>
      <c r="IU293" s="253"/>
      <c r="IV293" s="253"/>
      <c r="IW293" s="253"/>
      <c r="IX293" s="253"/>
      <c r="IY293" s="253"/>
      <c r="IZ293" s="253"/>
      <c r="JA293" s="253"/>
      <c r="JB293" s="253"/>
      <c r="JC293" s="253"/>
      <c r="JD293" s="253"/>
      <c r="JE293" s="253"/>
      <c r="JF293" s="253"/>
      <c r="JG293" s="253"/>
      <c r="JH293" s="253"/>
      <c r="JI293" s="253"/>
      <c r="JJ293" s="253"/>
      <c r="JK293" s="253"/>
      <c r="JL293" s="253"/>
      <c r="JM293" s="253"/>
      <c r="JN293" s="253"/>
      <c r="JO293" s="253"/>
      <c r="JP293" s="253"/>
      <c r="JQ293" s="253"/>
      <c r="JR293" s="253"/>
      <c r="JS293" s="253"/>
      <c r="JT293" s="253"/>
      <c r="JU293" s="253"/>
      <c r="JV293" s="253"/>
      <c r="JW293" s="253"/>
      <c r="JX293" s="253"/>
      <c r="JY293" s="253"/>
      <c r="JZ293" s="253"/>
      <c r="KA293" s="253"/>
      <c r="KB293" s="253"/>
      <c r="KC293" s="253"/>
      <c r="KD293" s="253"/>
      <c r="KE293" s="253"/>
      <c r="KF293" s="253"/>
      <c r="KG293" s="253"/>
      <c r="KH293" s="253"/>
      <c r="KI293" s="253"/>
      <c r="KJ293" s="253"/>
      <c r="KK293" s="253"/>
      <c r="KL293" s="253"/>
      <c r="KM293" s="253"/>
      <c r="KN293" s="253"/>
      <c r="KO293" s="253"/>
      <c r="KP293" s="253"/>
      <c r="KQ293" s="253"/>
      <c r="KR293" s="253"/>
      <c r="KS293" s="253"/>
      <c r="KT293" s="253"/>
      <c r="KU293" s="253"/>
      <c r="KV293" s="253"/>
      <c r="KW293" s="253"/>
      <c r="KX293" s="253"/>
      <c r="KY293" s="253"/>
      <c r="KZ293" s="253"/>
      <c r="LA293" s="253"/>
      <c r="LB293" s="253"/>
      <c r="LC293" s="253"/>
      <c r="LD293" s="253"/>
      <c r="LE293" s="253"/>
      <c r="LF293" s="1296"/>
      <c r="LG293" s="253"/>
      <c r="LH293" s="253"/>
      <c r="LI293" s="253"/>
      <c r="LJ293" s="253"/>
      <c r="LK293" s="1296"/>
      <c r="LL293" s="253"/>
      <c r="LM293" s="253"/>
      <c r="LN293" s="253"/>
      <c r="LO293" s="253"/>
      <c r="LP293" s="1296"/>
      <c r="LQ293" s="253"/>
      <c r="LR293" s="253"/>
      <c r="LS293" s="253"/>
      <c r="LT293" s="253"/>
      <c r="LU293" s="1296"/>
      <c r="LV293" s="1296"/>
      <c r="LW293" s="1296"/>
      <c r="LX293" s="1296"/>
      <c r="LY293" s="1296"/>
      <c r="LZ293" s="1296"/>
      <c r="MA293" s="1296"/>
      <c r="MB293" s="1296"/>
      <c r="MC293" s="1296"/>
      <c r="MD293" s="1296"/>
      <c r="ME293" s="1296"/>
      <c r="MF293" s="1296"/>
      <c r="MG293" s="1296"/>
      <c r="MH293" s="1296"/>
      <c r="MI293" s="1296"/>
      <c r="MJ293" s="1296"/>
      <c r="MK293" s="1296"/>
      <c r="ML293" s="1296"/>
      <c r="MM293" s="1296"/>
      <c r="MN293" s="1296"/>
      <c r="MO293" s="1296"/>
      <c r="MP293" s="1296"/>
      <c r="MQ293" s="253"/>
      <c r="MR293" s="253"/>
      <c r="MS293" s="253"/>
      <c r="MT293" s="253"/>
      <c r="MU293" s="253"/>
      <c r="MV293" s="253"/>
      <c r="MW293" s="1184"/>
      <c r="MX293" s="253"/>
      <c r="MY293" s="253"/>
      <c r="MZ293" s="253"/>
      <c r="NA293" s="253"/>
      <c r="NB293" s="253"/>
      <c r="NC293" s="253"/>
      <c r="ND293" s="253"/>
      <c r="NE293" s="253"/>
      <c r="NF293" s="253"/>
      <c r="NG293" s="253"/>
      <c r="NH293" s="253"/>
      <c r="NI293" s="253"/>
      <c r="NJ293" s="253"/>
      <c r="NK293" s="253"/>
      <c r="NL293" s="253"/>
      <c r="NM293" s="1184"/>
      <c r="NN293" s="1184"/>
      <c r="NO293" s="253"/>
      <c r="NP293" s="253"/>
      <c r="NQ293" s="253"/>
      <c r="NR293" s="253"/>
      <c r="NS293" s="253"/>
      <c r="NT293" s="253"/>
      <c r="NU293" s="253"/>
      <c r="NV293" s="253"/>
      <c r="NW293" s="253"/>
      <c r="NX293" s="253"/>
      <c r="NY293" s="253"/>
      <c r="NZ293" s="253"/>
      <c r="OA293" s="253"/>
      <c r="OB293" s="253"/>
      <c r="OC293" s="253"/>
      <c r="OD293" s="253"/>
      <c r="OE293" s="253"/>
      <c r="OF293" s="253"/>
      <c r="OG293" s="253"/>
      <c r="OH293" s="253"/>
      <c r="OI293" s="253"/>
      <c r="OJ293" s="253"/>
      <c r="OK293" s="253"/>
      <c r="OL293" s="253"/>
      <c r="OM293" s="253"/>
      <c r="ON293" s="253"/>
      <c r="OO293" s="253"/>
      <c r="OP293" s="253"/>
      <c r="OQ293" s="253"/>
      <c r="OR293" s="253"/>
      <c r="OS293" s="253"/>
      <c r="OT293" s="253"/>
      <c r="OU293" s="253"/>
      <c r="OV293" s="43"/>
      <c r="OW293" s="43"/>
      <c r="OX293" s="43"/>
      <c r="OY293" s="1794"/>
      <c r="OZ293" s="1798">
        <v>289</v>
      </c>
      <c r="PA293" s="43"/>
      <c r="PB293" s="43"/>
      <c r="PC293" s="43"/>
      <c r="PD293" s="43"/>
      <c r="PE293" s="43"/>
      <c r="PF293" s="43"/>
      <c r="PG293" s="43"/>
      <c r="PH293" s="43"/>
      <c r="PI293" s="43"/>
      <c r="PJ293" s="43"/>
      <c r="PK293" s="43"/>
      <c r="PL293" s="43"/>
      <c r="PM293" s="43"/>
      <c r="PN293" s="43"/>
      <c r="PO293" s="43"/>
      <c r="PP293" s="43"/>
      <c r="PQ293" s="43"/>
      <c r="PR293" s="43"/>
      <c r="PS293" s="43"/>
      <c r="PT293" s="43"/>
      <c r="PU293" s="43"/>
      <c r="PV293" s="43"/>
      <c r="PW293" s="43"/>
      <c r="PX293" s="43"/>
      <c r="PY293" s="43"/>
      <c r="PZ293" s="43"/>
      <c r="QA293" s="43"/>
      <c r="QB293" s="43"/>
      <c r="QC293" s="43"/>
      <c r="QD293" s="43"/>
      <c r="QE293" s="43"/>
      <c r="QF293" s="43"/>
      <c r="QG293" s="43"/>
      <c r="QH293" s="43"/>
      <c r="QI293" s="43"/>
      <c r="QJ293" s="43"/>
      <c r="QK293" s="43"/>
      <c r="QL293" s="43"/>
      <c r="QM293" s="43"/>
      <c r="QN293" s="43"/>
      <c r="QO293" s="43"/>
      <c r="QP293" s="43"/>
      <c r="QQ293" s="43"/>
      <c r="QR293" s="43"/>
      <c r="QS293" s="43"/>
      <c r="QT293" s="43"/>
      <c r="QU293" s="43"/>
      <c r="QV293" s="43"/>
      <c r="QW293" s="43"/>
      <c r="QX293" s="43"/>
      <c r="QY293" s="43"/>
      <c r="QZ293" s="43"/>
      <c r="RA293" s="43"/>
      <c r="RB293" s="43"/>
      <c r="RC293" s="43"/>
      <c r="RD293" s="43"/>
      <c r="RE293" s="43"/>
      <c r="RF293" s="43"/>
      <c r="RG293" s="43"/>
      <c r="RH293" s="43"/>
      <c r="RI293" s="43"/>
      <c r="RJ293" s="43"/>
      <c r="RK293" s="43"/>
      <c r="RL293" s="43"/>
      <c r="RM293" s="43"/>
      <c r="RN293" s="43"/>
      <c r="RO293" s="43"/>
      <c r="RP293" s="43"/>
      <c r="RQ293" s="43"/>
      <c r="RR293" s="43"/>
      <c r="RS293" s="43"/>
      <c r="RT293" s="43"/>
      <c r="RU293" s="43"/>
      <c r="RV293" s="43"/>
      <c r="RW293" s="43"/>
      <c r="RX293" s="43"/>
      <c r="RY293" s="43"/>
      <c r="RZ293" s="43"/>
      <c r="SA293" s="43"/>
      <c r="SB293" s="43"/>
      <c r="SC293" s="43"/>
      <c r="SD293" s="43"/>
      <c r="SE293" s="43"/>
      <c r="SF293" s="43"/>
      <c r="SG293" s="43"/>
      <c r="SH293" s="43"/>
      <c r="SI293" s="43"/>
      <c r="SJ293" s="43"/>
      <c r="SK293" s="43"/>
      <c r="SL293" s="43"/>
      <c r="SM293" s="43"/>
      <c r="SN293" s="43"/>
      <c r="SO293" s="43"/>
      <c r="SP293" s="43"/>
      <c r="SQ293" s="43"/>
      <c r="SR293" s="43"/>
      <c r="SS293" s="43"/>
      <c r="ST293" s="43"/>
      <c r="SU293" s="43"/>
      <c r="SV293" s="43"/>
      <c r="SW293" s="43"/>
      <c r="SX293" s="43"/>
      <c r="SY293" s="43"/>
      <c r="SZ293" s="43"/>
      <c r="TA293" s="43"/>
      <c r="TB293" s="43"/>
      <c r="TC293" s="43"/>
      <c r="TD293" s="43"/>
      <c r="TE293" s="43"/>
      <c r="TF293" s="43"/>
      <c r="TG293" s="43"/>
      <c r="TH293" s="43"/>
    </row>
    <row r="294" spans="1:528" s="41" customFormat="1" ht="14.1" customHeight="1">
      <c r="A294" s="43"/>
      <c r="B294" s="43"/>
      <c r="C294" s="43"/>
      <c r="D294" s="43"/>
      <c r="E294" s="43"/>
      <c r="F294" s="43"/>
      <c r="G294" s="43"/>
      <c r="H294" s="43"/>
      <c r="I294" s="43"/>
      <c r="J294" s="43"/>
      <c r="K294" s="43"/>
      <c r="L294" s="43"/>
      <c r="M294" s="43"/>
      <c r="N294" s="43"/>
      <c r="O294" s="43"/>
      <c r="P294" s="43"/>
      <c r="X294" s="253"/>
      <c r="Y294" s="253"/>
      <c r="Z294" s="253"/>
      <c r="AA294" s="253"/>
      <c r="AB294" s="253"/>
      <c r="AC294" s="253"/>
      <c r="AD294" s="253"/>
      <c r="AE294" s="253"/>
      <c r="AF294" s="253"/>
      <c r="AG294" s="253"/>
      <c r="AH294" s="253"/>
      <c r="AI294" s="253"/>
      <c r="AJ294" s="253"/>
      <c r="AK294" s="253"/>
      <c r="AL294" s="253"/>
      <c r="AM294" s="253"/>
      <c r="AN294" s="253"/>
      <c r="AO294" s="253"/>
      <c r="AP294" s="253"/>
      <c r="AQ294" s="253"/>
      <c r="AR294" s="253"/>
      <c r="AS294" s="253"/>
      <c r="AT294" s="253"/>
      <c r="AU294" s="253"/>
      <c r="AV294" s="253"/>
      <c r="AW294" s="253"/>
      <c r="AX294" s="253"/>
      <c r="AY294" s="253"/>
      <c r="AZ294" s="253"/>
      <c r="BA294" s="253"/>
      <c r="BB294" s="253"/>
      <c r="BC294" s="253"/>
      <c r="BD294" s="253"/>
      <c r="BE294" s="253"/>
      <c r="BF294" s="253"/>
      <c r="BG294" s="253"/>
      <c r="BH294" s="253"/>
      <c r="BI294" s="253"/>
      <c r="BJ294" s="253"/>
      <c r="BK294" s="253"/>
      <c r="BL294" s="253"/>
      <c r="BM294" s="253"/>
      <c r="BN294" s="253"/>
      <c r="BO294" s="253"/>
      <c r="BP294" s="253"/>
      <c r="BQ294" s="253"/>
      <c r="BR294" s="253"/>
      <c r="BS294" s="253"/>
      <c r="BT294" s="253"/>
      <c r="BU294" s="253"/>
      <c r="BV294" s="253"/>
      <c r="BW294" s="253"/>
      <c r="BX294" s="253"/>
      <c r="BY294" s="253"/>
      <c r="BZ294" s="253"/>
      <c r="CA294" s="253"/>
      <c r="CB294" s="253"/>
      <c r="CC294" s="253"/>
      <c r="CD294" s="253"/>
      <c r="CE294" s="253"/>
      <c r="CF294" s="253"/>
      <c r="CG294" s="253"/>
      <c r="CH294" s="253"/>
      <c r="CI294" s="253"/>
      <c r="CJ294" s="253"/>
      <c r="CK294" s="253"/>
      <c r="CL294" s="253"/>
      <c r="CM294" s="253"/>
      <c r="CN294" s="253"/>
      <c r="CO294" s="253"/>
      <c r="CP294" s="253"/>
      <c r="CQ294" s="253"/>
      <c r="CR294" s="253"/>
      <c r="CS294" s="253"/>
      <c r="CT294" s="253"/>
      <c r="CU294" s="253"/>
      <c r="CV294" s="253"/>
      <c r="CW294" s="253"/>
      <c r="CX294" s="253"/>
      <c r="CY294" s="253"/>
      <c r="CZ294" s="253"/>
      <c r="DA294" s="253"/>
      <c r="DB294" s="253"/>
      <c r="DC294" s="253"/>
      <c r="DD294" s="253"/>
      <c r="DE294" s="253"/>
      <c r="DF294" s="253"/>
      <c r="DG294" s="253"/>
      <c r="DH294" s="253"/>
      <c r="DI294" s="253"/>
      <c r="DJ294" s="253"/>
      <c r="DK294" s="253"/>
      <c r="DL294" s="253"/>
      <c r="DM294" s="253"/>
      <c r="DN294" s="253"/>
      <c r="DO294" s="253"/>
      <c r="DP294" s="253"/>
      <c r="DQ294" s="253"/>
      <c r="DR294" s="253"/>
      <c r="DS294" s="253"/>
      <c r="DT294" s="253"/>
      <c r="DU294" s="253"/>
      <c r="DV294" s="253"/>
      <c r="DW294" s="253"/>
      <c r="DX294" s="253"/>
      <c r="DY294" s="253"/>
      <c r="DZ294" s="253"/>
      <c r="EA294" s="253"/>
      <c r="EB294" s="253"/>
      <c r="EC294" s="253"/>
      <c r="ED294" s="253"/>
      <c r="EE294" s="253"/>
      <c r="EF294" s="253"/>
      <c r="EG294" s="253"/>
      <c r="EH294" s="253"/>
      <c r="EI294" s="253"/>
      <c r="EJ294" s="253"/>
      <c r="EK294" s="253"/>
      <c r="EL294" s="253"/>
      <c r="EM294" s="253"/>
      <c r="EN294" s="253"/>
      <c r="EO294" s="253"/>
      <c r="EP294" s="253"/>
      <c r="EQ294" s="253"/>
      <c r="ER294" s="253"/>
      <c r="ES294" s="253"/>
      <c r="ET294" s="253"/>
      <c r="EU294" s="253"/>
      <c r="EV294" s="253"/>
      <c r="EW294" s="253"/>
      <c r="EX294" s="253"/>
      <c r="EY294" s="253"/>
      <c r="EZ294" s="253"/>
      <c r="FA294" s="253"/>
      <c r="FB294" s="253"/>
      <c r="FC294" s="253"/>
      <c r="FD294" s="253"/>
      <c r="FE294" s="253"/>
      <c r="FF294" s="253"/>
      <c r="FG294" s="253"/>
      <c r="FH294" s="253"/>
      <c r="FI294" s="253"/>
      <c r="FJ294" s="253"/>
      <c r="FK294" s="253"/>
      <c r="FL294" s="253"/>
      <c r="FM294" s="253"/>
      <c r="FN294" s="253"/>
      <c r="FO294" s="253"/>
      <c r="FP294" s="253"/>
      <c r="FQ294" s="253"/>
      <c r="FR294" s="253"/>
      <c r="FS294" s="253"/>
      <c r="FT294" s="253"/>
      <c r="FU294" s="253"/>
      <c r="FV294" s="253"/>
      <c r="FW294" s="253"/>
      <c r="FX294" s="253"/>
      <c r="FY294" s="253"/>
      <c r="FZ294" s="253"/>
      <c r="GA294" s="253"/>
      <c r="GB294" s="253"/>
      <c r="GC294" s="253"/>
      <c r="GD294" s="253"/>
      <c r="GE294" s="253"/>
      <c r="GF294" s="253"/>
      <c r="GG294" s="253"/>
      <c r="GH294" s="253"/>
      <c r="GI294" s="253"/>
      <c r="GJ294" s="253"/>
      <c r="GK294" s="253"/>
      <c r="GL294" s="253"/>
      <c r="GM294" s="253"/>
      <c r="GN294" s="253"/>
      <c r="GO294" s="253"/>
      <c r="GP294" s="253"/>
      <c r="GQ294" s="253"/>
      <c r="GR294" s="253"/>
      <c r="GS294" s="253"/>
      <c r="GT294" s="253"/>
      <c r="GU294" s="253"/>
      <c r="GV294" s="253"/>
      <c r="GW294" s="253"/>
      <c r="GX294" s="253"/>
      <c r="GY294" s="253"/>
      <c r="GZ294" s="253"/>
      <c r="HA294" s="253"/>
      <c r="HB294" s="253"/>
      <c r="HC294" s="253"/>
      <c r="HD294" s="253"/>
      <c r="HE294" s="253"/>
      <c r="HF294" s="253"/>
      <c r="HG294" s="253"/>
      <c r="HH294" s="253"/>
      <c r="HI294" s="253"/>
      <c r="HJ294" s="253"/>
      <c r="HK294" s="253"/>
      <c r="HL294" s="253"/>
      <c r="HM294" s="253"/>
      <c r="HN294" s="253"/>
      <c r="HO294" s="253"/>
      <c r="HP294" s="253"/>
      <c r="HQ294" s="253"/>
      <c r="HR294" s="253"/>
      <c r="HS294" s="253"/>
      <c r="HT294" s="253"/>
      <c r="HU294" s="253"/>
      <c r="HV294" s="253"/>
      <c r="HW294" s="253"/>
      <c r="HX294" s="253"/>
      <c r="HY294" s="253"/>
      <c r="HZ294" s="253"/>
      <c r="IA294" s="253"/>
      <c r="IB294" s="253"/>
      <c r="IC294" s="253"/>
      <c r="ID294" s="253"/>
      <c r="IE294" s="253"/>
      <c r="IF294" s="253"/>
      <c r="IG294" s="253"/>
      <c r="IH294" s="253"/>
      <c r="II294" s="253"/>
      <c r="IJ294" s="253"/>
      <c r="IK294" s="253"/>
      <c r="IL294" s="253"/>
      <c r="IM294" s="253"/>
      <c r="IN294" s="253"/>
      <c r="IO294" s="253"/>
      <c r="IP294" s="253"/>
      <c r="IQ294" s="253"/>
      <c r="IR294" s="253"/>
      <c r="IS294" s="253"/>
      <c r="IT294" s="253"/>
      <c r="IU294" s="253"/>
      <c r="IV294" s="253"/>
      <c r="IW294" s="253"/>
      <c r="IX294" s="253"/>
      <c r="IY294" s="253"/>
      <c r="IZ294" s="253"/>
      <c r="JA294" s="253"/>
      <c r="JB294" s="253"/>
      <c r="JC294" s="253"/>
      <c r="JD294" s="253"/>
      <c r="JE294" s="253"/>
      <c r="JF294" s="253"/>
      <c r="JG294" s="253"/>
      <c r="JH294" s="253"/>
      <c r="JI294" s="253"/>
      <c r="JJ294" s="253"/>
      <c r="JK294" s="253"/>
      <c r="JL294" s="253"/>
      <c r="JM294" s="253"/>
      <c r="JN294" s="253"/>
      <c r="JO294" s="253"/>
      <c r="JP294" s="253"/>
      <c r="JQ294" s="253"/>
      <c r="JR294" s="253"/>
      <c r="JS294" s="253"/>
      <c r="JT294" s="253"/>
      <c r="JU294" s="253"/>
      <c r="JV294" s="253"/>
      <c r="JW294" s="253"/>
      <c r="JX294" s="253"/>
      <c r="JY294" s="253"/>
      <c r="JZ294" s="253"/>
      <c r="KA294" s="253"/>
      <c r="KB294" s="253"/>
      <c r="KC294" s="253"/>
      <c r="KD294" s="253"/>
      <c r="KE294" s="253"/>
      <c r="KF294" s="253"/>
      <c r="KG294" s="253"/>
      <c r="KH294" s="253"/>
      <c r="KI294" s="253"/>
      <c r="KJ294" s="253"/>
      <c r="KK294" s="253"/>
      <c r="KL294" s="253"/>
      <c r="KM294" s="253"/>
      <c r="KN294" s="253"/>
      <c r="KO294" s="253"/>
      <c r="KP294" s="253"/>
      <c r="KQ294" s="253"/>
      <c r="KR294" s="253"/>
      <c r="KS294" s="253"/>
      <c r="KT294" s="253"/>
      <c r="KU294" s="253"/>
      <c r="KV294" s="253"/>
      <c r="KW294" s="253"/>
      <c r="KX294" s="253"/>
      <c r="KY294" s="253"/>
      <c r="KZ294" s="253"/>
      <c r="LA294" s="253"/>
      <c r="LB294" s="253"/>
      <c r="LC294" s="253"/>
      <c r="LD294" s="253"/>
      <c r="LE294" s="253"/>
      <c r="LF294" s="1296"/>
      <c r="LG294" s="253"/>
      <c r="LH294" s="253"/>
      <c r="LI294" s="253"/>
      <c r="LJ294" s="253"/>
      <c r="LK294" s="1296"/>
      <c r="LL294" s="253"/>
      <c r="LM294" s="253"/>
      <c r="LN294" s="253"/>
      <c r="LO294" s="253"/>
      <c r="LP294" s="1296"/>
      <c r="LQ294" s="253"/>
      <c r="LR294" s="253"/>
      <c r="LS294" s="253"/>
      <c r="LT294" s="253"/>
      <c r="LU294" s="1296"/>
      <c r="LV294" s="1296"/>
      <c r="LW294" s="1296"/>
      <c r="LX294" s="1296"/>
      <c r="LY294" s="1296"/>
      <c r="LZ294" s="1296"/>
      <c r="MA294" s="1296"/>
      <c r="MB294" s="1296"/>
      <c r="MC294" s="1296"/>
      <c r="MD294" s="1296"/>
      <c r="ME294" s="1296"/>
      <c r="MF294" s="1296"/>
      <c r="MG294" s="1296"/>
      <c r="MH294" s="1296"/>
      <c r="MI294" s="1296"/>
      <c r="MJ294" s="1296"/>
      <c r="MK294" s="1296"/>
      <c r="ML294" s="1296"/>
      <c r="MM294" s="1296"/>
      <c r="MN294" s="1296"/>
      <c r="MO294" s="1296"/>
      <c r="MP294" s="1296"/>
      <c r="MQ294" s="253"/>
      <c r="MR294" s="253"/>
      <c r="MS294" s="253"/>
      <c r="MT294" s="253"/>
      <c r="MU294" s="253"/>
      <c r="MV294" s="253"/>
      <c r="MW294" s="1184"/>
      <c r="MX294" s="253"/>
      <c r="MY294" s="253"/>
      <c r="MZ294" s="253"/>
      <c r="NA294" s="253"/>
      <c r="NB294" s="253"/>
      <c r="NC294" s="253"/>
      <c r="ND294" s="253"/>
      <c r="NE294" s="253"/>
      <c r="NF294" s="253"/>
      <c r="NG294" s="253"/>
      <c r="NH294" s="253"/>
      <c r="NI294" s="253"/>
      <c r="NJ294" s="253"/>
      <c r="NK294" s="253"/>
      <c r="NL294" s="253"/>
      <c r="NM294" s="1184"/>
      <c r="NN294" s="1184"/>
      <c r="NO294" s="253"/>
      <c r="NP294" s="253"/>
      <c r="NQ294" s="253"/>
      <c r="NR294" s="253"/>
      <c r="NS294" s="253"/>
      <c r="NT294" s="253"/>
      <c r="NU294" s="253"/>
      <c r="NV294" s="253"/>
      <c r="NW294" s="253"/>
      <c r="NX294" s="253"/>
      <c r="NY294" s="253"/>
      <c r="NZ294" s="253"/>
      <c r="OA294" s="253"/>
      <c r="OB294" s="253"/>
      <c r="OC294" s="253"/>
      <c r="OD294" s="253"/>
      <c r="OE294" s="253"/>
      <c r="OF294" s="253"/>
      <c r="OG294" s="253"/>
      <c r="OH294" s="253"/>
      <c r="OI294" s="253"/>
      <c r="OJ294" s="253"/>
      <c r="OK294" s="253"/>
      <c r="OL294" s="253"/>
      <c r="OM294" s="253"/>
      <c r="ON294" s="253"/>
      <c r="OO294" s="253"/>
      <c r="OP294" s="253"/>
      <c r="OQ294" s="253"/>
      <c r="OR294" s="253"/>
      <c r="OS294" s="253"/>
      <c r="OT294" s="253"/>
      <c r="OU294" s="253"/>
      <c r="OV294" s="43"/>
      <c r="OW294" s="43"/>
      <c r="OX294" s="43"/>
      <c r="OY294" s="1796"/>
      <c r="OZ294" s="1799"/>
      <c r="PA294" s="43"/>
      <c r="PB294" s="43"/>
      <c r="PC294" s="43"/>
      <c r="PD294" s="43"/>
      <c r="PE294" s="43"/>
      <c r="PF294" s="43"/>
      <c r="PG294" s="43"/>
      <c r="PH294" s="43"/>
      <c r="PI294" s="43"/>
      <c r="PJ294" s="43"/>
      <c r="PK294" s="43"/>
      <c r="PL294" s="43"/>
      <c r="PM294" s="43"/>
      <c r="PN294" s="43"/>
      <c r="PO294" s="43"/>
      <c r="PP294" s="43"/>
      <c r="PQ294" s="43"/>
      <c r="PR294" s="43"/>
      <c r="PS294" s="43"/>
      <c r="PT294" s="43"/>
      <c r="PU294" s="43"/>
      <c r="PV294" s="43"/>
      <c r="PW294" s="43"/>
      <c r="PX294" s="43"/>
      <c r="PY294" s="43"/>
      <c r="PZ294" s="43"/>
      <c r="QA294" s="43"/>
      <c r="QB294" s="43"/>
      <c r="QC294" s="43"/>
      <c r="QD294" s="43"/>
      <c r="QE294" s="43"/>
      <c r="QF294" s="43"/>
      <c r="QG294" s="43"/>
      <c r="QH294" s="43"/>
      <c r="QI294" s="43"/>
      <c r="QJ294" s="43"/>
      <c r="QK294" s="43"/>
      <c r="QL294" s="43"/>
      <c r="QM294" s="43"/>
      <c r="QN294" s="43"/>
      <c r="QO294" s="43"/>
      <c r="QP294" s="43"/>
      <c r="QQ294" s="43"/>
      <c r="QR294" s="43"/>
      <c r="QS294" s="43"/>
      <c r="QT294" s="43"/>
      <c r="QU294" s="43"/>
      <c r="QV294" s="43"/>
      <c r="QW294" s="43"/>
      <c r="QX294" s="43"/>
      <c r="QY294" s="43"/>
      <c r="QZ294" s="43"/>
      <c r="RA294" s="43"/>
      <c r="RB294" s="43"/>
      <c r="RC294" s="43"/>
      <c r="RD294" s="43"/>
      <c r="RE294" s="43"/>
      <c r="RF294" s="43"/>
      <c r="RG294" s="43"/>
      <c r="RH294" s="43"/>
      <c r="RI294" s="43"/>
      <c r="RJ294" s="43"/>
      <c r="RK294" s="43"/>
      <c r="RL294" s="43"/>
      <c r="RM294" s="43"/>
      <c r="RN294" s="43"/>
      <c r="RO294" s="43"/>
      <c r="RP294" s="43"/>
      <c r="RQ294" s="43"/>
      <c r="RR294" s="43"/>
      <c r="RS294" s="43"/>
      <c r="RT294" s="43"/>
      <c r="RU294" s="43"/>
      <c r="RV294" s="43"/>
      <c r="RW294" s="43"/>
      <c r="RX294" s="43"/>
      <c r="RY294" s="43"/>
      <c r="RZ294" s="43"/>
      <c r="SA294" s="43"/>
      <c r="SB294" s="43"/>
      <c r="SC294" s="43"/>
      <c r="SD294" s="43"/>
      <c r="SE294" s="43"/>
      <c r="SF294" s="43"/>
      <c r="SG294" s="43"/>
      <c r="SH294" s="43"/>
      <c r="SI294" s="43"/>
      <c r="SJ294" s="43"/>
      <c r="SK294" s="43"/>
      <c r="SL294" s="43"/>
      <c r="SM294" s="43"/>
      <c r="SN294" s="43"/>
      <c r="SO294" s="43"/>
      <c r="SP294" s="43"/>
      <c r="SQ294" s="43"/>
      <c r="SR294" s="43"/>
      <c r="SS294" s="43"/>
      <c r="ST294" s="43"/>
      <c r="SU294" s="43"/>
      <c r="SV294" s="43"/>
      <c r="SW294" s="43"/>
      <c r="SX294" s="43"/>
      <c r="SY294" s="43"/>
      <c r="SZ294" s="43"/>
      <c r="TA294" s="43"/>
      <c r="TB294" s="43"/>
      <c r="TC294" s="43"/>
      <c r="TD294" s="43"/>
      <c r="TE294" s="43"/>
      <c r="TF294" s="43"/>
      <c r="TG294" s="43"/>
      <c r="TH294" s="43"/>
    </row>
    <row r="295" spans="1:528" ht="14.1" customHeight="1">
      <c r="A295" s="77"/>
      <c r="B295" s="77"/>
      <c r="C295" s="77"/>
      <c r="D295" s="77"/>
      <c r="E295" s="77"/>
      <c r="F295" s="77"/>
      <c r="G295" s="77"/>
      <c r="H295" s="77"/>
      <c r="I295" s="77"/>
      <c r="J295" s="77"/>
      <c r="K295" s="77"/>
      <c r="L295" s="77"/>
      <c r="M295" s="77"/>
      <c r="N295" s="77"/>
      <c r="O295" s="77"/>
      <c r="P295" s="77"/>
      <c r="OY295" s="1796"/>
    </row>
    <row r="296" spans="1:528" ht="14.1" customHeight="1">
      <c r="A296" s="77"/>
      <c r="B296" s="77"/>
      <c r="C296" s="77"/>
      <c r="D296" s="77"/>
      <c r="E296" s="77"/>
      <c r="F296" s="77"/>
      <c r="G296" s="77"/>
      <c r="H296" s="77"/>
      <c r="I296" s="77"/>
      <c r="J296" s="77"/>
      <c r="K296" s="77"/>
      <c r="L296" s="77"/>
      <c r="M296" s="77"/>
      <c r="N296" s="77"/>
      <c r="O296" s="77"/>
      <c r="P296" s="77"/>
      <c r="OY296" s="1796"/>
    </row>
    <row r="297" spans="1:528" ht="14.1" customHeight="1">
      <c r="A297" s="77"/>
      <c r="B297" s="77"/>
      <c r="C297" s="77"/>
      <c r="D297" s="77"/>
      <c r="E297" s="77"/>
      <c r="F297" s="77"/>
      <c r="G297" s="77"/>
      <c r="H297" s="77"/>
      <c r="I297" s="77"/>
      <c r="J297" s="77"/>
      <c r="K297" s="77"/>
      <c r="L297" s="77"/>
      <c r="M297" s="77"/>
      <c r="N297" s="77"/>
      <c r="O297" s="77"/>
      <c r="P297" s="77"/>
      <c r="OY297" s="1796"/>
    </row>
    <row r="298" spans="1:528" ht="14.1" customHeight="1">
      <c r="A298" s="77"/>
      <c r="B298" s="77"/>
      <c r="C298" s="77"/>
      <c r="D298" s="77"/>
      <c r="E298" s="77"/>
      <c r="F298" s="77"/>
      <c r="G298" s="77"/>
      <c r="H298" s="77"/>
      <c r="I298" s="77"/>
      <c r="J298" s="77"/>
      <c r="K298" s="77"/>
      <c r="L298" s="77"/>
      <c r="M298" s="77"/>
      <c r="N298" s="77"/>
      <c r="O298" s="77"/>
      <c r="P298" s="77"/>
      <c r="OY298" s="1796"/>
    </row>
    <row r="299" spans="1:528" s="41" customFormat="1" ht="14.1" customHeight="1">
      <c r="A299" s="10"/>
      <c r="B299" s="43"/>
      <c r="C299" s="43"/>
      <c r="D299" s="43"/>
      <c r="E299" s="43"/>
      <c r="F299" s="43"/>
      <c r="G299" s="43"/>
      <c r="H299" s="43"/>
      <c r="I299" s="43"/>
      <c r="J299" s="43"/>
      <c r="K299" s="43"/>
      <c r="L299" s="43"/>
      <c r="M299" s="43"/>
      <c r="N299" s="43"/>
      <c r="O299" s="43"/>
      <c r="P299" s="43"/>
      <c r="X299" s="253"/>
      <c r="Y299" s="253"/>
      <c r="Z299" s="253"/>
      <c r="AA299" s="253"/>
      <c r="AB299" s="253"/>
      <c r="AC299" s="253"/>
      <c r="AD299" s="253"/>
      <c r="AE299" s="253"/>
      <c r="AF299" s="253"/>
      <c r="AG299" s="253"/>
      <c r="AH299" s="253"/>
      <c r="AI299" s="253"/>
      <c r="AJ299" s="253"/>
      <c r="AK299" s="253"/>
      <c r="AL299" s="253"/>
      <c r="AM299" s="253"/>
      <c r="AN299" s="253"/>
      <c r="AO299" s="253"/>
      <c r="AP299" s="253"/>
      <c r="AQ299" s="253"/>
      <c r="AR299" s="253"/>
      <c r="AS299" s="253"/>
      <c r="AT299" s="253"/>
      <c r="AU299" s="253"/>
      <c r="AV299" s="253"/>
      <c r="AW299" s="253"/>
      <c r="AX299" s="253"/>
      <c r="AY299" s="253"/>
      <c r="AZ299" s="253"/>
      <c r="BA299" s="253"/>
      <c r="BB299" s="253"/>
      <c r="BC299" s="253"/>
      <c r="BD299" s="253"/>
      <c r="BE299" s="253"/>
      <c r="BF299" s="253"/>
      <c r="BG299" s="253"/>
      <c r="BH299" s="253"/>
      <c r="BI299" s="253"/>
      <c r="BJ299" s="253"/>
      <c r="BK299" s="253"/>
      <c r="BL299" s="253"/>
      <c r="BM299" s="253"/>
      <c r="BN299" s="253"/>
      <c r="BO299" s="253"/>
      <c r="BP299" s="253"/>
      <c r="BQ299" s="253"/>
      <c r="BR299" s="253"/>
      <c r="BS299" s="253"/>
      <c r="BT299" s="253"/>
      <c r="BU299" s="253"/>
      <c r="BV299" s="253"/>
      <c r="BW299" s="253"/>
      <c r="BX299" s="253"/>
      <c r="BY299" s="253"/>
      <c r="BZ299" s="253"/>
      <c r="CA299" s="253"/>
      <c r="CB299" s="253"/>
      <c r="CC299" s="253"/>
      <c r="CD299" s="253"/>
      <c r="CE299" s="253"/>
      <c r="CF299" s="253"/>
      <c r="CG299" s="253"/>
      <c r="CH299" s="253"/>
      <c r="CI299" s="253"/>
      <c r="CJ299" s="253"/>
      <c r="CK299" s="253"/>
      <c r="CL299" s="253"/>
      <c r="CM299" s="253"/>
      <c r="CN299" s="253"/>
      <c r="CO299" s="253"/>
      <c r="CP299" s="253"/>
      <c r="CQ299" s="253"/>
      <c r="CR299" s="253"/>
      <c r="CS299" s="253"/>
      <c r="CT299" s="253"/>
      <c r="CU299" s="253"/>
      <c r="CV299" s="253"/>
      <c r="CW299" s="253"/>
      <c r="CX299" s="253"/>
      <c r="CY299" s="253"/>
      <c r="CZ299" s="253"/>
      <c r="DA299" s="253"/>
      <c r="DB299" s="253"/>
      <c r="DC299" s="253"/>
      <c r="DD299" s="253"/>
      <c r="DE299" s="253"/>
      <c r="DF299" s="253"/>
      <c r="DG299" s="253"/>
      <c r="DH299" s="253"/>
      <c r="DI299" s="253"/>
      <c r="DJ299" s="253"/>
      <c r="DK299" s="253"/>
      <c r="DL299" s="253"/>
      <c r="DM299" s="253"/>
      <c r="DN299" s="253"/>
      <c r="DO299" s="253"/>
      <c r="DP299" s="253"/>
      <c r="DQ299" s="253"/>
      <c r="DR299" s="253"/>
      <c r="DS299" s="253"/>
      <c r="DT299" s="253"/>
      <c r="DU299" s="253"/>
      <c r="DV299" s="253"/>
      <c r="DW299" s="253"/>
      <c r="DX299" s="253"/>
      <c r="DY299" s="253"/>
      <c r="DZ299" s="253"/>
      <c r="EA299" s="253"/>
      <c r="EB299" s="253"/>
      <c r="EC299" s="253"/>
      <c r="ED299" s="253"/>
      <c r="EE299" s="253"/>
      <c r="EF299" s="253"/>
      <c r="EG299" s="253"/>
      <c r="EH299" s="253"/>
      <c r="EI299" s="253"/>
      <c r="EJ299" s="253"/>
      <c r="EK299" s="253"/>
      <c r="EL299" s="253"/>
      <c r="EM299" s="253"/>
      <c r="EN299" s="253"/>
      <c r="EO299" s="253"/>
      <c r="EP299" s="253"/>
      <c r="EQ299" s="253"/>
      <c r="ER299" s="253"/>
      <c r="ES299" s="253"/>
      <c r="ET299" s="253"/>
      <c r="EU299" s="253"/>
      <c r="EV299" s="253"/>
      <c r="EW299" s="253"/>
      <c r="EX299" s="253"/>
      <c r="EY299" s="253"/>
      <c r="EZ299" s="253"/>
      <c r="FA299" s="253"/>
      <c r="FB299" s="253"/>
      <c r="FC299" s="253"/>
      <c r="FD299" s="253"/>
      <c r="FE299" s="253"/>
      <c r="FF299" s="253"/>
      <c r="FG299" s="253"/>
      <c r="FH299" s="253"/>
      <c r="FI299" s="253"/>
      <c r="FJ299" s="253"/>
      <c r="FK299" s="253"/>
      <c r="FL299" s="253"/>
      <c r="FM299" s="253"/>
      <c r="FN299" s="253"/>
      <c r="FO299" s="253"/>
      <c r="FP299" s="253"/>
      <c r="FQ299" s="253"/>
      <c r="FR299" s="253"/>
      <c r="FS299" s="253"/>
      <c r="FT299" s="253"/>
      <c r="FU299" s="253"/>
      <c r="FV299" s="253"/>
      <c r="FW299" s="253"/>
      <c r="FX299" s="253"/>
      <c r="FY299" s="253"/>
      <c r="FZ299" s="253"/>
      <c r="GA299" s="253"/>
      <c r="GB299" s="253"/>
      <c r="GC299" s="253"/>
      <c r="GD299" s="253"/>
      <c r="GE299" s="253"/>
      <c r="GF299" s="253"/>
      <c r="GG299" s="253"/>
      <c r="GH299" s="253"/>
      <c r="GI299" s="253"/>
      <c r="GJ299" s="253"/>
      <c r="GK299" s="253"/>
      <c r="GL299" s="253"/>
      <c r="GM299" s="253"/>
      <c r="GN299" s="253"/>
      <c r="GO299" s="253"/>
      <c r="GP299" s="253"/>
      <c r="GQ299" s="253"/>
      <c r="GR299" s="253"/>
      <c r="GS299" s="253"/>
      <c r="GT299" s="253"/>
      <c r="GU299" s="253"/>
      <c r="GV299" s="253"/>
      <c r="GW299" s="253"/>
      <c r="GX299" s="253"/>
      <c r="GY299" s="253"/>
      <c r="GZ299" s="253"/>
      <c r="HA299" s="253"/>
      <c r="HB299" s="253"/>
      <c r="HC299" s="253"/>
      <c r="HD299" s="253"/>
      <c r="HE299" s="253"/>
      <c r="HF299" s="253"/>
      <c r="HG299" s="253"/>
      <c r="HH299" s="253"/>
      <c r="HI299" s="253"/>
      <c r="HJ299" s="253"/>
      <c r="HK299" s="253"/>
      <c r="HL299" s="253"/>
      <c r="HM299" s="253"/>
      <c r="HN299" s="253"/>
      <c r="HO299" s="253"/>
      <c r="HP299" s="253"/>
      <c r="HQ299" s="253"/>
      <c r="HR299" s="253"/>
      <c r="HS299" s="253"/>
      <c r="HT299" s="253"/>
      <c r="HU299" s="253"/>
      <c r="HV299" s="253"/>
      <c r="HW299" s="253"/>
      <c r="HX299" s="253"/>
      <c r="HY299" s="253"/>
      <c r="HZ299" s="253"/>
      <c r="IA299" s="253"/>
      <c r="IB299" s="253"/>
      <c r="IC299" s="253"/>
      <c r="ID299" s="253"/>
      <c r="IE299" s="253"/>
      <c r="IF299" s="253"/>
      <c r="IG299" s="253"/>
      <c r="IH299" s="253"/>
      <c r="II299" s="253"/>
      <c r="IJ299" s="253"/>
      <c r="IK299" s="253"/>
      <c r="IL299" s="253"/>
      <c r="IM299" s="253"/>
      <c r="IN299" s="253"/>
      <c r="IO299" s="253"/>
      <c r="IP299" s="253"/>
      <c r="IQ299" s="253"/>
      <c r="IR299" s="253"/>
      <c r="IS299" s="253"/>
      <c r="IT299" s="253"/>
      <c r="IU299" s="253"/>
      <c r="IV299" s="253"/>
      <c r="IW299" s="253"/>
      <c r="IX299" s="253"/>
      <c r="IY299" s="253"/>
      <c r="IZ299" s="253"/>
      <c r="JA299" s="253"/>
      <c r="JB299" s="253"/>
      <c r="JC299" s="253"/>
      <c r="JD299" s="253"/>
      <c r="JE299" s="253"/>
      <c r="JF299" s="253"/>
      <c r="JG299" s="253"/>
      <c r="JH299" s="253"/>
      <c r="JI299" s="253"/>
      <c r="JJ299" s="253"/>
      <c r="JK299" s="253"/>
      <c r="JL299" s="253"/>
      <c r="JM299" s="253"/>
      <c r="JN299" s="253"/>
      <c r="JO299" s="253"/>
      <c r="JP299" s="253"/>
      <c r="JQ299" s="253"/>
      <c r="JR299" s="253"/>
      <c r="JS299" s="253"/>
      <c r="JT299" s="253"/>
      <c r="JU299" s="253"/>
      <c r="JV299" s="253"/>
      <c r="JW299" s="253"/>
      <c r="JX299" s="253"/>
      <c r="JY299" s="253"/>
      <c r="JZ299" s="253"/>
      <c r="KA299" s="253"/>
      <c r="KB299" s="253"/>
      <c r="KC299" s="253"/>
      <c r="KD299" s="253"/>
      <c r="KE299" s="253"/>
      <c r="KF299" s="253"/>
      <c r="KG299" s="253"/>
      <c r="KH299" s="253"/>
      <c r="KI299" s="253"/>
      <c r="KJ299" s="253"/>
      <c r="KK299" s="253"/>
      <c r="KL299" s="253"/>
      <c r="KM299" s="253"/>
      <c r="KN299" s="253"/>
      <c r="KO299" s="253"/>
      <c r="KP299" s="253"/>
      <c r="KQ299" s="253"/>
      <c r="KR299" s="253"/>
      <c r="KS299" s="253"/>
      <c r="KT299" s="253"/>
      <c r="KU299" s="253"/>
      <c r="KV299" s="253"/>
      <c r="KW299" s="253"/>
      <c r="KX299" s="253"/>
      <c r="KY299" s="253"/>
      <c r="KZ299" s="253"/>
      <c r="LA299" s="253"/>
      <c r="LB299" s="253"/>
      <c r="LC299" s="253"/>
      <c r="LD299" s="253"/>
      <c r="LE299" s="253"/>
      <c r="LF299" s="1296"/>
      <c r="LG299" s="253"/>
      <c r="LH299" s="253"/>
      <c r="LI299" s="253"/>
      <c r="LJ299" s="253"/>
      <c r="LK299" s="1296"/>
      <c r="LL299" s="253"/>
      <c r="LM299" s="253"/>
      <c r="LN299" s="253"/>
      <c r="LO299" s="253"/>
      <c r="LP299" s="1296"/>
      <c r="LQ299" s="253"/>
      <c r="LR299" s="253"/>
      <c r="LS299" s="253"/>
      <c r="LT299" s="253"/>
      <c r="LU299" s="1296"/>
      <c r="LV299" s="1296"/>
      <c r="LW299" s="1296"/>
      <c r="LX299" s="1296"/>
      <c r="LY299" s="1296"/>
      <c r="LZ299" s="1296"/>
      <c r="MA299" s="1296"/>
      <c r="MB299" s="1296"/>
      <c r="MC299" s="1296"/>
      <c r="MD299" s="1296"/>
      <c r="ME299" s="1296"/>
      <c r="MF299" s="1296"/>
      <c r="MG299" s="1296"/>
      <c r="MH299" s="1296"/>
      <c r="MI299" s="1296"/>
      <c r="MJ299" s="1296"/>
      <c r="MK299" s="1296"/>
      <c r="ML299" s="1296"/>
      <c r="MM299" s="1296"/>
      <c r="MN299" s="1296"/>
      <c r="MO299" s="1296"/>
      <c r="MP299" s="1296"/>
      <c r="MQ299" s="253"/>
      <c r="MR299" s="253"/>
      <c r="MS299" s="253"/>
      <c r="MT299" s="253"/>
      <c r="MU299" s="253"/>
      <c r="MV299" s="253"/>
      <c r="MW299" s="1184"/>
      <c r="MX299" s="253"/>
      <c r="MY299" s="253"/>
      <c r="MZ299" s="253"/>
      <c r="NA299" s="253"/>
      <c r="NB299" s="253"/>
      <c r="NC299" s="253"/>
      <c r="ND299" s="253"/>
      <c r="NE299" s="253"/>
      <c r="NF299" s="253"/>
      <c r="NG299" s="253"/>
      <c r="NH299" s="253"/>
      <c r="NI299" s="253"/>
      <c r="NJ299" s="253"/>
      <c r="NK299" s="253"/>
      <c r="NL299" s="253"/>
      <c r="NM299" s="1184"/>
      <c r="NN299" s="1184"/>
      <c r="NO299" s="253"/>
      <c r="NP299" s="253"/>
      <c r="NQ299" s="253"/>
      <c r="NR299" s="253"/>
      <c r="NS299" s="253"/>
      <c r="NT299" s="253"/>
      <c r="NU299" s="253"/>
      <c r="NV299" s="253"/>
      <c r="NW299" s="253"/>
      <c r="NX299" s="253"/>
      <c r="NY299" s="253"/>
      <c r="NZ299" s="253"/>
      <c r="OA299" s="253"/>
      <c r="OB299" s="253"/>
      <c r="OC299" s="253"/>
      <c r="OD299" s="253"/>
      <c r="OE299" s="253"/>
      <c r="OF299" s="253"/>
      <c r="OG299" s="253"/>
      <c r="OH299" s="253"/>
      <c r="OI299" s="253"/>
      <c r="OJ299" s="253"/>
      <c r="OK299" s="253"/>
      <c r="OL299" s="253"/>
      <c r="OM299" s="253"/>
      <c r="ON299" s="253"/>
      <c r="OO299" s="253"/>
      <c r="OP299" s="253"/>
      <c r="OQ299" s="253"/>
      <c r="OR299" s="253"/>
      <c r="OS299" s="253"/>
      <c r="OT299" s="253"/>
      <c r="OU299" s="253"/>
      <c r="OV299" s="43"/>
      <c r="OW299" s="43"/>
      <c r="OX299" s="43"/>
      <c r="OY299" s="1796"/>
      <c r="OZ299" s="1799"/>
      <c r="PA299" s="43"/>
      <c r="PB299" s="43"/>
      <c r="PC299" s="43"/>
      <c r="PD299" s="43"/>
      <c r="PE299" s="43"/>
      <c r="PF299" s="43"/>
      <c r="PG299" s="43"/>
      <c r="PH299" s="43"/>
      <c r="PI299" s="43"/>
      <c r="PJ299" s="43"/>
      <c r="PK299" s="43"/>
      <c r="PL299" s="43"/>
      <c r="PM299" s="43"/>
      <c r="PN299" s="43"/>
      <c r="PO299" s="43"/>
      <c r="PP299" s="43"/>
      <c r="PQ299" s="43"/>
      <c r="PR299" s="43"/>
      <c r="PS299" s="43"/>
      <c r="PT299" s="43"/>
      <c r="PU299" s="43"/>
      <c r="PV299" s="43"/>
      <c r="PW299" s="43"/>
      <c r="PX299" s="43"/>
      <c r="PY299" s="43"/>
      <c r="PZ299" s="43"/>
      <c r="QA299" s="43"/>
      <c r="QB299" s="43"/>
      <c r="QC299" s="43"/>
      <c r="QD299" s="43"/>
      <c r="QE299" s="43"/>
      <c r="QF299" s="43"/>
      <c r="QG299" s="43"/>
      <c r="QH299" s="43"/>
      <c r="QI299" s="43"/>
      <c r="QJ299" s="43"/>
      <c r="QK299" s="43"/>
      <c r="QL299" s="43"/>
      <c r="QM299" s="43"/>
      <c r="QN299" s="43"/>
      <c r="QO299" s="43"/>
      <c r="QP299" s="43"/>
      <c r="QQ299" s="43"/>
      <c r="QR299" s="43"/>
      <c r="QS299" s="43"/>
      <c r="QT299" s="43"/>
      <c r="QU299" s="43"/>
      <c r="QV299" s="43"/>
      <c r="QW299" s="43"/>
      <c r="QX299" s="43"/>
      <c r="QY299" s="43"/>
      <c r="QZ299" s="43"/>
      <c r="RA299" s="43"/>
      <c r="RB299" s="43"/>
      <c r="RC299" s="43"/>
      <c r="RD299" s="43"/>
      <c r="RE299" s="43"/>
      <c r="RF299" s="43"/>
      <c r="RG299" s="43"/>
      <c r="RH299" s="43"/>
      <c r="RI299" s="43"/>
      <c r="RJ299" s="43"/>
      <c r="RK299" s="43"/>
      <c r="RL299" s="43"/>
      <c r="RM299" s="43"/>
      <c r="RN299" s="43"/>
      <c r="RO299" s="43"/>
      <c r="RP299" s="43"/>
      <c r="RQ299" s="43"/>
      <c r="RR299" s="43"/>
      <c r="RS299" s="43"/>
      <c r="RT299" s="43"/>
      <c r="RU299" s="43"/>
      <c r="RV299" s="43"/>
      <c r="RW299" s="43"/>
      <c r="RX299" s="43"/>
      <c r="RY299" s="43"/>
      <c r="RZ299" s="43"/>
      <c r="SA299" s="43"/>
      <c r="SB299" s="43"/>
      <c r="SC299" s="43"/>
      <c r="SD299" s="43"/>
      <c r="SE299" s="43"/>
      <c r="SF299" s="43"/>
      <c r="SG299" s="43"/>
      <c r="SH299" s="43"/>
      <c r="SI299" s="43"/>
      <c r="SJ299" s="43"/>
      <c r="SK299" s="43"/>
      <c r="SL299" s="43"/>
      <c r="SM299" s="43"/>
      <c r="SN299" s="43"/>
      <c r="SO299" s="43"/>
      <c r="SP299" s="43"/>
      <c r="SQ299" s="43"/>
      <c r="SR299" s="43"/>
      <c r="SS299" s="43"/>
      <c r="ST299" s="43"/>
      <c r="SU299" s="43"/>
      <c r="SV299" s="43"/>
      <c r="SW299" s="43"/>
      <c r="SX299" s="43"/>
      <c r="SY299" s="43"/>
      <c r="SZ299" s="43"/>
      <c r="TA299" s="43"/>
      <c r="TB299" s="43"/>
      <c r="TC299" s="43"/>
      <c r="TD299" s="43"/>
      <c r="TE299" s="43"/>
      <c r="TF299" s="43"/>
      <c r="TG299" s="43"/>
      <c r="TH299" s="43"/>
    </row>
    <row r="300" spans="1:528" s="41" customFormat="1" ht="14.1" customHeight="1">
      <c r="A300" s="10"/>
      <c r="B300" s="43"/>
      <c r="C300" s="43"/>
      <c r="D300" s="43"/>
      <c r="E300" s="43"/>
      <c r="F300" s="43"/>
      <c r="G300" s="43"/>
      <c r="H300" s="43"/>
      <c r="I300" s="43"/>
      <c r="J300" s="43"/>
      <c r="K300" s="43"/>
      <c r="L300" s="43"/>
      <c r="M300" s="43"/>
      <c r="N300" s="43"/>
      <c r="O300" s="43"/>
      <c r="P300" s="43"/>
      <c r="X300" s="253"/>
      <c r="Y300" s="253"/>
      <c r="Z300" s="253"/>
      <c r="AA300" s="253"/>
      <c r="AB300" s="253"/>
      <c r="AC300" s="253"/>
      <c r="AD300" s="253"/>
      <c r="AE300" s="253"/>
      <c r="AF300" s="253"/>
      <c r="AG300" s="253"/>
      <c r="AH300" s="253"/>
      <c r="AI300" s="253"/>
      <c r="AJ300" s="253"/>
      <c r="AK300" s="253"/>
      <c r="AL300" s="253"/>
      <c r="AM300" s="253"/>
      <c r="AN300" s="253"/>
      <c r="AO300" s="253"/>
      <c r="AP300" s="253"/>
      <c r="AQ300" s="253"/>
      <c r="AR300" s="253"/>
      <c r="AS300" s="253"/>
      <c r="AT300" s="253"/>
      <c r="AU300" s="253"/>
      <c r="AV300" s="253"/>
      <c r="AW300" s="253"/>
      <c r="AX300" s="253"/>
      <c r="AY300" s="253"/>
      <c r="AZ300" s="253"/>
      <c r="BA300" s="253"/>
      <c r="BB300" s="253"/>
      <c r="BC300" s="253"/>
      <c r="BD300" s="253"/>
      <c r="BE300" s="253"/>
      <c r="BF300" s="253"/>
      <c r="BG300" s="253"/>
      <c r="BH300" s="253"/>
      <c r="BI300" s="253"/>
      <c r="BJ300" s="253"/>
      <c r="BK300" s="253"/>
      <c r="BL300" s="253"/>
      <c r="BM300" s="253"/>
      <c r="BN300" s="253"/>
      <c r="BO300" s="253"/>
      <c r="BP300" s="253"/>
      <c r="BQ300" s="253"/>
      <c r="BR300" s="253"/>
      <c r="BS300" s="253"/>
      <c r="BT300" s="253"/>
      <c r="BU300" s="253"/>
      <c r="BV300" s="253"/>
      <c r="BW300" s="253"/>
      <c r="BX300" s="253"/>
      <c r="BY300" s="253"/>
      <c r="BZ300" s="253"/>
      <c r="CA300" s="253"/>
      <c r="CB300" s="253"/>
      <c r="CC300" s="253"/>
      <c r="CD300" s="253"/>
      <c r="CE300" s="253"/>
      <c r="CF300" s="253"/>
      <c r="CG300" s="253"/>
      <c r="CH300" s="253"/>
      <c r="CI300" s="253"/>
      <c r="CJ300" s="253"/>
      <c r="CK300" s="253"/>
      <c r="CL300" s="253"/>
      <c r="CM300" s="253"/>
      <c r="CN300" s="253"/>
      <c r="CO300" s="253"/>
      <c r="CP300" s="253"/>
      <c r="CQ300" s="253"/>
      <c r="CR300" s="253"/>
      <c r="CS300" s="253"/>
      <c r="CT300" s="253"/>
      <c r="CU300" s="253"/>
      <c r="CV300" s="253"/>
      <c r="CW300" s="253"/>
      <c r="CX300" s="253"/>
      <c r="CY300" s="253"/>
      <c r="CZ300" s="253"/>
      <c r="DA300" s="253"/>
      <c r="DB300" s="253"/>
      <c r="DC300" s="253"/>
      <c r="DD300" s="253"/>
      <c r="DE300" s="253"/>
      <c r="DF300" s="253"/>
      <c r="DG300" s="253"/>
      <c r="DH300" s="253"/>
      <c r="DI300" s="253"/>
      <c r="DJ300" s="253"/>
      <c r="DK300" s="253"/>
      <c r="DL300" s="253"/>
      <c r="DM300" s="253"/>
      <c r="DN300" s="253"/>
      <c r="DO300" s="253"/>
      <c r="DP300" s="253"/>
      <c r="DQ300" s="253"/>
      <c r="DR300" s="253"/>
      <c r="DS300" s="253"/>
      <c r="DT300" s="253"/>
      <c r="DU300" s="253"/>
      <c r="DV300" s="253"/>
      <c r="DW300" s="253"/>
      <c r="DX300" s="253"/>
      <c r="DY300" s="253"/>
      <c r="DZ300" s="253"/>
      <c r="EA300" s="253"/>
      <c r="EB300" s="253"/>
      <c r="EC300" s="253"/>
      <c r="ED300" s="253"/>
      <c r="EE300" s="253"/>
      <c r="EF300" s="253"/>
      <c r="EG300" s="253"/>
      <c r="EH300" s="253"/>
      <c r="EI300" s="253"/>
      <c r="EJ300" s="253"/>
      <c r="EK300" s="253"/>
      <c r="EL300" s="253"/>
      <c r="EM300" s="253"/>
      <c r="EN300" s="253"/>
      <c r="EO300" s="253"/>
      <c r="EP300" s="253"/>
      <c r="EQ300" s="253"/>
      <c r="ER300" s="253"/>
      <c r="ES300" s="253"/>
      <c r="ET300" s="253"/>
      <c r="EU300" s="253"/>
      <c r="EV300" s="253"/>
      <c r="EW300" s="253"/>
      <c r="EX300" s="253"/>
      <c r="EY300" s="253"/>
      <c r="EZ300" s="253"/>
      <c r="FA300" s="253"/>
      <c r="FB300" s="253"/>
      <c r="FC300" s="253"/>
      <c r="FD300" s="253"/>
      <c r="FE300" s="253"/>
      <c r="FF300" s="253"/>
      <c r="FG300" s="253"/>
      <c r="FH300" s="253"/>
      <c r="FI300" s="253"/>
      <c r="FJ300" s="253"/>
      <c r="FK300" s="253"/>
      <c r="FL300" s="253"/>
      <c r="FM300" s="253"/>
      <c r="FN300" s="253"/>
      <c r="FO300" s="253"/>
      <c r="FP300" s="253"/>
      <c r="FQ300" s="253"/>
      <c r="FR300" s="253"/>
      <c r="FS300" s="253"/>
      <c r="FT300" s="253"/>
      <c r="FU300" s="253"/>
      <c r="FV300" s="253"/>
      <c r="FW300" s="253"/>
      <c r="FX300" s="253"/>
      <c r="FY300" s="253"/>
      <c r="FZ300" s="253"/>
      <c r="GA300" s="253"/>
      <c r="GB300" s="253"/>
      <c r="GC300" s="253"/>
      <c r="GD300" s="253"/>
      <c r="GE300" s="253"/>
      <c r="GF300" s="253"/>
      <c r="GG300" s="253"/>
      <c r="GH300" s="253"/>
      <c r="GI300" s="253"/>
      <c r="GJ300" s="253"/>
      <c r="GK300" s="253"/>
      <c r="GL300" s="253"/>
      <c r="GM300" s="253"/>
      <c r="GN300" s="253"/>
      <c r="GO300" s="253"/>
      <c r="GP300" s="253"/>
      <c r="GQ300" s="253"/>
      <c r="GR300" s="253"/>
      <c r="GS300" s="253"/>
      <c r="GT300" s="253"/>
      <c r="GU300" s="253"/>
      <c r="GV300" s="253"/>
      <c r="GW300" s="253"/>
      <c r="GX300" s="253"/>
      <c r="GY300" s="253"/>
      <c r="GZ300" s="253"/>
      <c r="HA300" s="253"/>
      <c r="HB300" s="253"/>
      <c r="HC300" s="253"/>
      <c r="HD300" s="253"/>
      <c r="HE300" s="253"/>
      <c r="HF300" s="253"/>
      <c r="HG300" s="253"/>
      <c r="HH300" s="253"/>
      <c r="HI300" s="253"/>
      <c r="HJ300" s="253"/>
      <c r="HK300" s="253"/>
      <c r="HL300" s="253"/>
      <c r="HM300" s="253"/>
      <c r="HN300" s="253"/>
      <c r="HO300" s="253"/>
      <c r="HP300" s="253"/>
      <c r="HQ300" s="253"/>
      <c r="HR300" s="253"/>
      <c r="HS300" s="253"/>
      <c r="HT300" s="253"/>
      <c r="HU300" s="253"/>
      <c r="HV300" s="253"/>
      <c r="HW300" s="253"/>
      <c r="HX300" s="253"/>
      <c r="HY300" s="253"/>
      <c r="HZ300" s="253"/>
      <c r="IA300" s="253"/>
      <c r="IB300" s="253"/>
      <c r="IC300" s="253"/>
      <c r="ID300" s="253"/>
      <c r="IE300" s="253"/>
      <c r="IF300" s="253"/>
      <c r="IG300" s="253"/>
      <c r="IH300" s="253"/>
      <c r="II300" s="253"/>
      <c r="IJ300" s="253"/>
      <c r="IK300" s="253"/>
      <c r="IL300" s="253"/>
      <c r="IM300" s="253"/>
      <c r="IN300" s="253"/>
      <c r="IO300" s="253"/>
      <c r="IP300" s="253"/>
      <c r="IQ300" s="253"/>
      <c r="IR300" s="253"/>
      <c r="IS300" s="253"/>
      <c r="IT300" s="253"/>
      <c r="IU300" s="253"/>
      <c r="IV300" s="253"/>
      <c r="IW300" s="253"/>
      <c r="IX300" s="253"/>
      <c r="IY300" s="253"/>
      <c r="IZ300" s="253"/>
      <c r="JA300" s="253"/>
      <c r="JB300" s="253"/>
      <c r="JC300" s="253"/>
      <c r="JD300" s="253"/>
      <c r="JE300" s="253"/>
      <c r="JF300" s="253"/>
      <c r="JG300" s="253"/>
      <c r="JH300" s="253"/>
      <c r="JI300" s="253"/>
      <c r="JJ300" s="253"/>
      <c r="JK300" s="253"/>
      <c r="JL300" s="253"/>
      <c r="JM300" s="253"/>
      <c r="JN300" s="253"/>
      <c r="JO300" s="253"/>
      <c r="JP300" s="253"/>
      <c r="JQ300" s="253"/>
      <c r="JR300" s="253"/>
      <c r="JS300" s="253"/>
      <c r="JT300" s="253"/>
      <c r="JU300" s="253"/>
      <c r="JV300" s="253"/>
      <c r="JW300" s="253"/>
      <c r="JX300" s="253"/>
      <c r="JY300" s="253"/>
      <c r="JZ300" s="253"/>
      <c r="KA300" s="253"/>
      <c r="KB300" s="253"/>
      <c r="KC300" s="253"/>
      <c r="KD300" s="253"/>
      <c r="KE300" s="253"/>
      <c r="KF300" s="253"/>
      <c r="KG300" s="253"/>
      <c r="KH300" s="253"/>
      <c r="KI300" s="253"/>
      <c r="KJ300" s="253"/>
      <c r="KK300" s="253"/>
      <c r="KL300" s="253"/>
      <c r="KM300" s="253"/>
      <c r="KN300" s="253"/>
      <c r="KO300" s="253"/>
      <c r="KP300" s="253"/>
      <c r="KQ300" s="253"/>
      <c r="KR300" s="253"/>
      <c r="KS300" s="253"/>
      <c r="KT300" s="253"/>
      <c r="KU300" s="253"/>
      <c r="KV300" s="253"/>
      <c r="KW300" s="253"/>
      <c r="KX300" s="253"/>
      <c r="KY300" s="253"/>
      <c r="KZ300" s="253"/>
      <c r="LA300" s="253"/>
      <c r="LB300" s="253"/>
      <c r="LC300" s="253"/>
      <c r="LD300" s="253"/>
      <c r="LE300" s="253"/>
      <c r="LF300" s="1296"/>
      <c r="LG300" s="253"/>
      <c r="LH300" s="253"/>
      <c r="LI300" s="253"/>
      <c r="LJ300" s="253"/>
      <c r="LK300" s="1296"/>
      <c r="LL300" s="253"/>
      <c r="LM300" s="253"/>
      <c r="LN300" s="253"/>
      <c r="LO300" s="253"/>
      <c r="LP300" s="1296"/>
      <c r="LQ300" s="253"/>
      <c r="LR300" s="253"/>
      <c r="LS300" s="253"/>
      <c r="LT300" s="253"/>
      <c r="LU300" s="1296"/>
      <c r="LV300" s="1296"/>
      <c r="LW300" s="1296"/>
      <c r="LX300" s="1296"/>
      <c r="LY300" s="1296"/>
      <c r="LZ300" s="1296"/>
      <c r="MA300" s="1296"/>
      <c r="MB300" s="1296"/>
      <c r="MC300" s="1296"/>
      <c r="MD300" s="1296"/>
      <c r="ME300" s="1296"/>
      <c r="MF300" s="1296"/>
      <c r="MG300" s="1296"/>
      <c r="MH300" s="1296"/>
      <c r="MI300" s="1296"/>
      <c r="MJ300" s="1296"/>
      <c r="MK300" s="1296"/>
      <c r="ML300" s="1296"/>
      <c r="MM300" s="1296"/>
      <c r="MN300" s="1296"/>
      <c r="MO300" s="1296"/>
      <c r="MP300" s="1296"/>
      <c r="MQ300" s="253"/>
      <c r="MR300" s="253"/>
      <c r="MS300" s="253"/>
      <c r="MT300" s="253"/>
      <c r="MU300" s="253"/>
      <c r="MV300" s="253"/>
      <c r="MW300" s="1184"/>
      <c r="MX300" s="253"/>
      <c r="MY300" s="253"/>
      <c r="MZ300" s="253"/>
      <c r="NA300" s="253"/>
      <c r="NB300" s="253"/>
      <c r="NC300" s="253"/>
      <c r="ND300" s="253"/>
      <c r="NE300" s="253"/>
      <c r="NF300" s="253"/>
      <c r="NG300" s="253"/>
      <c r="NH300" s="253"/>
      <c r="NI300" s="253"/>
      <c r="NJ300" s="253"/>
      <c r="NK300" s="253"/>
      <c r="NL300" s="253"/>
      <c r="NM300" s="1184"/>
      <c r="NN300" s="1184"/>
      <c r="NO300" s="253"/>
      <c r="NP300" s="253"/>
      <c r="NQ300" s="253"/>
      <c r="NR300" s="253"/>
      <c r="NS300" s="253"/>
      <c r="NT300" s="253"/>
      <c r="NU300" s="253"/>
      <c r="NV300" s="253"/>
      <c r="NW300" s="253"/>
      <c r="NX300" s="253"/>
      <c r="NY300" s="253"/>
      <c r="NZ300" s="253"/>
      <c r="OA300" s="253"/>
      <c r="OB300" s="253"/>
      <c r="OC300" s="253"/>
      <c r="OD300" s="253"/>
      <c r="OE300" s="253"/>
      <c r="OF300" s="253"/>
      <c r="OG300" s="253"/>
      <c r="OH300" s="253"/>
      <c r="OI300" s="253"/>
      <c r="OJ300" s="253"/>
      <c r="OK300" s="253"/>
      <c r="OL300" s="253"/>
      <c r="OM300" s="253"/>
      <c r="ON300" s="253"/>
      <c r="OO300" s="253"/>
      <c r="OP300" s="253"/>
      <c r="OQ300" s="253"/>
      <c r="OR300" s="253"/>
      <c r="OS300" s="253"/>
      <c r="OT300" s="253"/>
      <c r="OU300" s="253"/>
      <c r="OV300" s="43"/>
      <c r="OW300" s="43"/>
      <c r="OX300" s="43"/>
      <c r="OY300" s="1796"/>
      <c r="OZ300" s="1799"/>
      <c r="PA300" s="43"/>
      <c r="PB300" s="43"/>
      <c r="PC300" s="43"/>
      <c r="PD300" s="43"/>
      <c r="PE300" s="43"/>
      <c r="PF300" s="43"/>
      <c r="PG300" s="43"/>
      <c r="PH300" s="43"/>
      <c r="PI300" s="43"/>
      <c r="PJ300" s="43"/>
      <c r="PK300" s="43"/>
      <c r="PL300" s="43"/>
      <c r="PM300" s="43"/>
      <c r="PN300" s="43"/>
      <c r="PO300" s="43"/>
      <c r="PP300" s="43"/>
      <c r="PQ300" s="43"/>
      <c r="PR300" s="43"/>
      <c r="PS300" s="43"/>
      <c r="PT300" s="43"/>
      <c r="PU300" s="43"/>
      <c r="PV300" s="43"/>
      <c r="PW300" s="43"/>
      <c r="PX300" s="43"/>
      <c r="PY300" s="43"/>
      <c r="PZ300" s="43"/>
      <c r="QA300" s="43"/>
      <c r="QB300" s="43"/>
      <c r="QC300" s="43"/>
      <c r="QD300" s="43"/>
      <c r="QE300" s="43"/>
      <c r="QF300" s="43"/>
      <c r="QG300" s="43"/>
      <c r="QH300" s="43"/>
      <c r="QI300" s="43"/>
      <c r="QJ300" s="43"/>
      <c r="QK300" s="43"/>
      <c r="QL300" s="43"/>
      <c r="QM300" s="43"/>
      <c r="QN300" s="43"/>
      <c r="QO300" s="43"/>
      <c r="QP300" s="43"/>
      <c r="QQ300" s="43"/>
      <c r="QR300" s="43"/>
      <c r="QS300" s="43"/>
      <c r="QT300" s="43"/>
      <c r="QU300" s="43"/>
      <c r="QV300" s="43"/>
      <c r="QW300" s="43"/>
      <c r="QX300" s="43"/>
      <c r="QY300" s="43"/>
      <c r="QZ300" s="43"/>
      <c r="RA300" s="43"/>
      <c r="RB300" s="43"/>
      <c r="RC300" s="43"/>
      <c r="RD300" s="43"/>
      <c r="RE300" s="43"/>
      <c r="RF300" s="43"/>
      <c r="RG300" s="43"/>
      <c r="RH300" s="43"/>
      <c r="RI300" s="43"/>
      <c r="RJ300" s="43"/>
      <c r="RK300" s="43"/>
      <c r="RL300" s="43"/>
      <c r="RM300" s="43"/>
      <c r="RN300" s="43"/>
      <c r="RO300" s="43"/>
      <c r="RP300" s="43"/>
      <c r="RQ300" s="43"/>
      <c r="RR300" s="43"/>
      <c r="RS300" s="43"/>
      <c r="RT300" s="43"/>
      <c r="RU300" s="43"/>
      <c r="RV300" s="43"/>
      <c r="RW300" s="43"/>
      <c r="RX300" s="43"/>
      <c r="RY300" s="43"/>
      <c r="RZ300" s="43"/>
      <c r="SA300" s="43"/>
      <c r="SB300" s="43"/>
      <c r="SC300" s="43"/>
      <c r="SD300" s="43"/>
      <c r="SE300" s="43"/>
      <c r="SF300" s="43"/>
      <c r="SG300" s="43"/>
      <c r="SH300" s="43"/>
      <c r="SI300" s="43"/>
      <c r="SJ300" s="43"/>
      <c r="SK300" s="43"/>
      <c r="SL300" s="43"/>
      <c r="SM300" s="43"/>
      <c r="SN300" s="43"/>
      <c r="SO300" s="43"/>
      <c r="SP300" s="43"/>
      <c r="SQ300" s="43"/>
      <c r="SR300" s="43"/>
      <c r="SS300" s="43"/>
      <c r="ST300" s="43"/>
      <c r="SU300" s="43"/>
      <c r="SV300" s="43"/>
      <c r="SW300" s="43"/>
      <c r="SX300" s="43"/>
      <c r="SY300" s="43"/>
      <c r="SZ300" s="43"/>
      <c r="TA300" s="43"/>
      <c r="TB300" s="43"/>
      <c r="TC300" s="43"/>
      <c r="TD300" s="43"/>
      <c r="TE300" s="43"/>
      <c r="TF300" s="43"/>
      <c r="TG300" s="43"/>
      <c r="TH300" s="43"/>
    </row>
    <row r="301" spans="1:528" s="41" customFormat="1" ht="14.1" customHeight="1">
      <c r="A301" s="2542"/>
      <c r="B301" s="43"/>
      <c r="C301" s="43"/>
      <c r="D301" s="43"/>
      <c r="E301" s="43"/>
      <c r="F301" s="43"/>
      <c r="G301" s="43"/>
      <c r="H301" s="43"/>
      <c r="I301" s="43"/>
      <c r="J301" s="43"/>
      <c r="K301" s="43"/>
      <c r="L301" s="43"/>
      <c r="M301" s="43"/>
      <c r="N301" s="43"/>
      <c r="O301" s="43"/>
      <c r="P301" s="43"/>
      <c r="X301" s="253"/>
      <c r="Y301" s="253"/>
      <c r="Z301" s="253"/>
      <c r="AA301" s="253"/>
      <c r="AB301" s="253"/>
      <c r="AC301" s="253"/>
      <c r="AD301" s="253"/>
      <c r="AE301" s="253"/>
      <c r="AF301" s="253"/>
      <c r="AG301" s="253"/>
      <c r="AH301" s="253"/>
      <c r="AI301" s="253"/>
      <c r="AJ301" s="253"/>
      <c r="AK301" s="253"/>
      <c r="AL301" s="253"/>
      <c r="AM301" s="253"/>
      <c r="AN301" s="253"/>
      <c r="AO301" s="253"/>
      <c r="AP301" s="253"/>
      <c r="AQ301" s="253"/>
      <c r="AR301" s="253"/>
      <c r="AS301" s="253"/>
      <c r="AT301" s="253"/>
      <c r="AU301" s="253"/>
      <c r="AV301" s="253"/>
      <c r="AW301" s="253"/>
      <c r="AX301" s="253"/>
      <c r="AY301" s="253"/>
      <c r="AZ301" s="253"/>
      <c r="BA301" s="253"/>
      <c r="BB301" s="253"/>
      <c r="BC301" s="253"/>
      <c r="BD301" s="253"/>
      <c r="BE301" s="253"/>
      <c r="BF301" s="253"/>
      <c r="BG301" s="253"/>
      <c r="BH301" s="253"/>
      <c r="BI301" s="253"/>
      <c r="BJ301" s="253"/>
      <c r="BK301" s="253"/>
      <c r="BL301" s="253"/>
      <c r="BM301" s="253"/>
      <c r="BN301" s="253"/>
      <c r="BO301" s="253"/>
      <c r="BP301" s="253"/>
      <c r="BQ301" s="253"/>
      <c r="BR301" s="253"/>
      <c r="BS301" s="253"/>
      <c r="BT301" s="253"/>
      <c r="BU301" s="253"/>
      <c r="BV301" s="253"/>
      <c r="BW301" s="253"/>
      <c r="BX301" s="253"/>
      <c r="BY301" s="253"/>
      <c r="BZ301" s="253"/>
      <c r="CA301" s="253"/>
      <c r="CB301" s="253"/>
      <c r="CC301" s="253"/>
      <c r="CD301" s="253"/>
      <c r="CE301" s="253"/>
      <c r="CF301" s="253"/>
      <c r="CG301" s="253"/>
      <c r="CH301" s="253"/>
      <c r="CI301" s="253"/>
      <c r="CJ301" s="253"/>
      <c r="CK301" s="253"/>
      <c r="CL301" s="253"/>
      <c r="CM301" s="253"/>
      <c r="CN301" s="253"/>
      <c r="CO301" s="253"/>
      <c r="CP301" s="253"/>
      <c r="CQ301" s="253"/>
      <c r="CR301" s="253"/>
      <c r="CS301" s="253"/>
      <c r="CT301" s="253"/>
      <c r="CU301" s="253"/>
      <c r="CV301" s="253"/>
      <c r="CW301" s="253"/>
      <c r="CX301" s="253"/>
      <c r="CY301" s="253"/>
      <c r="CZ301" s="253"/>
      <c r="DA301" s="253"/>
      <c r="DB301" s="253"/>
      <c r="DC301" s="253"/>
      <c r="DD301" s="253"/>
      <c r="DE301" s="253"/>
      <c r="DF301" s="253"/>
      <c r="DG301" s="253"/>
      <c r="DH301" s="253"/>
      <c r="DI301" s="253"/>
      <c r="DJ301" s="253"/>
      <c r="DK301" s="253"/>
      <c r="DL301" s="253"/>
      <c r="DM301" s="253"/>
      <c r="DN301" s="253"/>
      <c r="DO301" s="253"/>
      <c r="DP301" s="253"/>
      <c r="DQ301" s="253"/>
      <c r="DR301" s="253"/>
      <c r="DS301" s="253"/>
      <c r="DT301" s="253"/>
      <c r="DU301" s="253"/>
      <c r="DV301" s="253"/>
      <c r="DW301" s="253"/>
      <c r="DX301" s="253"/>
      <c r="DY301" s="253"/>
      <c r="DZ301" s="253"/>
      <c r="EA301" s="253"/>
      <c r="EB301" s="253"/>
      <c r="EC301" s="253"/>
      <c r="ED301" s="253"/>
      <c r="EE301" s="253"/>
      <c r="EF301" s="253"/>
      <c r="EG301" s="253"/>
      <c r="EH301" s="253"/>
      <c r="EI301" s="253"/>
      <c r="EJ301" s="253"/>
      <c r="EK301" s="253"/>
      <c r="EL301" s="253"/>
      <c r="EM301" s="253"/>
      <c r="EN301" s="253"/>
      <c r="EO301" s="253"/>
      <c r="EP301" s="253"/>
      <c r="EQ301" s="253"/>
      <c r="ER301" s="253"/>
      <c r="ES301" s="253"/>
      <c r="ET301" s="253"/>
      <c r="EU301" s="253"/>
      <c r="EV301" s="253"/>
      <c r="EW301" s="253"/>
      <c r="EX301" s="253"/>
      <c r="EY301" s="253"/>
      <c r="EZ301" s="253"/>
      <c r="FA301" s="253"/>
      <c r="FB301" s="253"/>
      <c r="FC301" s="253"/>
      <c r="FD301" s="253"/>
      <c r="FE301" s="253"/>
      <c r="FF301" s="253"/>
      <c r="FG301" s="253"/>
      <c r="FH301" s="253"/>
      <c r="FI301" s="253"/>
      <c r="FJ301" s="253"/>
      <c r="FK301" s="253"/>
      <c r="FL301" s="253"/>
      <c r="FM301" s="253"/>
      <c r="FN301" s="253"/>
      <c r="FO301" s="253"/>
      <c r="FP301" s="253"/>
      <c r="FQ301" s="253"/>
      <c r="FR301" s="253"/>
      <c r="FS301" s="253"/>
      <c r="FT301" s="253"/>
      <c r="FU301" s="253"/>
      <c r="FV301" s="253"/>
      <c r="FW301" s="253"/>
      <c r="FX301" s="253"/>
      <c r="FY301" s="253"/>
      <c r="FZ301" s="253"/>
      <c r="GA301" s="253"/>
      <c r="GB301" s="253"/>
      <c r="GC301" s="253"/>
      <c r="GD301" s="253"/>
      <c r="GE301" s="253"/>
      <c r="GF301" s="253"/>
      <c r="GG301" s="253"/>
      <c r="GH301" s="253"/>
      <c r="GI301" s="253"/>
      <c r="GJ301" s="253"/>
      <c r="GK301" s="253"/>
      <c r="GL301" s="253"/>
      <c r="GM301" s="253"/>
      <c r="GN301" s="253"/>
      <c r="GO301" s="253"/>
      <c r="GP301" s="253"/>
      <c r="GQ301" s="253"/>
      <c r="GR301" s="253"/>
      <c r="GS301" s="253"/>
      <c r="GT301" s="253"/>
      <c r="GU301" s="253"/>
      <c r="GV301" s="253"/>
      <c r="GW301" s="253"/>
      <c r="GX301" s="253"/>
      <c r="GY301" s="253"/>
      <c r="GZ301" s="253"/>
      <c r="HA301" s="253"/>
      <c r="HB301" s="253"/>
      <c r="HC301" s="253"/>
      <c r="HD301" s="253"/>
      <c r="HE301" s="253"/>
      <c r="HF301" s="253"/>
      <c r="HG301" s="253"/>
      <c r="HH301" s="253"/>
      <c r="HI301" s="253"/>
      <c r="HJ301" s="253"/>
      <c r="HK301" s="253"/>
      <c r="HL301" s="253"/>
      <c r="HM301" s="253"/>
      <c r="HN301" s="253"/>
      <c r="HO301" s="253"/>
      <c r="HP301" s="253"/>
      <c r="HQ301" s="253"/>
      <c r="HR301" s="253"/>
      <c r="HS301" s="253"/>
      <c r="HT301" s="253"/>
      <c r="HU301" s="253"/>
      <c r="HV301" s="253"/>
      <c r="HW301" s="253"/>
      <c r="HX301" s="253"/>
      <c r="HY301" s="253"/>
      <c r="HZ301" s="253"/>
      <c r="IA301" s="253"/>
      <c r="IB301" s="253"/>
      <c r="IC301" s="253"/>
      <c r="ID301" s="253"/>
      <c r="IE301" s="253"/>
      <c r="IF301" s="253"/>
      <c r="IG301" s="253"/>
      <c r="IH301" s="253"/>
      <c r="II301" s="253"/>
      <c r="IJ301" s="253"/>
      <c r="IK301" s="253"/>
      <c r="IL301" s="253"/>
      <c r="IM301" s="253"/>
      <c r="IN301" s="253"/>
      <c r="IO301" s="253"/>
      <c r="IP301" s="253"/>
      <c r="IQ301" s="253"/>
      <c r="IR301" s="253"/>
      <c r="IS301" s="253"/>
      <c r="IT301" s="253"/>
      <c r="IU301" s="253"/>
      <c r="IV301" s="253"/>
      <c r="IW301" s="253"/>
      <c r="IX301" s="253"/>
      <c r="IY301" s="253"/>
      <c r="IZ301" s="253"/>
      <c r="JA301" s="253"/>
      <c r="JB301" s="253"/>
      <c r="JC301" s="253"/>
      <c r="JD301" s="253"/>
      <c r="JE301" s="253"/>
      <c r="JF301" s="253"/>
      <c r="JG301" s="253"/>
      <c r="JH301" s="253"/>
      <c r="JI301" s="253"/>
      <c r="JJ301" s="253"/>
      <c r="JK301" s="253"/>
      <c r="JL301" s="253"/>
      <c r="JM301" s="253"/>
      <c r="JN301" s="253"/>
      <c r="JO301" s="253"/>
      <c r="JP301" s="253"/>
      <c r="JQ301" s="253"/>
      <c r="JR301" s="253"/>
      <c r="JS301" s="253"/>
      <c r="JT301" s="253"/>
      <c r="JU301" s="253"/>
      <c r="JV301" s="253"/>
      <c r="JW301" s="253"/>
      <c r="JX301" s="253"/>
      <c r="JY301" s="253"/>
      <c r="JZ301" s="253"/>
      <c r="KA301" s="253"/>
      <c r="KB301" s="253"/>
      <c r="KC301" s="253"/>
      <c r="KD301" s="253"/>
      <c r="KE301" s="253"/>
      <c r="KF301" s="253"/>
      <c r="KG301" s="253"/>
      <c r="KH301" s="253"/>
      <c r="KI301" s="253"/>
      <c r="KJ301" s="253"/>
      <c r="KK301" s="253"/>
      <c r="KL301" s="253"/>
      <c r="KM301" s="253"/>
      <c r="KN301" s="253"/>
      <c r="KO301" s="253"/>
      <c r="KP301" s="253"/>
      <c r="KQ301" s="253"/>
      <c r="KR301" s="253"/>
      <c r="KS301" s="253"/>
      <c r="KT301" s="253"/>
      <c r="KU301" s="253"/>
      <c r="KV301" s="253"/>
      <c r="KW301" s="253"/>
      <c r="KX301" s="253"/>
      <c r="KY301" s="253"/>
      <c r="KZ301" s="253"/>
      <c r="LA301" s="253"/>
      <c r="LB301" s="253"/>
      <c r="LC301" s="253"/>
      <c r="LD301" s="253"/>
      <c r="LE301" s="253"/>
      <c r="LF301" s="1296"/>
      <c r="LG301" s="253"/>
      <c r="LH301" s="253"/>
      <c r="LI301" s="253"/>
      <c r="LJ301" s="253"/>
      <c r="LK301" s="1296"/>
      <c r="LL301" s="253"/>
      <c r="LM301" s="253"/>
      <c r="LN301" s="253"/>
      <c r="LO301" s="253"/>
      <c r="LP301" s="1296"/>
      <c r="LQ301" s="253"/>
      <c r="LR301" s="253"/>
      <c r="LS301" s="253"/>
      <c r="LT301" s="253"/>
      <c r="LU301" s="1296"/>
      <c r="LV301" s="1296"/>
      <c r="LW301" s="1296"/>
      <c r="LX301" s="1296"/>
      <c r="LY301" s="1296"/>
      <c r="LZ301" s="1296"/>
      <c r="MA301" s="1296"/>
      <c r="MB301" s="1296"/>
      <c r="MC301" s="1296"/>
      <c r="MD301" s="1296"/>
      <c r="ME301" s="1296"/>
      <c r="MF301" s="1296"/>
      <c r="MG301" s="1296"/>
      <c r="MH301" s="1296"/>
      <c r="MI301" s="1296"/>
      <c r="MJ301" s="1296"/>
      <c r="MK301" s="1296"/>
      <c r="ML301" s="1296"/>
      <c r="MM301" s="1296"/>
      <c r="MN301" s="1296"/>
      <c r="MO301" s="1296"/>
      <c r="MP301" s="1296"/>
      <c r="MQ301" s="253"/>
      <c r="MR301" s="253"/>
      <c r="MS301" s="253"/>
      <c r="MT301" s="253"/>
      <c r="MU301" s="253"/>
      <c r="MV301" s="253"/>
      <c r="MW301" s="1184"/>
      <c r="MX301" s="253"/>
      <c r="MY301" s="253"/>
      <c r="MZ301" s="253"/>
      <c r="NA301" s="253"/>
      <c r="NB301" s="253"/>
      <c r="NC301" s="253"/>
      <c r="ND301" s="253"/>
      <c r="NE301" s="253"/>
      <c r="NF301" s="253"/>
      <c r="NG301" s="253"/>
      <c r="NH301" s="253"/>
      <c r="NI301" s="253"/>
      <c r="NJ301" s="253"/>
      <c r="NK301" s="253"/>
      <c r="NL301" s="253"/>
      <c r="NM301" s="1184"/>
      <c r="NN301" s="1184"/>
      <c r="NO301" s="253"/>
      <c r="NP301" s="253"/>
      <c r="NQ301" s="253"/>
      <c r="NR301" s="253"/>
      <c r="NS301" s="253"/>
      <c r="NT301" s="253"/>
      <c r="NU301" s="253"/>
      <c r="NV301" s="253"/>
      <c r="NW301" s="253"/>
      <c r="NX301" s="253"/>
      <c r="NY301" s="253"/>
      <c r="NZ301" s="253"/>
      <c r="OA301" s="253"/>
      <c r="OB301" s="253"/>
      <c r="OC301" s="253"/>
      <c r="OD301" s="253"/>
      <c r="OE301" s="253"/>
      <c r="OF301" s="253"/>
      <c r="OG301" s="253"/>
      <c r="OH301" s="253"/>
      <c r="OI301" s="253"/>
      <c r="OJ301" s="253"/>
      <c r="OK301" s="253"/>
      <c r="OL301" s="253"/>
      <c r="OM301" s="253"/>
      <c r="ON301" s="253"/>
      <c r="OO301" s="253"/>
      <c r="OP301" s="253"/>
      <c r="OQ301" s="253"/>
      <c r="OR301" s="253"/>
      <c r="OS301" s="253"/>
      <c r="OT301" s="253"/>
      <c r="OU301" s="253"/>
      <c r="OV301" s="43"/>
      <c r="OW301" s="43"/>
      <c r="OX301" s="43"/>
      <c r="OY301" s="1794"/>
      <c r="OZ301" s="1799"/>
      <c r="PA301" s="43"/>
      <c r="PB301" s="43"/>
      <c r="PC301" s="43"/>
      <c r="PD301" s="43"/>
      <c r="PE301" s="43"/>
      <c r="PF301" s="43"/>
      <c r="PG301" s="43"/>
      <c r="PH301" s="43"/>
      <c r="PI301" s="43"/>
      <c r="PJ301" s="43"/>
      <c r="PK301" s="43"/>
      <c r="PL301" s="43"/>
      <c r="PM301" s="43"/>
      <c r="PN301" s="43"/>
      <c r="PO301" s="43"/>
      <c r="PP301" s="43"/>
      <c r="PQ301" s="43"/>
      <c r="PR301" s="43"/>
      <c r="PS301" s="43"/>
      <c r="PT301" s="43"/>
      <c r="PU301" s="43"/>
      <c r="PV301" s="43"/>
      <c r="PW301" s="43"/>
      <c r="PX301" s="43"/>
      <c r="PY301" s="43"/>
      <c r="PZ301" s="43"/>
      <c r="QA301" s="43"/>
      <c r="QB301" s="43"/>
      <c r="QC301" s="43"/>
      <c r="QD301" s="43"/>
      <c r="QE301" s="43"/>
      <c r="QF301" s="43"/>
      <c r="QG301" s="43"/>
      <c r="QH301" s="43"/>
      <c r="QI301" s="43"/>
      <c r="QJ301" s="43"/>
      <c r="QK301" s="43"/>
      <c r="QL301" s="43"/>
      <c r="QM301" s="43"/>
      <c r="QN301" s="43"/>
      <c r="QO301" s="43"/>
      <c r="QP301" s="43"/>
      <c r="QQ301" s="43"/>
      <c r="QR301" s="43"/>
      <c r="QS301" s="43"/>
      <c r="QT301" s="43"/>
      <c r="QU301" s="43"/>
      <c r="QV301" s="43"/>
      <c r="QW301" s="43"/>
      <c r="QX301" s="43"/>
      <c r="QY301" s="43"/>
      <c r="QZ301" s="43"/>
      <c r="RA301" s="43"/>
      <c r="RB301" s="43"/>
      <c r="RC301" s="43"/>
      <c r="RD301" s="43"/>
      <c r="RE301" s="43"/>
      <c r="RF301" s="43"/>
      <c r="RG301" s="43"/>
      <c r="RH301" s="43"/>
      <c r="RI301" s="43"/>
      <c r="RJ301" s="43"/>
      <c r="RK301" s="43"/>
      <c r="RL301" s="43"/>
      <c r="RM301" s="43"/>
      <c r="RN301" s="43"/>
      <c r="RO301" s="43"/>
      <c r="RP301" s="43"/>
      <c r="RQ301" s="43"/>
      <c r="RR301" s="43"/>
      <c r="RS301" s="43"/>
      <c r="RT301" s="43"/>
      <c r="RU301" s="43"/>
      <c r="RV301" s="43"/>
      <c r="RW301" s="43"/>
      <c r="RX301" s="43"/>
      <c r="RY301" s="43"/>
      <c r="RZ301" s="43"/>
      <c r="SA301" s="43"/>
      <c r="SB301" s="43"/>
      <c r="SC301" s="43"/>
      <c r="SD301" s="43"/>
      <c r="SE301" s="43"/>
      <c r="SF301" s="43"/>
      <c r="SG301" s="43"/>
      <c r="SH301" s="43"/>
      <c r="SI301" s="43"/>
      <c r="SJ301" s="43"/>
      <c r="SK301" s="43"/>
      <c r="SL301" s="43"/>
      <c r="SM301" s="43"/>
      <c r="SN301" s="43"/>
      <c r="SO301" s="43"/>
      <c r="SP301" s="43"/>
      <c r="SQ301" s="43"/>
      <c r="SR301" s="43"/>
      <c r="SS301" s="43"/>
      <c r="ST301" s="43"/>
      <c r="SU301" s="43"/>
      <c r="SV301" s="43"/>
      <c r="SW301" s="43"/>
      <c r="SX301" s="43"/>
      <c r="SY301" s="43"/>
      <c r="SZ301" s="43"/>
      <c r="TA301" s="43"/>
      <c r="TB301" s="43"/>
      <c r="TC301" s="43"/>
      <c r="TD301" s="43"/>
      <c r="TE301" s="43"/>
      <c r="TF301" s="43"/>
      <c r="TG301" s="43"/>
      <c r="TH301" s="43"/>
    </row>
    <row r="302" spans="1:528" s="41" customFormat="1" ht="14.1" customHeight="1">
      <c r="A302" s="43"/>
      <c r="B302" s="43"/>
      <c r="C302" s="43"/>
      <c r="D302" s="43"/>
      <c r="E302" s="43"/>
      <c r="F302" s="43"/>
      <c r="G302" s="43"/>
      <c r="H302" s="43"/>
      <c r="I302" s="43"/>
      <c r="J302" s="43"/>
      <c r="K302" s="43"/>
      <c r="L302" s="43"/>
      <c r="M302" s="43"/>
      <c r="N302" s="43"/>
      <c r="O302" s="43"/>
      <c r="P302" s="43"/>
      <c r="X302" s="253"/>
      <c r="Y302" s="253"/>
      <c r="Z302" s="253"/>
      <c r="AA302" s="253"/>
      <c r="AB302" s="253"/>
      <c r="AC302" s="253"/>
      <c r="AD302" s="253"/>
      <c r="AE302" s="253"/>
      <c r="AF302" s="253"/>
      <c r="AG302" s="253"/>
      <c r="AH302" s="253"/>
      <c r="AI302" s="253"/>
      <c r="AJ302" s="253"/>
      <c r="AK302" s="253"/>
      <c r="AL302" s="253"/>
      <c r="AM302" s="253"/>
      <c r="AN302" s="253"/>
      <c r="AO302" s="253"/>
      <c r="AP302" s="253"/>
      <c r="AQ302" s="253"/>
      <c r="AR302" s="253"/>
      <c r="AS302" s="253"/>
      <c r="AT302" s="253"/>
      <c r="AU302" s="253"/>
      <c r="AV302" s="253"/>
      <c r="AW302" s="253"/>
      <c r="AX302" s="253"/>
      <c r="AY302" s="253"/>
      <c r="AZ302" s="253"/>
      <c r="BA302" s="253"/>
      <c r="BB302" s="253"/>
      <c r="BC302" s="253"/>
      <c r="BD302" s="253"/>
      <c r="BE302" s="253"/>
      <c r="BF302" s="253"/>
      <c r="BG302" s="253"/>
      <c r="BH302" s="253"/>
      <c r="BI302" s="253"/>
      <c r="BJ302" s="253"/>
      <c r="BK302" s="253"/>
      <c r="BL302" s="253"/>
      <c r="BM302" s="253"/>
      <c r="BN302" s="253"/>
      <c r="BO302" s="253"/>
      <c r="BP302" s="253"/>
      <c r="BQ302" s="253"/>
      <c r="BR302" s="253"/>
      <c r="BS302" s="253"/>
      <c r="BT302" s="253"/>
      <c r="BU302" s="253"/>
      <c r="BV302" s="253"/>
      <c r="BW302" s="253"/>
      <c r="BX302" s="253"/>
      <c r="BY302" s="253"/>
      <c r="BZ302" s="253"/>
      <c r="CA302" s="253"/>
      <c r="CB302" s="253"/>
      <c r="CC302" s="253"/>
      <c r="CD302" s="253"/>
      <c r="CE302" s="253"/>
      <c r="CF302" s="253"/>
      <c r="CG302" s="253"/>
      <c r="CH302" s="253"/>
      <c r="CI302" s="253"/>
      <c r="CJ302" s="253"/>
      <c r="CK302" s="253"/>
      <c r="CL302" s="253"/>
      <c r="CM302" s="253"/>
      <c r="CN302" s="253"/>
      <c r="CO302" s="253"/>
      <c r="CP302" s="253"/>
      <c r="CQ302" s="253"/>
      <c r="CR302" s="253"/>
      <c r="CS302" s="253"/>
      <c r="CT302" s="253"/>
      <c r="CU302" s="253"/>
      <c r="CV302" s="253"/>
      <c r="CW302" s="253"/>
      <c r="CX302" s="253"/>
      <c r="CY302" s="253"/>
      <c r="CZ302" s="253"/>
      <c r="DA302" s="253"/>
      <c r="DB302" s="253"/>
      <c r="DC302" s="253"/>
      <c r="DD302" s="253"/>
      <c r="DE302" s="253"/>
      <c r="DF302" s="253"/>
      <c r="DG302" s="253"/>
      <c r="DH302" s="253"/>
      <c r="DI302" s="253"/>
      <c r="DJ302" s="253"/>
      <c r="DK302" s="253"/>
      <c r="DL302" s="253"/>
      <c r="DM302" s="253"/>
      <c r="DN302" s="253"/>
      <c r="DO302" s="253"/>
      <c r="DP302" s="253"/>
      <c r="DQ302" s="253"/>
      <c r="DR302" s="253"/>
      <c r="DS302" s="253"/>
      <c r="DT302" s="253"/>
      <c r="DU302" s="253"/>
      <c r="DV302" s="253"/>
      <c r="DW302" s="253"/>
      <c r="DX302" s="253"/>
      <c r="DY302" s="253"/>
      <c r="DZ302" s="253"/>
      <c r="EA302" s="253"/>
      <c r="EB302" s="253"/>
      <c r="EC302" s="253"/>
      <c r="ED302" s="253"/>
      <c r="EE302" s="253"/>
      <c r="EF302" s="253"/>
      <c r="EG302" s="253"/>
      <c r="EH302" s="253"/>
      <c r="EI302" s="253"/>
      <c r="EJ302" s="253"/>
      <c r="EK302" s="253"/>
      <c r="EL302" s="253"/>
      <c r="EM302" s="253"/>
      <c r="EN302" s="253"/>
      <c r="EO302" s="253"/>
      <c r="EP302" s="253"/>
      <c r="EQ302" s="253"/>
      <c r="ER302" s="253"/>
      <c r="ES302" s="253"/>
      <c r="ET302" s="253"/>
      <c r="EU302" s="253"/>
      <c r="EV302" s="253"/>
      <c r="EW302" s="253"/>
      <c r="EX302" s="253"/>
      <c r="EY302" s="253"/>
      <c r="EZ302" s="253"/>
      <c r="FA302" s="253"/>
      <c r="FB302" s="253"/>
      <c r="FC302" s="253"/>
      <c r="FD302" s="253"/>
      <c r="FE302" s="253"/>
      <c r="FF302" s="253"/>
      <c r="FG302" s="253"/>
      <c r="FH302" s="253"/>
      <c r="FI302" s="253"/>
      <c r="FJ302" s="253"/>
      <c r="FK302" s="253"/>
      <c r="FL302" s="253"/>
      <c r="FM302" s="253"/>
      <c r="FN302" s="253"/>
      <c r="FO302" s="253"/>
      <c r="FP302" s="253"/>
      <c r="FQ302" s="253"/>
      <c r="FR302" s="253"/>
      <c r="FS302" s="253"/>
      <c r="FT302" s="253"/>
      <c r="FU302" s="253"/>
      <c r="FV302" s="253"/>
      <c r="FW302" s="253"/>
      <c r="FX302" s="253"/>
      <c r="FY302" s="253"/>
      <c r="FZ302" s="253"/>
      <c r="GA302" s="253"/>
      <c r="GB302" s="253"/>
      <c r="GC302" s="253"/>
      <c r="GD302" s="253"/>
      <c r="GE302" s="253"/>
      <c r="GF302" s="253"/>
      <c r="GG302" s="253"/>
      <c r="GH302" s="253"/>
      <c r="GI302" s="253"/>
      <c r="GJ302" s="253"/>
      <c r="GK302" s="253"/>
      <c r="GL302" s="253"/>
      <c r="GM302" s="253"/>
      <c r="GN302" s="253"/>
      <c r="GO302" s="253"/>
      <c r="GP302" s="253"/>
      <c r="GQ302" s="253"/>
      <c r="GR302" s="253"/>
      <c r="GS302" s="253"/>
      <c r="GT302" s="253"/>
      <c r="GU302" s="253"/>
      <c r="GV302" s="253"/>
      <c r="GW302" s="253"/>
      <c r="GX302" s="253"/>
      <c r="GY302" s="253"/>
      <c r="GZ302" s="253"/>
      <c r="HA302" s="253"/>
      <c r="HB302" s="253"/>
      <c r="HC302" s="253"/>
      <c r="HD302" s="253"/>
      <c r="HE302" s="253"/>
      <c r="HF302" s="253"/>
      <c r="HG302" s="253"/>
      <c r="HH302" s="253"/>
      <c r="HI302" s="253"/>
      <c r="HJ302" s="253"/>
      <c r="HK302" s="253"/>
      <c r="HL302" s="253"/>
      <c r="HM302" s="253"/>
      <c r="HN302" s="253"/>
      <c r="HO302" s="253"/>
      <c r="HP302" s="253"/>
      <c r="HQ302" s="253"/>
      <c r="HR302" s="253"/>
      <c r="HS302" s="253"/>
      <c r="HT302" s="253"/>
      <c r="HU302" s="253"/>
      <c r="HV302" s="253"/>
      <c r="HW302" s="253"/>
      <c r="HX302" s="253"/>
      <c r="HY302" s="253"/>
      <c r="HZ302" s="253"/>
      <c r="IA302" s="253"/>
      <c r="IB302" s="253"/>
      <c r="IC302" s="253"/>
      <c r="ID302" s="253"/>
      <c r="IE302" s="253"/>
      <c r="IF302" s="253"/>
      <c r="IG302" s="253"/>
      <c r="IH302" s="253"/>
      <c r="II302" s="253"/>
      <c r="IJ302" s="253"/>
      <c r="IK302" s="253"/>
      <c r="IL302" s="253"/>
      <c r="IM302" s="253"/>
      <c r="IN302" s="253"/>
      <c r="IO302" s="253"/>
      <c r="IP302" s="253"/>
      <c r="IQ302" s="253"/>
      <c r="IR302" s="253"/>
      <c r="IS302" s="253"/>
      <c r="IT302" s="253"/>
      <c r="IU302" s="253"/>
      <c r="IV302" s="253"/>
      <c r="IW302" s="253"/>
      <c r="IX302" s="253"/>
      <c r="IY302" s="253"/>
      <c r="IZ302" s="253"/>
      <c r="JA302" s="253"/>
      <c r="JB302" s="253"/>
      <c r="JC302" s="253"/>
      <c r="JD302" s="253"/>
      <c r="JE302" s="253"/>
      <c r="JF302" s="253"/>
      <c r="JG302" s="253"/>
      <c r="JH302" s="253"/>
      <c r="JI302" s="253"/>
      <c r="JJ302" s="253"/>
      <c r="JK302" s="253"/>
      <c r="JL302" s="253"/>
      <c r="JM302" s="253"/>
      <c r="JN302" s="253"/>
      <c r="JO302" s="253"/>
      <c r="JP302" s="253"/>
      <c r="JQ302" s="253"/>
      <c r="JR302" s="253"/>
      <c r="JS302" s="253"/>
      <c r="JT302" s="253"/>
      <c r="JU302" s="253"/>
      <c r="JV302" s="253"/>
      <c r="JW302" s="253"/>
      <c r="JX302" s="253"/>
      <c r="JY302" s="253"/>
      <c r="JZ302" s="253"/>
      <c r="KA302" s="253"/>
      <c r="KB302" s="253"/>
      <c r="KC302" s="253"/>
      <c r="KD302" s="253"/>
      <c r="KE302" s="253"/>
      <c r="KF302" s="253"/>
      <c r="KG302" s="253"/>
      <c r="KH302" s="253"/>
      <c r="KI302" s="253"/>
      <c r="KJ302" s="253"/>
      <c r="KK302" s="253"/>
      <c r="KL302" s="253"/>
      <c r="KM302" s="253"/>
      <c r="KN302" s="253"/>
      <c r="KO302" s="253"/>
      <c r="KP302" s="253"/>
      <c r="KQ302" s="253"/>
      <c r="KR302" s="253"/>
      <c r="KS302" s="253"/>
      <c r="KT302" s="253"/>
      <c r="KU302" s="253"/>
      <c r="KV302" s="253"/>
      <c r="KW302" s="253"/>
      <c r="KX302" s="253"/>
      <c r="KY302" s="253"/>
      <c r="KZ302" s="253"/>
      <c r="LA302" s="253"/>
      <c r="LB302" s="253"/>
      <c r="LC302" s="253"/>
      <c r="LD302" s="253"/>
      <c r="LE302" s="253"/>
      <c r="LF302" s="1296"/>
      <c r="LG302" s="253"/>
      <c r="LH302" s="253"/>
      <c r="LI302" s="253"/>
      <c r="LJ302" s="253"/>
      <c r="LK302" s="1296"/>
      <c r="LL302" s="253"/>
      <c r="LM302" s="253"/>
      <c r="LN302" s="253"/>
      <c r="LO302" s="253"/>
      <c r="LP302" s="1296"/>
      <c r="LQ302" s="253"/>
      <c r="LR302" s="253"/>
      <c r="LS302" s="253"/>
      <c r="LT302" s="253"/>
      <c r="LU302" s="1296"/>
      <c r="LV302" s="1296"/>
      <c r="LW302" s="1296"/>
      <c r="LX302" s="1296"/>
      <c r="LY302" s="1296"/>
      <c r="LZ302" s="1296"/>
      <c r="MA302" s="1296"/>
      <c r="MB302" s="1296"/>
      <c r="MC302" s="1296"/>
      <c r="MD302" s="1296"/>
      <c r="ME302" s="1296"/>
      <c r="MF302" s="1296"/>
      <c r="MG302" s="1296"/>
      <c r="MH302" s="1296"/>
      <c r="MI302" s="1296"/>
      <c r="MJ302" s="1296"/>
      <c r="MK302" s="1296"/>
      <c r="ML302" s="1296"/>
      <c r="MM302" s="1296"/>
      <c r="MN302" s="1296"/>
      <c r="MO302" s="1296"/>
      <c r="MP302" s="1296"/>
      <c r="MQ302" s="253"/>
      <c r="MR302" s="253"/>
      <c r="MS302" s="253"/>
      <c r="MT302" s="253"/>
      <c r="MU302" s="253"/>
      <c r="MV302" s="253"/>
      <c r="MW302" s="1184"/>
      <c r="MX302" s="253"/>
      <c r="MY302" s="253"/>
      <c r="MZ302" s="253"/>
      <c r="NA302" s="253"/>
      <c r="NB302" s="253"/>
      <c r="NC302" s="253"/>
      <c r="ND302" s="253"/>
      <c r="NE302" s="253"/>
      <c r="NF302" s="253"/>
      <c r="NG302" s="253"/>
      <c r="NH302" s="253"/>
      <c r="NI302" s="253"/>
      <c r="NJ302" s="253"/>
      <c r="NK302" s="253"/>
      <c r="NL302" s="253"/>
      <c r="NM302" s="1184"/>
      <c r="NN302" s="1184"/>
      <c r="NO302" s="253"/>
      <c r="NP302" s="253"/>
      <c r="NQ302" s="253"/>
      <c r="NR302" s="253"/>
      <c r="NS302" s="253"/>
      <c r="NT302" s="253"/>
      <c r="NU302" s="253"/>
      <c r="NV302" s="253"/>
      <c r="NW302" s="253"/>
      <c r="NX302" s="253"/>
      <c r="NY302" s="253"/>
      <c r="NZ302" s="253"/>
      <c r="OA302" s="253"/>
      <c r="OB302" s="253"/>
      <c r="OC302" s="253"/>
      <c r="OD302" s="253"/>
      <c r="OE302" s="253"/>
      <c r="OF302" s="253"/>
      <c r="OG302" s="253"/>
      <c r="OH302" s="253"/>
      <c r="OI302" s="253"/>
      <c r="OJ302" s="253"/>
      <c r="OK302" s="253"/>
      <c r="OL302" s="253"/>
      <c r="OM302" s="253"/>
      <c r="ON302" s="253"/>
      <c r="OO302" s="253"/>
      <c r="OP302" s="253"/>
      <c r="OQ302" s="253"/>
      <c r="OR302" s="253"/>
      <c r="OS302" s="253"/>
      <c r="OT302" s="253"/>
      <c r="OU302" s="253"/>
      <c r="OV302" s="43"/>
      <c r="OW302" s="43"/>
      <c r="OX302" s="43"/>
      <c r="OY302" s="1794"/>
      <c r="OZ302" s="1799"/>
      <c r="PA302" s="43"/>
      <c r="PB302" s="43"/>
      <c r="PC302" s="43"/>
      <c r="PD302" s="43"/>
      <c r="PE302" s="43"/>
      <c r="PF302" s="43"/>
      <c r="PG302" s="43"/>
      <c r="PH302" s="43"/>
      <c r="PI302" s="43"/>
      <c r="PJ302" s="43"/>
      <c r="PK302" s="43"/>
      <c r="PL302" s="43"/>
      <c r="PM302" s="43"/>
      <c r="PN302" s="43"/>
      <c r="PO302" s="43"/>
      <c r="PP302" s="43"/>
      <c r="PQ302" s="43"/>
      <c r="PR302" s="43"/>
      <c r="PS302" s="43"/>
      <c r="PT302" s="43"/>
      <c r="PU302" s="43"/>
      <c r="PV302" s="43"/>
      <c r="PW302" s="43"/>
      <c r="PX302" s="43"/>
      <c r="PY302" s="43"/>
      <c r="PZ302" s="43"/>
      <c r="QA302" s="43"/>
      <c r="QB302" s="43"/>
      <c r="QC302" s="43"/>
      <c r="QD302" s="43"/>
      <c r="QE302" s="43"/>
      <c r="QF302" s="43"/>
      <c r="QG302" s="43"/>
      <c r="QH302" s="43"/>
      <c r="QI302" s="43"/>
      <c r="QJ302" s="43"/>
      <c r="QK302" s="43"/>
      <c r="QL302" s="43"/>
      <c r="QM302" s="43"/>
      <c r="QN302" s="43"/>
      <c r="QO302" s="43"/>
      <c r="QP302" s="43"/>
      <c r="QQ302" s="43"/>
      <c r="QR302" s="43"/>
      <c r="QS302" s="43"/>
      <c r="QT302" s="43"/>
      <c r="QU302" s="43"/>
      <c r="QV302" s="43"/>
      <c r="QW302" s="43"/>
      <c r="QX302" s="43"/>
      <c r="QY302" s="43"/>
      <c r="QZ302" s="43"/>
      <c r="RA302" s="43"/>
      <c r="RB302" s="43"/>
      <c r="RC302" s="43"/>
      <c r="RD302" s="43"/>
      <c r="RE302" s="43"/>
      <c r="RF302" s="43"/>
      <c r="RG302" s="43"/>
      <c r="RH302" s="43"/>
      <c r="RI302" s="43"/>
      <c r="RJ302" s="43"/>
      <c r="RK302" s="43"/>
      <c r="RL302" s="43"/>
      <c r="RM302" s="43"/>
      <c r="RN302" s="43"/>
      <c r="RO302" s="43"/>
      <c r="RP302" s="43"/>
      <c r="RQ302" s="43"/>
      <c r="RR302" s="43"/>
      <c r="RS302" s="43"/>
      <c r="RT302" s="43"/>
      <c r="RU302" s="43"/>
      <c r="RV302" s="43"/>
      <c r="RW302" s="43"/>
      <c r="RX302" s="43"/>
      <c r="RY302" s="43"/>
      <c r="RZ302" s="43"/>
      <c r="SA302" s="43"/>
      <c r="SB302" s="43"/>
      <c r="SC302" s="43"/>
      <c r="SD302" s="43"/>
      <c r="SE302" s="43"/>
      <c r="SF302" s="43"/>
      <c r="SG302" s="43"/>
      <c r="SH302" s="43"/>
      <c r="SI302" s="43"/>
      <c r="SJ302" s="43"/>
      <c r="SK302" s="43"/>
      <c r="SL302" s="43"/>
      <c r="SM302" s="43"/>
      <c r="SN302" s="43"/>
      <c r="SO302" s="43"/>
      <c r="SP302" s="43"/>
      <c r="SQ302" s="43"/>
      <c r="SR302" s="43"/>
      <c r="SS302" s="43"/>
      <c r="ST302" s="43"/>
      <c r="SU302" s="43"/>
      <c r="SV302" s="43"/>
      <c r="SW302" s="43"/>
      <c r="SX302" s="43"/>
      <c r="SY302" s="43"/>
      <c r="SZ302" s="43"/>
      <c r="TA302" s="43"/>
      <c r="TB302" s="43"/>
      <c r="TC302" s="43"/>
      <c r="TD302" s="43"/>
      <c r="TE302" s="43"/>
      <c r="TF302" s="43"/>
      <c r="TG302" s="43"/>
      <c r="TH302" s="43"/>
    </row>
    <row r="303" spans="1:528" s="41" customFormat="1" ht="14.1" customHeight="1">
      <c r="A303" s="43"/>
      <c r="B303" s="43"/>
      <c r="C303" s="43"/>
      <c r="D303" s="43"/>
      <c r="E303" s="43"/>
      <c r="F303" s="43"/>
      <c r="G303" s="43"/>
      <c r="H303" s="43"/>
      <c r="I303" s="43"/>
      <c r="J303" s="43"/>
      <c r="K303" s="43"/>
      <c r="L303" s="43"/>
      <c r="M303" s="43"/>
      <c r="N303" s="43"/>
      <c r="O303" s="43"/>
      <c r="P303" s="43"/>
      <c r="X303" s="253"/>
      <c r="Y303" s="253"/>
      <c r="Z303" s="253"/>
      <c r="AA303" s="253"/>
      <c r="AB303" s="253"/>
      <c r="AC303" s="253"/>
      <c r="AD303" s="253"/>
      <c r="AE303" s="253"/>
      <c r="AF303" s="253"/>
      <c r="AG303" s="253"/>
      <c r="AH303" s="253"/>
      <c r="AI303" s="253"/>
      <c r="AJ303" s="253"/>
      <c r="AK303" s="253"/>
      <c r="AL303" s="253"/>
      <c r="AM303" s="253"/>
      <c r="AN303" s="253"/>
      <c r="AO303" s="253"/>
      <c r="AP303" s="253"/>
      <c r="AQ303" s="253"/>
      <c r="AR303" s="253"/>
      <c r="AS303" s="253"/>
      <c r="AT303" s="253"/>
      <c r="AU303" s="253"/>
      <c r="AV303" s="253"/>
      <c r="AW303" s="253"/>
      <c r="AX303" s="253"/>
      <c r="AY303" s="253"/>
      <c r="AZ303" s="253"/>
      <c r="BA303" s="253"/>
      <c r="BB303" s="253"/>
      <c r="BC303" s="253"/>
      <c r="BD303" s="253"/>
      <c r="BE303" s="253"/>
      <c r="BF303" s="253"/>
      <c r="BG303" s="253"/>
      <c r="BH303" s="253"/>
      <c r="BI303" s="253"/>
      <c r="BJ303" s="253"/>
      <c r="BK303" s="253"/>
      <c r="BL303" s="253"/>
      <c r="BM303" s="253"/>
      <c r="BN303" s="253"/>
      <c r="BO303" s="253"/>
      <c r="BP303" s="253"/>
      <c r="BQ303" s="253"/>
      <c r="BR303" s="253"/>
      <c r="BS303" s="253"/>
      <c r="BT303" s="253"/>
      <c r="BU303" s="253"/>
      <c r="BV303" s="253"/>
      <c r="BW303" s="253"/>
      <c r="BX303" s="253"/>
      <c r="BY303" s="253"/>
      <c r="BZ303" s="253"/>
      <c r="CA303" s="253"/>
      <c r="CB303" s="253"/>
      <c r="CC303" s="253"/>
      <c r="CD303" s="253"/>
      <c r="CE303" s="253"/>
      <c r="CF303" s="253"/>
      <c r="CG303" s="253"/>
      <c r="CH303" s="253"/>
      <c r="CI303" s="253"/>
      <c r="CJ303" s="253"/>
      <c r="CK303" s="253"/>
      <c r="CL303" s="253"/>
      <c r="CM303" s="253"/>
      <c r="CN303" s="253"/>
      <c r="CO303" s="253"/>
      <c r="CP303" s="253"/>
      <c r="CQ303" s="253"/>
      <c r="CR303" s="253"/>
      <c r="CS303" s="253"/>
      <c r="CT303" s="253"/>
      <c r="CU303" s="253"/>
      <c r="CV303" s="253"/>
      <c r="CW303" s="253"/>
      <c r="CX303" s="253"/>
      <c r="CY303" s="253"/>
      <c r="CZ303" s="253"/>
      <c r="DA303" s="253"/>
      <c r="DB303" s="253"/>
      <c r="DC303" s="253"/>
      <c r="DD303" s="253"/>
      <c r="DE303" s="253"/>
      <c r="DF303" s="253"/>
      <c r="DG303" s="253"/>
      <c r="DH303" s="253"/>
      <c r="DI303" s="253"/>
      <c r="DJ303" s="253"/>
      <c r="DK303" s="253"/>
      <c r="DL303" s="253"/>
      <c r="DM303" s="253"/>
      <c r="DN303" s="253"/>
      <c r="DO303" s="253"/>
      <c r="DP303" s="253"/>
      <c r="DQ303" s="253"/>
      <c r="DR303" s="253"/>
      <c r="DS303" s="253"/>
      <c r="DT303" s="253"/>
      <c r="DU303" s="253"/>
      <c r="DV303" s="253"/>
      <c r="DW303" s="253"/>
      <c r="DX303" s="253"/>
      <c r="DY303" s="253"/>
      <c r="DZ303" s="253"/>
      <c r="EA303" s="253"/>
      <c r="EB303" s="253"/>
      <c r="EC303" s="253"/>
      <c r="ED303" s="253"/>
      <c r="EE303" s="253"/>
      <c r="EF303" s="253"/>
      <c r="EG303" s="253"/>
      <c r="EH303" s="253"/>
      <c r="EI303" s="253"/>
      <c r="EJ303" s="253"/>
      <c r="EK303" s="253"/>
      <c r="EL303" s="253"/>
      <c r="EM303" s="253"/>
      <c r="EN303" s="253"/>
      <c r="EO303" s="253"/>
      <c r="EP303" s="253"/>
      <c r="EQ303" s="253"/>
      <c r="ER303" s="253"/>
      <c r="ES303" s="253"/>
      <c r="ET303" s="253"/>
      <c r="EU303" s="253"/>
      <c r="EV303" s="253"/>
      <c r="EW303" s="253"/>
      <c r="EX303" s="253"/>
      <c r="EY303" s="253"/>
      <c r="EZ303" s="253"/>
      <c r="FA303" s="253"/>
      <c r="FB303" s="253"/>
      <c r="FC303" s="253"/>
      <c r="FD303" s="253"/>
      <c r="FE303" s="253"/>
      <c r="FF303" s="253"/>
      <c r="FG303" s="253"/>
      <c r="FH303" s="253"/>
      <c r="FI303" s="253"/>
      <c r="FJ303" s="253"/>
      <c r="FK303" s="253"/>
      <c r="FL303" s="253"/>
      <c r="FM303" s="253"/>
      <c r="FN303" s="253"/>
      <c r="FO303" s="253"/>
      <c r="FP303" s="253"/>
      <c r="FQ303" s="253"/>
      <c r="FR303" s="253"/>
      <c r="FS303" s="253"/>
      <c r="FT303" s="253"/>
      <c r="FU303" s="253"/>
      <c r="FV303" s="253"/>
      <c r="FW303" s="253"/>
      <c r="FX303" s="253"/>
      <c r="FY303" s="253"/>
      <c r="FZ303" s="253"/>
      <c r="GA303" s="253"/>
      <c r="GB303" s="253"/>
      <c r="GC303" s="253"/>
      <c r="GD303" s="253"/>
      <c r="GE303" s="253"/>
      <c r="GF303" s="253"/>
      <c r="GG303" s="253"/>
      <c r="GH303" s="253"/>
      <c r="GI303" s="253"/>
      <c r="GJ303" s="253"/>
      <c r="GK303" s="253"/>
      <c r="GL303" s="253"/>
      <c r="GM303" s="253"/>
      <c r="GN303" s="253"/>
      <c r="GO303" s="253"/>
      <c r="GP303" s="253"/>
      <c r="GQ303" s="253"/>
      <c r="GR303" s="253"/>
      <c r="GS303" s="253"/>
      <c r="GT303" s="253"/>
      <c r="GU303" s="253"/>
      <c r="GV303" s="253"/>
      <c r="GW303" s="253"/>
      <c r="GX303" s="253"/>
      <c r="GY303" s="253"/>
      <c r="GZ303" s="253"/>
      <c r="HA303" s="253"/>
      <c r="HB303" s="253"/>
      <c r="HC303" s="253"/>
      <c r="HD303" s="253"/>
      <c r="HE303" s="253"/>
      <c r="HF303" s="253"/>
      <c r="HG303" s="253"/>
      <c r="HH303" s="253"/>
      <c r="HI303" s="253"/>
      <c r="HJ303" s="253"/>
      <c r="HK303" s="253"/>
      <c r="HL303" s="253"/>
      <c r="HM303" s="253"/>
      <c r="HN303" s="253"/>
      <c r="HO303" s="253"/>
      <c r="HP303" s="253"/>
      <c r="HQ303" s="253"/>
      <c r="HR303" s="253"/>
      <c r="HS303" s="253"/>
      <c r="HT303" s="253"/>
      <c r="HU303" s="253"/>
      <c r="HV303" s="253"/>
      <c r="HW303" s="253"/>
      <c r="HX303" s="253"/>
      <c r="HY303" s="253"/>
      <c r="HZ303" s="253"/>
      <c r="IA303" s="253"/>
      <c r="IB303" s="253"/>
      <c r="IC303" s="253"/>
      <c r="ID303" s="253"/>
      <c r="IE303" s="253"/>
      <c r="IF303" s="253"/>
      <c r="IG303" s="253"/>
      <c r="IH303" s="253"/>
      <c r="II303" s="253"/>
      <c r="IJ303" s="253"/>
      <c r="IK303" s="253"/>
      <c r="IL303" s="253"/>
      <c r="IM303" s="253"/>
      <c r="IN303" s="253"/>
      <c r="IO303" s="253"/>
      <c r="IP303" s="253"/>
      <c r="IQ303" s="253"/>
      <c r="IR303" s="253"/>
      <c r="IS303" s="253"/>
      <c r="IT303" s="253"/>
      <c r="IU303" s="253"/>
      <c r="IV303" s="253"/>
      <c r="IW303" s="253"/>
      <c r="IX303" s="253"/>
      <c r="IY303" s="253"/>
      <c r="IZ303" s="253"/>
      <c r="JA303" s="253"/>
      <c r="JB303" s="253"/>
      <c r="JC303" s="253"/>
      <c r="JD303" s="253"/>
      <c r="JE303" s="253"/>
      <c r="JF303" s="253"/>
      <c r="JG303" s="253"/>
      <c r="JH303" s="253"/>
      <c r="JI303" s="253"/>
      <c r="JJ303" s="253"/>
      <c r="JK303" s="253"/>
      <c r="JL303" s="253"/>
      <c r="JM303" s="253"/>
      <c r="JN303" s="253"/>
      <c r="JO303" s="253"/>
      <c r="JP303" s="253"/>
      <c r="JQ303" s="253"/>
      <c r="JR303" s="253"/>
      <c r="JS303" s="253"/>
      <c r="JT303" s="253"/>
      <c r="JU303" s="253"/>
      <c r="JV303" s="253"/>
      <c r="JW303" s="253"/>
      <c r="JX303" s="253"/>
      <c r="JY303" s="253"/>
      <c r="JZ303" s="253"/>
      <c r="KA303" s="253"/>
      <c r="KB303" s="253"/>
      <c r="KC303" s="253"/>
      <c r="KD303" s="253"/>
      <c r="KE303" s="253"/>
      <c r="KF303" s="253"/>
      <c r="KG303" s="253"/>
      <c r="KH303" s="253"/>
      <c r="KI303" s="253"/>
      <c r="KJ303" s="253"/>
      <c r="KK303" s="253"/>
      <c r="KL303" s="253"/>
      <c r="KM303" s="253"/>
      <c r="KN303" s="253"/>
      <c r="KO303" s="253"/>
      <c r="KP303" s="253"/>
      <c r="KQ303" s="253"/>
      <c r="KR303" s="253"/>
      <c r="KS303" s="253"/>
      <c r="KT303" s="253"/>
      <c r="KU303" s="253"/>
      <c r="KV303" s="253"/>
      <c r="KW303" s="253"/>
      <c r="KX303" s="253"/>
      <c r="KY303" s="253"/>
      <c r="KZ303" s="253"/>
      <c r="LA303" s="253"/>
      <c r="LB303" s="253"/>
      <c r="LC303" s="253"/>
      <c r="LD303" s="253"/>
      <c r="LE303" s="253"/>
      <c r="LF303" s="1296"/>
      <c r="LG303" s="253"/>
      <c r="LH303" s="253"/>
      <c r="LI303" s="253"/>
      <c r="LJ303" s="253"/>
      <c r="LK303" s="1296"/>
      <c r="LL303" s="253"/>
      <c r="LM303" s="253"/>
      <c r="LN303" s="253"/>
      <c r="LO303" s="253"/>
      <c r="LP303" s="1296"/>
      <c r="LQ303" s="253"/>
      <c r="LR303" s="253"/>
      <c r="LS303" s="253"/>
      <c r="LT303" s="253"/>
      <c r="LU303" s="1296"/>
      <c r="LV303" s="1296"/>
      <c r="LW303" s="1296"/>
      <c r="LX303" s="1296"/>
      <c r="LY303" s="1296"/>
      <c r="LZ303" s="1296"/>
      <c r="MA303" s="1296"/>
      <c r="MB303" s="1296"/>
      <c r="MC303" s="1296"/>
      <c r="MD303" s="1296"/>
      <c r="ME303" s="1296"/>
      <c r="MF303" s="1296"/>
      <c r="MG303" s="1296"/>
      <c r="MH303" s="1296"/>
      <c r="MI303" s="1296"/>
      <c r="MJ303" s="1296"/>
      <c r="MK303" s="1296"/>
      <c r="ML303" s="1296"/>
      <c r="MM303" s="1296"/>
      <c r="MN303" s="1296"/>
      <c r="MO303" s="1296"/>
      <c r="MP303" s="1296"/>
      <c r="MQ303" s="253"/>
      <c r="MR303" s="253"/>
      <c r="MS303" s="253"/>
      <c r="MT303" s="253"/>
      <c r="MU303" s="253"/>
      <c r="MV303" s="253"/>
      <c r="MW303" s="1184"/>
      <c r="MX303" s="253"/>
      <c r="MY303" s="253"/>
      <c r="MZ303" s="253"/>
      <c r="NA303" s="253"/>
      <c r="NB303" s="253"/>
      <c r="NC303" s="253"/>
      <c r="ND303" s="253"/>
      <c r="NE303" s="253"/>
      <c r="NF303" s="253"/>
      <c r="NG303" s="253"/>
      <c r="NH303" s="253"/>
      <c r="NI303" s="253"/>
      <c r="NJ303" s="253"/>
      <c r="NK303" s="253"/>
      <c r="NL303" s="253"/>
      <c r="NM303" s="1184"/>
      <c r="NN303" s="1184"/>
      <c r="NO303" s="253"/>
      <c r="NP303" s="253"/>
      <c r="NQ303" s="253"/>
      <c r="NR303" s="253"/>
      <c r="NS303" s="253"/>
      <c r="NT303" s="253"/>
      <c r="NU303" s="253"/>
      <c r="NV303" s="253"/>
      <c r="NW303" s="253"/>
      <c r="NX303" s="253"/>
      <c r="NY303" s="253"/>
      <c r="NZ303" s="253"/>
      <c r="OA303" s="253"/>
      <c r="OB303" s="253"/>
      <c r="OC303" s="253"/>
      <c r="OD303" s="253"/>
      <c r="OE303" s="253"/>
      <c r="OF303" s="253"/>
      <c r="OG303" s="253"/>
      <c r="OH303" s="253"/>
      <c r="OI303" s="253"/>
      <c r="OJ303" s="253"/>
      <c r="OK303" s="253"/>
      <c r="OL303" s="253"/>
      <c r="OM303" s="253"/>
      <c r="ON303" s="253"/>
      <c r="OO303" s="253"/>
      <c r="OP303" s="253"/>
      <c r="OQ303" s="253"/>
      <c r="OR303" s="253"/>
      <c r="OS303" s="253"/>
      <c r="OT303" s="253"/>
      <c r="OU303" s="253"/>
      <c r="OV303" s="43"/>
      <c r="OW303" s="43"/>
      <c r="OX303" s="43"/>
      <c r="OY303" s="1794"/>
      <c r="OZ303" s="1799"/>
      <c r="PA303" s="43"/>
      <c r="PB303" s="43"/>
      <c r="PC303" s="43"/>
      <c r="PD303" s="43"/>
      <c r="PE303" s="43"/>
      <c r="PF303" s="43"/>
      <c r="PG303" s="43"/>
      <c r="PH303" s="43"/>
      <c r="PI303" s="43"/>
      <c r="PJ303" s="43"/>
      <c r="PK303" s="43"/>
      <c r="PL303" s="43"/>
      <c r="PM303" s="43"/>
      <c r="PN303" s="43"/>
      <c r="PO303" s="43"/>
      <c r="PP303" s="43"/>
      <c r="PQ303" s="43"/>
      <c r="PR303" s="43"/>
      <c r="PS303" s="43"/>
      <c r="PT303" s="43"/>
      <c r="PU303" s="43"/>
      <c r="PV303" s="43"/>
      <c r="PW303" s="43"/>
      <c r="PX303" s="43"/>
      <c r="PY303" s="43"/>
      <c r="PZ303" s="43"/>
      <c r="QA303" s="43"/>
      <c r="QB303" s="43"/>
      <c r="QC303" s="43"/>
      <c r="QD303" s="43"/>
      <c r="QE303" s="43"/>
      <c r="QF303" s="43"/>
      <c r="QG303" s="43"/>
      <c r="QH303" s="43"/>
      <c r="QI303" s="43"/>
      <c r="QJ303" s="43"/>
      <c r="QK303" s="43"/>
      <c r="QL303" s="43"/>
      <c r="QM303" s="43"/>
      <c r="QN303" s="43"/>
      <c r="QO303" s="43"/>
      <c r="QP303" s="43"/>
      <c r="QQ303" s="43"/>
      <c r="QR303" s="43"/>
      <c r="QS303" s="43"/>
      <c r="QT303" s="43"/>
      <c r="QU303" s="43"/>
      <c r="QV303" s="43"/>
      <c r="QW303" s="43"/>
      <c r="QX303" s="43"/>
      <c r="QY303" s="43"/>
      <c r="QZ303" s="43"/>
      <c r="RA303" s="43"/>
      <c r="RB303" s="43"/>
      <c r="RC303" s="43"/>
      <c r="RD303" s="43"/>
      <c r="RE303" s="43"/>
      <c r="RF303" s="43"/>
      <c r="RG303" s="43"/>
      <c r="RH303" s="43"/>
      <c r="RI303" s="43"/>
      <c r="RJ303" s="43"/>
      <c r="RK303" s="43"/>
      <c r="RL303" s="43"/>
      <c r="RM303" s="43"/>
      <c r="RN303" s="43"/>
      <c r="RO303" s="43"/>
      <c r="RP303" s="43"/>
      <c r="RQ303" s="43"/>
      <c r="RR303" s="43"/>
      <c r="RS303" s="43"/>
      <c r="RT303" s="43"/>
      <c r="RU303" s="43"/>
      <c r="RV303" s="43"/>
      <c r="RW303" s="43"/>
      <c r="RX303" s="43"/>
      <c r="RY303" s="43"/>
      <c r="RZ303" s="43"/>
      <c r="SA303" s="43"/>
      <c r="SB303" s="43"/>
      <c r="SC303" s="43"/>
      <c r="SD303" s="43"/>
      <c r="SE303" s="43"/>
      <c r="SF303" s="43"/>
      <c r="SG303" s="43"/>
      <c r="SH303" s="43"/>
      <c r="SI303" s="43"/>
      <c r="SJ303" s="43"/>
      <c r="SK303" s="43"/>
      <c r="SL303" s="43"/>
      <c r="SM303" s="43"/>
      <c r="SN303" s="43"/>
      <c r="SO303" s="43"/>
      <c r="SP303" s="43"/>
      <c r="SQ303" s="43"/>
      <c r="SR303" s="43"/>
      <c r="SS303" s="43"/>
      <c r="ST303" s="43"/>
      <c r="SU303" s="43"/>
      <c r="SV303" s="43"/>
      <c r="SW303" s="43"/>
      <c r="SX303" s="43"/>
      <c r="SY303" s="43"/>
      <c r="SZ303" s="43"/>
      <c r="TA303" s="43"/>
      <c r="TB303" s="43"/>
      <c r="TC303" s="43"/>
      <c r="TD303" s="43"/>
      <c r="TE303" s="43"/>
      <c r="TF303" s="43"/>
      <c r="TG303" s="43"/>
      <c r="TH303" s="43"/>
    </row>
    <row r="304" spans="1:528" ht="14.1" customHeight="1">
      <c r="A304" s="77"/>
      <c r="B304" s="77"/>
      <c r="C304" s="77"/>
      <c r="D304" s="77"/>
      <c r="E304" s="77"/>
      <c r="F304" s="77"/>
      <c r="G304" s="77"/>
      <c r="H304" s="77"/>
      <c r="I304" s="77"/>
      <c r="J304" s="77"/>
      <c r="K304" s="77"/>
      <c r="L304" s="77"/>
      <c r="M304" s="77"/>
      <c r="N304" s="77"/>
      <c r="O304" s="77"/>
      <c r="P304" s="77"/>
    </row>
    <row r="305" spans="1:528" ht="14.1" customHeight="1">
      <c r="A305" s="6"/>
      <c r="B305" s="77"/>
      <c r="C305" s="77"/>
      <c r="D305" s="77"/>
      <c r="E305" s="77"/>
      <c r="F305" s="77"/>
      <c r="G305" s="77"/>
      <c r="H305" s="77"/>
      <c r="I305" s="77"/>
      <c r="J305" s="77"/>
      <c r="K305" s="77"/>
      <c r="L305" s="77"/>
      <c r="M305" s="77"/>
      <c r="N305" s="77"/>
      <c r="O305" s="77"/>
      <c r="P305" s="77"/>
      <c r="OY305" s="1796"/>
    </row>
    <row r="306" spans="1:528" ht="14.1" customHeight="1">
      <c r="A306" s="77"/>
      <c r="B306" s="77"/>
      <c r="C306" s="77"/>
      <c r="D306" s="77"/>
      <c r="E306" s="77"/>
      <c r="F306" s="77"/>
      <c r="G306" s="77"/>
      <c r="H306" s="77"/>
      <c r="I306" s="77"/>
      <c r="J306" s="77"/>
      <c r="K306" s="77"/>
      <c r="L306" s="77"/>
      <c r="M306" s="77"/>
      <c r="N306" s="77"/>
      <c r="O306" s="77"/>
      <c r="P306" s="77"/>
      <c r="OY306" s="1796"/>
    </row>
    <row r="307" spans="1:528" ht="14.1" customHeight="1">
      <c r="A307" s="77"/>
      <c r="B307" s="77"/>
      <c r="C307" s="77"/>
      <c r="D307" s="77"/>
      <c r="E307" s="77"/>
      <c r="F307" s="77"/>
      <c r="G307" s="77"/>
      <c r="H307" s="77"/>
      <c r="I307" s="77"/>
      <c r="J307" s="77"/>
      <c r="K307" s="77"/>
      <c r="L307" s="77"/>
      <c r="M307" s="77"/>
      <c r="N307" s="77"/>
      <c r="O307" s="77"/>
      <c r="P307" s="77"/>
      <c r="OY307" s="1796"/>
    </row>
    <row r="308" spans="1:528" ht="14.1" customHeight="1">
      <c r="A308" s="77"/>
      <c r="B308" s="77"/>
      <c r="C308" s="77"/>
      <c r="D308" s="77"/>
      <c r="E308" s="77"/>
      <c r="F308" s="77"/>
      <c r="G308" s="77"/>
      <c r="H308" s="77"/>
      <c r="I308" s="77"/>
      <c r="J308" s="77"/>
      <c r="K308" s="77"/>
      <c r="L308" s="77"/>
      <c r="M308" s="77"/>
      <c r="N308" s="77"/>
      <c r="O308" s="77"/>
      <c r="P308" s="77"/>
      <c r="OY308" s="1796"/>
    </row>
    <row r="309" spans="1:528" ht="14.1" customHeight="1">
      <c r="A309" s="77"/>
      <c r="B309" s="77"/>
      <c r="C309" s="77"/>
      <c r="D309" s="77"/>
      <c r="E309" s="77"/>
      <c r="F309" s="77"/>
      <c r="G309" s="77"/>
      <c r="H309" s="77"/>
      <c r="I309" s="77"/>
      <c r="J309" s="77"/>
      <c r="K309" s="77"/>
      <c r="L309" s="77"/>
      <c r="M309" s="77"/>
      <c r="N309" s="77"/>
      <c r="O309" s="77"/>
      <c r="P309" s="77"/>
      <c r="OY309" s="1796"/>
    </row>
    <row r="310" spans="1:528" ht="14.1" customHeight="1">
      <c r="A310" s="77"/>
      <c r="B310" s="77"/>
      <c r="C310" s="77"/>
      <c r="D310" s="77"/>
      <c r="E310" s="77"/>
      <c r="F310" s="77"/>
      <c r="G310" s="77"/>
      <c r="H310" s="77"/>
      <c r="I310" s="77"/>
      <c r="J310" s="77"/>
      <c r="K310" s="77"/>
      <c r="L310" s="77"/>
      <c r="M310" s="77"/>
      <c r="N310" s="77"/>
      <c r="O310" s="77"/>
      <c r="P310" s="77"/>
    </row>
    <row r="311" spans="1:528" s="41" customFormat="1" ht="14.1" customHeight="1">
      <c r="A311" s="10"/>
      <c r="B311" s="43"/>
      <c r="C311" s="43"/>
      <c r="D311" s="43"/>
      <c r="E311" s="43"/>
      <c r="F311" s="43"/>
      <c r="G311" s="43"/>
      <c r="H311" s="43"/>
      <c r="I311" s="43"/>
      <c r="J311" s="43"/>
      <c r="K311" s="43"/>
      <c r="L311" s="43"/>
      <c r="M311" s="43"/>
      <c r="N311" s="43"/>
      <c r="O311" s="43"/>
      <c r="P311" s="43"/>
      <c r="X311" s="253"/>
      <c r="Y311" s="253"/>
      <c r="Z311" s="253"/>
      <c r="AA311" s="253"/>
      <c r="AB311" s="253"/>
      <c r="AC311" s="253"/>
      <c r="AD311" s="253"/>
      <c r="AE311" s="253"/>
      <c r="AF311" s="253"/>
      <c r="AG311" s="253"/>
      <c r="AH311" s="253"/>
      <c r="AI311" s="253"/>
      <c r="AJ311" s="253"/>
      <c r="AK311" s="253"/>
      <c r="AL311" s="253"/>
      <c r="AM311" s="253"/>
      <c r="AN311" s="253"/>
      <c r="AO311" s="253"/>
      <c r="AP311" s="253"/>
      <c r="AQ311" s="253"/>
      <c r="AR311" s="253"/>
      <c r="AS311" s="253"/>
      <c r="AT311" s="253"/>
      <c r="AU311" s="253"/>
      <c r="AV311" s="253"/>
      <c r="AW311" s="253"/>
      <c r="AX311" s="253"/>
      <c r="AY311" s="253"/>
      <c r="AZ311" s="253"/>
      <c r="BA311" s="253"/>
      <c r="BB311" s="253"/>
      <c r="BC311" s="253"/>
      <c r="BD311" s="253"/>
      <c r="BE311" s="253"/>
      <c r="BF311" s="253"/>
      <c r="BG311" s="253"/>
      <c r="BH311" s="253"/>
      <c r="BI311" s="253"/>
      <c r="BJ311" s="253"/>
      <c r="BK311" s="253"/>
      <c r="BL311" s="253"/>
      <c r="BM311" s="253"/>
      <c r="BN311" s="253"/>
      <c r="BO311" s="253"/>
      <c r="BP311" s="253"/>
      <c r="BQ311" s="253"/>
      <c r="BR311" s="253"/>
      <c r="BS311" s="253"/>
      <c r="BT311" s="253"/>
      <c r="BU311" s="253"/>
      <c r="BV311" s="253"/>
      <c r="BW311" s="253"/>
      <c r="BX311" s="253"/>
      <c r="BY311" s="253"/>
      <c r="BZ311" s="253"/>
      <c r="CA311" s="253"/>
      <c r="CB311" s="253"/>
      <c r="CC311" s="253"/>
      <c r="CD311" s="253"/>
      <c r="CE311" s="253"/>
      <c r="CF311" s="253"/>
      <c r="CG311" s="253"/>
      <c r="CH311" s="253"/>
      <c r="CI311" s="253"/>
      <c r="CJ311" s="253"/>
      <c r="CK311" s="253"/>
      <c r="CL311" s="253"/>
      <c r="CM311" s="253"/>
      <c r="CN311" s="253"/>
      <c r="CO311" s="253"/>
      <c r="CP311" s="253"/>
      <c r="CQ311" s="253"/>
      <c r="CR311" s="253"/>
      <c r="CS311" s="253"/>
      <c r="CT311" s="253"/>
      <c r="CU311" s="253"/>
      <c r="CV311" s="253"/>
      <c r="CW311" s="253"/>
      <c r="CX311" s="253"/>
      <c r="CY311" s="253"/>
      <c r="CZ311" s="253"/>
      <c r="DA311" s="253"/>
      <c r="DB311" s="253"/>
      <c r="DC311" s="253"/>
      <c r="DD311" s="253"/>
      <c r="DE311" s="253"/>
      <c r="DF311" s="253"/>
      <c r="DG311" s="253"/>
      <c r="DH311" s="253"/>
      <c r="DI311" s="253"/>
      <c r="DJ311" s="253"/>
      <c r="DK311" s="253"/>
      <c r="DL311" s="253"/>
      <c r="DM311" s="253"/>
      <c r="DN311" s="253"/>
      <c r="DO311" s="253"/>
      <c r="DP311" s="253"/>
      <c r="DQ311" s="253"/>
      <c r="DR311" s="253"/>
      <c r="DS311" s="253"/>
      <c r="DT311" s="253"/>
      <c r="DU311" s="253"/>
      <c r="DV311" s="253"/>
      <c r="DW311" s="253"/>
      <c r="DX311" s="253"/>
      <c r="DY311" s="253"/>
      <c r="DZ311" s="253"/>
      <c r="EA311" s="253"/>
      <c r="EB311" s="253"/>
      <c r="EC311" s="253"/>
      <c r="ED311" s="253"/>
      <c r="EE311" s="253"/>
      <c r="EF311" s="253"/>
      <c r="EG311" s="253"/>
      <c r="EH311" s="253"/>
      <c r="EI311" s="253"/>
      <c r="EJ311" s="253"/>
      <c r="EK311" s="253"/>
      <c r="EL311" s="253"/>
      <c r="EM311" s="253"/>
      <c r="EN311" s="253"/>
      <c r="EO311" s="253"/>
      <c r="EP311" s="253"/>
      <c r="EQ311" s="253"/>
      <c r="ER311" s="253"/>
      <c r="ES311" s="253"/>
      <c r="ET311" s="253"/>
      <c r="EU311" s="253"/>
      <c r="EV311" s="253"/>
      <c r="EW311" s="253"/>
      <c r="EX311" s="253"/>
      <c r="EY311" s="253"/>
      <c r="EZ311" s="253"/>
      <c r="FA311" s="253"/>
      <c r="FB311" s="253"/>
      <c r="FC311" s="253"/>
      <c r="FD311" s="253"/>
      <c r="FE311" s="253"/>
      <c r="FF311" s="253"/>
      <c r="FG311" s="253"/>
      <c r="FH311" s="253"/>
      <c r="FI311" s="253"/>
      <c r="FJ311" s="253"/>
      <c r="FK311" s="253"/>
      <c r="FL311" s="253"/>
      <c r="FM311" s="253"/>
      <c r="FN311" s="253"/>
      <c r="FO311" s="253"/>
      <c r="FP311" s="253"/>
      <c r="FQ311" s="253"/>
      <c r="FR311" s="253"/>
      <c r="FS311" s="253"/>
      <c r="FT311" s="253"/>
      <c r="FU311" s="253"/>
      <c r="FV311" s="253"/>
      <c r="FW311" s="253"/>
      <c r="FX311" s="253"/>
      <c r="FY311" s="253"/>
      <c r="FZ311" s="253"/>
      <c r="GA311" s="253"/>
      <c r="GB311" s="253"/>
      <c r="GC311" s="253"/>
      <c r="GD311" s="253"/>
      <c r="GE311" s="253"/>
      <c r="GF311" s="253"/>
      <c r="GG311" s="253"/>
      <c r="GH311" s="253"/>
      <c r="GI311" s="253"/>
      <c r="GJ311" s="253"/>
      <c r="GK311" s="253"/>
      <c r="GL311" s="253"/>
      <c r="GM311" s="253"/>
      <c r="GN311" s="253"/>
      <c r="GO311" s="253"/>
      <c r="GP311" s="253"/>
      <c r="GQ311" s="253"/>
      <c r="GR311" s="253"/>
      <c r="GS311" s="253"/>
      <c r="GT311" s="253"/>
      <c r="GU311" s="253"/>
      <c r="GV311" s="253"/>
      <c r="GW311" s="253"/>
      <c r="GX311" s="253"/>
      <c r="GY311" s="253"/>
      <c r="GZ311" s="253"/>
      <c r="HA311" s="253"/>
      <c r="HB311" s="253"/>
      <c r="HC311" s="253"/>
      <c r="HD311" s="253"/>
      <c r="HE311" s="253"/>
      <c r="HF311" s="253"/>
      <c r="HG311" s="253"/>
      <c r="HH311" s="253"/>
      <c r="HI311" s="253"/>
      <c r="HJ311" s="253"/>
      <c r="HK311" s="253"/>
      <c r="HL311" s="253"/>
      <c r="HM311" s="253"/>
      <c r="HN311" s="253"/>
      <c r="HO311" s="253"/>
      <c r="HP311" s="253"/>
      <c r="HQ311" s="253"/>
      <c r="HR311" s="253"/>
      <c r="HS311" s="253"/>
      <c r="HT311" s="253"/>
      <c r="HU311" s="253"/>
      <c r="HV311" s="253"/>
      <c r="HW311" s="253"/>
      <c r="HX311" s="253"/>
      <c r="HY311" s="253"/>
      <c r="HZ311" s="253"/>
      <c r="IA311" s="253"/>
      <c r="IB311" s="253"/>
      <c r="IC311" s="253"/>
      <c r="ID311" s="253"/>
      <c r="IE311" s="253"/>
      <c r="IF311" s="253"/>
      <c r="IG311" s="253"/>
      <c r="IH311" s="253"/>
      <c r="II311" s="253"/>
      <c r="IJ311" s="253"/>
      <c r="IK311" s="253"/>
      <c r="IL311" s="253"/>
      <c r="IM311" s="253"/>
      <c r="IN311" s="253"/>
      <c r="IO311" s="253"/>
      <c r="IP311" s="253"/>
      <c r="IQ311" s="253"/>
      <c r="IR311" s="253"/>
      <c r="IS311" s="253"/>
      <c r="IT311" s="253"/>
      <c r="IU311" s="253"/>
      <c r="IV311" s="253"/>
      <c r="IW311" s="253"/>
      <c r="IX311" s="253"/>
      <c r="IY311" s="253"/>
      <c r="IZ311" s="253"/>
      <c r="JA311" s="253"/>
      <c r="JB311" s="253"/>
      <c r="JC311" s="253"/>
      <c r="JD311" s="253"/>
      <c r="JE311" s="253"/>
      <c r="JF311" s="253"/>
      <c r="JG311" s="253"/>
      <c r="JH311" s="253"/>
      <c r="JI311" s="253"/>
      <c r="JJ311" s="253"/>
      <c r="JK311" s="253"/>
      <c r="JL311" s="253"/>
      <c r="JM311" s="253"/>
      <c r="JN311" s="253"/>
      <c r="JO311" s="253"/>
      <c r="JP311" s="253"/>
      <c r="JQ311" s="253"/>
      <c r="JR311" s="253"/>
      <c r="JS311" s="253"/>
      <c r="JT311" s="253"/>
      <c r="JU311" s="253"/>
      <c r="JV311" s="253"/>
      <c r="JW311" s="253"/>
      <c r="JX311" s="253"/>
      <c r="JY311" s="253"/>
      <c r="JZ311" s="253"/>
      <c r="KA311" s="253"/>
      <c r="KB311" s="253"/>
      <c r="KC311" s="253"/>
      <c r="KD311" s="253"/>
      <c r="KE311" s="253"/>
      <c r="KF311" s="253"/>
      <c r="KG311" s="253"/>
      <c r="KH311" s="253"/>
      <c r="KI311" s="253"/>
      <c r="KJ311" s="253"/>
      <c r="KK311" s="253"/>
      <c r="KL311" s="253"/>
      <c r="KM311" s="253"/>
      <c r="KN311" s="253"/>
      <c r="KO311" s="253"/>
      <c r="KP311" s="253"/>
      <c r="KQ311" s="253"/>
      <c r="KR311" s="253"/>
      <c r="KS311" s="253"/>
      <c r="KT311" s="253"/>
      <c r="KU311" s="253"/>
      <c r="KV311" s="253"/>
      <c r="KW311" s="253"/>
      <c r="KX311" s="253"/>
      <c r="KY311" s="253"/>
      <c r="KZ311" s="253"/>
      <c r="LA311" s="253"/>
      <c r="LB311" s="253"/>
      <c r="LC311" s="253"/>
      <c r="LD311" s="253"/>
      <c r="LE311" s="253"/>
      <c r="LF311" s="1296"/>
      <c r="LG311" s="253"/>
      <c r="LH311" s="253"/>
      <c r="LI311" s="253"/>
      <c r="LJ311" s="253"/>
      <c r="LK311" s="1296"/>
      <c r="LL311" s="253"/>
      <c r="LM311" s="253"/>
      <c r="LN311" s="253"/>
      <c r="LO311" s="253"/>
      <c r="LP311" s="1296"/>
      <c r="LQ311" s="253"/>
      <c r="LR311" s="253"/>
      <c r="LS311" s="253"/>
      <c r="LT311" s="253"/>
      <c r="LU311" s="1296"/>
      <c r="LV311" s="1296"/>
      <c r="LW311" s="1296"/>
      <c r="LX311" s="1296"/>
      <c r="LY311" s="1296"/>
      <c r="LZ311" s="1296"/>
      <c r="MA311" s="1296"/>
      <c r="MB311" s="1296"/>
      <c r="MC311" s="1296"/>
      <c r="MD311" s="1296"/>
      <c r="ME311" s="1296"/>
      <c r="MF311" s="1296"/>
      <c r="MG311" s="1296"/>
      <c r="MH311" s="1296"/>
      <c r="MI311" s="1296"/>
      <c r="MJ311" s="1296"/>
      <c r="MK311" s="1296"/>
      <c r="ML311" s="1296"/>
      <c r="MM311" s="1296"/>
      <c r="MN311" s="1296"/>
      <c r="MO311" s="1296"/>
      <c r="MP311" s="1296"/>
      <c r="MQ311" s="253"/>
      <c r="MR311" s="253"/>
      <c r="MS311" s="253"/>
      <c r="MT311" s="253"/>
      <c r="MU311" s="253"/>
      <c r="MV311" s="253"/>
      <c r="MW311" s="1184"/>
      <c r="MX311" s="253"/>
      <c r="MY311" s="253"/>
      <c r="MZ311" s="253"/>
      <c r="NA311" s="253"/>
      <c r="NB311" s="253"/>
      <c r="NC311" s="253"/>
      <c r="ND311" s="253"/>
      <c r="NE311" s="253"/>
      <c r="NF311" s="253"/>
      <c r="NG311" s="253"/>
      <c r="NH311" s="253"/>
      <c r="NI311" s="253"/>
      <c r="NJ311" s="253"/>
      <c r="NK311" s="253"/>
      <c r="NL311" s="253"/>
      <c r="NM311" s="1184"/>
      <c r="NN311" s="1184"/>
      <c r="NO311" s="253"/>
      <c r="NP311" s="253"/>
      <c r="NQ311" s="253"/>
      <c r="NR311" s="253"/>
      <c r="NS311" s="253"/>
      <c r="NT311" s="253"/>
      <c r="NU311" s="253"/>
      <c r="NV311" s="253"/>
      <c r="NW311" s="253"/>
      <c r="NX311" s="253"/>
      <c r="NY311" s="253"/>
      <c r="NZ311" s="253"/>
      <c r="OA311" s="253"/>
      <c r="OB311" s="253"/>
      <c r="OC311" s="253"/>
      <c r="OD311" s="253"/>
      <c r="OE311" s="253"/>
      <c r="OF311" s="253"/>
      <c r="OG311" s="253"/>
      <c r="OH311" s="253"/>
      <c r="OI311" s="253"/>
      <c r="OJ311" s="253"/>
      <c r="OK311" s="253"/>
      <c r="OL311" s="253"/>
      <c r="OM311" s="253"/>
      <c r="ON311" s="253"/>
      <c r="OO311" s="253"/>
      <c r="OP311" s="253"/>
      <c r="OQ311" s="253"/>
      <c r="OR311" s="253"/>
      <c r="OS311" s="253"/>
      <c r="OT311" s="253"/>
      <c r="OU311" s="253"/>
      <c r="OV311" s="43"/>
      <c r="OW311" s="43"/>
      <c r="OX311" s="43"/>
      <c r="OY311" s="1794"/>
      <c r="OZ311" s="1799"/>
      <c r="PA311" s="43"/>
      <c r="PB311" s="43"/>
      <c r="PC311" s="43"/>
      <c r="PD311" s="43"/>
      <c r="PE311" s="43"/>
      <c r="PF311" s="43"/>
      <c r="PG311" s="43"/>
      <c r="PH311" s="43"/>
      <c r="PI311" s="43"/>
      <c r="PJ311" s="43"/>
      <c r="PK311" s="43"/>
      <c r="PL311" s="43"/>
      <c r="PM311" s="43"/>
      <c r="PN311" s="43"/>
      <c r="PO311" s="43"/>
      <c r="PP311" s="43"/>
      <c r="PQ311" s="43"/>
      <c r="PR311" s="43"/>
      <c r="PS311" s="43"/>
      <c r="PT311" s="43"/>
      <c r="PU311" s="43"/>
      <c r="PV311" s="43"/>
      <c r="PW311" s="43"/>
      <c r="PX311" s="43"/>
      <c r="PY311" s="43"/>
      <c r="PZ311" s="43"/>
      <c r="QA311" s="43"/>
      <c r="QB311" s="43"/>
      <c r="QC311" s="43"/>
      <c r="QD311" s="43"/>
      <c r="QE311" s="43"/>
      <c r="QF311" s="43"/>
      <c r="QG311" s="43"/>
      <c r="QH311" s="43"/>
      <c r="QI311" s="43"/>
      <c r="QJ311" s="43"/>
      <c r="QK311" s="43"/>
      <c r="QL311" s="43"/>
      <c r="QM311" s="43"/>
      <c r="QN311" s="43"/>
      <c r="QO311" s="43"/>
      <c r="QP311" s="43"/>
      <c r="QQ311" s="43"/>
      <c r="QR311" s="43"/>
      <c r="QS311" s="43"/>
      <c r="QT311" s="43"/>
      <c r="QU311" s="43"/>
      <c r="QV311" s="43"/>
      <c r="QW311" s="43"/>
      <c r="QX311" s="43"/>
      <c r="QY311" s="43"/>
      <c r="QZ311" s="43"/>
      <c r="RA311" s="43"/>
      <c r="RB311" s="43"/>
      <c r="RC311" s="43"/>
      <c r="RD311" s="43"/>
      <c r="RE311" s="43"/>
      <c r="RF311" s="43"/>
      <c r="RG311" s="43"/>
      <c r="RH311" s="43"/>
      <c r="RI311" s="43"/>
      <c r="RJ311" s="43"/>
      <c r="RK311" s="43"/>
      <c r="RL311" s="43"/>
      <c r="RM311" s="43"/>
      <c r="RN311" s="43"/>
      <c r="RO311" s="43"/>
      <c r="RP311" s="43"/>
      <c r="RQ311" s="43"/>
      <c r="RR311" s="43"/>
      <c r="RS311" s="43"/>
      <c r="RT311" s="43"/>
      <c r="RU311" s="43"/>
      <c r="RV311" s="43"/>
      <c r="RW311" s="43"/>
      <c r="RX311" s="43"/>
      <c r="RY311" s="43"/>
      <c r="RZ311" s="43"/>
      <c r="SA311" s="43"/>
      <c r="SB311" s="43"/>
      <c r="SC311" s="43"/>
      <c r="SD311" s="43"/>
      <c r="SE311" s="43"/>
      <c r="SF311" s="43"/>
      <c r="SG311" s="43"/>
      <c r="SH311" s="43"/>
      <c r="SI311" s="43"/>
      <c r="SJ311" s="43"/>
      <c r="SK311" s="43"/>
      <c r="SL311" s="43"/>
      <c r="SM311" s="43"/>
      <c r="SN311" s="43"/>
      <c r="SO311" s="43"/>
      <c r="SP311" s="43"/>
      <c r="SQ311" s="43"/>
      <c r="SR311" s="43"/>
      <c r="SS311" s="43"/>
      <c r="ST311" s="43"/>
      <c r="SU311" s="43"/>
      <c r="SV311" s="43"/>
      <c r="SW311" s="43"/>
      <c r="SX311" s="43"/>
      <c r="SY311" s="43"/>
      <c r="SZ311" s="43"/>
      <c r="TA311" s="43"/>
      <c r="TB311" s="43"/>
      <c r="TC311" s="43"/>
      <c r="TD311" s="43"/>
      <c r="TE311" s="43"/>
      <c r="TF311" s="43"/>
      <c r="TG311" s="43"/>
      <c r="TH311" s="43"/>
    </row>
    <row r="312" spans="1:528" s="41" customFormat="1" ht="14.1" customHeight="1">
      <c r="A312" s="10"/>
      <c r="B312" s="43"/>
      <c r="C312" s="43"/>
      <c r="D312" s="43"/>
      <c r="E312" s="43"/>
      <c r="F312" s="43"/>
      <c r="G312" s="43"/>
      <c r="H312" s="43"/>
      <c r="I312" s="43"/>
      <c r="J312" s="43"/>
      <c r="K312" s="43"/>
      <c r="L312" s="43"/>
      <c r="M312" s="43"/>
      <c r="N312" s="43"/>
      <c r="O312" s="43"/>
      <c r="P312" s="43"/>
      <c r="X312" s="253"/>
      <c r="Y312" s="253"/>
      <c r="Z312" s="253"/>
      <c r="AA312" s="253"/>
      <c r="AB312" s="253"/>
      <c r="AC312" s="253"/>
      <c r="AD312" s="253"/>
      <c r="AE312" s="253"/>
      <c r="AF312" s="253"/>
      <c r="AG312" s="253"/>
      <c r="AH312" s="253"/>
      <c r="AI312" s="253"/>
      <c r="AJ312" s="253"/>
      <c r="AK312" s="253"/>
      <c r="AL312" s="253"/>
      <c r="AM312" s="253"/>
      <c r="AN312" s="253"/>
      <c r="AO312" s="253"/>
      <c r="AP312" s="253"/>
      <c r="AQ312" s="253"/>
      <c r="AR312" s="253"/>
      <c r="AS312" s="253"/>
      <c r="AT312" s="253"/>
      <c r="AU312" s="253"/>
      <c r="AV312" s="253"/>
      <c r="AW312" s="253"/>
      <c r="AX312" s="253"/>
      <c r="AY312" s="253"/>
      <c r="AZ312" s="253"/>
      <c r="BA312" s="253"/>
      <c r="BB312" s="253"/>
      <c r="BC312" s="253"/>
      <c r="BD312" s="253"/>
      <c r="BE312" s="253"/>
      <c r="BF312" s="253"/>
      <c r="BG312" s="253"/>
      <c r="BH312" s="253"/>
      <c r="BI312" s="253"/>
      <c r="BJ312" s="253"/>
      <c r="BK312" s="253"/>
      <c r="BL312" s="253"/>
      <c r="BM312" s="253"/>
      <c r="BN312" s="253"/>
      <c r="BO312" s="253"/>
      <c r="BP312" s="253"/>
      <c r="BQ312" s="253"/>
      <c r="BR312" s="253"/>
      <c r="BS312" s="253"/>
      <c r="BT312" s="253"/>
      <c r="BU312" s="253"/>
      <c r="BV312" s="253"/>
      <c r="BW312" s="253"/>
      <c r="BX312" s="253"/>
      <c r="BY312" s="253"/>
      <c r="BZ312" s="253"/>
      <c r="CA312" s="253"/>
      <c r="CB312" s="253"/>
      <c r="CC312" s="253"/>
      <c r="CD312" s="253"/>
      <c r="CE312" s="253"/>
      <c r="CF312" s="253"/>
      <c r="CG312" s="253"/>
      <c r="CH312" s="253"/>
      <c r="CI312" s="253"/>
      <c r="CJ312" s="253"/>
      <c r="CK312" s="253"/>
      <c r="CL312" s="253"/>
      <c r="CM312" s="253"/>
      <c r="CN312" s="253"/>
      <c r="CO312" s="253"/>
      <c r="CP312" s="253"/>
      <c r="CQ312" s="253"/>
      <c r="CR312" s="253"/>
      <c r="CS312" s="253"/>
      <c r="CT312" s="253"/>
      <c r="CU312" s="253"/>
      <c r="CV312" s="253"/>
      <c r="CW312" s="253"/>
      <c r="CX312" s="253"/>
      <c r="CY312" s="253"/>
      <c r="CZ312" s="253"/>
      <c r="DA312" s="253"/>
      <c r="DB312" s="253"/>
      <c r="DC312" s="253"/>
      <c r="DD312" s="253"/>
      <c r="DE312" s="253"/>
      <c r="DF312" s="253"/>
      <c r="DG312" s="253"/>
      <c r="DH312" s="253"/>
      <c r="DI312" s="253"/>
      <c r="DJ312" s="253"/>
      <c r="DK312" s="253"/>
      <c r="DL312" s="253"/>
      <c r="DM312" s="253"/>
      <c r="DN312" s="253"/>
      <c r="DO312" s="253"/>
      <c r="DP312" s="253"/>
      <c r="DQ312" s="253"/>
      <c r="DR312" s="253"/>
      <c r="DS312" s="253"/>
      <c r="DT312" s="253"/>
      <c r="DU312" s="253"/>
      <c r="DV312" s="253"/>
      <c r="DW312" s="253"/>
      <c r="DX312" s="253"/>
      <c r="DY312" s="253"/>
      <c r="DZ312" s="253"/>
      <c r="EA312" s="253"/>
      <c r="EB312" s="253"/>
      <c r="EC312" s="253"/>
      <c r="ED312" s="253"/>
      <c r="EE312" s="253"/>
      <c r="EF312" s="253"/>
      <c r="EG312" s="253"/>
      <c r="EH312" s="253"/>
      <c r="EI312" s="253"/>
      <c r="EJ312" s="253"/>
      <c r="EK312" s="253"/>
      <c r="EL312" s="253"/>
      <c r="EM312" s="253"/>
      <c r="EN312" s="253"/>
      <c r="EO312" s="253"/>
      <c r="EP312" s="253"/>
      <c r="EQ312" s="253"/>
      <c r="ER312" s="253"/>
      <c r="ES312" s="253"/>
      <c r="ET312" s="253"/>
      <c r="EU312" s="253"/>
      <c r="EV312" s="253"/>
      <c r="EW312" s="253"/>
      <c r="EX312" s="253"/>
      <c r="EY312" s="253"/>
      <c r="EZ312" s="253"/>
      <c r="FA312" s="253"/>
      <c r="FB312" s="253"/>
      <c r="FC312" s="253"/>
      <c r="FD312" s="253"/>
      <c r="FE312" s="253"/>
      <c r="FF312" s="253"/>
      <c r="FG312" s="253"/>
      <c r="FH312" s="253"/>
      <c r="FI312" s="253"/>
      <c r="FJ312" s="253"/>
      <c r="FK312" s="253"/>
      <c r="FL312" s="253"/>
      <c r="FM312" s="253"/>
      <c r="FN312" s="253"/>
      <c r="FO312" s="253"/>
      <c r="FP312" s="253"/>
      <c r="FQ312" s="253"/>
      <c r="FR312" s="253"/>
      <c r="FS312" s="253"/>
      <c r="FT312" s="253"/>
      <c r="FU312" s="253"/>
      <c r="FV312" s="253"/>
      <c r="FW312" s="253"/>
      <c r="FX312" s="253"/>
      <c r="FY312" s="253"/>
      <c r="FZ312" s="253"/>
      <c r="GA312" s="253"/>
      <c r="GB312" s="253"/>
      <c r="GC312" s="253"/>
      <c r="GD312" s="253"/>
      <c r="GE312" s="253"/>
      <c r="GF312" s="253"/>
      <c r="GG312" s="253"/>
      <c r="GH312" s="253"/>
      <c r="GI312" s="253"/>
      <c r="GJ312" s="253"/>
      <c r="GK312" s="253"/>
      <c r="GL312" s="253"/>
      <c r="GM312" s="253"/>
      <c r="GN312" s="253"/>
      <c r="GO312" s="253"/>
      <c r="GP312" s="253"/>
      <c r="GQ312" s="253"/>
      <c r="GR312" s="253"/>
      <c r="GS312" s="253"/>
      <c r="GT312" s="253"/>
      <c r="GU312" s="253"/>
      <c r="GV312" s="253"/>
      <c r="GW312" s="253"/>
      <c r="GX312" s="253"/>
      <c r="GY312" s="253"/>
      <c r="GZ312" s="253"/>
      <c r="HA312" s="253"/>
      <c r="HB312" s="253"/>
      <c r="HC312" s="253"/>
      <c r="HD312" s="253"/>
      <c r="HE312" s="253"/>
      <c r="HF312" s="253"/>
      <c r="HG312" s="253"/>
      <c r="HH312" s="253"/>
      <c r="HI312" s="253"/>
      <c r="HJ312" s="253"/>
      <c r="HK312" s="253"/>
      <c r="HL312" s="253"/>
      <c r="HM312" s="253"/>
      <c r="HN312" s="253"/>
      <c r="HO312" s="253"/>
      <c r="HP312" s="253"/>
      <c r="HQ312" s="253"/>
      <c r="HR312" s="253"/>
      <c r="HS312" s="253"/>
      <c r="HT312" s="253"/>
      <c r="HU312" s="253"/>
      <c r="HV312" s="253"/>
      <c r="HW312" s="253"/>
      <c r="HX312" s="253"/>
      <c r="HY312" s="253"/>
      <c r="HZ312" s="253"/>
      <c r="IA312" s="253"/>
      <c r="IB312" s="253"/>
      <c r="IC312" s="253"/>
      <c r="ID312" s="253"/>
      <c r="IE312" s="253"/>
      <c r="IF312" s="253"/>
      <c r="IG312" s="253"/>
      <c r="IH312" s="253"/>
      <c r="II312" s="253"/>
      <c r="IJ312" s="253"/>
      <c r="IK312" s="253"/>
      <c r="IL312" s="253"/>
      <c r="IM312" s="253"/>
      <c r="IN312" s="253"/>
      <c r="IO312" s="253"/>
      <c r="IP312" s="253"/>
      <c r="IQ312" s="253"/>
      <c r="IR312" s="253"/>
      <c r="IS312" s="253"/>
      <c r="IT312" s="253"/>
      <c r="IU312" s="253"/>
      <c r="IV312" s="253"/>
      <c r="IW312" s="253"/>
      <c r="IX312" s="253"/>
      <c r="IY312" s="253"/>
      <c r="IZ312" s="253"/>
      <c r="JA312" s="253"/>
      <c r="JB312" s="253"/>
      <c r="JC312" s="253"/>
      <c r="JD312" s="253"/>
      <c r="JE312" s="253"/>
      <c r="JF312" s="253"/>
      <c r="JG312" s="253"/>
      <c r="JH312" s="253"/>
      <c r="JI312" s="253"/>
      <c r="JJ312" s="253"/>
      <c r="JK312" s="253"/>
      <c r="JL312" s="253"/>
      <c r="JM312" s="253"/>
      <c r="JN312" s="253"/>
      <c r="JO312" s="253"/>
      <c r="JP312" s="253"/>
      <c r="JQ312" s="253"/>
      <c r="JR312" s="253"/>
      <c r="JS312" s="253"/>
      <c r="JT312" s="253"/>
      <c r="JU312" s="253"/>
      <c r="JV312" s="253"/>
      <c r="JW312" s="253"/>
      <c r="JX312" s="253"/>
      <c r="JY312" s="253"/>
      <c r="JZ312" s="253"/>
      <c r="KA312" s="253"/>
      <c r="KB312" s="253"/>
      <c r="KC312" s="253"/>
      <c r="KD312" s="253"/>
      <c r="KE312" s="253"/>
      <c r="KF312" s="253"/>
      <c r="KG312" s="253"/>
      <c r="KH312" s="253"/>
      <c r="KI312" s="253"/>
      <c r="KJ312" s="253"/>
      <c r="KK312" s="253"/>
      <c r="KL312" s="253"/>
      <c r="KM312" s="253"/>
      <c r="KN312" s="253"/>
      <c r="KO312" s="253"/>
      <c r="KP312" s="253"/>
      <c r="KQ312" s="253"/>
      <c r="KR312" s="253"/>
      <c r="KS312" s="253"/>
      <c r="KT312" s="253"/>
      <c r="KU312" s="253"/>
      <c r="KV312" s="253"/>
      <c r="KW312" s="253"/>
      <c r="KX312" s="253"/>
      <c r="KY312" s="253"/>
      <c r="KZ312" s="253"/>
      <c r="LA312" s="253"/>
      <c r="LB312" s="253"/>
      <c r="LC312" s="253"/>
      <c r="LD312" s="253"/>
      <c r="LE312" s="253"/>
      <c r="LF312" s="1296"/>
      <c r="LG312" s="253"/>
      <c r="LH312" s="253"/>
      <c r="LI312" s="253"/>
      <c r="LJ312" s="253"/>
      <c r="LK312" s="1296"/>
      <c r="LL312" s="253"/>
      <c r="LM312" s="253"/>
      <c r="LN312" s="253"/>
      <c r="LO312" s="253"/>
      <c r="LP312" s="1296"/>
      <c r="LQ312" s="253"/>
      <c r="LR312" s="253"/>
      <c r="LS312" s="253"/>
      <c r="LT312" s="253"/>
      <c r="LU312" s="1296"/>
      <c r="LV312" s="1296"/>
      <c r="LW312" s="1296"/>
      <c r="LX312" s="1296"/>
      <c r="LY312" s="1296"/>
      <c r="LZ312" s="1296"/>
      <c r="MA312" s="1296"/>
      <c r="MB312" s="1296"/>
      <c r="MC312" s="1296"/>
      <c r="MD312" s="1296"/>
      <c r="ME312" s="1296"/>
      <c r="MF312" s="1296"/>
      <c r="MG312" s="1296"/>
      <c r="MH312" s="1296"/>
      <c r="MI312" s="1296"/>
      <c r="MJ312" s="1296"/>
      <c r="MK312" s="1296"/>
      <c r="ML312" s="1296"/>
      <c r="MM312" s="1296"/>
      <c r="MN312" s="1296"/>
      <c r="MO312" s="1296"/>
      <c r="MP312" s="1296"/>
      <c r="MQ312" s="253"/>
      <c r="MR312" s="253"/>
      <c r="MS312" s="253"/>
      <c r="MT312" s="253"/>
      <c r="MU312" s="253"/>
      <c r="MV312" s="253"/>
      <c r="MW312" s="1184"/>
      <c r="MX312" s="253"/>
      <c r="MY312" s="253"/>
      <c r="MZ312" s="253"/>
      <c r="NA312" s="253"/>
      <c r="NB312" s="253"/>
      <c r="NC312" s="253"/>
      <c r="ND312" s="253"/>
      <c r="NE312" s="253"/>
      <c r="NF312" s="253"/>
      <c r="NG312" s="253"/>
      <c r="NH312" s="253"/>
      <c r="NI312" s="253"/>
      <c r="NJ312" s="253"/>
      <c r="NK312" s="253"/>
      <c r="NL312" s="253"/>
      <c r="NM312" s="1184"/>
      <c r="NN312" s="1184"/>
      <c r="NO312" s="253"/>
      <c r="NP312" s="253"/>
      <c r="NQ312" s="253"/>
      <c r="NR312" s="253"/>
      <c r="NS312" s="253"/>
      <c r="NT312" s="253"/>
      <c r="NU312" s="253"/>
      <c r="NV312" s="253"/>
      <c r="NW312" s="253"/>
      <c r="NX312" s="253"/>
      <c r="NY312" s="253"/>
      <c r="NZ312" s="253"/>
      <c r="OA312" s="253"/>
      <c r="OB312" s="253"/>
      <c r="OC312" s="253"/>
      <c r="OD312" s="253"/>
      <c r="OE312" s="253"/>
      <c r="OF312" s="253"/>
      <c r="OG312" s="253"/>
      <c r="OH312" s="253"/>
      <c r="OI312" s="253"/>
      <c r="OJ312" s="253"/>
      <c r="OK312" s="253"/>
      <c r="OL312" s="253"/>
      <c r="OM312" s="253"/>
      <c r="ON312" s="253"/>
      <c r="OO312" s="253"/>
      <c r="OP312" s="253"/>
      <c r="OQ312" s="253"/>
      <c r="OR312" s="253"/>
      <c r="OS312" s="253"/>
      <c r="OT312" s="253"/>
      <c r="OU312" s="253"/>
      <c r="OV312" s="43"/>
      <c r="OW312" s="43"/>
      <c r="OX312" s="43"/>
      <c r="OY312" s="1794"/>
      <c r="OZ312" s="1799"/>
      <c r="PA312" s="43"/>
      <c r="PB312" s="43"/>
      <c r="PC312" s="43"/>
      <c r="PD312" s="43"/>
      <c r="PE312" s="43"/>
      <c r="PF312" s="43"/>
      <c r="PG312" s="43"/>
      <c r="PH312" s="43"/>
      <c r="PI312" s="43"/>
      <c r="PJ312" s="43"/>
      <c r="PK312" s="43"/>
      <c r="PL312" s="43"/>
      <c r="PM312" s="43"/>
      <c r="PN312" s="43"/>
      <c r="PO312" s="43"/>
      <c r="PP312" s="43"/>
      <c r="PQ312" s="43"/>
      <c r="PR312" s="43"/>
      <c r="PS312" s="43"/>
      <c r="PT312" s="43"/>
      <c r="PU312" s="43"/>
      <c r="PV312" s="43"/>
      <c r="PW312" s="43"/>
      <c r="PX312" s="43"/>
      <c r="PY312" s="43"/>
      <c r="PZ312" s="43"/>
      <c r="QA312" s="43"/>
      <c r="QB312" s="43"/>
      <c r="QC312" s="43"/>
      <c r="QD312" s="43"/>
      <c r="QE312" s="43"/>
      <c r="QF312" s="43"/>
      <c r="QG312" s="43"/>
      <c r="QH312" s="43"/>
      <c r="QI312" s="43"/>
      <c r="QJ312" s="43"/>
      <c r="QK312" s="43"/>
      <c r="QL312" s="43"/>
      <c r="QM312" s="43"/>
      <c r="QN312" s="43"/>
      <c r="QO312" s="43"/>
      <c r="QP312" s="43"/>
      <c r="QQ312" s="43"/>
      <c r="QR312" s="43"/>
      <c r="QS312" s="43"/>
      <c r="QT312" s="43"/>
      <c r="QU312" s="43"/>
      <c r="QV312" s="43"/>
      <c r="QW312" s="43"/>
      <c r="QX312" s="43"/>
      <c r="QY312" s="43"/>
      <c r="QZ312" s="43"/>
      <c r="RA312" s="43"/>
      <c r="RB312" s="43"/>
      <c r="RC312" s="43"/>
      <c r="RD312" s="43"/>
      <c r="RE312" s="43"/>
      <c r="RF312" s="43"/>
      <c r="RG312" s="43"/>
      <c r="RH312" s="43"/>
      <c r="RI312" s="43"/>
      <c r="RJ312" s="43"/>
      <c r="RK312" s="43"/>
      <c r="RL312" s="43"/>
      <c r="RM312" s="43"/>
      <c r="RN312" s="43"/>
      <c r="RO312" s="43"/>
      <c r="RP312" s="43"/>
      <c r="RQ312" s="43"/>
      <c r="RR312" s="43"/>
      <c r="RS312" s="43"/>
      <c r="RT312" s="43"/>
      <c r="RU312" s="43"/>
      <c r="RV312" s="43"/>
      <c r="RW312" s="43"/>
      <c r="RX312" s="43"/>
      <c r="RY312" s="43"/>
      <c r="RZ312" s="43"/>
      <c r="SA312" s="43"/>
      <c r="SB312" s="43"/>
      <c r="SC312" s="43"/>
      <c r="SD312" s="43"/>
      <c r="SE312" s="43"/>
      <c r="SF312" s="43"/>
      <c r="SG312" s="43"/>
      <c r="SH312" s="43"/>
      <c r="SI312" s="43"/>
      <c r="SJ312" s="43"/>
      <c r="SK312" s="43"/>
      <c r="SL312" s="43"/>
      <c r="SM312" s="43"/>
      <c r="SN312" s="43"/>
      <c r="SO312" s="43"/>
      <c r="SP312" s="43"/>
      <c r="SQ312" s="43"/>
      <c r="SR312" s="43"/>
      <c r="SS312" s="43"/>
      <c r="ST312" s="43"/>
      <c r="SU312" s="43"/>
      <c r="SV312" s="43"/>
      <c r="SW312" s="43"/>
      <c r="SX312" s="43"/>
      <c r="SY312" s="43"/>
      <c r="SZ312" s="43"/>
      <c r="TA312" s="43"/>
      <c r="TB312" s="43"/>
      <c r="TC312" s="43"/>
      <c r="TD312" s="43"/>
      <c r="TE312" s="43"/>
      <c r="TF312" s="43"/>
      <c r="TG312" s="43"/>
      <c r="TH312" s="43"/>
    </row>
    <row r="313" spans="1:528" s="41" customFormat="1" ht="14.1" customHeight="1">
      <c r="A313" s="2542"/>
      <c r="B313" s="43"/>
      <c r="C313" s="43"/>
      <c r="D313" s="43"/>
      <c r="E313" s="43"/>
      <c r="F313" s="43"/>
      <c r="G313" s="43"/>
      <c r="H313" s="43"/>
      <c r="I313" s="43"/>
      <c r="J313" s="43"/>
      <c r="K313" s="43"/>
      <c r="L313" s="43"/>
      <c r="M313" s="43"/>
      <c r="N313" s="43"/>
      <c r="O313" s="43"/>
      <c r="P313" s="43"/>
      <c r="X313" s="253"/>
      <c r="Y313" s="253"/>
      <c r="Z313" s="253"/>
      <c r="AA313" s="253"/>
      <c r="AB313" s="253"/>
      <c r="AC313" s="253"/>
      <c r="AD313" s="253"/>
      <c r="AE313" s="253"/>
      <c r="AF313" s="253"/>
      <c r="AG313" s="253"/>
      <c r="AH313" s="253"/>
      <c r="AI313" s="253"/>
      <c r="AJ313" s="253"/>
      <c r="AK313" s="253"/>
      <c r="AL313" s="253"/>
      <c r="AM313" s="253"/>
      <c r="AN313" s="253"/>
      <c r="AO313" s="253"/>
      <c r="AP313" s="253"/>
      <c r="AQ313" s="253"/>
      <c r="AR313" s="253"/>
      <c r="AS313" s="253"/>
      <c r="AT313" s="253"/>
      <c r="AU313" s="253"/>
      <c r="AV313" s="253"/>
      <c r="AW313" s="253"/>
      <c r="AX313" s="253"/>
      <c r="AY313" s="253"/>
      <c r="AZ313" s="253"/>
      <c r="BA313" s="253"/>
      <c r="BB313" s="253"/>
      <c r="BC313" s="253"/>
      <c r="BD313" s="253"/>
      <c r="BE313" s="253"/>
      <c r="BF313" s="253"/>
      <c r="BG313" s="253"/>
      <c r="BH313" s="253"/>
      <c r="BI313" s="253"/>
      <c r="BJ313" s="253"/>
      <c r="BK313" s="253"/>
      <c r="BL313" s="253"/>
      <c r="BM313" s="253"/>
      <c r="BN313" s="253"/>
      <c r="BO313" s="253"/>
      <c r="BP313" s="253"/>
      <c r="BQ313" s="253"/>
      <c r="BR313" s="253"/>
      <c r="BS313" s="253"/>
      <c r="BT313" s="253"/>
      <c r="BU313" s="253"/>
      <c r="BV313" s="253"/>
      <c r="BW313" s="253"/>
      <c r="BX313" s="253"/>
      <c r="BY313" s="253"/>
      <c r="BZ313" s="253"/>
      <c r="CA313" s="253"/>
      <c r="CB313" s="253"/>
      <c r="CC313" s="253"/>
      <c r="CD313" s="253"/>
      <c r="CE313" s="253"/>
      <c r="CF313" s="253"/>
      <c r="CG313" s="253"/>
      <c r="CH313" s="253"/>
      <c r="CI313" s="253"/>
      <c r="CJ313" s="253"/>
      <c r="CK313" s="253"/>
      <c r="CL313" s="253"/>
      <c r="CM313" s="253"/>
      <c r="CN313" s="253"/>
      <c r="CO313" s="253"/>
      <c r="CP313" s="253"/>
      <c r="CQ313" s="253"/>
      <c r="CR313" s="253"/>
      <c r="CS313" s="253"/>
      <c r="CT313" s="253"/>
      <c r="CU313" s="253"/>
      <c r="CV313" s="253"/>
      <c r="CW313" s="253"/>
      <c r="CX313" s="253"/>
      <c r="CY313" s="253"/>
      <c r="CZ313" s="253"/>
      <c r="DA313" s="253"/>
      <c r="DB313" s="253"/>
      <c r="DC313" s="253"/>
      <c r="DD313" s="253"/>
      <c r="DE313" s="253"/>
      <c r="DF313" s="253"/>
      <c r="DG313" s="253"/>
      <c r="DH313" s="253"/>
      <c r="DI313" s="253"/>
      <c r="DJ313" s="253"/>
      <c r="DK313" s="253"/>
      <c r="DL313" s="253"/>
      <c r="DM313" s="253"/>
      <c r="DN313" s="253"/>
      <c r="DO313" s="253"/>
      <c r="DP313" s="253"/>
      <c r="DQ313" s="253"/>
      <c r="DR313" s="253"/>
      <c r="DS313" s="253"/>
      <c r="DT313" s="253"/>
      <c r="DU313" s="253"/>
      <c r="DV313" s="253"/>
      <c r="DW313" s="253"/>
      <c r="DX313" s="253"/>
      <c r="DY313" s="253"/>
      <c r="DZ313" s="253"/>
      <c r="EA313" s="253"/>
      <c r="EB313" s="253"/>
      <c r="EC313" s="253"/>
      <c r="ED313" s="253"/>
      <c r="EE313" s="253"/>
      <c r="EF313" s="253"/>
      <c r="EG313" s="253"/>
      <c r="EH313" s="253"/>
      <c r="EI313" s="253"/>
      <c r="EJ313" s="253"/>
      <c r="EK313" s="253"/>
      <c r="EL313" s="253"/>
      <c r="EM313" s="253"/>
      <c r="EN313" s="253"/>
      <c r="EO313" s="253"/>
      <c r="EP313" s="253"/>
      <c r="EQ313" s="253"/>
      <c r="ER313" s="253"/>
      <c r="ES313" s="253"/>
      <c r="ET313" s="253"/>
      <c r="EU313" s="253"/>
      <c r="EV313" s="253"/>
      <c r="EW313" s="253"/>
      <c r="EX313" s="253"/>
      <c r="EY313" s="253"/>
      <c r="EZ313" s="253"/>
      <c r="FA313" s="253"/>
      <c r="FB313" s="253"/>
      <c r="FC313" s="253"/>
      <c r="FD313" s="253"/>
      <c r="FE313" s="253"/>
      <c r="FF313" s="253"/>
      <c r="FG313" s="253"/>
      <c r="FH313" s="253"/>
      <c r="FI313" s="253"/>
      <c r="FJ313" s="253"/>
      <c r="FK313" s="253"/>
      <c r="FL313" s="253"/>
      <c r="FM313" s="253"/>
      <c r="FN313" s="253"/>
      <c r="FO313" s="253"/>
      <c r="FP313" s="253"/>
      <c r="FQ313" s="253"/>
      <c r="FR313" s="253"/>
      <c r="FS313" s="253"/>
      <c r="FT313" s="253"/>
      <c r="FU313" s="253"/>
      <c r="FV313" s="253"/>
      <c r="FW313" s="253"/>
      <c r="FX313" s="253"/>
      <c r="FY313" s="253"/>
      <c r="FZ313" s="253"/>
      <c r="GA313" s="253"/>
      <c r="GB313" s="253"/>
      <c r="GC313" s="253"/>
      <c r="GD313" s="253"/>
      <c r="GE313" s="253"/>
      <c r="GF313" s="253"/>
      <c r="GG313" s="253"/>
      <c r="GH313" s="253"/>
      <c r="GI313" s="253"/>
      <c r="GJ313" s="253"/>
      <c r="GK313" s="253"/>
      <c r="GL313" s="253"/>
      <c r="GM313" s="253"/>
      <c r="GN313" s="253"/>
      <c r="GO313" s="253"/>
      <c r="GP313" s="253"/>
      <c r="GQ313" s="253"/>
      <c r="GR313" s="253"/>
      <c r="GS313" s="253"/>
      <c r="GT313" s="253"/>
      <c r="GU313" s="253"/>
      <c r="GV313" s="253"/>
      <c r="GW313" s="253"/>
      <c r="GX313" s="253"/>
      <c r="GY313" s="253"/>
      <c r="GZ313" s="253"/>
      <c r="HA313" s="253"/>
      <c r="HB313" s="253"/>
      <c r="HC313" s="253"/>
      <c r="HD313" s="253"/>
      <c r="HE313" s="253"/>
      <c r="HF313" s="253"/>
      <c r="HG313" s="253"/>
      <c r="HH313" s="253"/>
      <c r="HI313" s="253"/>
      <c r="HJ313" s="253"/>
      <c r="HK313" s="253"/>
      <c r="HL313" s="253"/>
      <c r="HM313" s="253"/>
      <c r="HN313" s="253"/>
      <c r="HO313" s="253"/>
      <c r="HP313" s="253"/>
      <c r="HQ313" s="253"/>
      <c r="HR313" s="253"/>
      <c r="HS313" s="253"/>
      <c r="HT313" s="253"/>
      <c r="HU313" s="253"/>
      <c r="HV313" s="253"/>
      <c r="HW313" s="253"/>
      <c r="HX313" s="253"/>
      <c r="HY313" s="253"/>
      <c r="HZ313" s="253"/>
      <c r="IA313" s="253"/>
      <c r="IB313" s="253"/>
      <c r="IC313" s="253"/>
      <c r="ID313" s="253"/>
      <c r="IE313" s="253"/>
      <c r="IF313" s="253"/>
      <c r="IG313" s="253"/>
      <c r="IH313" s="253"/>
      <c r="II313" s="253"/>
      <c r="IJ313" s="253"/>
      <c r="IK313" s="253"/>
      <c r="IL313" s="253"/>
      <c r="IM313" s="253"/>
      <c r="IN313" s="253"/>
      <c r="IO313" s="253"/>
      <c r="IP313" s="253"/>
      <c r="IQ313" s="253"/>
      <c r="IR313" s="253"/>
      <c r="IS313" s="253"/>
      <c r="IT313" s="253"/>
      <c r="IU313" s="253"/>
      <c r="IV313" s="253"/>
      <c r="IW313" s="253"/>
      <c r="IX313" s="253"/>
      <c r="IY313" s="253"/>
      <c r="IZ313" s="253"/>
      <c r="JA313" s="253"/>
      <c r="JB313" s="253"/>
      <c r="JC313" s="253"/>
      <c r="JD313" s="253"/>
      <c r="JE313" s="253"/>
      <c r="JF313" s="253"/>
      <c r="JG313" s="253"/>
      <c r="JH313" s="253"/>
      <c r="JI313" s="253"/>
      <c r="JJ313" s="253"/>
      <c r="JK313" s="253"/>
      <c r="JL313" s="253"/>
      <c r="JM313" s="253"/>
      <c r="JN313" s="253"/>
      <c r="JO313" s="253"/>
      <c r="JP313" s="253"/>
      <c r="JQ313" s="253"/>
      <c r="JR313" s="253"/>
      <c r="JS313" s="253"/>
      <c r="JT313" s="253"/>
      <c r="JU313" s="253"/>
      <c r="JV313" s="253"/>
      <c r="JW313" s="253"/>
      <c r="JX313" s="253"/>
      <c r="JY313" s="253"/>
      <c r="JZ313" s="253"/>
      <c r="KA313" s="253"/>
      <c r="KB313" s="253"/>
      <c r="KC313" s="253"/>
      <c r="KD313" s="253"/>
      <c r="KE313" s="253"/>
      <c r="KF313" s="253"/>
      <c r="KG313" s="253"/>
      <c r="KH313" s="253"/>
      <c r="KI313" s="253"/>
      <c r="KJ313" s="253"/>
      <c r="KK313" s="253"/>
      <c r="KL313" s="253"/>
      <c r="KM313" s="253"/>
      <c r="KN313" s="253"/>
      <c r="KO313" s="253"/>
      <c r="KP313" s="253"/>
      <c r="KQ313" s="253"/>
      <c r="KR313" s="253"/>
      <c r="KS313" s="253"/>
      <c r="KT313" s="253"/>
      <c r="KU313" s="253"/>
      <c r="KV313" s="253"/>
      <c r="KW313" s="253"/>
      <c r="KX313" s="253"/>
      <c r="KY313" s="253"/>
      <c r="KZ313" s="253"/>
      <c r="LA313" s="253"/>
      <c r="LB313" s="253"/>
      <c r="LC313" s="253"/>
      <c r="LD313" s="253"/>
      <c r="LE313" s="253"/>
      <c r="LF313" s="1296"/>
      <c r="LG313" s="253"/>
      <c r="LH313" s="253"/>
      <c r="LI313" s="253"/>
      <c r="LJ313" s="253"/>
      <c r="LK313" s="1296"/>
      <c r="LL313" s="253"/>
      <c r="LM313" s="253"/>
      <c r="LN313" s="253"/>
      <c r="LO313" s="253"/>
      <c r="LP313" s="1296"/>
      <c r="LQ313" s="253"/>
      <c r="LR313" s="253"/>
      <c r="LS313" s="253"/>
      <c r="LT313" s="253"/>
      <c r="LU313" s="1296"/>
      <c r="LV313" s="1296"/>
      <c r="LW313" s="1296"/>
      <c r="LX313" s="1296"/>
      <c r="LY313" s="1296"/>
      <c r="LZ313" s="1296"/>
      <c r="MA313" s="1296"/>
      <c r="MB313" s="1296"/>
      <c r="MC313" s="1296"/>
      <c r="MD313" s="1296"/>
      <c r="ME313" s="1296"/>
      <c r="MF313" s="1296"/>
      <c r="MG313" s="1296"/>
      <c r="MH313" s="1296"/>
      <c r="MI313" s="1296"/>
      <c r="MJ313" s="1296"/>
      <c r="MK313" s="1296"/>
      <c r="ML313" s="1296"/>
      <c r="MM313" s="1296"/>
      <c r="MN313" s="1296"/>
      <c r="MO313" s="1296"/>
      <c r="MP313" s="1296"/>
      <c r="MQ313" s="253"/>
      <c r="MR313" s="253"/>
      <c r="MS313" s="253"/>
      <c r="MT313" s="253"/>
      <c r="MU313" s="253"/>
      <c r="MV313" s="253"/>
      <c r="MW313" s="1184"/>
      <c r="MX313" s="253"/>
      <c r="MY313" s="253"/>
      <c r="MZ313" s="253"/>
      <c r="NA313" s="253"/>
      <c r="NB313" s="253"/>
      <c r="NC313" s="253"/>
      <c r="ND313" s="253"/>
      <c r="NE313" s="253"/>
      <c r="NF313" s="253"/>
      <c r="NG313" s="253"/>
      <c r="NH313" s="253"/>
      <c r="NI313" s="253"/>
      <c r="NJ313" s="253"/>
      <c r="NK313" s="253"/>
      <c r="NL313" s="253"/>
      <c r="NM313" s="1184"/>
      <c r="NN313" s="1184"/>
      <c r="NO313" s="253"/>
      <c r="NP313" s="253"/>
      <c r="NQ313" s="253"/>
      <c r="NR313" s="253"/>
      <c r="NS313" s="253"/>
      <c r="NT313" s="253"/>
      <c r="NU313" s="253"/>
      <c r="NV313" s="253"/>
      <c r="NW313" s="253"/>
      <c r="NX313" s="253"/>
      <c r="NY313" s="253"/>
      <c r="NZ313" s="253"/>
      <c r="OA313" s="253"/>
      <c r="OB313" s="253"/>
      <c r="OC313" s="253"/>
      <c r="OD313" s="253"/>
      <c r="OE313" s="253"/>
      <c r="OF313" s="253"/>
      <c r="OG313" s="253"/>
      <c r="OH313" s="253"/>
      <c r="OI313" s="253"/>
      <c r="OJ313" s="253"/>
      <c r="OK313" s="253"/>
      <c r="OL313" s="253"/>
      <c r="OM313" s="253"/>
      <c r="ON313" s="253"/>
      <c r="OO313" s="253"/>
      <c r="OP313" s="253"/>
      <c r="OQ313" s="253"/>
      <c r="OR313" s="253"/>
      <c r="OS313" s="253"/>
      <c r="OT313" s="253"/>
      <c r="OU313" s="253"/>
      <c r="OV313" s="43"/>
      <c r="OW313" s="43"/>
      <c r="OX313" s="43"/>
      <c r="OY313" s="1794"/>
      <c r="OZ313" s="1799"/>
      <c r="PA313" s="43"/>
      <c r="PB313" s="43"/>
      <c r="PC313" s="43"/>
      <c r="PD313" s="43"/>
      <c r="PE313" s="43"/>
      <c r="PF313" s="43"/>
      <c r="PG313" s="43"/>
      <c r="PH313" s="43"/>
      <c r="PI313" s="43"/>
      <c r="PJ313" s="43"/>
      <c r="PK313" s="43"/>
      <c r="PL313" s="43"/>
      <c r="PM313" s="43"/>
      <c r="PN313" s="43"/>
      <c r="PO313" s="43"/>
      <c r="PP313" s="43"/>
      <c r="PQ313" s="43"/>
      <c r="PR313" s="43"/>
      <c r="PS313" s="43"/>
      <c r="PT313" s="43"/>
      <c r="PU313" s="43"/>
      <c r="PV313" s="43"/>
      <c r="PW313" s="43"/>
      <c r="PX313" s="43"/>
      <c r="PY313" s="43"/>
      <c r="PZ313" s="43"/>
      <c r="QA313" s="43"/>
      <c r="QB313" s="43"/>
      <c r="QC313" s="43"/>
      <c r="QD313" s="43"/>
      <c r="QE313" s="43"/>
      <c r="QF313" s="43"/>
      <c r="QG313" s="43"/>
      <c r="QH313" s="43"/>
      <c r="QI313" s="43"/>
      <c r="QJ313" s="43"/>
      <c r="QK313" s="43"/>
      <c r="QL313" s="43"/>
      <c r="QM313" s="43"/>
      <c r="QN313" s="43"/>
      <c r="QO313" s="43"/>
      <c r="QP313" s="43"/>
      <c r="QQ313" s="43"/>
      <c r="QR313" s="43"/>
      <c r="QS313" s="43"/>
      <c r="QT313" s="43"/>
      <c r="QU313" s="43"/>
      <c r="QV313" s="43"/>
      <c r="QW313" s="43"/>
      <c r="QX313" s="43"/>
      <c r="QY313" s="43"/>
      <c r="QZ313" s="43"/>
      <c r="RA313" s="43"/>
      <c r="RB313" s="43"/>
      <c r="RC313" s="43"/>
      <c r="RD313" s="43"/>
      <c r="RE313" s="43"/>
      <c r="RF313" s="43"/>
      <c r="RG313" s="43"/>
      <c r="RH313" s="43"/>
      <c r="RI313" s="43"/>
      <c r="RJ313" s="43"/>
      <c r="RK313" s="43"/>
      <c r="RL313" s="43"/>
      <c r="RM313" s="43"/>
      <c r="RN313" s="43"/>
      <c r="RO313" s="43"/>
      <c r="RP313" s="43"/>
      <c r="RQ313" s="43"/>
      <c r="RR313" s="43"/>
      <c r="RS313" s="43"/>
      <c r="RT313" s="43"/>
      <c r="RU313" s="43"/>
      <c r="RV313" s="43"/>
      <c r="RW313" s="43"/>
      <c r="RX313" s="43"/>
      <c r="RY313" s="43"/>
      <c r="RZ313" s="43"/>
      <c r="SA313" s="43"/>
      <c r="SB313" s="43"/>
      <c r="SC313" s="43"/>
      <c r="SD313" s="43"/>
      <c r="SE313" s="43"/>
      <c r="SF313" s="43"/>
      <c r="SG313" s="43"/>
      <c r="SH313" s="43"/>
      <c r="SI313" s="43"/>
      <c r="SJ313" s="43"/>
      <c r="SK313" s="43"/>
      <c r="SL313" s="43"/>
      <c r="SM313" s="43"/>
      <c r="SN313" s="43"/>
      <c r="SO313" s="43"/>
      <c r="SP313" s="43"/>
      <c r="SQ313" s="43"/>
      <c r="SR313" s="43"/>
      <c r="SS313" s="43"/>
      <c r="ST313" s="43"/>
      <c r="SU313" s="43"/>
      <c r="SV313" s="43"/>
      <c r="SW313" s="43"/>
      <c r="SX313" s="43"/>
      <c r="SY313" s="43"/>
      <c r="SZ313" s="43"/>
      <c r="TA313" s="43"/>
      <c r="TB313" s="43"/>
      <c r="TC313" s="43"/>
      <c r="TD313" s="43"/>
      <c r="TE313" s="43"/>
      <c r="TF313" s="43"/>
      <c r="TG313" s="43"/>
      <c r="TH313" s="43"/>
    </row>
    <row r="314" spans="1:528" s="41" customFormat="1" ht="14.1" customHeight="1">
      <c r="A314" s="43"/>
      <c r="B314" s="43"/>
      <c r="C314" s="43"/>
      <c r="D314" s="43"/>
      <c r="E314" s="43"/>
      <c r="F314" s="43"/>
      <c r="G314" s="43"/>
      <c r="H314" s="43"/>
      <c r="I314" s="43"/>
      <c r="J314" s="43"/>
      <c r="K314" s="43"/>
      <c r="L314" s="43"/>
      <c r="M314" s="43"/>
      <c r="N314" s="43"/>
      <c r="O314" s="43"/>
      <c r="P314" s="43"/>
      <c r="X314" s="253"/>
      <c r="Y314" s="253"/>
      <c r="Z314" s="253"/>
      <c r="AA314" s="253"/>
      <c r="AB314" s="253"/>
      <c r="AC314" s="253"/>
      <c r="AD314" s="253"/>
      <c r="AE314" s="253"/>
      <c r="AF314" s="253"/>
      <c r="AG314" s="253"/>
      <c r="AH314" s="253"/>
      <c r="AI314" s="253"/>
      <c r="AJ314" s="253"/>
      <c r="AK314" s="253"/>
      <c r="AL314" s="253"/>
      <c r="AM314" s="253"/>
      <c r="AN314" s="253"/>
      <c r="AO314" s="253"/>
      <c r="AP314" s="253"/>
      <c r="AQ314" s="253"/>
      <c r="AR314" s="253"/>
      <c r="AS314" s="253"/>
      <c r="AT314" s="253"/>
      <c r="AU314" s="253"/>
      <c r="AV314" s="253"/>
      <c r="AW314" s="253"/>
      <c r="AX314" s="253"/>
      <c r="AY314" s="253"/>
      <c r="AZ314" s="253"/>
      <c r="BA314" s="253"/>
      <c r="BB314" s="253"/>
      <c r="BC314" s="253"/>
      <c r="BD314" s="253"/>
      <c r="BE314" s="253"/>
      <c r="BF314" s="253"/>
      <c r="BG314" s="253"/>
      <c r="BH314" s="253"/>
      <c r="BI314" s="253"/>
      <c r="BJ314" s="253"/>
      <c r="BK314" s="253"/>
      <c r="BL314" s="253"/>
      <c r="BM314" s="253"/>
      <c r="BN314" s="253"/>
      <c r="BO314" s="253"/>
      <c r="BP314" s="253"/>
      <c r="BQ314" s="253"/>
      <c r="BR314" s="253"/>
      <c r="BS314" s="253"/>
      <c r="BT314" s="253"/>
      <c r="BU314" s="253"/>
      <c r="BV314" s="253"/>
      <c r="BW314" s="253"/>
      <c r="BX314" s="253"/>
      <c r="BY314" s="253"/>
      <c r="BZ314" s="253"/>
      <c r="CA314" s="253"/>
      <c r="CB314" s="253"/>
      <c r="CC314" s="253"/>
      <c r="CD314" s="253"/>
      <c r="CE314" s="253"/>
      <c r="CF314" s="253"/>
      <c r="CG314" s="253"/>
      <c r="CH314" s="253"/>
      <c r="CI314" s="253"/>
      <c r="CJ314" s="253"/>
      <c r="CK314" s="253"/>
      <c r="CL314" s="253"/>
      <c r="CM314" s="253"/>
      <c r="CN314" s="253"/>
      <c r="CO314" s="253"/>
      <c r="CP314" s="253"/>
      <c r="CQ314" s="253"/>
      <c r="CR314" s="253"/>
      <c r="CS314" s="253"/>
      <c r="CT314" s="253"/>
      <c r="CU314" s="253"/>
      <c r="CV314" s="253"/>
      <c r="CW314" s="253"/>
      <c r="CX314" s="253"/>
      <c r="CY314" s="253"/>
      <c r="CZ314" s="253"/>
      <c r="DA314" s="253"/>
      <c r="DB314" s="253"/>
      <c r="DC314" s="253"/>
      <c r="DD314" s="253"/>
      <c r="DE314" s="253"/>
      <c r="DF314" s="253"/>
      <c r="DG314" s="253"/>
      <c r="DH314" s="253"/>
      <c r="DI314" s="253"/>
      <c r="DJ314" s="253"/>
      <c r="DK314" s="253"/>
      <c r="DL314" s="253"/>
      <c r="DM314" s="253"/>
      <c r="DN314" s="253"/>
      <c r="DO314" s="253"/>
      <c r="DP314" s="253"/>
      <c r="DQ314" s="253"/>
      <c r="DR314" s="253"/>
      <c r="DS314" s="253"/>
      <c r="DT314" s="253"/>
      <c r="DU314" s="253"/>
      <c r="DV314" s="253"/>
      <c r="DW314" s="253"/>
      <c r="DX314" s="253"/>
      <c r="DY314" s="253"/>
      <c r="DZ314" s="253"/>
      <c r="EA314" s="253"/>
      <c r="EB314" s="253"/>
      <c r="EC314" s="253"/>
      <c r="ED314" s="253"/>
      <c r="EE314" s="253"/>
      <c r="EF314" s="253"/>
      <c r="EG314" s="253"/>
      <c r="EH314" s="253"/>
      <c r="EI314" s="253"/>
      <c r="EJ314" s="253"/>
      <c r="EK314" s="253"/>
      <c r="EL314" s="253"/>
      <c r="EM314" s="253"/>
      <c r="EN314" s="253"/>
      <c r="EO314" s="253"/>
      <c r="EP314" s="253"/>
      <c r="EQ314" s="253"/>
      <c r="ER314" s="253"/>
      <c r="ES314" s="253"/>
      <c r="ET314" s="253"/>
      <c r="EU314" s="253"/>
      <c r="EV314" s="253"/>
      <c r="EW314" s="253"/>
      <c r="EX314" s="253"/>
      <c r="EY314" s="253"/>
      <c r="EZ314" s="253"/>
      <c r="FA314" s="253"/>
      <c r="FB314" s="253"/>
      <c r="FC314" s="253"/>
      <c r="FD314" s="253"/>
      <c r="FE314" s="253"/>
      <c r="FF314" s="253"/>
      <c r="FG314" s="253"/>
      <c r="FH314" s="253"/>
      <c r="FI314" s="253"/>
      <c r="FJ314" s="253"/>
      <c r="FK314" s="253"/>
      <c r="FL314" s="253"/>
      <c r="FM314" s="253"/>
      <c r="FN314" s="253"/>
      <c r="FO314" s="253"/>
      <c r="FP314" s="253"/>
      <c r="FQ314" s="253"/>
      <c r="FR314" s="253"/>
      <c r="FS314" s="253"/>
      <c r="FT314" s="253"/>
      <c r="FU314" s="253"/>
      <c r="FV314" s="253"/>
      <c r="FW314" s="253"/>
      <c r="FX314" s="253"/>
      <c r="FY314" s="253"/>
      <c r="FZ314" s="253"/>
      <c r="GA314" s="253"/>
      <c r="GB314" s="253"/>
      <c r="GC314" s="253"/>
      <c r="GD314" s="253"/>
      <c r="GE314" s="253"/>
      <c r="GF314" s="253"/>
      <c r="GG314" s="253"/>
      <c r="GH314" s="253"/>
      <c r="GI314" s="253"/>
      <c r="GJ314" s="253"/>
      <c r="GK314" s="253"/>
      <c r="GL314" s="253"/>
      <c r="GM314" s="253"/>
      <c r="GN314" s="253"/>
      <c r="GO314" s="253"/>
      <c r="GP314" s="253"/>
      <c r="GQ314" s="253"/>
      <c r="GR314" s="253"/>
      <c r="GS314" s="253"/>
      <c r="GT314" s="253"/>
      <c r="GU314" s="253"/>
      <c r="GV314" s="253"/>
      <c r="GW314" s="253"/>
      <c r="GX314" s="253"/>
      <c r="GY314" s="253"/>
      <c r="GZ314" s="253"/>
      <c r="HA314" s="253"/>
      <c r="HB314" s="253"/>
      <c r="HC314" s="253"/>
      <c r="HD314" s="253"/>
      <c r="HE314" s="253"/>
      <c r="HF314" s="253"/>
      <c r="HG314" s="253"/>
      <c r="HH314" s="253"/>
      <c r="HI314" s="253"/>
      <c r="HJ314" s="253"/>
      <c r="HK314" s="253"/>
      <c r="HL314" s="253"/>
      <c r="HM314" s="253"/>
      <c r="HN314" s="253"/>
      <c r="HO314" s="253"/>
      <c r="HP314" s="253"/>
      <c r="HQ314" s="253"/>
      <c r="HR314" s="253"/>
      <c r="HS314" s="253"/>
      <c r="HT314" s="253"/>
      <c r="HU314" s="253"/>
      <c r="HV314" s="253"/>
      <c r="HW314" s="253"/>
      <c r="HX314" s="253"/>
      <c r="HY314" s="253"/>
      <c r="HZ314" s="253"/>
      <c r="IA314" s="253"/>
      <c r="IB314" s="253"/>
      <c r="IC314" s="253"/>
      <c r="ID314" s="253"/>
      <c r="IE314" s="253"/>
      <c r="IF314" s="253"/>
      <c r="IG314" s="253"/>
      <c r="IH314" s="253"/>
      <c r="II314" s="253"/>
      <c r="IJ314" s="253"/>
      <c r="IK314" s="253"/>
      <c r="IL314" s="253"/>
      <c r="IM314" s="253"/>
      <c r="IN314" s="253"/>
      <c r="IO314" s="253"/>
      <c r="IP314" s="253"/>
      <c r="IQ314" s="253"/>
      <c r="IR314" s="253"/>
      <c r="IS314" s="253"/>
      <c r="IT314" s="253"/>
      <c r="IU314" s="253"/>
      <c r="IV314" s="253"/>
      <c r="IW314" s="253"/>
      <c r="IX314" s="253"/>
      <c r="IY314" s="253"/>
      <c r="IZ314" s="253"/>
      <c r="JA314" s="253"/>
      <c r="JB314" s="253"/>
      <c r="JC314" s="253"/>
      <c r="JD314" s="253"/>
      <c r="JE314" s="253"/>
      <c r="JF314" s="253"/>
      <c r="JG314" s="253"/>
      <c r="JH314" s="253"/>
      <c r="JI314" s="253"/>
      <c r="JJ314" s="253"/>
      <c r="JK314" s="253"/>
      <c r="JL314" s="253"/>
      <c r="JM314" s="253"/>
      <c r="JN314" s="253"/>
      <c r="JO314" s="253"/>
      <c r="JP314" s="253"/>
      <c r="JQ314" s="253"/>
      <c r="JR314" s="253"/>
      <c r="JS314" s="253"/>
      <c r="JT314" s="253"/>
      <c r="JU314" s="253"/>
      <c r="JV314" s="253"/>
      <c r="JW314" s="253"/>
      <c r="JX314" s="253"/>
      <c r="JY314" s="253"/>
      <c r="JZ314" s="253"/>
      <c r="KA314" s="253"/>
      <c r="KB314" s="253"/>
      <c r="KC314" s="253"/>
      <c r="KD314" s="253"/>
      <c r="KE314" s="253"/>
      <c r="KF314" s="253"/>
      <c r="KG314" s="253"/>
      <c r="KH314" s="253"/>
      <c r="KI314" s="253"/>
      <c r="KJ314" s="253"/>
      <c r="KK314" s="253"/>
      <c r="KL314" s="253"/>
      <c r="KM314" s="253"/>
      <c r="KN314" s="253"/>
      <c r="KO314" s="253"/>
      <c r="KP314" s="253"/>
      <c r="KQ314" s="253"/>
      <c r="KR314" s="253"/>
      <c r="KS314" s="253"/>
      <c r="KT314" s="253"/>
      <c r="KU314" s="253"/>
      <c r="KV314" s="253"/>
      <c r="KW314" s="253"/>
      <c r="KX314" s="253"/>
      <c r="KY314" s="253"/>
      <c r="KZ314" s="253"/>
      <c r="LA314" s="253"/>
      <c r="LB314" s="253"/>
      <c r="LC314" s="253"/>
      <c r="LD314" s="253"/>
      <c r="LE314" s="253"/>
      <c r="LF314" s="1296"/>
      <c r="LG314" s="253"/>
      <c r="LH314" s="253"/>
      <c r="LI314" s="253"/>
      <c r="LJ314" s="253"/>
      <c r="LK314" s="1296"/>
      <c r="LL314" s="253"/>
      <c r="LM314" s="253"/>
      <c r="LN314" s="253"/>
      <c r="LO314" s="253"/>
      <c r="LP314" s="1296"/>
      <c r="LQ314" s="253"/>
      <c r="LR314" s="253"/>
      <c r="LS314" s="253"/>
      <c r="LT314" s="253"/>
      <c r="LU314" s="1296"/>
      <c r="LV314" s="1296"/>
      <c r="LW314" s="1296"/>
      <c r="LX314" s="1296"/>
      <c r="LY314" s="1296"/>
      <c r="LZ314" s="1296"/>
      <c r="MA314" s="1296"/>
      <c r="MB314" s="1296"/>
      <c r="MC314" s="1296"/>
      <c r="MD314" s="1296"/>
      <c r="ME314" s="1296"/>
      <c r="MF314" s="1296"/>
      <c r="MG314" s="1296"/>
      <c r="MH314" s="1296"/>
      <c r="MI314" s="1296"/>
      <c r="MJ314" s="1296"/>
      <c r="MK314" s="1296"/>
      <c r="ML314" s="1296"/>
      <c r="MM314" s="1296"/>
      <c r="MN314" s="1296"/>
      <c r="MO314" s="1296"/>
      <c r="MP314" s="1296"/>
      <c r="MQ314" s="253"/>
      <c r="MR314" s="253"/>
      <c r="MS314" s="253"/>
      <c r="MT314" s="253"/>
      <c r="MU314" s="253"/>
      <c r="MV314" s="253"/>
      <c r="MW314" s="1184"/>
      <c r="MX314" s="253"/>
      <c r="MY314" s="253"/>
      <c r="MZ314" s="253"/>
      <c r="NA314" s="253"/>
      <c r="NB314" s="253"/>
      <c r="NC314" s="253"/>
      <c r="ND314" s="253"/>
      <c r="NE314" s="253"/>
      <c r="NF314" s="253"/>
      <c r="NG314" s="253"/>
      <c r="NH314" s="253"/>
      <c r="NI314" s="253"/>
      <c r="NJ314" s="253"/>
      <c r="NK314" s="253"/>
      <c r="NL314" s="253"/>
      <c r="NM314" s="1184"/>
      <c r="NN314" s="1184"/>
      <c r="NO314" s="253"/>
      <c r="NP314" s="253"/>
      <c r="NQ314" s="253"/>
      <c r="NR314" s="253"/>
      <c r="NS314" s="253"/>
      <c r="NT314" s="253"/>
      <c r="NU314" s="253"/>
      <c r="NV314" s="253"/>
      <c r="NW314" s="253"/>
      <c r="NX314" s="253"/>
      <c r="NY314" s="253"/>
      <c r="NZ314" s="253"/>
      <c r="OA314" s="253"/>
      <c r="OB314" s="253"/>
      <c r="OC314" s="253"/>
      <c r="OD314" s="253"/>
      <c r="OE314" s="253"/>
      <c r="OF314" s="253"/>
      <c r="OG314" s="253"/>
      <c r="OH314" s="253"/>
      <c r="OI314" s="253"/>
      <c r="OJ314" s="253"/>
      <c r="OK314" s="253"/>
      <c r="OL314" s="253"/>
      <c r="OM314" s="253"/>
      <c r="ON314" s="253"/>
      <c r="OO314" s="253"/>
      <c r="OP314" s="253"/>
      <c r="OQ314" s="253"/>
      <c r="OR314" s="253"/>
      <c r="OS314" s="253"/>
      <c r="OT314" s="253"/>
      <c r="OU314" s="253"/>
      <c r="OV314" s="43"/>
      <c r="OW314" s="43"/>
      <c r="OX314" s="43"/>
      <c r="OY314" s="1794"/>
      <c r="OZ314" s="1799"/>
      <c r="PA314" s="43"/>
      <c r="PB314" s="43"/>
      <c r="PC314" s="43"/>
      <c r="PD314" s="43"/>
      <c r="PE314" s="43"/>
      <c r="PF314" s="43"/>
      <c r="PG314" s="43"/>
      <c r="PH314" s="43"/>
      <c r="PI314" s="43"/>
      <c r="PJ314" s="43"/>
      <c r="PK314" s="43"/>
      <c r="PL314" s="43"/>
      <c r="PM314" s="43"/>
      <c r="PN314" s="43"/>
      <c r="PO314" s="43"/>
      <c r="PP314" s="43"/>
      <c r="PQ314" s="43"/>
      <c r="PR314" s="43"/>
      <c r="PS314" s="43"/>
      <c r="PT314" s="43"/>
      <c r="PU314" s="43"/>
      <c r="PV314" s="43"/>
      <c r="PW314" s="43"/>
      <c r="PX314" s="43"/>
      <c r="PY314" s="43"/>
      <c r="PZ314" s="43"/>
      <c r="QA314" s="43"/>
      <c r="QB314" s="43"/>
      <c r="QC314" s="43"/>
      <c r="QD314" s="43"/>
      <c r="QE314" s="43"/>
      <c r="QF314" s="43"/>
      <c r="QG314" s="43"/>
      <c r="QH314" s="43"/>
      <c r="QI314" s="43"/>
      <c r="QJ314" s="43"/>
      <c r="QK314" s="43"/>
      <c r="QL314" s="43"/>
      <c r="QM314" s="43"/>
      <c r="QN314" s="43"/>
      <c r="QO314" s="43"/>
      <c r="QP314" s="43"/>
      <c r="QQ314" s="43"/>
      <c r="QR314" s="43"/>
      <c r="QS314" s="43"/>
      <c r="QT314" s="43"/>
      <c r="QU314" s="43"/>
      <c r="QV314" s="43"/>
      <c r="QW314" s="43"/>
      <c r="QX314" s="43"/>
      <c r="QY314" s="43"/>
      <c r="QZ314" s="43"/>
      <c r="RA314" s="43"/>
      <c r="RB314" s="43"/>
      <c r="RC314" s="43"/>
      <c r="RD314" s="43"/>
      <c r="RE314" s="43"/>
      <c r="RF314" s="43"/>
      <c r="RG314" s="43"/>
      <c r="RH314" s="43"/>
      <c r="RI314" s="43"/>
      <c r="RJ314" s="43"/>
      <c r="RK314" s="43"/>
      <c r="RL314" s="43"/>
      <c r="RM314" s="43"/>
      <c r="RN314" s="43"/>
      <c r="RO314" s="43"/>
      <c r="RP314" s="43"/>
      <c r="RQ314" s="43"/>
      <c r="RR314" s="43"/>
      <c r="RS314" s="43"/>
      <c r="RT314" s="43"/>
      <c r="RU314" s="43"/>
      <c r="RV314" s="43"/>
      <c r="RW314" s="43"/>
      <c r="RX314" s="43"/>
      <c r="RY314" s="43"/>
      <c r="RZ314" s="43"/>
      <c r="SA314" s="43"/>
      <c r="SB314" s="43"/>
      <c r="SC314" s="43"/>
      <c r="SD314" s="43"/>
      <c r="SE314" s="43"/>
      <c r="SF314" s="43"/>
      <c r="SG314" s="43"/>
      <c r="SH314" s="43"/>
      <c r="SI314" s="43"/>
      <c r="SJ314" s="43"/>
      <c r="SK314" s="43"/>
      <c r="SL314" s="43"/>
      <c r="SM314" s="43"/>
      <c r="SN314" s="43"/>
      <c r="SO314" s="43"/>
      <c r="SP314" s="43"/>
      <c r="SQ314" s="43"/>
      <c r="SR314" s="43"/>
      <c r="SS314" s="43"/>
      <c r="ST314" s="43"/>
      <c r="SU314" s="43"/>
      <c r="SV314" s="43"/>
      <c r="SW314" s="43"/>
      <c r="SX314" s="43"/>
      <c r="SY314" s="43"/>
      <c r="SZ314" s="43"/>
      <c r="TA314" s="43"/>
      <c r="TB314" s="43"/>
      <c r="TC314" s="43"/>
      <c r="TD314" s="43"/>
      <c r="TE314" s="43"/>
      <c r="TF314" s="43"/>
      <c r="TG314" s="43"/>
      <c r="TH314" s="43"/>
    </row>
    <row r="315" spans="1:528" s="41" customFormat="1" ht="14.1" customHeight="1">
      <c r="A315" s="43"/>
      <c r="B315" s="43"/>
      <c r="C315" s="43"/>
      <c r="D315" s="43"/>
      <c r="E315" s="43"/>
      <c r="F315" s="43"/>
      <c r="G315" s="43"/>
      <c r="H315" s="43"/>
      <c r="I315" s="43"/>
      <c r="J315" s="43"/>
      <c r="K315" s="43"/>
      <c r="L315" s="43"/>
      <c r="M315" s="43"/>
      <c r="N315" s="43"/>
      <c r="O315" s="43"/>
      <c r="P315" s="43"/>
      <c r="X315" s="253"/>
      <c r="Y315" s="253"/>
      <c r="Z315" s="253"/>
      <c r="AA315" s="253"/>
      <c r="AB315" s="253"/>
      <c r="AC315" s="253"/>
      <c r="AD315" s="253"/>
      <c r="AE315" s="253"/>
      <c r="AF315" s="253"/>
      <c r="AG315" s="253"/>
      <c r="AH315" s="253"/>
      <c r="AI315" s="253"/>
      <c r="AJ315" s="253"/>
      <c r="AK315" s="253"/>
      <c r="AL315" s="253"/>
      <c r="AM315" s="253"/>
      <c r="AN315" s="253"/>
      <c r="AO315" s="253"/>
      <c r="AP315" s="253"/>
      <c r="AQ315" s="253"/>
      <c r="AR315" s="253"/>
      <c r="AS315" s="253"/>
      <c r="AT315" s="253"/>
      <c r="AU315" s="253"/>
      <c r="AV315" s="253"/>
      <c r="AW315" s="253"/>
      <c r="AX315" s="253"/>
      <c r="AY315" s="253"/>
      <c r="AZ315" s="253"/>
      <c r="BA315" s="253"/>
      <c r="BB315" s="253"/>
      <c r="BC315" s="253"/>
      <c r="BD315" s="253"/>
      <c r="BE315" s="253"/>
      <c r="BF315" s="253"/>
      <c r="BG315" s="253"/>
      <c r="BH315" s="253"/>
      <c r="BI315" s="253"/>
      <c r="BJ315" s="253"/>
      <c r="BK315" s="253"/>
      <c r="BL315" s="253"/>
      <c r="BM315" s="253"/>
      <c r="BN315" s="253"/>
      <c r="BO315" s="253"/>
      <c r="BP315" s="253"/>
      <c r="BQ315" s="253"/>
      <c r="BR315" s="253"/>
      <c r="BS315" s="253"/>
      <c r="BT315" s="253"/>
      <c r="BU315" s="253"/>
      <c r="BV315" s="253"/>
      <c r="BW315" s="253"/>
      <c r="BX315" s="253"/>
      <c r="BY315" s="253"/>
      <c r="BZ315" s="253"/>
      <c r="CA315" s="253"/>
      <c r="CB315" s="253"/>
      <c r="CC315" s="253"/>
      <c r="CD315" s="253"/>
      <c r="CE315" s="253"/>
      <c r="CF315" s="253"/>
      <c r="CG315" s="253"/>
      <c r="CH315" s="253"/>
      <c r="CI315" s="253"/>
      <c r="CJ315" s="253"/>
      <c r="CK315" s="253"/>
      <c r="CL315" s="253"/>
      <c r="CM315" s="253"/>
      <c r="CN315" s="253"/>
      <c r="CO315" s="253"/>
      <c r="CP315" s="253"/>
      <c r="CQ315" s="253"/>
      <c r="CR315" s="253"/>
      <c r="CS315" s="253"/>
      <c r="CT315" s="253"/>
      <c r="CU315" s="253"/>
      <c r="CV315" s="253"/>
      <c r="CW315" s="253"/>
      <c r="CX315" s="253"/>
      <c r="CY315" s="253"/>
      <c r="CZ315" s="253"/>
      <c r="DA315" s="253"/>
      <c r="DB315" s="253"/>
      <c r="DC315" s="253"/>
      <c r="DD315" s="253"/>
      <c r="DE315" s="253"/>
      <c r="DF315" s="253"/>
      <c r="DG315" s="253"/>
      <c r="DH315" s="253"/>
      <c r="DI315" s="253"/>
      <c r="DJ315" s="253"/>
      <c r="DK315" s="253"/>
      <c r="DL315" s="253"/>
      <c r="DM315" s="253"/>
      <c r="DN315" s="253"/>
      <c r="DO315" s="253"/>
      <c r="DP315" s="253"/>
      <c r="DQ315" s="253"/>
      <c r="DR315" s="253"/>
      <c r="DS315" s="253"/>
      <c r="DT315" s="253"/>
      <c r="DU315" s="253"/>
      <c r="DV315" s="253"/>
      <c r="DW315" s="253"/>
      <c r="DX315" s="253"/>
      <c r="DY315" s="253"/>
      <c r="DZ315" s="253"/>
      <c r="EA315" s="253"/>
      <c r="EB315" s="253"/>
      <c r="EC315" s="253"/>
      <c r="ED315" s="253"/>
      <c r="EE315" s="253"/>
      <c r="EF315" s="253"/>
      <c r="EG315" s="253"/>
      <c r="EH315" s="253"/>
      <c r="EI315" s="253"/>
      <c r="EJ315" s="253"/>
      <c r="EK315" s="253"/>
      <c r="EL315" s="253"/>
      <c r="EM315" s="253"/>
      <c r="EN315" s="253"/>
      <c r="EO315" s="253"/>
      <c r="EP315" s="253"/>
      <c r="EQ315" s="253"/>
      <c r="ER315" s="253"/>
      <c r="ES315" s="253"/>
      <c r="ET315" s="253"/>
      <c r="EU315" s="253"/>
      <c r="EV315" s="253"/>
      <c r="EW315" s="253"/>
      <c r="EX315" s="253"/>
      <c r="EY315" s="253"/>
      <c r="EZ315" s="253"/>
      <c r="FA315" s="253"/>
      <c r="FB315" s="253"/>
      <c r="FC315" s="253"/>
      <c r="FD315" s="253"/>
      <c r="FE315" s="253"/>
      <c r="FF315" s="253"/>
      <c r="FG315" s="253"/>
      <c r="FH315" s="253"/>
      <c r="FI315" s="253"/>
      <c r="FJ315" s="253"/>
      <c r="FK315" s="253"/>
      <c r="FL315" s="253"/>
      <c r="FM315" s="253"/>
      <c r="FN315" s="253"/>
      <c r="FO315" s="253"/>
      <c r="FP315" s="253"/>
      <c r="FQ315" s="253"/>
      <c r="FR315" s="253"/>
      <c r="FS315" s="253"/>
      <c r="FT315" s="253"/>
      <c r="FU315" s="253"/>
      <c r="FV315" s="253"/>
      <c r="FW315" s="253"/>
      <c r="FX315" s="253"/>
      <c r="FY315" s="253"/>
      <c r="FZ315" s="253"/>
      <c r="GA315" s="253"/>
      <c r="GB315" s="253"/>
      <c r="GC315" s="253"/>
      <c r="GD315" s="253"/>
      <c r="GE315" s="253"/>
      <c r="GF315" s="253"/>
      <c r="GG315" s="253"/>
      <c r="GH315" s="253"/>
      <c r="GI315" s="253"/>
      <c r="GJ315" s="253"/>
      <c r="GK315" s="253"/>
      <c r="GL315" s="253"/>
      <c r="GM315" s="253"/>
      <c r="GN315" s="253"/>
      <c r="GO315" s="253"/>
      <c r="GP315" s="253"/>
      <c r="GQ315" s="253"/>
      <c r="GR315" s="253"/>
      <c r="GS315" s="253"/>
      <c r="GT315" s="253"/>
      <c r="GU315" s="253"/>
      <c r="GV315" s="253"/>
      <c r="GW315" s="253"/>
      <c r="GX315" s="253"/>
      <c r="GY315" s="253"/>
      <c r="GZ315" s="253"/>
      <c r="HA315" s="253"/>
      <c r="HB315" s="253"/>
      <c r="HC315" s="253"/>
      <c r="HD315" s="253"/>
      <c r="HE315" s="253"/>
      <c r="HF315" s="253"/>
      <c r="HG315" s="253"/>
      <c r="HH315" s="253"/>
      <c r="HI315" s="253"/>
      <c r="HJ315" s="253"/>
      <c r="HK315" s="253"/>
      <c r="HL315" s="253"/>
      <c r="HM315" s="253"/>
      <c r="HN315" s="253"/>
      <c r="HO315" s="253"/>
      <c r="HP315" s="253"/>
      <c r="HQ315" s="253"/>
      <c r="HR315" s="253"/>
      <c r="HS315" s="253"/>
      <c r="HT315" s="253"/>
      <c r="HU315" s="253"/>
      <c r="HV315" s="253"/>
      <c r="HW315" s="253"/>
      <c r="HX315" s="253"/>
      <c r="HY315" s="253"/>
      <c r="HZ315" s="253"/>
      <c r="IA315" s="253"/>
      <c r="IB315" s="253"/>
      <c r="IC315" s="253"/>
      <c r="ID315" s="253"/>
      <c r="IE315" s="253"/>
      <c r="IF315" s="253"/>
      <c r="IG315" s="253"/>
      <c r="IH315" s="253"/>
      <c r="II315" s="253"/>
      <c r="IJ315" s="253"/>
      <c r="IK315" s="253"/>
      <c r="IL315" s="253"/>
      <c r="IM315" s="253"/>
      <c r="IN315" s="253"/>
      <c r="IO315" s="253"/>
      <c r="IP315" s="253"/>
      <c r="IQ315" s="253"/>
      <c r="IR315" s="253"/>
      <c r="IS315" s="253"/>
      <c r="IT315" s="253"/>
      <c r="IU315" s="253"/>
      <c r="IV315" s="253"/>
      <c r="IW315" s="253"/>
      <c r="IX315" s="253"/>
      <c r="IY315" s="253"/>
      <c r="IZ315" s="253"/>
      <c r="JA315" s="253"/>
      <c r="JB315" s="253"/>
      <c r="JC315" s="253"/>
      <c r="JD315" s="253"/>
      <c r="JE315" s="253"/>
      <c r="JF315" s="253"/>
      <c r="JG315" s="253"/>
      <c r="JH315" s="253"/>
      <c r="JI315" s="253"/>
      <c r="JJ315" s="253"/>
      <c r="JK315" s="253"/>
      <c r="JL315" s="253"/>
      <c r="JM315" s="253"/>
      <c r="JN315" s="253"/>
      <c r="JO315" s="253"/>
      <c r="JP315" s="253"/>
      <c r="JQ315" s="253"/>
      <c r="JR315" s="253"/>
      <c r="JS315" s="253"/>
      <c r="JT315" s="253"/>
      <c r="JU315" s="253"/>
      <c r="JV315" s="253"/>
      <c r="JW315" s="253"/>
      <c r="JX315" s="253"/>
      <c r="JY315" s="253"/>
      <c r="JZ315" s="253"/>
      <c r="KA315" s="253"/>
      <c r="KB315" s="253"/>
      <c r="KC315" s="253"/>
      <c r="KD315" s="253"/>
      <c r="KE315" s="253"/>
      <c r="KF315" s="253"/>
      <c r="KG315" s="253"/>
      <c r="KH315" s="253"/>
      <c r="KI315" s="253"/>
      <c r="KJ315" s="253"/>
      <c r="KK315" s="253"/>
      <c r="KL315" s="253"/>
      <c r="KM315" s="253"/>
      <c r="KN315" s="253"/>
      <c r="KO315" s="253"/>
      <c r="KP315" s="253"/>
      <c r="KQ315" s="253"/>
      <c r="KR315" s="253"/>
      <c r="KS315" s="253"/>
      <c r="KT315" s="253"/>
      <c r="KU315" s="253"/>
      <c r="KV315" s="253"/>
      <c r="KW315" s="253"/>
      <c r="KX315" s="253"/>
      <c r="KY315" s="253"/>
      <c r="KZ315" s="253"/>
      <c r="LA315" s="253"/>
      <c r="LB315" s="253"/>
      <c r="LC315" s="253"/>
      <c r="LD315" s="253"/>
      <c r="LE315" s="253"/>
      <c r="LF315" s="1296"/>
      <c r="LG315" s="253"/>
      <c r="LH315" s="253"/>
      <c r="LI315" s="253"/>
      <c r="LJ315" s="253"/>
      <c r="LK315" s="1296"/>
      <c r="LL315" s="253"/>
      <c r="LM315" s="253"/>
      <c r="LN315" s="253"/>
      <c r="LO315" s="253"/>
      <c r="LP315" s="1296"/>
      <c r="LQ315" s="253"/>
      <c r="LR315" s="253"/>
      <c r="LS315" s="253"/>
      <c r="LT315" s="253"/>
      <c r="LU315" s="1296"/>
      <c r="LV315" s="1296"/>
      <c r="LW315" s="1296"/>
      <c r="LX315" s="1296"/>
      <c r="LY315" s="1296"/>
      <c r="LZ315" s="1296"/>
      <c r="MA315" s="1296"/>
      <c r="MB315" s="1296"/>
      <c r="MC315" s="1296"/>
      <c r="MD315" s="1296"/>
      <c r="ME315" s="1296"/>
      <c r="MF315" s="1296"/>
      <c r="MG315" s="1296"/>
      <c r="MH315" s="1296"/>
      <c r="MI315" s="1296"/>
      <c r="MJ315" s="1296"/>
      <c r="MK315" s="1296"/>
      <c r="ML315" s="1296"/>
      <c r="MM315" s="1296"/>
      <c r="MN315" s="1296"/>
      <c r="MO315" s="1296"/>
      <c r="MP315" s="1296"/>
      <c r="MQ315" s="253"/>
      <c r="MR315" s="253"/>
      <c r="MS315" s="253"/>
      <c r="MT315" s="253"/>
      <c r="MU315" s="253"/>
      <c r="MV315" s="253"/>
      <c r="MW315" s="1184"/>
      <c r="MX315" s="253"/>
      <c r="MY315" s="253"/>
      <c r="MZ315" s="253"/>
      <c r="NA315" s="253"/>
      <c r="NB315" s="253"/>
      <c r="NC315" s="253"/>
      <c r="ND315" s="253"/>
      <c r="NE315" s="253"/>
      <c r="NF315" s="253"/>
      <c r="NG315" s="253"/>
      <c r="NH315" s="253"/>
      <c r="NI315" s="253"/>
      <c r="NJ315" s="253"/>
      <c r="NK315" s="253"/>
      <c r="NL315" s="253"/>
      <c r="NM315" s="1184"/>
      <c r="NN315" s="1184"/>
      <c r="NO315" s="253"/>
      <c r="NP315" s="253"/>
      <c r="NQ315" s="253"/>
      <c r="NR315" s="253"/>
      <c r="NS315" s="253"/>
      <c r="NT315" s="253"/>
      <c r="NU315" s="253"/>
      <c r="NV315" s="253"/>
      <c r="NW315" s="253"/>
      <c r="NX315" s="253"/>
      <c r="NY315" s="253"/>
      <c r="NZ315" s="253"/>
      <c r="OA315" s="253"/>
      <c r="OB315" s="253"/>
      <c r="OC315" s="253"/>
      <c r="OD315" s="253"/>
      <c r="OE315" s="253"/>
      <c r="OF315" s="253"/>
      <c r="OG315" s="253"/>
      <c r="OH315" s="253"/>
      <c r="OI315" s="253"/>
      <c r="OJ315" s="253"/>
      <c r="OK315" s="253"/>
      <c r="OL315" s="253"/>
      <c r="OM315" s="253"/>
      <c r="ON315" s="253"/>
      <c r="OO315" s="253"/>
      <c r="OP315" s="253"/>
      <c r="OQ315" s="253"/>
      <c r="OR315" s="253"/>
      <c r="OS315" s="253"/>
      <c r="OT315" s="253"/>
      <c r="OU315" s="253"/>
      <c r="OV315" s="43"/>
      <c r="OW315" s="43"/>
      <c r="OX315" s="43"/>
      <c r="OY315" s="1794"/>
      <c r="OZ315" s="1799"/>
      <c r="PA315" s="43"/>
      <c r="PB315" s="43"/>
      <c r="PC315" s="43"/>
      <c r="PD315" s="43"/>
      <c r="PE315" s="43"/>
      <c r="PF315" s="43"/>
      <c r="PG315" s="43"/>
      <c r="PH315" s="43"/>
      <c r="PI315" s="43"/>
      <c r="PJ315" s="43"/>
      <c r="PK315" s="43"/>
      <c r="PL315" s="43"/>
      <c r="PM315" s="43"/>
      <c r="PN315" s="43"/>
      <c r="PO315" s="43"/>
      <c r="PP315" s="43"/>
      <c r="PQ315" s="43"/>
      <c r="PR315" s="43"/>
      <c r="PS315" s="43"/>
      <c r="PT315" s="43"/>
      <c r="PU315" s="43"/>
      <c r="PV315" s="43"/>
      <c r="PW315" s="43"/>
      <c r="PX315" s="43"/>
      <c r="PY315" s="43"/>
      <c r="PZ315" s="43"/>
      <c r="QA315" s="43"/>
      <c r="QB315" s="43"/>
      <c r="QC315" s="43"/>
      <c r="QD315" s="43"/>
      <c r="QE315" s="43"/>
      <c r="QF315" s="43"/>
      <c r="QG315" s="43"/>
      <c r="QH315" s="43"/>
      <c r="QI315" s="43"/>
      <c r="QJ315" s="43"/>
      <c r="QK315" s="43"/>
      <c r="QL315" s="43"/>
      <c r="QM315" s="43"/>
      <c r="QN315" s="43"/>
      <c r="QO315" s="43"/>
      <c r="QP315" s="43"/>
      <c r="QQ315" s="43"/>
      <c r="QR315" s="43"/>
      <c r="QS315" s="43"/>
      <c r="QT315" s="43"/>
      <c r="QU315" s="43"/>
      <c r="QV315" s="43"/>
      <c r="QW315" s="43"/>
      <c r="QX315" s="43"/>
      <c r="QY315" s="43"/>
      <c r="QZ315" s="43"/>
      <c r="RA315" s="43"/>
      <c r="RB315" s="43"/>
      <c r="RC315" s="43"/>
      <c r="RD315" s="43"/>
      <c r="RE315" s="43"/>
      <c r="RF315" s="43"/>
      <c r="RG315" s="43"/>
      <c r="RH315" s="43"/>
      <c r="RI315" s="43"/>
      <c r="RJ315" s="43"/>
      <c r="RK315" s="43"/>
      <c r="RL315" s="43"/>
      <c r="RM315" s="43"/>
      <c r="RN315" s="43"/>
      <c r="RO315" s="43"/>
      <c r="RP315" s="43"/>
      <c r="RQ315" s="43"/>
      <c r="RR315" s="43"/>
      <c r="RS315" s="43"/>
      <c r="RT315" s="43"/>
      <c r="RU315" s="43"/>
      <c r="RV315" s="43"/>
      <c r="RW315" s="43"/>
      <c r="RX315" s="43"/>
      <c r="RY315" s="43"/>
      <c r="RZ315" s="43"/>
      <c r="SA315" s="43"/>
      <c r="SB315" s="43"/>
      <c r="SC315" s="43"/>
      <c r="SD315" s="43"/>
      <c r="SE315" s="43"/>
      <c r="SF315" s="43"/>
      <c r="SG315" s="43"/>
      <c r="SH315" s="43"/>
      <c r="SI315" s="43"/>
      <c r="SJ315" s="43"/>
      <c r="SK315" s="43"/>
      <c r="SL315" s="43"/>
      <c r="SM315" s="43"/>
      <c r="SN315" s="43"/>
      <c r="SO315" s="43"/>
      <c r="SP315" s="43"/>
      <c r="SQ315" s="43"/>
      <c r="SR315" s="43"/>
      <c r="SS315" s="43"/>
      <c r="ST315" s="43"/>
      <c r="SU315" s="43"/>
      <c r="SV315" s="43"/>
      <c r="SW315" s="43"/>
      <c r="SX315" s="43"/>
      <c r="SY315" s="43"/>
      <c r="SZ315" s="43"/>
      <c r="TA315" s="43"/>
      <c r="TB315" s="43"/>
      <c r="TC315" s="43"/>
      <c r="TD315" s="43"/>
      <c r="TE315" s="43"/>
      <c r="TF315" s="43"/>
      <c r="TG315" s="43"/>
      <c r="TH315" s="43"/>
    </row>
    <row r="316" spans="1:528" ht="14.1" customHeight="1">
      <c r="A316" s="77"/>
      <c r="B316" s="77"/>
      <c r="C316" s="77"/>
      <c r="D316" s="77"/>
      <c r="E316" s="77"/>
      <c r="F316" s="77"/>
      <c r="G316" s="77"/>
      <c r="H316" s="77"/>
      <c r="I316" s="77"/>
      <c r="J316" s="77"/>
      <c r="K316" s="77"/>
      <c r="L316" s="77"/>
      <c r="M316" s="77"/>
      <c r="N316" s="77"/>
      <c r="O316" s="77"/>
      <c r="P316" s="77"/>
    </row>
    <row r="317" spans="1:528" ht="14.1" customHeight="1">
      <c r="A317" s="6"/>
      <c r="B317" s="77"/>
      <c r="C317" s="77"/>
      <c r="D317" s="77"/>
      <c r="E317" s="77"/>
      <c r="F317" s="77"/>
      <c r="G317" s="77"/>
      <c r="H317" s="77"/>
      <c r="I317" s="77"/>
      <c r="J317" s="77"/>
      <c r="K317" s="77"/>
      <c r="L317" s="77"/>
      <c r="M317" s="77"/>
      <c r="N317" s="77"/>
      <c r="O317" s="77"/>
      <c r="P317" s="77"/>
      <c r="OY317" s="1796"/>
    </row>
    <row r="318" spans="1:528" ht="14.1" customHeight="1">
      <c r="A318" s="77"/>
      <c r="B318" s="77"/>
      <c r="C318" s="77"/>
      <c r="D318" s="77"/>
      <c r="E318" s="77"/>
      <c r="F318" s="77"/>
      <c r="G318" s="77"/>
      <c r="H318" s="77"/>
      <c r="I318" s="77"/>
      <c r="J318" s="77"/>
      <c r="K318" s="77"/>
      <c r="L318" s="77"/>
      <c r="M318" s="77"/>
      <c r="N318" s="77"/>
      <c r="O318" s="77"/>
      <c r="P318" s="77"/>
      <c r="OY318" s="1796"/>
    </row>
    <row r="319" spans="1:528" ht="14.1" customHeight="1">
      <c r="A319" s="77"/>
      <c r="B319" s="77"/>
      <c r="C319" s="77"/>
      <c r="D319" s="77"/>
      <c r="E319" s="77"/>
      <c r="F319" s="77"/>
      <c r="G319" s="77"/>
      <c r="H319" s="77"/>
      <c r="I319" s="77"/>
      <c r="J319" s="77"/>
      <c r="K319" s="77"/>
      <c r="L319" s="77"/>
      <c r="M319" s="77"/>
      <c r="N319" s="77"/>
      <c r="O319" s="77"/>
      <c r="P319" s="77"/>
      <c r="OY319" s="1796"/>
    </row>
    <row r="320" spans="1:528" ht="14.1" customHeight="1">
      <c r="A320" s="77"/>
      <c r="B320" s="77"/>
      <c r="C320" s="77"/>
      <c r="D320" s="77"/>
      <c r="E320" s="77"/>
      <c r="F320" s="77"/>
      <c r="G320" s="77"/>
      <c r="H320" s="77"/>
      <c r="I320" s="77"/>
      <c r="J320" s="77"/>
      <c r="K320" s="77"/>
      <c r="L320" s="77"/>
      <c r="M320" s="77"/>
      <c r="N320" s="77"/>
      <c r="O320" s="77"/>
      <c r="P320" s="77"/>
      <c r="OY320" s="1796"/>
    </row>
    <row r="321" spans="415:415" ht="14.1" customHeight="1">
      <c r="OY321" s="1796"/>
    </row>
    <row r="322" spans="415:415" ht="14.1" customHeight="1"/>
    <row r="323" spans="415:415" ht="14.1" customHeight="1"/>
    <row r="324" spans="415:415" ht="14.1" customHeight="1"/>
    <row r="325" spans="415:415" ht="14.1" customHeight="1"/>
    <row r="326" spans="415:415" ht="14.1" customHeight="1"/>
  </sheetData>
  <sheetProtection algorithmName="SHA-512" hashValue="X022xSGYvp+SgJw+blqGoh+NphZ5MzkXD+x3qytEX5TJLyigtnClS31EIpDghbAua6r2D2879zM9t+j2GtyMEg==" saltValue="hfi2+uS/F7pr0hNU2323uw==" spinCount="100000" sheet="1" objects="1" scenarios="1" formatRows="0"/>
  <mergeCells count="660">
    <mergeCell ref="S129:W129"/>
    <mergeCell ref="T49:W49"/>
    <mergeCell ref="T50:W50"/>
    <mergeCell ref="T51:W51"/>
    <mergeCell ref="T52:W52"/>
    <mergeCell ref="FK5:FK10"/>
    <mergeCell ref="FL5:FL10"/>
    <mergeCell ref="S122:W122"/>
    <mergeCell ref="S123:W123"/>
    <mergeCell ref="S124:W124"/>
    <mergeCell ref="S125:W125"/>
    <mergeCell ref="S126:W126"/>
    <mergeCell ref="S127:W127"/>
    <mergeCell ref="S128:W128"/>
    <mergeCell ref="FB5:FB10"/>
    <mergeCell ref="FC5:FC10"/>
    <mergeCell ref="FD5:FD10"/>
    <mergeCell ref="FE5:FE10"/>
    <mergeCell ref="FF5:FF10"/>
    <mergeCell ref="FG5:FG10"/>
    <mergeCell ref="FH5:FH10"/>
    <mergeCell ref="FI5:FI10"/>
    <mergeCell ref="FJ5:FJ10"/>
    <mergeCell ref="ES5:ES10"/>
    <mergeCell ref="ET5:ET10"/>
    <mergeCell ref="EU5:EU10"/>
    <mergeCell ref="EV5:EV10"/>
    <mergeCell ref="EW5:EW10"/>
    <mergeCell ref="EX5:EX10"/>
    <mergeCell ref="EY5:EY10"/>
    <mergeCell ref="EZ5:EZ10"/>
    <mergeCell ref="FA5:FA10"/>
    <mergeCell ref="EJ5:EJ10"/>
    <mergeCell ref="EK5:EK10"/>
    <mergeCell ref="EL5:EL10"/>
    <mergeCell ref="EM5:EM10"/>
    <mergeCell ref="EN5:EN10"/>
    <mergeCell ref="EO5:EO10"/>
    <mergeCell ref="EP5:EP10"/>
    <mergeCell ref="EQ5:EQ10"/>
    <mergeCell ref="ER5:ER10"/>
    <mergeCell ref="T27:W27"/>
    <mergeCell ref="T34:W34"/>
    <mergeCell ref="T35:W35"/>
    <mergeCell ref="T36:W36"/>
    <mergeCell ref="BN5:BN10"/>
    <mergeCell ref="BO5:BO10"/>
    <mergeCell ref="BP5:BP10"/>
    <mergeCell ref="BQ5:BQ10"/>
    <mergeCell ref="C150:D158"/>
    <mergeCell ref="C145:D147"/>
    <mergeCell ref="L146:P147"/>
    <mergeCell ref="BB5:BB10"/>
    <mergeCell ref="BC5:BC10"/>
    <mergeCell ref="BD5:BD10"/>
    <mergeCell ref="BE5:BE10"/>
    <mergeCell ref="AZ5:AZ10"/>
    <mergeCell ref="BA5:BA10"/>
    <mergeCell ref="AP5:AP10"/>
    <mergeCell ref="AQ5:AQ10"/>
    <mergeCell ref="AR5:AR10"/>
    <mergeCell ref="AS5:AS10"/>
    <mergeCell ref="T11:W11"/>
    <mergeCell ref="T12:W12"/>
    <mergeCell ref="T13:W13"/>
    <mergeCell ref="T25:W25"/>
    <mergeCell ref="T26:W26"/>
    <mergeCell ref="CM5:CM10"/>
    <mergeCell ref="CN5:CN10"/>
    <mergeCell ref="CO5:CO10"/>
    <mergeCell ref="BZ5:BZ10"/>
    <mergeCell ref="CA5:CA10"/>
    <mergeCell ref="CB5:CB10"/>
    <mergeCell ref="CC5:CC10"/>
    <mergeCell ref="BX5:BX10"/>
    <mergeCell ref="BY5:BY10"/>
    <mergeCell ref="CF5:CF10"/>
    <mergeCell ref="CG5:CG10"/>
    <mergeCell ref="CH5:CH10"/>
    <mergeCell ref="CI5:CI10"/>
    <mergeCell ref="CJ5:CJ10"/>
    <mergeCell ref="CK5:CK10"/>
    <mergeCell ref="DM5:DM10"/>
    <mergeCell ref="DQ5:DQ10"/>
    <mergeCell ref="DR5:DR10"/>
    <mergeCell ref="DS5:DS10"/>
    <mergeCell ref="DN5:DN10"/>
    <mergeCell ref="DO5:DO10"/>
    <mergeCell ref="DP5:DP10"/>
    <mergeCell ref="T14:W14"/>
    <mergeCell ref="T15:W15"/>
    <mergeCell ref="CV5:CV10"/>
    <mergeCell ref="CW5:CW10"/>
    <mergeCell ref="CL5:CL10"/>
    <mergeCell ref="DB5:DB10"/>
    <mergeCell ref="DC5:DC10"/>
    <mergeCell ref="DD5:DD10"/>
    <mergeCell ref="DE5:DE10"/>
    <mergeCell ref="DF5:DF10"/>
    <mergeCell ref="DG5:DG10"/>
    <mergeCell ref="DH5:DH10"/>
    <mergeCell ref="DI5:DI10"/>
    <mergeCell ref="CX5:CX10"/>
    <mergeCell ref="CY5:CY10"/>
    <mergeCell ref="CZ5:CZ10"/>
    <mergeCell ref="DA5:DA10"/>
    <mergeCell ref="FX5:FX10"/>
    <mergeCell ref="FY5:FY10"/>
    <mergeCell ref="FZ5:FZ10"/>
    <mergeCell ref="DV5:DV10"/>
    <mergeCell ref="DW5:DW10"/>
    <mergeCell ref="DX5:DX10"/>
    <mergeCell ref="DY5:DY10"/>
    <mergeCell ref="DT5:DT10"/>
    <mergeCell ref="DU5:DU10"/>
    <mergeCell ref="DZ5:DZ10"/>
    <mergeCell ref="EA5:EA10"/>
    <mergeCell ref="EB5:EB10"/>
    <mergeCell ref="EC5:EC10"/>
    <mergeCell ref="FM5:FM10"/>
    <mergeCell ref="FN5:FN10"/>
    <mergeCell ref="FU5:FU10"/>
    <mergeCell ref="FV5:FV10"/>
    <mergeCell ref="FW5:FW10"/>
    <mergeCell ref="ED5:ED10"/>
    <mergeCell ref="EE5:EE10"/>
    <mergeCell ref="EF5:EF10"/>
    <mergeCell ref="EG5:EG10"/>
    <mergeCell ref="EH5:EH10"/>
    <mergeCell ref="EI5:EI10"/>
    <mergeCell ref="HA5:HA10"/>
    <mergeCell ref="HB5:HB10"/>
    <mergeCell ref="HC5:HC10"/>
    <mergeCell ref="HD5:HD10"/>
    <mergeCell ref="GY5:GY10"/>
    <mergeCell ref="GZ5:GZ10"/>
    <mergeCell ref="GO5:GO10"/>
    <mergeCell ref="GP5:GP10"/>
    <mergeCell ref="GQ5:GQ10"/>
    <mergeCell ref="GR5:GR10"/>
    <mergeCell ref="GT5:GT10"/>
    <mergeCell ref="GU5:GU10"/>
    <mergeCell ref="GV5:GV10"/>
    <mergeCell ref="GW5:GW10"/>
    <mergeCell ref="GX5:GX10"/>
    <mergeCell ref="IU5:IU10"/>
    <mergeCell ref="IV5:IV10"/>
    <mergeCell ref="IK5:IK10"/>
    <mergeCell ref="IL5:IL10"/>
    <mergeCell ref="IM5:IM10"/>
    <mergeCell ref="IN5:IN10"/>
    <mergeCell ref="II5:II10"/>
    <mergeCell ref="IJ5:IJ10"/>
    <mergeCell ref="HY5:HY10"/>
    <mergeCell ref="HZ5:HZ10"/>
    <mergeCell ref="IA5:IA10"/>
    <mergeCell ref="IB5:IB10"/>
    <mergeCell ref="IG5:IG10"/>
    <mergeCell ref="IH5:IH10"/>
    <mergeCell ref="ID5:ID10"/>
    <mergeCell ref="IE5:IE10"/>
    <mergeCell ref="IF5:IF10"/>
    <mergeCell ref="NA5:NA10"/>
    <mergeCell ref="MP5:MP10"/>
    <mergeCell ref="MQ5:MQ10"/>
    <mergeCell ref="MR5:MR10"/>
    <mergeCell ref="MS5:MS10"/>
    <mergeCell ref="JG5:JG10"/>
    <mergeCell ref="JH5:JH10"/>
    <mergeCell ref="IW5:IW10"/>
    <mergeCell ref="IX5:IX10"/>
    <mergeCell ref="IY5:IY10"/>
    <mergeCell ref="IZ5:IZ10"/>
    <mergeCell ref="MN9:MN10"/>
    <mergeCell ref="MO9:MO10"/>
    <mergeCell ref="MD9:MD10"/>
    <mergeCell ref="ME9:ME10"/>
    <mergeCell ref="MF9:MF10"/>
    <mergeCell ref="MG9:MG10"/>
    <mergeCell ref="MB9:MB10"/>
    <mergeCell ref="MC9:MC10"/>
    <mergeCell ref="LR9:LR10"/>
    <mergeCell ref="LS9:LS10"/>
    <mergeCell ref="LT9:LT10"/>
    <mergeCell ref="LU9:LU10"/>
    <mergeCell ref="LP9:LP10"/>
    <mergeCell ref="NV6:NV10"/>
    <mergeCell ref="NW6:NW10"/>
    <mergeCell ref="NX6:NX10"/>
    <mergeCell ref="NY6:NY10"/>
    <mergeCell ref="NL5:NL10"/>
    <mergeCell ref="NM5:NM10"/>
    <mergeCell ref="NB5:NB10"/>
    <mergeCell ref="NC5:NC10"/>
    <mergeCell ref="ND5:ND10"/>
    <mergeCell ref="NE5:NE10"/>
    <mergeCell ref="NP4:NP10"/>
    <mergeCell ref="NQ4:NQ10"/>
    <mergeCell ref="NR4:NR10"/>
    <mergeCell ref="NS4:NS10"/>
    <mergeCell ref="NT6:NT10"/>
    <mergeCell ref="NU6:NU10"/>
    <mergeCell ref="LQ9:LQ10"/>
    <mergeCell ref="LF9:LF10"/>
    <mergeCell ref="LG9:LG10"/>
    <mergeCell ref="LH9:LH10"/>
    <mergeCell ref="LI9:LI10"/>
    <mergeCell ref="LD9:LD10"/>
    <mergeCell ref="T22:W22"/>
    <mergeCell ref="T23:W23"/>
    <mergeCell ref="T24:W24"/>
    <mergeCell ref="T16:W16"/>
    <mergeCell ref="T17:W17"/>
    <mergeCell ref="T18:W18"/>
    <mergeCell ref="T19:W19"/>
    <mergeCell ref="T20:W20"/>
    <mergeCell ref="T21:W21"/>
    <mergeCell ref="BM5:BM10"/>
    <mergeCell ref="CP5:CP10"/>
    <mergeCell ref="CQ5:CQ10"/>
    <mergeCell ref="CR5:CR10"/>
    <mergeCell ref="CS5:CS10"/>
    <mergeCell ref="CT5:CT10"/>
    <mergeCell ref="CU5:CU10"/>
    <mergeCell ref="CD5:CD10"/>
    <mergeCell ref="CE5:CE10"/>
    <mergeCell ref="T37:W37"/>
    <mergeCell ref="T38:W38"/>
    <mergeCell ref="T39:W39"/>
    <mergeCell ref="T28:W28"/>
    <mergeCell ref="T29:W29"/>
    <mergeCell ref="T30:W30"/>
    <mergeCell ref="T31:W31"/>
    <mergeCell ref="T32:W32"/>
    <mergeCell ref="T33:W33"/>
    <mergeCell ref="T46:W46"/>
    <mergeCell ref="T47:W47"/>
    <mergeCell ref="B58:C58"/>
    <mergeCell ref="T57:W57"/>
    <mergeCell ref="H58:H59"/>
    <mergeCell ref="B59:C59"/>
    <mergeCell ref="A60:Q61"/>
    <mergeCell ref="T40:W40"/>
    <mergeCell ref="T41:W41"/>
    <mergeCell ref="T42:W42"/>
    <mergeCell ref="T43:W43"/>
    <mergeCell ref="T44:W44"/>
    <mergeCell ref="T45:W45"/>
    <mergeCell ref="T48:W48"/>
    <mergeCell ref="T53:W53"/>
    <mergeCell ref="T56:W56"/>
    <mergeCell ref="T54:W54"/>
    <mergeCell ref="T55:W55"/>
    <mergeCell ref="S69:W69"/>
    <mergeCell ref="S70:W70"/>
    <mergeCell ref="S71:W71"/>
    <mergeCell ref="S72:W72"/>
    <mergeCell ref="S73:W73"/>
    <mergeCell ref="S74:W74"/>
    <mergeCell ref="O62:P62"/>
    <mergeCell ref="S65:W65"/>
    <mergeCell ref="S66:W66"/>
    <mergeCell ref="S67:W67"/>
    <mergeCell ref="S68:W68"/>
    <mergeCell ref="S120:W120"/>
    <mergeCell ref="L111:O111"/>
    <mergeCell ref="S85:W85"/>
    <mergeCell ref="S102:W102"/>
    <mergeCell ref="S103:W103"/>
    <mergeCell ref="S104:W104"/>
    <mergeCell ref="S105:W105"/>
    <mergeCell ref="S75:W75"/>
    <mergeCell ref="S79:W79"/>
    <mergeCell ref="S80:W80"/>
    <mergeCell ref="S81:W81"/>
    <mergeCell ref="S82:W82"/>
    <mergeCell ref="S83:W83"/>
    <mergeCell ref="S84:W84"/>
    <mergeCell ref="S116:W116"/>
    <mergeCell ref="S117:W117"/>
    <mergeCell ref="S118:W118"/>
    <mergeCell ref="S119:W119"/>
    <mergeCell ref="S106:W106"/>
    <mergeCell ref="S107:W107"/>
    <mergeCell ref="S108:W108"/>
    <mergeCell ref="S113:W113"/>
    <mergeCell ref="S109:W109"/>
    <mergeCell ref="S154:W154"/>
    <mergeCell ref="S155:W155"/>
    <mergeCell ref="S156:W156"/>
    <mergeCell ref="S157:W157"/>
    <mergeCell ref="S158:W158"/>
    <mergeCell ref="S159:W159"/>
    <mergeCell ref="S141:W141"/>
    <mergeCell ref="S142:W142"/>
    <mergeCell ref="S150:W150"/>
    <mergeCell ref="S151:W151"/>
    <mergeCell ref="S152:W152"/>
    <mergeCell ref="S153:W153"/>
    <mergeCell ref="S180:W180"/>
    <mergeCell ref="S169:W169"/>
    <mergeCell ref="S170:W170"/>
    <mergeCell ref="S171:W171"/>
    <mergeCell ref="S172:W172"/>
    <mergeCell ref="S173:W173"/>
    <mergeCell ref="S174:W174"/>
    <mergeCell ref="S160:W160"/>
    <mergeCell ref="S161:W161"/>
    <mergeCell ref="S162:W162"/>
    <mergeCell ref="S163:W163"/>
    <mergeCell ref="S164:W164"/>
    <mergeCell ref="S165:W165"/>
    <mergeCell ref="S216:W216"/>
    <mergeCell ref="S205:W205"/>
    <mergeCell ref="S206:W206"/>
    <mergeCell ref="S209:W209"/>
    <mergeCell ref="S187:W187"/>
    <mergeCell ref="S188:W188"/>
    <mergeCell ref="S189:W189"/>
    <mergeCell ref="K195:L195"/>
    <mergeCell ref="S190:W190"/>
    <mergeCell ref="K197:L197"/>
    <mergeCell ref="K196:L196"/>
    <mergeCell ref="S224:W224"/>
    <mergeCell ref="S227:W227"/>
    <mergeCell ref="S228:W228"/>
    <mergeCell ref="C224:F224"/>
    <mergeCell ref="S225:W225"/>
    <mergeCell ref="C228:F228"/>
    <mergeCell ref="S229:W229"/>
    <mergeCell ref="S218:W218"/>
    <mergeCell ref="S219:W219"/>
    <mergeCell ref="S223:W223"/>
    <mergeCell ref="C219:F219"/>
    <mergeCell ref="S220:W220"/>
    <mergeCell ref="S237:W237"/>
    <mergeCell ref="S242:W242"/>
    <mergeCell ref="F243:G243"/>
    <mergeCell ref="L243:M243"/>
    <mergeCell ref="S243:W243"/>
    <mergeCell ref="C237:F237"/>
    <mergeCell ref="S238:W238"/>
    <mergeCell ref="S232:W232"/>
    <mergeCell ref="S233:W233"/>
    <mergeCell ref="S236:W236"/>
    <mergeCell ref="C233:F233"/>
    <mergeCell ref="S234:W234"/>
    <mergeCell ref="B248:E248"/>
    <mergeCell ref="F244:G244"/>
    <mergeCell ref="L244:M244"/>
    <mergeCell ref="S244:W244"/>
    <mergeCell ref="F245:G245"/>
    <mergeCell ref="S245:W245"/>
    <mergeCell ref="F246:G246"/>
    <mergeCell ref="S246:W246"/>
    <mergeCell ref="L245:M245"/>
    <mergeCell ref="S249:W249"/>
    <mergeCell ref="L250:M250"/>
    <mergeCell ref="S250:W250"/>
    <mergeCell ref="L251:M251"/>
    <mergeCell ref="S251:W251"/>
    <mergeCell ref="F252:G252"/>
    <mergeCell ref="F247:G247"/>
    <mergeCell ref="S247:W247"/>
    <mergeCell ref="F248:G248"/>
    <mergeCell ref="S248:W248"/>
    <mergeCell ref="F249:G249"/>
    <mergeCell ref="L257:M257"/>
    <mergeCell ref="L252:M252"/>
    <mergeCell ref="S252:W252"/>
    <mergeCell ref="F253:G253"/>
    <mergeCell ref="S253:W253"/>
    <mergeCell ref="F254:G254"/>
    <mergeCell ref="S254:W254"/>
    <mergeCell ref="I252:K252"/>
    <mergeCell ref="L253:M253"/>
    <mergeCell ref="O253:Q254"/>
    <mergeCell ref="A2:Q2"/>
    <mergeCell ref="P4:Q4"/>
    <mergeCell ref="NO4:NO10"/>
    <mergeCell ref="AC5:AC10"/>
    <mergeCell ref="AD5:AD10"/>
    <mergeCell ref="AE5:AE10"/>
    <mergeCell ref="AF5:AF10"/>
    <mergeCell ref="F268:G268"/>
    <mergeCell ref="L268:M268"/>
    <mergeCell ref="S268:W268"/>
    <mergeCell ref="F266:G266"/>
    <mergeCell ref="L266:M266"/>
    <mergeCell ref="S266:W266"/>
    <mergeCell ref="F267:G267"/>
    <mergeCell ref="L267:M267"/>
    <mergeCell ref="S267:W267"/>
    <mergeCell ref="F263:G263"/>
    <mergeCell ref="S263:W263"/>
    <mergeCell ref="F264:G264"/>
    <mergeCell ref="S264:W264"/>
    <mergeCell ref="F265:G265"/>
    <mergeCell ref="S265:W265"/>
    <mergeCell ref="L263:M263"/>
    <mergeCell ref="F261:G261"/>
    <mergeCell ref="Q5:Q10"/>
    <mergeCell ref="X5:X10"/>
    <mergeCell ref="Y5:Y10"/>
    <mergeCell ref="Z5:Z10"/>
    <mergeCell ref="AA5:AA10"/>
    <mergeCell ref="AB5:AB10"/>
    <mergeCell ref="LE9:LE10"/>
    <mergeCell ref="KT9:KT10"/>
    <mergeCell ref="KU9:KU10"/>
    <mergeCell ref="KV9:KV10"/>
    <mergeCell ref="KW9:KW10"/>
    <mergeCell ref="KR9:KR10"/>
    <mergeCell ref="KS9:KS10"/>
    <mergeCell ref="KH9:KH10"/>
    <mergeCell ref="KI9:KI10"/>
    <mergeCell ref="KJ9:KJ10"/>
    <mergeCell ref="KK9:KK10"/>
    <mergeCell ref="JV9:JV10"/>
    <mergeCell ref="JW9:JW10"/>
    <mergeCell ref="BH5:BH10"/>
    <mergeCell ref="BI5:BI10"/>
    <mergeCell ref="BJ5:BJ10"/>
    <mergeCell ref="BK5:BK10"/>
    <mergeCell ref="BL5:BL10"/>
    <mergeCell ref="MZ5:MZ10"/>
    <mergeCell ref="AT5:AT10"/>
    <mergeCell ref="AU5:AU10"/>
    <mergeCell ref="AV5:AV10"/>
    <mergeCell ref="AW5:AW10"/>
    <mergeCell ref="AX5:AX10"/>
    <mergeCell ref="AY5:AY10"/>
    <mergeCell ref="AG5:AG10"/>
    <mergeCell ref="AH5:AH10"/>
    <mergeCell ref="AI5:AI10"/>
    <mergeCell ref="AJ5:AJ10"/>
    <mergeCell ref="AK5:AK10"/>
    <mergeCell ref="AL5:AL10"/>
    <mergeCell ref="AM5:AM10"/>
    <mergeCell ref="AN5:AN10"/>
    <mergeCell ref="AO5:AO10"/>
    <mergeCell ref="BR5:BR10"/>
    <mergeCell ref="BS5:BS10"/>
    <mergeCell ref="BT5:BT10"/>
    <mergeCell ref="BU5:BU10"/>
    <mergeCell ref="BV5:BV10"/>
    <mergeCell ref="BW5:BW10"/>
    <mergeCell ref="BF5:BF10"/>
    <mergeCell ref="BG5:BG10"/>
    <mergeCell ref="DJ5:DJ10"/>
    <mergeCell ref="DK5:DK10"/>
    <mergeCell ref="DL5:DL10"/>
    <mergeCell ref="FO5:FO10"/>
    <mergeCell ref="FP5:FP10"/>
    <mergeCell ref="GS5:GS10"/>
    <mergeCell ref="GG5:GG10"/>
    <mergeCell ref="GH5:GH10"/>
    <mergeCell ref="GI5:GI10"/>
    <mergeCell ref="GJ5:GJ10"/>
    <mergeCell ref="GK5:GK10"/>
    <mergeCell ref="GL5:GL10"/>
    <mergeCell ref="GM5:GM10"/>
    <mergeCell ref="GN5:GN10"/>
    <mergeCell ref="GC5:GC10"/>
    <mergeCell ref="GD5:GD10"/>
    <mergeCell ref="GE5:GE10"/>
    <mergeCell ref="GF5:GF10"/>
    <mergeCell ref="GA5:GA10"/>
    <mergeCell ref="GB5:GB10"/>
    <mergeCell ref="FQ5:FQ10"/>
    <mergeCell ref="FR5:FR10"/>
    <mergeCell ref="FS5:FS10"/>
    <mergeCell ref="FT5:FT10"/>
    <mergeCell ref="HW5:HW10"/>
    <mergeCell ref="HX5:HX10"/>
    <mergeCell ref="HM5:HM10"/>
    <mergeCell ref="HN5:HN10"/>
    <mergeCell ref="HO5:HO10"/>
    <mergeCell ref="HP5:HP10"/>
    <mergeCell ref="HK5:HK10"/>
    <mergeCell ref="HL5:HL10"/>
    <mergeCell ref="A6:A10"/>
    <mergeCell ref="H6:J6"/>
    <mergeCell ref="L6:N7"/>
    <mergeCell ref="G9:G10"/>
    <mergeCell ref="HQ5:HQ10"/>
    <mergeCell ref="HR5:HR10"/>
    <mergeCell ref="HS5:HS10"/>
    <mergeCell ref="HT5:HT10"/>
    <mergeCell ref="HU5:HU10"/>
    <mergeCell ref="HV5:HV10"/>
    <mergeCell ref="HE5:HE10"/>
    <mergeCell ref="HF5:HF10"/>
    <mergeCell ref="HG5:HG10"/>
    <mergeCell ref="HH5:HH10"/>
    <mergeCell ref="HI5:HI10"/>
    <mergeCell ref="HJ5:HJ10"/>
    <mergeCell ref="JI9:JI10"/>
    <mergeCell ref="JN9:JN10"/>
    <mergeCell ref="JO9:JO10"/>
    <mergeCell ref="NF5:NF10"/>
    <mergeCell ref="NG5:NG10"/>
    <mergeCell ref="NH5:NH10"/>
    <mergeCell ref="NI5:NI10"/>
    <mergeCell ref="NJ5:NJ10"/>
    <mergeCell ref="NK5:NK10"/>
    <mergeCell ref="MT5:MT10"/>
    <mergeCell ref="MU5:MU10"/>
    <mergeCell ref="MV5:MV10"/>
    <mergeCell ref="MW5:MW10"/>
    <mergeCell ref="MX5:MX10"/>
    <mergeCell ref="MY5:MY10"/>
    <mergeCell ref="KL9:KL10"/>
    <mergeCell ref="KM9:KM10"/>
    <mergeCell ref="KN9:KN10"/>
    <mergeCell ref="KO9:KO10"/>
    <mergeCell ref="KP9:KP10"/>
    <mergeCell ref="KQ9:KQ10"/>
    <mergeCell ref="JP9:JP10"/>
    <mergeCell ref="JQ9:JQ10"/>
    <mergeCell ref="JR9:JR10"/>
    <mergeCell ref="JA5:JA10"/>
    <mergeCell ref="JB5:JB10"/>
    <mergeCell ref="JC5:JC10"/>
    <mergeCell ref="NZ6:NZ10"/>
    <mergeCell ref="OA6:OA10"/>
    <mergeCell ref="OB6:OB10"/>
    <mergeCell ref="OC6:OC10"/>
    <mergeCell ref="I7:I10"/>
    <mergeCell ref="R7:S7"/>
    <mergeCell ref="O8:P8"/>
    <mergeCell ref="J9:J10"/>
    <mergeCell ref="L9:M9"/>
    <mergeCell ref="P9:P10"/>
    <mergeCell ref="NN5:NN10"/>
    <mergeCell ref="JD5:JD10"/>
    <mergeCell ref="JE5:JE10"/>
    <mergeCell ref="JF5:JF10"/>
    <mergeCell ref="IO5:IO10"/>
    <mergeCell ref="IP5:IP10"/>
    <mergeCell ref="IQ5:IQ10"/>
    <mergeCell ref="IR5:IR10"/>
    <mergeCell ref="IS5:IS10"/>
    <mergeCell ref="IT5:IT10"/>
    <mergeCell ref="IC5:IC10"/>
    <mergeCell ref="JS9:JS10"/>
    <mergeCell ref="JT9:JT10"/>
    <mergeCell ref="JU9:JU10"/>
    <mergeCell ref="LJ9:LJ10"/>
    <mergeCell ref="LK9:LK10"/>
    <mergeCell ref="LL9:LL10"/>
    <mergeCell ref="LM9:LM10"/>
    <mergeCell ref="LN9:LN10"/>
    <mergeCell ref="LO9:LO10"/>
    <mergeCell ref="KX9:KX10"/>
    <mergeCell ref="KY9:KY10"/>
    <mergeCell ref="KZ9:KZ10"/>
    <mergeCell ref="LA9:LA10"/>
    <mergeCell ref="LB9:LB10"/>
    <mergeCell ref="LC9:LC10"/>
    <mergeCell ref="MH9:MH10"/>
    <mergeCell ref="MI9:MI10"/>
    <mergeCell ref="MJ9:MJ10"/>
    <mergeCell ref="MK9:MK10"/>
    <mergeCell ref="ML9:ML10"/>
    <mergeCell ref="MM9:MM10"/>
    <mergeCell ref="LV9:LV10"/>
    <mergeCell ref="LW9:LW10"/>
    <mergeCell ref="LX9:LX10"/>
    <mergeCell ref="LY9:LY10"/>
    <mergeCell ref="LZ9:LZ10"/>
    <mergeCell ref="MA9:MA10"/>
    <mergeCell ref="C131:D136"/>
    <mergeCell ref="E137:F138"/>
    <mergeCell ref="A141:D141"/>
    <mergeCell ref="S143:W143"/>
    <mergeCell ref="S62:V62"/>
    <mergeCell ref="O63:P63"/>
    <mergeCell ref="A65:B82"/>
    <mergeCell ref="Q65:Q72"/>
    <mergeCell ref="S76:W76"/>
    <mergeCell ref="C78:F79"/>
    <mergeCell ref="D82:F87"/>
    <mergeCell ref="S86:W86"/>
    <mergeCell ref="S136:W136"/>
    <mergeCell ref="S137:W137"/>
    <mergeCell ref="S138:W138"/>
    <mergeCell ref="S139:W139"/>
    <mergeCell ref="S140:W140"/>
    <mergeCell ref="S131:W131"/>
    <mergeCell ref="S132:W132"/>
    <mergeCell ref="S133:W133"/>
    <mergeCell ref="S134:W134"/>
    <mergeCell ref="S135:W135"/>
    <mergeCell ref="S114:W114"/>
    <mergeCell ref="S115:W115"/>
    <mergeCell ref="H201:I201"/>
    <mergeCell ref="C206:F206"/>
    <mergeCell ref="S207:W207"/>
    <mergeCell ref="C210:F210"/>
    <mergeCell ref="S211:W211"/>
    <mergeCell ref="C215:F215"/>
    <mergeCell ref="S166:W166"/>
    <mergeCell ref="L149:O149"/>
    <mergeCell ref="S167:V167"/>
    <mergeCell ref="C169:D175"/>
    <mergeCell ref="Q176:Q178"/>
    <mergeCell ref="S176:W176"/>
    <mergeCell ref="S178:U178"/>
    <mergeCell ref="S210:W210"/>
    <mergeCell ref="S214:W214"/>
    <mergeCell ref="S215:W215"/>
    <mergeCell ref="S181:W181"/>
    <mergeCell ref="S182:W182"/>
    <mergeCell ref="S183:W183"/>
    <mergeCell ref="S184:W184"/>
    <mergeCell ref="S185:W185"/>
    <mergeCell ref="S186:W186"/>
    <mergeCell ref="S175:W175"/>
    <mergeCell ref="S179:W179"/>
    <mergeCell ref="B257:E257"/>
    <mergeCell ref="R257:R263"/>
    <mergeCell ref="F258:G258"/>
    <mergeCell ref="O258:Q258"/>
    <mergeCell ref="I262:J262"/>
    <mergeCell ref="L261:M261"/>
    <mergeCell ref="F255:G255"/>
    <mergeCell ref="L249:M249"/>
    <mergeCell ref="S277:W277"/>
    <mergeCell ref="S261:W261"/>
    <mergeCell ref="F262:G262"/>
    <mergeCell ref="L262:M262"/>
    <mergeCell ref="S262:W262"/>
    <mergeCell ref="S257:W257"/>
    <mergeCell ref="L258:M258"/>
    <mergeCell ref="S258:W258"/>
    <mergeCell ref="L259:M259"/>
    <mergeCell ref="S259:W259"/>
    <mergeCell ref="L260:M260"/>
    <mergeCell ref="S260:W260"/>
    <mergeCell ref="S255:W255"/>
    <mergeCell ref="F256:G256"/>
    <mergeCell ref="S256:W256"/>
    <mergeCell ref="F257:G257"/>
    <mergeCell ref="A283:M283"/>
    <mergeCell ref="N283:Q283"/>
    <mergeCell ref="R283:U283"/>
    <mergeCell ref="B268:E268"/>
    <mergeCell ref="I268:K268"/>
    <mergeCell ref="F269:G269"/>
    <mergeCell ref="L269:M269"/>
    <mergeCell ref="S269:W269"/>
    <mergeCell ref="F275:G275"/>
    <mergeCell ref="S273:W273"/>
    <mergeCell ref="L279:M279"/>
    <mergeCell ref="L278:M278"/>
    <mergeCell ref="L277:M277"/>
    <mergeCell ref="L275:M275"/>
    <mergeCell ref="L280:M280"/>
    <mergeCell ref="O266:Q268"/>
  </mergeCells>
  <conditionalFormatting sqref="A6:A10">
    <cfRule type="cellIs" dxfId="105" priority="4" operator="equal">
      <formula>"Finish Row!"</formula>
    </cfRule>
  </conditionalFormatting>
  <conditionalFormatting sqref="A11:A57">
    <cfRule type="cellIs" dxfId="104" priority="18" stopIfTrue="1" operator="equal">
      <formula>1</formula>
    </cfRule>
  </conditionalFormatting>
  <conditionalFormatting sqref="B59:C59">
    <cfRule type="cellIs" dxfId="103" priority="11" operator="greaterThan">
      <formula>60.0000001</formula>
    </cfRule>
  </conditionalFormatting>
  <conditionalFormatting sqref="H11:I11">
    <cfRule type="expression" priority="16" stopIfTrue="1">
      <formula>AND($B11="PHA", $H11&gt;0)</formula>
    </cfRule>
  </conditionalFormatting>
  <conditionalFormatting sqref="J11:J57">
    <cfRule type="expression" priority="15" stopIfTrue="1">
      <formula>AND($B11="PHA", $H11&gt;0)</formula>
    </cfRule>
  </conditionalFormatting>
  <conditionalFormatting sqref="K102:P145 K149:O149 K65:P76 K146:L146 K147:K148 P167 K168:P190">
    <cfRule type="cellIs" dxfId="102" priority="12" operator="equal">
      <formula>0</formula>
    </cfRule>
  </conditionalFormatting>
  <conditionalFormatting sqref="K149:P166">
    <cfRule type="cellIs" dxfId="101" priority="2" operator="equal">
      <formula>0</formula>
    </cfRule>
  </conditionalFormatting>
  <conditionalFormatting sqref="L111:O111">
    <cfRule type="cellIs" dxfId="100" priority="6" operator="equal">
      <formula>"&lt;&lt; Select LIHTC Election &gt;&gt;"</formula>
    </cfRule>
    <cfRule type="containsText" dxfId="99" priority="8" operator="containsText" text="&lt;&lt; Select Election or Income Averaging &gt;&gt;">
      <formula>NOT(ISERROR(SEARCH("&lt;&lt; Select Election or Income Averaging &gt;&gt;",L111)))</formula>
    </cfRule>
  </conditionalFormatting>
  <conditionalFormatting sqref="L149:O149">
    <cfRule type="cellIs" dxfId="98" priority="5" operator="equal">
      <formula>"&lt;&lt; Select LIHTC Election &gt;&gt;"</formula>
    </cfRule>
    <cfRule type="containsText" dxfId="97" priority="7" operator="containsText" text="&lt;&lt; Select Election or Income Averaging &gt;&gt;">
      <formula>NOT(ISERROR(SEARCH("&lt;&lt; Select Election or Income Averaging &gt;&gt;",L149)))</formula>
    </cfRule>
  </conditionalFormatting>
  <conditionalFormatting sqref="P201">
    <cfRule type="cellIs" dxfId="96" priority="14" operator="greaterThan">
      <formula>0.02</formula>
    </cfRule>
  </conditionalFormatting>
  <conditionalFormatting sqref="Q11:Q57">
    <cfRule type="expression" dxfId="95" priority="13">
      <formula>AND($P$11="New Construction",$Q$11="Yes")</formula>
    </cfRule>
  </conditionalFormatting>
  <conditionalFormatting sqref="U78 U144:U149">
    <cfRule type="cellIs" dxfId="94" priority="3" stopIfTrue="1" operator="greaterThan">
      <formula>0</formula>
    </cfRule>
  </conditionalFormatting>
  <conditionalFormatting sqref="U100:U101 U110:U112 U130">
    <cfRule type="cellIs" dxfId="93" priority="17" stopIfTrue="1" operator="greaterThan">
      <formula>0</formula>
    </cfRule>
  </conditionalFormatting>
  <conditionalFormatting sqref="U121">
    <cfRule type="cellIs" dxfId="92" priority="1" stopIfTrue="1" operator="greaterThan">
      <formula>0</formula>
    </cfRule>
  </conditionalFormatting>
  <conditionalFormatting sqref="U177">
    <cfRule type="cellIs" dxfId="91" priority="10" stopIfTrue="1" operator="greaterThan">
      <formula>0</formula>
    </cfRule>
  </conditionalFormatting>
  <dataValidations count="15">
    <dataValidation type="list" showInputMessage="1" showErrorMessage="1" sqref="O63:P63" xr:uid="{54C11A48-5FD4-4649-B29C-EFE0620803F7}">
      <formula1>"&lt;&lt; Select &gt;&gt;, 20% of HOME-Assisted Units at 50% of AMI, No, N/a"</formula1>
    </dataValidation>
    <dataValidation type="list" allowBlank="1" showInputMessage="1" showErrorMessage="1" sqref="O62" xr:uid="{71251015-420A-4EFD-96A0-C7732657EC43}">
      <formula1>"&lt;&lt; Select LIHTC Election &gt;&gt;,Income Averaging, 20% of Units at 50% of AMI, 40% of Units at 60% of AMI"</formula1>
    </dataValidation>
    <dataValidation type="list" allowBlank="1" showInputMessage="1" showErrorMessage="1" sqref="L277:L278" xr:uid="{5FC1A58B-2FBA-45AF-8553-E65D660CB860}">
      <formula1>"&lt;&lt;Select&gt;&gt;,Yes, No"</formula1>
    </dataValidation>
    <dataValidation type="list" allowBlank="1" showInputMessage="1" showErrorMessage="1" sqref="B18:B57" xr:uid="{7E39ED4A-6D23-4838-ABC2-41732840F984}">
      <formula1>"20, 30, 40, 50, 60, 70, 80"</formula1>
    </dataValidation>
    <dataValidation type="list" allowBlank="1" showInputMessage="1" showErrorMessage="1" sqref="B11:B17" xr:uid="{AC924C82-96F1-4C8C-B50E-C7646717018D}">
      <formula1>"Select Mkt/CS, Unrestricted, N/A-CS"</formula1>
    </dataValidation>
    <dataValidation type="list" allowBlank="1" showInputMessage="1" showErrorMessage="1" sqref="G7" xr:uid="{68FBDCCE-4667-4341-B284-08A1F063BE85}">
      <formula1>"&lt;Select&gt;,Yes, No"</formula1>
    </dataValidation>
    <dataValidation type="list" allowBlank="1" showInputMessage="1" showErrorMessage="1" errorTitle="Invalid Entry" error="Please select from the choices provided." promptTitle="Historic Designation" prompt="Indicate &quot;Yes&quot; if the unit(s) on this row will be included in that part of the project for which scoring points will be requested under Historic Preservation.  However, the Type of Activity selected on this row must not be &quot;New Construction&quot;." sqref="Q11:Q57" xr:uid="{76C902D2-4A48-4F17-A8A2-AD543909FDE0}">
      <formula1>"Yes, No"</formula1>
    </dataValidation>
    <dataValidation type="list" allowBlank="1" showInputMessage="1" showErrorMessage="1" errorTitle="Invalid Entry" error="Please select from the choices provided." sqref="P11:P57" xr:uid="{3484BBE9-C268-4DE2-B3E1-28F6F5808B19}">
      <formula1>"New Construction, Rehabilitation, Acquisition/Rehab"</formula1>
    </dataValidation>
    <dataValidation type="list" allowBlank="1" showInputMessage="1" showErrorMessage="1" sqref="D11:D57" xr:uid="{593409DF-1C69-408E-A914-E374F6A1D036}">
      <formula1>"0, 1.0, 1.5, 2.0, 2.5, 3.0, 3.5, 4.0"</formula1>
    </dataValidation>
    <dataValidation type="list" allowBlank="1" showInputMessage="1" showErrorMessage="1" sqref="C11:C57" xr:uid="{06758738-E278-4EB8-810A-3ECC10F949B1}">
      <formula1>"Efficiency, 1, 2, 3, 4"</formula1>
    </dataValidation>
    <dataValidation type="list" allowBlank="1" showInputMessage="1" showErrorMessage="1" sqref="O11:O57" xr:uid="{8A41BCA3-3815-4194-92A1-38E194D0526C}">
      <formula1>"SF Detached, Semi-Detached, Row House/TH, Low-Rise Apt, Low-Rise Elevator, High-Rise Apt, High-Rise Elevator, Mfd Home"</formula1>
    </dataValidation>
    <dataValidation type="list" allowBlank="1" showErrorMessage="1" sqref="N11:N57" xr:uid="{0CD7147B-DCC7-430A-944E-7093F95E1A4B}">
      <formula1>"No, Common Space, Residential"</formula1>
    </dataValidation>
    <dataValidation type="list" allowBlank="1" showInputMessage="1" showErrorMessage="1" sqref="K11:K57" xr:uid="{256AFECF-CEFA-4145-8670-AB6FDA291228}">
      <formula1>"HUD, PHA PBRA, USDA 515, Other Govt,RAD, PBV, PHA Oper Sub"</formula1>
    </dataValidation>
    <dataValidation type="list" allowBlank="1" showInputMessage="1" showErrorMessage="1" sqref="G6" xr:uid="{B11C4CF9-3575-4186-B045-D8C8BA84FC5E}">
      <formula1>"&lt;Select&gt;,Fixed, Floating"</formula1>
    </dataValidation>
    <dataValidation type="list" allowBlank="1" showInputMessage="1" showErrorMessage="1" sqref="K145:K146" xr:uid="{E8B187DD-AF32-4CFE-8154-BB44D42FBE0A}">
      <formula1>"Yes, No"</formula1>
    </dataValidation>
  </dataValidations>
  <printOptions horizontalCentered="1"/>
  <pageMargins left="0.25" right="0.25" top="0.5" bottom="0.25" header="0.25" footer="0.25"/>
  <pageSetup scale="81"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 &amp;R&amp;P of &amp;N</oddFooter>
  </headerFooter>
  <rowBreaks count="6" manualBreakCount="6">
    <brk id="61" max="16383" man="1"/>
    <brk id="109" max="16383" man="1"/>
    <brk id="147" max="16383" man="1"/>
    <brk id="198" max="16383" man="1"/>
    <brk id="239" max="16383" man="1"/>
    <brk id="281" max="16383" man="1"/>
  </rowBreaks>
  <ignoredErrors>
    <ignoredError sqref="J19:J33 J46:J49 J34:J45 J50:J57" unlockedFormula="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A36E-EB29-4166-8B24-6265561A461A}">
  <sheetPr codeName="Sheet22">
    <pageSetUpPr fitToPage="1"/>
  </sheetPr>
  <dimension ref="A1:AA175"/>
  <sheetViews>
    <sheetView showGridLines="0" topLeftCell="A29" zoomScale="70" zoomScaleNormal="70" workbookViewId="0">
      <selection activeCell="N82" sqref="N82:O82"/>
    </sheetView>
  </sheetViews>
  <sheetFormatPr defaultColWidth="8.77734375" defaultRowHeight="13.2"/>
  <cols>
    <col min="1" max="1" width="22.21875" style="4" customWidth="1"/>
    <col min="2" max="11" width="12" style="4" customWidth="1"/>
    <col min="12" max="13" width="2.21875" style="4" customWidth="1"/>
    <col min="14" max="14" width="19.21875" style="4" customWidth="1"/>
    <col min="15" max="15" width="83" style="4" customWidth="1"/>
    <col min="16" max="16" width="8.77734375" style="4"/>
    <col min="17" max="17" width="5.21875" style="4" customWidth="1"/>
    <col min="18" max="18" width="12.21875" style="4" customWidth="1"/>
    <col min="19" max="19" width="12.44140625" style="4" customWidth="1"/>
    <col min="20" max="25" width="8.77734375" style="4"/>
    <col min="26" max="26" width="10.77734375" style="1794" bestFit="1" customWidth="1"/>
    <col min="27" max="27" width="8.77734375" style="1795"/>
    <col min="28" max="16384" width="8.77734375" style="4"/>
  </cols>
  <sheetData>
    <row r="1" spans="1:27" s="1166" customFormat="1" hidden="1">
      <c r="B1" s="1166" t="s">
        <v>1368</v>
      </c>
      <c r="C1" s="1166" t="s">
        <v>1369</v>
      </c>
      <c r="D1" s="1166" t="s">
        <v>1370</v>
      </c>
      <c r="E1" s="1166" t="s">
        <v>1371</v>
      </c>
      <c r="F1" s="1166" t="s">
        <v>1372</v>
      </c>
      <c r="G1" s="1166" t="s">
        <v>1373</v>
      </c>
      <c r="H1" s="1166" t="s">
        <v>1374</v>
      </c>
      <c r="I1" s="1166" t="s">
        <v>1375</v>
      </c>
      <c r="J1" s="1166" t="s">
        <v>1376</v>
      </c>
      <c r="K1" s="1166" t="s">
        <v>1377</v>
      </c>
      <c r="Z1" s="1794"/>
      <c r="AA1" s="1795">
        <v>1</v>
      </c>
    </row>
    <row r="2" spans="1:27" ht="14.1" customHeight="1">
      <c r="A2" s="3838" t="str">
        <f>CONCATENATE("PART SIX - OPERATING PRO FORMA","  -  ",'Part I-Project Identification'!$O$7," ",'Part I-Project Identification'!$F$27,", ",'Part I-Project Identification'!F28,", ",'Part I-Project Identification'!J28," County")</f>
        <v>PART SIX - OPERATING PRO FORMA  -  2026-0xx The Groves, Tifton, Tift County</v>
      </c>
      <c r="B2" s="3839"/>
      <c r="C2" s="3839"/>
      <c r="D2" s="3839"/>
      <c r="E2" s="3839"/>
      <c r="F2" s="3839"/>
      <c r="G2" s="3839"/>
      <c r="H2" s="3839"/>
      <c r="I2" s="3839"/>
      <c r="J2" s="3839"/>
      <c r="K2" s="3840"/>
      <c r="L2" s="3"/>
      <c r="M2" s="3"/>
      <c r="N2" s="3841" t="str">
        <f>A2</f>
        <v>PART SIX - OPERATING PRO FORMA  -  2026-0xx The Groves, Tifton, Tift County</v>
      </c>
      <c r="O2" s="3841"/>
      <c r="P2" s="3"/>
      <c r="Q2" s="77"/>
      <c r="R2" s="77"/>
      <c r="S2" s="77"/>
      <c r="T2" s="77"/>
      <c r="U2" s="77"/>
      <c r="V2" s="77"/>
      <c r="W2" s="77"/>
      <c r="X2" s="77"/>
      <c r="Y2" s="77"/>
      <c r="AA2" s="1795">
        <v>2</v>
      </c>
    </row>
    <row r="3" spans="1:27" ht="13.5" customHeight="1">
      <c r="A3" s="2755"/>
      <c r="B3" s="2755"/>
      <c r="C3" s="2755"/>
      <c r="D3" s="2755"/>
      <c r="E3" s="2755"/>
      <c r="F3" s="2755"/>
      <c r="G3" s="2755"/>
      <c r="H3" s="2755"/>
      <c r="I3" s="2755"/>
      <c r="J3" s="2755"/>
      <c r="K3" s="2755"/>
      <c r="L3" s="77"/>
      <c r="M3" s="77"/>
      <c r="N3" s="3700" t="s">
        <v>793</v>
      </c>
      <c r="O3" s="3700"/>
      <c r="P3" s="77"/>
      <c r="Q3" s="77"/>
      <c r="R3" s="77"/>
      <c r="S3" s="77"/>
      <c r="T3" s="77"/>
      <c r="U3" s="77"/>
      <c r="V3" s="77"/>
      <c r="W3" s="77"/>
      <c r="X3" s="77"/>
      <c r="Y3" s="77"/>
      <c r="AA3" s="1795">
        <v>3</v>
      </c>
    </row>
    <row r="4" spans="1:27" ht="13.5" customHeight="1">
      <c r="A4" s="6" t="s">
        <v>1378</v>
      </c>
      <c r="B4" s="77"/>
      <c r="C4" s="3842" t="str">
        <f>'Part I-Project Identification'!$A$6</f>
        <v>May XX, 2026</v>
      </c>
      <c r="D4" s="675" t="s">
        <v>1379</v>
      </c>
      <c r="E4" s="2756"/>
      <c r="F4" s="676" t="s">
        <v>1380</v>
      </c>
      <c r="G4" s="77"/>
      <c r="H4" s="77"/>
      <c r="I4" s="77"/>
      <c r="J4" s="77"/>
      <c r="K4" s="77"/>
      <c r="L4" s="77"/>
      <c r="M4" s="77"/>
      <c r="N4" s="6" t="str">
        <f>A4</f>
        <v>I.  OPERATING ASSUMPTIONS</v>
      </c>
      <c r="O4" s="6"/>
      <c r="P4" s="77"/>
      <c r="Q4" s="77"/>
      <c r="R4" s="77"/>
      <c r="S4" s="77"/>
      <c r="T4" s="77"/>
      <c r="U4" s="77"/>
      <c r="V4" s="77"/>
      <c r="W4" s="77"/>
      <c r="X4" s="77"/>
      <c r="Y4" s="77"/>
      <c r="AA4" s="1795">
        <v>4</v>
      </c>
    </row>
    <row r="5" spans="1:27" ht="2.7" customHeight="1">
      <c r="A5" s="77"/>
      <c r="B5" s="77"/>
      <c r="C5" s="3843"/>
      <c r="D5" s="77"/>
      <c r="E5" s="77"/>
      <c r="F5" s="77"/>
      <c r="G5" s="77"/>
      <c r="H5" s="77"/>
      <c r="I5" s="77"/>
      <c r="J5" s="77"/>
      <c r="K5" s="77"/>
      <c r="L5" s="77"/>
      <c r="M5" s="77"/>
      <c r="N5" s="77"/>
      <c r="O5" s="77"/>
      <c r="P5" s="77"/>
      <c r="Q5" s="77"/>
      <c r="R5" s="77"/>
      <c r="S5" s="77"/>
      <c r="T5" s="77"/>
      <c r="U5" s="77"/>
      <c r="V5" s="77"/>
      <c r="W5" s="77"/>
      <c r="X5" s="77"/>
      <c r="Y5" s="77"/>
      <c r="AA5" s="1795">
        <v>5</v>
      </c>
    </row>
    <row r="6" spans="1:27" ht="13.5" customHeight="1">
      <c r="A6" s="77" t="s">
        <v>1381</v>
      </c>
      <c r="B6" s="2379">
        <f>'DCA Underwriting Assumptions'!$Q$115</f>
        <v>0.02</v>
      </c>
      <c r="C6" s="3843"/>
      <c r="D6" s="3775" t="s">
        <v>1382</v>
      </c>
      <c r="E6" s="3775"/>
      <c r="F6" s="3775"/>
      <c r="G6" s="2757">
        <v>7500</v>
      </c>
      <c r="H6" s="509" t="s">
        <v>1383</v>
      </c>
      <c r="I6" s="77"/>
      <c r="J6" s="77"/>
      <c r="K6" s="2380">
        <f>IF(($B$15+$B$16+$B$17+$B$18)=0,"",B31/($B$15+$B$16+$B$17+$B$18))</f>
        <v>-9.5001758657355991E-3</v>
      </c>
      <c r="L6" s="77"/>
      <c r="M6" s="77"/>
      <c r="N6" s="3777"/>
      <c r="O6" s="3779"/>
      <c r="P6" s="77"/>
      <c r="Q6" s="77"/>
      <c r="R6" s="77"/>
      <c r="S6" s="77"/>
      <c r="T6" s="77"/>
      <c r="U6" s="77"/>
      <c r="V6" s="77"/>
      <c r="W6" s="77"/>
      <c r="X6" s="77"/>
      <c r="Y6" s="77"/>
      <c r="AA6" s="1795">
        <v>6</v>
      </c>
    </row>
    <row r="7" spans="1:27">
      <c r="A7" s="77" t="s">
        <v>1384</v>
      </c>
      <c r="B7" s="2379">
        <f>'DCA Underwriting Assumptions'!$Q$118</f>
        <v>0.03</v>
      </c>
      <c r="C7" s="3843"/>
      <c r="D7" s="3775"/>
      <c r="E7" s="3775"/>
      <c r="F7" s="3775"/>
      <c r="G7" s="677">
        <f>IF(OR('Part II-Sources of Funds'!E6="Yes",'Part II-Sources of Funds'!H6&gt;0),'DCA Underwriting Assumptions'!$Q$79,0)</f>
        <v>1500</v>
      </c>
      <c r="H7" s="77"/>
      <c r="I7" s="77"/>
      <c r="J7" s="77"/>
      <c r="K7" s="77"/>
      <c r="L7" s="77"/>
      <c r="M7" s="77"/>
      <c r="N7" s="3758"/>
      <c r="O7" s="3760"/>
      <c r="P7" s="77"/>
      <c r="Q7" s="77"/>
      <c r="R7" s="77"/>
      <c r="S7" s="77"/>
      <c r="T7" s="77"/>
      <c r="U7" s="77"/>
      <c r="V7" s="77"/>
      <c r="W7" s="77"/>
      <c r="X7" s="77"/>
      <c r="Y7" s="77"/>
      <c r="AA7" s="1795">
        <v>7</v>
      </c>
    </row>
    <row r="8" spans="1:27">
      <c r="A8" s="77" t="s">
        <v>1385</v>
      </c>
      <c r="B8" s="2379">
        <f>'DCA Underwriting Assumptions'!$Q$119</f>
        <v>0.03</v>
      </c>
      <c r="C8" s="3843"/>
      <c r="D8" s="43" t="s">
        <v>1386</v>
      </c>
      <c r="E8" s="77"/>
      <c r="F8" s="77"/>
      <c r="G8" s="2381"/>
      <c r="H8" s="509" t="s">
        <v>1387</v>
      </c>
      <c r="I8" s="77"/>
      <c r="J8" s="77"/>
      <c r="K8" s="2380">
        <f>IF(($B$15+$B$16+$B$17+$B$18)=0,"",-B22/($B$15+$B$16+$B$17+$B$18))</f>
        <v>4.8500297829753382E-2</v>
      </c>
      <c r="L8" s="77"/>
      <c r="M8" s="77"/>
      <c r="N8" s="3758"/>
      <c r="O8" s="3760"/>
      <c r="P8" s="77"/>
      <c r="Q8" s="77"/>
      <c r="R8" s="77"/>
      <c r="S8" s="77"/>
      <c r="T8" s="77"/>
      <c r="U8" s="77"/>
      <c r="V8" s="77"/>
      <c r="W8" s="77"/>
      <c r="X8" s="77"/>
      <c r="Y8" s="77"/>
      <c r="AA8" s="1795">
        <v>8</v>
      </c>
    </row>
    <row r="9" spans="1:27" ht="13.35" customHeight="1">
      <c r="A9" s="77" t="s">
        <v>1388</v>
      </c>
      <c r="B9" s="2758">
        <v>7.0000000000000007E-2</v>
      </c>
      <c r="C9" s="840" t="str">
        <f>IF(B9&lt;0.07, "Must be &gt;= 7%!","")</f>
        <v/>
      </c>
      <c r="D9" s="43" t="s">
        <v>1389</v>
      </c>
      <c r="E9" s="77"/>
      <c r="F9" s="77"/>
      <c r="G9" s="2759" t="s">
        <v>7474</v>
      </c>
      <c r="H9" s="2382" t="s">
        <v>1390</v>
      </c>
      <c r="I9" s="77"/>
      <c r="J9" s="77"/>
      <c r="K9" s="2760"/>
      <c r="L9" s="77"/>
      <c r="M9" s="77"/>
      <c r="N9" s="3758"/>
      <c r="O9" s="3760"/>
      <c r="P9" s="77"/>
      <c r="Q9" s="77"/>
      <c r="R9" s="77"/>
      <c r="S9" s="77"/>
      <c r="T9" s="77"/>
      <c r="U9" s="77"/>
      <c r="V9" s="77"/>
      <c r="W9" s="77"/>
      <c r="X9" s="77"/>
      <c r="Y9" s="77"/>
      <c r="AA9" s="1795">
        <v>9</v>
      </c>
    </row>
    <row r="10" spans="1:27">
      <c r="A10" s="77" t="s">
        <v>1391</v>
      </c>
      <c r="B10" s="2379">
        <v>0.02</v>
      </c>
      <c r="C10" s="77"/>
      <c r="D10" s="43" t="s">
        <v>1392</v>
      </c>
      <c r="E10" s="77"/>
      <c r="F10" s="77"/>
      <c r="G10" s="2383" t="s">
        <v>7444</v>
      </c>
      <c r="H10" s="2382" t="s">
        <v>1393</v>
      </c>
      <c r="I10" s="77"/>
      <c r="J10" s="77"/>
      <c r="K10" s="2384">
        <v>4.8500000000000001E-2</v>
      </c>
      <c r="L10" s="77"/>
      <c r="M10" s="77"/>
      <c r="N10" s="3725"/>
      <c r="O10" s="3727"/>
      <c r="P10" s="77"/>
      <c r="Q10" s="77"/>
      <c r="R10" s="77"/>
      <c r="S10" s="77"/>
      <c r="T10" s="77"/>
      <c r="U10" s="77"/>
      <c r="V10" s="77"/>
      <c r="W10" s="77"/>
      <c r="X10" s="77"/>
      <c r="Y10" s="77"/>
      <c r="AA10" s="1795">
        <v>10</v>
      </c>
    </row>
    <row r="11" spans="1:27" ht="9" customHeight="1">
      <c r="A11" s="77"/>
      <c r="B11" s="77"/>
      <c r="C11" s="77"/>
      <c r="D11" s="77"/>
      <c r="E11" s="77"/>
      <c r="F11" s="77"/>
      <c r="G11" s="77"/>
      <c r="H11" s="77"/>
      <c r="I11" s="77"/>
      <c r="J11" s="77"/>
      <c r="K11" s="77"/>
      <c r="L11" s="77"/>
      <c r="M11" s="77"/>
      <c r="N11" s="77"/>
      <c r="O11" s="77"/>
      <c r="P11" s="77"/>
      <c r="Q11" s="77"/>
      <c r="R11" s="77"/>
      <c r="S11" s="77"/>
      <c r="T11" s="77"/>
      <c r="U11" s="77"/>
      <c r="V11" s="77"/>
      <c r="W11" s="77"/>
      <c r="X11" s="77"/>
      <c r="Y11" s="77"/>
      <c r="AA11" s="1795">
        <v>11</v>
      </c>
    </row>
    <row r="12" spans="1:27">
      <c r="A12" s="6" t="s">
        <v>1394</v>
      </c>
      <c r="B12" s="77"/>
      <c r="C12" s="77"/>
      <c r="D12" s="627"/>
      <c r="E12" s="77"/>
      <c r="F12" s="77"/>
      <c r="G12" s="77"/>
      <c r="H12" s="77"/>
      <c r="I12" s="77"/>
      <c r="J12" s="77"/>
      <c r="K12" s="77"/>
      <c r="L12" s="77"/>
      <c r="M12" s="77"/>
      <c r="N12" s="6" t="str">
        <f>A12</f>
        <v>II.  OPERATING PRO FORMA</v>
      </c>
      <c r="O12" s="77"/>
      <c r="P12" s="77"/>
      <c r="Q12" s="77"/>
      <c r="R12" s="77"/>
      <c r="S12" s="77"/>
      <c r="T12" s="77"/>
      <c r="U12" s="77"/>
      <c r="V12" s="77"/>
      <c r="W12" s="77"/>
      <c r="X12" s="77"/>
      <c r="Y12" s="77"/>
      <c r="AA12" s="1795">
        <v>12</v>
      </c>
    </row>
    <row r="13" spans="1:27" ht="2.7"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AA13" s="1795">
        <v>13</v>
      </c>
    </row>
    <row r="14" spans="1:27" ht="14.7" customHeight="1">
      <c r="A14" s="6" t="s">
        <v>480</v>
      </c>
      <c r="B14" s="6">
        <v>1</v>
      </c>
      <c r="C14" s="6">
        <f t="shared" ref="C14:K14" si="0">B14+1</f>
        <v>2</v>
      </c>
      <c r="D14" s="6">
        <f t="shared" si="0"/>
        <v>3</v>
      </c>
      <c r="E14" s="6">
        <f t="shared" si="0"/>
        <v>4</v>
      </c>
      <c r="F14" s="6">
        <f t="shared" si="0"/>
        <v>5</v>
      </c>
      <c r="G14" s="6">
        <f t="shared" si="0"/>
        <v>6</v>
      </c>
      <c r="H14" s="6">
        <f t="shared" si="0"/>
        <v>7</v>
      </c>
      <c r="I14" s="6">
        <f t="shared" si="0"/>
        <v>8</v>
      </c>
      <c r="J14" s="6">
        <f t="shared" si="0"/>
        <v>9</v>
      </c>
      <c r="K14" s="6">
        <f t="shared" si="0"/>
        <v>10</v>
      </c>
      <c r="L14" s="77"/>
      <c r="M14" s="77"/>
      <c r="N14" s="3420" t="s">
        <v>1395</v>
      </c>
      <c r="O14" s="3420"/>
      <c r="P14" s="77"/>
      <c r="Q14" s="77"/>
      <c r="R14" s="77"/>
      <c r="S14" s="77"/>
      <c r="T14" s="77"/>
      <c r="U14" s="77"/>
      <c r="V14" s="77"/>
      <c r="W14" s="77"/>
      <c r="X14" s="77"/>
      <c r="Y14" s="77"/>
      <c r="AA14" s="1795">
        <v>14</v>
      </c>
    </row>
    <row r="15" spans="1:27" ht="13.35" customHeight="1">
      <c r="A15" s="2761" t="s">
        <v>1396</v>
      </c>
      <c r="B15" s="2762">
        <f>'Part V-Revenues &amp; Expenses'!$M$59</f>
        <v>832236</v>
      </c>
      <c r="C15" s="2762">
        <f t="shared" ref="C15:K15" si="1">$B$15*(1+$B$6)^(C14-1)</f>
        <v>848880.72</v>
      </c>
      <c r="D15" s="2762">
        <f t="shared" si="1"/>
        <v>865858.33440000005</v>
      </c>
      <c r="E15" s="2762">
        <f t="shared" si="1"/>
        <v>883175.5010879999</v>
      </c>
      <c r="F15" s="2762">
        <f t="shared" si="1"/>
        <v>900839.01110976003</v>
      </c>
      <c r="G15" s="2762">
        <f t="shared" si="1"/>
        <v>918855.79133195523</v>
      </c>
      <c r="H15" s="2762">
        <f t="shared" si="1"/>
        <v>937232.90715859435</v>
      </c>
      <c r="I15" s="2762">
        <f t="shared" si="1"/>
        <v>955977.56530176604</v>
      </c>
      <c r="J15" s="2762">
        <f t="shared" si="1"/>
        <v>975097.11660780141</v>
      </c>
      <c r="K15" s="2763">
        <f t="shared" si="1"/>
        <v>994599.05893995753</v>
      </c>
      <c r="L15" s="77"/>
      <c r="M15" s="77"/>
      <c r="N15" s="3777"/>
      <c r="O15" s="3779"/>
      <c r="P15" s="77"/>
      <c r="Q15" s="77"/>
      <c r="R15" s="77"/>
      <c r="S15" s="3834" t="s">
        <v>1397</v>
      </c>
      <c r="T15" s="77"/>
      <c r="U15" s="77"/>
      <c r="V15" s="77"/>
      <c r="W15" s="77"/>
      <c r="X15" s="77"/>
      <c r="Y15" s="77"/>
      <c r="Z15" s="1794" t="s">
        <v>1398</v>
      </c>
      <c r="AA15" s="1795">
        <v>15</v>
      </c>
    </row>
    <row r="16" spans="1:27" ht="13.35" customHeight="1">
      <c r="A16" s="236" t="s">
        <v>1281</v>
      </c>
      <c r="B16" s="2385">
        <f>MIN(B15*B10,'Part V-Revenues &amp; Expenses'!$H$201)</f>
        <v>16644.72</v>
      </c>
      <c r="C16" s="2385">
        <f t="shared" ref="C16:K16" si="2">$B$16*(1+$B$6)^(C14-1)</f>
        <v>16977.614400000002</v>
      </c>
      <c r="D16" s="2385">
        <f t="shared" si="2"/>
        <v>17317.166688000001</v>
      </c>
      <c r="E16" s="2385">
        <f t="shared" si="2"/>
        <v>17663.510021760001</v>
      </c>
      <c r="F16" s="2385">
        <f t="shared" si="2"/>
        <v>18016.780222195201</v>
      </c>
      <c r="G16" s="2385">
        <f t="shared" si="2"/>
        <v>18377.115826639107</v>
      </c>
      <c r="H16" s="2385">
        <f t="shared" si="2"/>
        <v>18744.658143171888</v>
      </c>
      <c r="I16" s="2385">
        <f t="shared" si="2"/>
        <v>19119.551306035322</v>
      </c>
      <c r="J16" s="2385">
        <f t="shared" si="2"/>
        <v>19501.942332156032</v>
      </c>
      <c r="K16" s="2386">
        <f t="shared" si="2"/>
        <v>19891.981178799149</v>
      </c>
      <c r="L16" s="77"/>
      <c r="M16" s="77"/>
      <c r="N16" s="3758"/>
      <c r="O16" s="3760"/>
      <c r="P16" s="77"/>
      <c r="Q16" s="77"/>
      <c r="R16" s="77"/>
      <c r="S16" s="3835"/>
      <c r="T16" s="77"/>
      <c r="U16" s="77"/>
      <c r="V16" s="77"/>
      <c r="W16" s="77"/>
      <c r="X16" s="77"/>
      <c r="Y16" s="77"/>
      <c r="Z16" s="1794" t="s">
        <v>1398</v>
      </c>
      <c r="AA16" s="1795">
        <v>16</v>
      </c>
    </row>
    <row r="17" spans="1:27" ht="13.35" customHeight="1">
      <c r="A17" s="236" t="s">
        <v>1399</v>
      </c>
      <c r="B17" s="2385">
        <f t="shared" ref="B17:K17" si="3">-(B15+B16)*$B$9</f>
        <v>-59421.650400000006</v>
      </c>
      <c r="C17" s="2385">
        <f t="shared" si="3"/>
        <v>-60610.083407999999</v>
      </c>
      <c r="D17" s="2385">
        <f t="shared" si="3"/>
        <v>-61822.285076160006</v>
      </c>
      <c r="E17" s="2385">
        <f t="shared" si="3"/>
        <v>-63058.730777683202</v>
      </c>
      <c r="F17" s="2385">
        <f t="shared" si="3"/>
        <v>-64319.90539323687</v>
      </c>
      <c r="G17" s="2385">
        <f t="shared" si="3"/>
        <v>-65606.303501101604</v>
      </c>
      <c r="H17" s="2385">
        <f t="shared" si="3"/>
        <v>-66918.429571123648</v>
      </c>
      <c r="I17" s="2385">
        <f t="shared" si="3"/>
        <v>-68256.798162546111</v>
      </c>
      <c r="J17" s="2385">
        <f t="shared" si="3"/>
        <v>-69621.934125797023</v>
      </c>
      <c r="K17" s="2386">
        <f t="shared" si="3"/>
        <v>-71014.372808312983</v>
      </c>
      <c r="L17" s="77"/>
      <c r="M17" s="77"/>
      <c r="N17" s="3758"/>
      <c r="O17" s="3760"/>
      <c r="P17" s="77"/>
      <c r="Q17" s="3837" t="s">
        <v>1400</v>
      </c>
      <c r="R17" s="3837" t="s">
        <v>1401</v>
      </c>
      <c r="S17" s="3835"/>
      <c r="T17" s="77"/>
      <c r="U17" s="77"/>
      <c r="V17" s="77"/>
      <c r="W17" s="77"/>
      <c r="X17" s="77"/>
      <c r="Y17" s="77"/>
      <c r="Z17" s="1794" t="s">
        <v>1398</v>
      </c>
      <c r="AA17" s="1795">
        <v>17</v>
      </c>
    </row>
    <row r="18" spans="1:27" ht="13.35" customHeight="1">
      <c r="A18" s="236" t="s">
        <v>1402</v>
      </c>
      <c r="B18" s="2385">
        <f>+'Part V-Revenues &amp; Expenses'!H207</f>
        <v>0</v>
      </c>
      <c r="C18" s="2385">
        <f>+'Part V-Revenues &amp; Expenses'!I207</f>
        <v>0</v>
      </c>
      <c r="D18" s="2385">
        <f>+'Part V-Revenues &amp; Expenses'!J207</f>
        <v>0</v>
      </c>
      <c r="E18" s="2385">
        <f>+'Part V-Revenues &amp; Expenses'!K207</f>
        <v>0</v>
      </c>
      <c r="F18" s="2385">
        <f>+'Part V-Revenues &amp; Expenses'!L207</f>
        <v>0</v>
      </c>
      <c r="G18" s="2385">
        <f>+'Part V-Revenues &amp; Expenses'!M207</f>
        <v>0</v>
      </c>
      <c r="H18" s="2385">
        <f>+'Part V-Revenues &amp; Expenses'!N207</f>
        <v>0</v>
      </c>
      <c r="I18" s="2385">
        <f>+'Part V-Revenues &amp; Expenses'!O207</f>
        <v>0</v>
      </c>
      <c r="J18" s="2385">
        <f>+'Part V-Revenues &amp; Expenses'!P207</f>
        <v>0</v>
      </c>
      <c r="K18" s="2386">
        <f>+'Part V-Revenues &amp; Expenses'!Q207</f>
        <v>0</v>
      </c>
      <c r="L18" s="77"/>
      <c r="M18" s="77"/>
      <c r="N18" s="3758"/>
      <c r="O18" s="3760"/>
      <c r="P18" s="77"/>
      <c r="Q18" s="3837"/>
      <c r="R18" s="3837"/>
      <c r="S18" s="3836"/>
      <c r="T18" s="77"/>
      <c r="U18" s="77"/>
      <c r="V18" s="77"/>
      <c r="W18" s="77"/>
      <c r="X18" s="77"/>
      <c r="Y18" s="77"/>
      <c r="Z18" s="1794" t="s">
        <v>1398</v>
      </c>
      <c r="AA18" s="1795">
        <v>18</v>
      </c>
    </row>
    <row r="19" spans="1:27" ht="13.35" customHeight="1">
      <c r="A19" s="236" t="s">
        <v>1403</v>
      </c>
      <c r="B19" s="2385">
        <f>'Part V-Revenues &amp; Expenses'!H211</f>
        <v>0</v>
      </c>
      <c r="C19" s="2385">
        <f>'Part V-Revenues &amp; Expenses'!I211</f>
        <v>0</v>
      </c>
      <c r="D19" s="2385">
        <f>'Part V-Revenues &amp; Expenses'!J211</f>
        <v>0</v>
      </c>
      <c r="E19" s="2385">
        <f>'Part V-Revenues &amp; Expenses'!K211</f>
        <v>0</v>
      </c>
      <c r="F19" s="2385">
        <f>'Part V-Revenues &amp; Expenses'!L211</f>
        <v>0</v>
      </c>
      <c r="G19" s="2385">
        <f>'Part V-Revenues &amp; Expenses'!M211</f>
        <v>0</v>
      </c>
      <c r="H19" s="2385">
        <f>'Part V-Revenues &amp; Expenses'!N211</f>
        <v>0</v>
      </c>
      <c r="I19" s="2385">
        <f>'Part V-Revenues &amp; Expenses'!O211</f>
        <v>0</v>
      </c>
      <c r="J19" s="2385">
        <f>'Part V-Revenues &amp; Expenses'!P211</f>
        <v>0</v>
      </c>
      <c r="K19" s="2386">
        <f>'Part V-Revenues &amp; Expenses'!Q211</f>
        <v>0</v>
      </c>
      <c r="L19" s="77"/>
      <c r="M19" s="77"/>
      <c r="N19" s="3758"/>
      <c r="O19" s="3760"/>
      <c r="P19" s="77"/>
      <c r="Q19" s="77"/>
      <c r="R19" s="77"/>
      <c r="S19" s="77"/>
      <c r="T19" s="77"/>
      <c r="U19" s="77"/>
      <c r="V19" s="77"/>
      <c r="W19" s="77"/>
      <c r="X19" s="77"/>
      <c r="Y19" s="77"/>
      <c r="Z19" s="1794" t="s">
        <v>1398</v>
      </c>
      <c r="AA19" s="1795">
        <v>19</v>
      </c>
    </row>
    <row r="20" spans="1:27" ht="13.35" customHeight="1">
      <c r="A20" s="236" t="s">
        <v>1404</v>
      </c>
      <c r="B20" s="2385">
        <f>SUM(B15:B19)</f>
        <v>789459.06959999993</v>
      </c>
      <c r="C20" s="2385">
        <f t="shared" ref="C20:K20" si="4">SUM(C15:C19)</f>
        <v>805248.25099199999</v>
      </c>
      <c r="D20" s="2385">
        <f t="shared" si="4"/>
        <v>821353.21601184004</v>
      </c>
      <c r="E20" s="2385">
        <f t="shared" si="4"/>
        <v>837780.28033207671</v>
      </c>
      <c r="F20" s="2385">
        <f t="shared" si="4"/>
        <v>854535.88593871833</v>
      </c>
      <c r="G20" s="2385">
        <f t="shared" si="4"/>
        <v>871626.60365749279</v>
      </c>
      <c r="H20" s="2385">
        <f t="shared" si="4"/>
        <v>889059.13573064259</v>
      </c>
      <c r="I20" s="2385">
        <f t="shared" si="4"/>
        <v>906840.31844525528</v>
      </c>
      <c r="J20" s="2385">
        <f t="shared" si="4"/>
        <v>924977.1248141604</v>
      </c>
      <c r="K20" s="2386">
        <f t="shared" si="4"/>
        <v>943476.66731044371</v>
      </c>
      <c r="L20" s="77"/>
      <c r="M20" s="77"/>
      <c r="N20" s="3758"/>
      <c r="O20" s="3760"/>
      <c r="P20" s="77"/>
      <c r="Q20" s="77"/>
      <c r="R20" s="77"/>
      <c r="S20" s="77"/>
      <c r="T20" s="77"/>
      <c r="U20" s="77"/>
      <c r="V20" s="77"/>
      <c r="W20" s="77"/>
      <c r="X20" s="77"/>
      <c r="Y20" s="77"/>
      <c r="Z20" s="1794" t="s">
        <v>1398</v>
      </c>
      <c r="AA20" s="1795">
        <v>20</v>
      </c>
    </row>
    <row r="21" spans="1:27" ht="13.35" customHeight="1">
      <c r="A21" s="236" t="s">
        <v>1405</v>
      </c>
      <c r="B21" s="2385">
        <f>-('Part V-Revenues &amp; Expenses'!$Q$250-'Part V-Revenues &amp; Expenses'!$Q$242)</f>
        <v>-434995</v>
      </c>
      <c r="C21" s="2385">
        <f t="shared" ref="C21:K21" si="5">$B$21*(1+$B$7)^(C14-1)</f>
        <v>-448044.85000000003</v>
      </c>
      <c r="D21" s="2385">
        <f t="shared" si="5"/>
        <v>-461486.19549999997</v>
      </c>
      <c r="E21" s="2385">
        <f t="shared" si="5"/>
        <v>-475330.781365</v>
      </c>
      <c r="F21" s="2385">
        <f t="shared" si="5"/>
        <v>-489590.70480594994</v>
      </c>
      <c r="G21" s="2385">
        <f t="shared" si="5"/>
        <v>-504278.42595012841</v>
      </c>
      <c r="H21" s="2385">
        <f t="shared" si="5"/>
        <v>-519406.77872863231</v>
      </c>
      <c r="I21" s="2385">
        <f t="shared" si="5"/>
        <v>-534988.98209049134</v>
      </c>
      <c r="J21" s="2385">
        <f t="shared" si="5"/>
        <v>-551038.65155320603</v>
      </c>
      <c r="K21" s="2386">
        <f t="shared" si="5"/>
        <v>-567569.81109980214</v>
      </c>
      <c r="L21" s="77"/>
      <c r="M21" s="77"/>
      <c r="N21" s="3758"/>
      <c r="O21" s="3760"/>
      <c r="P21" s="77"/>
      <c r="Q21" s="58">
        <v>1</v>
      </c>
      <c r="R21" s="2387">
        <f>-B32</f>
        <v>0</v>
      </c>
      <c r="S21" s="2387">
        <f>B33+R21</f>
        <v>48422.711005064368</v>
      </c>
      <c r="T21" s="77"/>
      <c r="U21" s="77"/>
      <c r="V21" s="77"/>
      <c r="W21" s="77"/>
      <c r="X21" s="77"/>
      <c r="Y21" s="77"/>
      <c r="Z21" s="1794" t="s">
        <v>1398</v>
      </c>
      <c r="AA21" s="1795">
        <v>21</v>
      </c>
    </row>
    <row r="22" spans="1:27" ht="13.35" customHeight="1">
      <c r="A22" s="236" t="s">
        <v>1406</v>
      </c>
      <c r="B22" s="2385">
        <f>IF(AND('Part VI-Pro Forma'!$G$9="Yes",'Part VI-Pro Forma'!$G$10="Yes"),"Choose One!",IF('Part VI-Pro Forma'!$G$9="Yes",ROUND((-$K$9*(1+'Part VI-Pro Forma'!$B$7)^('Part VI-Pro Forma'!B14-1)),),IF('Part VI-Pro Forma'!$G$10="Yes",ROUND((-(SUM(B15:B18)*'Part VI-Pro Forma'!$K$10)),),"Choose mgt fee")))</f>
        <v>-38289</v>
      </c>
      <c r="C22" s="2385">
        <f>IF(AND('Part VI-Pro Forma'!$G$9="Yes",'Part VI-Pro Forma'!$G$10="Yes"),"Choose One!",IF('Part VI-Pro Forma'!$G$9="Yes",ROUND((-$K$9*(1+'Part VI-Pro Forma'!$B$7)^('Part VI-Pro Forma'!C14-1)),),IF('Part VI-Pro Forma'!$G$10="Yes",ROUND((-(SUM(C15:C18)*'Part VI-Pro Forma'!$K$10)),),"Choose mgt fee")))</f>
        <v>-39055</v>
      </c>
      <c r="D22" s="2385">
        <f>IF(AND('Part VI-Pro Forma'!$G$9="Yes",'Part VI-Pro Forma'!$G$10="Yes"),"Choose One!",IF('Part VI-Pro Forma'!$G$9="Yes",ROUND((-$K$9*(1+'Part VI-Pro Forma'!$B$7)^('Part VI-Pro Forma'!D14-1)),),IF('Part VI-Pro Forma'!$G$10="Yes",ROUND((-(SUM(D15:D18)*'Part VI-Pro Forma'!$K$10)),),"Choose mgt fee")))</f>
        <v>-39836</v>
      </c>
      <c r="E22" s="2385">
        <f>IF(AND('Part VI-Pro Forma'!$G$9="Yes",'Part VI-Pro Forma'!$G$10="Yes"),"Choose One!",IF('Part VI-Pro Forma'!$G$9="Yes",ROUND((-$K$9*(1+'Part VI-Pro Forma'!$B$7)^('Part VI-Pro Forma'!E14-1)),),IF('Part VI-Pro Forma'!$G$10="Yes",ROUND((-(SUM(E15:E18)*'Part VI-Pro Forma'!$K$10)),),"Choose mgt fee")))</f>
        <v>-40632</v>
      </c>
      <c r="F22" s="2385">
        <f>IF(AND('Part VI-Pro Forma'!$G$9="Yes",'Part VI-Pro Forma'!$G$10="Yes"),"Choose One!",IF('Part VI-Pro Forma'!$G$9="Yes",ROUND((-$K$9*(1+'Part VI-Pro Forma'!$B$7)^('Part VI-Pro Forma'!F14-1)),),IF('Part VI-Pro Forma'!$G$10="Yes",ROUND((-(SUM(F15:F18)*'Part VI-Pro Forma'!$K$10)),),"Choose mgt fee")))</f>
        <v>-41445</v>
      </c>
      <c r="G22" s="2385">
        <f>IF(AND('Part VI-Pro Forma'!$G$9="Yes",'Part VI-Pro Forma'!$G$10="Yes"),"Choose One!",IF('Part VI-Pro Forma'!$G$9="Yes",ROUND((-$K$9*(1+'Part VI-Pro Forma'!$B$7)^('Part VI-Pro Forma'!G14-1)),),IF('Part VI-Pro Forma'!$G$10="Yes",ROUND((-(SUM(G15:G18)*'Part VI-Pro Forma'!$K$10)),),"Choose mgt fee")))</f>
        <v>-42274</v>
      </c>
      <c r="H22" s="2385">
        <f>IF(AND('Part VI-Pro Forma'!$G$9="Yes",'Part VI-Pro Forma'!$G$10="Yes"),"Choose One!",IF('Part VI-Pro Forma'!$G$9="Yes",ROUND((-$K$9*(1+'Part VI-Pro Forma'!$B$7)^('Part VI-Pro Forma'!H14-1)),),IF('Part VI-Pro Forma'!$G$10="Yes",ROUND((-(SUM(H15:H18)*'Part VI-Pro Forma'!$K$10)),),"Choose mgt fee")))</f>
        <v>-43119</v>
      </c>
      <c r="I22" s="2385">
        <f>IF(AND('Part VI-Pro Forma'!$G$9="Yes",'Part VI-Pro Forma'!$G$10="Yes"),"Choose One!",IF('Part VI-Pro Forma'!$G$9="Yes",ROUND((-$K$9*(1+'Part VI-Pro Forma'!$B$7)^('Part VI-Pro Forma'!I14-1)),),IF('Part VI-Pro Forma'!$G$10="Yes",ROUND((-(SUM(I15:I18)*'Part VI-Pro Forma'!$K$10)),),"Choose mgt fee")))</f>
        <v>-43982</v>
      </c>
      <c r="J22" s="2385">
        <f>IF(AND('Part VI-Pro Forma'!$G$9="Yes",'Part VI-Pro Forma'!$G$10="Yes"),"Choose One!",IF('Part VI-Pro Forma'!$G$9="Yes",ROUND((-$K$9*(1+'Part VI-Pro Forma'!$B$7)^('Part VI-Pro Forma'!J14-1)),),IF('Part VI-Pro Forma'!$G$10="Yes",ROUND((-(SUM(J15:J18)*'Part VI-Pro Forma'!$K$10)),),"Choose mgt fee")))</f>
        <v>-44861</v>
      </c>
      <c r="K22" s="2386">
        <f>IF(AND('Part VI-Pro Forma'!$G$9="Yes",'Part VI-Pro Forma'!$G$10="Yes"),"Choose One!",IF('Part VI-Pro Forma'!$G$9="Yes",ROUND((-$K$9*(1+'Part VI-Pro Forma'!$B$7)^('Part VI-Pro Forma'!K14-1)),),IF('Part VI-Pro Forma'!$G$10="Yes",ROUND((-(SUM(K15:K18)*'Part VI-Pro Forma'!$K$10)),),"Choose mgt fee")))</f>
        <v>-45759</v>
      </c>
      <c r="L22" s="77"/>
      <c r="M22" s="77"/>
      <c r="N22" s="3758"/>
      <c r="O22" s="3760"/>
      <c r="P22" s="77"/>
      <c r="Q22" s="58">
        <v>2</v>
      </c>
      <c r="R22" s="2387">
        <f>-SUM(B32:C32)</f>
        <v>0</v>
      </c>
      <c r="S22" s="2387">
        <f>SUM(B33:C33)+R22</f>
        <v>97173.954566928762</v>
      </c>
      <c r="T22" s="77"/>
      <c r="U22" s="77"/>
      <c r="V22" s="77"/>
      <c r="W22" s="77"/>
      <c r="X22" s="77"/>
      <c r="Y22" s="77"/>
      <c r="Z22" s="1794" t="s">
        <v>1398</v>
      </c>
      <c r="AA22" s="1795">
        <v>22</v>
      </c>
    </row>
    <row r="23" spans="1:27" ht="13.35" customHeight="1">
      <c r="A23" s="236" t="s">
        <v>1407</v>
      </c>
      <c r="B23" s="2385">
        <f>-('Part V-Revenues &amp; Expenses'!$Q$256)</f>
        <v>-38400</v>
      </c>
      <c r="C23" s="2385">
        <f t="shared" ref="C23:K23" si="6">$B$23*(1+$B$8)^(C14-1)</f>
        <v>-39552</v>
      </c>
      <c r="D23" s="2385">
        <f t="shared" si="6"/>
        <v>-40738.559999999998</v>
      </c>
      <c r="E23" s="2385">
        <f t="shared" si="6"/>
        <v>-41960.716800000002</v>
      </c>
      <c r="F23" s="2385">
        <f t="shared" si="6"/>
        <v>-43219.538303999994</v>
      </c>
      <c r="G23" s="2385">
        <f t="shared" si="6"/>
        <v>-44516.124453119992</v>
      </c>
      <c r="H23" s="2385">
        <f t="shared" si="6"/>
        <v>-45851.608186713594</v>
      </c>
      <c r="I23" s="2385">
        <f t="shared" si="6"/>
        <v>-47227.156432315009</v>
      </c>
      <c r="J23" s="2385">
        <f t="shared" si="6"/>
        <v>-48643.97112528445</v>
      </c>
      <c r="K23" s="2386">
        <f t="shared" si="6"/>
        <v>-50103.290259042988</v>
      </c>
      <c r="L23" s="77"/>
      <c r="M23" s="77"/>
      <c r="N23" s="3758"/>
      <c r="O23" s="3760"/>
      <c r="P23" s="77"/>
      <c r="Q23" s="58">
        <v>3</v>
      </c>
      <c r="R23" s="2387">
        <f>-SUM(B32:D32)</f>
        <v>0</v>
      </c>
      <c r="S23" s="2387">
        <f>SUM(B33:D33)+R23</f>
        <v>146203.62193672921</v>
      </c>
      <c r="T23" s="77"/>
      <c r="U23" s="77"/>
      <c r="V23" s="77"/>
      <c r="W23" s="77"/>
      <c r="X23" s="77"/>
      <c r="Y23" s="77"/>
      <c r="Z23" s="1794" t="s">
        <v>1398</v>
      </c>
      <c r="AA23" s="1795">
        <v>23</v>
      </c>
    </row>
    <row r="24" spans="1:27" ht="13.35" customHeight="1">
      <c r="A24" s="236" t="s">
        <v>1408</v>
      </c>
      <c r="B24" s="2764">
        <f>IF(B14&lt;=+'Part V-Revenues &amp; Expenses'!$L$275,-'Part V-Revenues &amp; Expenses'!$F$275,0)</f>
        <v>0</v>
      </c>
      <c r="C24" s="2764">
        <f>IF(C14&lt;=+'Part V-Revenues &amp; Expenses'!$L$275,-'Part V-Revenues &amp; Expenses'!$F$275,0)</f>
        <v>0</v>
      </c>
      <c r="D24" s="2764">
        <f>IF(D14&lt;=+'Part V-Revenues &amp; Expenses'!$L$275,-'Part V-Revenues &amp; Expenses'!$F$275,0)</f>
        <v>0</v>
      </c>
      <c r="E24" s="2764">
        <f>IF(E14&lt;=+'Part V-Revenues &amp; Expenses'!$L$275,-'Part V-Revenues &amp; Expenses'!$F$275,0)</f>
        <v>0</v>
      </c>
      <c r="F24" s="2764">
        <f>IF(F14&lt;=+'Part V-Revenues &amp; Expenses'!$L$275,-'Part V-Revenues &amp; Expenses'!$F$275,0)</f>
        <v>0</v>
      </c>
      <c r="G24" s="2764">
        <f>IF(G14&lt;=+'Part V-Revenues &amp; Expenses'!$L$275,-'Part V-Revenues &amp; Expenses'!$F$275,0)</f>
        <v>0</v>
      </c>
      <c r="H24" s="2764">
        <f>IF(H14&lt;=+'Part V-Revenues &amp; Expenses'!$L$275,-'Part V-Revenues &amp; Expenses'!$F$275,0)</f>
        <v>0</v>
      </c>
      <c r="I24" s="2764">
        <f>IF(I14&lt;=+'Part V-Revenues &amp; Expenses'!$L$275,-'Part V-Revenues &amp; Expenses'!$F$275,0)</f>
        <v>0</v>
      </c>
      <c r="J24" s="2764">
        <f>IF(J14&lt;=+'Part V-Revenues &amp; Expenses'!$L$275,-'Part V-Revenues &amp; Expenses'!$F$275,0)</f>
        <v>0</v>
      </c>
      <c r="K24" s="2764">
        <f>IF(K14&lt;=+'Part V-Revenues &amp; Expenses'!$L$275,-'Part V-Revenues &amp; Expenses'!$F$275,0)</f>
        <v>0</v>
      </c>
      <c r="L24" s="77"/>
      <c r="M24" s="77"/>
      <c r="N24" s="3758"/>
      <c r="O24" s="3760"/>
      <c r="P24" s="77"/>
      <c r="Q24" s="58">
        <v>4</v>
      </c>
      <c r="R24" s="2387">
        <f>-SUM(B32:E32)</f>
        <v>0</v>
      </c>
      <c r="S24" s="2387">
        <f>SUM(B33:E33)+R24</f>
        <v>195459.01796862431</v>
      </c>
      <c r="T24" s="77"/>
      <c r="U24" s="77"/>
      <c r="V24" s="77"/>
      <c r="W24" s="77"/>
      <c r="X24" s="77"/>
      <c r="Y24" s="77"/>
      <c r="Z24" s="1794" t="s">
        <v>1398</v>
      </c>
      <c r="AA24" s="1795">
        <v>24</v>
      </c>
    </row>
    <row r="25" spans="1:27" ht="13.35" customHeight="1">
      <c r="A25" s="236" t="s">
        <v>1409</v>
      </c>
      <c r="B25" s="2385">
        <f>SUM(B20:B24)</f>
        <v>277775.06959999993</v>
      </c>
      <c r="C25" s="2385">
        <f t="shared" ref="C25:J25" si="7">SUM(C20:C24)</f>
        <v>278596.40099199995</v>
      </c>
      <c r="D25" s="2385">
        <f t="shared" si="7"/>
        <v>279292.46051184007</v>
      </c>
      <c r="E25" s="2385">
        <f t="shared" si="7"/>
        <v>279856.78216707672</v>
      </c>
      <c r="F25" s="2385">
        <f t="shared" si="7"/>
        <v>280280.64282876841</v>
      </c>
      <c r="G25" s="2385">
        <f t="shared" si="7"/>
        <v>280558.05325424438</v>
      </c>
      <c r="H25" s="2385">
        <f t="shared" si="7"/>
        <v>280681.74881529668</v>
      </c>
      <c r="I25" s="2385">
        <f t="shared" si="7"/>
        <v>280642.17992244894</v>
      </c>
      <c r="J25" s="2385">
        <f t="shared" si="7"/>
        <v>280433.50213566993</v>
      </c>
      <c r="K25" s="2388">
        <f>SUM(K20:K24)</f>
        <v>280044.56595159858</v>
      </c>
      <c r="L25" s="77"/>
      <c r="M25" s="77"/>
      <c r="N25" s="3758"/>
      <c r="O25" s="3760"/>
      <c r="P25" s="77"/>
      <c r="Q25" s="58">
        <v>5</v>
      </c>
      <c r="R25" s="2387">
        <f>-SUM(B32:F32)</f>
        <v>0</v>
      </c>
      <c r="S25" s="2387">
        <f>SUM(B33:F33)+R25</f>
        <v>244883.95826519607</v>
      </c>
      <c r="T25" s="77"/>
      <c r="U25" s="77"/>
      <c r="V25" s="77"/>
      <c r="W25" s="77"/>
      <c r="X25" s="77"/>
      <c r="Y25" s="77"/>
      <c r="Z25" s="1794" t="s">
        <v>1398</v>
      </c>
      <c r="AA25" s="1795">
        <v>25</v>
      </c>
    </row>
    <row r="26" spans="1:27" ht="13.35" customHeight="1">
      <c r="A26" s="236" t="s">
        <v>398</v>
      </c>
      <c r="B26" s="2765">
        <f>-MIN('Part II-Sources of Funds'!I42,B25*0.6)</f>
        <v>-166665.04175999996</v>
      </c>
      <c r="C26" s="2765">
        <f>-MIN(B40,C25*0.6)</f>
        <v>-167157.84059519996</v>
      </c>
      <c r="D26" s="2765">
        <f t="shared" ref="D26:K26" si="8">-MIN(C40,D25*0.6)</f>
        <v>-167575.47630710402</v>
      </c>
      <c r="E26" s="2765">
        <f t="shared" si="8"/>
        <v>-167914.06930024602</v>
      </c>
      <c r="F26" s="2765">
        <f t="shared" si="8"/>
        <v>-168168.38569726105</v>
      </c>
      <c r="G26" s="2765">
        <f t="shared" si="8"/>
        <v>-168334.83195254664</v>
      </c>
      <c r="H26" s="2765">
        <f t="shared" si="8"/>
        <v>-168409.04928917802</v>
      </c>
      <c r="I26" s="2765">
        <f t="shared" si="8"/>
        <v>-168385.30795346937</v>
      </c>
      <c r="J26" s="2765">
        <f t="shared" si="8"/>
        <v>-168260.10128140196</v>
      </c>
      <c r="K26" s="2765">
        <f t="shared" si="8"/>
        <v>-168026.73957095915</v>
      </c>
      <c r="L26" s="77"/>
      <c r="M26" s="77"/>
      <c r="N26" s="3758"/>
      <c r="O26" s="3760"/>
      <c r="P26" s="77"/>
      <c r="Q26" s="58">
        <v>6</v>
      </c>
      <c r="R26" s="2387">
        <f>-SUM(B32:G32)</f>
        <v>0</v>
      </c>
      <c r="S26" s="2387">
        <f>SUM(B33:G33)+R26</f>
        <v>294419.86273195822</v>
      </c>
      <c r="T26" s="77"/>
      <c r="U26" s="77"/>
      <c r="V26" s="77"/>
      <c r="W26" s="77"/>
      <c r="X26" s="77"/>
      <c r="Y26" s="77"/>
      <c r="Z26" s="1794" t="s">
        <v>1398</v>
      </c>
      <c r="AA26" s="1795">
        <v>26</v>
      </c>
    </row>
    <row r="27" spans="1:27" ht="13.35" customHeight="1">
      <c r="A27" s="236" t="s">
        <v>400</v>
      </c>
      <c r="B27" s="2389">
        <f>IF('Part II-Sources of Funds'!$P$43="", 0,-'Part II-Sources of Funds'!$P$43)</f>
        <v>-55187.316834935598</v>
      </c>
      <c r="C27" s="2389">
        <f>IF('Part II-Sources of Funds'!$P$43="", 0,-'Part II-Sources of Funds'!$P$43)</f>
        <v>-55187.316834935598</v>
      </c>
      <c r="D27" s="2389">
        <f>IF('Part II-Sources of Funds'!$P$43="", 0,-'Part II-Sources of Funds'!$P$43)</f>
        <v>-55187.316834935598</v>
      </c>
      <c r="E27" s="2389">
        <f>IF('Part II-Sources of Funds'!$P$43="", 0,-'Part II-Sources of Funds'!$P$43)</f>
        <v>-55187.316834935598</v>
      </c>
      <c r="F27" s="2389">
        <f>IF('Part II-Sources of Funds'!$P$43="", 0,-'Part II-Sources of Funds'!$P$43)</f>
        <v>-55187.316834935598</v>
      </c>
      <c r="G27" s="2389">
        <f>IF('Part II-Sources of Funds'!$P$43="", 0,-'Part II-Sources of Funds'!$P$43)</f>
        <v>-55187.316834935598</v>
      </c>
      <c r="H27" s="2389">
        <f>IF('Part II-Sources of Funds'!$P$43="", 0,-'Part II-Sources of Funds'!$P$43)</f>
        <v>-55187.316834935598</v>
      </c>
      <c r="I27" s="2389">
        <f>IF('Part II-Sources of Funds'!$P$43="", 0,-'Part II-Sources of Funds'!$P$43)</f>
        <v>-55187.316834935598</v>
      </c>
      <c r="J27" s="2389">
        <f>IF('Part II-Sources of Funds'!$P$43="", 0,-'Part II-Sources of Funds'!$P$43)</f>
        <v>-55187.316834935598</v>
      </c>
      <c r="K27" s="2389">
        <f>IF('Part II-Sources of Funds'!$P$43="", 0,-'Part II-Sources of Funds'!$P$43)</f>
        <v>-55187.316834935598</v>
      </c>
      <c r="L27" s="77"/>
      <c r="M27" s="77"/>
      <c r="N27" s="3758"/>
      <c r="O27" s="3760"/>
      <c r="P27" s="77"/>
      <c r="Q27" s="58">
        <v>7</v>
      </c>
      <c r="R27" s="2387">
        <f>-SUM(B32:H32)</f>
        <v>0</v>
      </c>
      <c r="S27" s="2387">
        <f>SUM(B33:H33)+R27</f>
        <v>344005.24542314128</v>
      </c>
      <c r="T27" s="77"/>
      <c r="U27" s="77"/>
      <c r="V27" s="77"/>
      <c r="W27" s="77"/>
      <c r="X27" s="77"/>
      <c r="Y27" s="77"/>
      <c r="Z27" s="1794" t="s">
        <v>1398</v>
      </c>
      <c r="AA27" s="1795">
        <v>27</v>
      </c>
    </row>
    <row r="28" spans="1:27" ht="13.35" customHeight="1">
      <c r="A28" s="236" t="s">
        <v>402</v>
      </c>
      <c r="B28" s="2389">
        <f>IF('Part II-Sources of Funds'!$P$44="", 0,-'Part II-Sources of Funds'!$P$44)</f>
        <v>0</v>
      </c>
      <c r="C28" s="2389">
        <f>IF('Part II-Sources of Funds'!$P$44="", 0,-'Part II-Sources of Funds'!$P$44)</f>
        <v>0</v>
      </c>
      <c r="D28" s="2389">
        <f>IF('Part II-Sources of Funds'!$P$44="", 0,-'Part II-Sources of Funds'!$P$44)</f>
        <v>0</v>
      </c>
      <c r="E28" s="2389">
        <f>IF('Part II-Sources of Funds'!$P$44="", 0,-'Part II-Sources of Funds'!$P$44)</f>
        <v>0</v>
      </c>
      <c r="F28" s="2389">
        <f>IF('Part II-Sources of Funds'!$P$44="", 0,-'Part II-Sources of Funds'!$P$44)</f>
        <v>0</v>
      </c>
      <c r="G28" s="2389">
        <f>IF('Part II-Sources of Funds'!$P$44="", 0,-'Part II-Sources of Funds'!$P$44)</f>
        <v>0</v>
      </c>
      <c r="H28" s="2389">
        <f>IF('Part II-Sources of Funds'!$P$44="", 0,-'Part II-Sources of Funds'!$P$44)</f>
        <v>0</v>
      </c>
      <c r="I28" s="2389">
        <f>IF('Part II-Sources of Funds'!$P$44="", 0,-'Part II-Sources of Funds'!$P$44)</f>
        <v>0</v>
      </c>
      <c r="J28" s="2389">
        <f>IF('Part II-Sources of Funds'!$P$44="", 0,-'Part II-Sources of Funds'!$P$44)</f>
        <v>0</v>
      </c>
      <c r="K28" s="2389">
        <f>IF('Part II-Sources of Funds'!$P$44="", 0,-'Part II-Sources of Funds'!$P$44)</f>
        <v>0</v>
      </c>
      <c r="L28" s="77"/>
      <c r="M28" s="77"/>
      <c r="N28" s="3758"/>
      <c r="O28" s="3760"/>
      <c r="P28" s="77"/>
      <c r="Q28" s="58">
        <v>8</v>
      </c>
      <c r="R28" s="2387">
        <f>-SUM(B32:I32)</f>
        <v>0</v>
      </c>
      <c r="S28" s="2387">
        <f>SUM(B33:I33)+R28</f>
        <v>393574.80055718526</v>
      </c>
      <c r="T28" s="77"/>
      <c r="U28" s="77"/>
      <c r="V28" s="77"/>
      <c r="W28" s="77"/>
      <c r="X28" s="77"/>
      <c r="Y28" s="77"/>
      <c r="Z28" s="1794" t="s">
        <v>1398</v>
      </c>
      <c r="AA28" s="1795">
        <v>28</v>
      </c>
    </row>
    <row r="29" spans="1:27" ht="13.35" customHeight="1">
      <c r="A29" s="236" t="s">
        <v>1410</v>
      </c>
      <c r="B29" s="2389">
        <f>IF('Part II-Sources of Funds'!$P$45="", 0,-'Part II-Sources of Funds'!$P$45)</f>
        <v>0</v>
      </c>
      <c r="C29" s="2389">
        <f>IF('Part II-Sources of Funds'!$P$45="", 0,-'Part II-Sources of Funds'!$P$45)</f>
        <v>0</v>
      </c>
      <c r="D29" s="2389">
        <f>IF('Part II-Sources of Funds'!$P$45="", 0,-'Part II-Sources of Funds'!$P$45)</f>
        <v>0</v>
      </c>
      <c r="E29" s="2389">
        <f>IF('Part II-Sources of Funds'!$P$45="", 0,-'Part II-Sources of Funds'!$P$45)</f>
        <v>0</v>
      </c>
      <c r="F29" s="2389">
        <f>IF('Part II-Sources of Funds'!$P$45="", 0,-'Part II-Sources of Funds'!$P$45)</f>
        <v>0</v>
      </c>
      <c r="G29" s="2389">
        <f>IF('Part II-Sources of Funds'!$P$45="", 0,-'Part II-Sources of Funds'!$P$45)</f>
        <v>0</v>
      </c>
      <c r="H29" s="2389">
        <f>IF('Part II-Sources of Funds'!$P$45="", 0,-'Part II-Sources of Funds'!$P$45)</f>
        <v>0</v>
      </c>
      <c r="I29" s="2389">
        <f>IF('Part II-Sources of Funds'!$P$45="", 0,-'Part II-Sources of Funds'!$P$45)</f>
        <v>0</v>
      </c>
      <c r="J29" s="2389">
        <f>IF('Part II-Sources of Funds'!$P$45="", 0,-'Part II-Sources of Funds'!$P$45)</f>
        <v>0</v>
      </c>
      <c r="K29" s="2389">
        <f>IF('Part II-Sources of Funds'!$P$45="", 0,-'Part II-Sources of Funds'!$P$45)</f>
        <v>0</v>
      </c>
      <c r="L29" s="77"/>
      <c r="M29" s="77"/>
      <c r="N29" s="3758"/>
      <c r="O29" s="3760"/>
      <c r="P29" s="77"/>
      <c r="Q29" s="58">
        <v>9</v>
      </c>
      <c r="R29" s="2387">
        <f>-SUM(B32:J32)</f>
        <v>0</v>
      </c>
      <c r="S29" s="2387">
        <f>SUM(B33:J33)+R29</f>
        <v>443060.88457651762</v>
      </c>
      <c r="T29" s="77"/>
      <c r="U29" s="77"/>
      <c r="V29" s="77"/>
      <c r="W29" s="77"/>
      <c r="X29" s="77"/>
      <c r="Y29" s="77"/>
      <c r="Z29" s="1794" t="s">
        <v>1398</v>
      </c>
      <c r="AA29" s="1795">
        <v>29</v>
      </c>
    </row>
    <row r="30" spans="1:27" ht="13.35" customHeight="1">
      <c r="A30" s="236" t="s">
        <v>1411</v>
      </c>
      <c r="B30" s="2390"/>
      <c r="C30" s="2390"/>
      <c r="D30" s="2390"/>
      <c r="E30" s="2390"/>
      <c r="F30" s="2390"/>
      <c r="G30" s="2390"/>
      <c r="H30" s="2390"/>
      <c r="I30" s="2390"/>
      <c r="J30" s="2390"/>
      <c r="K30" s="2390"/>
      <c r="L30" s="77"/>
      <c r="M30" s="77"/>
      <c r="N30" s="3758"/>
      <c r="O30" s="3760"/>
      <c r="P30" s="77"/>
      <c r="Q30" s="58">
        <v>10</v>
      </c>
      <c r="R30" s="2387">
        <f>-SUM(B32:K32)</f>
        <v>0</v>
      </c>
      <c r="S30" s="2387">
        <f>SUM(B33:K33)+R30</f>
        <v>492391.39412222145</v>
      </c>
      <c r="T30" s="77"/>
      <c r="U30" s="77"/>
      <c r="V30" s="77"/>
      <c r="W30" s="77"/>
      <c r="X30" s="77"/>
      <c r="Y30" s="77"/>
      <c r="Z30" s="1794" t="s">
        <v>1398</v>
      </c>
      <c r="AA30" s="1795">
        <v>30</v>
      </c>
    </row>
    <row r="31" spans="1:27" ht="13.35" customHeight="1">
      <c r="A31" s="236" t="s">
        <v>1412</v>
      </c>
      <c r="B31" s="2391">
        <f>-$G$6</f>
        <v>-7500</v>
      </c>
      <c r="C31" s="2391">
        <f t="shared" ref="C31:K31" si="9">+B31</f>
        <v>-7500</v>
      </c>
      <c r="D31" s="2391">
        <f t="shared" si="9"/>
        <v>-7500</v>
      </c>
      <c r="E31" s="2391">
        <f>+D31</f>
        <v>-7500</v>
      </c>
      <c r="F31" s="2391">
        <f t="shared" si="9"/>
        <v>-7500</v>
      </c>
      <c r="G31" s="2391">
        <f t="shared" si="9"/>
        <v>-7500</v>
      </c>
      <c r="H31" s="2391">
        <f t="shared" si="9"/>
        <v>-7500</v>
      </c>
      <c r="I31" s="2391">
        <f t="shared" si="9"/>
        <v>-7500</v>
      </c>
      <c r="J31" s="2391">
        <f t="shared" si="9"/>
        <v>-7500</v>
      </c>
      <c r="K31" s="2391">
        <f t="shared" si="9"/>
        <v>-7500</v>
      </c>
      <c r="L31" s="77"/>
      <c r="M31" s="77"/>
      <c r="N31" s="3758"/>
      <c r="O31" s="3760"/>
      <c r="P31" s="77"/>
      <c r="Q31" s="58">
        <v>11</v>
      </c>
      <c r="R31" s="2387">
        <f>-SUM(B32:K32)-B64</f>
        <v>0</v>
      </c>
      <c r="S31" s="2387">
        <f>SUM(B33:K33)+B65+R31</f>
        <v>541491.63979010272</v>
      </c>
      <c r="T31" s="77"/>
      <c r="U31" s="77"/>
      <c r="V31" s="77"/>
      <c r="W31" s="77"/>
      <c r="X31" s="77"/>
      <c r="Y31" s="77"/>
      <c r="Z31" s="1794" t="s">
        <v>1398</v>
      </c>
      <c r="AA31" s="1795">
        <v>31</v>
      </c>
    </row>
    <row r="32" spans="1:27" ht="13.35" customHeight="1">
      <c r="A32" s="236" t="s">
        <v>1413</v>
      </c>
      <c r="B32" s="2392">
        <f>IF('Part II-Sources of Funds'!$P$47="", 0,-'Part II-Sources of Funds'!$P$47)</f>
        <v>0</v>
      </c>
      <c r="C32" s="2392">
        <f>IF('Part II-Sources of Funds'!$P$47="", 0,-'Part II-Sources of Funds'!$P$47)</f>
        <v>0</v>
      </c>
      <c r="D32" s="2392">
        <f>IF('Part II-Sources of Funds'!$P$47="", 0,-'Part II-Sources of Funds'!$P$47)</f>
        <v>0</v>
      </c>
      <c r="E32" s="2392">
        <f>IF('Part II-Sources of Funds'!$P$47="", 0,-'Part II-Sources of Funds'!$P$47)</f>
        <v>0</v>
      </c>
      <c r="F32" s="2392">
        <f>IF('Part II-Sources of Funds'!$P$47="", 0,-'Part II-Sources of Funds'!$P$47)</f>
        <v>0</v>
      </c>
      <c r="G32" s="2392">
        <f>IF('Part II-Sources of Funds'!$P$47="", 0,-'Part II-Sources of Funds'!$P$47)</f>
        <v>0</v>
      </c>
      <c r="H32" s="2392">
        <f>IF('Part II-Sources of Funds'!$P$47="", 0,-'Part II-Sources of Funds'!$P$47)</f>
        <v>0</v>
      </c>
      <c r="I32" s="2392">
        <f>IF('Part II-Sources of Funds'!$P$47="", 0,-'Part II-Sources of Funds'!$P$47)</f>
        <v>0</v>
      </c>
      <c r="J32" s="2392">
        <f>IF('Part II-Sources of Funds'!$P$47="", 0,-'Part II-Sources of Funds'!$P$47)</f>
        <v>0</v>
      </c>
      <c r="K32" s="2392">
        <f>IF('Part II-Sources of Funds'!$P$47="", 0,-'Part II-Sources of Funds'!$P$47)</f>
        <v>0</v>
      </c>
      <c r="L32" s="77"/>
      <c r="M32" s="77"/>
      <c r="N32" s="3758"/>
      <c r="O32" s="3760"/>
      <c r="P32" s="77"/>
      <c r="Q32" s="58">
        <v>12</v>
      </c>
      <c r="R32" s="2387">
        <f>-SUM(B32:K32) - SUM(B64:C64)</f>
        <v>0</v>
      </c>
      <c r="S32" s="2387">
        <f>SUM(B33:K33) + SUM(B65:C65)+R32</f>
        <v>590283.01553044165</v>
      </c>
      <c r="T32" s="77"/>
      <c r="U32" s="77"/>
      <c r="V32" s="77"/>
      <c r="W32" s="77"/>
      <c r="X32" s="77"/>
      <c r="Y32" s="77"/>
      <c r="Z32" s="1794" t="s">
        <v>1398</v>
      </c>
      <c r="AA32" s="1795">
        <v>32</v>
      </c>
    </row>
    <row r="33" spans="1:27" ht="13.35" customHeight="1">
      <c r="A33" s="236" t="s">
        <v>1414</v>
      </c>
      <c r="B33" s="2385">
        <f t="shared" ref="B33:K33" si="10">SUM(B25:B32)</f>
        <v>48422.711005064368</v>
      </c>
      <c r="C33" s="2385">
        <f t="shared" si="10"/>
        <v>48751.243561864394</v>
      </c>
      <c r="D33" s="2385">
        <f t="shared" si="10"/>
        <v>49029.667369800445</v>
      </c>
      <c r="E33" s="2385">
        <f t="shared" si="10"/>
        <v>49255.396031895099</v>
      </c>
      <c r="F33" s="2385">
        <f t="shared" si="10"/>
        <v>49424.94029657176</v>
      </c>
      <c r="G33" s="2385">
        <f t="shared" si="10"/>
        <v>49535.904466762149</v>
      </c>
      <c r="H33" s="2385">
        <f t="shared" si="10"/>
        <v>49585.382691183069</v>
      </c>
      <c r="I33" s="2385">
        <f t="shared" si="10"/>
        <v>49569.555134043971</v>
      </c>
      <c r="J33" s="2385">
        <f t="shared" si="10"/>
        <v>49486.084019332367</v>
      </c>
      <c r="K33" s="2386">
        <f t="shared" si="10"/>
        <v>49330.509545703826</v>
      </c>
      <c r="L33" s="77"/>
      <c r="M33" s="77"/>
      <c r="N33" s="3758"/>
      <c r="O33" s="3760"/>
      <c r="P33" s="77"/>
      <c r="Q33" s="58">
        <v>13</v>
      </c>
      <c r="R33" s="2387">
        <f>-SUM(B32:K32) - SUM(B64:D64)</f>
        <v>0</v>
      </c>
      <c r="S33" s="2387">
        <f>SUM(B33:K33) + SUM(B65:D65)+R33</f>
        <v>638682.86354935996</v>
      </c>
      <c r="T33" s="77"/>
      <c r="U33" s="77"/>
      <c r="V33" s="77"/>
      <c r="W33" s="77"/>
      <c r="X33" s="77"/>
      <c r="Y33" s="77"/>
      <c r="Z33" s="1794" t="s">
        <v>1398</v>
      </c>
      <c r="AA33" s="1795">
        <v>33</v>
      </c>
    </row>
    <row r="34" spans="1:27" ht="13.35" customHeight="1">
      <c r="A34" s="236" t="str">
        <f>IF('Part II-Sources of Funds'!$E$42 = "Neither", "", "DCR Mortgage A")</f>
        <v>DCR Mortgage A</v>
      </c>
      <c r="B34" s="2393">
        <f t="shared" ref="B34:K34" si="11">IF(B26=0,"",-B25/B26)</f>
        <v>1.6666666666666665</v>
      </c>
      <c r="C34" s="2393">
        <f t="shared" si="11"/>
        <v>1.6666666666666667</v>
      </c>
      <c r="D34" s="2393">
        <f t="shared" si="11"/>
        <v>1.6666666666666667</v>
      </c>
      <c r="E34" s="2393">
        <f t="shared" si="11"/>
        <v>1.6666666666666667</v>
      </c>
      <c r="F34" s="2393">
        <f t="shared" si="11"/>
        <v>1.6666666666666665</v>
      </c>
      <c r="G34" s="2393">
        <f t="shared" si="11"/>
        <v>1.6666666666666665</v>
      </c>
      <c r="H34" s="2393">
        <f t="shared" si="11"/>
        <v>1.6666666666666665</v>
      </c>
      <c r="I34" s="2393">
        <f t="shared" si="11"/>
        <v>1.6666666666666665</v>
      </c>
      <c r="J34" s="2393">
        <f t="shared" si="11"/>
        <v>1.6666666666666665</v>
      </c>
      <c r="K34" s="2394">
        <f t="shared" si="11"/>
        <v>1.6666666666666665</v>
      </c>
      <c r="L34" s="77"/>
      <c r="M34" s="77"/>
      <c r="N34" s="3758"/>
      <c r="O34" s="3760"/>
      <c r="P34" s="77"/>
      <c r="Q34" s="58">
        <v>14</v>
      </c>
      <c r="R34" s="2387">
        <f>-SUM(B32:K32) - SUM(B64:E64)</f>
        <v>0</v>
      </c>
      <c r="S34" s="2387">
        <f>SUM(B33:K33) + SUM(B65:E65)+R34</f>
        <v>686604.33456524112</v>
      </c>
      <c r="T34" s="77"/>
      <c r="U34" s="77"/>
      <c r="V34" s="77"/>
      <c r="W34" s="77"/>
      <c r="X34" s="77"/>
      <c r="Y34" s="77"/>
      <c r="Z34" s="1794" t="s">
        <v>1398</v>
      </c>
      <c r="AA34" s="1795">
        <v>34</v>
      </c>
    </row>
    <row r="35" spans="1:27" ht="13.35" customHeight="1">
      <c r="A35" s="236" t="str">
        <f>IF('Part II-Sources of Funds'!$E$42 = "Neither", "", "DCR Mortgage B")</f>
        <v>DCR Mortgage B</v>
      </c>
      <c r="B35" s="2393">
        <f t="shared" ref="B35:K35" si="12">IF(B27=0,"",-(B25+B26)/B27)</f>
        <v>2.0133254199026984</v>
      </c>
      <c r="C35" s="2393">
        <f t="shared" si="12"/>
        <v>2.0192784644723893</v>
      </c>
      <c r="D35" s="2393">
        <f t="shared" si="12"/>
        <v>2.0243235332291984</v>
      </c>
      <c r="E35" s="2393">
        <f t="shared" si="12"/>
        <v>2.0284137603871848</v>
      </c>
      <c r="F35" s="2393">
        <f t="shared" si="12"/>
        <v>2.0314859203398741</v>
      </c>
      <c r="G35" s="2393">
        <f t="shared" si="12"/>
        <v>2.0334966028037864</v>
      </c>
      <c r="H35" s="2393">
        <f t="shared" si="12"/>
        <v>2.0343931534472777</v>
      </c>
      <c r="I35" s="2393">
        <f t="shared" si="12"/>
        <v>2.0341063564430595</v>
      </c>
      <c r="J35" s="2393">
        <f t="shared" si="12"/>
        <v>2.0325938510432904</v>
      </c>
      <c r="K35" s="2394">
        <f t="shared" si="12"/>
        <v>2.029774825177368</v>
      </c>
      <c r="L35" s="77"/>
      <c r="M35" s="77"/>
      <c r="N35" s="3758"/>
      <c r="O35" s="3760"/>
      <c r="P35" s="77"/>
      <c r="Q35" s="58">
        <v>15</v>
      </c>
      <c r="R35" s="2387">
        <f>-SUM(B32:K32) - SUM(B64:F64)</f>
        <v>0</v>
      </c>
      <c r="S35" s="2387">
        <f>SUM(B33:K33) + SUM(B65:F65)+R35</f>
        <v>733957.44326902099</v>
      </c>
      <c r="T35" s="77"/>
      <c r="U35" s="77"/>
      <c r="V35" s="77"/>
      <c r="W35" s="77"/>
      <c r="X35" s="77"/>
      <c r="Y35" s="77"/>
      <c r="Z35" s="1794" t="s">
        <v>1398</v>
      </c>
      <c r="AA35" s="1795">
        <v>35</v>
      </c>
    </row>
    <row r="36" spans="1:27" ht="13.35" customHeight="1">
      <c r="A36" s="236" t="str">
        <f>IF('Part II-Sources of Funds'!$E$42 = "Neither", "DCR First Mortgage", "DCR Mortgage C")</f>
        <v>DCR Mortgage C</v>
      </c>
      <c r="B36" s="2393" t="str">
        <f t="shared" ref="B36:K36" si="13">IF(B28=0,"",-(B25+B26+B27)/B28)</f>
        <v/>
      </c>
      <c r="C36" s="2393" t="str">
        <f t="shared" si="13"/>
        <v/>
      </c>
      <c r="D36" s="2393" t="str">
        <f t="shared" si="13"/>
        <v/>
      </c>
      <c r="E36" s="2393" t="str">
        <f t="shared" si="13"/>
        <v/>
      </c>
      <c r="F36" s="2393" t="str">
        <f t="shared" si="13"/>
        <v/>
      </c>
      <c r="G36" s="2393" t="str">
        <f t="shared" si="13"/>
        <v/>
      </c>
      <c r="H36" s="2393" t="str">
        <f t="shared" si="13"/>
        <v/>
      </c>
      <c r="I36" s="2393" t="str">
        <f t="shared" si="13"/>
        <v/>
      </c>
      <c r="J36" s="2393" t="str">
        <f t="shared" si="13"/>
        <v/>
      </c>
      <c r="K36" s="2394" t="str">
        <f t="shared" si="13"/>
        <v/>
      </c>
      <c r="L36" s="77"/>
      <c r="M36" s="77"/>
      <c r="N36" s="3758"/>
      <c r="O36" s="3760"/>
      <c r="P36" s="77"/>
      <c r="Q36" s="58">
        <v>16</v>
      </c>
      <c r="R36" s="2387">
        <f>-SUM(B32:K32) - SUM(B64:G64)</f>
        <v>0</v>
      </c>
      <c r="S36" s="2387">
        <f>SUM(B33:K33) + SUM(B65:G65)+R36</f>
        <v>780646.91883238382</v>
      </c>
      <c r="T36" s="77"/>
      <c r="U36" s="77"/>
      <c r="V36" s="77"/>
      <c r="W36" s="77"/>
      <c r="X36" s="77"/>
      <c r="Y36" s="77"/>
      <c r="Z36" s="1794" t="s">
        <v>1398</v>
      </c>
      <c r="AA36" s="1795">
        <v>36</v>
      </c>
    </row>
    <row r="37" spans="1:27" ht="13.35" customHeight="1">
      <c r="A37" s="236" t="s">
        <v>1415</v>
      </c>
      <c r="B37" s="2393" t="str">
        <f t="shared" ref="B37:K37" si="14">IF(B29=0,"",-(B25+B26+B27+B28)/B29)</f>
        <v/>
      </c>
      <c r="C37" s="2393" t="str">
        <f t="shared" si="14"/>
        <v/>
      </c>
      <c r="D37" s="2393" t="str">
        <f t="shared" si="14"/>
        <v/>
      </c>
      <c r="E37" s="2393" t="str">
        <f t="shared" si="14"/>
        <v/>
      </c>
      <c r="F37" s="2393" t="str">
        <f t="shared" si="14"/>
        <v/>
      </c>
      <c r="G37" s="2393" t="str">
        <f t="shared" si="14"/>
        <v/>
      </c>
      <c r="H37" s="2393" t="str">
        <f t="shared" si="14"/>
        <v/>
      </c>
      <c r="I37" s="2393" t="str">
        <f t="shared" si="14"/>
        <v/>
      </c>
      <c r="J37" s="2393" t="str">
        <f t="shared" si="14"/>
        <v/>
      </c>
      <c r="K37" s="2394" t="str">
        <f t="shared" si="14"/>
        <v/>
      </c>
      <c r="L37" s="77"/>
      <c r="M37" s="77"/>
      <c r="N37" s="3758"/>
      <c r="O37" s="3760"/>
      <c r="P37" s="77"/>
      <c r="Q37" s="58">
        <v>17</v>
      </c>
      <c r="R37" s="2387">
        <f>-SUM(B32:K32) - SUM(B64:H64)</f>
        <v>0</v>
      </c>
      <c r="S37" s="2387">
        <f>SUM(B33:K33) + SUM(B65:H65)+R37</f>
        <v>826574.05030298582</v>
      </c>
      <c r="T37" s="77"/>
      <c r="U37" s="77"/>
      <c r="V37" s="77"/>
      <c r="W37" s="77"/>
      <c r="X37" s="77"/>
      <c r="Y37" s="77"/>
      <c r="Z37" s="1794" t="s">
        <v>1398</v>
      </c>
      <c r="AA37" s="1795">
        <v>37</v>
      </c>
    </row>
    <row r="38" spans="1:27" ht="13.35" customHeight="1">
      <c r="A38" s="236" t="s">
        <v>1416</v>
      </c>
      <c r="B38" s="2393">
        <f t="shared" ref="B38:K38" si="15">IF(AND(B26=0,B27=0,B28=0,B29=0),"",-B25/(B26+B27+B28+B29))</f>
        <v>1.2520717442863416</v>
      </c>
      <c r="C38" s="2393">
        <f t="shared" si="15"/>
        <v>1.2529906394725032</v>
      </c>
      <c r="D38" s="2393">
        <f t="shared" si="15"/>
        <v>1.2537661993390232</v>
      </c>
      <c r="E38" s="2393">
        <f t="shared" si="15"/>
        <v>1.2543928436083578</v>
      </c>
      <c r="F38" s="2393">
        <f t="shared" si="15"/>
        <v>1.2548622652173658</v>
      </c>
      <c r="G38" s="2393">
        <f t="shared" si="15"/>
        <v>1.2551689162624777</v>
      </c>
      <c r="H38" s="2393">
        <f t="shared" si="15"/>
        <v>1.2553055028608837</v>
      </c>
      <c r="I38" s="2393">
        <f t="shared" si="15"/>
        <v>1.2552618201269323</v>
      </c>
      <c r="J38" s="2393">
        <f t="shared" si="15"/>
        <v>1.2550312932667795</v>
      </c>
      <c r="K38" s="2394">
        <f t="shared" si="15"/>
        <v>1.2546009443167085</v>
      </c>
      <c r="L38" s="77"/>
      <c r="M38" s="77"/>
      <c r="N38" s="3758"/>
      <c r="O38" s="3760"/>
      <c r="P38" s="77"/>
      <c r="Q38" s="58">
        <v>18</v>
      </c>
      <c r="R38" s="2387">
        <f>-SUM(B32:K32) - SUM(B64:I64)</f>
        <v>0</v>
      </c>
      <c r="S38" s="2387">
        <f>SUM(B33:K33) + SUM(B65:I65)+R38</f>
        <v>948591.92752356105</v>
      </c>
      <c r="T38" s="77"/>
      <c r="U38" s="77"/>
      <c r="V38" s="77"/>
      <c r="W38" s="77"/>
      <c r="X38" s="77"/>
      <c r="Y38" s="77"/>
      <c r="Z38" s="1794" t="s">
        <v>1398</v>
      </c>
      <c r="AA38" s="1795">
        <v>38</v>
      </c>
    </row>
    <row r="39" spans="1:27" ht="13.35" customHeight="1">
      <c r="A39" s="236" t="s">
        <v>1417</v>
      </c>
      <c r="B39" s="1793">
        <f t="shared" ref="B39:K39" si="16">IF(OR(B22="Choose mgt fee",B22="Choose One!"),"",(B15+B16+B17+B18+B19) / -(B21+B22+B23))</f>
        <v>1.5428644819849751</v>
      </c>
      <c r="C39" s="1793">
        <f t="shared" si="16"/>
        <v>1.5289953903931028</v>
      </c>
      <c r="D39" s="1793">
        <f t="shared" si="16"/>
        <v>1.5152419865817792</v>
      </c>
      <c r="E39" s="1793">
        <f t="shared" si="16"/>
        <v>1.5016042218826067</v>
      </c>
      <c r="F39" s="1793">
        <f t="shared" si="16"/>
        <v>1.4880767675900946</v>
      </c>
      <c r="G39" s="1793">
        <f t="shared" si="16"/>
        <v>1.4746624618461559</v>
      </c>
      <c r="H39" s="1793">
        <f t="shared" si="16"/>
        <v>1.4613612452600129</v>
      </c>
      <c r="I39" s="1793">
        <f t="shared" si="16"/>
        <v>1.4481683394723599</v>
      </c>
      <c r="J39" s="1793">
        <f t="shared" si="16"/>
        <v>1.4350884754243469</v>
      </c>
      <c r="K39" s="2395">
        <f t="shared" si="16"/>
        <v>1.422114886177515</v>
      </c>
      <c r="L39" s="77"/>
      <c r="M39" s="77"/>
      <c r="N39" s="3758"/>
      <c r="O39" s="3760"/>
      <c r="P39" s="77"/>
      <c r="Q39" s="58">
        <v>19</v>
      </c>
      <c r="R39" s="2387">
        <f>-SUM(B32:K32) - SUM(B64:J64)</f>
        <v>0</v>
      </c>
      <c r="S39" s="2387">
        <f>SUM(B33:K33) + SUM(B65:J65)+R39</f>
        <v>1149982.8698194539</v>
      </c>
      <c r="T39" s="77"/>
      <c r="U39" s="77"/>
      <c r="V39" s="77"/>
      <c r="W39" s="77"/>
      <c r="X39" s="77"/>
      <c r="Y39" s="77"/>
      <c r="Z39" s="1794" t="s">
        <v>1398</v>
      </c>
      <c r="AA39" s="1795">
        <v>39</v>
      </c>
    </row>
    <row r="40" spans="1:27" ht="13.35" customHeight="1">
      <c r="A40" s="236" t="s">
        <v>1418</v>
      </c>
      <c r="B40" s="2766">
        <f>IF('Part II-Sources of Funds'!$I$42="","",-FV('Part II-Sources of Funds'!$K$42/12,12,B26/12,'Part II-Sources of Funds'!$I$42))</f>
        <v>1750451.3961115417</v>
      </c>
      <c r="C40" s="2766">
        <f>IF('Part II-Sources of Funds'!$I$42="","",-FV('Part II-Sources of Funds'!$K$42/12,12,C26/12,B40))</f>
        <v>1686583.2439337496</v>
      </c>
      <c r="D40" s="2766">
        <f>IF('Part II-Sources of Funds'!$I$42="","",-FV('Part II-Sources of Funds'!$K$42/12,12,D26/12,C40))</f>
        <v>1618346.5296006904</v>
      </c>
      <c r="E40" s="2766">
        <f>IF('Part II-Sources of Funds'!$I$42="","",-FV('Part II-Sources of Funds'!$K$42/12,12,E26/12,D40))</f>
        <v>1545553.0627899177</v>
      </c>
      <c r="F40" s="2766">
        <f>IF('Part II-Sources of Funds'!$I$42="","",-FV('Part II-Sources of Funds'!$K$42/12,12,F26/12,E40))</f>
        <v>1468008.4262467399</v>
      </c>
      <c r="G40" s="2766">
        <f>IF('Part II-Sources of Funds'!$I$42="","",-FV('Part II-Sources of Funds'!$K$42/12,12,G26/12,F40))</f>
        <v>1385509.9055194338</v>
      </c>
      <c r="H40" s="2766">
        <f>IF('Part II-Sources of Funds'!$I$42="","",-FV('Part II-Sources of Funds'!$K$42/12,12,H26/12,G40))</f>
        <v>1297846.7638361789</v>
      </c>
      <c r="I40" s="2766">
        <f>IF('Part II-Sources of Funds'!$I$42="","",-FV('Part II-Sources of Funds'!$K$42/12,12,I26/12,H40))</f>
        <v>1204801.156620021</v>
      </c>
      <c r="J40" s="2766">
        <f>IF('Part II-Sources of Funds'!$I$42="","",-FV('Part II-Sources of Funds'!$K$42/12,12,J26/12,I40))</f>
        <v>1106145.4078398992</v>
      </c>
      <c r="K40" s="2766">
        <f>IF('Part II-Sources of Funds'!$I$42="","",-FV('Part II-Sources of Funds'!$K$42/12,12,K26/12,J40))</f>
        <v>1001644.6756750506</v>
      </c>
      <c r="L40" s="77"/>
      <c r="M40" s="77"/>
      <c r="N40" s="3758"/>
      <c r="O40" s="3760"/>
      <c r="P40" s="77"/>
      <c r="Q40" s="58">
        <v>20</v>
      </c>
      <c r="R40" s="2387">
        <f>-SUM(B32:K32) - SUM(B64:K64)</f>
        <v>0</v>
      </c>
      <c r="S40" s="2387">
        <f>SUM(B33:K33) + SUM(B65:K65)+R40</f>
        <v>1351411.1139395244</v>
      </c>
      <c r="T40" s="77"/>
      <c r="U40" s="77"/>
      <c r="V40" s="77"/>
      <c r="W40" s="77"/>
      <c r="X40" s="77"/>
      <c r="Y40" s="77"/>
      <c r="Z40" s="1794" t="s">
        <v>1398</v>
      </c>
      <c r="AA40" s="1795">
        <v>40</v>
      </c>
    </row>
    <row r="41" spans="1:27" ht="13.35" customHeight="1">
      <c r="A41" s="236" t="s">
        <v>1419</v>
      </c>
      <c r="B41" s="2389">
        <f>IF('Part II-Sources of Funds'!$I$43="","",-FV('Part II-Sources of Funds'!$K$43/12,12,B27/12,'Part II-Sources of Funds'!$I$43))</f>
        <v>954604.99824796</v>
      </c>
      <c r="C41" s="2389">
        <f>IF('Part II-Sources of Funds'!$I$43="","",-FV('Part II-Sources of Funds'!$K$43/12,12,C27/12,B41))</f>
        <v>908753.96008384554</v>
      </c>
      <c r="D41" s="2389">
        <f>IF('Part II-Sources of Funds'!$I$43="","",-FV('Part II-Sources of Funds'!$K$43/12,12,D27/12,C41))</f>
        <v>862442.30418369779</v>
      </c>
      <c r="E41" s="2389">
        <f>IF('Part II-Sources of Funds'!$I$43="","",-FV('Part II-Sources of Funds'!$K$43/12,12,E27/12,D41))</f>
        <v>815665.40319975663</v>
      </c>
      <c r="F41" s="2389">
        <f>IF('Part II-Sources of Funds'!$I$43="","",-FV('Part II-Sources of Funds'!$K$43/12,12,F27/12,E41))</f>
        <v>768418.58329810726</v>
      </c>
      <c r="G41" s="2389">
        <f>IF('Part II-Sources of Funds'!$I$43="","",-FV('Part II-Sources of Funds'!$K$43/12,12,G27/12,F41))</f>
        <v>720697.12369168224</v>
      </c>
      <c r="H41" s="2389">
        <f>IF('Part II-Sources of Funds'!$I$43="","",-FV('Part II-Sources of Funds'!$K$43/12,12,H27/12,G41))</f>
        <v>672496.25616857188</v>
      </c>
      <c r="I41" s="2389">
        <f>IF('Part II-Sources of Funds'!$I$43="","",-FV('Part II-Sources of Funds'!$K$43/12,12,I27/12,H41))</f>
        <v>623811.16461559618</v>
      </c>
      <c r="J41" s="2389">
        <f>IF('Part II-Sources of Funds'!$I$43="","",-FV('Part II-Sources of Funds'!$K$43/12,12,J27/12,I41))</f>
        <v>574636.98453709052</v>
      </c>
      <c r="K41" s="2389">
        <f>IF('Part II-Sources of Funds'!$I$43="","",-FV('Part II-Sources of Funds'!$K$43/12,12,K27/12,J41))</f>
        <v>524968.80256885698</v>
      </c>
      <c r="L41" s="77"/>
      <c r="M41" s="77"/>
      <c r="N41" s="3758"/>
      <c r="O41" s="3760"/>
      <c r="P41" s="77"/>
      <c r="Q41" s="77"/>
      <c r="R41" s="77"/>
      <c r="S41" s="77"/>
      <c r="T41" s="77"/>
      <c r="U41" s="77"/>
      <c r="V41" s="77"/>
      <c r="W41" s="77"/>
      <c r="X41" s="77"/>
      <c r="Y41" s="77"/>
      <c r="Z41" s="1794" t="s">
        <v>1398</v>
      </c>
      <c r="AA41" s="1795">
        <v>41</v>
      </c>
    </row>
    <row r="42" spans="1:27" ht="13.35" customHeight="1">
      <c r="A42" s="236" t="s">
        <v>1420</v>
      </c>
      <c r="B42" s="2389" t="str">
        <f>IF('Part II-Sources of Funds'!$I$44="","",-FV('Part II-Sources of Funds'!$K$44/12,12,B28/12,'Part II-Sources of Funds'!$I$44))</f>
        <v/>
      </c>
      <c r="C42" s="2389" t="str">
        <f>IF('Part II-Sources of Funds'!$I$44="","",-FV('Part II-Sources of Funds'!$K$44/12,12,C28/12,B42))</f>
        <v/>
      </c>
      <c r="D42" s="2389" t="str">
        <f>IF('Part II-Sources of Funds'!$I$44="","",-FV('Part II-Sources of Funds'!$K$44/12,12,D28/12,C42))</f>
        <v/>
      </c>
      <c r="E42" s="2389" t="str">
        <f>IF('Part II-Sources of Funds'!$I$44="","",-FV('Part II-Sources of Funds'!$K$44/12,12,E28/12,D42))</f>
        <v/>
      </c>
      <c r="F42" s="2389" t="str">
        <f>IF('Part II-Sources of Funds'!$I$44="","",-FV('Part II-Sources of Funds'!$K$44/12,12,F28/12,E42))</f>
        <v/>
      </c>
      <c r="G42" s="2389" t="str">
        <f>IF('Part II-Sources of Funds'!$I$44="","",-FV('Part II-Sources of Funds'!$K$44/12,12,G28/12,F42))</f>
        <v/>
      </c>
      <c r="H42" s="2389" t="str">
        <f>IF('Part II-Sources of Funds'!$I$44="","",-FV('Part II-Sources of Funds'!$K$44/12,12,H28/12,G42))</f>
        <v/>
      </c>
      <c r="I42" s="2389" t="str">
        <f>IF('Part II-Sources of Funds'!$I$44="","",-FV('Part II-Sources of Funds'!$K$44/12,12,I28/12,H42))</f>
        <v/>
      </c>
      <c r="J42" s="2389" t="str">
        <f>IF('Part II-Sources of Funds'!$I$44="","",-FV('Part II-Sources of Funds'!$K$44/12,12,J28/12,I42))</f>
        <v/>
      </c>
      <c r="K42" s="2389" t="str">
        <f>IF('Part II-Sources of Funds'!$I$44="","",-FV('Part II-Sources of Funds'!$K$44/12,12,K28/12,J42))</f>
        <v/>
      </c>
      <c r="L42" s="77"/>
      <c r="M42" s="77"/>
      <c r="N42" s="3758"/>
      <c r="O42" s="3760"/>
      <c r="P42" s="77"/>
      <c r="Q42" s="77"/>
      <c r="R42" s="77"/>
      <c r="S42" s="77"/>
      <c r="T42" s="77"/>
      <c r="U42" s="77"/>
      <c r="V42" s="77"/>
      <c r="W42" s="77"/>
      <c r="X42" s="77"/>
      <c r="Y42" s="77"/>
      <c r="Z42" s="1794" t="s">
        <v>1398</v>
      </c>
      <c r="AA42" s="1795">
        <v>42</v>
      </c>
    </row>
    <row r="43" spans="1:27" ht="13.35" customHeight="1">
      <c r="A43" s="236" t="s">
        <v>1421</v>
      </c>
      <c r="B43" s="2389" t="str">
        <f>IF('Part II-Sources of Funds'!$I$45="","",-FV('Part II-Sources of Funds'!$K$45/12,12,B29/12,'Part II-Sources of Funds'!$I$45))</f>
        <v/>
      </c>
      <c r="C43" s="2389" t="str">
        <f>IF('Part II-Sources of Funds'!$I$45="","",-FV('Part II-Sources of Funds'!$K$45/12,12,C29/12,B43))</f>
        <v/>
      </c>
      <c r="D43" s="2389" t="str">
        <f>IF('Part II-Sources of Funds'!$I$45="","",-FV('Part II-Sources of Funds'!$K$45/12,12,D29/12,C43))</f>
        <v/>
      </c>
      <c r="E43" s="2389" t="str">
        <f>IF('Part II-Sources of Funds'!$I$45="","",-FV('Part II-Sources of Funds'!$K$45/12,12,E29/12,D43))</f>
        <v/>
      </c>
      <c r="F43" s="2389" t="str">
        <f>IF('Part II-Sources of Funds'!$I$45="","",-FV('Part II-Sources of Funds'!$K$45/12,12,F29/12,E43))</f>
        <v/>
      </c>
      <c r="G43" s="2389" t="str">
        <f>IF('Part II-Sources of Funds'!$I$45="","",-FV('Part II-Sources of Funds'!$K$45/12,12,G29/12,F43))</f>
        <v/>
      </c>
      <c r="H43" s="2389" t="str">
        <f>IF('Part II-Sources of Funds'!$I$45="","",-FV('Part II-Sources of Funds'!$K$45/12,12,H29/12,G43))</f>
        <v/>
      </c>
      <c r="I43" s="2389" t="str">
        <f>IF('Part II-Sources of Funds'!$I$45="","",-FV('Part II-Sources of Funds'!$K$45/12,12,I29/12,H43))</f>
        <v/>
      </c>
      <c r="J43" s="2389" t="str">
        <f>IF('Part II-Sources of Funds'!$I$45="","",-FV('Part II-Sources of Funds'!$K$45/12,12,J29/12,I43))</f>
        <v/>
      </c>
      <c r="K43" s="2389" t="str">
        <f>IF('Part II-Sources of Funds'!$I$45="","",-FV('Part II-Sources of Funds'!$K$45/12,12,K29/12,J43))</f>
        <v/>
      </c>
      <c r="L43" s="77"/>
      <c r="M43" s="77"/>
      <c r="N43" s="3758"/>
      <c r="O43" s="3760"/>
      <c r="P43" s="77"/>
      <c r="Q43" s="77"/>
      <c r="R43" s="77"/>
      <c r="S43" s="77"/>
      <c r="T43" s="77"/>
      <c r="U43" s="77"/>
      <c r="V43" s="77"/>
      <c r="W43" s="77"/>
      <c r="X43" s="77"/>
      <c r="Y43" s="77"/>
      <c r="Z43" s="1794" t="s">
        <v>1398</v>
      </c>
      <c r="AA43" s="1795">
        <v>43</v>
      </c>
    </row>
    <row r="44" spans="1:27" ht="13.35" customHeight="1">
      <c r="A44" s="236" t="s">
        <v>1422</v>
      </c>
      <c r="B44" s="2392">
        <f>IF('Part II-Sources of Funds'!$I$47="","",-FV('Part II-Sources of Funds'!$K$47/12,12,B32/12,'Part II-Sources of Funds'!$I$47))</f>
        <v>1</v>
      </c>
      <c r="C44" s="2392">
        <f>IF('Part II-Sources of Funds'!$I$47="","",IF(-FV('Part II-Sources of Funds'!$K$47/12,12,C32/12,B44)&gt;0,-FV('Part II-Sources of Funds'!$K$47/12,12,C32/12,B44),0))</f>
        <v>1</v>
      </c>
      <c r="D44" s="2392">
        <f>IF('Part II-Sources of Funds'!$I$47="","",IF(-FV('Part II-Sources of Funds'!$K$47/12,12,D32/12,C44)&gt;0,-FV('Part II-Sources of Funds'!$K$47/12,12,D32/12,C44),0))</f>
        <v>1</v>
      </c>
      <c r="E44" s="2392">
        <f>IF('Part II-Sources of Funds'!$I$47="","",IF(-FV('Part II-Sources of Funds'!$K$47/12,12,E32/12,D44)&gt;0,-FV('Part II-Sources of Funds'!$K$47/12,12,E32/12,D44),0))</f>
        <v>1</v>
      </c>
      <c r="F44" s="2392">
        <f>IF('Part II-Sources of Funds'!$I$47="","",IF(-FV('Part II-Sources of Funds'!$K$47/12,12,F32/12,E44)&gt;0,-FV('Part II-Sources of Funds'!$K$47/12,12,F32/12,E44),0))</f>
        <v>1</v>
      </c>
      <c r="G44" s="2392">
        <f>IF('Part II-Sources of Funds'!$I$47="","",IF(-FV('Part II-Sources of Funds'!$K$47/12,12,G32/12,F44)&gt;0,-FV('Part II-Sources of Funds'!$K$47/12,12,G32/12,F44),0))</f>
        <v>1</v>
      </c>
      <c r="H44" s="2392">
        <f>IF('Part II-Sources of Funds'!$I$47="","",IF(-FV('Part II-Sources of Funds'!$K$47/12,12,H32/12,G44)&gt;0,-FV('Part II-Sources of Funds'!$K$47/12,12,H32/12,G44),0))</f>
        <v>1</v>
      </c>
      <c r="I44" s="2392">
        <f>IF('Part II-Sources of Funds'!$I$47="","",IF(-FV('Part II-Sources of Funds'!$K$47/12,12,I32/12,H44)&gt;0,-FV('Part II-Sources of Funds'!$K$47/12,12,I32/12,H44),0))</f>
        <v>1</v>
      </c>
      <c r="J44" s="2392">
        <f>IF('Part II-Sources of Funds'!$I$47="","",IF(-FV('Part II-Sources of Funds'!$K$47/12,12,J32/12,I44)&gt;0,-FV('Part II-Sources of Funds'!$K$47/12,12,J32/12,I44),0))</f>
        <v>1</v>
      </c>
      <c r="K44" s="2392">
        <f>IF('Part II-Sources of Funds'!$I$47="","",IF(-FV('Part II-Sources of Funds'!$K$47/12,12,K32/12,J44)&gt;0,-FV('Part II-Sources of Funds'!$K$47/12,12,K32/12,J44),0))</f>
        <v>1</v>
      </c>
      <c r="L44" s="77"/>
      <c r="M44" s="77"/>
      <c r="N44" s="3725"/>
      <c r="O44" s="3727"/>
      <c r="P44" s="77"/>
      <c r="Q44" s="77"/>
      <c r="R44" s="77"/>
      <c r="S44" s="77"/>
      <c r="T44" s="77"/>
      <c r="U44" s="77"/>
      <c r="V44" s="77"/>
      <c r="W44" s="77"/>
      <c r="X44" s="77"/>
      <c r="Y44" s="77"/>
      <c r="Z44" s="1794" t="s">
        <v>1398</v>
      </c>
      <c r="AA44" s="1795">
        <v>44</v>
      </c>
    </row>
    <row r="45" spans="1:27" ht="4.3499999999999996" customHeight="1">
      <c r="A45" s="77"/>
      <c r="B45" s="2396"/>
      <c r="C45" s="2396"/>
      <c r="D45" s="2396"/>
      <c r="E45" s="2396"/>
      <c r="F45" s="2396"/>
      <c r="G45" s="2396"/>
      <c r="H45" s="2396"/>
      <c r="I45" s="2396"/>
      <c r="J45" s="2396"/>
      <c r="K45" s="2396"/>
      <c r="L45" s="77"/>
      <c r="M45" s="77"/>
      <c r="N45" s="77"/>
      <c r="O45" s="77"/>
      <c r="P45" s="77"/>
      <c r="Q45" s="77"/>
      <c r="R45" s="77"/>
      <c r="S45" s="77"/>
      <c r="T45" s="77"/>
      <c r="U45" s="77"/>
      <c r="V45" s="77"/>
      <c r="W45" s="77"/>
      <c r="X45" s="77"/>
      <c r="Y45" s="77"/>
      <c r="AA45" s="1795">
        <v>45</v>
      </c>
    </row>
    <row r="46" spans="1:27" ht="14.7" customHeight="1">
      <c r="A46" s="6" t="s">
        <v>480</v>
      </c>
      <c r="B46" s="8">
        <f>K14+1</f>
        <v>11</v>
      </c>
      <c r="C46" s="8">
        <f t="shared" ref="C46:K46" si="17">B46+1</f>
        <v>12</v>
      </c>
      <c r="D46" s="8">
        <f t="shared" si="17"/>
        <v>13</v>
      </c>
      <c r="E46" s="8">
        <f t="shared" si="17"/>
        <v>14</v>
      </c>
      <c r="F46" s="8">
        <f t="shared" si="17"/>
        <v>15</v>
      </c>
      <c r="G46" s="8">
        <f t="shared" si="17"/>
        <v>16</v>
      </c>
      <c r="H46" s="8">
        <f t="shared" si="17"/>
        <v>17</v>
      </c>
      <c r="I46" s="8">
        <f t="shared" si="17"/>
        <v>18</v>
      </c>
      <c r="J46" s="8">
        <f t="shared" si="17"/>
        <v>19</v>
      </c>
      <c r="K46" s="8">
        <f t="shared" si="17"/>
        <v>20</v>
      </c>
      <c r="L46" s="77"/>
      <c r="M46" s="77"/>
      <c r="N46" s="3420" t="s">
        <v>1290</v>
      </c>
      <c r="O46" s="3420"/>
      <c r="P46" s="77"/>
      <c r="Q46" s="77"/>
      <c r="R46" s="77"/>
      <c r="S46" s="77"/>
      <c r="T46" s="77"/>
      <c r="U46" s="77"/>
      <c r="V46" s="77"/>
      <c r="W46" s="77"/>
      <c r="X46" s="77"/>
      <c r="Y46" s="77"/>
      <c r="AA46" s="1795">
        <v>46</v>
      </c>
    </row>
    <row r="47" spans="1:27" ht="13.35" customHeight="1">
      <c r="A47" s="2761" t="s">
        <v>1396</v>
      </c>
      <c r="B47" s="2762">
        <f t="shared" ref="B47:K47" si="18">$B$15*(1+$B$6)^(B46-1)</f>
        <v>1014491.0401187567</v>
      </c>
      <c r="C47" s="2762">
        <f t="shared" si="18"/>
        <v>1034780.8609211316</v>
      </c>
      <c r="D47" s="2762">
        <f t="shared" si="18"/>
        <v>1055476.4781395544</v>
      </c>
      <c r="E47" s="2762">
        <f t="shared" si="18"/>
        <v>1076586.0077023455</v>
      </c>
      <c r="F47" s="2762">
        <f t="shared" si="18"/>
        <v>1098117.7278563925</v>
      </c>
      <c r="G47" s="2762">
        <f t="shared" si="18"/>
        <v>1120080.08241352</v>
      </c>
      <c r="H47" s="2762">
        <f t="shared" si="18"/>
        <v>1142481.6840617906</v>
      </c>
      <c r="I47" s="2762">
        <f t="shared" si="18"/>
        <v>1165331.3177430264</v>
      </c>
      <c r="J47" s="2762">
        <f t="shared" si="18"/>
        <v>1188637.9440978868</v>
      </c>
      <c r="K47" s="2763">
        <f t="shared" si="18"/>
        <v>1212410.7029798445</v>
      </c>
      <c r="L47" s="77"/>
      <c r="M47" s="77"/>
      <c r="N47" s="3777"/>
      <c r="O47" s="3779"/>
      <c r="P47" s="77"/>
      <c r="Q47" s="77"/>
      <c r="R47" s="77"/>
      <c r="S47" s="77"/>
      <c r="T47" s="77"/>
      <c r="U47" s="77"/>
      <c r="V47" s="77"/>
      <c r="W47" s="77"/>
      <c r="X47" s="77"/>
      <c r="Y47" s="77"/>
      <c r="Z47" s="1794" t="s">
        <v>1423</v>
      </c>
      <c r="AA47" s="1795">
        <v>47</v>
      </c>
    </row>
    <row r="48" spans="1:27" ht="13.35" customHeight="1">
      <c r="A48" s="236" t="s">
        <v>1281</v>
      </c>
      <c r="B48" s="2385">
        <f t="shared" ref="B48:K48" si="19">$B$16*(1+$B$6)^(B46-1)</f>
        <v>20289.820802375136</v>
      </c>
      <c r="C48" s="2385">
        <f t="shared" si="19"/>
        <v>20695.617218422634</v>
      </c>
      <c r="D48" s="2385">
        <f t="shared" si="19"/>
        <v>21109.529562791089</v>
      </c>
      <c r="E48" s="2385">
        <f t="shared" si="19"/>
        <v>21531.72015404691</v>
      </c>
      <c r="F48" s="2385">
        <f t="shared" si="19"/>
        <v>21962.354557127852</v>
      </c>
      <c r="G48" s="2385">
        <f t="shared" si="19"/>
        <v>22401.6016482704</v>
      </c>
      <c r="H48" s="2385">
        <f t="shared" si="19"/>
        <v>22849.633681235813</v>
      </c>
      <c r="I48" s="2385">
        <f t="shared" si="19"/>
        <v>23306.626354860531</v>
      </c>
      <c r="J48" s="2385">
        <f t="shared" si="19"/>
        <v>23772.75888195774</v>
      </c>
      <c r="K48" s="2386">
        <f t="shared" si="19"/>
        <v>24248.214059596892</v>
      </c>
      <c r="L48" s="77"/>
      <c r="M48" s="77"/>
      <c r="N48" s="3758"/>
      <c r="O48" s="3760"/>
      <c r="P48" s="77"/>
      <c r="Q48" s="77"/>
      <c r="R48" s="77"/>
      <c r="S48" s="77"/>
      <c r="T48" s="77"/>
      <c r="U48" s="77"/>
      <c r="V48" s="77"/>
      <c r="W48" s="77"/>
      <c r="X48" s="77"/>
      <c r="Y48" s="77"/>
      <c r="Z48" s="1794" t="s">
        <v>1423</v>
      </c>
      <c r="AA48" s="1795">
        <v>48</v>
      </c>
    </row>
    <row r="49" spans="1:27" ht="13.35" customHeight="1">
      <c r="A49" s="236" t="s">
        <v>1399</v>
      </c>
      <c r="B49" s="2385">
        <f t="shared" ref="B49:K49" si="20">-(B47+B48)*$B$9</f>
        <v>-72434.660264479229</v>
      </c>
      <c r="C49" s="2385">
        <f t="shared" si="20"/>
        <v>-73883.353469768801</v>
      </c>
      <c r="D49" s="2385">
        <f t="shared" si="20"/>
        <v>-75361.020539164194</v>
      </c>
      <c r="E49" s="2385">
        <f t="shared" si="20"/>
        <v>-76868.240949947489</v>
      </c>
      <c r="F49" s="2385">
        <f t="shared" si="20"/>
        <v>-78405.605768946436</v>
      </c>
      <c r="G49" s="2385">
        <f t="shared" si="20"/>
        <v>-79973.717884325335</v>
      </c>
      <c r="H49" s="2385">
        <f t="shared" si="20"/>
        <v>-81573.19224201185</v>
      </c>
      <c r="I49" s="2385">
        <f t="shared" si="20"/>
        <v>-83204.656086852105</v>
      </c>
      <c r="J49" s="2385">
        <f t="shared" si="20"/>
        <v>-84868.749208589128</v>
      </c>
      <c r="K49" s="2386">
        <f t="shared" si="20"/>
        <v>-86566.124192760908</v>
      </c>
      <c r="L49" s="77"/>
      <c r="M49" s="77"/>
      <c r="N49" s="3758"/>
      <c r="O49" s="3760"/>
      <c r="P49" s="77"/>
      <c r="Q49" s="77"/>
      <c r="R49" s="77"/>
      <c r="S49" s="77"/>
      <c r="T49" s="77"/>
      <c r="U49" s="77"/>
      <c r="V49" s="77"/>
      <c r="W49" s="77"/>
      <c r="X49" s="77"/>
      <c r="Y49" s="77"/>
      <c r="Z49" s="1794" t="s">
        <v>1423</v>
      </c>
      <c r="AA49" s="1795">
        <v>49</v>
      </c>
    </row>
    <row r="50" spans="1:27" ht="13.35" customHeight="1">
      <c r="A50" s="236" t="s">
        <v>1402</v>
      </c>
      <c r="B50" s="2385">
        <f>'Part V-Revenues &amp; Expenses'!H216</f>
        <v>0</v>
      </c>
      <c r="C50" s="2385">
        <f>'Part V-Revenues &amp; Expenses'!I216</f>
        <v>0</v>
      </c>
      <c r="D50" s="2385">
        <f>'Part V-Revenues &amp; Expenses'!J216</f>
        <v>0</v>
      </c>
      <c r="E50" s="2385">
        <f>'Part V-Revenues &amp; Expenses'!K216</f>
        <v>0</v>
      </c>
      <c r="F50" s="2385">
        <f>'Part V-Revenues &amp; Expenses'!L216</f>
        <v>0</v>
      </c>
      <c r="G50" s="2385">
        <f>'Part V-Revenues &amp; Expenses'!M216</f>
        <v>0</v>
      </c>
      <c r="H50" s="2385">
        <f>'Part V-Revenues &amp; Expenses'!N216</f>
        <v>0</v>
      </c>
      <c r="I50" s="2385">
        <f>'Part V-Revenues &amp; Expenses'!O216</f>
        <v>0</v>
      </c>
      <c r="J50" s="2385">
        <f>'Part V-Revenues &amp; Expenses'!P216</f>
        <v>0</v>
      </c>
      <c r="K50" s="2386">
        <f>'Part V-Revenues &amp; Expenses'!Q216</f>
        <v>0</v>
      </c>
      <c r="L50" s="77"/>
      <c r="M50" s="77"/>
      <c r="N50" s="3758"/>
      <c r="O50" s="3760"/>
      <c r="P50" s="77"/>
      <c r="Q50" s="77"/>
      <c r="R50" s="77"/>
      <c r="S50" s="77"/>
      <c r="T50" s="77"/>
      <c r="U50" s="77"/>
      <c r="V50" s="77"/>
      <c r="W50" s="77"/>
      <c r="X50" s="77"/>
      <c r="Y50" s="77"/>
      <c r="Z50" s="1794" t="s">
        <v>1423</v>
      </c>
      <c r="AA50" s="1795">
        <v>50</v>
      </c>
    </row>
    <row r="51" spans="1:27" ht="13.35" customHeight="1">
      <c r="A51" s="236" t="s">
        <v>1403</v>
      </c>
      <c r="B51" s="2385">
        <f>'Part V-Revenues &amp; Expenses'!H220</f>
        <v>0</v>
      </c>
      <c r="C51" s="2385">
        <f>'Part V-Revenues &amp; Expenses'!I220</f>
        <v>0</v>
      </c>
      <c r="D51" s="2385">
        <f>'Part V-Revenues &amp; Expenses'!J220</f>
        <v>0</v>
      </c>
      <c r="E51" s="2385">
        <f>'Part V-Revenues &amp; Expenses'!K220</f>
        <v>0</v>
      </c>
      <c r="F51" s="2385">
        <f>'Part V-Revenues &amp; Expenses'!L220</f>
        <v>0</v>
      </c>
      <c r="G51" s="2385">
        <f>'Part V-Revenues &amp; Expenses'!M220</f>
        <v>0</v>
      </c>
      <c r="H51" s="2385">
        <f>'Part V-Revenues &amp; Expenses'!N220</f>
        <v>0</v>
      </c>
      <c r="I51" s="2385">
        <f>'Part V-Revenues &amp; Expenses'!O220</f>
        <v>0</v>
      </c>
      <c r="J51" s="2385">
        <f>'Part V-Revenues &amp; Expenses'!P220</f>
        <v>0</v>
      </c>
      <c r="K51" s="2386">
        <f>'Part V-Revenues &amp; Expenses'!Q220</f>
        <v>0</v>
      </c>
      <c r="L51" s="77"/>
      <c r="M51" s="77"/>
      <c r="N51" s="3758"/>
      <c r="O51" s="3760"/>
      <c r="P51" s="77"/>
      <c r="Q51" s="77"/>
      <c r="R51" s="77"/>
      <c r="S51" s="77"/>
      <c r="T51" s="77"/>
      <c r="U51" s="77"/>
      <c r="V51" s="77"/>
      <c r="W51" s="77"/>
      <c r="X51" s="77"/>
      <c r="Y51" s="77"/>
      <c r="Z51" s="1794" t="s">
        <v>1423</v>
      </c>
      <c r="AA51" s="1795">
        <v>51</v>
      </c>
    </row>
    <row r="52" spans="1:27" ht="13.35" customHeight="1">
      <c r="A52" s="236" t="s">
        <v>1404</v>
      </c>
      <c r="B52" s="2385">
        <f t="shared" ref="B52:K52" si="21">SUM(B47:B51)</f>
        <v>962346.20065665257</v>
      </c>
      <c r="C52" s="2385">
        <f t="shared" si="21"/>
        <v>981593.12466978538</v>
      </c>
      <c r="D52" s="2385">
        <f t="shared" si="21"/>
        <v>1001224.9871631813</v>
      </c>
      <c r="E52" s="2385">
        <f t="shared" si="21"/>
        <v>1021249.486906445</v>
      </c>
      <c r="F52" s="2385">
        <f t="shared" si="21"/>
        <v>1041674.476644574</v>
      </c>
      <c r="G52" s="2385">
        <f t="shared" si="21"/>
        <v>1062507.9661774649</v>
      </c>
      <c r="H52" s="2385">
        <f t="shared" si="21"/>
        <v>1083758.1255010145</v>
      </c>
      <c r="I52" s="2385">
        <f t="shared" si="21"/>
        <v>1105433.288011035</v>
      </c>
      <c r="J52" s="2385">
        <f t="shared" si="21"/>
        <v>1127541.9537712554</v>
      </c>
      <c r="K52" s="2386">
        <f t="shared" si="21"/>
        <v>1150092.7928466806</v>
      </c>
      <c r="L52" s="77"/>
      <c r="M52" s="77"/>
      <c r="N52" s="3758"/>
      <c r="O52" s="3760"/>
      <c r="P52" s="77"/>
      <c r="Q52" s="77"/>
      <c r="R52" s="77"/>
      <c r="S52" s="77"/>
      <c r="T52" s="77"/>
      <c r="U52" s="77"/>
      <c r="V52" s="77"/>
      <c r="W52" s="77"/>
      <c r="X52" s="77"/>
      <c r="Y52" s="77"/>
      <c r="Z52" s="1794" t="s">
        <v>1423</v>
      </c>
      <c r="AA52" s="1795">
        <v>52</v>
      </c>
    </row>
    <row r="53" spans="1:27" ht="13.35" customHeight="1">
      <c r="A53" s="236" t="s">
        <v>1405</v>
      </c>
      <c r="B53" s="2385">
        <f t="shared" ref="B53:K53" si="22">$B$21*(1+$B$7)^(B46-1)</f>
        <v>-584596.90543279622</v>
      </c>
      <c r="C53" s="2385">
        <f t="shared" si="22"/>
        <v>-602134.81259578012</v>
      </c>
      <c r="D53" s="2385">
        <f t="shared" si="22"/>
        <v>-620198.85697365343</v>
      </c>
      <c r="E53" s="2385">
        <f t="shared" si="22"/>
        <v>-638804.8226828631</v>
      </c>
      <c r="F53" s="2385">
        <f t="shared" si="22"/>
        <v>-657968.96736334905</v>
      </c>
      <c r="G53" s="2385">
        <f t="shared" si="22"/>
        <v>-677708.03638424957</v>
      </c>
      <c r="H53" s="2385">
        <f t="shared" si="22"/>
        <v>-698039.27747577685</v>
      </c>
      <c r="I53" s="2385">
        <f t="shared" si="22"/>
        <v>-718980.45580005017</v>
      </c>
      <c r="J53" s="2385">
        <f t="shared" si="22"/>
        <v>-740549.86947405175</v>
      </c>
      <c r="K53" s="2386">
        <f t="shared" si="22"/>
        <v>-762766.36555827328</v>
      </c>
      <c r="L53" s="77"/>
      <c r="M53" s="77"/>
      <c r="N53" s="3758"/>
      <c r="O53" s="3760"/>
      <c r="P53" s="77"/>
      <c r="Q53" s="77"/>
      <c r="R53" s="77"/>
      <c r="S53" s="77"/>
      <c r="T53" s="77"/>
      <c r="U53" s="77"/>
      <c r="V53" s="77"/>
      <c r="W53" s="77"/>
      <c r="X53" s="77"/>
      <c r="Y53" s="77"/>
      <c r="Z53" s="1794" t="s">
        <v>1423</v>
      </c>
      <c r="AA53" s="1795">
        <v>53</v>
      </c>
    </row>
    <row r="54" spans="1:27" ht="13.35" customHeight="1">
      <c r="A54" s="236" t="s">
        <v>1406</v>
      </c>
      <c r="B54" s="2385">
        <f>IF(AND('Part VI-Pro Forma'!$G$9="Yes",'Part VI-Pro Forma'!$G$10="Yes"),"Choose One!",IF('Part VI-Pro Forma'!$G$9="Yes",ROUND((-$K$9*(1+'Part VI-Pro Forma'!$B$7)^('Part VI-Pro Forma'!B46-1)),),IF('Part VI-Pro Forma'!$G$10="Yes",ROUND((-(SUM(B47:B50)*'Part VI-Pro Forma'!$K$10)),),"Choose mgt fee")))</f>
        <v>-46674</v>
      </c>
      <c r="C54" s="2385">
        <f>IF(AND('Part VI-Pro Forma'!$G$9="Yes",'Part VI-Pro Forma'!$G$10="Yes"),"Choose One!",IF('Part VI-Pro Forma'!$G$9="Yes",ROUND((-$K$9*(1+'Part VI-Pro Forma'!$B$7)^('Part VI-Pro Forma'!C46-1)),),IF('Part VI-Pro Forma'!$G$10="Yes",ROUND((-(SUM(C47:C50)*'Part VI-Pro Forma'!$K$10)),),"Choose mgt fee")))</f>
        <v>-47607</v>
      </c>
      <c r="D54" s="2385">
        <f>IF(AND('Part VI-Pro Forma'!$G$9="Yes",'Part VI-Pro Forma'!$G$10="Yes"),"Choose One!",IF('Part VI-Pro Forma'!$G$9="Yes",ROUND((-$K$9*(1+'Part VI-Pro Forma'!$B$7)^('Part VI-Pro Forma'!D46-1)),),IF('Part VI-Pro Forma'!$G$10="Yes",ROUND((-(SUM(D47:D50)*'Part VI-Pro Forma'!$K$10)),),"Choose mgt fee")))</f>
        <v>-48559</v>
      </c>
      <c r="E54" s="2385">
        <f>IF(AND('Part VI-Pro Forma'!$G$9="Yes",'Part VI-Pro Forma'!$G$10="Yes"),"Choose One!",IF('Part VI-Pro Forma'!$G$9="Yes",ROUND((-$K$9*(1+'Part VI-Pro Forma'!$B$7)^('Part VI-Pro Forma'!E46-1)),),IF('Part VI-Pro Forma'!$G$10="Yes",ROUND((-(SUM(E47:E50)*'Part VI-Pro Forma'!$K$10)),),"Choose mgt fee")))</f>
        <v>-49531</v>
      </c>
      <c r="F54" s="2385">
        <f>IF(AND('Part VI-Pro Forma'!$G$9="Yes",'Part VI-Pro Forma'!$G$10="Yes"),"Choose One!",IF('Part VI-Pro Forma'!$G$9="Yes",ROUND((-$K$9*(1+'Part VI-Pro Forma'!$B$7)^('Part VI-Pro Forma'!F46-1)),),IF('Part VI-Pro Forma'!$G$10="Yes",ROUND((-(SUM(F47:F50)*'Part VI-Pro Forma'!$K$10)),),"Choose mgt fee")))</f>
        <v>-50521</v>
      </c>
      <c r="G54" s="2385">
        <f>IF(AND('Part VI-Pro Forma'!$G$9="Yes",'Part VI-Pro Forma'!$G$10="Yes"),"Choose One!",IF('Part VI-Pro Forma'!$G$9="Yes",ROUND((-$K$9*(1+'Part VI-Pro Forma'!$B$7)^('Part VI-Pro Forma'!G46-1)),),IF('Part VI-Pro Forma'!$G$10="Yes",ROUND((-(SUM(G47:G50)*'Part VI-Pro Forma'!$K$10)),),"Choose mgt fee")))</f>
        <v>-51532</v>
      </c>
      <c r="H54" s="2385">
        <f>IF(AND('Part VI-Pro Forma'!$G$9="Yes",'Part VI-Pro Forma'!$G$10="Yes"),"Choose One!",IF('Part VI-Pro Forma'!$G$9="Yes",ROUND((-$K$9*(1+'Part VI-Pro Forma'!$B$7)^('Part VI-Pro Forma'!H46-1)),),IF('Part VI-Pro Forma'!$G$10="Yes",ROUND((-(SUM(H47:H50)*'Part VI-Pro Forma'!$K$10)),),"Choose mgt fee")))</f>
        <v>-52562</v>
      </c>
      <c r="I54" s="2385">
        <f>IF(AND('Part VI-Pro Forma'!$G$9="Yes",'Part VI-Pro Forma'!$G$10="Yes"),"Choose One!",IF('Part VI-Pro Forma'!$G$9="Yes",ROUND((-$K$9*(1+'Part VI-Pro Forma'!$B$7)^('Part VI-Pro Forma'!I46-1)),),IF('Part VI-Pro Forma'!$G$10="Yes",ROUND((-(SUM(I47:I50)*'Part VI-Pro Forma'!$K$10)),),"Choose mgt fee")))</f>
        <v>-53614</v>
      </c>
      <c r="J54" s="2385">
        <f>IF(AND('Part VI-Pro Forma'!$G$9="Yes",'Part VI-Pro Forma'!$G$10="Yes"),"Choose One!",IF('Part VI-Pro Forma'!$G$9="Yes",ROUND((-$K$9*(1+'Part VI-Pro Forma'!$B$7)^('Part VI-Pro Forma'!J46-1)),),IF('Part VI-Pro Forma'!$G$10="Yes",ROUND((-(SUM(J47:J50)*'Part VI-Pro Forma'!$K$10)),),"Choose mgt fee")))</f>
        <v>-54686</v>
      </c>
      <c r="K54" s="2386">
        <f>IF(AND('Part VI-Pro Forma'!$G$9="Yes",'Part VI-Pro Forma'!$G$10="Yes"),"Choose One!",IF('Part VI-Pro Forma'!$G$9="Yes",ROUND((-$K$9*(1+'Part VI-Pro Forma'!$B$7)^('Part VI-Pro Forma'!K46-1)),),IF('Part VI-Pro Forma'!$G$10="Yes",ROUND((-(SUM(K47:K50)*'Part VI-Pro Forma'!$K$10)),),"Choose mgt fee")))</f>
        <v>-55780</v>
      </c>
      <c r="L54" s="77"/>
      <c r="M54" s="77"/>
      <c r="N54" s="3758"/>
      <c r="O54" s="3760"/>
      <c r="P54" s="77"/>
      <c r="Q54" s="77"/>
      <c r="R54" s="77"/>
      <c r="S54" s="77"/>
      <c r="T54" s="77"/>
      <c r="U54" s="77"/>
      <c r="V54" s="77"/>
      <c r="W54" s="77"/>
      <c r="X54" s="77"/>
      <c r="Y54" s="77"/>
      <c r="Z54" s="1794" t="s">
        <v>1423</v>
      </c>
      <c r="AA54" s="1795">
        <v>54</v>
      </c>
    </row>
    <row r="55" spans="1:27" ht="13.35" customHeight="1">
      <c r="A55" s="236" t="s">
        <v>1407</v>
      </c>
      <c r="B55" s="2385">
        <f t="shared" ref="B55:K55" si="23">$B$23*(1+$B$8)^(B46-1)</f>
        <v>-51606.388966814273</v>
      </c>
      <c r="C55" s="2385">
        <f t="shared" si="23"/>
        <v>-53154.580635818704</v>
      </c>
      <c r="D55" s="2385">
        <f t="shared" si="23"/>
        <v>-54749.218054893259</v>
      </c>
      <c r="E55" s="2385">
        <f t="shared" si="23"/>
        <v>-56391.694596540052</v>
      </c>
      <c r="F55" s="2385">
        <f t="shared" si="23"/>
        <v>-58083.44543443626</v>
      </c>
      <c r="G55" s="2385">
        <f t="shared" si="23"/>
        <v>-59825.948797469355</v>
      </c>
      <c r="H55" s="2385">
        <f t="shared" si="23"/>
        <v>-61620.727261393426</v>
      </c>
      <c r="I55" s="2385">
        <f t="shared" si="23"/>
        <v>-63469.349079235224</v>
      </c>
      <c r="J55" s="2385">
        <f t="shared" si="23"/>
        <v>-65373.429551612287</v>
      </c>
      <c r="K55" s="2386">
        <f t="shared" si="23"/>
        <v>-67334.632438160654</v>
      </c>
      <c r="L55" s="77"/>
      <c r="M55" s="77"/>
      <c r="N55" s="3758"/>
      <c r="O55" s="3760"/>
      <c r="P55" s="77"/>
      <c r="Q55" s="58"/>
      <c r="R55" s="2387"/>
      <c r="S55" s="2387"/>
      <c r="T55" s="77"/>
      <c r="U55" s="77"/>
      <c r="V55" s="77"/>
      <c r="W55" s="77"/>
      <c r="X55" s="77"/>
      <c r="Y55" s="77"/>
      <c r="Z55" s="1794" t="s">
        <v>1423</v>
      </c>
      <c r="AA55" s="1795">
        <v>55</v>
      </c>
    </row>
    <row r="56" spans="1:27" ht="13.35" customHeight="1">
      <c r="A56" s="236" t="s">
        <v>1408</v>
      </c>
      <c r="B56" s="2764">
        <f>IF(B46&lt;=+'Part V-Revenues &amp; Expenses'!$L$275,-'Part V-Revenues &amp; Expenses'!$F$275,0)</f>
        <v>0</v>
      </c>
      <c r="C56" s="2764">
        <f>IF(C46&lt;=+'Part V-Revenues &amp; Expenses'!$L$275,-'Part V-Revenues &amp; Expenses'!$F$275,0)</f>
        <v>0</v>
      </c>
      <c r="D56" s="2764">
        <f>IF(D46&lt;=+'Part V-Revenues &amp; Expenses'!$L$275,-'Part V-Revenues &amp; Expenses'!$F$275,0)</f>
        <v>0</v>
      </c>
      <c r="E56" s="2764">
        <f>IF(E46&lt;=+'Part V-Revenues &amp; Expenses'!$L$275,-'Part V-Revenues &amp; Expenses'!$F$275,0)</f>
        <v>0</v>
      </c>
      <c r="F56" s="2764">
        <f>IF(F46&lt;=+'Part V-Revenues &amp; Expenses'!$L$275,-'Part V-Revenues &amp; Expenses'!$F$275,0)</f>
        <v>0</v>
      </c>
      <c r="G56" s="2764">
        <f>IF(G46&lt;=+'Part V-Revenues &amp; Expenses'!$L$275,-'Part V-Revenues &amp; Expenses'!$F$275,0)</f>
        <v>0</v>
      </c>
      <c r="H56" s="2764">
        <f>IF(H46&lt;=+'Part V-Revenues &amp; Expenses'!$L$275,-'Part V-Revenues &amp; Expenses'!$F$275,0)</f>
        <v>0</v>
      </c>
      <c r="I56" s="2764">
        <f>IF(I46&lt;=+'Part V-Revenues &amp; Expenses'!$L$275,-'Part V-Revenues &amp; Expenses'!$F$275,0)</f>
        <v>0</v>
      </c>
      <c r="J56" s="2764">
        <f>IF(J46&lt;=+'Part V-Revenues &amp; Expenses'!$L$275,-'Part V-Revenues &amp; Expenses'!$F$275,0)</f>
        <v>0</v>
      </c>
      <c r="K56" s="2764">
        <f>IF(K46&lt;=+'Part V-Revenues &amp; Expenses'!$L$275,-'Part V-Revenues &amp; Expenses'!$F$275,0)</f>
        <v>0</v>
      </c>
      <c r="L56" s="77"/>
      <c r="M56" s="77"/>
      <c r="N56" s="3758"/>
      <c r="O56" s="3760"/>
      <c r="P56" s="77"/>
      <c r="Q56" s="77"/>
      <c r="R56" s="77"/>
      <c r="S56" s="77"/>
      <c r="T56" s="77"/>
      <c r="U56" s="77"/>
      <c r="V56" s="77"/>
      <c r="W56" s="77"/>
      <c r="X56" s="77"/>
      <c r="Y56" s="77"/>
      <c r="Z56" s="1794" t="s">
        <v>1423</v>
      </c>
      <c r="AA56" s="1795">
        <v>56</v>
      </c>
    </row>
    <row r="57" spans="1:27" ht="13.35" customHeight="1">
      <c r="A57" s="236" t="s">
        <v>1409</v>
      </c>
      <c r="B57" s="2385">
        <f t="shared" ref="B57:K57" si="24">SUM(B52:B56)</f>
        <v>279468.90625704208</v>
      </c>
      <c r="C57" s="2385">
        <f t="shared" si="24"/>
        <v>278696.73143818654</v>
      </c>
      <c r="D57" s="2385">
        <f t="shared" si="24"/>
        <v>277717.91213463462</v>
      </c>
      <c r="E57" s="2385">
        <f t="shared" si="24"/>
        <v>276521.96962704184</v>
      </c>
      <c r="F57" s="2385">
        <f t="shared" si="24"/>
        <v>275101.06384678866</v>
      </c>
      <c r="G57" s="2385">
        <f t="shared" si="24"/>
        <v>273441.98099574598</v>
      </c>
      <c r="H57" s="2385">
        <f t="shared" si="24"/>
        <v>271536.12076384423</v>
      </c>
      <c r="I57" s="2385">
        <f t="shared" si="24"/>
        <v>269369.48313174956</v>
      </c>
      <c r="J57" s="2385">
        <f t="shared" si="24"/>
        <v>266932.6547455914</v>
      </c>
      <c r="K57" s="2388">
        <f t="shared" si="24"/>
        <v>264211.79485024669</v>
      </c>
      <c r="L57" s="77"/>
      <c r="M57" s="77"/>
      <c r="N57" s="3758"/>
      <c r="O57" s="3760"/>
      <c r="P57" s="77"/>
      <c r="Q57" s="77"/>
      <c r="R57" s="77"/>
      <c r="S57" s="77"/>
      <c r="T57" s="77"/>
      <c r="U57" s="77"/>
      <c r="V57" s="77"/>
      <c r="W57" s="77"/>
      <c r="X57" s="77"/>
      <c r="Y57" s="77"/>
      <c r="Z57" s="1794" t="s">
        <v>1423</v>
      </c>
      <c r="AA57" s="1795">
        <v>57</v>
      </c>
    </row>
    <row r="58" spans="1:27" ht="13.35" customHeight="1">
      <c r="A58" s="236" t="str">
        <f>$A26</f>
        <v>Mortgage A</v>
      </c>
      <c r="B58" s="2765">
        <f>-MIN(K40,B57*0.6)</f>
        <v>-167681.34375422524</v>
      </c>
      <c r="C58" s="2765">
        <f>-MIN(B72,C57*0.6)</f>
        <v>-167218.03886291193</v>
      </c>
      <c r="D58" s="2765">
        <f t="shared" ref="D58:K58" si="25">-MIN(C72,D57*0.6)</f>
        <v>-166630.74728078078</v>
      </c>
      <c r="E58" s="2765">
        <f t="shared" si="25"/>
        <v>-165913.1817762251</v>
      </c>
      <c r="F58" s="2765">
        <f t="shared" si="25"/>
        <v>-165060.63830807319</v>
      </c>
      <c r="G58" s="2765">
        <f t="shared" si="25"/>
        <v>-164065.18859744759</v>
      </c>
      <c r="H58" s="2765">
        <f t="shared" si="25"/>
        <v>-162921.67245830654</v>
      </c>
      <c r="I58" s="2765">
        <f t="shared" si="25"/>
        <v>-84664.289076238871</v>
      </c>
      <c r="J58" s="2765">
        <f t="shared" si="25"/>
        <v>-2854.3956147628924</v>
      </c>
      <c r="K58" s="2765">
        <f t="shared" si="25"/>
        <v>-96.233895240540733</v>
      </c>
      <c r="L58" s="77"/>
      <c r="M58" s="77"/>
      <c r="N58" s="3758"/>
      <c r="O58" s="3760"/>
      <c r="P58" s="77"/>
      <c r="Q58" s="77"/>
      <c r="R58" s="77"/>
      <c r="S58" s="77"/>
      <c r="T58" s="77"/>
      <c r="U58" s="77"/>
      <c r="V58" s="77"/>
      <c r="W58" s="77"/>
      <c r="X58" s="77"/>
      <c r="Y58" s="77"/>
      <c r="Z58" s="1794" t="s">
        <v>1423</v>
      </c>
      <c r="AA58" s="1795">
        <v>58</v>
      </c>
    </row>
    <row r="59" spans="1:27" ht="13.35" customHeight="1">
      <c r="A59" s="236" t="str">
        <f>$A27</f>
        <v>Mortgage B</v>
      </c>
      <c r="B59" s="2389">
        <f>IF('Part II-Sources of Funds'!$P$43="", 0,-'Part II-Sources of Funds'!$P$43)</f>
        <v>-55187.316834935598</v>
      </c>
      <c r="C59" s="2389">
        <f>IF('Part II-Sources of Funds'!$P$43="", 0,-'Part II-Sources of Funds'!$P$43)</f>
        <v>-55187.316834935598</v>
      </c>
      <c r="D59" s="2389">
        <f>IF('Part II-Sources of Funds'!$P$43="", 0,-'Part II-Sources of Funds'!$P$43)</f>
        <v>-55187.316834935598</v>
      </c>
      <c r="E59" s="2389">
        <f>IF('Part II-Sources of Funds'!$P$43="", 0,-'Part II-Sources of Funds'!$P$43)</f>
        <v>-55187.316834935598</v>
      </c>
      <c r="F59" s="2389">
        <f>IF('Part II-Sources of Funds'!$P$43="", 0,-'Part II-Sources of Funds'!$P$43)</f>
        <v>-55187.316834935598</v>
      </c>
      <c r="G59" s="2389">
        <f>IF('Part II-Sources of Funds'!$P$43="", 0,-'Part II-Sources of Funds'!$P$43)</f>
        <v>-55187.316834935598</v>
      </c>
      <c r="H59" s="2389">
        <f>IF('Part II-Sources of Funds'!$P$43="", 0,-'Part II-Sources of Funds'!$P$43)</f>
        <v>-55187.316834935598</v>
      </c>
      <c r="I59" s="2389">
        <f>IF('Part II-Sources of Funds'!$P$43="", 0,-'Part II-Sources of Funds'!$P$43)</f>
        <v>-55187.316834935598</v>
      </c>
      <c r="J59" s="2389">
        <f>IF('Part II-Sources of Funds'!$P$43="", 0,-'Part II-Sources of Funds'!$P$43)</f>
        <v>-55187.316834935598</v>
      </c>
      <c r="K59" s="2389">
        <f>IF('Part II-Sources of Funds'!$P$43="", 0,-'Part II-Sources of Funds'!$P$43)</f>
        <v>-55187.316834935598</v>
      </c>
      <c r="L59" s="77"/>
      <c r="M59" s="77"/>
      <c r="N59" s="3758"/>
      <c r="O59" s="3760"/>
      <c r="P59" s="77"/>
      <c r="Q59" s="77"/>
      <c r="R59" s="77"/>
      <c r="S59" s="77"/>
      <c r="T59" s="77"/>
      <c r="U59" s="77"/>
      <c r="V59" s="77"/>
      <c r="W59" s="77"/>
      <c r="X59" s="77"/>
      <c r="Y59" s="77"/>
      <c r="Z59" s="1794" t="s">
        <v>1423</v>
      </c>
      <c r="AA59" s="1795">
        <v>59</v>
      </c>
    </row>
    <row r="60" spans="1:27" ht="13.35" customHeight="1">
      <c r="A60" s="236" t="str">
        <f>$A28</f>
        <v>Mortgage C</v>
      </c>
      <c r="B60" s="2389">
        <f>IF('Part II-Sources of Funds'!$P$44="", 0,-'Part II-Sources of Funds'!$P$44)</f>
        <v>0</v>
      </c>
      <c r="C60" s="2389">
        <f>IF('Part II-Sources of Funds'!$P$44="", 0,-'Part II-Sources of Funds'!$P$44)</f>
        <v>0</v>
      </c>
      <c r="D60" s="2389">
        <f>IF('Part II-Sources of Funds'!$P$44="", 0,-'Part II-Sources of Funds'!$P$44)</f>
        <v>0</v>
      </c>
      <c r="E60" s="2389">
        <f>IF('Part II-Sources of Funds'!$P$44="", 0,-'Part II-Sources of Funds'!$P$44)</f>
        <v>0</v>
      </c>
      <c r="F60" s="2389">
        <f>IF('Part II-Sources of Funds'!$P$44="", 0,-'Part II-Sources of Funds'!$P$44)</f>
        <v>0</v>
      </c>
      <c r="G60" s="2389">
        <f>IF('Part II-Sources of Funds'!$P$44="", 0,-'Part II-Sources of Funds'!$P$44)</f>
        <v>0</v>
      </c>
      <c r="H60" s="2389">
        <f>IF('Part II-Sources of Funds'!$P$44="", 0,-'Part II-Sources of Funds'!$P$44)</f>
        <v>0</v>
      </c>
      <c r="I60" s="2389">
        <f>IF('Part II-Sources of Funds'!$P$44="", 0,-'Part II-Sources of Funds'!$P$44)</f>
        <v>0</v>
      </c>
      <c r="J60" s="2389">
        <f>IF('Part II-Sources of Funds'!$P$44="", 0,-'Part II-Sources of Funds'!$P$44)</f>
        <v>0</v>
      </c>
      <c r="K60" s="2389">
        <f>IF('Part II-Sources of Funds'!$P$44="", 0,-'Part II-Sources of Funds'!$P$44)</f>
        <v>0</v>
      </c>
      <c r="L60" s="77"/>
      <c r="M60" s="77"/>
      <c r="N60" s="3758"/>
      <c r="O60" s="3760"/>
      <c r="P60" s="77"/>
      <c r="Q60" s="77"/>
      <c r="R60" s="77"/>
      <c r="S60" s="77"/>
      <c r="T60" s="77"/>
      <c r="U60" s="77"/>
      <c r="V60" s="77"/>
      <c r="W60" s="77"/>
      <c r="X60" s="77"/>
      <c r="Y60" s="77"/>
      <c r="Z60" s="1794" t="s">
        <v>1423</v>
      </c>
      <c r="AA60" s="1795">
        <v>60</v>
      </c>
    </row>
    <row r="61" spans="1:27" ht="13.35" customHeight="1">
      <c r="A61" s="236" t="str">
        <f>$A29</f>
        <v>D/S Other Source,not DDF</v>
      </c>
      <c r="B61" s="2389">
        <f>IF('Part II-Sources of Funds'!$P$45="", 0,-'Part II-Sources of Funds'!$P$45)</f>
        <v>0</v>
      </c>
      <c r="C61" s="2389">
        <f>IF('Part II-Sources of Funds'!$P$45="", 0,-'Part II-Sources of Funds'!$P$45)</f>
        <v>0</v>
      </c>
      <c r="D61" s="2389">
        <f>IF('Part II-Sources of Funds'!$P$45="", 0,-'Part II-Sources of Funds'!$P$45)</f>
        <v>0</v>
      </c>
      <c r="E61" s="2389">
        <f>IF('Part II-Sources of Funds'!$P$45="", 0,-'Part II-Sources of Funds'!$P$45)</f>
        <v>0</v>
      </c>
      <c r="F61" s="2389">
        <f>IF('Part II-Sources of Funds'!$P$45="", 0,-'Part II-Sources of Funds'!$P$45)</f>
        <v>0</v>
      </c>
      <c r="G61" s="2389">
        <f>IF('Part II-Sources of Funds'!$P$45="", 0,-'Part II-Sources of Funds'!$P$45)</f>
        <v>0</v>
      </c>
      <c r="H61" s="2389">
        <f>IF('Part II-Sources of Funds'!$P$45="", 0,-'Part II-Sources of Funds'!$P$45)</f>
        <v>0</v>
      </c>
      <c r="I61" s="2389">
        <f>IF('Part II-Sources of Funds'!$P$45="", 0,-'Part II-Sources of Funds'!$P$45)</f>
        <v>0</v>
      </c>
      <c r="J61" s="2389">
        <f>IF('Part II-Sources of Funds'!$P$45="", 0,-'Part II-Sources of Funds'!$P$45)</f>
        <v>0</v>
      </c>
      <c r="K61" s="2389">
        <f>IF('Part II-Sources of Funds'!$P$45="", 0,-'Part II-Sources of Funds'!$P$45)</f>
        <v>0</v>
      </c>
      <c r="L61" s="77"/>
      <c r="M61" s="77"/>
      <c r="N61" s="3758"/>
      <c r="O61" s="3760"/>
      <c r="P61" s="77"/>
      <c r="Q61" s="77"/>
      <c r="R61" s="77"/>
      <c r="S61" s="77"/>
      <c r="T61" s="77"/>
      <c r="U61" s="77"/>
      <c r="V61" s="77"/>
      <c r="W61" s="77"/>
      <c r="X61" s="77"/>
      <c r="Y61" s="77"/>
      <c r="Z61" s="1794" t="s">
        <v>1423</v>
      </c>
      <c r="AA61" s="1795">
        <v>61</v>
      </c>
    </row>
    <row r="62" spans="1:27" ht="13.35" customHeight="1">
      <c r="A62" s="236" t="s">
        <v>1411</v>
      </c>
      <c r="B62" s="2390"/>
      <c r="C62" s="2390"/>
      <c r="D62" s="2390"/>
      <c r="E62" s="2390"/>
      <c r="F62" s="2390"/>
      <c r="G62" s="2390"/>
      <c r="H62" s="2390"/>
      <c r="I62" s="2390"/>
      <c r="J62" s="2390"/>
      <c r="K62" s="2390"/>
      <c r="L62" s="77"/>
      <c r="M62" s="77"/>
      <c r="N62" s="3758"/>
      <c r="O62" s="3760"/>
      <c r="P62" s="77"/>
      <c r="Q62" s="58"/>
      <c r="R62" s="2387"/>
      <c r="S62" s="77"/>
      <c r="T62" s="77"/>
      <c r="U62" s="77"/>
      <c r="V62" s="77"/>
      <c r="W62" s="77"/>
      <c r="X62" s="77"/>
      <c r="Y62" s="77"/>
      <c r="Z62" s="1794" t="s">
        <v>1423</v>
      </c>
      <c r="AA62" s="1795">
        <v>62</v>
      </c>
    </row>
    <row r="63" spans="1:27" ht="13.35" customHeight="1">
      <c r="A63" s="236" t="s">
        <v>1412</v>
      </c>
      <c r="B63" s="2389">
        <f>+K31</f>
        <v>-7500</v>
      </c>
      <c r="C63" s="2389">
        <f t="shared" ref="C63:K63" si="26">+B63</f>
        <v>-7500</v>
      </c>
      <c r="D63" s="2389">
        <f t="shared" si="26"/>
        <v>-7500</v>
      </c>
      <c r="E63" s="2389">
        <f t="shared" si="26"/>
        <v>-7500</v>
      </c>
      <c r="F63" s="2389">
        <f t="shared" si="26"/>
        <v>-7500</v>
      </c>
      <c r="G63" s="2389">
        <f t="shared" si="26"/>
        <v>-7500</v>
      </c>
      <c r="H63" s="2389">
        <f t="shared" si="26"/>
        <v>-7500</v>
      </c>
      <c r="I63" s="2389">
        <f t="shared" si="26"/>
        <v>-7500</v>
      </c>
      <c r="J63" s="2389">
        <f t="shared" si="26"/>
        <v>-7500</v>
      </c>
      <c r="K63" s="2389">
        <f t="shared" si="26"/>
        <v>-7500</v>
      </c>
      <c r="L63" s="77"/>
      <c r="M63" s="77"/>
      <c r="N63" s="3758"/>
      <c r="O63" s="3760"/>
      <c r="P63" s="77"/>
      <c r="Q63" s="77"/>
      <c r="R63" s="77"/>
      <c r="S63" s="77"/>
      <c r="T63" s="77"/>
      <c r="U63" s="77"/>
      <c r="V63" s="77"/>
      <c r="W63" s="77"/>
      <c r="X63" s="77"/>
      <c r="Y63" s="77"/>
      <c r="Z63" s="1794" t="s">
        <v>1423</v>
      </c>
      <c r="AA63" s="1795">
        <v>63</v>
      </c>
    </row>
    <row r="64" spans="1:27" ht="13.35" customHeight="1">
      <c r="A64" s="236" t="s">
        <v>1413</v>
      </c>
      <c r="B64" s="2392">
        <f>IF('Part II-Sources of Funds'!$P$47="", 0,-'Part II-Sources of Funds'!$P$47)</f>
        <v>0</v>
      </c>
      <c r="C64" s="2392">
        <f>IF('Part II-Sources of Funds'!$P$47="", 0,-'Part II-Sources of Funds'!$P$47)</f>
        <v>0</v>
      </c>
      <c r="D64" s="2392">
        <f>IF('Part II-Sources of Funds'!$P$47="", 0,-'Part II-Sources of Funds'!$P$47)</f>
        <v>0</v>
      </c>
      <c r="E64" s="2392">
        <f>IF('Part II-Sources of Funds'!$P$47="", 0,-'Part II-Sources of Funds'!$P$47)</f>
        <v>0</v>
      </c>
      <c r="F64" s="2392">
        <f>IF('Part II-Sources of Funds'!$P$47="", 0,-'Part II-Sources of Funds'!$P$47)</f>
        <v>0</v>
      </c>
      <c r="G64" s="2392"/>
      <c r="H64" s="2392"/>
      <c r="I64" s="2392"/>
      <c r="J64" s="2392"/>
      <c r="K64" s="2392"/>
      <c r="L64" s="77"/>
      <c r="M64" s="77"/>
      <c r="N64" s="3758"/>
      <c r="O64" s="3760"/>
      <c r="P64" s="77"/>
      <c r="Q64" s="77"/>
      <c r="R64" s="77"/>
      <c r="S64" s="77"/>
      <c r="T64" s="77"/>
      <c r="U64" s="77"/>
      <c r="V64" s="77"/>
      <c r="W64" s="77"/>
      <c r="X64" s="77"/>
      <c r="Y64" s="77"/>
      <c r="Z64" s="1794" t="s">
        <v>1423</v>
      </c>
      <c r="AA64" s="1795">
        <v>64</v>
      </c>
    </row>
    <row r="65" spans="1:27" ht="13.35" customHeight="1">
      <c r="A65" s="236" t="s">
        <v>1414</v>
      </c>
      <c r="B65" s="2385">
        <f t="shared" ref="B65:K65" si="27">SUM(B57:B64)</f>
        <v>49100.245667881245</v>
      </c>
      <c r="C65" s="2385">
        <f t="shared" si="27"/>
        <v>48791.375740339019</v>
      </c>
      <c r="D65" s="2385">
        <f t="shared" si="27"/>
        <v>48399.848018918245</v>
      </c>
      <c r="E65" s="2385">
        <f t="shared" si="27"/>
        <v>47921.471015881136</v>
      </c>
      <c r="F65" s="2385">
        <f t="shared" si="27"/>
        <v>47353.108703779872</v>
      </c>
      <c r="G65" s="2385">
        <f t="shared" si="27"/>
        <v>46689.475563362794</v>
      </c>
      <c r="H65" s="2385">
        <f t="shared" si="27"/>
        <v>45927.131470602093</v>
      </c>
      <c r="I65" s="2385">
        <f t="shared" si="27"/>
        <v>122017.87722057509</v>
      </c>
      <c r="J65" s="2385">
        <f t="shared" si="27"/>
        <v>201390.94229589289</v>
      </c>
      <c r="K65" s="2763">
        <f t="shared" si="27"/>
        <v>201428.24412007057</v>
      </c>
      <c r="L65" s="77"/>
      <c r="M65" s="77"/>
      <c r="N65" s="3758"/>
      <c r="O65" s="3760"/>
      <c r="P65" s="77"/>
      <c r="Q65" s="77"/>
      <c r="R65" s="77"/>
      <c r="S65" s="77"/>
      <c r="T65" s="77"/>
      <c r="U65" s="77"/>
      <c r="V65" s="77"/>
      <c r="W65" s="77"/>
      <c r="X65" s="77"/>
      <c r="Y65" s="77"/>
      <c r="Z65" s="1794" t="s">
        <v>1423</v>
      </c>
      <c r="AA65" s="1795">
        <v>65</v>
      </c>
    </row>
    <row r="66" spans="1:27" ht="13.35" customHeight="1">
      <c r="A66" s="236" t="str">
        <f>$A34</f>
        <v>DCR Mortgage A</v>
      </c>
      <c r="B66" s="2393">
        <f t="shared" ref="B66:K66" si="28">IF(B58=0,"",-B57/B58)</f>
        <v>1.6666666666666667</v>
      </c>
      <c r="C66" s="2393">
        <f t="shared" si="28"/>
        <v>1.6666666666666667</v>
      </c>
      <c r="D66" s="2393">
        <f t="shared" si="28"/>
        <v>1.6666666666666665</v>
      </c>
      <c r="E66" s="2393">
        <f t="shared" si="28"/>
        <v>1.6666666666666667</v>
      </c>
      <c r="F66" s="2393">
        <f t="shared" si="28"/>
        <v>1.6666666666666667</v>
      </c>
      <c r="G66" s="2393">
        <f t="shared" si="28"/>
        <v>1.6666666666666667</v>
      </c>
      <c r="H66" s="2393">
        <f t="shared" si="28"/>
        <v>1.6666666666666667</v>
      </c>
      <c r="I66" s="2393">
        <f t="shared" si="28"/>
        <v>3.1816186738329137</v>
      </c>
      <c r="J66" s="2393">
        <f t="shared" si="28"/>
        <v>93.516348387385264</v>
      </c>
      <c r="K66" s="2394">
        <f t="shared" si="28"/>
        <v>2745.5169947120817</v>
      </c>
      <c r="L66" s="77"/>
      <c r="M66" s="77"/>
      <c r="N66" s="3758"/>
      <c r="O66" s="3760"/>
      <c r="P66" s="77"/>
      <c r="Q66" s="77"/>
      <c r="R66" s="77"/>
      <c r="S66" s="77"/>
      <c r="T66" s="77"/>
      <c r="U66" s="77"/>
      <c r="V66" s="77"/>
      <c r="W66" s="77"/>
      <c r="X66" s="77"/>
      <c r="Y66" s="77"/>
      <c r="Z66" s="1794" t="s">
        <v>1423</v>
      </c>
      <c r="AA66" s="1795">
        <v>66</v>
      </c>
    </row>
    <row r="67" spans="1:27" ht="13.35" customHeight="1">
      <c r="A67" s="236" t="str">
        <f>$A35</f>
        <v>DCR Mortgage B</v>
      </c>
      <c r="B67" s="2393">
        <f t="shared" ref="B67:K67" si="29">IF(B59=0,"",-(B57+B58)/B59)</f>
        <v>2.0256024194321984</v>
      </c>
      <c r="C67" s="2393">
        <f t="shared" si="29"/>
        <v>2.0200056637778867</v>
      </c>
      <c r="D67" s="2393">
        <f t="shared" si="29"/>
        <v>2.0129111401830571</v>
      </c>
      <c r="E67" s="2393">
        <f t="shared" si="29"/>
        <v>2.0042428984479512</v>
      </c>
      <c r="F67" s="2393">
        <f t="shared" si="29"/>
        <v>1.9939441134245512</v>
      </c>
      <c r="G67" s="2393">
        <f t="shared" si="29"/>
        <v>1.981919010946712</v>
      </c>
      <c r="H67" s="2393">
        <f t="shared" si="29"/>
        <v>1.968105255604323</v>
      </c>
      <c r="I67" s="2393">
        <f t="shared" si="29"/>
        <v>3.3468775916024516</v>
      </c>
      <c r="J67" s="2393">
        <f t="shared" si="29"/>
        <v>4.7851258998635942</v>
      </c>
      <c r="K67" s="2394">
        <f t="shared" si="29"/>
        <v>4.7858018128507984</v>
      </c>
      <c r="L67" s="77"/>
      <c r="M67" s="77"/>
      <c r="N67" s="3758"/>
      <c r="O67" s="3760"/>
      <c r="P67" s="77"/>
      <c r="Q67" s="77"/>
      <c r="R67" s="77"/>
      <c r="S67" s="77"/>
      <c r="T67" s="77"/>
      <c r="U67" s="77"/>
      <c r="V67" s="77"/>
      <c r="W67" s="77"/>
      <c r="X67" s="77"/>
      <c r="Y67" s="77"/>
      <c r="Z67" s="1794" t="s">
        <v>1423</v>
      </c>
      <c r="AA67" s="1795">
        <v>67</v>
      </c>
    </row>
    <row r="68" spans="1:27" ht="13.35" customHeight="1">
      <c r="A68" s="236" t="str">
        <f>$A36</f>
        <v>DCR Mortgage C</v>
      </c>
      <c r="B68" s="2393" t="str">
        <f t="shared" ref="B68:K68" si="30">IF(B60=0,"",-(B57+B58+B59)/B60)</f>
        <v/>
      </c>
      <c r="C68" s="2393" t="str">
        <f t="shared" si="30"/>
        <v/>
      </c>
      <c r="D68" s="2393" t="str">
        <f t="shared" si="30"/>
        <v/>
      </c>
      <c r="E68" s="2393" t="str">
        <f t="shared" si="30"/>
        <v/>
      </c>
      <c r="F68" s="2393" t="str">
        <f t="shared" si="30"/>
        <v/>
      </c>
      <c r="G68" s="2393" t="str">
        <f t="shared" si="30"/>
        <v/>
      </c>
      <c r="H68" s="2393" t="str">
        <f t="shared" si="30"/>
        <v/>
      </c>
      <c r="I68" s="2393" t="str">
        <f t="shared" si="30"/>
        <v/>
      </c>
      <c r="J68" s="2393" t="str">
        <f t="shared" si="30"/>
        <v/>
      </c>
      <c r="K68" s="2394" t="str">
        <f t="shared" si="30"/>
        <v/>
      </c>
      <c r="L68" s="77"/>
      <c r="M68" s="77"/>
      <c r="N68" s="3758"/>
      <c r="O68" s="3760"/>
      <c r="P68" s="77"/>
      <c r="Q68" s="77"/>
      <c r="R68" s="77"/>
      <c r="S68" s="77"/>
      <c r="T68" s="77"/>
      <c r="U68" s="77"/>
      <c r="V68" s="77"/>
      <c r="W68" s="77"/>
      <c r="X68" s="77"/>
      <c r="Y68" s="77"/>
      <c r="Z68" s="1794" t="s">
        <v>1423</v>
      </c>
      <c r="AA68" s="1795">
        <v>68</v>
      </c>
    </row>
    <row r="69" spans="1:27" ht="13.35" customHeight="1">
      <c r="A69" s="236" t="str">
        <f>$A37</f>
        <v>DCR Other Source</v>
      </c>
      <c r="B69" s="2393" t="str">
        <f t="shared" ref="B69:K69" si="31">IF(B61=0,"",-(B57+B58+B59+B60)/B61)</f>
        <v/>
      </c>
      <c r="C69" s="2393" t="str">
        <f t="shared" si="31"/>
        <v/>
      </c>
      <c r="D69" s="2393" t="str">
        <f t="shared" si="31"/>
        <v/>
      </c>
      <c r="E69" s="2393" t="str">
        <f t="shared" si="31"/>
        <v/>
      </c>
      <c r="F69" s="2393" t="str">
        <f t="shared" si="31"/>
        <v/>
      </c>
      <c r="G69" s="2393" t="str">
        <f t="shared" si="31"/>
        <v/>
      </c>
      <c r="H69" s="2393" t="str">
        <f t="shared" si="31"/>
        <v/>
      </c>
      <c r="I69" s="2393" t="str">
        <f t="shared" si="31"/>
        <v/>
      </c>
      <c r="J69" s="2393" t="str">
        <f t="shared" si="31"/>
        <v/>
      </c>
      <c r="K69" s="2394" t="str">
        <f t="shared" si="31"/>
        <v/>
      </c>
      <c r="L69" s="77"/>
      <c r="M69" s="77"/>
      <c r="N69" s="3758"/>
      <c r="O69" s="3760"/>
      <c r="P69" s="77"/>
      <c r="Q69" s="77"/>
      <c r="R69" s="77"/>
      <c r="S69" s="77"/>
      <c r="T69" s="77"/>
      <c r="U69" s="77"/>
      <c r="V69" s="77"/>
      <c r="W69" s="77"/>
      <c r="X69" s="77"/>
      <c r="Y69" s="77"/>
      <c r="Z69" s="1794" t="s">
        <v>1423</v>
      </c>
      <c r="AA69" s="1795">
        <v>69</v>
      </c>
    </row>
    <row r="70" spans="1:27" ht="13.35" customHeight="1">
      <c r="A70" s="236" t="s">
        <v>1416</v>
      </c>
      <c r="B70" s="2393">
        <f t="shared" ref="B70:K70" si="32">IF(AND(B58=0,B59=0,B60=0,B61=0),"",-B57/(B58+B59+B60+B61))</f>
        <v>1.2539623360155554</v>
      </c>
      <c r="C70" s="2393">
        <f t="shared" si="32"/>
        <v>1.2531026088095405</v>
      </c>
      <c r="D70" s="2393">
        <f t="shared" si="32"/>
        <v>1.2520076452824727</v>
      </c>
      <c r="E70" s="2393">
        <f t="shared" si="32"/>
        <v>1.2506618997424712</v>
      </c>
      <c r="F70" s="2393">
        <f t="shared" si="32"/>
        <v>1.2490516139782697</v>
      </c>
      <c r="G70" s="2393">
        <f t="shared" si="32"/>
        <v>1.2471555590961065</v>
      </c>
      <c r="H70" s="2393">
        <f t="shared" si="32"/>
        <v>1.2449561186988523</v>
      </c>
      <c r="I70" s="2393">
        <f t="shared" si="32"/>
        <v>1.9261093312209603</v>
      </c>
      <c r="J70" s="2393">
        <f t="shared" si="32"/>
        <v>4.5989796558281597</v>
      </c>
      <c r="K70" s="2394">
        <f t="shared" si="32"/>
        <v>4.7792117431058658</v>
      </c>
      <c r="L70" s="77"/>
      <c r="M70" s="77"/>
      <c r="N70" s="3758"/>
      <c r="O70" s="3760"/>
      <c r="P70" s="77"/>
      <c r="Q70" s="77"/>
      <c r="R70" s="77"/>
      <c r="S70" s="77"/>
      <c r="T70" s="77"/>
      <c r="U70" s="77"/>
      <c r="V70" s="77"/>
      <c r="W70" s="77"/>
      <c r="X70" s="77"/>
      <c r="Y70" s="77"/>
      <c r="Z70" s="1794" t="s">
        <v>1423</v>
      </c>
      <c r="AA70" s="1795">
        <v>70</v>
      </c>
    </row>
    <row r="71" spans="1:27" ht="13.35" customHeight="1">
      <c r="A71" s="236" t="s">
        <v>1417</v>
      </c>
      <c r="B71" s="1793">
        <f t="shared" ref="B71:K71" si="33">IF(OR(B54="Choose mgt fee",B54="Choose One!"),"",(B47+B48+B49+B50+B51) / -(B53+B54+B55))</f>
        <v>1.4092520113774651</v>
      </c>
      <c r="C71" s="1793">
        <f t="shared" si="33"/>
        <v>1.3964975978278469</v>
      </c>
      <c r="D71" s="1793">
        <f t="shared" si="33"/>
        <v>1.3838496149103683</v>
      </c>
      <c r="E71" s="1793">
        <f t="shared" si="33"/>
        <v>1.3713062337715363</v>
      </c>
      <c r="F71" s="1793">
        <f t="shared" si="33"/>
        <v>1.3588711260448549</v>
      </c>
      <c r="G71" s="1793">
        <f t="shared" si="33"/>
        <v>1.3465388017363</v>
      </c>
      <c r="H71" s="1793">
        <f t="shared" si="33"/>
        <v>1.3343126869010542</v>
      </c>
      <c r="I71" s="1793">
        <f t="shared" si="33"/>
        <v>1.322187710506906</v>
      </c>
      <c r="J71" s="1793">
        <f t="shared" si="33"/>
        <v>1.3101670584408027</v>
      </c>
      <c r="K71" s="2395">
        <f t="shared" si="33"/>
        <v>1.2982475021451023</v>
      </c>
      <c r="L71" s="77"/>
      <c r="M71" s="77"/>
      <c r="N71" s="3758"/>
      <c r="O71" s="3760"/>
      <c r="P71" s="77"/>
      <c r="Q71" s="77"/>
      <c r="R71" s="77"/>
      <c r="S71" s="77"/>
      <c r="T71" s="77"/>
      <c r="U71" s="77"/>
      <c r="V71" s="77"/>
      <c r="W71" s="77"/>
      <c r="X71" s="77"/>
      <c r="Y71" s="77"/>
      <c r="Z71" s="1794" t="s">
        <v>1423</v>
      </c>
      <c r="AA71" s="1795">
        <v>71</v>
      </c>
    </row>
    <row r="72" spans="1:27" ht="13.35" customHeight="1">
      <c r="A72" s="236" t="s">
        <v>1418</v>
      </c>
      <c r="B72" s="2766">
        <f>IF('Part II-Sources of Funds'!$I$42="","",-FV('Part II-Sources of Funds'!$K$42/12,12,B58/12,K40))</f>
        <v>891053.62131542456</v>
      </c>
      <c r="C72" s="2766">
        <f>IF('Part II-Sources of Funds'!$I$42="","",-FV('Part II-Sources of Funds'!$K$42/12,12,C58/12,B72))</f>
        <v>774117.8132431478</v>
      </c>
      <c r="D72" s="2766">
        <f>IF('Part II-Sources of Funds'!$I$42="","",-FV('Part II-Sources of Funds'!$K$42/12,12,D58/12,C72))</f>
        <v>650573.37472890434</v>
      </c>
      <c r="E72" s="2766">
        <f>IF('Part II-Sources of Funds'!$I$42="","",-FV('Part II-Sources of Funds'!$K$42/12,12,E58/12,D72))</f>
        <v>520146.61674891494</v>
      </c>
      <c r="F72" s="2766">
        <f>IF('Part II-Sources of Funds'!$I$42="","",-FV('Part II-Sources of Funds'!$K$42/12,12,F58/12,E72))</f>
        <v>382551.8053220557</v>
      </c>
      <c r="G72" s="2766">
        <f>IF('Part II-Sources of Funds'!$I$42="","",-FV('Part II-Sources of Funds'!$K$42/12,12,G58/12,F72))</f>
        <v>237493.73300202182</v>
      </c>
      <c r="H72" s="2766">
        <f>IF('Part II-Sources of Funds'!$I$42="","",-FV('Part II-Sources of Funds'!$K$42/12,12,H58/12,G72))</f>
        <v>84664.289076238871</v>
      </c>
      <c r="I72" s="2766">
        <f>IF('Part II-Sources of Funds'!$I$42="","",-FV('Part II-Sources of Funds'!$K$42/12,12,I58/12,H72))</f>
        <v>2854.3956147628924</v>
      </c>
      <c r="J72" s="2766">
        <f>IF('Part II-Sources of Funds'!$I$42="","",-FV('Part II-Sources of Funds'!$K$42/12,12,J58/12,I72))</f>
        <v>96.233895240540733</v>
      </c>
      <c r="K72" s="2766">
        <f>IF('Part II-Sources of Funds'!$I$42="","",-FV('Part II-Sources of Funds'!$K$42/12,12,K58/12,J72))</f>
        <v>3.2444565656105198</v>
      </c>
      <c r="L72" s="77"/>
      <c r="M72" s="77"/>
      <c r="N72" s="3758"/>
      <c r="O72" s="3760"/>
      <c r="P72" s="77"/>
      <c r="Q72" s="77"/>
      <c r="R72" s="77"/>
      <c r="S72" s="77"/>
      <c r="T72" s="77"/>
      <c r="U72" s="77"/>
      <c r="V72" s="77"/>
      <c r="W72" s="77"/>
      <c r="X72" s="77"/>
      <c r="Y72" s="77"/>
      <c r="Z72" s="1794" t="s">
        <v>1423</v>
      </c>
      <c r="AA72" s="1795">
        <v>72</v>
      </c>
    </row>
    <row r="73" spans="1:27" ht="13.35" customHeight="1">
      <c r="A73" s="236" t="s">
        <v>1419</v>
      </c>
      <c r="B73" s="2389">
        <f>IF('Part II-Sources of Funds'!$I$43="","",-FV('Part II-Sources of Funds'!$K$43/12,12,B59/12,K41))</f>
        <v>474801.65598723316</v>
      </c>
      <c r="C73" s="2389">
        <f>IF('Part II-Sources of Funds'!$I$43="","",-FV('Part II-Sources of Funds'!$K$43/12,12,C59/12,B73))</f>
        <v>424130.53221322899</v>
      </c>
      <c r="D73" s="2389">
        <f>IF('Part II-Sources of Funds'!$I$43="","",-FV('Part II-Sources of Funds'!$K$43/12,12,D59/12,C73))</f>
        <v>372950.36831168167</v>
      </c>
      <c r="E73" s="2389">
        <f>IF('Part II-Sources of Funds'!$I$43="","",-FV('Part II-Sources of Funds'!$K$43/12,12,E59/12,D73))</f>
        <v>321256.05048537988</v>
      </c>
      <c r="F73" s="2389">
        <f>IF('Part II-Sources of Funds'!$I$43="","",-FV('Part II-Sources of Funds'!$K$43/12,12,F59/12,E73))</f>
        <v>269042.41356410563</v>
      </c>
      <c r="G73" s="2389">
        <f>IF('Part II-Sources of Funds'!$I$43="","",-FV('Part II-Sources of Funds'!$K$43/12,12,G59/12,F73))</f>
        <v>216304.2404885428</v>
      </c>
      <c r="H73" s="2389">
        <f>IF('Part II-Sources of Funds'!$I$43="","",-FV('Part II-Sources of Funds'!$K$43/12,12,H59/12,G73))</f>
        <v>163036.2617890015</v>
      </c>
      <c r="I73" s="2389">
        <f>IF('Part II-Sources of Funds'!$I$43="","",-FV('Part II-Sources of Funds'!$K$43/12,12,I59/12,H73))</f>
        <v>109233.15505890545</v>
      </c>
      <c r="J73" s="2389">
        <f>IF('Part II-Sources of Funds'!$I$43="","",-FV('Part II-Sources of Funds'!$K$43/12,12,J59/12,I73))</f>
        <v>54889.544422990046</v>
      </c>
      <c r="K73" s="2389">
        <f>IF('Part II-Sources of Funds'!$I$43="","",-FV('Part II-Sources of Funds'!$K$43/12,12,K59/12,J73))</f>
        <v>1.5807017916813493E-7</v>
      </c>
      <c r="L73" s="77"/>
      <c r="M73" s="77"/>
      <c r="N73" s="3758"/>
      <c r="O73" s="3760"/>
      <c r="P73" s="77"/>
      <c r="Q73" s="77"/>
      <c r="R73" s="77"/>
      <c r="S73" s="77"/>
      <c r="T73" s="77"/>
      <c r="U73" s="77"/>
      <c r="V73" s="77"/>
      <c r="W73" s="77"/>
      <c r="X73" s="77"/>
      <c r="Y73" s="77"/>
      <c r="Z73" s="1794" t="s">
        <v>1423</v>
      </c>
      <c r="AA73" s="1795">
        <v>73</v>
      </c>
    </row>
    <row r="74" spans="1:27" ht="13.35" customHeight="1">
      <c r="A74" s="236" t="s">
        <v>1420</v>
      </c>
      <c r="B74" s="2389" t="str">
        <f>IF('Part II-Sources of Funds'!$I$44="","",-FV('Part II-Sources of Funds'!$K$44/12,12,B60/12,K42))</f>
        <v/>
      </c>
      <c r="C74" s="2389" t="str">
        <f>IF('Part II-Sources of Funds'!$I$44="","",-FV('Part II-Sources of Funds'!$K$44/12,12,C60/12,B74))</f>
        <v/>
      </c>
      <c r="D74" s="2389" t="str">
        <f>IF('Part II-Sources of Funds'!$I$44="","",-FV('Part II-Sources of Funds'!$K$44/12,12,D60/12,C74))</f>
        <v/>
      </c>
      <c r="E74" s="2389" t="str">
        <f>IF('Part II-Sources of Funds'!$I$44="","",-FV('Part II-Sources of Funds'!$K$44/12,12,E60/12,D74))</f>
        <v/>
      </c>
      <c r="F74" s="2389" t="str">
        <f>IF('Part II-Sources of Funds'!$I$44="","",-FV('Part II-Sources of Funds'!$K$44/12,12,F60/12,E74))</f>
        <v/>
      </c>
      <c r="G74" s="2389" t="str">
        <f>IF('Part II-Sources of Funds'!$I$44="","",-FV('Part II-Sources of Funds'!$K$44/12,12,G60/12,F74))</f>
        <v/>
      </c>
      <c r="H74" s="2389" t="str">
        <f>IF('Part II-Sources of Funds'!$I$44="","",-FV('Part II-Sources of Funds'!$K$44/12,12,H60/12,G74))</f>
        <v/>
      </c>
      <c r="I74" s="2389" t="str">
        <f>IF('Part II-Sources of Funds'!$I$44="","",-FV('Part II-Sources of Funds'!$K$44/12,12,I60/12,H74))</f>
        <v/>
      </c>
      <c r="J74" s="2389" t="str">
        <f>IF('Part II-Sources of Funds'!$I$44="","",-FV('Part II-Sources of Funds'!$K$44/12,12,J60/12,I74))</f>
        <v/>
      </c>
      <c r="K74" s="2389" t="str">
        <f>IF('Part II-Sources of Funds'!$I$44="","",-FV('Part II-Sources of Funds'!$K$44/12,12,K60/12,J74))</f>
        <v/>
      </c>
      <c r="L74" s="77"/>
      <c r="M74" s="77"/>
      <c r="N74" s="3758"/>
      <c r="O74" s="3760"/>
      <c r="P74" s="77"/>
      <c r="Q74" s="77"/>
      <c r="R74" s="77"/>
      <c r="S74" s="77"/>
      <c r="T74" s="77"/>
      <c r="U74" s="77"/>
      <c r="V74" s="77"/>
      <c r="W74" s="77"/>
      <c r="X74" s="77"/>
      <c r="Y74" s="77"/>
      <c r="Z74" s="1794" t="s">
        <v>1423</v>
      </c>
      <c r="AA74" s="1795">
        <v>74</v>
      </c>
    </row>
    <row r="75" spans="1:27" ht="13.35" customHeight="1">
      <c r="A75" s="236" t="s">
        <v>1421</v>
      </c>
      <c r="B75" s="2389" t="str">
        <f>IF('Part II-Sources of Funds'!$I$45="","",-FV('Part II-Sources of Funds'!$K$45/12,12,B61/12,K43))</f>
        <v/>
      </c>
      <c r="C75" s="2389" t="str">
        <f>IF('Part II-Sources of Funds'!$I$45="","",-FV('Part II-Sources of Funds'!$K$45/12,12,C61/12,B75))</f>
        <v/>
      </c>
      <c r="D75" s="2389" t="str">
        <f>IF('Part II-Sources of Funds'!$I$45="","",-FV('Part II-Sources of Funds'!$K$45/12,12,D61/12,C75))</f>
        <v/>
      </c>
      <c r="E75" s="2389" t="str">
        <f>IF('Part II-Sources of Funds'!$I$45="","",-FV('Part II-Sources of Funds'!$K$45/12,12,E61/12,D75))</f>
        <v/>
      </c>
      <c r="F75" s="2389" t="str">
        <f>IF('Part II-Sources of Funds'!$I$45="","",-FV('Part II-Sources of Funds'!$K$45/12,12,F61/12,E75))</f>
        <v/>
      </c>
      <c r="G75" s="2389" t="str">
        <f>IF('Part II-Sources of Funds'!$I$45="","",-FV('Part II-Sources of Funds'!$K$45/12,12,G61/12,F75))</f>
        <v/>
      </c>
      <c r="H75" s="2389" t="str">
        <f>IF('Part II-Sources of Funds'!$I$45="","",-FV('Part II-Sources of Funds'!$K$45/12,12,H61/12,G75))</f>
        <v/>
      </c>
      <c r="I75" s="2389" t="str">
        <f>IF('Part II-Sources of Funds'!$I$45="","",-FV('Part II-Sources of Funds'!$K$45/12,12,I61/12,H75))</f>
        <v/>
      </c>
      <c r="J75" s="2389" t="str">
        <f>IF('Part II-Sources of Funds'!$I$45="","",-FV('Part II-Sources of Funds'!$K$45/12,12,J61/12,I75))</f>
        <v/>
      </c>
      <c r="K75" s="2389" t="str">
        <f>IF('Part II-Sources of Funds'!$I$45="","",-FV('Part II-Sources of Funds'!$K$45/12,12,K61/12,J75))</f>
        <v/>
      </c>
      <c r="L75" s="77"/>
      <c r="M75" s="77"/>
      <c r="N75" s="3758"/>
      <c r="O75" s="3760"/>
      <c r="P75" s="77"/>
      <c r="Q75" s="77"/>
      <c r="R75" s="77"/>
      <c r="S75" s="77"/>
      <c r="T75" s="77"/>
      <c r="U75" s="77"/>
      <c r="V75" s="77"/>
      <c r="W75" s="77"/>
      <c r="X75" s="77"/>
      <c r="Y75" s="77"/>
      <c r="Z75" s="1794" t="s">
        <v>1423</v>
      </c>
      <c r="AA75" s="1795">
        <v>75</v>
      </c>
    </row>
    <row r="76" spans="1:27" ht="13.35" customHeight="1">
      <c r="A76" s="236" t="s">
        <v>1422</v>
      </c>
      <c r="B76" s="2392">
        <f>IF('Part II-Sources of Funds'!$I$47="","",IF(-FV('Part II-Sources of Funds'!$K$47/12,12,B64/12,K44)&gt;0,-FV('Part II-Sources of Funds'!$K$47/12,12,B64/12,K44),0))</f>
        <v>1</v>
      </c>
      <c r="C76" s="2392">
        <f>IF('Part II-Sources of Funds'!$I$47="","",IF(-FV('Part II-Sources of Funds'!$K$47/12,12,C64/12,B76)&gt;0,-FV('Part II-Sources of Funds'!$K$47/12,12,C64/12,B76),0))</f>
        <v>1</v>
      </c>
      <c r="D76" s="2392">
        <f>IF('Part II-Sources of Funds'!$I$47="","",IF(-FV('Part II-Sources of Funds'!$K$47/12,12,D64/12,C76)&gt;0,-FV('Part II-Sources of Funds'!$K$47/12,12,D64/12,C76),0))</f>
        <v>1</v>
      </c>
      <c r="E76" s="2392">
        <f>IF('Part II-Sources of Funds'!$I$47="","",IF(-FV('Part II-Sources of Funds'!$K$47/12,12,E64/12,D76)&gt;0,-FV('Part II-Sources of Funds'!$K$47/12,12,E64/12,D76),0))</f>
        <v>1</v>
      </c>
      <c r="F76" s="2392">
        <f>IF('Part II-Sources of Funds'!$I$47="","",IF(-FV('Part II-Sources of Funds'!$K$47/12,12,F64/12,E76)&gt;0,-FV('Part II-Sources of Funds'!$K$47/12,12,F64/12,E76),0))</f>
        <v>1</v>
      </c>
      <c r="G76" s="2392">
        <f>IF('Part II-Sources of Funds'!$I$47="","",IF(-FV('Part II-Sources of Funds'!$K$47/12,12,G64/12,F76)&gt;0,-FV('Part II-Sources of Funds'!$K$47/12,12,G64/12,F76),0))</f>
        <v>1</v>
      </c>
      <c r="H76" s="2392" t="str">
        <f>IF('Part II-Sources of Funds'!$I$45="","",-FV('Part II-Sources of Funds'!$K$45/12,12,H62/12,G76))</f>
        <v/>
      </c>
      <c r="I76" s="2392" t="str">
        <f>IF('Part II-Sources of Funds'!$I$45="","",-FV('Part II-Sources of Funds'!$K$45/12,12,I62/12,H76))</f>
        <v/>
      </c>
      <c r="J76" s="2392" t="str">
        <f>IF('Part II-Sources of Funds'!$I$45="","",-FV('Part II-Sources of Funds'!$K$45/12,12,J62/12,I76))</f>
        <v/>
      </c>
      <c r="K76" s="2392" t="str">
        <f>IF('Part II-Sources of Funds'!$I$45="","",-FV('Part II-Sources of Funds'!$K$45/12,12,K62/12,J76))</f>
        <v/>
      </c>
      <c r="L76" s="77"/>
      <c r="M76" s="77"/>
      <c r="N76" s="3725"/>
      <c r="O76" s="3727"/>
      <c r="P76" s="77"/>
      <c r="Q76" s="77"/>
      <c r="R76" s="77"/>
      <c r="S76" s="77"/>
      <c r="T76" s="77"/>
      <c r="U76" s="77"/>
      <c r="V76" s="77"/>
      <c r="W76" s="77"/>
      <c r="X76" s="77"/>
      <c r="Y76" s="77"/>
      <c r="Z76" s="1794" t="s">
        <v>1423</v>
      </c>
      <c r="AA76" s="1795">
        <v>76</v>
      </c>
    </row>
    <row r="77" spans="1:27" ht="4.3499999999999996" customHeight="1">
      <c r="A77" s="77"/>
      <c r="B77" s="2396"/>
      <c r="C77" s="2396"/>
      <c r="D77" s="2396"/>
      <c r="E77" s="2396"/>
      <c r="F77" s="2396"/>
      <c r="G77" s="2396"/>
      <c r="H77" s="2396"/>
      <c r="I77" s="2396"/>
      <c r="J77" s="2396"/>
      <c r="K77" s="2396"/>
      <c r="L77" s="77"/>
      <c r="M77" s="77"/>
      <c r="N77" s="77"/>
      <c r="O77" s="77"/>
      <c r="P77" s="77"/>
      <c r="Q77" s="77"/>
      <c r="R77" s="77"/>
      <c r="S77" s="77"/>
      <c r="T77" s="77"/>
      <c r="U77" s="77"/>
      <c r="V77" s="77"/>
      <c r="W77" s="77"/>
      <c r="X77" s="77"/>
      <c r="Y77" s="77"/>
      <c r="AA77" s="1795">
        <v>77</v>
      </c>
    </row>
    <row r="78" spans="1:27" ht="14.7" customHeight="1">
      <c r="A78" s="6" t="s">
        <v>480</v>
      </c>
      <c r="B78" s="8">
        <f>K46+1</f>
        <v>21</v>
      </c>
      <c r="C78" s="8">
        <f t="shared" ref="C78:K78" si="34">B78+1</f>
        <v>22</v>
      </c>
      <c r="D78" s="8">
        <f t="shared" si="34"/>
        <v>23</v>
      </c>
      <c r="E78" s="8">
        <f t="shared" si="34"/>
        <v>24</v>
      </c>
      <c r="F78" s="8">
        <f t="shared" si="34"/>
        <v>25</v>
      </c>
      <c r="G78" s="8">
        <f t="shared" si="34"/>
        <v>26</v>
      </c>
      <c r="H78" s="8">
        <f t="shared" si="34"/>
        <v>27</v>
      </c>
      <c r="I78" s="8">
        <f t="shared" si="34"/>
        <v>28</v>
      </c>
      <c r="J78" s="8">
        <f t="shared" si="34"/>
        <v>29</v>
      </c>
      <c r="K78" s="8">
        <f t="shared" si="34"/>
        <v>30</v>
      </c>
      <c r="L78" s="77"/>
      <c r="M78" s="77"/>
      <c r="N78" s="3420" t="s">
        <v>1291</v>
      </c>
      <c r="O78" s="3420"/>
      <c r="P78" s="77"/>
      <c r="Q78" s="77"/>
      <c r="R78" s="77"/>
      <c r="S78" s="77"/>
      <c r="T78" s="77"/>
      <c r="U78" s="77"/>
      <c r="V78" s="77"/>
      <c r="W78" s="77"/>
      <c r="X78" s="77"/>
      <c r="Y78" s="77"/>
      <c r="AA78" s="1795">
        <v>78</v>
      </c>
    </row>
    <row r="79" spans="1:27" ht="13.35" customHeight="1">
      <c r="A79" s="2761" t="s">
        <v>1396</v>
      </c>
      <c r="B79" s="2762">
        <f t="shared" ref="B79:K79" si="35">$B$15*(1+$B$6)^(B78-1)</f>
        <v>1236658.9170394416</v>
      </c>
      <c r="C79" s="2762">
        <f t="shared" si="35"/>
        <v>1261392.0953802303</v>
      </c>
      <c r="D79" s="2762">
        <f t="shared" si="35"/>
        <v>1286619.9372878349</v>
      </c>
      <c r="E79" s="2762">
        <f t="shared" si="35"/>
        <v>1312352.3360335915</v>
      </c>
      <c r="F79" s="2762">
        <f t="shared" si="35"/>
        <v>1338599.3827542635</v>
      </c>
      <c r="G79" s="2762">
        <f t="shared" si="35"/>
        <v>1365371.3704093487</v>
      </c>
      <c r="H79" s="2762">
        <f t="shared" si="35"/>
        <v>1392678.7978175357</v>
      </c>
      <c r="I79" s="2762">
        <f t="shared" si="35"/>
        <v>1420532.3737738861</v>
      </c>
      <c r="J79" s="2762">
        <f t="shared" si="35"/>
        <v>1448943.0212493644</v>
      </c>
      <c r="K79" s="2763">
        <f t="shared" si="35"/>
        <v>1477921.8816743514</v>
      </c>
      <c r="L79" s="77"/>
      <c r="M79" s="77"/>
      <c r="N79" s="3777"/>
      <c r="O79" s="3779"/>
      <c r="P79" s="77"/>
      <c r="Q79" s="77"/>
      <c r="R79" s="77"/>
      <c r="S79" s="77"/>
      <c r="T79" s="77"/>
      <c r="U79" s="77"/>
      <c r="V79" s="77"/>
      <c r="W79" s="77"/>
      <c r="X79" s="77"/>
      <c r="Y79" s="77"/>
      <c r="Z79" s="1794" t="s">
        <v>1424</v>
      </c>
      <c r="AA79" s="1795">
        <v>79</v>
      </c>
    </row>
    <row r="80" spans="1:27" ht="13.35" customHeight="1">
      <c r="A80" s="236" t="s">
        <v>1281</v>
      </c>
      <c r="B80" s="2385">
        <f t="shared" ref="B80:K80" si="36">$B$16*(1+$B$6)^(B78-1)</f>
        <v>24733.178340788832</v>
      </c>
      <c r="C80" s="2385">
        <f t="shared" si="36"/>
        <v>25227.841907604608</v>
      </c>
      <c r="D80" s="2385">
        <f t="shared" si="36"/>
        <v>25732.398745756702</v>
      </c>
      <c r="E80" s="2385">
        <f t="shared" si="36"/>
        <v>26247.046720671831</v>
      </c>
      <c r="F80" s="2385">
        <f t="shared" si="36"/>
        <v>26771.987655085271</v>
      </c>
      <c r="G80" s="2385">
        <f t="shared" si="36"/>
        <v>27307.427408186973</v>
      </c>
      <c r="H80" s="2385">
        <f t="shared" si="36"/>
        <v>27853.575956350716</v>
      </c>
      <c r="I80" s="2385">
        <f t="shared" si="36"/>
        <v>28410.647475477726</v>
      </c>
      <c r="J80" s="2385">
        <f t="shared" si="36"/>
        <v>28978.860424987288</v>
      </c>
      <c r="K80" s="2386">
        <f t="shared" si="36"/>
        <v>29558.437633487029</v>
      </c>
      <c r="L80" s="77"/>
      <c r="M80" s="77"/>
      <c r="N80" s="3758"/>
      <c r="O80" s="3760"/>
      <c r="P80" s="77"/>
      <c r="Q80" s="77"/>
      <c r="R80" s="77"/>
      <c r="S80" s="77"/>
      <c r="T80" s="77"/>
      <c r="U80" s="77"/>
      <c r="V80" s="77"/>
      <c r="W80" s="77"/>
      <c r="X80" s="77"/>
      <c r="Y80" s="77"/>
      <c r="Z80" s="1794" t="s">
        <v>1424</v>
      </c>
      <c r="AA80" s="1795">
        <v>80</v>
      </c>
    </row>
    <row r="81" spans="1:27" ht="13.35" customHeight="1">
      <c r="A81" s="236" t="s">
        <v>1399</v>
      </c>
      <c r="B81" s="2385">
        <f t="shared" ref="B81:K81" si="37">-(B79+B80)*$B$9</f>
        <v>-88297.446676616149</v>
      </c>
      <c r="C81" s="2385">
        <f t="shared" si="37"/>
        <v>-90063.395610148451</v>
      </c>
      <c r="D81" s="2385">
        <f t="shared" si="37"/>
        <v>-91864.663522351417</v>
      </c>
      <c r="E81" s="2385">
        <f t="shared" si="37"/>
        <v>-93701.956792798446</v>
      </c>
      <c r="F81" s="2385">
        <f t="shared" si="37"/>
        <v>-95575.995928654418</v>
      </c>
      <c r="G81" s="2385">
        <f t="shared" si="37"/>
        <v>-97487.515847227507</v>
      </c>
      <c r="H81" s="2385">
        <f t="shared" si="37"/>
        <v>-99437.266164172048</v>
      </c>
      <c r="I81" s="2385">
        <f t="shared" si="37"/>
        <v>-101426.01148745549</v>
      </c>
      <c r="J81" s="2385">
        <f t="shared" si="37"/>
        <v>-103454.53171720462</v>
      </c>
      <c r="K81" s="2386">
        <f t="shared" si="37"/>
        <v>-105523.62235154869</v>
      </c>
      <c r="L81" s="77"/>
      <c r="M81" s="77"/>
      <c r="N81" s="3758"/>
      <c r="O81" s="3760"/>
      <c r="P81" s="77"/>
      <c r="Q81" s="77"/>
      <c r="R81" s="77"/>
      <c r="S81" s="77"/>
      <c r="T81" s="77"/>
      <c r="U81" s="77"/>
      <c r="V81" s="77"/>
      <c r="W81" s="77"/>
      <c r="X81" s="77"/>
      <c r="Y81" s="77"/>
      <c r="Z81" s="1794" t="s">
        <v>1424</v>
      </c>
      <c r="AA81" s="1795">
        <v>81</v>
      </c>
    </row>
    <row r="82" spans="1:27" ht="13.35" customHeight="1">
      <c r="A82" s="236" t="s">
        <v>1402</v>
      </c>
      <c r="B82" s="2385">
        <f>'Part V-Revenues &amp; Expenses'!H225</f>
        <v>0</v>
      </c>
      <c r="C82" s="2385">
        <f>'Part V-Revenues &amp; Expenses'!I225</f>
        <v>0</v>
      </c>
      <c r="D82" s="2385">
        <f>'Part V-Revenues &amp; Expenses'!J225</f>
        <v>0</v>
      </c>
      <c r="E82" s="2385">
        <f>'Part V-Revenues &amp; Expenses'!K225</f>
        <v>0</v>
      </c>
      <c r="F82" s="2385">
        <f>'Part V-Revenues &amp; Expenses'!L225</f>
        <v>0</v>
      </c>
      <c r="G82" s="2385">
        <f>'Part V-Revenues &amp; Expenses'!M225</f>
        <v>0</v>
      </c>
      <c r="H82" s="2385">
        <f>'Part V-Revenues &amp; Expenses'!N225</f>
        <v>0</v>
      </c>
      <c r="I82" s="2385">
        <f>'Part V-Revenues &amp; Expenses'!O225</f>
        <v>0</v>
      </c>
      <c r="J82" s="2385">
        <f>'Part V-Revenues &amp; Expenses'!P225</f>
        <v>0</v>
      </c>
      <c r="K82" s="2386">
        <f>'Part V-Revenues &amp; Expenses'!Q225</f>
        <v>0</v>
      </c>
      <c r="L82" s="77"/>
      <c r="M82" s="77"/>
      <c r="N82" s="3758"/>
      <c r="O82" s="3760"/>
      <c r="P82" s="77"/>
      <c r="Q82" s="77"/>
      <c r="R82" s="77"/>
      <c r="S82" s="77"/>
      <c r="T82" s="77"/>
      <c r="U82" s="77"/>
      <c r="V82" s="77"/>
      <c r="W82" s="77"/>
      <c r="X82" s="77"/>
      <c r="Y82" s="77"/>
      <c r="Z82" s="1794" t="s">
        <v>1424</v>
      </c>
      <c r="AA82" s="1795">
        <v>82</v>
      </c>
    </row>
    <row r="83" spans="1:27" ht="13.35" customHeight="1">
      <c r="A83" s="236" t="s">
        <v>1403</v>
      </c>
      <c r="B83" s="2385">
        <f>'Part V-Revenues &amp; Expenses'!H229</f>
        <v>0</v>
      </c>
      <c r="C83" s="2385">
        <f>'Part V-Revenues &amp; Expenses'!I229</f>
        <v>0</v>
      </c>
      <c r="D83" s="2385">
        <f>'Part V-Revenues &amp; Expenses'!J229</f>
        <v>0</v>
      </c>
      <c r="E83" s="2385">
        <f>'Part V-Revenues &amp; Expenses'!K229</f>
        <v>0</v>
      </c>
      <c r="F83" s="2385">
        <f>'Part V-Revenues &amp; Expenses'!L229</f>
        <v>0</v>
      </c>
      <c r="G83" s="2385">
        <f>'Part V-Revenues &amp; Expenses'!M229</f>
        <v>0</v>
      </c>
      <c r="H83" s="2385">
        <f>'Part V-Revenues &amp; Expenses'!N229</f>
        <v>0</v>
      </c>
      <c r="I83" s="2385">
        <f>'Part V-Revenues &amp; Expenses'!O229</f>
        <v>0</v>
      </c>
      <c r="J83" s="2385">
        <f>'Part V-Revenues &amp; Expenses'!P229</f>
        <v>0</v>
      </c>
      <c r="K83" s="2386">
        <f>'Part V-Revenues &amp; Expenses'!Q229</f>
        <v>0</v>
      </c>
      <c r="L83" s="77"/>
      <c r="M83" s="77"/>
      <c r="N83" s="3758"/>
      <c r="O83" s="3760"/>
      <c r="P83" s="77"/>
      <c r="Q83" s="77"/>
      <c r="R83" s="77"/>
      <c r="S83" s="77"/>
      <c r="T83" s="77"/>
      <c r="U83" s="77"/>
      <c r="V83" s="77"/>
      <c r="W83" s="77"/>
      <c r="X83" s="77"/>
      <c r="Y83" s="77"/>
      <c r="Z83" s="1794" t="s">
        <v>1424</v>
      </c>
      <c r="AA83" s="1795">
        <v>83</v>
      </c>
    </row>
    <row r="84" spans="1:27" ht="13.35" customHeight="1">
      <c r="A84" s="236" t="s">
        <v>1404</v>
      </c>
      <c r="B84" s="2385">
        <f t="shared" ref="B84:K84" si="38">SUM(B79:B83)</f>
        <v>1173094.6487036145</v>
      </c>
      <c r="C84" s="2385">
        <f t="shared" si="38"/>
        <v>1196556.5416776864</v>
      </c>
      <c r="D84" s="2385">
        <f t="shared" si="38"/>
        <v>1220487.67251124</v>
      </c>
      <c r="E84" s="2385">
        <f t="shared" si="38"/>
        <v>1244897.4259614651</v>
      </c>
      <c r="F84" s="2385">
        <f t="shared" si="38"/>
        <v>1269795.3744806943</v>
      </c>
      <c r="G84" s="2385">
        <f t="shared" si="38"/>
        <v>1295191.2819703082</v>
      </c>
      <c r="H84" s="2385">
        <f t="shared" si="38"/>
        <v>1321095.1076097144</v>
      </c>
      <c r="I84" s="2385">
        <f t="shared" si="38"/>
        <v>1347517.0097619083</v>
      </c>
      <c r="J84" s="2385">
        <f t="shared" si="38"/>
        <v>1374467.3499571469</v>
      </c>
      <c r="K84" s="2386">
        <f t="shared" si="38"/>
        <v>1401956.6969562897</v>
      </c>
      <c r="L84" s="77"/>
      <c r="M84" s="77"/>
      <c r="N84" s="3758"/>
      <c r="O84" s="3760"/>
      <c r="P84" s="77"/>
      <c r="Q84" s="77"/>
      <c r="R84" s="77"/>
      <c r="S84" s="77"/>
      <c r="T84" s="77"/>
      <c r="U84" s="77"/>
      <c r="V84" s="77"/>
      <c r="W84" s="77"/>
      <c r="X84" s="77"/>
      <c r="Y84" s="77"/>
      <c r="Z84" s="1794" t="s">
        <v>1424</v>
      </c>
      <c r="AA84" s="1795">
        <v>84</v>
      </c>
    </row>
    <row r="85" spans="1:27" ht="13.35" customHeight="1">
      <c r="A85" s="236" t="s">
        <v>1405</v>
      </c>
      <c r="B85" s="2385">
        <f t="shared" ref="B85:K85" si="39">$B$21*(1+$B$7)^(B78-1)</f>
        <v>-785649.35652502137</v>
      </c>
      <c r="C85" s="2385">
        <f t="shared" si="39"/>
        <v>-809218.83722077194</v>
      </c>
      <c r="D85" s="2385">
        <f t="shared" si="39"/>
        <v>-833495.40233739524</v>
      </c>
      <c r="E85" s="2385">
        <f t="shared" si="39"/>
        <v>-858500.26440751716</v>
      </c>
      <c r="F85" s="2385">
        <f t="shared" si="39"/>
        <v>-884255.27233974251</v>
      </c>
      <c r="G85" s="2385">
        <f t="shared" si="39"/>
        <v>-910782.93050993478</v>
      </c>
      <c r="H85" s="2385">
        <f t="shared" si="39"/>
        <v>-938106.41842523287</v>
      </c>
      <c r="I85" s="2385">
        <f t="shared" si="39"/>
        <v>-966249.61097798985</v>
      </c>
      <c r="J85" s="2385">
        <f t="shared" si="39"/>
        <v>-995237.09930732951</v>
      </c>
      <c r="K85" s="2386">
        <f t="shared" si="39"/>
        <v>-1025094.2122865493</v>
      </c>
      <c r="L85" s="77"/>
      <c r="M85" s="77"/>
      <c r="N85" s="3758"/>
      <c r="O85" s="3760"/>
      <c r="P85" s="77"/>
      <c r="Q85" s="77"/>
      <c r="R85" s="77"/>
      <c r="S85" s="77"/>
      <c r="T85" s="77"/>
      <c r="U85" s="77"/>
      <c r="V85" s="77"/>
      <c r="W85" s="77"/>
      <c r="X85" s="77"/>
      <c r="Y85" s="77"/>
      <c r="Z85" s="1794" t="s">
        <v>1424</v>
      </c>
      <c r="AA85" s="1795">
        <v>85</v>
      </c>
    </row>
    <row r="86" spans="1:27" ht="13.35" customHeight="1">
      <c r="A86" s="236" t="s">
        <v>1406</v>
      </c>
      <c r="B86" s="2385">
        <f>IF(AND('Part VI-Pro Forma'!$G$9="Yes",'Part VI-Pro Forma'!$G$10="Yes"),"Choose One!",IF('Part VI-Pro Forma'!$G$9="Yes",ROUND((-$K$9*(1+'Part VI-Pro Forma'!$B$7)^('Part VI-Pro Forma'!B78-1)),),IF('Part VI-Pro Forma'!$G$10="Yes",ROUND((-(SUM(B79:B82)*'Part VI-Pro Forma'!$K$10)),),"Choose mgt fee")))</f>
        <v>-56895</v>
      </c>
      <c r="C86" s="2385">
        <f>IF(AND('Part VI-Pro Forma'!$G$9="Yes",'Part VI-Pro Forma'!$G$10="Yes"),"Choose One!",IF('Part VI-Pro Forma'!$G$9="Yes",ROUND((-$K$9*(1+'Part VI-Pro Forma'!$B$7)^('Part VI-Pro Forma'!C78-1)),),IF('Part VI-Pro Forma'!$G$10="Yes",ROUND((-(SUM(C79:C82)*'Part VI-Pro Forma'!$K$10)),),"Choose mgt fee")))</f>
        <v>-58033</v>
      </c>
      <c r="D86" s="2385">
        <f>IF(AND('Part VI-Pro Forma'!$G$9="Yes",'Part VI-Pro Forma'!$G$10="Yes"),"Choose One!",IF('Part VI-Pro Forma'!$G$9="Yes",ROUND((-$K$9*(1+'Part VI-Pro Forma'!$B$7)^('Part VI-Pro Forma'!D78-1)),),IF('Part VI-Pro Forma'!$G$10="Yes",ROUND((-(SUM(D79:D82)*'Part VI-Pro Forma'!$K$10)),),"Choose mgt fee")))</f>
        <v>-59194</v>
      </c>
      <c r="E86" s="2385">
        <f>IF(AND('Part VI-Pro Forma'!$G$9="Yes",'Part VI-Pro Forma'!$G$10="Yes"),"Choose One!",IF('Part VI-Pro Forma'!$G$9="Yes",ROUND((-$K$9*(1+'Part VI-Pro Forma'!$B$7)^('Part VI-Pro Forma'!E78-1)),),IF('Part VI-Pro Forma'!$G$10="Yes",ROUND((-(SUM(E79:E82)*'Part VI-Pro Forma'!$K$10)),),"Choose mgt fee")))</f>
        <v>-60378</v>
      </c>
      <c r="F86" s="2385">
        <f>IF(AND('Part VI-Pro Forma'!$G$9="Yes",'Part VI-Pro Forma'!$G$10="Yes"),"Choose One!",IF('Part VI-Pro Forma'!$G$9="Yes",ROUND((-$K$9*(1+'Part VI-Pro Forma'!$B$7)^('Part VI-Pro Forma'!F78-1)),),IF('Part VI-Pro Forma'!$G$10="Yes",ROUND((-(SUM(F79:F82)*'Part VI-Pro Forma'!$K$10)),),"Choose mgt fee")))</f>
        <v>-61585</v>
      </c>
      <c r="G86" s="2385">
        <f>IF(AND('Part VI-Pro Forma'!$G$9="Yes",'Part VI-Pro Forma'!$G$10="Yes"),"Choose One!",IF('Part VI-Pro Forma'!$G$9="Yes",ROUND((-$K$9*(1+'Part VI-Pro Forma'!$B$7)^('Part VI-Pro Forma'!G78-1)),),IF('Part VI-Pro Forma'!$G$10="Yes",ROUND((-(SUM(G79:G82)*'Part VI-Pro Forma'!$K$10)),),"Choose mgt fee")))</f>
        <v>-62817</v>
      </c>
      <c r="H86" s="2385">
        <f>IF(AND('Part VI-Pro Forma'!$G$9="Yes",'Part VI-Pro Forma'!$G$10="Yes"),"Choose One!",IF('Part VI-Pro Forma'!$G$9="Yes",ROUND((-$K$9*(1+'Part VI-Pro Forma'!$B$7)^('Part VI-Pro Forma'!H78-1)),),IF('Part VI-Pro Forma'!$G$10="Yes",ROUND((-(SUM(H79:H82)*'Part VI-Pro Forma'!$K$10)),),"Choose mgt fee")))</f>
        <v>-64073</v>
      </c>
      <c r="I86" s="2385">
        <f>IF(AND('Part VI-Pro Forma'!$G$9="Yes",'Part VI-Pro Forma'!$G$10="Yes"),"Choose One!",IF('Part VI-Pro Forma'!$G$9="Yes",ROUND((-$K$9*(1+'Part VI-Pro Forma'!$B$7)^('Part VI-Pro Forma'!I78-1)),),IF('Part VI-Pro Forma'!$G$10="Yes",ROUND((-(SUM(I79:I82)*'Part VI-Pro Forma'!$K$10)),),"Choose mgt fee")))</f>
        <v>-65355</v>
      </c>
      <c r="J86" s="2385">
        <f>IF(AND('Part VI-Pro Forma'!$G$9="Yes",'Part VI-Pro Forma'!$G$10="Yes"),"Choose One!",IF('Part VI-Pro Forma'!$G$9="Yes",ROUND((-$K$9*(1+'Part VI-Pro Forma'!$B$7)^('Part VI-Pro Forma'!J78-1)),),IF('Part VI-Pro Forma'!$G$10="Yes",ROUND((-(SUM(J79:J82)*'Part VI-Pro Forma'!$K$10)),),"Choose mgt fee")))</f>
        <v>-66662</v>
      </c>
      <c r="K86" s="2386">
        <f>IF(AND('Part VI-Pro Forma'!$G$9="Yes",'Part VI-Pro Forma'!$G$10="Yes"),"Choose One!",IF('Part VI-Pro Forma'!$G$9="Yes",ROUND((-$K$9*(1+'Part VI-Pro Forma'!$B$7)^('Part VI-Pro Forma'!K78-1)),),IF('Part VI-Pro Forma'!$G$10="Yes",ROUND((-(SUM(K79:K82)*'Part VI-Pro Forma'!$K$10)),),"Choose mgt fee")))</f>
        <v>-67995</v>
      </c>
      <c r="L86" s="77"/>
      <c r="M86" s="77"/>
      <c r="N86" s="3758"/>
      <c r="O86" s="3760"/>
      <c r="P86" s="77"/>
      <c r="Q86" s="77"/>
      <c r="R86" s="77"/>
      <c r="S86" s="77"/>
      <c r="T86" s="77"/>
      <c r="U86" s="77"/>
      <c r="V86" s="77"/>
      <c r="W86" s="77"/>
      <c r="X86" s="77"/>
      <c r="Y86" s="77"/>
      <c r="Z86" s="1794" t="s">
        <v>1424</v>
      </c>
      <c r="AA86" s="1795">
        <v>86</v>
      </c>
    </row>
    <row r="87" spans="1:27" ht="13.35" customHeight="1">
      <c r="A87" s="236" t="s">
        <v>1407</v>
      </c>
      <c r="B87" s="2385">
        <f t="shared" ref="B87:K87" si="40">$B$23*(1+$B$8)^(B78-1)</f>
        <v>-69354.671411305462</v>
      </c>
      <c r="C87" s="2385">
        <f t="shared" si="40"/>
        <v>-71435.311553644628</v>
      </c>
      <c r="D87" s="2385">
        <f t="shared" si="40"/>
        <v>-73578.370900253969</v>
      </c>
      <c r="E87" s="2385">
        <f t="shared" si="40"/>
        <v>-75785.722027261596</v>
      </c>
      <c r="F87" s="2385">
        <f t="shared" si="40"/>
        <v>-78059.29368807943</v>
      </c>
      <c r="G87" s="2385">
        <f t="shared" si="40"/>
        <v>-80401.072498721813</v>
      </c>
      <c r="H87" s="2385">
        <f t="shared" si="40"/>
        <v>-82813.104673683483</v>
      </c>
      <c r="I87" s="2385">
        <f t="shared" si="40"/>
        <v>-85297.497813893977</v>
      </c>
      <c r="J87" s="2385">
        <f t="shared" si="40"/>
        <v>-87856.422748310797</v>
      </c>
      <c r="K87" s="2386">
        <f t="shared" si="40"/>
        <v>-90492.11543076011</v>
      </c>
      <c r="L87" s="77"/>
      <c r="M87" s="77"/>
      <c r="N87" s="3758"/>
      <c r="O87" s="3760"/>
      <c r="P87" s="77"/>
      <c r="Q87" s="58"/>
      <c r="R87" s="2387"/>
      <c r="S87" s="2387"/>
      <c r="T87" s="77"/>
      <c r="U87" s="77"/>
      <c r="V87" s="77"/>
      <c r="W87" s="77"/>
      <c r="X87" s="77"/>
      <c r="Y87" s="77"/>
      <c r="Z87" s="1794" t="s">
        <v>1424</v>
      </c>
      <c r="AA87" s="1795">
        <v>87</v>
      </c>
    </row>
    <row r="88" spans="1:27" ht="13.35" customHeight="1">
      <c r="A88" s="236" t="s">
        <v>1408</v>
      </c>
      <c r="B88" s="2764">
        <f>IF(B78&lt;=+'Part V-Revenues &amp; Expenses'!$L$275,-'Part V-Revenues &amp; Expenses'!$F$275,0)</f>
        <v>0</v>
      </c>
      <c r="C88" s="2764">
        <f>IF(C78&lt;=+'Part V-Revenues &amp; Expenses'!$L$275,-'Part V-Revenues &amp; Expenses'!$F$275,0)</f>
        <v>0</v>
      </c>
      <c r="D88" s="2764">
        <f>IF(D78&lt;=+'Part V-Revenues &amp; Expenses'!$L$275,-'Part V-Revenues &amp; Expenses'!$F$275,0)</f>
        <v>0</v>
      </c>
      <c r="E88" s="2764">
        <f>IF(E78&lt;=+'Part V-Revenues &amp; Expenses'!$L$275,-'Part V-Revenues &amp; Expenses'!$F$275,0)</f>
        <v>0</v>
      </c>
      <c r="F88" s="2764">
        <f>IF(F78&lt;=+'Part V-Revenues &amp; Expenses'!$L$275,-'Part V-Revenues &amp; Expenses'!$F$275,0)</f>
        <v>0</v>
      </c>
      <c r="G88" s="2764">
        <f>IF(G78&lt;=+'Part V-Revenues &amp; Expenses'!$L$275,-'Part V-Revenues &amp; Expenses'!$F$275,0)</f>
        <v>0</v>
      </c>
      <c r="H88" s="2764">
        <f>IF(H78&lt;=+'Part V-Revenues &amp; Expenses'!$L$275,-'Part V-Revenues &amp; Expenses'!$F$275,0)</f>
        <v>0</v>
      </c>
      <c r="I88" s="2764">
        <f>IF(I78&lt;=+'Part V-Revenues &amp; Expenses'!$L$275,-'Part V-Revenues &amp; Expenses'!$F$275,0)</f>
        <v>0</v>
      </c>
      <c r="J88" s="2764">
        <f>IF(J78&lt;=+'Part V-Revenues &amp; Expenses'!$L$275,-'Part V-Revenues &amp; Expenses'!$F$275,0)</f>
        <v>0</v>
      </c>
      <c r="K88" s="2764">
        <f>IF(K78&lt;=+'Part V-Revenues &amp; Expenses'!$L$275,-'Part V-Revenues &amp; Expenses'!$F$275,0)</f>
        <v>0</v>
      </c>
      <c r="L88" s="77"/>
      <c r="M88" s="77"/>
      <c r="N88" s="3758"/>
      <c r="O88" s="3760"/>
      <c r="P88" s="77"/>
      <c r="Q88" s="77"/>
      <c r="R88" s="77"/>
      <c r="S88" s="77"/>
      <c r="T88" s="77"/>
      <c r="U88" s="77"/>
      <c r="V88" s="77"/>
      <c r="W88" s="77"/>
      <c r="X88" s="77"/>
      <c r="Y88" s="77"/>
      <c r="Z88" s="1794" t="s">
        <v>1424</v>
      </c>
      <c r="AA88" s="1795">
        <v>88</v>
      </c>
    </row>
    <row r="89" spans="1:27" ht="13.35" customHeight="1">
      <c r="A89" s="236" t="s">
        <v>1409</v>
      </c>
      <c r="B89" s="2385">
        <f t="shared" ref="B89:K89" si="41">SUM(B84:B88)</f>
        <v>261195.62076728765</v>
      </c>
      <c r="C89" s="2385">
        <f t="shared" si="41"/>
        <v>257869.39290326982</v>
      </c>
      <c r="D89" s="2385">
        <f t="shared" si="41"/>
        <v>254219.8992735908</v>
      </c>
      <c r="E89" s="2385">
        <f t="shared" si="41"/>
        <v>250233.43952668636</v>
      </c>
      <c r="F89" s="2385">
        <f t="shared" si="41"/>
        <v>245895.80845287236</v>
      </c>
      <c r="G89" s="2385">
        <f t="shared" si="41"/>
        <v>241190.27896165155</v>
      </c>
      <c r="H89" s="2385">
        <f t="shared" si="41"/>
        <v>236102.58451079804</v>
      </c>
      <c r="I89" s="2385">
        <f t="shared" si="41"/>
        <v>230614.90097002449</v>
      </c>
      <c r="J89" s="2385">
        <f t="shared" si="41"/>
        <v>224711.82790150662</v>
      </c>
      <c r="K89" s="2388">
        <f t="shared" si="41"/>
        <v>218375.36923898032</v>
      </c>
      <c r="L89" s="77"/>
      <c r="M89" s="77"/>
      <c r="N89" s="3758"/>
      <c r="O89" s="3760"/>
      <c r="P89" s="77"/>
      <c r="Q89" s="77"/>
      <c r="R89" s="77"/>
      <c r="S89" s="77"/>
      <c r="T89" s="77"/>
      <c r="U89" s="77"/>
      <c r="V89" s="77"/>
      <c r="W89" s="77"/>
      <c r="X89" s="77"/>
      <c r="Y89" s="77"/>
      <c r="Z89" s="1794" t="s">
        <v>1424</v>
      </c>
      <c r="AA89" s="1795">
        <v>89</v>
      </c>
    </row>
    <row r="90" spans="1:27" ht="13.35" customHeight="1">
      <c r="A90" s="236" t="str">
        <f>$A58</f>
        <v>Mortgage A</v>
      </c>
      <c r="B90" s="2765">
        <f>-MIN(K72,B89*0.6)</f>
        <v>-3.2444565656105198</v>
      </c>
      <c r="C90" s="2765">
        <f>IF('Part II-Sources of Funds'!$P$42="", 0,-'Part II-Sources of Funds'!$P$42)</f>
        <v>-130231.87094349621</v>
      </c>
      <c r="D90" s="2765">
        <f>IF('Part II-Sources of Funds'!$P$42="", 0,-'Part II-Sources of Funds'!$P$42)</f>
        <v>-130231.87094349621</v>
      </c>
      <c r="E90" s="2765">
        <f>IF('Part II-Sources of Funds'!$P$42="", 0,-'Part II-Sources of Funds'!$P$42)</f>
        <v>-130231.87094349621</v>
      </c>
      <c r="F90" s="2765">
        <f>IF('Part II-Sources of Funds'!$P$42="", 0,-'Part II-Sources of Funds'!$P$42)</f>
        <v>-130231.87094349621</v>
      </c>
      <c r="G90" s="2765">
        <f>IF('Part II-Sources of Funds'!$P$42="", 0,-'Part II-Sources of Funds'!$P$42)</f>
        <v>-130231.87094349621</v>
      </c>
      <c r="H90" s="2765">
        <f>IF('Part II-Sources of Funds'!$P$42="", 0,-'Part II-Sources of Funds'!$P$42)</f>
        <v>-130231.87094349621</v>
      </c>
      <c r="I90" s="2765">
        <f>IF('Part II-Sources of Funds'!$P$42="", 0,-'Part II-Sources of Funds'!$P$42)</f>
        <v>-130231.87094349621</v>
      </c>
      <c r="J90" s="2765">
        <f>IF('Part II-Sources of Funds'!$P$42="", 0,-'Part II-Sources of Funds'!$P$42)</f>
        <v>-130231.87094349621</v>
      </c>
      <c r="K90" s="2765">
        <f>IF('Part II-Sources of Funds'!$P$42="", 0,-'Part II-Sources of Funds'!$P$42)</f>
        <v>-130231.87094349621</v>
      </c>
      <c r="L90" s="77"/>
      <c r="M90" s="77"/>
      <c r="N90" s="3758"/>
      <c r="O90" s="3760"/>
      <c r="P90" s="77"/>
      <c r="Q90" s="77"/>
      <c r="R90" s="77"/>
      <c r="S90" s="77"/>
      <c r="T90" s="77"/>
      <c r="U90" s="77"/>
      <c r="V90" s="77"/>
      <c r="W90" s="77"/>
      <c r="X90" s="77"/>
      <c r="Y90" s="77"/>
      <c r="Z90" s="1794" t="s">
        <v>1424</v>
      </c>
      <c r="AA90" s="1795">
        <v>90</v>
      </c>
    </row>
    <row r="91" spans="1:27" ht="13.35" customHeight="1">
      <c r="A91" s="236" t="str">
        <f>$A59</f>
        <v>Mortgage B</v>
      </c>
      <c r="B91" s="2389">
        <f>IF('Part II-Sources of Funds'!$P$43="", 0,-'Part II-Sources of Funds'!$P$43)</f>
        <v>-55187.316834935598</v>
      </c>
      <c r="C91" s="2389">
        <f>IF('Part II-Sources of Funds'!$P$43="", 0,-'Part II-Sources of Funds'!$P$43)</f>
        <v>-55187.316834935598</v>
      </c>
      <c r="D91" s="2389">
        <f>IF('Part II-Sources of Funds'!$P$43="", 0,-'Part II-Sources of Funds'!$P$43)</f>
        <v>-55187.316834935598</v>
      </c>
      <c r="E91" s="2389">
        <f>IF('Part II-Sources of Funds'!$P$43="", 0,-'Part II-Sources of Funds'!$P$43)</f>
        <v>-55187.316834935598</v>
      </c>
      <c r="F91" s="2389">
        <f>IF('Part II-Sources of Funds'!$P$43="", 0,-'Part II-Sources of Funds'!$P$43)</f>
        <v>-55187.316834935598</v>
      </c>
      <c r="G91" s="2389">
        <f>IF('Part II-Sources of Funds'!$P$43="", 0,-'Part II-Sources of Funds'!$P$43)</f>
        <v>-55187.316834935598</v>
      </c>
      <c r="H91" s="2389">
        <f>IF('Part II-Sources of Funds'!$P$43="", 0,-'Part II-Sources of Funds'!$P$43)</f>
        <v>-55187.316834935598</v>
      </c>
      <c r="I91" s="2389">
        <f>IF('Part II-Sources of Funds'!$P$43="", 0,-'Part II-Sources of Funds'!$P$43)</f>
        <v>-55187.316834935598</v>
      </c>
      <c r="J91" s="2389">
        <f>IF('Part II-Sources of Funds'!$P$43="", 0,-'Part II-Sources of Funds'!$P$43)</f>
        <v>-55187.316834935598</v>
      </c>
      <c r="K91" s="2389">
        <f>IF('Part II-Sources of Funds'!$P$43="", 0,-'Part II-Sources of Funds'!$P$43)</f>
        <v>-55187.316834935598</v>
      </c>
      <c r="L91" s="77"/>
      <c r="M91" s="77"/>
      <c r="N91" s="3758"/>
      <c r="O91" s="3760"/>
      <c r="P91" s="77"/>
      <c r="Q91" s="77"/>
      <c r="R91" s="77"/>
      <c r="S91" s="77"/>
      <c r="T91" s="77"/>
      <c r="U91" s="77"/>
      <c r="V91" s="77"/>
      <c r="W91" s="77"/>
      <c r="X91" s="77"/>
      <c r="Y91" s="77"/>
      <c r="Z91" s="1794" t="s">
        <v>1424</v>
      </c>
      <c r="AA91" s="1795">
        <v>91</v>
      </c>
    </row>
    <row r="92" spans="1:27" ht="13.35" customHeight="1">
      <c r="A92" s="236" t="str">
        <f>$A60</f>
        <v>Mortgage C</v>
      </c>
      <c r="B92" s="2389">
        <f>IF('Part II-Sources of Funds'!$P$44="", 0,-'Part II-Sources of Funds'!$P$44)</f>
        <v>0</v>
      </c>
      <c r="C92" s="2389">
        <f>IF('Part II-Sources of Funds'!$P$44="", 0,-'Part II-Sources of Funds'!$P$44)</f>
        <v>0</v>
      </c>
      <c r="D92" s="2389">
        <f>IF('Part II-Sources of Funds'!$P$44="", 0,-'Part II-Sources of Funds'!$P$44)</f>
        <v>0</v>
      </c>
      <c r="E92" s="2389">
        <f>IF('Part II-Sources of Funds'!$P$44="", 0,-'Part II-Sources of Funds'!$P$44)</f>
        <v>0</v>
      </c>
      <c r="F92" s="2389">
        <f>IF('Part II-Sources of Funds'!$P$44="", 0,-'Part II-Sources of Funds'!$P$44)</f>
        <v>0</v>
      </c>
      <c r="G92" s="2389">
        <f>IF('Part II-Sources of Funds'!$P$44="", 0,-'Part II-Sources of Funds'!$P$44)</f>
        <v>0</v>
      </c>
      <c r="H92" s="2389">
        <f>IF('Part II-Sources of Funds'!$P$44="", 0,-'Part II-Sources of Funds'!$P$44)</f>
        <v>0</v>
      </c>
      <c r="I92" s="2389">
        <f>IF('Part II-Sources of Funds'!$P$44="", 0,-'Part II-Sources of Funds'!$P$44)</f>
        <v>0</v>
      </c>
      <c r="J92" s="2389">
        <f>IF('Part II-Sources of Funds'!$P$44="", 0,-'Part II-Sources of Funds'!$P$44)</f>
        <v>0</v>
      </c>
      <c r="K92" s="2389">
        <f>IF('Part II-Sources of Funds'!$P$44="", 0,-'Part II-Sources of Funds'!$P$44)</f>
        <v>0</v>
      </c>
      <c r="L92" s="77"/>
      <c r="M92" s="77"/>
      <c r="N92" s="3758"/>
      <c r="O92" s="3760"/>
      <c r="P92" s="77"/>
      <c r="Q92" s="77"/>
      <c r="R92" s="77"/>
      <c r="S92" s="77"/>
      <c r="T92" s="77"/>
      <c r="U92" s="77"/>
      <c r="V92" s="77"/>
      <c r="W92" s="77"/>
      <c r="X92" s="77"/>
      <c r="Y92" s="77"/>
      <c r="Z92" s="1794" t="s">
        <v>1424</v>
      </c>
      <c r="AA92" s="1795">
        <v>92</v>
      </c>
    </row>
    <row r="93" spans="1:27" ht="13.35" customHeight="1">
      <c r="A93" s="236" t="str">
        <f>$A61</f>
        <v>D/S Other Source,not DDF</v>
      </c>
      <c r="B93" s="2389">
        <f>IF('Part II-Sources of Funds'!$P$45="", 0,-'Part II-Sources of Funds'!$P$45)</f>
        <v>0</v>
      </c>
      <c r="C93" s="2389">
        <f>IF('Part II-Sources of Funds'!$P$45="", 0,-'Part II-Sources of Funds'!$P$45)</f>
        <v>0</v>
      </c>
      <c r="D93" s="2389">
        <f>IF('Part II-Sources of Funds'!$P$45="", 0,-'Part II-Sources of Funds'!$P$45)</f>
        <v>0</v>
      </c>
      <c r="E93" s="2389">
        <f>IF('Part II-Sources of Funds'!$P$45="", 0,-'Part II-Sources of Funds'!$P$45)</f>
        <v>0</v>
      </c>
      <c r="F93" s="2389">
        <f>IF('Part II-Sources of Funds'!$P$45="", 0,-'Part II-Sources of Funds'!$P$45)</f>
        <v>0</v>
      </c>
      <c r="G93" s="2389">
        <f>IF('Part II-Sources of Funds'!$P$45="", 0,-'Part II-Sources of Funds'!$P$45)</f>
        <v>0</v>
      </c>
      <c r="H93" s="2389">
        <f>IF('Part II-Sources of Funds'!$P$45="", 0,-'Part II-Sources of Funds'!$P$45)</f>
        <v>0</v>
      </c>
      <c r="I93" s="2389">
        <f>IF('Part II-Sources of Funds'!$P$45="", 0,-'Part II-Sources of Funds'!$P$45)</f>
        <v>0</v>
      </c>
      <c r="J93" s="2389">
        <f>IF('Part II-Sources of Funds'!$P$45="", 0,-'Part II-Sources of Funds'!$P$45)</f>
        <v>0</v>
      </c>
      <c r="K93" s="2389">
        <f>IF('Part II-Sources of Funds'!$P$45="", 0,-'Part II-Sources of Funds'!$P$45)</f>
        <v>0</v>
      </c>
      <c r="L93" s="77"/>
      <c r="M93" s="77"/>
      <c r="N93" s="3758"/>
      <c r="O93" s="3760"/>
      <c r="P93" s="77"/>
      <c r="Q93" s="77"/>
      <c r="R93" s="77"/>
      <c r="S93" s="77"/>
      <c r="T93" s="77"/>
      <c r="U93" s="77"/>
      <c r="V93" s="77"/>
      <c r="W93" s="77"/>
      <c r="X93" s="77"/>
      <c r="Y93" s="77"/>
      <c r="Z93" s="1794" t="s">
        <v>1424</v>
      </c>
      <c r="AA93" s="1795">
        <v>93</v>
      </c>
    </row>
    <row r="94" spans="1:27" ht="13.35" customHeight="1">
      <c r="A94" s="236" t="s">
        <v>1411</v>
      </c>
      <c r="B94" s="2390"/>
      <c r="C94" s="2390"/>
      <c r="D94" s="2390"/>
      <c r="E94" s="2390"/>
      <c r="F94" s="2390"/>
      <c r="G94" s="2390"/>
      <c r="H94" s="2390"/>
      <c r="I94" s="2390"/>
      <c r="J94" s="2390"/>
      <c r="K94" s="2390"/>
      <c r="L94" s="77"/>
      <c r="M94" s="77"/>
      <c r="N94" s="3758"/>
      <c r="O94" s="3760"/>
      <c r="P94" s="77"/>
      <c r="Q94" s="77"/>
      <c r="R94" s="77"/>
      <c r="S94" s="77"/>
      <c r="T94" s="77"/>
      <c r="U94" s="77"/>
      <c r="V94" s="77"/>
      <c r="W94" s="77"/>
      <c r="X94" s="77"/>
      <c r="Y94" s="77"/>
      <c r="Z94" s="1794" t="s">
        <v>1424</v>
      </c>
      <c r="AA94" s="1795">
        <v>94</v>
      </c>
    </row>
    <row r="95" spans="1:27" ht="13.35" customHeight="1">
      <c r="A95" s="236" t="s">
        <v>1412</v>
      </c>
      <c r="B95" s="2392">
        <f>+K63</f>
        <v>-7500</v>
      </c>
      <c r="C95" s="2392">
        <f t="shared" ref="C95:K95" si="42">+B95</f>
        <v>-7500</v>
      </c>
      <c r="D95" s="2392">
        <f t="shared" si="42"/>
        <v>-7500</v>
      </c>
      <c r="E95" s="2392">
        <f t="shared" si="42"/>
        <v>-7500</v>
      </c>
      <c r="F95" s="2392">
        <f t="shared" si="42"/>
        <v>-7500</v>
      </c>
      <c r="G95" s="2392">
        <f t="shared" si="42"/>
        <v>-7500</v>
      </c>
      <c r="H95" s="2392">
        <f t="shared" si="42"/>
        <v>-7500</v>
      </c>
      <c r="I95" s="2392">
        <f t="shared" si="42"/>
        <v>-7500</v>
      </c>
      <c r="J95" s="2392">
        <f t="shared" si="42"/>
        <v>-7500</v>
      </c>
      <c r="K95" s="2392">
        <f t="shared" si="42"/>
        <v>-7500</v>
      </c>
      <c r="L95" s="77"/>
      <c r="M95" s="77"/>
      <c r="N95" s="3758"/>
      <c r="O95" s="3760"/>
      <c r="P95" s="77"/>
      <c r="Q95" s="77"/>
      <c r="R95" s="77"/>
      <c r="S95" s="77"/>
      <c r="T95" s="77"/>
      <c r="U95" s="77"/>
      <c r="V95" s="77"/>
      <c r="W95" s="77"/>
      <c r="X95" s="77"/>
      <c r="Y95" s="77"/>
      <c r="Z95" s="1794" t="s">
        <v>1424</v>
      </c>
      <c r="AA95" s="1795">
        <v>95</v>
      </c>
    </row>
    <row r="96" spans="1:27" ht="13.35" customHeight="1">
      <c r="A96" s="236" t="s">
        <v>1414</v>
      </c>
      <c r="B96" s="2385">
        <f t="shared" ref="B96:K96" si="43">SUM(B89:B95)</f>
        <v>198505.05947578643</v>
      </c>
      <c r="C96" s="2385">
        <f t="shared" si="43"/>
        <v>64950.205124838016</v>
      </c>
      <c r="D96" s="2385">
        <f t="shared" si="43"/>
        <v>61300.71149515899</v>
      </c>
      <c r="E96" s="2385">
        <f t="shared" si="43"/>
        <v>57314.251748254552</v>
      </c>
      <c r="F96" s="2385">
        <f t="shared" si="43"/>
        <v>52976.62067444055</v>
      </c>
      <c r="G96" s="2385">
        <f t="shared" si="43"/>
        <v>48271.091183219745</v>
      </c>
      <c r="H96" s="2385">
        <f t="shared" si="43"/>
        <v>43183.396732366236</v>
      </c>
      <c r="I96" s="2385">
        <f t="shared" si="43"/>
        <v>37695.713191592688</v>
      </c>
      <c r="J96" s="2385">
        <f t="shared" si="43"/>
        <v>31792.640123074816</v>
      </c>
      <c r="K96" s="2386">
        <f t="shared" si="43"/>
        <v>25456.181460548512</v>
      </c>
      <c r="L96" s="77"/>
      <c r="M96" s="77"/>
      <c r="N96" s="3758"/>
      <c r="O96" s="3760"/>
      <c r="P96" s="77"/>
      <c r="Q96" s="77"/>
      <c r="R96" s="77"/>
      <c r="S96" s="77"/>
      <c r="T96" s="77"/>
      <c r="U96" s="77"/>
      <c r="V96" s="77"/>
      <c r="W96" s="77"/>
      <c r="X96" s="77"/>
      <c r="Y96" s="77"/>
      <c r="Z96" s="1794" t="s">
        <v>1424</v>
      </c>
      <c r="AA96" s="1795">
        <v>96</v>
      </c>
    </row>
    <row r="97" spans="1:27" ht="13.35" customHeight="1">
      <c r="A97" s="236" t="str">
        <f>$A66</f>
        <v>DCR Mortgage A</v>
      </c>
      <c r="B97" s="2393">
        <f t="shared" ref="B97:K97" si="44">IF(B90=0,"",-B89/B90)</f>
        <v>80505.198786083187</v>
      </c>
      <c r="C97" s="2393">
        <f t="shared" si="44"/>
        <v>1.9800790009010298</v>
      </c>
      <c r="D97" s="2393">
        <f t="shared" si="44"/>
        <v>1.9520559555186714</v>
      </c>
      <c r="E97" s="2393">
        <f t="shared" si="44"/>
        <v>1.9214454780831285</v>
      </c>
      <c r="F97" s="2393">
        <f t="shared" si="44"/>
        <v>1.888138492301622</v>
      </c>
      <c r="G97" s="2393">
        <f t="shared" si="44"/>
        <v>1.8520065573372355</v>
      </c>
      <c r="H97" s="2393">
        <f t="shared" si="44"/>
        <v>1.8129401259484019</v>
      </c>
      <c r="I97" s="2393">
        <f t="shared" si="44"/>
        <v>1.7708023335553671</v>
      </c>
      <c r="J97" s="2393">
        <f t="shared" si="44"/>
        <v>1.725474926172277</v>
      </c>
      <c r="K97" s="2394">
        <f t="shared" si="44"/>
        <v>1.6768197189897318</v>
      </c>
      <c r="L97" s="77"/>
      <c r="M97" s="77"/>
      <c r="N97" s="3758"/>
      <c r="O97" s="3760"/>
      <c r="P97" s="77"/>
      <c r="Q97" s="77"/>
      <c r="R97" s="77"/>
      <c r="S97" s="77"/>
      <c r="T97" s="77"/>
      <c r="U97" s="77"/>
      <c r="V97" s="77"/>
      <c r="W97" s="77"/>
      <c r="X97" s="77"/>
      <c r="Y97" s="77"/>
      <c r="Z97" s="1794" t="s">
        <v>1424</v>
      </c>
      <c r="AA97" s="1795">
        <v>97</v>
      </c>
    </row>
    <row r="98" spans="1:27" ht="13.35" customHeight="1">
      <c r="A98" s="236" t="str">
        <f>$A67</f>
        <v>DCR Mortgage B</v>
      </c>
      <c r="B98" s="2393">
        <f t="shared" ref="B98:K98" si="45">IF(B91=0,"",-(B89+B90)/B91)</f>
        <v>4.7328333988757656</v>
      </c>
      <c r="C98" s="2393">
        <f t="shared" si="45"/>
        <v>2.3128053560120607</v>
      </c>
      <c r="D98" s="2393">
        <f t="shared" si="45"/>
        <v>2.2466761466396501</v>
      </c>
      <c r="E98" s="2393">
        <f t="shared" si="45"/>
        <v>2.1744410756934056</v>
      </c>
      <c r="F98" s="2393">
        <f t="shared" si="45"/>
        <v>2.0958427432760534</v>
      </c>
      <c r="G98" s="2393">
        <f t="shared" si="45"/>
        <v>2.0105780527440791</v>
      </c>
      <c r="H98" s="2393">
        <f t="shared" si="45"/>
        <v>1.9183884928480848</v>
      </c>
      <c r="I98" s="2393">
        <f t="shared" si="45"/>
        <v>1.8189510884678877</v>
      </c>
      <c r="J98" s="2393">
        <f t="shared" si="45"/>
        <v>1.7119867820462895</v>
      </c>
      <c r="K98" s="2394">
        <f t="shared" si="45"/>
        <v>1.5971694829650793</v>
      </c>
      <c r="L98" s="77"/>
      <c r="M98" s="77"/>
      <c r="N98" s="3758"/>
      <c r="O98" s="3760"/>
      <c r="P98" s="77"/>
      <c r="Q98" s="77"/>
      <c r="R98" s="77"/>
      <c r="S98" s="77"/>
      <c r="T98" s="77"/>
      <c r="U98" s="77"/>
      <c r="V98" s="77"/>
      <c r="W98" s="77"/>
      <c r="X98" s="77"/>
      <c r="Y98" s="77"/>
      <c r="Z98" s="1794" t="s">
        <v>1424</v>
      </c>
      <c r="AA98" s="1795">
        <v>98</v>
      </c>
    </row>
    <row r="99" spans="1:27" ht="13.35" customHeight="1">
      <c r="A99" s="236" t="str">
        <f>$A68</f>
        <v>DCR Mortgage C</v>
      </c>
      <c r="B99" s="2393" t="str">
        <f t="shared" ref="B99:K99" si="46">IF(B92=0,"",-(B89+B90+B91)/B92)</f>
        <v/>
      </c>
      <c r="C99" s="2393" t="str">
        <f t="shared" si="46"/>
        <v/>
      </c>
      <c r="D99" s="2393" t="str">
        <f t="shared" si="46"/>
        <v/>
      </c>
      <c r="E99" s="2393" t="str">
        <f t="shared" si="46"/>
        <v/>
      </c>
      <c r="F99" s="2393" t="str">
        <f t="shared" si="46"/>
        <v/>
      </c>
      <c r="G99" s="2393" t="str">
        <f t="shared" si="46"/>
        <v/>
      </c>
      <c r="H99" s="2393" t="str">
        <f t="shared" si="46"/>
        <v/>
      </c>
      <c r="I99" s="2393" t="str">
        <f t="shared" si="46"/>
        <v/>
      </c>
      <c r="J99" s="2393" t="str">
        <f t="shared" si="46"/>
        <v/>
      </c>
      <c r="K99" s="2394" t="str">
        <f t="shared" si="46"/>
        <v/>
      </c>
      <c r="L99" s="77"/>
      <c r="M99" s="77"/>
      <c r="N99" s="3758"/>
      <c r="O99" s="3760"/>
      <c r="P99" s="77"/>
      <c r="Q99" s="77"/>
      <c r="R99" s="77"/>
      <c r="S99" s="77"/>
      <c r="T99" s="77"/>
      <c r="U99" s="77"/>
      <c r="V99" s="77"/>
      <c r="W99" s="77"/>
      <c r="X99" s="77"/>
      <c r="Y99" s="77"/>
      <c r="Z99" s="1794" t="s">
        <v>1424</v>
      </c>
      <c r="AA99" s="1795">
        <v>99</v>
      </c>
    </row>
    <row r="100" spans="1:27" ht="13.35" customHeight="1">
      <c r="A100" s="236" t="str">
        <f>$A69</f>
        <v>DCR Other Source</v>
      </c>
      <c r="B100" s="2393" t="str">
        <f t="shared" ref="B100:K100" si="47">IF(B93=0,"",-(B89+B90+B91+B92)/B93)</f>
        <v/>
      </c>
      <c r="C100" s="2393" t="str">
        <f t="shared" si="47"/>
        <v/>
      </c>
      <c r="D100" s="2393" t="str">
        <f t="shared" si="47"/>
        <v/>
      </c>
      <c r="E100" s="2393" t="str">
        <f t="shared" si="47"/>
        <v/>
      </c>
      <c r="F100" s="2393" t="str">
        <f t="shared" si="47"/>
        <v/>
      </c>
      <c r="G100" s="2393" t="str">
        <f t="shared" si="47"/>
        <v/>
      </c>
      <c r="H100" s="2393" t="str">
        <f t="shared" si="47"/>
        <v/>
      </c>
      <c r="I100" s="2393" t="str">
        <f t="shared" si="47"/>
        <v/>
      </c>
      <c r="J100" s="2393" t="str">
        <f t="shared" si="47"/>
        <v/>
      </c>
      <c r="K100" s="2394" t="str">
        <f t="shared" si="47"/>
        <v/>
      </c>
      <c r="L100" s="77"/>
      <c r="M100" s="77"/>
      <c r="N100" s="3758"/>
      <c r="O100" s="3760"/>
      <c r="P100" s="77"/>
      <c r="Q100" s="77"/>
      <c r="R100" s="77"/>
      <c r="S100" s="77"/>
      <c r="T100" s="77"/>
      <c r="U100" s="77"/>
      <c r="V100" s="77"/>
      <c r="W100" s="77"/>
      <c r="X100" s="77"/>
      <c r="Y100" s="77"/>
      <c r="Z100" s="1794" t="s">
        <v>1424</v>
      </c>
      <c r="AA100" s="1795">
        <v>100</v>
      </c>
    </row>
    <row r="101" spans="1:27" ht="13.35" customHeight="1">
      <c r="A101" s="236" t="s">
        <v>1416</v>
      </c>
      <c r="B101" s="2393">
        <f t="shared" ref="B101:K101" si="48">IF(AND(B90=0,B91=0,B92=0,B93=0),"",-B89/(B90+B91+B92+B93))</f>
        <v>4.7326139588928067</v>
      </c>
      <c r="C101" s="2393">
        <f t="shared" si="48"/>
        <v>1.3907373664661555</v>
      </c>
      <c r="D101" s="2393">
        <f t="shared" si="48"/>
        <v>1.3710549718153926</v>
      </c>
      <c r="E101" s="2393">
        <f t="shared" si="48"/>
        <v>1.3495552565234235</v>
      </c>
      <c r="F101" s="2393">
        <f t="shared" si="48"/>
        <v>1.3261616092650972</v>
      </c>
      <c r="G101" s="2393">
        <f t="shared" si="48"/>
        <v>1.300783817745248</v>
      </c>
      <c r="H101" s="2393">
        <f t="shared" si="48"/>
        <v>1.2733449398609749</v>
      </c>
      <c r="I101" s="2393">
        <f t="shared" si="48"/>
        <v>1.2437488467784665</v>
      </c>
      <c r="J101" s="2393">
        <f t="shared" si="48"/>
        <v>1.2119124810859807</v>
      </c>
      <c r="K101" s="2394">
        <f t="shared" si="48"/>
        <v>1.1777387866671587</v>
      </c>
      <c r="L101" s="77"/>
      <c r="M101" s="77"/>
      <c r="N101" s="3758"/>
      <c r="O101" s="3760"/>
      <c r="P101" s="77"/>
      <c r="Q101" s="77"/>
      <c r="R101" s="77"/>
      <c r="S101" s="77"/>
      <c r="T101" s="77"/>
      <c r="U101" s="77"/>
      <c r="V101" s="77"/>
      <c r="W101" s="77"/>
      <c r="X101" s="77"/>
      <c r="Y101" s="77"/>
      <c r="Z101" s="1794" t="s">
        <v>1424</v>
      </c>
      <c r="AA101" s="1795">
        <v>101</v>
      </c>
    </row>
    <row r="102" spans="1:27" ht="13.35" customHeight="1">
      <c r="A102" s="236" t="s">
        <v>1417</v>
      </c>
      <c r="B102" s="1793">
        <f>IF(OR(B86="Choose mgt fee",B86="Choose One!"),"",(B79+B80+B81+B82+B83) / -(B85+B86+B87))</f>
        <v>1.2864304191204003</v>
      </c>
      <c r="C102" s="1793">
        <f t="shared" ref="C102:K102" si="49">IF(OR(C86="Choose mgt fee",C86="Choose One!"),"",(C79+C80+C81+C82+C83) / -(C85+C86+C87))</f>
        <v>1.2747128191111952</v>
      </c>
      <c r="D102" s="1793">
        <f t="shared" si="49"/>
        <v>1.263094668284116</v>
      </c>
      <c r="E102" s="1793">
        <f t="shared" si="49"/>
        <v>1.2515758516839539</v>
      </c>
      <c r="F102" s="1793">
        <f t="shared" si="49"/>
        <v>1.2401561799726271</v>
      </c>
      <c r="G102" s="1793">
        <f t="shared" si="49"/>
        <v>1.2288330639849216</v>
      </c>
      <c r="H102" s="1793">
        <f t="shared" si="49"/>
        <v>1.2176075682406091</v>
      </c>
      <c r="I102" s="1793">
        <f t="shared" si="49"/>
        <v>1.20647727240794</v>
      </c>
      <c r="J102" s="1793">
        <f t="shared" si="49"/>
        <v>1.1954431386419837</v>
      </c>
      <c r="K102" s="2395">
        <f t="shared" si="49"/>
        <v>1.1845038985704055</v>
      </c>
      <c r="L102" s="77"/>
      <c r="M102" s="77"/>
      <c r="N102" s="3758"/>
      <c r="O102" s="3760"/>
      <c r="P102" s="77"/>
      <c r="Q102" s="77"/>
      <c r="R102" s="77"/>
      <c r="S102" s="77"/>
      <c r="T102" s="77"/>
      <c r="U102" s="77"/>
      <c r="V102" s="77"/>
      <c r="W102" s="77"/>
      <c r="X102" s="77"/>
      <c r="Y102" s="77"/>
      <c r="Z102" s="1794" t="s">
        <v>1424</v>
      </c>
      <c r="AA102" s="1795">
        <v>102</v>
      </c>
    </row>
    <row r="103" spans="1:27" ht="13.35" customHeight="1">
      <c r="A103" s="236" t="s">
        <v>1418</v>
      </c>
      <c r="B103" s="2766">
        <f>IF('Part II-Sources of Funds'!$I$42="","",-FV('Part II-Sources of Funds'!$K$42/12,12,B90/12,K72))</f>
        <v>0.10938451966245122</v>
      </c>
      <c r="C103" s="2766">
        <f>IF('Part II-Sources of Funds'!$I$42="","",-FV('Part II-Sources of Funds'!$K$42/12,12,C90/12,B103))</f>
        <v>-133873.49778245739</v>
      </c>
      <c r="D103" s="2766">
        <f>IF('Part II-Sources of Funds'!$I$42="","",-FV('Part II-Sources of Funds'!$K$42/12,12,D90/12,C103))</f>
        <v>-276004.13610590086</v>
      </c>
      <c r="E103" s="2766">
        <f>IF('Part II-Sources of Funds'!$I$42="","",-FV('Part II-Sources of Funds'!$K$42/12,12,E90/12,D103))</f>
        <v>-426901.08120003866</v>
      </c>
      <c r="F103" s="2766">
        <f>IF('Part II-Sources of Funds'!$I$42="","",-FV('Part II-Sources of Funds'!$K$42/12,12,F90/12,E103))</f>
        <v>-587105.01968462009</v>
      </c>
      <c r="G103" s="2766">
        <f>IF('Part II-Sources of Funds'!$I$42="","",-FV('Part II-Sources of Funds'!$K$42/12,12,G90/12,F103))</f>
        <v>-757189.98654700513</v>
      </c>
      <c r="H103" s="2766">
        <f>IF('Part II-Sources of Funds'!$I$42="","",-FV('Part II-Sources of Funds'!$K$42/12,12,H90/12,G103))</f>
        <v>-937765.42199650768</v>
      </c>
      <c r="I103" s="2766">
        <f>IF('Part II-Sources of Funds'!$I$42="","",-FV('Part II-Sources of Funds'!$K$42/12,12,I90/12,H103))</f>
        <v>-1129478.3551810144</v>
      </c>
      <c r="J103" s="2766">
        <f>IF('Part II-Sources of Funds'!$I$42="","",-FV('Part II-Sources of Funds'!$K$42/12,12,J90/12,I103))</f>
        <v>-1333015.7225904663</v>
      </c>
      <c r="K103" s="2766">
        <f>IF('Part II-Sources of Funds'!$I$42="","",-FV('Part II-Sources of Funds'!$K$42/12,12,K90/12,J103))</f>
        <v>-1549106.8294543934</v>
      </c>
      <c r="L103" s="77"/>
      <c r="M103" s="77"/>
      <c r="N103" s="3758"/>
      <c r="O103" s="3760"/>
      <c r="P103" s="77"/>
      <c r="Q103" s="77"/>
      <c r="R103" s="77"/>
      <c r="S103" s="77"/>
      <c r="T103" s="77"/>
      <c r="U103" s="77"/>
      <c r="V103" s="77"/>
      <c r="W103" s="77"/>
      <c r="X103" s="77"/>
      <c r="Y103" s="77"/>
      <c r="Z103" s="1794" t="s">
        <v>1424</v>
      </c>
      <c r="AA103" s="1795">
        <v>103</v>
      </c>
    </row>
    <row r="104" spans="1:27" ht="13.35" customHeight="1">
      <c r="A104" s="236" t="s">
        <v>1419</v>
      </c>
      <c r="B104" s="2389">
        <f>IF('Part II-Sources of Funds'!$I$43="","",-FV('Part II-Sources of Funds'!$K$43/12,12,B91/12,K73))</f>
        <v>-55440.962639060839</v>
      </c>
      <c r="C104" s="2389">
        <f>IF('Part II-Sources of Funds'!$I$43="","",-FV('Part II-Sources of Funds'!$K$43/12,12,C91/12,B104))</f>
        <v>-111438.88302050097</v>
      </c>
      <c r="D104" s="2389">
        <f>IF('Part II-Sources of Funds'!$I$43="","",-FV('Part II-Sources of Funds'!$K$43/12,12,D91/12,C104))</f>
        <v>-167999.35631985651</v>
      </c>
      <c r="E104" s="2389">
        <f>IF('Part II-Sources of Funds'!$I$43="","",-FV('Part II-Sources of Funds'!$K$43/12,12,E91/12,D104))</f>
        <v>-225128.03392173781</v>
      </c>
      <c r="F104" s="2389">
        <f>IF('Part II-Sources of Funds'!$I$43="","",-FV('Part II-Sources of Funds'!$K$43/12,12,F91/12,E104))</f>
        <v>-282830.62398434395</v>
      </c>
      <c r="G104" s="2389">
        <f>IF('Part II-Sources of Funds'!$I$43="","",-FV('Part II-Sources of Funds'!$K$43/12,12,G91/12,F104))</f>
        <v>-341112.8920098081</v>
      </c>
      <c r="H104" s="2389">
        <f>IF('Part II-Sources of Funds'!$I$43="","",-FV('Part II-Sources of Funds'!$K$43/12,12,H91/12,G104))</f>
        <v>-399980.6614202722</v>
      </c>
      <c r="I104" s="2389">
        <f>IF('Part II-Sources of Funds'!$I$43="","",-FV('Part II-Sources of Funds'!$K$43/12,12,I91/12,H104))</f>
        <v>-459439.81413974939</v>
      </c>
      <c r="J104" s="2389">
        <f>IF('Part II-Sources of Funds'!$I$43="","",-FV('Part II-Sources of Funds'!$K$43/12,12,J91/12,I104))</f>
        <v>-519496.29118183127</v>
      </c>
      <c r="K104" s="2389">
        <f>IF('Part II-Sources of Funds'!$I$43="","",-FV('Part II-Sources of Funds'!$K$43/12,12,K91/12,J104))</f>
        <v>-580156.09324329987</v>
      </c>
      <c r="L104" s="77"/>
      <c r="M104" s="77"/>
      <c r="N104" s="3758"/>
      <c r="O104" s="3760"/>
      <c r="P104" s="77"/>
      <c r="Q104" s="77"/>
      <c r="R104" s="77"/>
      <c r="S104" s="77"/>
      <c r="T104" s="77"/>
      <c r="U104" s="77"/>
      <c r="V104" s="77"/>
      <c r="W104" s="77"/>
      <c r="X104" s="77"/>
      <c r="Y104" s="77"/>
      <c r="Z104" s="1794" t="s">
        <v>1424</v>
      </c>
      <c r="AA104" s="1795">
        <v>104</v>
      </c>
    </row>
    <row r="105" spans="1:27" ht="13.35" customHeight="1">
      <c r="A105" s="236" t="s">
        <v>1420</v>
      </c>
      <c r="B105" s="2389" t="str">
        <f>IF('Part II-Sources of Funds'!$I$44="","",-FV('Part II-Sources of Funds'!$K$44/12,12,B92/12,K74))</f>
        <v/>
      </c>
      <c r="C105" s="2389" t="str">
        <f>IF('Part II-Sources of Funds'!$I$44="","",-FV('Part II-Sources of Funds'!$K$44/12,12,C92/12,B105))</f>
        <v/>
      </c>
      <c r="D105" s="2389" t="str">
        <f>IF('Part II-Sources of Funds'!$I$44="","",-FV('Part II-Sources of Funds'!$K$44/12,12,D92/12,C105))</f>
        <v/>
      </c>
      <c r="E105" s="2389" t="str">
        <f>IF('Part II-Sources of Funds'!$I$44="","",-FV('Part II-Sources of Funds'!$K$44/12,12,E92/12,D105))</f>
        <v/>
      </c>
      <c r="F105" s="2389" t="str">
        <f>IF('Part II-Sources of Funds'!$I$44="","",-FV('Part II-Sources of Funds'!$K$44/12,12,F92/12,E105))</f>
        <v/>
      </c>
      <c r="G105" s="2389" t="str">
        <f>IF('Part II-Sources of Funds'!$I$44="","",-FV('Part II-Sources of Funds'!$K$44/12,12,G92/12,F105))</f>
        <v/>
      </c>
      <c r="H105" s="2389" t="str">
        <f>IF('Part II-Sources of Funds'!$I$44="","",-FV('Part II-Sources of Funds'!$K$44/12,12,H92/12,G105))</f>
        <v/>
      </c>
      <c r="I105" s="2389" t="str">
        <f>IF('Part II-Sources of Funds'!$I$44="","",-FV('Part II-Sources of Funds'!$K$44/12,12,I92/12,H105))</f>
        <v/>
      </c>
      <c r="J105" s="2389" t="str">
        <f>IF('Part II-Sources of Funds'!$I$44="","",-FV('Part II-Sources of Funds'!$K$44/12,12,J92/12,I105))</f>
        <v/>
      </c>
      <c r="K105" s="2389" t="str">
        <f>IF('Part II-Sources of Funds'!$I$44="","",-FV('Part II-Sources of Funds'!$K$44/12,12,K92/12,J105))</f>
        <v/>
      </c>
      <c r="L105" s="77"/>
      <c r="M105" s="77"/>
      <c r="N105" s="3758"/>
      <c r="O105" s="3760"/>
      <c r="P105" s="77"/>
      <c r="Q105" s="77"/>
      <c r="R105" s="77"/>
      <c r="S105" s="77"/>
      <c r="T105" s="77"/>
      <c r="U105" s="77"/>
      <c r="V105" s="77"/>
      <c r="W105" s="77"/>
      <c r="X105" s="77"/>
      <c r="Y105" s="77"/>
      <c r="Z105" s="1794" t="s">
        <v>1424</v>
      </c>
      <c r="AA105" s="1795">
        <v>105</v>
      </c>
    </row>
    <row r="106" spans="1:27" ht="13.35" customHeight="1">
      <c r="A106" s="236" t="s">
        <v>1421</v>
      </c>
      <c r="B106" s="2392" t="str">
        <f>IF('Part II-Sources of Funds'!$I$45="","",-FV('Part II-Sources of Funds'!$K$45/12,12,B93/12,K75))</f>
        <v/>
      </c>
      <c r="C106" s="2392" t="str">
        <f>IF('Part II-Sources of Funds'!$I$45="","",-FV('Part II-Sources of Funds'!$K$45/12,12,C93/12,B106))</f>
        <v/>
      </c>
      <c r="D106" s="2392" t="str">
        <f>IF('Part II-Sources of Funds'!$I$45="","",-FV('Part II-Sources of Funds'!$K$45/12,12,D93/12,C106))</f>
        <v/>
      </c>
      <c r="E106" s="2392" t="str">
        <f>IF('Part II-Sources of Funds'!$I$45="","",-FV('Part II-Sources of Funds'!$K$45/12,12,E93/12,D106))</f>
        <v/>
      </c>
      <c r="F106" s="2392" t="str">
        <f>IF('Part II-Sources of Funds'!$I$45="","",-FV('Part II-Sources of Funds'!$K$45/12,12,F93/12,E106))</f>
        <v/>
      </c>
      <c r="G106" s="2392" t="str">
        <f>IF('Part II-Sources of Funds'!$I$45="","",-FV('Part II-Sources of Funds'!$K$45/12,12,G93/12,F106))</f>
        <v/>
      </c>
      <c r="H106" s="2392" t="str">
        <f>IF('Part II-Sources of Funds'!$I$45="","",-FV('Part II-Sources of Funds'!$K$45/12,12,H93/12,G106))</f>
        <v/>
      </c>
      <c r="I106" s="2392" t="str">
        <f>IF('Part II-Sources of Funds'!$I$45="","",-FV('Part II-Sources of Funds'!$K$45/12,12,I93/12,H106))</f>
        <v/>
      </c>
      <c r="J106" s="2392" t="str">
        <f>IF('Part II-Sources of Funds'!$I$45="","",-FV('Part II-Sources of Funds'!$K$45/12,12,J93/12,I106))</f>
        <v/>
      </c>
      <c r="K106" s="2392" t="str">
        <f>IF('Part II-Sources of Funds'!$I$45="","",-FV('Part II-Sources of Funds'!$K$45/12,12,K93/12,J106))</f>
        <v/>
      </c>
      <c r="L106" s="77"/>
      <c r="M106" s="77"/>
      <c r="N106" s="3725"/>
      <c r="O106" s="3727"/>
      <c r="P106" s="77"/>
      <c r="Q106" s="77"/>
      <c r="R106" s="77"/>
      <c r="S106" s="77"/>
      <c r="T106" s="77"/>
      <c r="U106" s="77"/>
      <c r="V106" s="77"/>
      <c r="W106" s="77"/>
      <c r="X106" s="77"/>
      <c r="Y106" s="77"/>
      <c r="Z106" s="1794" t="s">
        <v>1424</v>
      </c>
      <c r="AA106" s="1795">
        <v>106</v>
      </c>
    </row>
    <row r="107" spans="1:27" ht="4.3499999999999996" customHeight="1">
      <c r="A107" s="77"/>
      <c r="B107" s="2396"/>
      <c r="C107" s="2396"/>
      <c r="D107" s="2396"/>
      <c r="E107" s="2396"/>
      <c r="F107" s="2396"/>
      <c r="G107" s="2396"/>
      <c r="H107" s="2396"/>
      <c r="I107" s="2396"/>
      <c r="J107" s="2396"/>
      <c r="K107" s="2396"/>
      <c r="L107" s="77"/>
      <c r="M107" s="77"/>
      <c r="N107" s="77"/>
      <c r="O107" s="77"/>
      <c r="P107" s="77"/>
      <c r="Q107" s="77"/>
      <c r="R107" s="77"/>
      <c r="S107" s="77"/>
      <c r="T107" s="77"/>
      <c r="U107" s="77"/>
      <c r="V107" s="77"/>
      <c r="W107" s="77"/>
      <c r="X107" s="77"/>
      <c r="Y107" s="77"/>
      <c r="AA107" s="1795">
        <v>107</v>
      </c>
    </row>
    <row r="108" spans="1:27" ht="14.7" customHeight="1">
      <c r="A108" s="6" t="s">
        <v>480</v>
      </c>
      <c r="B108" s="8">
        <f>K78+1</f>
        <v>31</v>
      </c>
      <c r="C108" s="8">
        <f>B108+1</f>
        <v>32</v>
      </c>
      <c r="D108" s="8">
        <f>C108+1</f>
        <v>33</v>
      </c>
      <c r="E108" s="8">
        <f>D108+1</f>
        <v>34</v>
      </c>
      <c r="F108" s="8">
        <f>E108+1</f>
        <v>35</v>
      </c>
      <c r="G108" s="2396"/>
      <c r="H108" s="2396"/>
      <c r="I108" s="2396"/>
      <c r="J108" s="2396"/>
      <c r="K108" s="2396"/>
      <c r="L108" s="77"/>
      <c r="M108" s="77"/>
      <c r="N108" s="3420" t="s">
        <v>1425</v>
      </c>
      <c r="O108" s="3420"/>
      <c r="P108" s="77"/>
      <c r="Q108" s="77"/>
      <c r="R108" s="77"/>
      <c r="S108" s="77"/>
      <c r="T108" s="77"/>
      <c r="U108" s="77"/>
      <c r="V108" s="77"/>
      <c r="W108" s="77"/>
      <c r="X108" s="77"/>
      <c r="Y108" s="77"/>
      <c r="AA108" s="1795">
        <v>108</v>
      </c>
    </row>
    <row r="109" spans="1:27" ht="13.35" customHeight="1">
      <c r="A109" s="2761" t="s">
        <v>1396</v>
      </c>
      <c r="B109" s="2762">
        <f>$B$15*(1+$B$6)^(B108-1)</f>
        <v>1507480.3193078386</v>
      </c>
      <c r="C109" s="2762">
        <f>$B$15*(1+$B$6)^(C108-1)</f>
        <v>1537629.9256939949</v>
      </c>
      <c r="D109" s="2762">
        <f>$B$15*(1+$B$6)^(D108-1)</f>
        <v>1568382.5242078751</v>
      </c>
      <c r="E109" s="2762">
        <f>$B$15*(1+$B$6)^(E108-1)</f>
        <v>1599750.1746920326</v>
      </c>
      <c r="F109" s="2763">
        <f>$B$15*(1+$B$6)^(F108-1)</f>
        <v>1631745.1781858732</v>
      </c>
      <c r="G109" s="2396"/>
      <c r="H109" s="2396"/>
      <c r="I109" s="2396"/>
      <c r="J109" s="2396"/>
      <c r="K109" s="2396"/>
      <c r="L109" s="77"/>
      <c r="M109" s="77"/>
      <c r="N109" s="3777"/>
      <c r="O109" s="3779"/>
      <c r="P109" s="77"/>
      <c r="Q109" s="77"/>
      <c r="R109" s="77"/>
      <c r="S109" s="77"/>
      <c r="T109" s="77"/>
      <c r="U109" s="77"/>
      <c r="V109" s="77"/>
      <c r="W109" s="77"/>
      <c r="X109" s="77"/>
      <c r="Y109" s="77"/>
      <c r="Z109" s="1794" t="s">
        <v>1426</v>
      </c>
      <c r="AA109" s="1795">
        <v>109</v>
      </c>
    </row>
    <row r="110" spans="1:27" ht="13.35" customHeight="1">
      <c r="A110" s="236" t="s">
        <v>1281</v>
      </c>
      <c r="B110" s="2385">
        <f>$B$16*(1+$B$6)^(B108-1)</f>
        <v>30149.606386156771</v>
      </c>
      <c r="C110" s="2385">
        <f>$B$16*(1+$B$6)^(C108-1)</f>
        <v>30752.598513879901</v>
      </c>
      <c r="D110" s="2385">
        <f>$B$16*(1+$B$6)^(D108-1)</f>
        <v>31367.650484157504</v>
      </c>
      <c r="E110" s="2385">
        <f>$B$16*(1+$B$6)^(E108-1)</f>
        <v>31995.003493840657</v>
      </c>
      <c r="F110" s="2386">
        <f>$B$16*(1+$B$6)^(F108-1)</f>
        <v>32634.903563717467</v>
      </c>
      <c r="G110" s="2396"/>
      <c r="H110" s="2396"/>
      <c r="I110" s="2396"/>
      <c r="J110" s="2396"/>
      <c r="K110" s="2396"/>
      <c r="L110" s="77"/>
      <c r="M110" s="77"/>
      <c r="N110" s="3758"/>
      <c r="O110" s="3760"/>
      <c r="P110" s="77"/>
      <c r="Q110" s="77"/>
      <c r="R110" s="77"/>
      <c r="S110" s="77"/>
      <c r="T110" s="77"/>
      <c r="U110" s="77"/>
      <c r="V110" s="77"/>
      <c r="W110" s="77"/>
      <c r="X110" s="77"/>
      <c r="Y110" s="77"/>
      <c r="Z110" s="1794" t="s">
        <v>1426</v>
      </c>
      <c r="AA110" s="1795">
        <v>110</v>
      </c>
    </row>
    <row r="111" spans="1:27" ht="13.35" customHeight="1">
      <c r="A111" s="236" t="s">
        <v>1399</v>
      </c>
      <c r="B111" s="2385">
        <f>-(B109+B110)*$B$9</f>
        <v>-107634.09479857968</v>
      </c>
      <c r="C111" s="2385">
        <f>-(C109+C110)*$B$9</f>
        <v>-109786.77669455124</v>
      </c>
      <c r="D111" s="2385">
        <f>-(D109+D110)*$B$9</f>
        <v>-111982.5122284423</v>
      </c>
      <c r="E111" s="2385">
        <f>-(E109+E110)*$B$9</f>
        <v>-114222.16247301114</v>
      </c>
      <c r="F111" s="2386">
        <f>-(F109+F110)*$B$9</f>
        <v>-116506.60572247136</v>
      </c>
      <c r="G111" s="2396"/>
      <c r="H111" s="2396"/>
      <c r="I111" s="2396"/>
      <c r="J111" s="2396"/>
      <c r="K111" s="2396"/>
      <c r="L111" s="77"/>
      <c r="M111" s="77"/>
      <c r="N111" s="3758"/>
      <c r="O111" s="3760"/>
      <c r="P111" s="77"/>
      <c r="Q111" s="77"/>
      <c r="R111" s="77"/>
      <c r="S111" s="77"/>
      <c r="T111" s="77"/>
      <c r="U111" s="77"/>
      <c r="V111" s="77"/>
      <c r="W111" s="77"/>
      <c r="X111" s="77"/>
      <c r="Y111" s="77"/>
      <c r="Z111" s="1794" t="s">
        <v>1426</v>
      </c>
      <c r="AA111" s="1795">
        <v>111</v>
      </c>
    </row>
    <row r="112" spans="1:27" ht="13.35" customHeight="1">
      <c r="A112" s="236" t="s">
        <v>1402</v>
      </c>
      <c r="B112" s="2385">
        <f>'Part V-Revenues &amp; Expenses'!H234</f>
        <v>0</v>
      </c>
      <c r="C112" s="2385">
        <f>'Part V-Revenues &amp; Expenses'!I234</f>
        <v>0</v>
      </c>
      <c r="D112" s="2385">
        <f>'Part V-Revenues &amp; Expenses'!J234</f>
        <v>0</v>
      </c>
      <c r="E112" s="2385">
        <f>'Part V-Revenues &amp; Expenses'!K234</f>
        <v>0</v>
      </c>
      <c r="F112" s="2386">
        <f>'Part V-Revenues &amp; Expenses'!L234</f>
        <v>0</v>
      </c>
      <c r="G112" s="2396"/>
      <c r="H112" s="2396"/>
      <c r="I112" s="2396"/>
      <c r="J112" s="2396"/>
      <c r="K112" s="2396"/>
      <c r="L112" s="77"/>
      <c r="M112" s="77"/>
      <c r="N112" s="3758"/>
      <c r="O112" s="3760"/>
      <c r="P112" s="77"/>
      <c r="Q112" s="77"/>
      <c r="R112" s="77"/>
      <c r="S112" s="77"/>
      <c r="T112" s="77"/>
      <c r="U112" s="77"/>
      <c r="V112" s="77"/>
      <c r="W112" s="77"/>
      <c r="X112" s="77"/>
      <c r="Y112" s="77"/>
      <c r="Z112" s="1794" t="s">
        <v>1426</v>
      </c>
      <c r="AA112" s="1795">
        <v>112</v>
      </c>
    </row>
    <row r="113" spans="1:27" ht="13.35" customHeight="1">
      <c r="A113" s="236" t="s">
        <v>1403</v>
      </c>
      <c r="B113" s="2385">
        <f>'Part V-Revenues &amp; Expenses'!H238</f>
        <v>0</v>
      </c>
      <c r="C113" s="2385">
        <f>'Part V-Revenues &amp; Expenses'!I238</f>
        <v>0</v>
      </c>
      <c r="D113" s="2385">
        <f>'Part V-Revenues &amp; Expenses'!J238</f>
        <v>0</v>
      </c>
      <c r="E113" s="2385">
        <f>'Part V-Revenues &amp; Expenses'!K238</f>
        <v>0</v>
      </c>
      <c r="F113" s="2386">
        <f>'Part V-Revenues &amp; Expenses'!L238</f>
        <v>0</v>
      </c>
      <c r="G113" s="2396"/>
      <c r="H113" s="2396"/>
      <c r="I113" s="2396"/>
      <c r="J113" s="2396"/>
      <c r="K113" s="2396"/>
      <c r="L113" s="77"/>
      <c r="M113" s="77"/>
      <c r="N113" s="3758"/>
      <c r="O113" s="3760"/>
      <c r="P113" s="77"/>
      <c r="Q113" s="77"/>
      <c r="R113" s="77"/>
      <c r="S113" s="77"/>
      <c r="T113" s="77"/>
      <c r="U113" s="77"/>
      <c r="V113" s="77"/>
      <c r="W113" s="77"/>
      <c r="X113" s="77"/>
      <c r="Y113" s="77"/>
      <c r="Z113" s="1794" t="s">
        <v>1426</v>
      </c>
      <c r="AA113" s="1795">
        <v>113</v>
      </c>
    </row>
    <row r="114" spans="1:27" ht="13.35" customHeight="1">
      <c r="A114" s="236" t="s">
        <v>1404</v>
      </c>
      <c r="B114" s="2385">
        <f>SUM(B109:B113)</f>
        <v>1429995.8308954157</v>
      </c>
      <c r="C114" s="2385">
        <f>SUM(C109:C113)</f>
        <v>1458595.7475133233</v>
      </c>
      <c r="D114" s="2385">
        <f>SUM(D109:D113)</f>
        <v>1487767.6624635903</v>
      </c>
      <c r="E114" s="2385">
        <f>SUM(E109:E113)</f>
        <v>1517523.0157128621</v>
      </c>
      <c r="F114" s="2386">
        <f>SUM(F109:F113)</f>
        <v>1547873.4760271192</v>
      </c>
      <c r="G114" s="2396"/>
      <c r="H114" s="2396"/>
      <c r="I114" s="2396"/>
      <c r="J114" s="2396"/>
      <c r="K114" s="2396"/>
      <c r="L114" s="77"/>
      <c r="M114" s="77"/>
      <c r="N114" s="3758"/>
      <c r="O114" s="3760"/>
      <c r="P114" s="77"/>
      <c r="Q114" s="77"/>
      <c r="R114" s="77"/>
      <c r="S114" s="77"/>
      <c r="T114" s="77"/>
      <c r="U114" s="77"/>
      <c r="V114" s="77"/>
      <c r="W114" s="77"/>
      <c r="X114" s="77"/>
      <c r="Y114" s="77"/>
      <c r="Z114" s="1794" t="s">
        <v>1426</v>
      </c>
      <c r="AA114" s="1795">
        <v>114</v>
      </c>
    </row>
    <row r="115" spans="1:27" ht="13.35" customHeight="1">
      <c r="A115" s="236" t="s">
        <v>1405</v>
      </c>
      <c r="B115" s="2385">
        <f>$B$21*(1+$B$7)^(B108-1)</f>
        <v>-1055847.0386551458</v>
      </c>
      <c r="C115" s="2385">
        <f>$B$21*(1+$B$7)^(C108-1)</f>
        <v>-1087522.4498148004</v>
      </c>
      <c r="D115" s="2385">
        <f>$B$21*(1+$B$7)^(D108-1)</f>
        <v>-1120148.1233092442</v>
      </c>
      <c r="E115" s="2385">
        <f>$B$21*(1+$B$7)^(E108-1)</f>
        <v>-1153752.5670085214</v>
      </c>
      <c r="F115" s="2386">
        <f>$B$21*(1+$B$7)^(F108-1)</f>
        <v>-1188365.1440187769</v>
      </c>
      <c r="G115" s="2396"/>
      <c r="H115" s="2396"/>
      <c r="I115" s="2396"/>
      <c r="J115" s="2396"/>
      <c r="K115" s="2396"/>
      <c r="L115" s="77"/>
      <c r="M115" s="77"/>
      <c r="N115" s="3758"/>
      <c r="O115" s="3760"/>
      <c r="P115" s="77"/>
      <c r="Q115" s="77"/>
      <c r="R115" s="77"/>
      <c r="S115" s="77"/>
      <c r="T115" s="77"/>
      <c r="U115" s="77"/>
      <c r="V115" s="77"/>
      <c r="W115" s="77"/>
      <c r="X115" s="77"/>
      <c r="Y115" s="77"/>
      <c r="Z115" s="1794" t="s">
        <v>1426</v>
      </c>
      <c r="AA115" s="1795">
        <v>115</v>
      </c>
    </row>
    <row r="116" spans="1:27" ht="13.35" customHeight="1">
      <c r="A116" s="236" t="s">
        <v>1406</v>
      </c>
      <c r="B116" s="2385">
        <f>IF(AND('Part VI-Pro Forma'!$G$9="Yes",'Part VI-Pro Forma'!$G$10="Yes"),"Choose One!",IF('Part VI-Pro Forma'!$G$9="Yes",ROUND((-$K$9*(1+'Part VI-Pro Forma'!$B$7)^('Part VI-Pro Forma'!B108-1)),),IF('Part VI-Pro Forma'!$G$10="Yes",ROUND((-(SUM(B109:B112)*'Part VI-Pro Forma'!$K$10)),),"Choose mgt fee")))</f>
        <v>-69355</v>
      </c>
      <c r="C116" s="2385">
        <f>IF(AND('Part VI-Pro Forma'!$G$9="Yes",'Part VI-Pro Forma'!$G$10="Yes"),"Choose One!",IF('Part VI-Pro Forma'!$G$9="Yes",ROUND((-$K$9*(1+'Part VI-Pro Forma'!$B$7)^('Part VI-Pro Forma'!C108-1)),),IF('Part VI-Pro Forma'!$G$10="Yes",ROUND((-(SUM(C109:C112)*'Part VI-Pro Forma'!$K$10)),),"Choose mgt fee")))</f>
        <v>-70742</v>
      </c>
      <c r="D116" s="2385">
        <f>IF(AND('Part VI-Pro Forma'!$G$9="Yes",'Part VI-Pro Forma'!$G$10="Yes"),"Choose One!",IF('Part VI-Pro Forma'!$G$9="Yes",ROUND((-$K$9*(1+'Part VI-Pro Forma'!$B$7)^('Part VI-Pro Forma'!D108-1)),),IF('Part VI-Pro Forma'!$G$10="Yes",ROUND((-(SUM(D109:D112)*'Part VI-Pro Forma'!$K$10)),),"Choose mgt fee")))</f>
        <v>-72157</v>
      </c>
      <c r="E116" s="2385">
        <f>IF(AND('Part VI-Pro Forma'!$G$9="Yes",'Part VI-Pro Forma'!$G$10="Yes"),"Choose One!",IF('Part VI-Pro Forma'!$G$9="Yes",ROUND((-$K$9*(1+'Part VI-Pro Forma'!$B$7)^('Part VI-Pro Forma'!E108-1)),),IF('Part VI-Pro Forma'!$G$10="Yes",ROUND((-(SUM(E109:E112)*'Part VI-Pro Forma'!$K$10)),),"Choose mgt fee")))</f>
        <v>-73600</v>
      </c>
      <c r="F116" s="2386">
        <f>IF(AND('Part VI-Pro Forma'!$G$9="Yes",'Part VI-Pro Forma'!$G$10="Yes"),"Choose One!",IF('Part VI-Pro Forma'!$G$9="Yes",ROUND((-$K$9*(1+'Part VI-Pro Forma'!$B$7)^('Part VI-Pro Forma'!F108-1)),),IF('Part VI-Pro Forma'!$G$10="Yes",ROUND((-(SUM(F109:F112)*'Part VI-Pro Forma'!$K$10)),),"Choose mgt fee")))</f>
        <v>-75072</v>
      </c>
      <c r="G116" s="2396"/>
      <c r="H116" s="2396"/>
      <c r="I116" s="2396"/>
      <c r="J116" s="2396"/>
      <c r="K116" s="2396"/>
      <c r="L116" s="77"/>
      <c r="M116" s="77"/>
      <c r="N116" s="3758"/>
      <c r="O116" s="3760"/>
      <c r="P116" s="77"/>
      <c r="Q116" s="77"/>
      <c r="R116" s="77"/>
      <c r="S116" s="77"/>
      <c r="T116" s="77"/>
      <c r="U116" s="77"/>
      <c r="V116" s="77"/>
      <c r="W116" s="77"/>
      <c r="X116" s="77"/>
      <c r="Y116" s="77"/>
      <c r="Z116" s="1794" t="s">
        <v>1426</v>
      </c>
      <c r="AA116" s="1795">
        <v>116</v>
      </c>
    </row>
    <row r="117" spans="1:27" ht="13.35" customHeight="1">
      <c r="A117" s="236" t="s">
        <v>1407</v>
      </c>
      <c r="B117" s="2385">
        <f>$B$23*(1+$B$8)^(B108-1)</f>
        <v>-93206.878893682908</v>
      </c>
      <c r="C117" s="2385">
        <f>$B$23*(1+$B$8)^(C108-1)</f>
        <v>-96003.085260493419</v>
      </c>
      <c r="D117" s="2385">
        <f>$B$23*(1+$B$8)^(D108-1)</f>
        <v>-98883.177818308191</v>
      </c>
      <c r="E117" s="2385">
        <f>$B$23*(1+$B$8)^(E108-1)</f>
        <v>-101849.67315285745</v>
      </c>
      <c r="F117" s="2386">
        <f>$B$23*(1+$B$8)^(F108-1)</f>
        <v>-104905.16334744316</v>
      </c>
      <c r="G117" s="2396"/>
      <c r="H117" s="2396"/>
      <c r="I117" s="2396"/>
      <c r="J117" s="2396"/>
      <c r="K117" s="2396"/>
      <c r="L117" s="77"/>
      <c r="M117" s="77"/>
      <c r="N117" s="3758"/>
      <c r="O117" s="3760"/>
      <c r="P117" s="77"/>
      <c r="Q117" s="58">
        <v>10</v>
      </c>
      <c r="R117" s="2387">
        <f>-SUM(B123:K123)</f>
        <v>0</v>
      </c>
      <c r="S117" s="2387">
        <f>SUM(B124:K124)+R117</f>
        <v>0</v>
      </c>
      <c r="T117" s="77"/>
      <c r="U117" s="77"/>
      <c r="V117" s="77"/>
      <c r="W117" s="77"/>
      <c r="X117" s="77"/>
      <c r="Y117" s="77"/>
      <c r="Z117" s="1794" t="s">
        <v>1426</v>
      </c>
      <c r="AA117" s="1795">
        <v>117</v>
      </c>
    </row>
    <row r="118" spans="1:27" ht="13.35" customHeight="1">
      <c r="A118" s="236" t="s">
        <v>1408</v>
      </c>
      <c r="B118" s="2764">
        <f>IF(B108&lt;=+'Part V-Revenues &amp; Expenses'!$L$275,-'Part V-Revenues &amp; Expenses'!$F$275,0)</f>
        <v>0</v>
      </c>
      <c r="C118" s="2764">
        <f>IF(C108&lt;=+'Part V-Revenues &amp; Expenses'!$L$275,-'Part V-Revenues &amp; Expenses'!$F$275,0)</f>
        <v>0</v>
      </c>
      <c r="D118" s="2764">
        <f>IF(D108&lt;=+'Part V-Revenues &amp; Expenses'!$L$275,-'Part V-Revenues &amp; Expenses'!$F$275,0)</f>
        <v>0</v>
      </c>
      <c r="E118" s="2764">
        <f>IF(E108&lt;=+'Part V-Revenues &amp; Expenses'!$L$275,-'Part V-Revenues &amp; Expenses'!$F$275,0)</f>
        <v>0</v>
      </c>
      <c r="F118" s="2764">
        <f>IF(F108&lt;=+'Part V-Revenues &amp; Expenses'!$L$275,-'Part V-Revenues &amp; Expenses'!$F$275,0)</f>
        <v>0</v>
      </c>
      <c r="G118" s="2396"/>
      <c r="H118" s="2396"/>
      <c r="I118" s="2396"/>
      <c r="J118" s="2396"/>
      <c r="K118" s="2396"/>
      <c r="L118" s="77"/>
      <c r="M118" s="77"/>
      <c r="N118" s="3758"/>
      <c r="O118" s="3760"/>
      <c r="P118" s="77"/>
      <c r="Q118" s="77"/>
      <c r="R118" s="77"/>
      <c r="S118" s="77"/>
      <c r="T118" s="77"/>
      <c r="U118" s="77"/>
      <c r="V118" s="77"/>
      <c r="W118" s="77"/>
      <c r="X118" s="77"/>
      <c r="Y118" s="77"/>
      <c r="Z118" s="1794" t="s">
        <v>1426</v>
      </c>
      <c r="AA118" s="1795">
        <v>118</v>
      </c>
    </row>
    <row r="119" spans="1:27" ht="13.35" customHeight="1">
      <c r="A119" s="236" t="s">
        <v>1409</v>
      </c>
      <c r="B119" s="2385">
        <f>SUM(B114:B118)</f>
        <v>211586.91334658704</v>
      </c>
      <c r="C119" s="2385">
        <f>SUM(C114:C118)</f>
        <v>204328.2124380295</v>
      </c>
      <c r="D119" s="2385">
        <f>SUM(D114:D118)</f>
        <v>196579.36133603792</v>
      </c>
      <c r="E119" s="2385">
        <f>SUM(E114:E118)</f>
        <v>188320.77555148327</v>
      </c>
      <c r="F119" s="2388">
        <f>SUM(F114:F118)</f>
        <v>179531.1686608991</v>
      </c>
      <c r="G119" s="2396"/>
      <c r="H119" s="2396"/>
      <c r="I119" s="2396"/>
      <c r="J119" s="2396"/>
      <c r="K119" s="2396"/>
      <c r="L119" s="77"/>
      <c r="M119" s="77"/>
      <c r="N119" s="3758"/>
      <c r="O119" s="3760"/>
      <c r="P119" s="77"/>
      <c r="Q119" s="77"/>
      <c r="R119" s="77"/>
      <c r="S119" s="77"/>
      <c r="T119" s="77"/>
      <c r="U119" s="77"/>
      <c r="V119" s="77"/>
      <c r="W119" s="77"/>
      <c r="X119" s="77"/>
      <c r="Y119" s="77"/>
      <c r="Z119" s="1794" t="s">
        <v>1426</v>
      </c>
      <c r="AA119" s="1795">
        <v>119</v>
      </c>
    </row>
    <row r="120" spans="1:27" ht="13.35" customHeight="1">
      <c r="A120" s="236" t="str">
        <f>$A90</f>
        <v>Mortgage A</v>
      </c>
      <c r="B120" s="2765">
        <f>-MIN(K103,B119*0.9)</f>
        <v>1549106.8294543934</v>
      </c>
      <c r="C120" s="2765">
        <f>IF('Part II-Sources of Funds'!$P$42="", 0,-'Part II-Sources of Funds'!$P$42)</f>
        <v>-130231.87094349621</v>
      </c>
      <c r="D120" s="2765">
        <f>IF('Part II-Sources of Funds'!$P$42="", 0,-'Part II-Sources of Funds'!$P$42)</f>
        <v>-130231.87094349621</v>
      </c>
      <c r="E120" s="2765">
        <f>IF('Part II-Sources of Funds'!$P$42="", 0,-'Part II-Sources of Funds'!$P$42)</f>
        <v>-130231.87094349621</v>
      </c>
      <c r="F120" s="2765">
        <f>IF('Part II-Sources of Funds'!$P$42="", 0,-'Part II-Sources of Funds'!$P$42)</f>
        <v>-130231.87094349621</v>
      </c>
      <c r="G120" s="2396"/>
      <c r="H120" s="2396"/>
      <c r="I120" s="2396"/>
      <c r="J120" s="2396"/>
      <c r="K120" s="2396"/>
      <c r="L120" s="77"/>
      <c r="M120" s="77"/>
      <c r="N120" s="3758"/>
      <c r="O120" s="3760"/>
      <c r="P120" s="77"/>
      <c r="Q120" s="77"/>
      <c r="R120" s="77"/>
      <c r="S120" s="77"/>
      <c r="T120" s="77"/>
      <c r="U120" s="77"/>
      <c r="V120" s="77"/>
      <c r="W120" s="77"/>
      <c r="X120" s="77"/>
      <c r="Y120" s="77"/>
      <c r="Z120" s="1794" t="s">
        <v>1426</v>
      </c>
      <c r="AA120" s="1795">
        <v>120</v>
      </c>
    </row>
    <row r="121" spans="1:27" ht="13.35" customHeight="1">
      <c r="A121" s="236" t="str">
        <f>$A91</f>
        <v>Mortgage B</v>
      </c>
      <c r="B121" s="2389">
        <f>IF('Part II-Sources of Funds'!$P$43="", 0,-'Part II-Sources of Funds'!$P$43)</f>
        <v>-55187.316834935598</v>
      </c>
      <c r="C121" s="2389">
        <f>IF('Part II-Sources of Funds'!$P$43="", 0,-'Part II-Sources of Funds'!$P$43)</f>
        <v>-55187.316834935598</v>
      </c>
      <c r="D121" s="2389">
        <f>IF('Part II-Sources of Funds'!$P$43="", 0,-'Part II-Sources of Funds'!$P$43)</f>
        <v>-55187.316834935598</v>
      </c>
      <c r="E121" s="2389">
        <f>IF('Part II-Sources of Funds'!$P$43="", 0,-'Part II-Sources of Funds'!$P$43)</f>
        <v>-55187.316834935598</v>
      </c>
      <c r="F121" s="2389">
        <f>IF('Part II-Sources of Funds'!$P$43="", 0,-'Part II-Sources of Funds'!$P$43)</f>
        <v>-55187.316834935598</v>
      </c>
      <c r="G121" s="2396"/>
      <c r="H121" s="2396"/>
      <c r="I121" s="2396"/>
      <c r="J121" s="2396"/>
      <c r="K121" s="2396"/>
      <c r="L121" s="77"/>
      <c r="M121" s="77"/>
      <c r="N121" s="3758"/>
      <c r="O121" s="3760"/>
      <c r="P121" s="77"/>
      <c r="Q121" s="77"/>
      <c r="R121" s="77"/>
      <c r="S121" s="77"/>
      <c r="T121" s="77"/>
      <c r="U121" s="77"/>
      <c r="V121" s="77"/>
      <c r="W121" s="77"/>
      <c r="X121" s="77"/>
      <c r="Y121" s="77"/>
      <c r="Z121" s="1794" t="s">
        <v>1426</v>
      </c>
      <c r="AA121" s="1795">
        <v>121</v>
      </c>
    </row>
    <row r="122" spans="1:27" ht="13.35" customHeight="1">
      <c r="A122" s="236" t="str">
        <f>$A92</f>
        <v>Mortgage C</v>
      </c>
      <c r="B122" s="2389">
        <f>IF('Part II-Sources of Funds'!$P$44="", 0,-'Part II-Sources of Funds'!$P$44)</f>
        <v>0</v>
      </c>
      <c r="C122" s="2389">
        <f>IF('Part II-Sources of Funds'!$P$44="", 0,-'Part II-Sources of Funds'!$P$44)</f>
        <v>0</v>
      </c>
      <c r="D122" s="2389">
        <f>IF('Part II-Sources of Funds'!$P$44="", 0,-'Part II-Sources of Funds'!$P$44)</f>
        <v>0</v>
      </c>
      <c r="E122" s="2389">
        <f>IF('Part II-Sources of Funds'!$P$44="", 0,-'Part II-Sources of Funds'!$P$44)</f>
        <v>0</v>
      </c>
      <c r="F122" s="2389">
        <f>IF('Part II-Sources of Funds'!$P$44="", 0,-'Part II-Sources of Funds'!$P$44)</f>
        <v>0</v>
      </c>
      <c r="G122" s="2396"/>
      <c r="H122" s="2396"/>
      <c r="I122" s="2396"/>
      <c r="J122" s="2396"/>
      <c r="K122" s="2396"/>
      <c r="L122" s="77"/>
      <c r="M122" s="77"/>
      <c r="N122" s="3758"/>
      <c r="O122" s="3760"/>
      <c r="P122" s="77"/>
      <c r="Q122" s="77"/>
      <c r="R122" s="77"/>
      <c r="S122" s="77"/>
      <c r="T122" s="77"/>
      <c r="U122" s="77"/>
      <c r="V122" s="77"/>
      <c r="W122" s="77"/>
      <c r="X122" s="77"/>
      <c r="Y122" s="77"/>
      <c r="Z122" s="1794" t="s">
        <v>1426</v>
      </c>
      <c r="AA122" s="1795">
        <v>122</v>
      </c>
    </row>
    <row r="123" spans="1:27" ht="13.35" customHeight="1">
      <c r="A123" s="236" t="str">
        <f>$A93</f>
        <v>D/S Other Source,not DDF</v>
      </c>
      <c r="B123" s="2389">
        <f>IF('Part II-Sources of Funds'!$P$45="", 0,-'Part II-Sources of Funds'!$P$45)</f>
        <v>0</v>
      </c>
      <c r="C123" s="2389">
        <f>IF('Part II-Sources of Funds'!$P$45="", 0,-'Part II-Sources of Funds'!$P$45)</f>
        <v>0</v>
      </c>
      <c r="D123" s="2389">
        <f>IF('Part II-Sources of Funds'!$P$45="", 0,-'Part II-Sources of Funds'!$P$45)</f>
        <v>0</v>
      </c>
      <c r="E123" s="2389">
        <f>IF('Part II-Sources of Funds'!$P$45="", 0,-'Part II-Sources of Funds'!$P$45)</f>
        <v>0</v>
      </c>
      <c r="F123" s="2389">
        <f>IF('Part II-Sources of Funds'!$P$45="", 0,-'Part II-Sources of Funds'!$P$45)</f>
        <v>0</v>
      </c>
      <c r="G123" s="2396"/>
      <c r="H123" s="2396"/>
      <c r="I123" s="2396"/>
      <c r="J123" s="2396"/>
      <c r="K123" s="2396"/>
      <c r="L123" s="77"/>
      <c r="M123" s="77"/>
      <c r="N123" s="3758"/>
      <c r="O123" s="3760"/>
      <c r="P123" s="77"/>
      <c r="Q123" s="77"/>
      <c r="R123" s="77"/>
      <c r="S123" s="77"/>
      <c r="T123" s="77"/>
      <c r="U123" s="77"/>
      <c r="V123" s="77"/>
      <c r="W123" s="77"/>
      <c r="X123" s="77"/>
      <c r="Y123" s="77"/>
      <c r="Z123" s="1794" t="s">
        <v>1426</v>
      </c>
      <c r="AA123" s="1795">
        <v>123</v>
      </c>
    </row>
    <row r="124" spans="1:27" ht="13.35" customHeight="1">
      <c r="A124" s="236" t="s">
        <v>1411</v>
      </c>
      <c r="B124" s="2390"/>
      <c r="C124" s="2390"/>
      <c r="D124" s="2390"/>
      <c r="E124" s="2390"/>
      <c r="F124" s="2390"/>
      <c r="G124" s="2396"/>
      <c r="H124" s="2396"/>
      <c r="I124" s="2396"/>
      <c r="J124" s="2396"/>
      <c r="K124" s="2396"/>
      <c r="L124" s="77"/>
      <c r="M124" s="77"/>
      <c r="N124" s="3758"/>
      <c r="O124" s="3760"/>
      <c r="P124" s="77"/>
      <c r="Q124" s="77"/>
      <c r="R124" s="77"/>
      <c r="S124" s="77"/>
      <c r="T124" s="77"/>
      <c r="U124" s="77"/>
      <c r="V124" s="77"/>
      <c r="W124" s="77"/>
      <c r="X124" s="77"/>
      <c r="Y124" s="77"/>
      <c r="Z124" s="1794" t="s">
        <v>1426</v>
      </c>
      <c r="AA124" s="1795">
        <v>124</v>
      </c>
    </row>
    <row r="125" spans="1:27" ht="13.35" customHeight="1">
      <c r="A125" s="236" t="s">
        <v>1412</v>
      </c>
      <c r="B125" s="2392">
        <f>+K95</f>
        <v>-7500</v>
      </c>
      <c r="C125" s="2392">
        <f>+B125</f>
        <v>-7500</v>
      </c>
      <c r="D125" s="2392">
        <f>+C125</f>
        <v>-7500</v>
      </c>
      <c r="E125" s="2392">
        <f>+D125</f>
        <v>-7500</v>
      </c>
      <c r="F125" s="2392">
        <f>+E125</f>
        <v>-7500</v>
      </c>
      <c r="G125" s="2396"/>
      <c r="H125" s="2396"/>
      <c r="I125" s="2396"/>
      <c r="J125" s="2396"/>
      <c r="K125" s="2396"/>
      <c r="L125" s="77"/>
      <c r="M125" s="77"/>
      <c r="N125" s="3758"/>
      <c r="O125" s="3760"/>
      <c r="P125" s="77"/>
      <c r="Q125" s="77"/>
      <c r="R125" s="77"/>
      <c r="S125" s="77"/>
      <c r="T125" s="77"/>
      <c r="U125" s="77"/>
      <c r="V125" s="77"/>
      <c r="W125" s="77"/>
      <c r="X125" s="77"/>
      <c r="Y125" s="77"/>
      <c r="Z125" s="1794" t="s">
        <v>1426</v>
      </c>
      <c r="AA125" s="1795">
        <v>125</v>
      </c>
    </row>
    <row r="126" spans="1:27" ht="13.35" customHeight="1">
      <c r="A126" s="236" t="s">
        <v>1414</v>
      </c>
      <c r="B126" s="2385">
        <f>SUM(B119:B125)</f>
        <v>1698006.4259660447</v>
      </c>
      <c r="C126" s="2385">
        <f>SUM(C119:C125)</f>
        <v>11409.024659597693</v>
      </c>
      <c r="D126" s="2385">
        <f>SUM(D119:D125)</f>
        <v>3660.1735576061183</v>
      </c>
      <c r="E126" s="2385">
        <f>SUM(E119:E125)</f>
        <v>-4598.4122269485379</v>
      </c>
      <c r="F126" s="2386">
        <f>SUM(F119:F125)</f>
        <v>-13388.019117532705</v>
      </c>
      <c r="G126" s="2396"/>
      <c r="H126" s="2396"/>
      <c r="I126" s="2396"/>
      <c r="J126" s="2396"/>
      <c r="K126" s="2396"/>
      <c r="L126" s="77"/>
      <c r="M126" s="77"/>
      <c r="N126" s="3758"/>
      <c r="O126" s="3760"/>
      <c r="P126" s="77"/>
      <c r="Q126" s="77"/>
      <c r="R126" s="77"/>
      <c r="S126" s="77"/>
      <c r="T126" s="77"/>
      <c r="U126" s="77"/>
      <c r="V126" s="77"/>
      <c r="W126" s="77"/>
      <c r="X126" s="77"/>
      <c r="Y126" s="77"/>
      <c r="Z126" s="1794" t="s">
        <v>1426</v>
      </c>
      <c r="AA126" s="1795">
        <v>126</v>
      </c>
    </row>
    <row r="127" spans="1:27" ht="13.35" customHeight="1">
      <c r="A127" s="236" t="str">
        <f>$A97</f>
        <v>DCR Mortgage A</v>
      </c>
      <c r="B127" s="2393">
        <f>IF(B120=0,"",-B119/B120)</f>
        <v>-0.13658639244467696</v>
      </c>
      <c r="C127" s="2393">
        <f>IF(C120=0,"",-C119/C120)</f>
        <v>1.5689570529680981</v>
      </c>
      <c r="D127" s="2393">
        <f>IF(D120=0,"",-D119/D120)</f>
        <v>1.5094566323271816</v>
      </c>
      <c r="E127" s="2393">
        <f>IF(E120=0,"",-E119/E120)</f>
        <v>1.4460421568633544</v>
      </c>
      <c r="F127" s="2394">
        <f>IF(F120=0,"",-F119/F120)</f>
        <v>1.3785501763910957</v>
      </c>
      <c r="G127" s="2396"/>
      <c r="H127" s="2396"/>
      <c r="I127" s="2396"/>
      <c r="J127" s="2396"/>
      <c r="K127" s="2396"/>
      <c r="L127" s="77"/>
      <c r="M127" s="77"/>
      <c r="N127" s="3758"/>
      <c r="O127" s="3760"/>
      <c r="P127" s="77"/>
      <c r="Q127" s="77"/>
      <c r="R127" s="77"/>
      <c r="S127" s="77"/>
      <c r="T127" s="77"/>
      <c r="U127" s="77"/>
      <c r="V127" s="77"/>
      <c r="W127" s="77"/>
      <c r="X127" s="77"/>
      <c r="Y127" s="77"/>
      <c r="Z127" s="1794" t="s">
        <v>1426</v>
      </c>
      <c r="AA127" s="1795">
        <v>127</v>
      </c>
    </row>
    <row r="128" spans="1:27" ht="13.35" customHeight="1">
      <c r="A128" s="236" t="str">
        <f>$A98</f>
        <v>DCR Mortgage B</v>
      </c>
      <c r="B128" s="2393">
        <f>IF(B121=0,"",-(B119+B120)/B121)</f>
        <v>31.903956267110935</v>
      </c>
      <c r="C128" s="2393">
        <f>IF(C121=0,"",-(C119+C120)/C121)</f>
        <v>1.3426335205995663</v>
      </c>
      <c r="D128" s="2393">
        <f>IF(D121=0,"",-(D119+D120)/D121)</f>
        <v>1.2022235215925794</v>
      </c>
      <c r="E128" s="2393">
        <f>IF(E121=0,"",-(E119+E120)/E121)</f>
        <v>1.052577076391122</v>
      </c>
      <c r="F128" s="2394">
        <f>IF(F121=0,"",-(F119+F120)/F121)</f>
        <v>0.89330847275754177</v>
      </c>
      <c r="G128" s="2396"/>
      <c r="H128" s="2396"/>
      <c r="I128" s="2396"/>
      <c r="J128" s="2396"/>
      <c r="K128" s="2396"/>
      <c r="L128" s="77"/>
      <c r="M128" s="77"/>
      <c r="N128" s="3758"/>
      <c r="O128" s="3760"/>
      <c r="P128" s="77"/>
      <c r="Q128" s="77"/>
      <c r="R128" s="77"/>
      <c r="S128" s="77"/>
      <c r="T128" s="77"/>
      <c r="U128" s="77"/>
      <c r="V128" s="77"/>
      <c r="W128" s="77"/>
      <c r="X128" s="77"/>
      <c r="Y128" s="77"/>
      <c r="Z128" s="1794" t="s">
        <v>1426</v>
      </c>
      <c r="AA128" s="1795">
        <v>128</v>
      </c>
    </row>
    <row r="129" spans="1:27" ht="13.35" customHeight="1">
      <c r="A129" s="236" t="str">
        <f>$A99</f>
        <v>DCR Mortgage C</v>
      </c>
      <c r="B129" s="2393" t="str">
        <f>IF(B122=0,"",-(B119+B120+B121)/B122)</f>
        <v/>
      </c>
      <c r="C129" s="2393" t="str">
        <f>IF(C122=0,"",-(C119+C120+C121)/C122)</f>
        <v/>
      </c>
      <c r="D129" s="2393" t="str">
        <f>IF(D122=0,"",-(D119+D120+D121)/D122)</f>
        <v/>
      </c>
      <c r="E129" s="2393" t="str">
        <f>IF(E122=0,"",-(E119+E120+E121)/E122)</f>
        <v/>
      </c>
      <c r="F129" s="2394" t="str">
        <f>IF(F122=0,"",-(F119+F120+F121)/F122)</f>
        <v/>
      </c>
      <c r="G129" s="2396"/>
      <c r="H129" s="2396"/>
      <c r="I129" s="2396"/>
      <c r="J129" s="2396"/>
      <c r="K129" s="2396"/>
      <c r="L129" s="77"/>
      <c r="M129" s="77"/>
      <c r="N129" s="3758"/>
      <c r="O129" s="3760"/>
      <c r="P129" s="77"/>
      <c r="Q129" s="77"/>
      <c r="R129" s="77"/>
      <c r="S129" s="77"/>
      <c r="T129" s="77"/>
      <c r="U129" s="77"/>
      <c r="V129" s="77"/>
      <c r="W129" s="77"/>
      <c r="X129" s="77"/>
      <c r="Y129" s="77"/>
      <c r="Z129" s="1794" t="s">
        <v>1426</v>
      </c>
      <c r="AA129" s="1795">
        <v>129</v>
      </c>
    </row>
    <row r="130" spans="1:27" ht="13.35" customHeight="1">
      <c r="A130" s="236" t="str">
        <f>$A100</f>
        <v>DCR Other Source</v>
      </c>
      <c r="B130" s="2393" t="str">
        <f>IF(B123=0,"",-(B119+B120+B121+B122)/B123)</f>
        <v/>
      </c>
      <c r="C130" s="2393" t="str">
        <f>IF(C123=0,"",-(C119+C120+C121+C122)/C123)</f>
        <v/>
      </c>
      <c r="D130" s="2393" t="str">
        <f>IF(D123=0,"",-(D119+D120+D121+D122)/D123)</f>
        <v/>
      </c>
      <c r="E130" s="2393" t="str">
        <f>IF(E123=0,"",-(E119+E120+E121+E122)/E123)</f>
        <v/>
      </c>
      <c r="F130" s="2394" t="str">
        <f>IF(F123=0,"",-(F119+F120+F121+F122)/F123)</f>
        <v/>
      </c>
      <c r="G130" s="2396"/>
      <c r="H130" s="2396"/>
      <c r="I130" s="2396"/>
      <c r="J130" s="2396"/>
      <c r="K130" s="2396"/>
      <c r="L130" s="77"/>
      <c r="M130" s="77"/>
      <c r="N130" s="3758"/>
      <c r="O130" s="3760"/>
      <c r="P130" s="77"/>
      <c r="Q130" s="77"/>
      <c r="R130" s="77"/>
      <c r="S130" s="77"/>
      <c r="T130" s="77"/>
      <c r="U130" s="77"/>
      <c r="V130" s="77"/>
      <c r="W130" s="77"/>
      <c r="X130" s="77"/>
      <c r="Y130" s="77"/>
      <c r="Z130" s="1794" t="s">
        <v>1426</v>
      </c>
      <c r="AA130" s="1795">
        <v>130</v>
      </c>
    </row>
    <row r="131" spans="1:27" ht="13.35" customHeight="1">
      <c r="A131" s="236" t="s">
        <v>1416</v>
      </c>
      <c r="B131" s="2393">
        <f>IF(AND(B120=0,B121=0,B122=0,B123=0),"",-B119/(B120+B121+B122+B123))</f>
        <v>-0.1416320702415807</v>
      </c>
      <c r="C131" s="2393">
        <f>IF(AND(C120=0,C121=0,C122=0,C123=0),"",-C119/(C120+C121+C122+C123))</f>
        <v>1.1019798699700549</v>
      </c>
      <c r="D131" s="2393">
        <f>IF(AND(D120=0,D121=0,D122=0,D123=0),"",-D119/(D120+D121+D122+D123))</f>
        <v>1.0601888816973035</v>
      </c>
      <c r="E131" s="2393">
        <f>IF(AND(E120=0,E121=0,E122=0,E123=0),"",-E119/(E120+E121+E122+E123))</f>
        <v>1.0156487999317456</v>
      </c>
      <c r="F131" s="2394">
        <f>IF(AND(F120=0,F121=0,F122=0,F123=0),"",-F119/(F120+F121+F122+F123))</f>
        <v>0.96824482305159998</v>
      </c>
      <c r="G131" s="2396"/>
      <c r="H131" s="2396"/>
      <c r="I131" s="2396"/>
      <c r="J131" s="2396"/>
      <c r="K131" s="2396"/>
      <c r="L131" s="77"/>
      <c r="M131" s="77"/>
      <c r="N131" s="3758"/>
      <c r="O131" s="3760"/>
      <c r="P131" s="77"/>
      <c r="Q131" s="77"/>
      <c r="R131" s="77"/>
      <c r="S131" s="77"/>
      <c r="T131" s="77"/>
      <c r="U131" s="77"/>
      <c r="V131" s="77"/>
      <c r="W131" s="77"/>
      <c r="X131" s="77"/>
      <c r="Y131" s="77"/>
      <c r="Z131" s="1794" t="s">
        <v>1426</v>
      </c>
      <c r="AA131" s="1795">
        <v>131</v>
      </c>
    </row>
    <row r="132" spans="1:27" ht="13.35" customHeight="1">
      <c r="A132" s="236" t="s">
        <v>1417</v>
      </c>
      <c r="B132" s="1793">
        <f>IF(OR(B116="Choose mgt fee",B116="Choose One!"),"",(B109+B110+B111+B112+B113) / -(B115+B116+B117))</f>
        <v>1.1736583755249046</v>
      </c>
      <c r="C132" s="1793">
        <f>IF(OR(C116="Choose mgt fee",C116="Choose One!"),"",(C109+C110+C111+C112+C113) / -(C115+C116+C117))</f>
        <v>1.1629064029196639</v>
      </c>
      <c r="D132" s="1793">
        <f>IF(OR(D116="Choose mgt fee",D116="Choose One!"),"",(D109+D110+D111+D112+D113) / -(D115+D116+D117))</f>
        <v>1.1522468575376432</v>
      </c>
      <c r="E132" s="1793">
        <f>IF(OR(E116="Choose mgt fee",E116="Choose One!"),"",(E109+E110+E111+E112+E113) / -(E115+E116+E117))</f>
        <v>1.1416795502305346</v>
      </c>
      <c r="F132" s="2397">
        <f>IF(OR(F116="Choose mgt fee",F116="Choose One!"),"",(F109+F110+F111+F112+F113) / -(F115+F116+F117))</f>
        <v>1.1312034040710617</v>
      </c>
      <c r="G132" s="2396"/>
      <c r="H132" s="2396"/>
      <c r="I132" s="2396"/>
      <c r="J132" s="2396"/>
      <c r="K132" s="2396"/>
      <c r="L132" s="77"/>
      <c r="M132" s="77"/>
      <c r="N132" s="3758"/>
      <c r="O132" s="3760"/>
      <c r="P132" s="77"/>
      <c r="Q132" s="77"/>
      <c r="R132" s="77"/>
      <c r="S132" s="77"/>
      <c r="T132" s="77"/>
      <c r="U132" s="77"/>
      <c r="V132" s="77"/>
      <c r="W132" s="77"/>
      <c r="X132" s="77"/>
      <c r="Y132" s="77"/>
      <c r="Z132" s="1794" t="s">
        <v>1426</v>
      </c>
      <c r="AA132" s="1795">
        <v>132</v>
      </c>
    </row>
    <row r="133" spans="1:27" ht="13.35" customHeight="1">
      <c r="A133" s="236" t="s">
        <v>1418</v>
      </c>
      <c r="B133" s="2766">
        <f>IF('Part II-Sources of Funds'!$I$42="","",-FV('Part II-Sources of Funds'!$K$42/12,12,B120/12,K103))</f>
        <v>-52227.022621215554</v>
      </c>
      <c r="C133" s="2766">
        <f>IF('Part II-Sources of Funds'!$I$42="","",-FV('Part II-Sources of Funds'!$K$42/12,12,C120/12,B133))</f>
        <v>-189321.88501026461</v>
      </c>
      <c r="D133" s="2766">
        <f>IF('Part II-Sources of Funds'!$I$42="","",-FV('Part II-Sources of Funds'!$K$42/12,12,D120/12,C133))</f>
        <v>-334872.45852933463</v>
      </c>
      <c r="E133" s="2766">
        <f>IF('Part II-Sources of Funds'!$I$42="","",-FV('Part II-Sources of Funds'!$K$42/12,12,E120/12,D133))</f>
        <v>-489400.27293868363</v>
      </c>
      <c r="F133" s="2766">
        <f>IF('Part II-Sources of Funds'!$I$42="","",-FV('Part II-Sources of Funds'!$K$42/12,12,F120/12,E133))</f>
        <v>-653459.02481300442</v>
      </c>
      <c r="G133" s="2396"/>
      <c r="H133" s="2396"/>
      <c r="I133" s="2396"/>
      <c r="J133" s="2396"/>
      <c r="K133" s="2396"/>
      <c r="L133" s="77"/>
      <c r="M133" s="77"/>
      <c r="N133" s="3758"/>
      <c r="O133" s="3760"/>
      <c r="P133" s="77"/>
      <c r="Q133" s="77"/>
      <c r="R133" s="77"/>
      <c r="S133" s="77"/>
      <c r="T133" s="77"/>
      <c r="U133" s="77"/>
      <c r="V133" s="77"/>
      <c r="W133" s="77"/>
      <c r="X133" s="77"/>
      <c r="Y133" s="77"/>
      <c r="Z133" s="1794" t="s">
        <v>1426</v>
      </c>
      <c r="AA133" s="1795">
        <v>133</v>
      </c>
    </row>
    <row r="134" spans="1:27" ht="13.35" customHeight="1">
      <c r="A134" s="236" t="s">
        <v>1419</v>
      </c>
      <c r="B134" s="2389">
        <f>IF('Part II-Sources of Funds'!$I$43="","",-FV('Part II-Sources of Funds'!$K$43/12,12,B121/12,K104))</f>
        <v>-641425.28130370204</v>
      </c>
      <c r="C134" s="2389">
        <f>IF('Part II-Sources of Funds'!$I$43="","",-FV('Part II-Sources of Funds'!$K$43/12,12,C121/12,B134))</f>
        <v>-703309.9772309484</v>
      </c>
      <c r="D134" s="2389">
        <f>IF('Part II-Sources of Funds'!$I$43="","",-FV('Part II-Sources of Funds'!$K$43/12,12,D121/12,C134))</f>
        <v>-765816.3643929949</v>
      </c>
      <c r="E134" s="2389">
        <f>IF('Part II-Sources of Funds'!$I$43="","",-FV('Part II-Sources of Funds'!$K$43/12,12,E121/12,D134))</f>
        <v>-828950.68827567028</v>
      </c>
      <c r="F134" s="2389">
        <f>IF('Part II-Sources of Funds'!$I$43="","",-FV('Part II-Sources of Funds'!$K$43/12,12,F121/12,E134))</f>
        <v>-892719.25710670964</v>
      </c>
      <c r="G134" s="2396"/>
      <c r="H134" s="2396"/>
      <c r="I134" s="2396"/>
      <c r="J134" s="2396"/>
      <c r="K134" s="2396"/>
      <c r="L134" s="77"/>
      <c r="M134" s="77"/>
      <c r="N134" s="3758"/>
      <c r="O134" s="3760"/>
      <c r="P134" s="77"/>
      <c r="Q134" s="77"/>
      <c r="R134" s="77"/>
      <c r="S134" s="77"/>
      <c r="T134" s="77"/>
      <c r="U134" s="77"/>
      <c r="V134" s="77"/>
      <c r="W134" s="77"/>
      <c r="X134" s="77"/>
      <c r="Y134" s="77"/>
      <c r="Z134" s="1794" t="s">
        <v>1426</v>
      </c>
      <c r="AA134" s="1795">
        <v>134</v>
      </c>
    </row>
    <row r="135" spans="1:27" ht="13.35" customHeight="1">
      <c r="A135" s="236" t="s">
        <v>1420</v>
      </c>
      <c r="B135" s="2389" t="str">
        <f>IF('Part II-Sources of Funds'!$I$44="","",-FV('Part II-Sources of Funds'!$K$44/12,12,B122/12,K105))</f>
        <v/>
      </c>
      <c r="C135" s="2389" t="str">
        <f>IF('Part II-Sources of Funds'!$I$44="","",-FV('Part II-Sources of Funds'!$K$44/12,12,C122/12,B135))</f>
        <v/>
      </c>
      <c r="D135" s="2389" t="str">
        <f>IF('Part II-Sources of Funds'!$I$44="","",-FV('Part II-Sources of Funds'!$K$44/12,12,D122/12,C135))</f>
        <v/>
      </c>
      <c r="E135" s="2389" t="str">
        <f>IF('Part II-Sources of Funds'!$I$44="","",-FV('Part II-Sources of Funds'!$K$44/12,12,E122/12,D135))</f>
        <v/>
      </c>
      <c r="F135" s="2389" t="str">
        <f>IF('Part II-Sources of Funds'!$I$44="","",-FV('Part II-Sources of Funds'!$K$44/12,12,F122/12,E135))</f>
        <v/>
      </c>
      <c r="G135" s="2396"/>
      <c r="H135" s="2396"/>
      <c r="I135" s="2396"/>
      <c r="J135" s="2396"/>
      <c r="K135" s="2396"/>
      <c r="L135" s="77"/>
      <c r="M135" s="77"/>
      <c r="N135" s="3758"/>
      <c r="O135" s="3760"/>
      <c r="P135" s="77"/>
      <c r="Q135" s="77"/>
      <c r="R135" s="77"/>
      <c r="S135" s="77"/>
      <c r="T135" s="77"/>
      <c r="U135" s="77"/>
      <c r="V135" s="77"/>
      <c r="W135" s="77"/>
      <c r="X135" s="77"/>
      <c r="Y135" s="77"/>
      <c r="Z135" s="1794" t="s">
        <v>1426</v>
      </c>
      <c r="AA135" s="1795">
        <v>135</v>
      </c>
    </row>
    <row r="136" spans="1:27" ht="13.35" customHeight="1">
      <c r="A136" s="2398" t="s">
        <v>1421</v>
      </c>
      <c r="B136" s="2392" t="str">
        <f>IF('Part II-Sources of Funds'!$I$45="","",-FV('Part II-Sources of Funds'!$K$45/12,12,B123/12,K106))</f>
        <v/>
      </c>
      <c r="C136" s="2392" t="str">
        <f>IF('Part II-Sources of Funds'!$I$45="","",-FV('Part II-Sources of Funds'!$K$45/12,12,C123/12,B136))</f>
        <v/>
      </c>
      <c r="D136" s="2392" t="str">
        <f>IF('Part II-Sources of Funds'!$I$45="","",-FV('Part II-Sources of Funds'!$K$45/12,12,D123/12,C136))</f>
        <v/>
      </c>
      <c r="E136" s="2392" t="str">
        <f>IF('Part II-Sources of Funds'!$I$45="","",-FV('Part II-Sources of Funds'!$K$45/12,12,E123/12,D136))</f>
        <v/>
      </c>
      <c r="F136" s="2392" t="str">
        <f>IF('Part II-Sources of Funds'!$I$45="","",-FV('Part II-Sources of Funds'!$K$45/12,12,F123/12,E136))</f>
        <v/>
      </c>
      <c r="G136" s="2396"/>
      <c r="H136" s="2396"/>
      <c r="I136" s="2396"/>
      <c r="J136" s="2396"/>
      <c r="K136" s="2396"/>
      <c r="L136" s="77"/>
      <c r="M136" s="77"/>
      <c r="N136" s="3725"/>
      <c r="O136" s="3727"/>
      <c r="P136" s="77"/>
      <c r="Q136" s="77"/>
      <c r="R136" s="77"/>
      <c r="S136" s="77"/>
      <c r="T136" s="77"/>
      <c r="U136" s="77"/>
      <c r="V136" s="77"/>
      <c r="W136" s="77"/>
      <c r="X136" s="77"/>
      <c r="Y136" s="77"/>
      <c r="Z136" s="1794" t="s">
        <v>1426</v>
      </c>
      <c r="AA136" s="1795">
        <v>136</v>
      </c>
    </row>
    <row r="137" spans="1:27" ht="4.3499999999999996"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AA137" s="1795">
        <v>137</v>
      </c>
    </row>
    <row r="138" spans="1:27" ht="12" customHeight="1">
      <c r="A138" s="6" t="s">
        <v>1427</v>
      </c>
      <c r="B138" s="6"/>
      <c r="C138" s="77"/>
      <c r="D138" s="77"/>
      <c r="E138" s="77"/>
      <c r="F138" s="77"/>
      <c r="G138" s="6" t="s">
        <v>1428</v>
      </c>
      <c r="H138" s="77"/>
      <c r="I138" s="77"/>
      <c r="J138" s="77"/>
      <c r="K138" s="77"/>
      <c r="L138" s="77"/>
      <c r="M138" s="77"/>
      <c r="N138" s="77"/>
      <c r="O138" s="77"/>
      <c r="P138" s="77"/>
      <c r="Q138" s="77"/>
      <c r="R138" s="77"/>
      <c r="S138" s="77"/>
      <c r="T138" s="77"/>
      <c r="U138" s="77"/>
      <c r="V138" s="77"/>
      <c r="W138" s="77"/>
      <c r="X138" s="77"/>
      <c r="Y138" s="77"/>
      <c r="AA138" s="1795">
        <v>138</v>
      </c>
    </row>
    <row r="139" spans="1:27" ht="12" customHeight="1">
      <c r="A139" s="77"/>
      <c r="B139" s="6"/>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AA139" s="1795">
        <v>139</v>
      </c>
    </row>
    <row r="140" spans="1:27" ht="409.5" customHeight="1">
      <c r="A140" s="3217" t="s">
        <v>1429</v>
      </c>
      <c r="B140" s="3829"/>
      <c r="C140" s="3829"/>
      <c r="D140" s="3829"/>
      <c r="E140" s="3829"/>
      <c r="F140" s="3830"/>
      <c r="G140" s="3831"/>
      <c r="H140" s="3832"/>
      <c r="I140" s="3832"/>
      <c r="J140" s="3832"/>
      <c r="K140" s="3833"/>
      <c r="L140" s="77"/>
      <c r="M140" s="77"/>
      <c r="N140" s="3354" t="s">
        <v>289</v>
      </c>
      <c r="O140" s="3354"/>
      <c r="P140" s="77"/>
      <c r="Q140" s="77"/>
      <c r="R140" s="77"/>
      <c r="S140" s="77"/>
      <c r="T140" s="77"/>
      <c r="U140" s="77"/>
      <c r="V140" s="77"/>
      <c r="W140" s="77"/>
      <c r="X140" s="77"/>
      <c r="Y140" s="77"/>
      <c r="AA140" s="1795">
        <v>140</v>
      </c>
    </row>
    <row r="141" spans="1:27" ht="11.2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AA141" s="1795">
        <v>141</v>
      </c>
    </row>
    <row r="142" spans="1:27" ht="12" customHeight="1">
      <c r="A142" s="77"/>
      <c r="B142" s="6"/>
      <c r="C142" s="77"/>
      <c r="D142" s="77"/>
      <c r="E142" s="77"/>
      <c r="F142" s="77"/>
      <c r="G142" s="77"/>
      <c r="H142" s="77"/>
      <c r="I142" s="77"/>
      <c r="J142" s="77"/>
      <c r="K142" s="77"/>
      <c r="L142" s="77"/>
      <c r="M142" s="77"/>
      <c r="N142" s="77"/>
      <c r="O142" s="77"/>
      <c r="P142" s="77"/>
      <c r="Q142" s="77"/>
      <c r="R142" s="77"/>
      <c r="S142" s="77"/>
      <c r="T142" s="77"/>
      <c r="U142" s="77"/>
      <c r="V142" s="77"/>
      <c r="W142" s="77"/>
      <c r="X142" s="77"/>
      <c r="Y142" s="77"/>
    </row>
    <row r="143" spans="1:27" ht="12" customHeight="1">
      <c r="A143" s="77"/>
      <c r="B143" s="6"/>
      <c r="C143" s="77"/>
      <c r="D143" s="77"/>
      <c r="E143" s="77"/>
      <c r="F143" s="77"/>
      <c r="G143" s="77"/>
      <c r="H143" s="77"/>
      <c r="I143" s="77"/>
      <c r="J143" s="77"/>
      <c r="K143" s="77"/>
      <c r="L143" s="77"/>
      <c r="M143" s="77"/>
      <c r="N143" s="77"/>
      <c r="O143" s="77"/>
      <c r="P143" s="77"/>
      <c r="Q143" s="43"/>
      <c r="R143" s="43"/>
      <c r="S143" s="77"/>
      <c r="T143" s="77"/>
      <c r="U143" s="77"/>
      <c r="V143" s="77"/>
      <c r="W143" s="77"/>
      <c r="X143" s="77"/>
      <c r="Y143" s="77"/>
    </row>
    <row r="144" spans="1:27" ht="12" customHeight="1">
      <c r="A144" s="77"/>
      <c r="B144" s="77"/>
      <c r="C144" s="77"/>
      <c r="D144" s="77"/>
      <c r="E144" s="77"/>
      <c r="F144" s="77"/>
      <c r="G144" s="77"/>
      <c r="H144" s="77"/>
      <c r="I144" s="77"/>
      <c r="J144" s="77"/>
      <c r="K144" s="77"/>
      <c r="L144" s="77"/>
      <c r="M144" s="77"/>
      <c r="N144" s="77"/>
      <c r="O144" s="77"/>
      <c r="P144" s="77"/>
      <c r="Q144" s="43"/>
      <c r="R144" s="43"/>
      <c r="S144" s="43"/>
      <c r="T144" s="77"/>
      <c r="U144" s="77"/>
      <c r="V144" s="77"/>
      <c r="W144" s="77"/>
      <c r="X144" s="77"/>
      <c r="Y144" s="77"/>
    </row>
    <row r="145" spans="12:27" s="1" customFormat="1" ht="12" customHeight="1">
      <c r="L145" s="77"/>
      <c r="M145" s="77"/>
      <c r="N145" s="77"/>
      <c r="O145" s="77"/>
      <c r="P145" s="43"/>
      <c r="Q145" s="43"/>
      <c r="R145" s="43"/>
      <c r="S145" s="43"/>
      <c r="T145" s="43"/>
      <c r="U145" s="43"/>
      <c r="V145" s="43"/>
      <c r="W145" s="43"/>
      <c r="X145" s="43"/>
      <c r="Y145" s="43"/>
      <c r="Z145" s="1796"/>
      <c r="AA145" s="1797"/>
    </row>
    <row r="146" spans="12:27" s="1" customFormat="1" ht="12" customHeight="1">
      <c r="L146" s="77"/>
      <c r="M146" s="77"/>
      <c r="N146" s="77"/>
      <c r="O146" s="77"/>
      <c r="P146" s="43"/>
      <c r="Q146" s="43"/>
      <c r="R146" s="43"/>
      <c r="S146" s="43"/>
      <c r="T146" s="43"/>
      <c r="U146" s="43"/>
      <c r="V146" s="43"/>
      <c r="W146" s="43"/>
      <c r="X146" s="43"/>
      <c r="Y146" s="43"/>
      <c r="Z146" s="1796"/>
      <c r="AA146" s="1797"/>
    </row>
    <row r="147" spans="12:27" s="1" customFormat="1" ht="12" customHeight="1">
      <c r="L147" s="77"/>
      <c r="M147" s="77"/>
      <c r="N147" s="77"/>
      <c r="O147" s="77"/>
      <c r="P147" s="43"/>
      <c r="Q147" s="77"/>
      <c r="R147" s="77"/>
      <c r="S147" s="43"/>
      <c r="T147" s="43"/>
      <c r="U147" s="43"/>
      <c r="V147" s="43"/>
      <c r="W147" s="43"/>
      <c r="X147" s="43"/>
      <c r="Y147" s="43"/>
      <c r="Z147" s="1796"/>
      <c r="AA147" s="1797"/>
    </row>
    <row r="148" spans="12:27" s="1" customFormat="1" ht="12" customHeight="1">
      <c r="L148" s="77"/>
      <c r="M148" s="77"/>
      <c r="N148" s="77"/>
      <c r="O148" s="77"/>
      <c r="P148" s="43"/>
      <c r="Q148" s="43"/>
      <c r="R148" s="43"/>
      <c r="S148" s="77"/>
      <c r="T148" s="43"/>
      <c r="U148" s="43"/>
      <c r="V148" s="43"/>
      <c r="W148" s="43"/>
      <c r="X148" s="43"/>
      <c r="Y148" s="43"/>
      <c r="Z148" s="1796"/>
      <c r="AA148" s="1797"/>
    </row>
    <row r="149" spans="12:27" ht="12" customHeight="1">
      <c r="L149" s="77"/>
      <c r="M149" s="77"/>
      <c r="N149" s="77"/>
      <c r="O149" s="77"/>
      <c r="P149" s="77"/>
      <c r="Q149" s="43"/>
      <c r="R149" s="43"/>
      <c r="S149" s="43"/>
      <c r="T149" s="77"/>
      <c r="U149" s="77"/>
      <c r="V149" s="77"/>
      <c r="W149" s="77"/>
      <c r="X149" s="77"/>
      <c r="Y149" s="77"/>
    </row>
    <row r="150" spans="12:27" s="1" customFormat="1" ht="12" customHeight="1">
      <c r="L150" s="77"/>
      <c r="M150" s="77"/>
      <c r="N150" s="77"/>
      <c r="O150" s="77"/>
      <c r="P150" s="43"/>
      <c r="Q150" s="77"/>
      <c r="R150" s="77"/>
      <c r="S150" s="43"/>
      <c r="T150" s="43"/>
      <c r="U150" s="43"/>
      <c r="V150" s="43"/>
      <c r="W150" s="43"/>
      <c r="X150" s="43"/>
      <c r="Y150" s="43"/>
      <c r="Z150" s="1796"/>
      <c r="AA150" s="1797"/>
    </row>
    <row r="151" spans="12:27" s="1" customFormat="1" ht="12" customHeight="1">
      <c r="L151" s="77"/>
      <c r="M151" s="77"/>
      <c r="N151" s="77"/>
      <c r="O151" s="77"/>
      <c r="P151" s="43"/>
      <c r="Q151" s="43"/>
      <c r="R151" s="43"/>
      <c r="S151" s="77"/>
      <c r="T151" s="43"/>
      <c r="U151" s="43"/>
      <c r="V151" s="43"/>
      <c r="W151" s="43"/>
      <c r="X151" s="43"/>
      <c r="Y151" s="43"/>
      <c r="Z151" s="1796"/>
      <c r="AA151" s="1797"/>
    </row>
    <row r="152" spans="12:27" ht="12" customHeight="1">
      <c r="L152" s="77"/>
      <c r="M152" s="77"/>
      <c r="N152" s="77"/>
      <c r="O152" s="77"/>
      <c r="P152" s="77"/>
      <c r="Q152" s="43"/>
      <c r="R152" s="43"/>
      <c r="S152" s="43"/>
      <c r="T152" s="77"/>
      <c r="U152" s="77"/>
      <c r="V152" s="77"/>
      <c r="W152" s="77"/>
      <c r="X152" s="77"/>
      <c r="Y152" s="77"/>
    </row>
    <row r="153" spans="12:27" s="1" customFormat="1" ht="12" customHeight="1">
      <c r="L153" s="77"/>
      <c r="M153" s="77"/>
      <c r="N153" s="77"/>
      <c r="O153" s="77"/>
      <c r="P153" s="43"/>
      <c r="Q153" s="43"/>
      <c r="R153" s="43"/>
      <c r="S153" s="43"/>
      <c r="T153" s="43"/>
      <c r="U153" s="43"/>
      <c r="V153" s="43"/>
      <c r="W153" s="43"/>
      <c r="X153" s="43"/>
      <c r="Y153" s="43"/>
      <c r="Z153" s="1796"/>
      <c r="AA153" s="1797"/>
    </row>
    <row r="154" spans="12:27" s="1" customFormat="1" ht="12" customHeight="1">
      <c r="L154" s="77"/>
      <c r="M154" s="77"/>
      <c r="N154" s="77"/>
      <c r="O154" s="77"/>
      <c r="P154" s="43"/>
      <c r="Q154" s="43"/>
      <c r="R154" s="43"/>
      <c r="S154" s="43"/>
      <c r="T154" s="43"/>
      <c r="U154" s="43"/>
      <c r="V154" s="43"/>
      <c r="W154" s="43"/>
      <c r="X154" s="43"/>
      <c r="Y154" s="43"/>
      <c r="Z154" s="1796"/>
      <c r="AA154" s="1797"/>
    </row>
    <row r="155" spans="12:27" s="1" customFormat="1" ht="12" customHeight="1">
      <c r="L155" s="77"/>
      <c r="M155" s="77"/>
      <c r="N155" s="77"/>
      <c r="O155" s="77"/>
      <c r="P155" s="43"/>
      <c r="Q155" s="43"/>
      <c r="R155" s="43"/>
      <c r="S155" s="43"/>
      <c r="T155" s="43"/>
      <c r="U155" s="43"/>
      <c r="V155" s="43"/>
      <c r="W155" s="43"/>
      <c r="X155" s="43"/>
      <c r="Y155" s="43"/>
      <c r="Z155" s="1796"/>
      <c r="AA155" s="1797"/>
    </row>
    <row r="156" spans="12:27" s="1" customFormat="1" ht="12" customHeight="1">
      <c r="L156" s="77"/>
      <c r="M156" s="77"/>
      <c r="N156" s="77"/>
      <c r="O156" s="77"/>
      <c r="P156" s="43"/>
      <c r="Q156" s="43"/>
      <c r="R156" s="43"/>
      <c r="S156" s="43"/>
      <c r="T156" s="43"/>
      <c r="U156" s="43"/>
      <c r="V156" s="43"/>
      <c r="W156" s="43"/>
      <c r="X156" s="43"/>
      <c r="Y156" s="43"/>
      <c r="Z156" s="1796"/>
      <c r="AA156" s="1797"/>
    </row>
    <row r="157" spans="12:27" s="1" customFormat="1" ht="12" customHeight="1">
      <c r="L157" s="77"/>
      <c r="M157" s="77"/>
      <c r="N157" s="77"/>
      <c r="O157" s="77"/>
      <c r="P157" s="43"/>
      <c r="Q157" s="43"/>
      <c r="R157" s="43"/>
      <c r="S157" s="43"/>
      <c r="T157" s="43"/>
      <c r="U157" s="43"/>
      <c r="V157" s="43"/>
      <c r="W157" s="43"/>
      <c r="X157" s="43"/>
      <c r="Y157" s="43"/>
      <c r="Z157" s="1796"/>
      <c r="AA157" s="1797"/>
    </row>
    <row r="158" spans="12:27" s="1" customFormat="1" ht="12" customHeight="1">
      <c r="L158" s="77"/>
      <c r="M158" s="77"/>
      <c r="N158" s="77"/>
      <c r="O158" s="77"/>
      <c r="P158" s="43"/>
      <c r="Q158" s="77"/>
      <c r="R158" s="77"/>
      <c r="S158" s="43"/>
      <c r="T158" s="43"/>
      <c r="U158" s="43"/>
      <c r="V158" s="43"/>
      <c r="W158" s="43"/>
      <c r="X158" s="43"/>
      <c r="Y158" s="43"/>
      <c r="Z158" s="1796"/>
      <c r="AA158" s="1797"/>
    </row>
    <row r="159" spans="12:27" s="1" customFormat="1" ht="12" customHeight="1">
      <c r="L159" s="77"/>
      <c r="M159" s="77"/>
      <c r="N159" s="77"/>
      <c r="O159" s="77"/>
      <c r="P159" s="43"/>
      <c r="Q159" s="43"/>
      <c r="R159" s="43"/>
      <c r="S159" s="77"/>
      <c r="T159" s="43"/>
      <c r="U159" s="43"/>
      <c r="V159" s="43"/>
      <c r="W159" s="43"/>
      <c r="X159" s="43"/>
      <c r="Y159" s="43"/>
      <c r="Z159" s="1796"/>
      <c r="AA159" s="1797"/>
    </row>
    <row r="160" spans="12:27" ht="12" customHeight="1">
      <c r="L160" s="77"/>
      <c r="M160" s="77"/>
      <c r="N160" s="77"/>
      <c r="O160" s="77"/>
      <c r="P160" s="77"/>
      <c r="Q160" s="43"/>
      <c r="R160" s="43"/>
      <c r="S160" s="43"/>
      <c r="T160" s="77"/>
      <c r="U160" s="77"/>
      <c r="V160" s="77"/>
      <c r="W160" s="77"/>
      <c r="X160" s="77"/>
      <c r="Y160" s="77"/>
    </row>
    <row r="161" spans="12:27" s="1" customFormat="1" ht="12" customHeight="1">
      <c r="L161" s="77"/>
      <c r="M161" s="77"/>
      <c r="N161" s="77"/>
      <c r="O161" s="77"/>
      <c r="P161" s="43"/>
      <c r="Q161" s="43"/>
      <c r="R161" s="43"/>
      <c r="S161" s="43"/>
      <c r="T161" s="43"/>
      <c r="U161" s="43"/>
      <c r="V161" s="43"/>
      <c r="W161" s="43"/>
      <c r="X161" s="43"/>
      <c r="Y161" s="43"/>
      <c r="Z161" s="1796"/>
      <c r="AA161" s="1797"/>
    </row>
    <row r="162" spans="12:27" s="1" customFormat="1" ht="12" customHeight="1">
      <c r="L162" s="77"/>
      <c r="M162" s="77"/>
      <c r="N162" s="77"/>
      <c r="O162" s="77"/>
      <c r="P162" s="43"/>
      <c r="Q162" s="43"/>
      <c r="R162" s="43"/>
      <c r="S162" s="43"/>
      <c r="T162" s="43"/>
      <c r="U162" s="43"/>
      <c r="V162" s="43"/>
      <c r="W162" s="43"/>
      <c r="X162" s="43"/>
      <c r="Y162" s="43"/>
      <c r="Z162" s="1796"/>
      <c r="AA162" s="1797"/>
    </row>
    <row r="163" spans="12:27" s="1" customFormat="1" ht="12" customHeight="1">
      <c r="L163" s="77"/>
      <c r="M163" s="77"/>
      <c r="N163" s="77"/>
      <c r="O163" s="77"/>
      <c r="P163" s="43"/>
      <c r="Q163" s="43"/>
      <c r="R163" s="43"/>
      <c r="S163" s="43"/>
      <c r="T163" s="43"/>
      <c r="U163" s="43"/>
      <c r="V163" s="43"/>
      <c r="W163" s="43"/>
      <c r="X163" s="43"/>
      <c r="Y163" s="43"/>
      <c r="Z163" s="1796"/>
      <c r="AA163" s="1797"/>
    </row>
    <row r="164" spans="12:27" s="1" customFormat="1" ht="12" customHeight="1">
      <c r="L164" s="77"/>
      <c r="M164" s="77"/>
      <c r="N164" s="77"/>
      <c r="O164" s="77"/>
      <c r="P164" s="43"/>
      <c r="Q164" s="43"/>
      <c r="R164" s="43"/>
      <c r="S164" s="43"/>
      <c r="T164" s="43"/>
      <c r="U164" s="43"/>
      <c r="V164" s="43"/>
      <c r="W164" s="43"/>
      <c r="X164" s="43"/>
      <c r="Y164" s="43"/>
      <c r="Z164" s="1796"/>
      <c r="AA164" s="1797"/>
    </row>
    <row r="165" spans="12:27" s="1" customFormat="1" ht="12" customHeight="1">
      <c r="L165" s="77"/>
      <c r="M165" s="77"/>
      <c r="N165" s="77"/>
      <c r="O165" s="77"/>
      <c r="P165" s="43"/>
      <c r="Q165" s="43"/>
      <c r="R165" s="43"/>
      <c r="S165" s="43"/>
      <c r="T165" s="43"/>
      <c r="U165" s="43"/>
      <c r="V165" s="43"/>
      <c r="W165" s="43"/>
      <c r="X165" s="43"/>
      <c r="Y165" s="43"/>
      <c r="Z165" s="1796"/>
      <c r="AA165" s="1797"/>
    </row>
    <row r="166" spans="12:27" s="1" customFormat="1" ht="12" customHeight="1">
      <c r="L166" s="77"/>
      <c r="M166" s="77"/>
      <c r="N166" s="77"/>
      <c r="O166" s="77"/>
      <c r="P166" s="43"/>
      <c r="Q166" s="43"/>
      <c r="R166" s="43"/>
      <c r="S166" s="43"/>
      <c r="T166" s="43"/>
      <c r="U166" s="43"/>
      <c r="V166" s="43"/>
      <c r="W166" s="43"/>
      <c r="X166" s="43"/>
      <c r="Y166" s="43"/>
      <c r="Z166" s="1796"/>
      <c r="AA166" s="1797"/>
    </row>
    <row r="167" spans="12:27" s="1" customFormat="1" ht="12" customHeight="1">
      <c r="L167" s="77"/>
      <c r="M167" s="77"/>
      <c r="N167" s="77"/>
      <c r="O167" s="77"/>
      <c r="P167" s="43"/>
      <c r="Q167" s="43"/>
      <c r="R167" s="43"/>
      <c r="S167" s="43"/>
      <c r="T167" s="43"/>
      <c r="U167" s="43"/>
      <c r="V167" s="43"/>
      <c r="W167" s="43"/>
      <c r="X167" s="43"/>
      <c r="Y167" s="43"/>
      <c r="Z167" s="1796"/>
      <c r="AA167" s="1797"/>
    </row>
    <row r="168" spans="12:27" s="1" customFormat="1" ht="12" customHeight="1">
      <c r="L168" s="77"/>
      <c r="M168" s="77"/>
      <c r="N168" s="77"/>
      <c r="O168" s="77"/>
      <c r="P168" s="43"/>
      <c r="Q168" s="43"/>
      <c r="R168" s="43"/>
      <c r="S168" s="43"/>
      <c r="T168" s="43"/>
      <c r="U168" s="43"/>
      <c r="V168" s="43"/>
      <c r="W168" s="43"/>
      <c r="X168" s="43"/>
      <c r="Y168" s="43"/>
      <c r="Z168" s="1796"/>
      <c r="AA168" s="1797"/>
    </row>
    <row r="169" spans="12:27" s="1" customFormat="1" ht="12" customHeight="1">
      <c r="L169" s="77"/>
      <c r="M169" s="77"/>
      <c r="N169" s="77"/>
      <c r="O169" s="77"/>
      <c r="P169" s="43"/>
      <c r="Q169" s="43"/>
      <c r="R169" s="43"/>
      <c r="S169" s="43"/>
      <c r="T169" s="43"/>
      <c r="U169" s="43"/>
      <c r="V169" s="43"/>
      <c r="W169" s="43"/>
      <c r="X169" s="43"/>
      <c r="Y169" s="43"/>
      <c r="Z169" s="1796"/>
      <c r="AA169" s="1797"/>
    </row>
    <row r="170" spans="12:27" s="1" customFormat="1" ht="12" customHeight="1">
      <c r="L170" s="77"/>
      <c r="M170" s="77"/>
      <c r="N170" s="77"/>
      <c r="O170" s="77"/>
      <c r="P170" s="43"/>
      <c r="Q170" s="77"/>
      <c r="R170" s="77"/>
      <c r="S170" s="43"/>
      <c r="T170" s="43"/>
      <c r="U170" s="43"/>
      <c r="V170" s="43"/>
      <c r="W170" s="43"/>
      <c r="X170" s="43"/>
      <c r="Y170" s="43"/>
      <c r="Z170" s="1796"/>
      <c r="AA170" s="1797"/>
    </row>
    <row r="171" spans="12:27" s="1" customFormat="1" ht="12" customHeight="1">
      <c r="L171" s="77"/>
      <c r="M171" s="77"/>
      <c r="N171" s="77"/>
      <c r="O171" s="77"/>
      <c r="P171" s="43"/>
      <c r="Q171" s="77"/>
      <c r="R171" s="77"/>
      <c r="S171" s="77"/>
      <c r="T171" s="43"/>
      <c r="U171" s="43"/>
      <c r="V171" s="43"/>
      <c r="W171" s="43"/>
      <c r="X171" s="43"/>
      <c r="Y171" s="43"/>
      <c r="Z171" s="1796"/>
      <c r="AA171" s="1797"/>
    </row>
    <row r="172" spans="12:27" ht="12" customHeight="1">
      <c r="L172" s="77"/>
      <c r="M172" s="77"/>
      <c r="N172" s="77"/>
      <c r="O172" s="77"/>
      <c r="P172" s="77"/>
      <c r="Q172" s="77"/>
      <c r="R172" s="77"/>
      <c r="S172" s="77"/>
      <c r="T172" s="77"/>
      <c r="U172" s="77"/>
      <c r="V172" s="77"/>
      <c r="W172" s="77"/>
      <c r="X172" s="77"/>
      <c r="Y172" s="77"/>
    </row>
    <row r="173" spans="12:27" ht="12" customHeight="1">
      <c r="L173" s="77"/>
      <c r="M173" s="77"/>
      <c r="N173" s="77"/>
      <c r="O173" s="77"/>
      <c r="P173" s="77"/>
      <c r="Q173" s="77"/>
      <c r="R173" s="77"/>
      <c r="S173" s="77"/>
      <c r="T173" s="77"/>
      <c r="U173" s="77"/>
      <c r="V173" s="77"/>
      <c r="W173" s="77"/>
      <c r="X173" s="77"/>
      <c r="Y173" s="77"/>
    </row>
    <row r="174" spans="12:27" ht="12" customHeight="1">
      <c r="L174" s="77"/>
      <c r="M174" s="77"/>
      <c r="N174" s="77"/>
      <c r="O174" s="77"/>
      <c r="P174" s="77"/>
      <c r="Q174" s="77"/>
      <c r="R174" s="77"/>
      <c r="S174" s="77"/>
      <c r="T174" s="77"/>
      <c r="U174" s="77"/>
      <c r="V174" s="77"/>
      <c r="W174" s="77"/>
      <c r="X174" s="77"/>
      <c r="Y174" s="77"/>
    </row>
    <row r="175" spans="12:27" ht="12" customHeight="1">
      <c r="L175" s="77"/>
      <c r="M175" s="77"/>
      <c r="N175" s="77"/>
      <c r="O175" s="77"/>
      <c r="P175" s="77"/>
      <c r="Q175" s="77"/>
      <c r="R175" s="77"/>
      <c r="S175" s="77"/>
      <c r="T175" s="77"/>
      <c r="U175" s="77"/>
      <c r="V175" s="77"/>
      <c r="W175" s="77"/>
      <c r="X175" s="77"/>
      <c r="Y175" s="77"/>
    </row>
  </sheetData>
  <sheetProtection algorithmName="SHA-512" hashValue="rx8uq1oNVth00jmqGwSvJ+kT1usziqaGMsddqs85LECpQ0hHbe4wp2fNO0rZiDgV6/RWLtOILvDyOLx+PJBYPg==" saltValue="Amlgh2n0eBGs0HXK/xSqBQ==" spinCount="100000" sheet="1" objects="1" scenarios="1" formatRows="0"/>
  <mergeCells count="136">
    <mergeCell ref="A2:K2"/>
    <mergeCell ref="N2:O2"/>
    <mergeCell ref="N3:O3"/>
    <mergeCell ref="C4:C8"/>
    <mergeCell ref="D6:F7"/>
    <mergeCell ref="N6:O6"/>
    <mergeCell ref="N7:O7"/>
    <mergeCell ref="N8:O8"/>
    <mergeCell ref="N9:O9"/>
    <mergeCell ref="N10:O10"/>
    <mergeCell ref="N14:O14"/>
    <mergeCell ref="N15:O15"/>
    <mergeCell ref="S15:S18"/>
    <mergeCell ref="N16:O16"/>
    <mergeCell ref="N17:O17"/>
    <mergeCell ref="Q17:Q18"/>
    <mergeCell ref="R17:R18"/>
    <mergeCell ref="N18:O18"/>
    <mergeCell ref="N25:O25"/>
    <mergeCell ref="N26:O26"/>
    <mergeCell ref="N27:O27"/>
    <mergeCell ref="N28:O28"/>
    <mergeCell ref="N29:O29"/>
    <mergeCell ref="N30:O30"/>
    <mergeCell ref="N19:O19"/>
    <mergeCell ref="N20:O20"/>
    <mergeCell ref="N21:O21"/>
    <mergeCell ref="N22:O22"/>
    <mergeCell ref="N23:O23"/>
    <mergeCell ref="N24:O24"/>
    <mergeCell ref="N37:O37"/>
    <mergeCell ref="N38:O38"/>
    <mergeCell ref="N39:O39"/>
    <mergeCell ref="N40:O40"/>
    <mergeCell ref="N41:O41"/>
    <mergeCell ref="N42:O42"/>
    <mergeCell ref="N31:O31"/>
    <mergeCell ref="N32:O32"/>
    <mergeCell ref="N33:O33"/>
    <mergeCell ref="N34:O34"/>
    <mergeCell ref="N35:O35"/>
    <mergeCell ref="N36:O36"/>
    <mergeCell ref="N50:O50"/>
    <mergeCell ref="N51:O51"/>
    <mergeCell ref="N52:O52"/>
    <mergeCell ref="N53:O53"/>
    <mergeCell ref="N54:O54"/>
    <mergeCell ref="N55:O55"/>
    <mergeCell ref="N43:O43"/>
    <mergeCell ref="N44:O44"/>
    <mergeCell ref="N46:O46"/>
    <mergeCell ref="N47:O47"/>
    <mergeCell ref="N48:O48"/>
    <mergeCell ref="N49:O49"/>
    <mergeCell ref="N62:O62"/>
    <mergeCell ref="N63:O63"/>
    <mergeCell ref="N64:O64"/>
    <mergeCell ref="N65:O65"/>
    <mergeCell ref="N66:O66"/>
    <mergeCell ref="N67:O67"/>
    <mergeCell ref="N56:O56"/>
    <mergeCell ref="N57:O57"/>
    <mergeCell ref="N58:O58"/>
    <mergeCell ref="N59:O59"/>
    <mergeCell ref="N60:O60"/>
    <mergeCell ref="N61:O61"/>
    <mergeCell ref="N74:O74"/>
    <mergeCell ref="N75:O75"/>
    <mergeCell ref="N76:O76"/>
    <mergeCell ref="N78:O78"/>
    <mergeCell ref="N79:O79"/>
    <mergeCell ref="N80:O80"/>
    <mergeCell ref="N68:O68"/>
    <mergeCell ref="N69:O69"/>
    <mergeCell ref="N70:O70"/>
    <mergeCell ref="N71:O71"/>
    <mergeCell ref="N72:O72"/>
    <mergeCell ref="N73:O73"/>
    <mergeCell ref="N87:O87"/>
    <mergeCell ref="N88:O88"/>
    <mergeCell ref="N89:O89"/>
    <mergeCell ref="N90:O90"/>
    <mergeCell ref="N91:O91"/>
    <mergeCell ref="N92:O92"/>
    <mergeCell ref="N81:O81"/>
    <mergeCell ref="N82:O82"/>
    <mergeCell ref="N83:O83"/>
    <mergeCell ref="N84:O84"/>
    <mergeCell ref="N85:O85"/>
    <mergeCell ref="N86:O86"/>
    <mergeCell ref="N99:O99"/>
    <mergeCell ref="N100:O100"/>
    <mergeCell ref="N101:O101"/>
    <mergeCell ref="N102:O102"/>
    <mergeCell ref="N103:O103"/>
    <mergeCell ref="N104:O104"/>
    <mergeCell ref="N93:O93"/>
    <mergeCell ref="N94:O94"/>
    <mergeCell ref="N95:O95"/>
    <mergeCell ref="N96:O96"/>
    <mergeCell ref="N97:O97"/>
    <mergeCell ref="N98:O98"/>
    <mergeCell ref="N112:O112"/>
    <mergeCell ref="N113:O113"/>
    <mergeCell ref="N114:O114"/>
    <mergeCell ref="N115:O115"/>
    <mergeCell ref="N116:O116"/>
    <mergeCell ref="N117:O117"/>
    <mergeCell ref="N105:O105"/>
    <mergeCell ref="N106:O106"/>
    <mergeCell ref="N108:O108"/>
    <mergeCell ref="N109:O109"/>
    <mergeCell ref="N110:O110"/>
    <mergeCell ref="N111:O111"/>
    <mergeCell ref="N124:O124"/>
    <mergeCell ref="N125:O125"/>
    <mergeCell ref="N126:O126"/>
    <mergeCell ref="N127:O127"/>
    <mergeCell ref="N128:O128"/>
    <mergeCell ref="N129:O129"/>
    <mergeCell ref="N118:O118"/>
    <mergeCell ref="N119:O119"/>
    <mergeCell ref="N120:O120"/>
    <mergeCell ref="N121:O121"/>
    <mergeCell ref="N122:O122"/>
    <mergeCell ref="N123:O123"/>
    <mergeCell ref="N136:O136"/>
    <mergeCell ref="A140:F140"/>
    <mergeCell ref="G140:K140"/>
    <mergeCell ref="N140:O140"/>
    <mergeCell ref="N130:O130"/>
    <mergeCell ref="N131:O131"/>
    <mergeCell ref="N132:O132"/>
    <mergeCell ref="N133:O133"/>
    <mergeCell ref="N134:O134"/>
    <mergeCell ref="N135:O135"/>
  </mergeCells>
  <conditionalFormatting sqref="A24">
    <cfRule type="expression" dxfId="90" priority="5">
      <formula>"or(B28&lt;$G$6,C28&lt;$G$6,D28&lt;$G$6,E28&lt;$G$6,F28&lt;$G$6,G28&lt;$G$6,H28&lt;$G$6,I28&lt;$G$6,J28&lt;$G$6,K28&lt;$G$6,)"</formula>
    </cfRule>
  </conditionalFormatting>
  <conditionalFormatting sqref="A31">
    <cfRule type="expression" dxfId="89" priority="8">
      <formula>"or(B28&lt;$G$6,C28&lt;$G$6,D28&lt;$G$6,E28&lt;$G$6,F28&lt;$G$6,G28&lt;$G$6,H28&lt;$G$6,I28&lt;$G$6,J28&lt;$G$6,K28&lt;$G$6,)"</formula>
    </cfRule>
  </conditionalFormatting>
  <conditionalFormatting sqref="A56">
    <cfRule type="expression" dxfId="88" priority="4">
      <formula>"or(B28&lt;$G$6,C28&lt;$G$6,D28&lt;$G$6,E28&lt;$G$6,F28&lt;$G$6,G28&lt;$G$6,H28&lt;$G$6,I28&lt;$G$6,J28&lt;$G$6,K28&lt;$G$6,)"</formula>
    </cfRule>
  </conditionalFormatting>
  <conditionalFormatting sqref="A63">
    <cfRule type="expression" dxfId="87" priority="7">
      <formula>"or(B28&lt;$G$6,C28&lt;$G$6,D28&lt;$G$6,E28&lt;$G$6,F28&lt;$G$6,G28&lt;$G$6,H28&lt;$G$6,I28&lt;$G$6,J28&lt;$G$6,K28&lt;$G$6,)"</formula>
    </cfRule>
  </conditionalFormatting>
  <conditionalFormatting sqref="A88">
    <cfRule type="expression" dxfId="86" priority="3">
      <formula>"or(B28&lt;$G$6,C28&lt;$G$6,D28&lt;$G$6,E28&lt;$G$6,F28&lt;$G$6,G28&lt;$G$6,H28&lt;$G$6,I28&lt;$G$6,J28&lt;$G$6,K28&lt;$G$6,)"</formula>
    </cfRule>
  </conditionalFormatting>
  <conditionalFormatting sqref="A95">
    <cfRule type="expression" dxfId="85" priority="6">
      <formula>"or(B28&lt;$G$6,C28&lt;$G$6,D28&lt;$G$6,E28&lt;$G$6,F28&lt;$G$6,G28&lt;$G$6,H28&lt;$G$6,I28&lt;$G$6,J28&lt;$G$6,K28&lt;$G$6,)"</formula>
    </cfRule>
  </conditionalFormatting>
  <conditionalFormatting sqref="A118">
    <cfRule type="expression" dxfId="84" priority="2">
      <formula>"or(B28&lt;$G$6,C28&lt;$G$6,D28&lt;$G$6,E28&lt;$G$6,F28&lt;$G$6,G28&lt;$G$6,H28&lt;$G$6,I28&lt;$G$6,J28&lt;$G$6,K28&lt;$G$6,)"</formula>
    </cfRule>
  </conditionalFormatting>
  <conditionalFormatting sqref="C9">
    <cfRule type="containsText" dxfId="83" priority="1" operator="containsText" text="Must be &gt;= 7%!">
      <formula>NOT(ISERROR(SEARCH("Must be &gt;= 7%!",C9)))</formula>
    </cfRule>
  </conditionalFormatting>
  <conditionalFormatting sqref="G7">
    <cfRule type="expression" dxfId="82" priority="9">
      <formula>$G$7&lt;$G$6</formula>
    </cfRule>
  </conditionalFormatting>
  <dataValidations count="2">
    <dataValidation type="list" allowBlank="1" showInputMessage="1" showErrorMessage="1" error="Please choose a response from the list provided by using the drop-down arrow to the right of the box." sqref="G9:G10" xr:uid="{AC01578D-9430-4F78-9651-BBA9F350FFDF}">
      <formula1>"Yes, No"</formula1>
    </dataValidation>
    <dataValidation type="decimal" operator="greaterThanOrEqual" allowBlank="1" showInputMessage="1" showErrorMessage="1" error="You must enter a percentage no less than 7%, unless you have previously been granted a DCA waiver." prompt="Enter a percentage no less than 7%, unless you have previously been granted a DCA waiver." sqref="B9" xr:uid="{CFEA28F1-39D1-4998-A39C-9BFEF1337D24}">
      <formula1>0.05</formula1>
    </dataValidation>
  </dataValidations>
  <pageMargins left="0.7" right="0.7" top="0.75" bottom="0.75" header="0.3" footer="0.3"/>
  <pageSetup scale="86"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4" manualBreakCount="4">
    <brk id="44" max="16383" man="1"/>
    <brk id="76" max="16383" man="1"/>
    <brk id="106" max="16383" man="1"/>
    <brk id="136"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430-001D-4981-B407-9A829A41F1AE}">
  <sheetPr codeName="Sheet23">
    <pageSetUpPr fitToPage="1"/>
  </sheetPr>
  <dimension ref="A1:AB581"/>
  <sheetViews>
    <sheetView showGridLines="0" topLeftCell="A257" zoomScale="70" zoomScaleNormal="70" workbookViewId="0">
      <selection activeCell="A273" sqref="A273"/>
    </sheetView>
  </sheetViews>
  <sheetFormatPr defaultColWidth="9.21875" defaultRowHeight="13.8"/>
  <cols>
    <col min="1" max="1" width="7.44140625" style="1396" customWidth="1"/>
    <col min="2" max="2" width="3.77734375" style="1396" customWidth="1"/>
    <col min="3" max="3" width="2.21875" style="1396" customWidth="1"/>
    <col min="4" max="10" width="8.77734375" style="1396" customWidth="1"/>
    <col min="11" max="11" width="7.5546875" style="1396" customWidth="1"/>
    <col min="12" max="14" width="9.21875" style="1396"/>
    <col min="15" max="15" width="9.44140625" style="1396" customWidth="1"/>
    <col min="16" max="17" width="10.21875" style="1396" customWidth="1"/>
    <col min="18" max="26" width="9.21875" style="1485"/>
    <col min="27" max="27" width="9.21875" style="1789"/>
    <col min="28" max="28" width="9.21875" style="1485"/>
    <col min="29" max="16384" width="9.21875" style="1399"/>
  </cols>
  <sheetData>
    <row r="1" spans="1:28" s="1379" customFormat="1" ht="13.2">
      <c r="A1" s="3154" t="str">
        <f>CONCATENATE("PART SEVEN - THRESHOLD CRITERIA","  -  ",'Part I-Project Identification'!$O$7," ",'Part I-Project Identification'!$F$27,", ",'Part I-Project Identification'!F28,", ",'Part I-Project Identification'!J28," County")</f>
        <v>PART SEVEN - THRESHOLD CRITERIA  -  2026-0xx The Groves, Tifton, Tift County</v>
      </c>
      <c r="B1" s="3154"/>
      <c r="C1" s="3154"/>
      <c r="D1" s="3154"/>
      <c r="E1" s="3154"/>
      <c r="F1" s="3154"/>
      <c r="G1" s="3154"/>
      <c r="H1" s="3154"/>
      <c r="I1" s="3154"/>
      <c r="J1" s="3154"/>
      <c r="K1" s="3154"/>
      <c r="L1" s="3154"/>
      <c r="M1" s="3154"/>
      <c r="N1" s="3154"/>
      <c r="O1" s="3154"/>
      <c r="P1" s="3154"/>
      <c r="Q1" s="3154"/>
      <c r="R1" s="1483"/>
      <c r="S1" s="1483"/>
      <c r="T1" s="1483"/>
      <c r="U1" s="1483"/>
      <c r="V1" s="1483"/>
      <c r="W1" s="1483"/>
      <c r="X1" s="1483"/>
      <c r="Y1" s="1483"/>
      <c r="Z1" s="1483"/>
      <c r="AA1" s="1787">
        <v>1</v>
      </c>
      <c r="AB1" s="1483"/>
    </row>
    <row r="2" spans="1:28" s="1379" customFormat="1" ht="13.2">
      <c r="R2" s="1483"/>
      <c r="S2" s="1483"/>
      <c r="T2" s="1483"/>
      <c r="U2" s="1483"/>
      <c r="V2" s="1483"/>
      <c r="W2" s="1483"/>
      <c r="X2" s="1483"/>
      <c r="Y2" s="1483"/>
      <c r="Z2" s="1483"/>
      <c r="AA2" s="1787">
        <v>2</v>
      </c>
      <c r="AB2" s="1483"/>
    </row>
    <row r="3" spans="1:28" s="1379" customFormat="1" ht="13.2">
      <c r="A3" s="3155" t="str">
        <f>IF(OR(P27="Fail",P43="Fail",P51="Fail",P59="Fail",P70="Fail",P80="Fail",P96="Fail",P105="Fail",P112="Fail",P119="Fail",P128="Fail",P137="Fail",P156="Fail",P166="Fail",P173="Fail",P183="Fail",P204="Fail",P219="Fail",P232="Fail",P246="Fail",P256="Fail",P266="Fail",P277="Fail",P286="Fail",P297="Fail",P305="Fail",P320="Fail"),"Preliminary Rating: FAIL",IF(OR(P27="",P43="",P51="",P59="",P70="",P80="",P96="",P105="",P112="",P119="",P128="",P137="",P156="",P166="",P173="",P183="",P204="",P219="",P232="",P246="",P256="",P266="",P277="",P286="",P297="",P305="",P320=""),"Preliminary Rating: Incomplete",IF(OR(P27="TBD",P43="TBD",P51="TBD",P59="TBD",P70="TBD",P80="TBD",P96="TBD",P105="TBD",P112="TBD",P119="TBD",P128="TBD",P137="TBD",P156="TBD",P166="TBD",P173="TBD",P183="TBD",P204="TBD",P219="TBD",P232="TBD",P246="TBD",P256="TBD",P266="TBD",P277="TBD",P286="TBD",P297="TBD",P305="TBD",P320="TBD"),"Preliminary Rating: TBD","")))</f>
        <v>Preliminary Rating: Incomplete</v>
      </c>
      <c r="B3" s="3155"/>
      <c r="C3" s="3155"/>
      <c r="D3" s="3155"/>
      <c r="E3" s="3155"/>
      <c r="F3" s="3155"/>
      <c r="G3" s="3155"/>
      <c r="H3" s="3155" t="str">
        <f>IF(AND(NOT(A3="Preliminary Rating: Fail"),NOT(A3="Preliminary Rating: Incomplete"),NOT(A3="Preliminary Rating: TBD"),OR(P27="Conditional Pass",P43="Conditional Pass",P51="Conditional Pass",P59="Conditional Pass",P70="Conditional Pass",P80="Conditional Pass",P96="Conditional Pass",P105="Conditional Pass",P112="Conditional Pass",P119="Conditional Pass",P128="Conditional Pass",P137="Conditional Pass",P156="Conditional Pass",P166="Conditional Pass",P173="Conditional Pass",P183="Conditional Pass",P204="Conditional Pass",P219="Conditional Pass",P232="Conditional Pass",P246="Conditional Pass",P256="Conditional Pass",P266="Conditional Pass",P277="Conditional Pass",P286="Conditional Pass",P297="Conditional Pass",P305="Conditional Pass",P320="Conditional Pass")),"Preliminary Rating: Conditional Pass","")</f>
        <v/>
      </c>
      <c r="I3" s="3155"/>
      <c r="J3" s="3155"/>
      <c r="K3" s="3155"/>
      <c r="L3" s="3155"/>
      <c r="M3" s="3155"/>
      <c r="N3" s="3155"/>
      <c r="O3" s="1380"/>
      <c r="P3" s="3156" t="s">
        <v>1430</v>
      </c>
      <c r="Q3" s="3158" t="s">
        <v>1431</v>
      </c>
      <c r="R3" s="1483"/>
      <c r="S3" s="1483"/>
      <c r="T3" s="1483"/>
      <c r="U3" s="1483"/>
      <c r="V3" s="1483"/>
      <c r="W3" s="1483"/>
      <c r="X3" s="1483"/>
      <c r="Y3" s="1483"/>
      <c r="Z3" s="1483"/>
      <c r="AA3" s="1787">
        <v>3</v>
      </c>
      <c r="AB3" s="1483"/>
    </row>
    <row r="4" spans="1:28" s="1379" customFormat="1" ht="13.2">
      <c r="A4" s="1381"/>
      <c r="B4" s="3160"/>
      <c r="C4" s="3160"/>
      <c r="D4" s="3160"/>
      <c r="E4" s="1381"/>
      <c r="F4" s="1381"/>
      <c r="G4" s="1381"/>
      <c r="H4" s="1381"/>
      <c r="I4" s="1380"/>
      <c r="J4" s="1382"/>
      <c r="K4" s="1381"/>
      <c r="L4" s="1381"/>
      <c r="M4" s="1381"/>
      <c r="N4" s="1381"/>
      <c r="O4" s="1380"/>
      <c r="P4" s="3156"/>
      <c r="Q4" s="3158"/>
      <c r="R4" s="1483"/>
      <c r="S4" s="1483"/>
      <c r="T4" s="1483"/>
      <c r="U4" s="1483"/>
      <c r="V4" s="1483"/>
      <c r="W4" s="1483"/>
      <c r="X4" s="1483"/>
      <c r="Y4" s="1483"/>
      <c r="Z4" s="1483"/>
      <c r="AA4" s="1787">
        <v>4</v>
      </c>
      <c r="AB4" s="1483"/>
    </row>
    <row r="5" spans="1:28" s="1379" customFormat="1" ht="18" customHeight="1">
      <c r="A5" s="1380"/>
      <c r="B5" s="1380"/>
      <c r="C5" s="1380"/>
      <c r="D5" s="1380"/>
      <c r="E5" s="3161" t="str">
        <f>'Part I-Project Identification'!A6</f>
        <v>May XX, 2026</v>
      </c>
      <c r="F5" s="3162"/>
      <c r="G5" s="3162"/>
      <c r="H5" s="3162"/>
      <c r="I5" s="3162"/>
      <c r="J5" s="1382"/>
      <c r="K5" s="1381"/>
      <c r="L5" s="1381"/>
      <c r="M5" s="1381"/>
      <c r="N5" s="1381"/>
      <c r="O5" s="1380"/>
      <c r="P5" s="3157"/>
      <c r="Q5" s="3159"/>
      <c r="R5" s="1483"/>
      <c r="S5" s="1483"/>
      <c r="T5" s="1483"/>
      <c r="U5" s="1483"/>
      <c r="V5" s="1483"/>
      <c r="W5" s="1483"/>
      <c r="X5" s="1483"/>
      <c r="Y5" s="1483"/>
      <c r="Z5" s="1483"/>
      <c r="AA5" s="1787">
        <v>5</v>
      </c>
      <c r="AB5" s="1483"/>
    </row>
    <row r="6" spans="1:28" s="1379" customFormat="1" ht="9" customHeight="1">
      <c r="A6" s="1380"/>
      <c r="B6" s="1380"/>
      <c r="C6" s="1380"/>
      <c r="D6" s="1380"/>
      <c r="E6" s="1383"/>
      <c r="F6" s="1383"/>
      <c r="G6" s="1383"/>
      <c r="H6" s="1383"/>
      <c r="I6" s="1383"/>
      <c r="J6" s="1382"/>
      <c r="K6" s="1380"/>
      <c r="L6" s="1384"/>
      <c r="M6" s="1382"/>
      <c r="N6" s="1381"/>
      <c r="O6" s="1380"/>
      <c r="P6" s="1385"/>
      <c r="Q6" s="1385"/>
      <c r="R6" s="1483"/>
      <c r="S6" s="1483"/>
      <c r="T6" s="1483"/>
      <c r="U6" s="1483"/>
      <c r="V6" s="1483"/>
      <c r="W6" s="1483"/>
      <c r="X6" s="1483"/>
      <c r="Y6" s="1483"/>
      <c r="Z6" s="1483"/>
      <c r="AA6" s="1787">
        <v>6</v>
      </c>
      <c r="AB6" s="1483"/>
    </row>
    <row r="7" spans="1:28" s="1379" customFormat="1" ht="30.75" customHeight="1">
      <c r="A7" s="3148" t="s">
        <v>1432</v>
      </c>
      <c r="B7" s="3148"/>
      <c r="C7" s="3148"/>
      <c r="D7" s="3148"/>
      <c r="E7" s="3148"/>
      <c r="F7" s="3148"/>
      <c r="G7" s="3148"/>
      <c r="H7" s="3148"/>
      <c r="I7" s="3148"/>
      <c r="J7" s="3148"/>
      <c r="K7" s="3148"/>
      <c r="L7" s="3148"/>
      <c r="M7" s="3148"/>
      <c r="N7" s="3148"/>
      <c r="O7" s="3148"/>
      <c r="P7" s="3148"/>
      <c r="Q7" s="3148"/>
      <c r="R7" s="1483"/>
      <c r="S7" s="1483"/>
      <c r="T7" s="1483"/>
      <c r="U7" s="1483"/>
      <c r="V7" s="1483"/>
      <c r="W7" s="1483"/>
      <c r="X7" s="1483"/>
      <c r="Y7" s="1483"/>
      <c r="Z7" s="1483"/>
      <c r="AA7" s="1787">
        <v>7</v>
      </c>
      <c r="AB7" s="1483"/>
    </row>
    <row r="8" spans="1:28" s="1379" customFormat="1" ht="9" customHeight="1">
      <c r="A8" s="1380"/>
      <c r="B8" s="1380"/>
      <c r="C8" s="1380"/>
      <c r="D8" s="1380"/>
      <c r="E8" s="1383"/>
      <c r="F8" s="1383"/>
      <c r="G8" s="1383"/>
      <c r="H8" s="1383"/>
      <c r="I8" s="1383"/>
      <c r="J8" s="1382"/>
      <c r="K8" s="1380"/>
      <c r="L8" s="1384"/>
      <c r="M8" s="1382"/>
      <c r="N8" s="1381"/>
      <c r="O8" s="1380"/>
      <c r="P8" s="1385"/>
      <c r="Q8" s="1385"/>
      <c r="R8" s="1483"/>
      <c r="S8" s="1483"/>
      <c r="T8" s="1483"/>
      <c r="U8" s="1483"/>
      <c r="V8" s="1483"/>
      <c r="W8" s="1483"/>
      <c r="X8" s="1483"/>
      <c r="Y8" s="1483"/>
      <c r="Z8" s="1483"/>
      <c r="AA8" s="1787">
        <v>8</v>
      </c>
      <c r="AB8" s="1483"/>
    </row>
    <row r="9" spans="1:28" s="1390" customFormat="1" ht="18" customHeight="1">
      <c r="A9" s="1386" t="s">
        <v>1433</v>
      </c>
      <c r="B9" s="1387"/>
      <c r="C9" s="1387"/>
      <c r="D9" s="1387"/>
      <c r="E9" s="1387"/>
      <c r="F9" s="1387"/>
      <c r="G9" s="1387"/>
      <c r="H9" s="1387"/>
      <c r="I9" s="1388"/>
      <c r="J9" s="1388"/>
      <c r="K9" s="1389"/>
      <c r="L9" s="1389"/>
      <c r="M9" s="1389"/>
      <c r="N9" s="1389"/>
      <c r="O9" s="1389"/>
      <c r="P9" s="3149"/>
      <c r="Q9" s="3150"/>
      <c r="R9" s="1484"/>
      <c r="S9" s="1484"/>
      <c r="T9" s="1484"/>
      <c r="U9" s="1484"/>
      <c r="V9" s="1484"/>
      <c r="W9" s="1484"/>
      <c r="X9" s="1484"/>
      <c r="Y9" s="1484"/>
      <c r="Z9" s="1484"/>
      <c r="AA9" s="1788">
        <v>9</v>
      </c>
      <c r="AB9" s="1484"/>
    </row>
    <row r="10" spans="1:28" s="1390" customFormat="1" ht="14.4">
      <c r="A10" s="1391" t="s">
        <v>1434</v>
      </c>
      <c r="B10" s="1387"/>
      <c r="C10" s="1387"/>
      <c r="D10" s="1387"/>
      <c r="E10" s="1387"/>
      <c r="F10" s="1387"/>
      <c r="G10" s="1387"/>
      <c r="H10" s="1392"/>
      <c r="I10" s="1393"/>
      <c r="J10" s="1393"/>
      <c r="K10" s="1392"/>
      <c r="L10" s="1392"/>
      <c r="M10" s="1394"/>
      <c r="N10" s="1394"/>
      <c r="O10" s="1387"/>
      <c r="P10" s="1387"/>
      <c r="Q10" s="1387"/>
      <c r="R10" s="1484"/>
      <c r="S10" s="1484"/>
      <c r="T10" s="1484"/>
      <c r="U10" s="1484"/>
      <c r="V10" s="1484"/>
      <c r="W10" s="1484"/>
      <c r="X10" s="1484"/>
      <c r="Y10" s="1484"/>
      <c r="Z10" s="1484"/>
      <c r="AA10" s="1787">
        <v>10</v>
      </c>
      <c r="AB10" s="1484"/>
    </row>
    <row r="11" spans="1:28" s="1390" customFormat="1">
      <c r="A11" s="3151" t="s">
        <v>1435</v>
      </c>
      <c r="B11" s="3152"/>
      <c r="C11" s="3152"/>
      <c r="D11" s="3152"/>
      <c r="E11" s="3152"/>
      <c r="F11" s="3152"/>
      <c r="G11" s="3152"/>
      <c r="H11" s="3152"/>
      <c r="I11" s="3152"/>
      <c r="J11" s="3152"/>
      <c r="K11" s="3152"/>
      <c r="L11" s="3152"/>
      <c r="M11" s="3152"/>
      <c r="N11" s="3152"/>
      <c r="O11" s="3152"/>
      <c r="P11" s="3152"/>
      <c r="Q11" s="3153"/>
      <c r="R11" s="1484"/>
      <c r="S11" s="1484"/>
      <c r="T11" s="1484"/>
      <c r="U11" s="1484"/>
      <c r="V11" s="1484"/>
      <c r="W11" s="1484"/>
      <c r="X11" s="1484"/>
      <c r="Y11" s="1484"/>
      <c r="Z11" s="1484"/>
      <c r="AA11" s="1787">
        <v>11</v>
      </c>
      <c r="AB11" s="1484"/>
    </row>
    <row r="12" spans="1:28" s="1390" customFormat="1">
      <c r="A12" s="3145" t="s">
        <v>1436</v>
      </c>
      <c r="B12" s="3146"/>
      <c r="C12" s="3146"/>
      <c r="D12" s="3146"/>
      <c r="E12" s="3146"/>
      <c r="F12" s="3146"/>
      <c r="G12" s="3146"/>
      <c r="H12" s="3146"/>
      <c r="I12" s="3146"/>
      <c r="J12" s="3146"/>
      <c r="K12" s="3146"/>
      <c r="L12" s="3146"/>
      <c r="M12" s="3146"/>
      <c r="N12" s="3146"/>
      <c r="O12" s="3146"/>
      <c r="P12" s="3146"/>
      <c r="Q12" s="3147"/>
      <c r="R12" s="1484"/>
      <c r="S12" s="1484"/>
      <c r="T12" s="1484"/>
      <c r="U12" s="1484"/>
      <c r="V12" s="1484"/>
      <c r="W12" s="1484"/>
      <c r="X12" s="1484"/>
      <c r="Y12" s="1484"/>
      <c r="Z12" s="1484"/>
      <c r="AA12" s="1787">
        <v>12</v>
      </c>
      <c r="AB12" s="1484"/>
    </row>
    <row r="13" spans="1:28" s="1390" customFormat="1">
      <c r="A13" s="3145" t="s">
        <v>1437</v>
      </c>
      <c r="B13" s="3146"/>
      <c r="C13" s="3146"/>
      <c r="D13" s="3146"/>
      <c r="E13" s="3146"/>
      <c r="F13" s="3146"/>
      <c r="G13" s="3146"/>
      <c r="H13" s="3146"/>
      <c r="I13" s="3146"/>
      <c r="J13" s="3146"/>
      <c r="K13" s="3146"/>
      <c r="L13" s="3146"/>
      <c r="M13" s="3146"/>
      <c r="N13" s="3146"/>
      <c r="O13" s="3146"/>
      <c r="P13" s="3146"/>
      <c r="Q13" s="3147"/>
      <c r="R13" s="1484"/>
      <c r="S13" s="1484"/>
      <c r="T13" s="1484"/>
      <c r="U13" s="1484"/>
      <c r="V13" s="1484"/>
      <c r="W13" s="1484"/>
      <c r="X13" s="1484"/>
      <c r="Y13" s="1484"/>
      <c r="Z13" s="1484"/>
      <c r="AA13" s="1787">
        <v>13</v>
      </c>
      <c r="AB13" s="1484"/>
    </row>
    <row r="14" spans="1:28" s="1390" customFormat="1">
      <c r="A14" s="3145" t="s">
        <v>1438</v>
      </c>
      <c r="B14" s="3146"/>
      <c r="C14" s="3146"/>
      <c r="D14" s="3146"/>
      <c r="E14" s="3146"/>
      <c r="F14" s="3146"/>
      <c r="G14" s="3146"/>
      <c r="H14" s="3146"/>
      <c r="I14" s="3146"/>
      <c r="J14" s="3146"/>
      <c r="K14" s="3146"/>
      <c r="L14" s="3146"/>
      <c r="M14" s="3146"/>
      <c r="N14" s="3146"/>
      <c r="O14" s="3146"/>
      <c r="P14" s="3146"/>
      <c r="Q14" s="3147"/>
      <c r="R14" s="1484"/>
      <c r="S14" s="1484"/>
      <c r="T14" s="1484"/>
      <c r="U14" s="1484"/>
      <c r="V14" s="1484"/>
      <c r="W14" s="1484"/>
      <c r="X14" s="1484"/>
      <c r="Y14" s="1484"/>
      <c r="Z14" s="1484"/>
      <c r="AA14" s="1787">
        <v>14</v>
      </c>
      <c r="AB14" s="1484"/>
    </row>
    <row r="15" spans="1:28" s="1390" customFormat="1">
      <c r="A15" s="3145" t="s">
        <v>1439</v>
      </c>
      <c r="B15" s="3146"/>
      <c r="C15" s="3146"/>
      <c r="D15" s="3146"/>
      <c r="E15" s="3146"/>
      <c r="F15" s="3146"/>
      <c r="G15" s="3146"/>
      <c r="H15" s="3146"/>
      <c r="I15" s="3146"/>
      <c r="J15" s="3146"/>
      <c r="K15" s="3146"/>
      <c r="L15" s="3146"/>
      <c r="M15" s="3146"/>
      <c r="N15" s="3146"/>
      <c r="O15" s="3146"/>
      <c r="P15" s="3146"/>
      <c r="Q15" s="3147"/>
      <c r="R15" s="1484"/>
      <c r="S15" s="1484"/>
      <c r="T15" s="1484"/>
      <c r="U15" s="1484"/>
      <c r="V15" s="1484"/>
      <c r="W15" s="1484"/>
      <c r="X15" s="1484"/>
      <c r="Y15" s="1484"/>
      <c r="Z15" s="1484"/>
      <c r="AA15" s="1787">
        <v>15</v>
      </c>
      <c r="AB15" s="1484"/>
    </row>
    <row r="16" spans="1:28" s="1390" customFormat="1">
      <c r="A16" s="3145" t="s">
        <v>1440</v>
      </c>
      <c r="B16" s="3146"/>
      <c r="C16" s="3146"/>
      <c r="D16" s="3146"/>
      <c r="E16" s="3146"/>
      <c r="F16" s="3146"/>
      <c r="G16" s="3146"/>
      <c r="H16" s="3146"/>
      <c r="I16" s="3146"/>
      <c r="J16" s="3146"/>
      <c r="K16" s="3146"/>
      <c r="L16" s="3146"/>
      <c r="M16" s="3146"/>
      <c r="N16" s="3146"/>
      <c r="O16" s="3146"/>
      <c r="P16" s="3146"/>
      <c r="Q16" s="3147"/>
      <c r="R16" s="1484"/>
      <c r="S16" s="1484"/>
      <c r="T16" s="1484"/>
      <c r="U16" s="1484"/>
      <c r="V16" s="1484"/>
      <c r="W16" s="1484"/>
      <c r="X16" s="1484"/>
      <c r="Y16" s="1484"/>
      <c r="Z16" s="1484"/>
      <c r="AA16" s="1787">
        <v>16</v>
      </c>
      <c r="AB16" s="1484"/>
    </row>
    <row r="17" spans="1:28" s="1390" customFormat="1">
      <c r="A17" s="3145" t="s">
        <v>1441</v>
      </c>
      <c r="B17" s="3146"/>
      <c r="C17" s="3146"/>
      <c r="D17" s="3146"/>
      <c r="E17" s="3146"/>
      <c r="F17" s="3146"/>
      <c r="G17" s="3146"/>
      <c r="H17" s="3146"/>
      <c r="I17" s="3146"/>
      <c r="J17" s="3146"/>
      <c r="K17" s="3146"/>
      <c r="L17" s="3146"/>
      <c r="M17" s="3146"/>
      <c r="N17" s="3146"/>
      <c r="O17" s="3146"/>
      <c r="P17" s="3146"/>
      <c r="Q17" s="3147"/>
      <c r="R17" s="1484"/>
      <c r="S17" s="1484"/>
      <c r="T17" s="1484"/>
      <c r="U17" s="1484"/>
      <c r="V17" s="1484"/>
      <c r="W17" s="1484"/>
      <c r="X17" s="1484"/>
      <c r="Y17" s="1484"/>
      <c r="Z17" s="1484"/>
      <c r="AA17" s="1787">
        <v>17</v>
      </c>
      <c r="AB17" s="1484"/>
    </row>
    <row r="18" spans="1:28" s="1390" customFormat="1">
      <c r="A18" s="3145" t="s">
        <v>1442</v>
      </c>
      <c r="B18" s="3146"/>
      <c r="C18" s="3146"/>
      <c r="D18" s="3146"/>
      <c r="E18" s="3146"/>
      <c r="F18" s="3146"/>
      <c r="G18" s="3146"/>
      <c r="H18" s="3146"/>
      <c r="I18" s="3146"/>
      <c r="J18" s="3146"/>
      <c r="K18" s="3146"/>
      <c r="L18" s="3146"/>
      <c r="M18" s="3146"/>
      <c r="N18" s="3146"/>
      <c r="O18" s="3146"/>
      <c r="P18" s="3146"/>
      <c r="Q18" s="3147"/>
      <c r="R18" s="1484"/>
      <c r="S18" s="1484"/>
      <c r="T18" s="1484"/>
      <c r="U18" s="1484"/>
      <c r="V18" s="1484"/>
      <c r="W18" s="1484"/>
      <c r="X18" s="1484"/>
      <c r="Y18" s="1484"/>
      <c r="Z18" s="1484"/>
      <c r="AA18" s="1788">
        <v>18</v>
      </c>
      <c r="AB18" s="1484"/>
    </row>
    <row r="19" spans="1:28" s="1390" customFormat="1">
      <c r="A19" s="3145" t="s">
        <v>1443</v>
      </c>
      <c r="B19" s="3146"/>
      <c r="C19" s="3146"/>
      <c r="D19" s="3146"/>
      <c r="E19" s="3146"/>
      <c r="F19" s="3146"/>
      <c r="G19" s="3146"/>
      <c r="H19" s="3146"/>
      <c r="I19" s="3146"/>
      <c r="J19" s="3146"/>
      <c r="K19" s="3146"/>
      <c r="L19" s="3146"/>
      <c r="M19" s="3146"/>
      <c r="N19" s="3146"/>
      <c r="O19" s="3146"/>
      <c r="P19" s="3146"/>
      <c r="Q19" s="3147"/>
      <c r="R19" s="1484"/>
      <c r="S19" s="1484"/>
      <c r="T19" s="1484"/>
      <c r="U19" s="1484"/>
      <c r="V19" s="1484"/>
      <c r="W19" s="1484"/>
      <c r="X19" s="1484"/>
      <c r="Y19" s="1484"/>
      <c r="Z19" s="1484"/>
      <c r="AA19" s="1787">
        <v>19</v>
      </c>
      <c r="AB19" s="1484"/>
    </row>
    <row r="20" spans="1:28" s="1390" customFormat="1">
      <c r="A20" s="3145" t="s">
        <v>1444</v>
      </c>
      <c r="B20" s="3146"/>
      <c r="C20" s="3146"/>
      <c r="D20" s="3146"/>
      <c r="E20" s="3146"/>
      <c r="F20" s="3146"/>
      <c r="G20" s="3146"/>
      <c r="H20" s="3146"/>
      <c r="I20" s="3146"/>
      <c r="J20" s="3146"/>
      <c r="K20" s="3146"/>
      <c r="L20" s="3146"/>
      <c r="M20" s="3146"/>
      <c r="N20" s="3146"/>
      <c r="O20" s="3146"/>
      <c r="P20" s="3146"/>
      <c r="Q20" s="3147"/>
      <c r="R20" s="1484"/>
      <c r="S20" s="1484"/>
      <c r="T20" s="1484"/>
      <c r="U20" s="1484"/>
      <c r="V20" s="1484"/>
      <c r="W20" s="1484"/>
      <c r="X20" s="1484"/>
      <c r="Y20" s="1484"/>
      <c r="Z20" s="1484"/>
      <c r="AA20" s="1787">
        <v>20</v>
      </c>
      <c r="AB20" s="1484"/>
    </row>
    <row r="21" spans="1:28" s="1390" customFormat="1">
      <c r="A21" s="3145" t="s">
        <v>1445</v>
      </c>
      <c r="B21" s="3146"/>
      <c r="C21" s="3146"/>
      <c r="D21" s="3146"/>
      <c r="E21" s="3146"/>
      <c r="F21" s="3146"/>
      <c r="G21" s="3146"/>
      <c r="H21" s="3146"/>
      <c r="I21" s="3146"/>
      <c r="J21" s="3146"/>
      <c r="K21" s="3146"/>
      <c r="L21" s="3146"/>
      <c r="M21" s="3146"/>
      <c r="N21" s="3146"/>
      <c r="O21" s="3146"/>
      <c r="P21" s="3146"/>
      <c r="Q21" s="3147"/>
      <c r="R21" s="1484"/>
      <c r="S21" s="1484"/>
      <c r="T21" s="1484"/>
      <c r="U21" s="1484"/>
      <c r="V21" s="1484"/>
      <c r="W21" s="1484"/>
      <c r="X21" s="1484"/>
      <c r="Y21" s="1484"/>
      <c r="Z21" s="1484"/>
      <c r="AA21" s="1787">
        <v>21</v>
      </c>
      <c r="AB21" s="1484"/>
    </row>
    <row r="22" spans="1:28" s="1390" customFormat="1">
      <c r="A22" s="3145" t="s">
        <v>1446</v>
      </c>
      <c r="B22" s="3146"/>
      <c r="C22" s="3146"/>
      <c r="D22" s="3146"/>
      <c r="E22" s="3146"/>
      <c r="F22" s="3146"/>
      <c r="G22" s="3146"/>
      <c r="H22" s="3146"/>
      <c r="I22" s="3146"/>
      <c r="J22" s="3146"/>
      <c r="K22" s="3146"/>
      <c r="L22" s="3146"/>
      <c r="M22" s="3146"/>
      <c r="N22" s="3146"/>
      <c r="O22" s="3146"/>
      <c r="P22" s="3146"/>
      <c r="Q22" s="3147"/>
      <c r="R22" s="1484"/>
      <c r="S22" s="1484"/>
      <c r="T22" s="1484"/>
      <c r="U22" s="1484"/>
      <c r="V22" s="1484"/>
      <c r="W22" s="1484"/>
      <c r="X22" s="1484"/>
      <c r="Y22" s="1484"/>
      <c r="Z22" s="1484"/>
      <c r="AA22" s="1787">
        <v>22</v>
      </c>
      <c r="AB22" s="1484"/>
    </row>
    <row r="23" spans="1:28" s="1390" customFormat="1">
      <c r="A23" s="3145" t="s">
        <v>1447</v>
      </c>
      <c r="B23" s="3146"/>
      <c r="C23" s="3146"/>
      <c r="D23" s="3146"/>
      <c r="E23" s="3146"/>
      <c r="F23" s="3146"/>
      <c r="G23" s="3146"/>
      <c r="H23" s="3146"/>
      <c r="I23" s="3146"/>
      <c r="J23" s="3146"/>
      <c r="K23" s="3146"/>
      <c r="L23" s="3146"/>
      <c r="M23" s="3146"/>
      <c r="N23" s="3146"/>
      <c r="O23" s="3146"/>
      <c r="P23" s="3146"/>
      <c r="Q23" s="3147"/>
      <c r="R23" s="1484"/>
      <c r="S23" s="1484"/>
      <c r="T23" s="1484"/>
      <c r="U23" s="1484"/>
      <c r="V23" s="1484"/>
      <c r="W23" s="1484"/>
      <c r="X23" s="1484"/>
      <c r="Y23" s="1484"/>
      <c r="Z23" s="1484"/>
      <c r="AA23" s="1787">
        <v>23</v>
      </c>
      <c r="AB23" s="1484"/>
    </row>
    <row r="24" spans="1:28" s="1390" customFormat="1">
      <c r="A24" s="3145" t="s">
        <v>1448</v>
      </c>
      <c r="B24" s="3146"/>
      <c r="C24" s="3146"/>
      <c r="D24" s="3146"/>
      <c r="E24" s="3146"/>
      <c r="F24" s="3146"/>
      <c r="G24" s="3146"/>
      <c r="H24" s="3146"/>
      <c r="I24" s="3146"/>
      <c r="J24" s="3146"/>
      <c r="K24" s="3146"/>
      <c r="L24" s="3146"/>
      <c r="M24" s="3146"/>
      <c r="N24" s="3146"/>
      <c r="O24" s="3146"/>
      <c r="P24" s="3146"/>
      <c r="Q24" s="3147"/>
      <c r="R24" s="1484"/>
      <c r="S24" s="1484"/>
      <c r="T24" s="1484"/>
      <c r="U24" s="1484"/>
      <c r="V24" s="1484"/>
      <c r="W24" s="1484"/>
      <c r="X24" s="1484"/>
      <c r="Y24" s="1484"/>
      <c r="Z24" s="1484"/>
      <c r="AA24" s="1787">
        <v>24</v>
      </c>
      <c r="AB24" s="1484"/>
    </row>
    <row r="25" spans="1:28" s="1390" customFormat="1">
      <c r="A25" s="3139" t="s">
        <v>1449</v>
      </c>
      <c r="B25" s="3140"/>
      <c r="C25" s="3140"/>
      <c r="D25" s="3140"/>
      <c r="E25" s="3140"/>
      <c r="F25" s="3140"/>
      <c r="G25" s="3140"/>
      <c r="H25" s="3140"/>
      <c r="I25" s="3140"/>
      <c r="J25" s="3140"/>
      <c r="K25" s="3140"/>
      <c r="L25" s="3140"/>
      <c r="M25" s="3140"/>
      <c r="N25" s="3140"/>
      <c r="O25" s="3140"/>
      <c r="P25" s="3140"/>
      <c r="Q25" s="3141"/>
      <c r="R25" s="1484"/>
      <c r="S25" s="1484"/>
      <c r="T25" s="1484"/>
      <c r="U25" s="1484"/>
      <c r="V25" s="1484"/>
      <c r="W25" s="1484"/>
      <c r="X25" s="1484"/>
      <c r="Y25" s="1484"/>
      <c r="Z25" s="1484"/>
      <c r="AA25" s="1787">
        <v>25</v>
      </c>
      <c r="AB25" s="1484"/>
    </row>
    <row r="26" spans="1:28" s="1390" customFormat="1" ht="12.75" customHeight="1">
      <c r="A26" s="1387"/>
      <c r="B26" s="1387"/>
      <c r="C26" s="1387"/>
      <c r="D26" s="1387"/>
      <c r="E26" s="1387"/>
      <c r="F26" s="1387"/>
      <c r="G26" s="1387"/>
      <c r="H26" s="1387"/>
      <c r="I26" s="1387"/>
      <c r="J26" s="1387"/>
      <c r="K26" s="1387"/>
      <c r="L26" s="1387"/>
      <c r="M26" s="1387"/>
      <c r="N26" s="1387"/>
      <c r="O26" s="1387"/>
      <c r="P26" s="1387"/>
      <c r="Q26" s="1387"/>
      <c r="R26" s="1484"/>
      <c r="S26" s="1484"/>
      <c r="T26" s="1484"/>
      <c r="U26" s="1484"/>
      <c r="V26" s="1484"/>
      <c r="W26" s="1484"/>
      <c r="X26" s="1484"/>
      <c r="Y26" s="1484"/>
      <c r="Z26" s="1484"/>
      <c r="AA26" s="1787">
        <v>26</v>
      </c>
      <c r="AB26" s="1484"/>
    </row>
    <row r="27" spans="1:28" ht="20.25" customHeight="1">
      <c r="A27" s="2550" t="s">
        <v>21</v>
      </c>
      <c r="B27" s="1395" t="s">
        <v>1450</v>
      </c>
      <c r="C27" s="1395"/>
      <c r="D27" s="1395"/>
      <c r="E27" s="1395"/>
      <c r="F27" s="1395"/>
      <c r="G27" s="1395"/>
      <c r="I27" s="1397"/>
      <c r="J27" s="1397"/>
      <c r="K27" s="1397"/>
      <c r="L27" s="1394"/>
      <c r="M27" s="1394"/>
      <c r="O27" s="1398" t="s">
        <v>1451</v>
      </c>
      <c r="P27" s="3142"/>
      <c r="Q27" s="3143"/>
      <c r="AA27" s="1787">
        <v>27</v>
      </c>
    </row>
    <row r="28" spans="1:28" ht="13.5" customHeight="1">
      <c r="B28" s="1400" t="s">
        <v>1452</v>
      </c>
      <c r="C28" s="1400"/>
      <c r="D28" s="1400"/>
      <c r="E28" s="1400"/>
      <c r="F28" s="1400"/>
      <c r="G28" s="1397"/>
      <c r="H28" s="1397"/>
      <c r="I28" s="1397"/>
      <c r="J28" s="1397"/>
      <c r="K28" s="1394"/>
      <c r="L28" s="1394"/>
      <c r="M28" s="1394"/>
      <c r="N28" s="1394"/>
      <c r="O28" s="1394"/>
      <c r="P28" s="1394"/>
      <c r="AA28" s="1787">
        <v>28</v>
      </c>
    </row>
    <row r="29" spans="1:28" ht="111" customHeight="1">
      <c r="A29" s="3010" t="s">
        <v>7680</v>
      </c>
      <c r="B29" s="3010"/>
      <c r="C29" s="3010"/>
      <c r="D29" s="3010"/>
      <c r="E29" s="3010"/>
      <c r="F29" s="3010"/>
      <c r="G29" s="3010"/>
      <c r="H29" s="3010"/>
      <c r="I29" s="3010"/>
      <c r="J29" s="3010"/>
      <c r="K29" s="3010"/>
      <c r="L29" s="3010"/>
      <c r="M29" s="3010"/>
      <c r="N29" s="3010"/>
      <c r="O29" s="3010"/>
      <c r="P29" s="3010"/>
      <c r="Q29" s="3076"/>
      <c r="AA29" s="1787">
        <v>29</v>
      </c>
    </row>
    <row r="30" spans="1:28" ht="15.75" customHeight="1">
      <c r="B30" s="1400" t="s">
        <v>1453</v>
      </c>
      <c r="C30" s="1401"/>
      <c r="D30" s="2545"/>
      <c r="E30" s="2545"/>
      <c r="F30" s="2545"/>
      <c r="G30" s="2545"/>
      <c r="H30" s="2545"/>
      <c r="I30" s="2545"/>
      <c r="J30" s="2545"/>
      <c r="K30" s="2545"/>
      <c r="L30" s="2545"/>
      <c r="M30" s="2545"/>
      <c r="N30" s="2545"/>
      <c r="O30" s="2545"/>
      <c r="P30" s="2545"/>
      <c r="AA30" s="1787">
        <v>30</v>
      </c>
    </row>
    <row r="31" spans="1:28" ht="30" customHeight="1">
      <c r="A31" s="3095"/>
      <c r="B31" s="3095"/>
      <c r="C31" s="3095"/>
      <c r="D31" s="3095"/>
      <c r="E31" s="3095"/>
      <c r="F31" s="3095"/>
      <c r="G31" s="3095"/>
      <c r="H31" s="3095"/>
      <c r="I31" s="3095"/>
      <c r="J31" s="3095"/>
      <c r="K31" s="3095"/>
      <c r="L31" s="3095"/>
      <c r="M31" s="3095"/>
      <c r="N31" s="3095"/>
      <c r="O31" s="3095"/>
      <c r="P31" s="3095"/>
      <c r="Q31" s="3095"/>
      <c r="AA31" s="1787">
        <v>31</v>
      </c>
    </row>
    <row r="32" spans="1:28" ht="11.25" customHeight="1">
      <c r="B32" s="1397"/>
      <c r="C32" s="2545"/>
      <c r="D32" s="2545"/>
      <c r="E32" s="2545"/>
      <c r="F32" s="2545"/>
      <c r="G32" s="2545"/>
      <c r="H32" s="2545"/>
      <c r="I32" s="2545"/>
      <c r="J32" s="2545"/>
      <c r="K32" s="2545"/>
      <c r="L32" s="2545"/>
      <c r="M32" s="2545"/>
      <c r="N32" s="2545"/>
      <c r="O32" s="2545"/>
      <c r="P32" s="2545"/>
      <c r="Q32" s="1394"/>
      <c r="AA32" s="1787">
        <v>32</v>
      </c>
    </row>
    <row r="33" spans="1:27" ht="21" customHeight="1">
      <c r="A33" s="2329" t="s">
        <v>25</v>
      </c>
      <c r="B33" s="2329" t="s">
        <v>1454</v>
      </c>
      <c r="C33" s="2545"/>
      <c r="D33" s="2545"/>
      <c r="E33" s="2545"/>
      <c r="F33" s="2545"/>
      <c r="G33" s="2545"/>
      <c r="H33" s="2545"/>
      <c r="I33" s="2545"/>
      <c r="J33" s="2545"/>
      <c r="K33" s="2545"/>
      <c r="L33" s="2545"/>
      <c r="M33" s="2545"/>
      <c r="N33" s="2545"/>
      <c r="O33" s="1398" t="s">
        <v>1451</v>
      </c>
      <c r="P33" s="3016"/>
      <c r="Q33" s="3064"/>
      <c r="AA33" s="1787"/>
    </row>
    <row r="34" spans="1:27" ht="15" customHeight="1">
      <c r="A34" s="1399"/>
      <c r="B34" s="1396" t="s">
        <v>1455</v>
      </c>
      <c r="C34" s="1399"/>
      <c r="D34" s="1399"/>
      <c r="E34" s="1399"/>
      <c r="F34" s="1399"/>
      <c r="G34" s="1399"/>
      <c r="H34" s="1399"/>
      <c r="I34" s="1399"/>
      <c r="J34" s="1399"/>
      <c r="K34" s="1399"/>
      <c r="L34" s="1399"/>
      <c r="M34" s="1399"/>
      <c r="N34" s="1397"/>
      <c r="O34" s="1399"/>
      <c r="P34" s="3043" t="s">
        <v>7474</v>
      </c>
      <c r="Q34" s="3068"/>
      <c r="AA34" s="1787"/>
    </row>
    <row r="35" spans="1:27" ht="16.5" customHeight="1">
      <c r="A35" s="1399"/>
      <c r="B35" s="3018" t="s">
        <v>1456</v>
      </c>
      <c r="C35" s="3018"/>
      <c r="D35" s="3018"/>
      <c r="E35" s="3018"/>
      <c r="F35" s="3018"/>
      <c r="G35" s="3018"/>
      <c r="H35" s="3018"/>
      <c r="I35" s="3018"/>
      <c r="J35" s="3018"/>
      <c r="K35" s="3018"/>
      <c r="L35" s="3018"/>
      <c r="M35" s="3018"/>
      <c r="N35" s="3018"/>
      <c r="O35" s="3018"/>
      <c r="P35" s="3085" t="s">
        <v>7681</v>
      </c>
      <c r="Q35" s="3086"/>
      <c r="AA35" s="1787"/>
    </row>
    <row r="36" spans="1:27" ht="11.25" customHeight="1">
      <c r="B36" s="1397"/>
      <c r="C36" s="2545"/>
      <c r="D36" s="2545"/>
      <c r="E36" s="2545"/>
      <c r="F36" s="2545"/>
      <c r="G36" s="2545"/>
      <c r="H36" s="2545"/>
      <c r="I36" s="2545"/>
      <c r="J36" s="2545"/>
      <c r="K36" s="2545"/>
      <c r="L36" s="2545"/>
      <c r="M36" s="2545"/>
      <c r="N36" s="2545"/>
      <c r="O36" s="2545"/>
      <c r="P36" s="2545"/>
      <c r="Q36" s="1394"/>
      <c r="AA36" s="1787"/>
    </row>
    <row r="37" spans="1:27" ht="11.25" customHeight="1">
      <c r="B37" s="1402" t="s">
        <v>1457</v>
      </c>
      <c r="D37" s="1402"/>
      <c r="E37" s="1402"/>
      <c r="F37" s="1402"/>
      <c r="G37" s="1402"/>
      <c r="H37" s="2549"/>
      <c r="I37" s="1397"/>
      <c r="J37" s="1397"/>
      <c r="AA37" s="1787"/>
    </row>
    <row r="38" spans="1:27" ht="15" customHeight="1">
      <c r="A38" s="3054" t="s">
        <v>7682</v>
      </c>
      <c r="B38" s="3055"/>
      <c r="C38" s="3055"/>
      <c r="D38" s="3055"/>
      <c r="E38" s="3055"/>
      <c r="F38" s="3055"/>
      <c r="G38" s="3055"/>
      <c r="H38" s="3055"/>
      <c r="I38" s="3055"/>
      <c r="J38" s="3055"/>
      <c r="K38" s="3055"/>
      <c r="L38" s="3055"/>
      <c r="M38" s="3055"/>
      <c r="N38" s="3055"/>
      <c r="O38" s="3055"/>
      <c r="P38" s="3055"/>
      <c r="Q38" s="3056"/>
      <c r="AA38" s="1787"/>
    </row>
    <row r="39" spans="1:27" ht="11.25" customHeight="1">
      <c r="A39" s="1394"/>
      <c r="B39" s="1400" t="s">
        <v>1453</v>
      </c>
      <c r="C39" s="1394"/>
      <c r="D39" s="1394"/>
      <c r="E39" s="1394"/>
      <c r="F39" s="1394"/>
      <c r="G39" s="1394"/>
      <c r="H39" s="1394"/>
      <c r="I39" s="2545"/>
      <c r="J39" s="2545"/>
      <c r="K39" s="2545"/>
      <c r="L39" s="2545"/>
      <c r="M39" s="2545"/>
      <c r="N39" s="2545"/>
      <c r="O39" s="2545"/>
      <c r="P39" s="2545"/>
      <c r="Q39" s="1394"/>
      <c r="AA39" s="1787"/>
    </row>
    <row r="40" spans="1:27" ht="16.5" customHeight="1">
      <c r="A40" s="3095"/>
      <c r="B40" s="3095"/>
      <c r="C40" s="3095"/>
      <c r="D40" s="3095"/>
      <c r="E40" s="3095"/>
      <c r="F40" s="3095"/>
      <c r="G40" s="3095"/>
      <c r="H40" s="3095"/>
      <c r="I40" s="3095"/>
      <c r="J40" s="3095"/>
      <c r="K40" s="3095"/>
      <c r="L40" s="3095"/>
      <c r="M40" s="3095"/>
      <c r="N40" s="3095"/>
      <c r="O40" s="3095"/>
      <c r="P40" s="3095"/>
      <c r="Q40" s="3095"/>
      <c r="AA40" s="1787"/>
    </row>
    <row r="41" spans="1:27" ht="11.25" customHeight="1">
      <c r="B41" s="1397"/>
      <c r="C41" s="2545"/>
      <c r="D41" s="2545"/>
      <c r="E41" s="2545"/>
      <c r="F41" s="2545"/>
      <c r="G41" s="2545"/>
      <c r="H41" s="2545"/>
      <c r="I41" s="2545"/>
      <c r="J41" s="2545"/>
      <c r="K41" s="2545"/>
      <c r="L41" s="2545"/>
      <c r="M41" s="2545"/>
      <c r="N41" s="2545"/>
      <c r="O41" s="2545"/>
      <c r="P41" s="2545"/>
      <c r="Q41" s="1394"/>
      <c r="AA41" s="1787"/>
    </row>
    <row r="42" spans="1:27" ht="11.25" customHeight="1">
      <c r="B42" s="1397"/>
      <c r="C42" s="2545"/>
      <c r="D42" s="2545"/>
      <c r="E42" s="2545"/>
      <c r="F42" s="2545"/>
      <c r="G42" s="2545"/>
      <c r="H42" s="2545"/>
      <c r="I42" s="2545"/>
      <c r="J42" s="2545"/>
      <c r="K42" s="2545"/>
      <c r="L42" s="2545"/>
      <c r="M42" s="2545"/>
      <c r="N42" s="2545"/>
      <c r="O42" s="2545"/>
      <c r="P42" s="2545"/>
      <c r="Q42" s="1394"/>
      <c r="AA42" s="1787"/>
    </row>
    <row r="43" spans="1:27" ht="20.25" customHeight="1">
      <c r="A43" s="2550" t="s">
        <v>32</v>
      </c>
      <c r="B43" s="1395" t="s">
        <v>1458</v>
      </c>
      <c r="C43" s="1395"/>
      <c r="D43" s="1395"/>
      <c r="E43" s="2545"/>
      <c r="F43" s="2545"/>
      <c r="G43" s="2549"/>
      <c r="O43" s="1398" t="s">
        <v>1451</v>
      </c>
      <c r="P43" s="3016"/>
      <c r="Q43" s="3144"/>
      <c r="AA43" s="1788">
        <v>33</v>
      </c>
    </row>
    <row r="44" spans="1:27" ht="18.75" customHeight="1">
      <c r="A44" s="2550"/>
      <c r="B44" s="3138" t="s">
        <v>1459</v>
      </c>
      <c r="C44" s="3138"/>
      <c r="D44" s="3138"/>
      <c r="E44" s="3138"/>
      <c r="F44" s="3138"/>
      <c r="G44" s="3138"/>
      <c r="H44" s="3138"/>
      <c r="I44" s="3138"/>
      <c r="J44" s="3138"/>
      <c r="K44" s="3138"/>
      <c r="L44" s="3138"/>
      <c r="M44" s="3138"/>
      <c r="N44" s="3138"/>
      <c r="O44" s="3138"/>
      <c r="P44" s="3057" t="s">
        <v>7444</v>
      </c>
      <c r="Q44" s="3059"/>
      <c r="AA44" s="1787">
        <v>34</v>
      </c>
    </row>
    <row r="45" spans="1:27" ht="15.75" customHeight="1">
      <c r="B45" s="1402" t="s">
        <v>1457</v>
      </c>
      <c r="D45" s="1402"/>
      <c r="E45" s="1402"/>
      <c r="F45" s="1402"/>
      <c r="G45" s="1402"/>
      <c r="H45" s="2549"/>
      <c r="I45" s="1397"/>
      <c r="J45" s="1397"/>
      <c r="AA45" s="1787">
        <v>35</v>
      </c>
    </row>
    <row r="46" spans="1:27" ht="15" customHeight="1">
      <c r="A46" s="3054" t="s">
        <v>7683</v>
      </c>
      <c r="B46" s="3055"/>
      <c r="C46" s="3055"/>
      <c r="D46" s="3055"/>
      <c r="E46" s="3055"/>
      <c r="F46" s="3055"/>
      <c r="G46" s="3055"/>
      <c r="H46" s="3055"/>
      <c r="I46" s="3055"/>
      <c r="J46" s="3055"/>
      <c r="K46" s="3055"/>
      <c r="L46" s="3055"/>
      <c r="M46" s="3055"/>
      <c r="N46" s="3055"/>
      <c r="O46" s="3055"/>
      <c r="P46" s="3055"/>
      <c r="Q46" s="3056"/>
      <c r="AA46" s="1787">
        <v>36</v>
      </c>
    </row>
    <row r="47" spans="1:27" ht="15.75" customHeight="1">
      <c r="A47" s="1394"/>
      <c r="B47" s="1400" t="s">
        <v>1453</v>
      </c>
      <c r="C47" s="1394"/>
      <c r="D47" s="1394"/>
      <c r="E47" s="1394"/>
      <c r="F47" s="1394"/>
      <c r="G47" s="1394"/>
      <c r="H47" s="1394"/>
      <c r="I47" s="2545"/>
      <c r="J47" s="2545"/>
      <c r="K47" s="2545"/>
      <c r="L47" s="2545"/>
      <c r="M47" s="2545"/>
      <c r="N47" s="2545"/>
      <c r="O47" s="2545"/>
      <c r="P47" s="2545"/>
      <c r="Q47" s="1394"/>
      <c r="AA47" s="1787">
        <v>37</v>
      </c>
    </row>
    <row r="48" spans="1:27" ht="15" customHeight="1">
      <c r="A48" s="3095"/>
      <c r="B48" s="3095"/>
      <c r="C48" s="3095"/>
      <c r="D48" s="3095"/>
      <c r="E48" s="3095"/>
      <c r="F48" s="3095"/>
      <c r="G48" s="3095"/>
      <c r="H48" s="3095"/>
      <c r="I48" s="3095"/>
      <c r="J48" s="3095"/>
      <c r="K48" s="3095"/>
      <c r="L48" s="3095"/>
      <c r="M48" s="3095"/>
      <c r="N48" s="3095"/>
      <c r="O48" s="3095"/>
      <c r="P48" s="3095"/>
      <c r="Q48" s="3095"/>
      <c r="AA48" s="1787">
        <v>38</v>
      </c>
    </row>
    <row r="49" spans="1:27" ht="7.5" customHeight="1">
      <c r="A49" s="1394"/>
      <c r="B49" s="2545"/>
      <c r="C49" s="2545"/>
      <c r="D49" s="2545"/>
      <c r="E49" s="2545"/>
      <c r="F49" s="2545"/>
      <c r="G49" s="2545"/>
      <c r="H49" s="2545"/>
      <c r="I49" s="2545"/>
      <c r="J49" s="2545"/>
      <c r="K49" s="2545"/>
      <c r="L49" s="2545"/>
      <c r="M49" s="2545"/>
      <c r="N49" s="2545"/>
      <c r="O49" s="2545"/>
      <c r="P49" s="2545"/>
      <c r="Q49" s="1394"/>
      <c r="AA49" s="1787">
        <v>39</v>
      </c>
    </row>
    <row r="50" spans="1:27" ht="7.5" customHeight="1">
      <c r="A50" s="1399"/>
      <c r="B50" s="1397"/>
      <c r="C50" s="2545"/>
      <c r="D50" s="2545"/>
      <c r="E50" s="2545"/>
      <c r="F50" s="2545"/>
      <c r="G50" s="2545"/>
      <c r="H50" s="2545"/>
      <c r="I50" s="2545"/>
      <c r="J50" s="2545"/>
      <c r="K50" s="2545"/>
      <c r="L50" s="2545"/>
      <c r="M50" s="2545"/>
      <c r="N50" s="2545"/>
      <c r="O50" s="2545"/>
      <c r="P50" s="2545"/>
      <c r="Q50" s="1394"/>
      <c r="AA50" s="1787">
        <v>40</v>
      </c>
    </row>
    <row r="51" spans="1:27" ht="20.25" customHeight="1">
      <c r="A51" s="2550" t="s">
        <v>44</v>
      </c>
      <c r="B51" s="2550" t="s">
        <v>1460</v>
      </c>
      <c r="C51" s="2550"/>
      <c r="D51" s="2545"/>
      <c r="E51" s="2545"/>
      <c r="F51" s="2545"/>
      <c r="G51" s="2545"/>
      <c r="H51" s="2545"/>
      <c r="I51" s="2545"/>
      <c r="J51" s="2545"/>
      <c r="L51" s="1403"/>
      <c r="M51" s="1404"/>
      <c r="O51" s="1398" t="s">
        <v>1451</v>
      </c>
      <c r="P51" s="3016"/>
      <c r="Q51" s="3025"/>
      <c r="AA51" s="1787">
        <v>41</v>
      </c>
    </row>
    <row r="52" spans="1:27" ht="20.25" customHeight="1">
      <c r="A52" s="1405"/>
      <c r="B52" s="2549" t="s">
        <v>1461</v>
      </c>
      <c r="C52" s="2550"/>
      <c r="D52" s="2545"/>
      <c r="E52" s="2545"/>
      <c r="F52" s="2545"/>
      <c r="G52" s="2545"/>
      <c r="H52" s="2545"/>
      <c r="I52" s="2545"/>
      <c r="J52" s="2545"/>
      <c r="L52" s="1403"/>
      <c r="M52" s="1404"/>
      <c r="O52" s="1398"/>
      <c r="P52" s="3057" t="s">
        <v>7444</v>
      </c>
      <c r="Q52" s="3059"/>
      <c r="AA52" s="1788">
        <v>42</v>
      </c>
    </row>
    <row r="53" spans="1:27" ht="15.75" customHeight="1">
      <c r="B53" s="1402" t="s">
        <v>1457</v>
      </c>
      <c r="D53" s="1402"/>
      <c r="E53" s="1402"/>
      <c r="F53" s="1402"/>
      <c r="G53" s="1402"/>
      <c r="H53" s="2549"/>
      <c r="I53" s="1397"/>
      <c r="J53" s="1397"/>
      <c r="AA53" s="1787">
        <v>43</v>
      </c>
    </row>
    <row r="54" spans="1:27" ht="30" customHeight="1">
      <c r="A54" s="3054" t="s">
        <v>7684</v>
      </c>
      <c r="B54" s="3055"/>
      <c r="C54" s="3055"/>
      <c r="D54" s="3055"/>
      <c r="E54" s="3055"/>
      <c r="F54" s="3055"/>
      <c r="G54" s="3055"/>
      <c r="H54" s="3055"/>
      <c r="I54" s="3055"/>
      <c r="J54" s="3055"/>
      <c r="K54" s="3055"/>
      <c r="L54" s="3055"/>
      <c r="M54" s="3055"/>
      <c r="N54" s="3055"/>
      <c r="O54" s="3055"/>
      <c r="P54" s="3055"/>
      <c r="Q54" s="3056"/>
      <c r="AA54" s="1787">
        <v>44</v>
      </c>
    </row>
    <row r="55" spans="1:27" ht="15.75" customHeight="1">
      <c r="A55" s="1394"/>
      <c r="B55" s="1400" t="s">
        <v>1453</v>
      </c>
      <c r="C55" s="1394"/>
      <c r="D55" s="1394"/>
      <c r="E55" s="1394"/>
      <c r="F55" s="1394"/>
      <c r="G55" s="1394"/>
      <c r="H55" s="1394"/>
      <c r="I55" s="2545"/>
      <c r="J55" s="2545"/>
      <c r="K55" s="2545"/>
      <c r="L55" s="2545"/>
      <c r="M55" s="2545"/>
      <c r="N55" s="2545"/>
      <c r="O55" s="2545"/>
      <c r="P55" s="2545"/>
      <c r="Q55" s="1394"/>
      <c r="AA55" s="1787">
        <v>45</v>
      </c>
    </row>
    <row r="56" spans="1:27" ht="15" customHeight="1">
      <c r="A56" s="3095"/>
      <c r="B56" s="3095"/>
      <c r="C56" s="3095"/>
      <c r="D56" s="3095"/>
      <c r="E56" s="3095"/>
      <c r="F56" s="3095"/>
      <c r="G56" s="3095"/>
      <c r="H56" s="3095"/>
      <c r="I56" s="3095"/>
      <c r="J56" s="3095"/>
      <c r="K56" s="3095"/>
      <c r="L56" s="3095"/>
      <c r="M56" s="3095"/>
      <c r="N56" s="3095"/>
      <c r="O56" s="3095"/>
      <c r="P56" s="3095"/>
      <c r="Q56" s="3095"/>
      <c r="AA56" s="1787">
        <v>46</v>
      </c>
    </row>
    <row r="57" spans="1:27" ht="7.5" customHeight="1">
      <c r="A57" s="1394"/>
      <c r="B57" s="1397"/>
      <c r="C57" s="2545"/>
      <c r="D57" s="2545"/>
      <c r="E57" s="2545"/>
      <c r="F57" s="2545"/>
      <c r="G57" s="2545"/>
      <c r="H57" s="2545"/>
      <c r="I57" s="2545"/>
      <c r="J57" s="2545"/>
      <c r="K57" s="2545"/>
      <c r="L57" s="2545"/>
      <c r="M57" s="2545"/>
      <c r="N57" s="2545"/>
      <c r="O57" s="2545"/>
      <c r="P57" s="2545"/>
      <c r="Q57" s="1394"/>
      <c r="AA57" s="1787">
        <v>47</v>
      </c>
    </row>
    <row r="58" spans="1:27" ht="7.5" customHeight="1">
      <c r="A58" s="2550"/>
      <c r="B58" s="1397"/>
      <c r="C58" s="2545"/>
      <c r="D58" s="2545"/>
      <c r="E58" s="2545"/>
      <c r="F58" s="2545"/>
      <c r="G58" s="2545"/>
      <c r="H58" s="2545"/>
      <c r="I58" s="2545"/>
      <c r="J58" s="2545"/>
      <c r="K58" s="2545"/>
      <c r="L58" s="2545"/>
      <c r="M58" s="2545"/>
      <c r="N58" s="2545"/>
      <c r="O58" s="2545"/>
      <c r="P58" s="2545"/>
      <c r="Q58" s="1394"/>
      <c r="AA58" s="1787">
        <v>48</v>
      </c>
    </row>
    <row r="59" spans="1:27" ht="20.25" customHeight="1">
      <c r="A59" s="2550" t="s">
        <v>58</v>
      </c>
      <c r="B59" s="2550" t="s">
        <v>1462</v>
      </c>
      <c r="C59" s="2550"/>
      <c r="D59" s="2545"/>
      <c r="E59" s="2545"/>
      <c r="F59" s="2545"/>
      <c r="G59" s="2545"/>
      <c r="H59" s="1406"/>
      <c r="J59" s="1405"/>
      <c r="K59" s="1388"/>
      <c r="L59" s="1405"/>
      <c r="M59" s="1407"/>
      <c r="O59" s="1398" t="s">
        <v>1451</v>
      </c>
      <c r="P59" s="3016"/>
      <c r="Q59" s="3025"/>
      <c r="AA59" s="1787">
        <v>49</v>
      </c>
    </row>
    <row r="60" spans="1:27" ht="15.75" customHeight="1">
      <c r="A60" s="1405"/>
      <c r="B60" s="1396" t="s">
        <v>1463</v>
      </c>
      <c r="L60" s="3010" t="s">
        <v>7685</v>
      </c>
      <c r="M60" s="3011"/>
      <c r="N60" s="3011"/>
      <c r="O60" s="3011"/>
      <c r="P60" s="3011"/>
      <c r="Q60" s="3012"/>
      <c r="AA60" s="1787">
        <v>50</v>
      </c>
    </row>
    <row r="61" spans="1:27" ht="16.05" customHeight="1">
      <c r="A61" s="1405"/>
      <c r="B61" s="1396" t="s">
        <v>1464</v>
      </c>
      <c r="D61" s="2548"/>
      <c r="E61" s="2548"/>
      <c r="F61" s="2548"/>
      <c r="N61" s="1408"/>
      <c r="O61" s="1408"/>
      <c r="P61" s="3168">
        <v>0.98799999999999999</v>
      </c>
      <c r="Q61" s="3169"/>
      <c r="AA61" s="1787">
        <v>51</v>
      </c>
    </row>
    <row r="62" spans="1:27" ht="15" customHeight="1">
      <c r="A62" s="1405"/>
      <c r="B62" s="1396" t="s">
        <v>1465</v>
      </c>
      <c r="D62" s="2548"/>
      <c r="E62" s="2548"/>
      <c r="F62" s="2548"/>
      <c r="L62" s="2549" t="s">
        <v>1466</v>
      </c>
      <c r="N62" s="1399"/>
      <c r="O62" s="1399"/>
      <c r="P62" s="3172">
        <v>8.3000000000000004E-2</v>
      </c>
      <c r="Q62" s="3173"/>
      <c r="AA62" s="1787">
        <v>52</v>
      </c>
    </row>
    <row r="63" spans="1:27" ht="15" customHeight="1">
      <c r="A63" s="1405"/>
      <c r="D63" s="2548"/>
      <c r="E63" s="2548"/>
      <c r="F63" s="2548"/>
      <c r="J63" s="1409"/>
      <c r="L63" s="1775" t="s">
        <v>1467</v>
      </c>
      <c r="N63" s="1399"/>
      <c r="O63" s="1399"/>
      <c r="P63" s="3170" t="s">
        <v>7390</v>
      </c>
      <c r="Q63" s="3171"/>
      <c r="AA63" s="1787">
        <v>53</v>
      </c>
    </row>
    <row r="64" spans="1:27" ht="15.75" customHeight="1">
      <c r="B64" s="1410" t="s">
        <v>1457</v>
      </c>
      <c r="D64" s="1410"/>
      <c r="E64" s="1410"/>
      <c r="F64" s="1410"/>
      <c r="G64" s="1410"/>
      <c r="H64" s="2549"/>
      <c r="I64" s="1397"/>
      <c r="J64" s="1397"/>
      <c r="K64" s="1397"/>
      <c r="L64" s="1394"/>
      <c r="M64" s="1394"/>
      <c r="N64" s="1394"/>
      <c r="O64" s="1394"/>
      <c r="P64" s="1394"/>
      <c r="Q64" s="1394"/>
      <c r="AA64" s="1787">
        <v>54</v>
      </c>
    </row>
    <row r="65" spans="1:27" ht="52.8" customHeight="1">
      <c r="A65" s="3010" t="s">
        <v>7686</v>
      </c>
      <c r="B65" s="3010"/>
      <c r="C65" s="3010"/>
      <c r="D65" s="3010"/>
      <c r="E65" s="3010"/>
      <c r="F65" s="3010"/>
      <c r="G65" s="3010"/>
      <c r="H65" s="3010"/>
      <c r="I65" s="3010"/>
      <c r="J65" s="3010"/>
      <c r="K65" s="3010"/>
      <c r="L65" s="3010"/>
      <c r="M65" s="3010"/>
      <c r="N65" s="3010"/>
      <c r="O65" s="3010"/>
      <c r="P65" s="3010"/>
      <c r="Q65" s="3076"/>
      <c r="AA65" s="1787">
        <v>55</v>
      </c>
    </row>
    <row r="66" spans="1:27" ht="15.75" customHeight="1">
      <c r="B66" s="1400" t="s">
        <v>1453</v>
      </c>
      <c r="C66" s="1401"/>
      <c r="D66" s="2545"/>
      <c r="E66" s="2545"/>
      <c r="F66" s="2545"/>
      <c r="G66" s="2545"/>
      <c r="H66" s="2545"/>
      <c r="I66" s="2545"/>
      <c r="J66" s="2545"/>
      <c r="K66" s="2545"/>
      <c r="L66" s="2545"/>
      <c r="M66" s="2545"/>
      <c r="N66" s="2545"/>
      <c r="O66" s="2545"/>
      <c r="P66" s="2545"/>
      <c r="Q66" s="2545"/>
      <c r="AA66" s="1787">
        <v>56</v>
      </c>
    </row>
    <row r="67" spans="1:27" ht="15" customHeight="1">
      <c r="A67" s="3013"/>
      <c r="B67" s="3013"/>
      <c r="C67" s="3013"/>
      <c r="D67" s="3013"/>
      <c r="E67" s="3013"/>
      <c r="F67" s="3013"/>
      <c r="G67" s="3013"/>
      <c r="H67" s="3013"/>
      <c r="I67" s="3013"/>
      <c r="J67" s="3013"/>
      <c r="K67" s="3013"/>
      <c r="L67" s="3013"/>
      <c r="M67" s="3013"/>
      <c r="N67" s="3013"/>
      <c r="O67" s="3013"/>
      <c r="P67" s="3013"/>
      <c r="Q67" s="3065"/>
      <c r="AA67" s="1788">
        <v>57</v>
      </c>
    </row>
    <row r="68" spans="1:27" ht="7.5" customHeight="1">
      <c r="A68" s="2545"/>
      <c r="B68" s="2545"/>
      <c r="C68" s="2545"/>
      <c r="D68" s="2545"/>
      <c r="E68" s="2545"/>
      <c r="F68" s="2545"/>
      <c r="G68" s="2545"/>
      <c r="H68" s="2545"/>
      <c r="I68" s="2545"/>
      <c r="J68" s="2545"/>
      <c r="K68" s="2545"/>
      <c r="L68" s="2545"/>
      <c r="M68" s="2545"/>
      <c r="N68" s="2545"/>
      <c r="O68" s="2545"/>
      <c r="P68" s="2545"/>
      <c r="Q68" s="2545"/>
      <c r="AA68" s="1787">
        <v>58</v>
      </c>
    </row>
    <row r="69" spans="1:27" ht="7.5" customHeight="1">
      <c r="A69" s="2550"/>
      <c r="B69" s="2545"/>
      <c r="C69" s="2545"/>
      <c r="D69" s="2545"/>
      <c r="E69" s="2545"/>
      <c r="F69" s="2545"/>
      <c r="G69" s="2545"/>
      <c r="H69" s="2545"/>
      <c r="I69" s="2545"/>
      <c r="J69" s="2545"/>
      <c r="K69" s="2545"/>
      <c r="L69" s="2545"/>
      <c r="M69" s="2545"/>
      <c r="N69" s="2545"/>
      <c r="O69" s="2545"/>
      <c r="P69" s="2545"/>
      <c r="Q69" s="2545"/>
      <c r="AA69" s="1787">
        <v>59</v>
      </c>
    </row>
    <row r="70" spans="1:27" ht="20.25" customHeight="1">
      <c r="A70" s="2550" t="s">
        <v>67</v>
      </c>
      <c r="B70" s="2550" t="s">
        <v>1468</v>
      </c>
      <c r="C70" s="2550"/>
      <c r="D70" s="2545"/>
      <c r="E70" s="2545"/>
      <c r="F70" s="2545"/>
      <c r="G70" s="2545"/>
      <c r="H70" s="2545"/>
      <c r="I70" s="2545"/>
      <c r="J70" s="2545"/>
      <c r="K70" s="2545"/>
      <c r="L70" s="2545"/>
      <c r="M70" s="2545"/>
      <c r="O70" s="1398" t="s">
        <v>1451</v>
      </c>
      <c r="P70" s="3066"/>
      <c r="Q70" s="3099"/>
      <c r="AA70" s="1787">
        <v>60</v>
      </c>
    </row>
    <row r="71" spans="1:27" ht="16.05" customHeight="1">
      <c r="A71" s="1405"/>
      <c r="B71" s="1396" t="s">
        <v>1469</v>
      </c>
      <c r="I71" s="1411"/>
      <c r="L71" s="3039"/>
      <c r="M71" s="3040"/>
      <c r="N71" s="3040"/>
      <c r="O71" s="3040"/>
      <c r="P71" s="3040"/>
      <c r="Q71" s="3137"/>
      <c r="AA71" s="1787">
        <v>61</v>
      </c>
    </row>
    <row r="72" spans="1:27" ht="16.05" customHeight="1">
      <c r="A72" s="1405"/>
      <c r="B72" s="1396" t="s">
        <v>1470</v>
      </c>
      <c r="O72" s="2552"/>
      <c r="P72" s="2768"/>
      <c r="Q72" s="2769"/>
      <c r="AA72" s="1787">
        <v>62</v>
      </c>
    </row>
    <row r="73" spans="1:27" ht="31.5" customHeight="1">
      <c r="B73" s="2550"/>
      <c r="C73" s="3018" t="s">
        <v>1471</v>
      </c>
      <c r="D73" s="3018"/>
      <c r="E73" s="3018"/>
      <c r="F73" s="3018"/>
      <c r="G73" s="3018"/>
      <c r="H73" s="3018"/>
      <c r="I73" s="3018"/>
      <c r="J73" s="3018"/>
      <c r="K73" s="3018"/>
      <c r="L73" s="3018"/>
      <c r="M73" s="3018"/>
      <c r="N73" s="3018"/>
      <c r="O73" s="3018"/>
      <c r="P73" s="1488"/>
      <c r="Q73" s="1501"/>
      <c r="AA73" s="1787">
        <v>63</v>
      </c>
    </row>
    <row r="74" spans="1:27" ht="15.75" customHeight="1">
      <c r="B74" s="1410" t="s">
        <v>1452</v>
      </c>
      <c r="D74" s="1410"/>
      <c r="E74" s="1410"/>
      <c r="F74" s="1410"/>
      <c r="G74" s="1410"/>
      <c r="H74" s="2549"/>
      <c r="I74" s="1397"/>
      <c r="J74" s="1397"/>
      <c r="K74" s="1397"/>
      <c r="L74" s="1394"/>
      <c r="M74" s="1394"/>
      <c r="N74" s="1394"/>
      <c r="O74" s="1394"/>
      <c r="P74" s="1394"/>
      <c r="Q74" s="1394"/>
      <c r="AA74" s="1787">
        <v>64</v>
      </c>
    </row>
    <row r="75" spans="1:27" ht="28.2" customHeight="1">
      <c r="A75" s="3054" t="s">
        <v>7687</v>
      </c>
      <c r="B75" s="3060"/>
      <c r="C75" s="3060"/>
      <c r="D75" s="3060"/>
      <c r="E75" s="3060"/>
      <c r="F75" s="3060"/>
      <c r="G75" s="3060"/>
      <c r="H75" s="3060"/>
      <c r="I75" s="3060"/>
      <c r="J75" s="3060"/>
      <c r="K75" s="3060"/>
      <c r="L75" s="3060"/>
      <c r="M75" s="3060"/>
      <c r="N75" s="3060"/>
      <c r="O75" s="3060"/>
      <c r="P75" s="3060"/>
      <c r="Q75" s="3061"/>
      <c r="AA75" s="1787">
        <v>65</v>
      </c>
    </row>
    <row r="76" spans="1:27" ht="15.75" customHeight="1">
      <c r="B76" s="1400" t="s">
        <v>1453</v>
      </c>
      <c r="C76" s="1401"/>
      <c r="D76" s="2545"/>
      <c r="E76" s="2545"/>
      <c r="F76" s="2545"/>
      <c r="G76" s="2545"/>
      <c r="H76" s="2545"/>
      <c r="I76" s="2545"/>
      <c r="J76" s="2545"/>
      <c r="K76" s="2545"/>
      <c r="L76" s="2545"/>
      <c r="M76" s="2545"/>
      <c r="N76" s="2545"/>
      <c r="O76" s="2545"/>
      <c r="P76" s="2545"/>
      <c r="Q76" s="2545"/>
      <c r="AA76" s="1788">
        <v>66</v>
      </c>
    </row>
    <row r="77" spans="1:27" ht="15" customHeight="1">
      <c r="A77" s="3048"/>
      <c r="B77" s="3062"/>
      <c r="C77" s="3062"/>
      <c r="D77" s="3062"/>
      <c r="E77" s="3062"/>
      <c r="F77" s="3062"/>
      <c r="G77" s="3062"/>
      <c r="H77" s="3062"/>
      <c r="I77" s="3062"/>
      <c r="J77" s="3062"/>
      <c r="K77" s="3062"/>
      <c r="L77" s="3062"/>
      <c r="M77" s="3062"/>
      <c r="N77" s="3062"/>
      <c r="O77" s="3062"/>
      <c r="P77" s="3062"/>
      <c r="Q77" s="3063"/>
      <c r="AA77" s="1787">
        <v>67</v>
      </c>
    </row>
    <row r="78" spans="1:27" ht="13.5" customHeight="1">
      <c r="AA78" s="1787">
        <v>68</v>
      </c>
    </row>
    <row r="79" spans="1:27" ht="13.5" customHeight="1">
      <c r="A79" s="1399"/>
      <c r="AA79" s="1787">
        <v>69</v>
      </c>
    </row>
    <row r="80" spans="1:27" ht="20.25" customHeight="1">
      <c r="A80" s="2550" t="s">
        <v>69</v>
      </c>
      <c r="B80" s="2550" t="s">
        <v>1472</v>
      </c>
      <c r="C80" s="2549"/>
      <c r="D80" s="2545"/>
      <c r="E80" s="2545"/>
      <c r="F80" s="2545"/>
      <c r="G80" s="2545"/>
      <c r="H80" s="2545"/>
      <c r="I80" s="2545"/>
      <c r="J80" s="2545"/>
      <c r="K80" s="2545"/>
      <c r="L80" s="2545"/>
      <c r="M80" s="2545"/>
      <c r="N80" s="1416"/>
      <c r="O80" s="1398" t="s">
        <v>1451</v>
      </c>
      <c r="P80" s="3016"/>
      <c r="Q80" s="3025"/>
      <c r="AA80" s="1787">
        <v>70</v>
      </c>
    </row>
    <row r="81" spans="1:28" ht="32.25" customHeight="1">
      <c r="A81" s="1405"/>
      <c r="B81" s="3018" t="s">
        <v>1473</v>
      </c>
      <c r="C81" s="3018"/>
      <c r="D81" s="3018"/>
      <c r="E81" s="3018"/>
      <c r="F81" s="3018"/>
      <c r="G81" s="3018"/>
      <c r="H81" s="3018"/>
      <c r="I81" s="3018"/>
      <c r="J81" s="3018"/>
      <c r="K81" s="3019"/>
      <c r="L81" s="3174" t="s">
        <v>7688</v>
      </c>
      <c r="M81" s="3175"/>
      <c r="N81" s="3175"/>
      <c r="O81" s="3175"/>
      <c r="P81" s="3176"/>
      <c r="Q81" s="3177"/>
      <c r="AA81" s="1787">
        <v>71</v>
      </c>
    </row>
    <row r="82" spans="1:28" ht="16.5" customHeight="1">
      <c r="B82" s="1396" t="s">
        <v>1474</v>
      </c>
      <c r="C82" s="1399"/>
      <c r="O82" s="2552"/>
      <c r="P82" s="2768" t="s">
        <v>7474</v>
      </c>
      <c r="Q82" s="2769"/>
      <c r="AA82" s="1787">
        <v>72</v>
      </c>
    </row>
    <row r="83" spans="1:28" ht="16.5" customHeight="1">
      <c r="A83" s="1405"/>
      <c r="B83" s="1396" t="s">
        <v>1475</v>
      </c>
      <c r="D83" s="2548"/>
      <c r="E83" s="2548"/>
      <c r="F83" s="2548"/>
      <c r="G83" s="2548"/>
      <c r="H83" s="2548"/>
      <c r="K83" s="2548"/>
      <c r="L83" s="2545"/>
      <c r="O83" s="2552"/>
      <c r="P83" s="1414" t="s">
        <v>7474</v>
      </c>
      <c r="Q83" s="1415"/>
      <c r="AA83" s="1787">
        <v>73</v>
      </c>
    </row>
    <row r="84" spans="1:28" ht="15" customHeight="1">
      <c r="A84" s="1405"/>
      <c r="B84" s="1396" t="s">
        <v>1476</v>
      </c>
      <c r="D84" s="2548"/>
      <c r="E84" s="2548"/>
      <c r="F84" s="2548"/>
      <c r="G84" s="2548"/>
      <c r="H84" s="2548"/>
      <c r="I84" s="1396" t="s">
        <v>1477</v>
      </c>
      <c r="K84" s="2548"/>
      <c r="L84" s="2545"/>
      <c r="M84" s="2545"/>
      <c r="N84" s="2545"/>
      <c r="O84" s="2552"/>
      <c r="P84" s="2768" t="s">
        <v>7474</v>
      </c>
      <c r="Q84" s="2769"/>
      <c r="AA84" s="1787">
        <v>74</v>
      </c>
    </row>
    <row r="85" spans="1:28" ht="16.5" customHeight="1">
      <c r="A85" s="1405"/>
      <c r="B85" s="2550"/>
      <c r="E85" s="2548"/>
      <c r="F85" s="2548"/>
      <c r="G85" s="2548"/>
      <c r="H85" s="2548"/>
      <c r="I85" s="1396" t="s">
        <v>1478</v>
      </c>
      <c r="K85" s="2548"/>
      <c r="L85" s="2545"/>
      <c r="M85" s="2545"/>
      <c r="O85" s="2552"/>
      <c r="P85" s="1412" t="s">
        <v>7474</v>
      </c>
      <c r="Q85" s="1413"/>
      <c r="AA85" s="1787">
        <v>75</v>
      </c>
    </row>
    <row r="86" spans="1:28" ht="16.5" customHeight="1">
      <c r="A86" s="1405"/>
      <c r="B86" s="2550"/>
      <c r="E86" s="2548"/>
      <c r="F86" s="2548"/>
      <c r="G86" s="2548"/>
      <c r="I86" s="1418"/>
      <c r="J86" s="1391" t="s">
        <v>1479</v>
      </c>
      <c r="K86" s="2548"/>
      <c r="L86" s="2545"/>
      <c r="M86" s="2545"/>
      <c r="O86" s="2552"/>
      <c r="P86" s="2547"/>
      <c r="Q86" s="1423"/>
      <c r="AA86" s="1787">
        <v>76</v>
      </c>
    </row>
    <row r="87" spans="1:28" s="1424" customFormat="1" ht="16.5" customHeight="1">
      <c r="A87" s="1417"/>
      <c r="B87" s="1418"/>
      <c r="E87" s="1419"/>
      <c r="F87" s="1419"/>
      <c r="G87" s="1391"/>
      <c r="H87" s="1391"/>
      <c r="I87" s="1396" t="s">
        <v>1480</v>
      </c>
      <c r="J87" s="1396"/>
      <c r="K87" s="1421"/>
      <c r="L87" s="2546"/>
      <c r="M87" s="2546"/>
      <c r="N87" s="1420"/>
      <c r="O87" s="1422"/>
      <c r="P87" s="1414" t="s">
        <v>7444</v>
      </c>
      <c r="Q87" s="1415"/>
      <c r="R87" s="1486"/>
      <c r="S87" s="1486"/>
      <c r="V87" s="1486"/>
      <c r="W87" s="1486"/>
      <c r="X87" s="1486"/>
      <c r="Y87" s="1486"/>
      <c r="Z87" s="1486"/>
      <c r="AA87" s="1787">
        <v>77</v>
      </c>
      <c r="AB87" s="1486"/>
    </row>
    <row r="88" spans="1:28" ht="32.25" customHeight="1">
      <c r="A88" s="1405"/>
      <c r="B88" s="3132" t="s">
        <v>1481</v>
      </c>
      <c r="C88" s="3132"/>
      <c r="D88" s="3132"/>
      <c r="E88" s="3132"/>
      <c r="F88" s="3132"/>
      <c r="G88" s="3132"/>
      <c r="H88" s="3132"/>
      <c r="I88" s="3132"/>
      <c r="J88" s="3132"/>
      <c r="K88" s="3132"/>
      <c r="L88" s="3132"/>
      <c r="M88" s="3132"/>
      <c r="N88" s="3132"/>
      <c r="O88" s="3132"/>
      <c r="P88" s="3132"/>
      <c r="Q88" s="3132"/>
      <c r="AA88" s="1787">
        <v>78</v>
      </c>
    </row>
    <row r="89" spans="1:28" ht="52.5" customHeight="1">
      <c r="B89" s="3010" t="s">
        <v>7689</v>
      </c>
      <c r="C89" s="3010"/>
      <c r="D89" s="3010"/>
      <c r="E89" s="3010"/>
      <c r="F89" s="3010"/>
      <c r="G89" s="3010"/>
      <c r="H89" s="3010"/>
      <c r="I89" s="3010"/>
      <c r="J89" s="3010"/>
      <c r="K89" s="3010"/>
      <c r="L89" s="3010"/>
      <c r="M89" s="3010"/>
      <c r="N89" s="3010"/>
      <c r="O89" s="3010"/>
      <c r="P89" s="3010"/>
      <c r="Q89" s="3094"/>
      <c r="AA89" s="1787">
        <v>79</v>
      </c>
    </row>
    <row r="90" spans="1:28" ht="15.75" customHeight="1">
      <c r="B90" s="1410" t="s">
        <v>1457</v>
      </c>
      <c r="D90" s="1410"/>
      <c r="E90" s="1410"/>
      <c r="F90" s="1410"/>
      <c r="G90" s="1410"/>
      <c r="H90" s="2549"/>
      <c r="I90" s="1397"/>
      <c r="J90" s="1397"/>
      <c r="K90" s="1397"/>
      <c r="L90" s="1394"/>
      <c r="M90" s="1394"/>
      <c r="N90" s="1394"/>
      <c r="O90" s="1394"/>
      <c r="P90" s="1394"/>
      <c r="Q90" s="1394"/>
      <c r="AA90" s="1787">
        <v>80</v>
      </c>
    </row>
    <row r="91" spans="1:28" ht="39" customHeight="1">
      <c r="A91" s="3010" t="s">
        <v>7690</v>
      </c>
      <c r="B91" s="3010"/>
      <c r="C91" s="3010"/>
      <c r="D91" s="3010"/>
      <c r="E91" s="3010"/>
      <c r="F91" s="3010"/>
      <c r="G91" s="3010"/>
      <c r="H91" s="3010"/>
      <c r="I91" s="3010"/>
      <c r="J91" s="3010"/>
      <c r="K91" s="3010"/>
      <c r="L91" s="3010"/>
      <c r="M91" s="3010"/>
      <c r="N91" s="3010"/>
      <c r="O91" s="3010"/>
      <c r="P91" s="3010"/>
      <c r="Q91" s="3076"/>
      <c r="AA91" s="1788">
        <v>81</v>
      </c>
    </row>
    <row r="92" spans="1:28" ht="15.75" customHeight="1">
      <c r="B92" s="1400" t="s">
        <v>1453</v>
      </c>
      <c r="C92" s="1401"/>
      <c r="D92" s="2545"/>
      <c r="E92" s="2545"/>
      <c r="F92" s="2545"/>
      <c r="G92" s="2545"/>
      <c r="H92" s="2545"/>
      <c r="I92" s="2545"/>
      <c r="J92" s="2545"/>
      <c r="K92" s="2545"/>
      <c r="L92" s="2545"/>
      <c r="M92" s="2545"/>
      <c r="N92" s="2545"/>
      <c r="O92" s="2545"/>
      <c r="P92" s="2545"/>
      <c r="Q92" s="2545"/>
      <c r="AA92" s="1787">
        <v>82</v>
      </c>
    </row>
    <row r="93" spans="1:28" ht="15" customHeight="1">
      <c r="A93" s="3013"/>
      <c r="B93" s="3013"/>
      <c r="C93" s="3013"/>
      <c r="D93" s="3013"/>
      <c r="E93" s="3013"/>
      <c r="F93" s="3013"/>
      <c r="G93" s="3013"/>
      <c r="H93" s="3013"/>
      <c r="I93" s="3013"/>
      <c r="J93" s="3013"/>
      <c r="K93" s="3013"/>
      <c r="L93" s="3013"/>
      <c r="M93" s="3013"/>
      <c r="N93" s="3013"/>
      <c r="O93" s="3013"/>
      <c r="P93" s="3013"/>
      <c r="Q93" s="3065"/>
      <c r="AA93" s="1787">
        <v>83</v>
      </c>
    </row>
    <row r="94" spans="1:28" ht="13.5" customHeight="1">
      <c r="A94" s="1394"/>
      <c r="B94" s="1397"/>
      <c r="C94" s="2545"/>
      <c r="D94" s="2545"/>
      <c r="E94" s="2545"/>
      <c r="F94" s="2545"/>
      <c r="G94" s="2545"/>
      <c r="H94" s="2545"/>
      <c r="I94" s="2545"/>
      <c r="J94" s="2545"/>
      <c r="K94" s="2545"/>
      <c r="L94" s="2545"/>
      <c r="M94" s="2545"/>
      <c r="N94" s="2545"/>
      <c r="O94" s="2545"/>
      <c r="P94" s="2545"/>
      <c r="Q94" s="1394"/>
      <c r="AA94" s="1787">
        <v>84</v>
      </c>
    </row>
    <row r="95" spans="1:28" ht="13.5" customHeight="1">
      <c r="A95" s="1399"/>
      <c r="B95" s="1397"/>
      <c r="C95" s="2545"/>
      <c r="D95" s="2545"/>
      <c r="E95" s="2545"/>
      <c r="F95" s="2545"/>
      <c r="G95" s="2545"/>
      <c r="H95" s="2545"/>
      <c r="I95" s="2545"/>
      <c r="J95" s="2545"/>
      <c r="K95" s="2545"/>
      <c r="L95" s="2545"/>
      <c r="M95" s="2545"/>
      <c r="N95" s="2545"/>
      <c r="O95" s="2545"/>
      <c r="P95" s="2545"/>
      <c r="Q95" s="1394"/>
      <c r="AA95" s="1787">
        <v>85</v>
      </c>
    </row>
    <row r="96" spans="1:28" ht="15.6" customHeight="1">
      <c r="A96" s="2550" t="s">
        <v>1482</v>
      </c>
      <c r="B96" s="2550" t="s">
        <v>1483</v>
      </c>
      <c r="C96" s="2550"/>
      <c r="D96" s="2545"/>
      <c r="E96" s="2545"/>
      <c r="F96" s="2545"/>
      <c r="G96" s="2545"/>
      <c r="H96" s="2545"/>
      <c r="I96" s="2545"/>
      <c r="J96" s="2545"/>
      <c r="K96" s="2545"/>
      <c r="N96" s="1416"/>
      <c r="O96" s="1398" t="s">
        <v>1451</v>
      </c>
      <c r="P96" s="3016"/>
      <c r="Q96" s="3025"/>
      <c r="AA96" s="1787">
        <v>86</v>
      </c>
    </row>
    <row r="97" spans="1:27" ht="14.1" customHeight="1">
      <c r="A97" s="1405"/>
      <c r="B97" s="1396" t="s">
        <v>1484</v>
      </c>
      <c r="F97" s="1441" t="str">
        <f>IF(L97="Ground lease/Option","Ground lease/Option:","")</f>
        <v/>
      </c>
      <c r="H97" s="1443" t="str">
        <f>IF(L97="Ground lease/Option","Annual Pymt:","")</f>
        <v/>
      </c>
      <c r="I97" s="1444" t="str">
        <f>IF(M137="Ground lease/Option",'Part V-Revenues &amp; Expenses'!$F$275,"")</f>
        <v/>
      </c>
      <c r="J97" s="1442" t="str">
        <f>IF(L97="Ground lease/Option","Term (yrs):","")</f>
        <v/>
      </c>
      <c r="K97" s="1482" t="str">
        <f>IF(M137="Ground lease/Option",'Part V-Revenues &amp; Expenses'!$L$275,"")</f>
        <v/>
      </c>
      <c r="L97" s="3133" t="s">
        <v>7734</v>
      </c>
      <c r="M97" s="3134"/>
      <c r="N97" s="3135"/>
      <c r="O97" s="3016" t="s">
        <v>721</v>
      </c>
      <c r="P97" s="3136"/>
      <c r="Q97" s="3017"/>
      <c r="AA97" s="1787">
        <v>87</v>
      </c>
    </row>
    <row r="98" spans="1:27" ht="14.1" customHeight="1">
      <c r="A98" s="1405"/>
      <c r="B98" s="1396" t="s">
        <v>1485</v>
      </c>
      <c r="L98" s="3039" t="s">
        <v>7736</v>
      </c>
      <c r="M98" s="3040"/>
      <c r="N98" s="3040"/>
      <c r="O98" s="3040"/>
      <c r="P98" s="3040"/>
      <c r="Q98" s="3137"/>
      <c r="AA98" s="1787">
        <v>88</v>
      </c>
    </row>
    <row r="99" spans="1:27" ht="15.75" customHeight="1">
      <c r="B99" s="1410" t="s">
        <v>1457</v>
      </c>
      <c r="D99" s="1410"/>
      <c r="E99" s="1410"/>
      <c r="F99" s="1410"/>
      <c r="G99" s="1410"/>
      <c r="H99" s="2549"/>
      <c r="I99" s="1397"/>
      <c r="J99" s="1397"/>
      <c r="K99" s="1397"/>
      <c r="L99" s="1394"/>
      <c r="M99" s="1394"/>
      <c r="N99" s="1394"/>
      <c r="O99" s="1394"/>
      <c r="P99" s="1394"/>
      <c r="Q99" s="1394"/>
      <c r="AA99" s="1787">
        <v>89</v>
      </c>
    </row>
    <row r="100" spans="1:27" ht="30" customHeight="1">
      <c r="A100" s="3010" t="s">
        <v>7735</v>
      </c>
      <c r="B100" s="3010"/>
      <c r="C100" s="3010"/>
      <c r="D100" s="3010"/>
      <c r="E100" s="3010"/>
      <c r="F100" s="3010"/>
      <c r="G100" s="3010"/>
      <c r="H100" s="3010"/>
      <c r="I100" s="3010"/>
      <c r="J100" s="3010"/>
      <c r="K100" s="3010"/>
      <c r="L100" s="3010"/>
      <c r="M100" s="3010"/>
      <c r="N100" s="3010"/>
      <c r="O100" s="3010"/>
      <c r="P100" s="3010"/>
      <c r="Q100" s="3094"/>
      <c r="AA100" s="1788">
        <v>90</v>
      </c>
    </row>
    <row r="101" spans="1:27" ht="15.75" customHeight="1">
      <c r="B101" s="1400" t="s">
        <v>1453</v>
      </c>
      <c r="C101" s="1401"/>
      <c r="D101" s="2545"/>
      <c r="E101" s="2545"/>
      <c r="F101" s="2545"/>
      <c r="G101" s="2545"/>
      <c r="H101" s="2545"/>
      <c r="I101" s="2545"/>
      <c r="J101" s="2545"/>
      <c r="K101" s="2545"/>
      <c r="L101" s="2545"/>
      <c r="M101" s="2545"/>
      <c r="N101" s="2545"/>
      <c r="O101" s="2545"/>
      <c r="P101" s="2545"/>
      <c r="Q101" s="2545"/>
      <c r="AA101" s="1787">
        <v>91</v>
      </c>
    </row>
    <row r="102" spans="1:27" ht="15" customHeight="1">
      <c r="A102" s="3013"/>
      <c r="B102" s="3013"/>
      <c r="C102" s="3013"/>
      <c r="D102" s="3013"/>
      <c r="E102" s="3013"/>
      <c r="F102" s="3013"/>
      <c r="G102" s="3013"/>
      <c r="H102" s="3013"/>
      <c r="I102" s="3013"/>
      <c r="J102" s="3013"/>
      <c r="K102" s="3013"/>
      <c r="L102" s="3013"/>
      <c r="M102" s="3013"/>
      <c r="N102" s="3013"/>
      <c r="O102" s="3013"/>
      <c r="P102" s="3013"/>
      <c r="Q102" s="3095"/>
      <c r="AA102" s="1787">
        <v>92</v>
      </c>
    </row>
    <row r="103" spans="1:27" ht="11.25" customHeight="1">
      <c r="A103" s="1394"/>
      <c r="B103" s="1397"/>
      <c r="C103" s="2545"/>
      <c r="D103" s="2545"/>
      <c r="E103" s="2545"/>
      <c r="F103" s="2545"/>
      <c r="G103" s="2545"/>
      <c r="H103" s="2545"/>
      <c r="I103" s="2545"/>
      <c r="J103" s="2545"/>
      <c r="K103" s="2545"/>
      <c r="L103" s="2545"/>
      <c r="M103" s="2545"/>
      <c r="Q103" s="1394"/>
      <c r="AA103" s="1787">
        <v>93</v>
      </c>
    </row>
    <row r="104" spans="1:27" ht="11.25" customHeight="1">
      <c r="A104" s="1399"/>
      <c r="B104" s="1397"/>
      <c r="C104" s="2545"/>
      <c r="D104" s="2545"/>
      <c r="E104" s="2545"/>
      <c r="F104" s="2545"/>
      <c r="G104" s="2545"/>
      <c r="H104" s="2545"/>
      <c r="I104" s="2545"/>
      <c r="J104" s="2545"/>
      <c r="K104" s="2545"/>
      <c r="L104" s="2545"/>
      <c r="M104" s="2545"/>
      <c r="Q104" s="1394"/>
      <c r="AA104" s="1787">
        <v>94</v>
      </c>
    </row>
    <row r="105" spans="1:27" ht="15.6" customHeight="1">
      <c r="A105" s="2550" t="s">
        <v>1486</v>
      </c>
      <c r="B105" s="2550" t="s">
        <v>1487</v>
      </c>
      <c r="C105" s="2550"/>
      <c r="D105" s="2545"/>
      <c r="E105" s="2545"/>
      <c r="F105" s="2545"/>
      <c r="G105" s="2545"/>
      <c r="H105" s="2545"/>
      <c r="I105" s="2545"/>
      <c r="J105" s="2545"/>
      <c r="K105" s="2545"/>
      <c r="L105" s="2545"/>
      <c r="M105" s="2545"/>
      <c r="O105" s="1398" t="s">
        <v>1451</v>
      </c>
      <c r="P105" s="3016"/>
      <c r="Q105" s="3025"/>
      <c r="AA105" s="1787">
        <v>95</v>
      </c>
    </row>
    <row r="106" spans="1:27" ht="15.75" customHeight="1">
      <c r="B106" s="1410" t="s">
        <v>1457</v>
      </c>
      <c r="D106" s="1410"/>
      <c r="E106" s="1410"/>
      <c r="F106" s="1410"/>
      <c r="G106" s="1410"/>
      <c r="H106" s="2549"/>
      <c r="I106" s="1397"/>
      <c r="J106" s="1397"/>
      <c r="K106" s="1397"/>
      <c r="L106" s="1394"/>
      <c r="M106" s="1394"/>
      <c r="N106" s="1394"/>
      <c r="O106" s="1394"/>
      <c r="P106" s="1394"/>
      <c r="Q106" s="1394"/>
      <c r="AA106" s="1787">
        <v>96</v>
      </c>
    </row>
    <row r="107" spans="1:27" ht="26.25" customHeight="1">
      <c r="A107" s="3010" t="s">
        <v>7691</v>
      </c>
      <c r="B107" s="3010"/>
      <c r="C107" s="3010"/>
      <c r="D107" s="3010"/>
      <c r="E107" s="3010"/>
      <c r="F107" s="3010"/>
      <c r="G107" s="3010"/>
      <c r="H107" s="3010"/>
      <c r="I107" s="3010"/>
      <c r="J107" s="3010"/>
      <c r="K107" s="3010"/>
      <c r="L107" s="3010"/>
      <c r="M107" s="3010"/>
      <c r="N107" s="3010"/>
      <c r="O107" s="3010"/>
      <c r="P107" s="3010"/>
      <c r="Q107" s="3094"/>
      <c r="AA107" s="1787">
        <v>97</v>
      </c>
    </row>
    <row r="108" spans="1:27" ht="15.75" customHeight="1">
      <c r="B108" s="1400" t="s">
        <v>1453</v>
      </c>
      <c r="C108" s="1401"/>
      <c r="D108" s="2545"/>
      <c r="E108" s="2545"/>
      <c r="F108" s="2545"/>
      <c r="G108" s="2545"/>
      <c r="H108" s="2545"/>
      <c r="I108" s="2545"/>
      <c r="J108" s="2545"/>
      <c r="K108" s="2545"/>
      <c r="L108" s="2545"/>
      <c r="M108" s="2545"/>
      <c r="N108" s="2545"/>
      <c r="O108" s="2545"/>
      <c r="P108" s="2545"/>
      <c r="Q108" s="2545"/>
      <c r="AA108" s="1787">
        <v>98</v>
      </c>
    </row>
    <row r="109" spans="1:27" ht="15" customHeight="1">
      <c r="A109" s="3013"/>
      <c r="B109" s="3013"/>
      <c r="C109" s="3013"/>
      <c r="D109" s="3013"/>
      <c r="E109" s="3013"/>
      <c r="F109" s="3013"/>
      <c r="G109" s="3013"/>
      <c r="H109" s="3013"/>
      <c r="I109" s="3013"/>
      <c r="J109" s="3013"/>
      <c r="K109" s="3013"/>
      <c r="L109" s="3013"/>
      <c r="M109" s="3013"/>
      <c r="N109" s="3013"/>
      <c r="O109" s="3013"/>
      <c r="P109" s="3013"/>
      <c r="Q109" s="3095"/>
      <c r="AA109" s="1787">
        <v>99</v>
      </c>
    </row>
    <row r="110" spans="1:27" ht="11.25" customHeight="1">
      <c r="B110" s="1397"/>
      <c r="C110" s="2545"/>
      <c r="D110" s="2545"/>
      <c r="E110" s="2545"/>
      <c r="F110" s="2545"/>
      <c r="G110" s="2545"/>
      <c r="H110" s="2545"/>
      <c r="I110" s="2545"/>
      <c r="J110" s="2545"/>
      <c r="K110" s="2545"/>
      <c r="L110" s="2545"/>
      <c r="M110" s="2545"/>
      <c r="N110" s="2545"/>
      <c r="O110" s="2545"/>
      <c r="P110" s="2545"/>
      <c r="Q110" s="1394"/>
      <c r="AA110" s="1787">
        <v>100</v>
      </c>
    </row>
    <row r="111" spans="1:27" ht="11.25" customHeight="1">
      <c r="A111" s="1399"/>
      <c r="B111" s="1397"/>
      <c r="C111" s="2545"/>
      <c r="D111" s="2545"/>
      <c r="E111" s="2545"/>
      <c r="F111" s="2545"/>
      <c r="G111" s="2545"/>
      <c r="H111" s="2545"/>
      <c r="I111" s="2545"/>
      <c r="J111" s="2545"/>
      <c r="K111" s="2545"/>
      <c r="L111" s="2545"/>
      <c r="M111" s="2545"/>
      <c r="N111" s="2545"/>
      <c r="O111" s="2545"/>
      <c r="P111" s="2545"/>
      <c r="Q111" s="1394"/>
      <c r="AA111" s="1787">
        <v>101</v>
      </c>
    </row>
    <row r="112" spans="1:27" ht="15.6" customHeight="1">
      <c r="A112" s="2550" t="s">
        <v>1488</v>
      </c>
      <c r="B112" s="3125" t="s">
        <v>1489</v>
      </c>
      <c r="C112" s="3125"/>
      <c r="D112" s="3125"/>
      <c r="N112" s="1416"/>
      <c r="O112" s="1398" t="s">
        <v>1451</v>
      </c>
      <c r="P112" s="3016"/>
      <c r="Q112" s="3025"/>
      <c r="AA112" s="1787">
        <v>102</v>
      </c>
    </row>
    <row r="113" spans="1:27" ht="15.75" customHeight="1">
      <c r="B113" s="1410" t="s">
        <v>1457</v>
      </c>
      <c r="D113" s="1410"/>
      <c r="E113" s="1410"/>
      <c r="F113" s="1410"/>
      <c r="G113" s="1410"/>
      <c r="H113" s="2549"/>
      <c r="I113" s="1397"/>
      <c r="J113" s="1397"/>
      <c r="K113" s="1397"/>
      <c r="L113" s="1394"/>
      <c r="M113" s="1394"/>
      <c r="N113" s="1394"/>
      <c r="O113" s="1394"/>
      <c r="P113" s="1394"/>
      <c r="Q113" s="1394"/>
      <c r="AA113" s="1787">
        <v>103</v>
      </c>
    </row>
    <row r="114" spans="1:27" ht="30" customHeight="1">
      <c r="A114" s="3010" t="s">
        <v>7692</v>
      </c>
      <c r="B114" s="3010"/>
      <c r="C114" s="3010"/>
      <c r="D114" s="3010"/>
      <c r="E114" s="3010"/>
      <c r="F114" s="3010"/>
      <c r="G114" s="3010"/>
      <c r="H114" s="3010"/>
      <c r="I114" s="3010"/>
      <c r="J114" s="3010"/>
      <c r="K114" s="3010"/>
      <c r="L114" s="3010"/>
      <c r="M114" s="3010"/>
      <c r="N114" s="3010"/>
      <c r="O114" s="3010"/>
      <c r="P114" s="3010"/>
      <c r="Q114" s="3094"/>
      <c r="AA114" s="1787">
        <v>104</v>
      </c>
    </row>
    <row r="115" spans="1:27" ht="15.75" customHeight="1">
      <c r="B115" s="1400" t="s">
        <v>1453</v>
      </c>
      <c r="C115" s="1401"/>
      <c r="D115" s="2545"/>
      <c r="E115" s="2545"/>
      <c r="F115" s="2545"/>
      <c r="G115" s="2545"/>
      <c r="H115" s="2545"/>
      <c r="I115" s="2545"/>
      <c r="J115" s="2545"/>
      <c r="K115" s="2545"/>
      <c r="L115" s="2545"/>
      <c r="M115" s="2545"/>
      <c r="N115" s="2545"/>
      <c r="O115" s="2545"/>
      <c r="P115" s="2545"/>
      <c r="Q115" s="2545"/>
      <c r="AA115" s="1788">
        <v>105</v>
      </c>
    </row>
    <row r="116" spans="1:27" ht="15" customHeight="1">
      <c r="A116" s="3013"/>
      <c r="B116" s="3013"/>
      <c r="C116" s="3013"/>
      <c r="D116" s="3013"/>
      <c r="E116" s="3013"/>
      <c r="F116" s="3013"/>
      <c r="G116" s="3013"/>
      <c r="H116" s="3013"/>
      <c r="I116" s="3013"/>
      <c r="J116" s="3013"/>
      <c r="K116" s="3013"/>
      <c r="L116" s="3013"/>
      <c r="M116" s="3013"/>
      <c r="N116" s="3013"/>
      <c r="O116" s="3013"/>
      <c r="P116" s="3013"/>
      <c r="Q116" s="3095"/>
      <c r="AA116" s="1787">
        <v>106</v>
      </c>
    </row>
    <row r="117" spans="1:27" ht="11.25" customHeight="1">
      <c r="A117" s="1394"/>
      <c r="B117" s="1397"/>
      <c r="C117" s="2545"/>
      <c r="D117" s="2545"/>
      <c r="E117" s="2545"/>
      <c r="F117" s="2545"/>
      <c r="G117" s="2545"/>
      <c r="H117" s="2545"/>
      <c r="I117" s="2545"/>
      <c r="J117" s="2545"/>
      <c r="K117" s="2545"/>
      <c r="L117" s="2545"/>
      <c r="M117" s="2545"/>
      <c r="N117" s="2545"/>
      <c r="O117" s="2545"/>
      <c r="P117" s="2545"/>
      <c r="Q117" s="1394"/>
      <c r="AA117" s="1787">
        <v>107</v>
      </c>
    </row>
    <row r="118" spans="1:27" ht="11.25" customHeight="1">
      <c r="A118" s="1399"/>
      <c r="B118" s="1397"/>
      <c r="C118" s="2545"/>
      <c r="D118" s="2545"/>
      <c r="E118" s="2545"/>
      <c r="F118" s="2545"/>
      <c r="G118" s="2545"/>
      <c r="H118" s="2545"/>
      <c r="I118" s="2545"/>
      <c r="J118" s="2545"/>
      <c r="K118" s="2545"/>
      <c r="L118" s="2545"/>
      <c r="M118" s="2545"/>
      <c r="N118" s="2545"/>
      <c r="O118" s="2545"/>
      <c r="P118" s="2545"/>
      <c r="Q118" s="1394"/>
      <c r="AA118" s="1787">
        <v>108</v>
      </c>
    </row>
    <row r="119" spans="1:27" ht="15.6" customHeight="1">
      <c r="A119" s="2550" t="s">
        <v>1490</v>
      </c>
      <c r="B119" s="2550" t="s">
        <v>1491</v>
      </c>
      <c r="C119" s="2550"/>
      <c r="D119" s="2545"/>
      <c r="E119" s="2545"/>
      <c r="G119" s="2545"/>
      <c r="J119" s="2548"/>
      <c r="K119" s="2548"/>
      <c r="L119" s="2548"/>
      <c r="M119" s="2548"/>
      <c r="N119" s="1416"/>
      <c r="O119" s="1398" t="s">
        <v>1451</v>
      </c>
      <c r="P119" s="3066"/>
      <c r="Q119" s="3099"/>
      <c r="AA119" s="1787">
        <v>109</v>
      </c>
    </row>
    <row r="120" spans="1:27" ht="14.1" customHeight="1">
      <c r="A120" s="1405"/>
      <c r="B120" s="1396" t="s">
        <v>1492</v>
      </c>
      <c r="J120" s="1396" t="s">
        <v>1493</v>
      </c>
      <c r="M120" s="3129"/>
      <c r="N120" s="3130"/>
      <c r="O120" s="3130"/>
      <c r="P120" s="3130"/>
      <c r="Q120" s="3131"/>
      <c r="AA120" s="1787">
        <v>110</v>
      </c>
    </row>
    <row r="121" spans="1:27" ht="14.1" customHeight="1">
      <c r="A121" s="1405"/>
      <c r="B121" s="1405"/>
      <c r="J121" s="1396" t="s">
        <v>1495</v>
      </c>
      <c r="M121" s="3116"/>
      <c r="N121" s="3117"/>
      <c r="O121" s="3117"/>
      <c r="P121" s="3117"/>
      <c r="Q121" s="3118"/>
      <c r="AA121" s="1787">
        <v>111</v>
      </c>
    </row>
    <row r="122" spans="1:27" ht="15.75" customHeight="1">
      <c r="A122" s="1405"/>
      <c r="B122" s="1410" t="s">
        <v>1457</v>
      </c>
      <c r="C122" s="1425"/>
      <c r="D122" s="1425"/>
      <c r="E122" s="1425"/>
      <c r="F122" s="1425"/>
      <c r="H122" s="1399"/>
      <c r="I122" s="1399"/>
      <c r="J122" s="1399"/>
      <c r="K122" s="1399"/>
      <c r="L122" s="1399"/>
      <c r="M122" s="1399"/>
      <c r="N122" s="1399"/>
      <c r="O122" s="1399"/>
      <c r="P122" s="1399"/>
      <c r="Q122" s="1399"/>
      <c r="AA122" s="1787">
        <v>112</v>
      </c>
    </row>
    <row r="123" spans="1:27" ht="15" customHeight="1">
      <c r="A123" s="3010" t="s">
        <v>7693</v>
      </c>
      <c r="B123" s="3010"/>
      <c r="C123" s="3010"/>
      <c r="D123" s="3010"/>
      <c r="E123" s="3010"/>
      <c r="F123" s="3010"/>
      <c r="G123" s="3010"/>
      <c r="H123" s="3010"/>
      <c r="I123" s="3010"/>
      <c r="J123" s="3010"/>
      <c r="K123" s="3010"/>
      <c r="L123" s="3010"/>
      <c r="M123" s="3010"/>
      <c r="N123" s="3010"/>
      <c r="O123" s="3010"/>
      <c r="P123" s="3010"/>
      <c r="Q123" s="3094"/>
      <c r="AA123" s="1787">
        <v>113</v>
      </c>
    </row>
    <row r="124" spans="1:27" ht="15.75" customHeight="1">
      <c r="B124" s="1400" t="s">
        <v>1453</v>
      </c>
      <c r="C124" s="1401"/>
      <c r="D124" s="2545"/>
      <c r="E124" s="2545"/>
      <c r="F124" s="2545"/>
      <c r="G124" s="2545"/>
      <c r="H124" s="2545"/>
      <c r="I124" s="2545"/>
      <c r="J124" s="2545"/>
      <c r="K124" s="2545"/>
      <c r="L124" s="2545"/>
      <c r="M124" s="2545"/>
      <c r="N124" s="2545"/>
      <c r="O124" s="2545"/>
      <c r="P124" s="2545"/>
      <c r="Q124" s="2545"/>
      <c r="AA124" s="1788">
        <v>114</v>
      </c>
    </row>
    <row r="125" spans="1:27" ht="18.600000000000001" customHeight="1">
      <c r="A125" s="3013"/>
      <c r="B125" s="3013"/>
      <c r="C125" s="3013"/>
      <c r="D125" s="3013"/>
      <c r="E125" s="3013"/>
      <c r="F125" s="3013"/>
      <c r="G125" s="3013"/>
      <c r="H125" s="3013"/>
      <c r="I125" s="3013"/>
      <c r="J125" s="3013"/>
      <c r="K125" s="3013"/>
      <c r="L125" s="3013"/>
      <c r="M125" s="3013"/>
      <c r="N125" s="3013"/>
      <c r="O125" s="3013"/>
      <c r="P125" s="3013"/>
      <c r="Q125" s="3065"/>
      <c r="AA125" s="1787">
        <v>115</v>
      </c>
    </row>
    <row r="126" spans="1:27" ht="12.75" customHeight="1">
      <c r="B126" s="1397"/>
      <c r="C126" s="2545"/>
      <c r="D126" s="2545"/>
      <c r="E126" s="2545"/>
      <c r="F126" s="2545"/>
      <c r="G126" s="2545"/>
      <c r="H126" s="2545"/>
      <c r="I126" s="2545"/>
      <c r="J126" s="2545"/>
      <c r="K126" s="2545"/>
      <c r="L126" s="2545"/>
      <c r="M126" s="2545"/>
      <c r="Q126" s="1394"/>
      <c r="AA126" s="1787">
        <v>116</v>
      </c>
    </row>
    <row r="127" spans="1:27" ht="12.75" customHeight="1">
      <c r="A127" s="1399"/>
      <c r="B127" s="1397"/>
      <c r="C127" s="2545"/>
      <c r="D127" s="2545"/>
      <c r="E127" s="2545"/>
      <c r="F127" s="2545"/>
      <c r="G127" s="2545"/>
      <c r="H127" s="2545"/>
      <c r="I127" s="2545"/>
      <c r="J127" s="2545"/>
      <c r="K127" s="2545"/>
      <c r="L127" s="2545"/>
      <c r="M127" s="2545"/>
      <c r="Q127" s="1394"/>
      <c r="AA127" s="1787">
        <v>117</v>
      </c>
    </row>
    <row r="128" spans="1:27" ht="15" customHeight="1">
      <c r="A128" s="2550" t="s">
        <v>1496</v>
      </c>
      <c r="B128" s="1395" t="s">
        <v>1497</v>
      </c>
      <c r="C128" s="1395"/>
      <c r="D128" s="1395"/>
      <c r="E128" s="1395"/>
      <c r="F128" s="1395"/>
      <c r="G128" s="2545"/>
      <c r="H128" s="2545"/>
      <c r="J128" s="2545"/>
      <c r="K128" s="2545"/>
      <c r="L128" s="2545"/>
      <c r="M128" s="2545"/>
      <c r="N128" s="1416"/>
      <c r="O128" s="1398" t="s">
        <v>1451</v>
      </c>
      <c r="P128" s="3066"/>
      <c r="Q128" s="3099"/>
      <c r="AA128" s="1787">
        <v>118</v>
      </c>
    </row>
    <row r="129" spans="1:27" ht="14.55" customHeight="1">
      <c r="A129" s="1405"/>
      <c r="B129" s="1396" t="s">
        <v>1498</v>
      </c>
      <c r="J129" s="1396" t="s">
        <v>1499</v>
      </c>
      <c r="M129" s="3129"/>
      <c r="N129" s="3130"/>
      <c r="O129" s="3130"/>
      <c r="P129" s="3130"/>
      <c r="Q129" s="3131"/>
      <c r="R129" s="1426"/>
      <c r="AA129" s="1787">
        <v>119</v>
      </c>
    </row>
    <row r="130" spans="1:27" ht="14.55" customHeight="1">
      <c r="A130" s="1425"/>
      <c r="B130" s="1405"/>
      <c r="J130" s="1396" t="s">
        <v>1500</v>
      </c>
      <c r="M130" s="3116"/>
      <c r="N130" s="3117"/>
      <c r="O130" s="3117"/>
      <c r="P130" s="3117"/>
      <c r="Q130" s="3118"/>
      <c r="R130" s="1426"/>
      <c r="AA130" s="1787">
        <v>120</v>
      </c>
    </row>
    <row r="131" spans="1:27" ht="15.75" customHeight="1">
      <c r="B131" s="1410" t="s">
        <v>1457</v>
      </c>
      <c r="D131" s="1410"/>
      <c r="E131" s="1410"/>
      <c r="F131" s="1410"/>
      <c r="G131" s="1410"/>
      <c r="H131" s="2549"/>
      <c r="I131" s="1397"/>
      <c r="J131" s="1397"/>
      <c r="K131" s="1397"/>
      <c r="L131" s="1394"/>
      <c r="M131" s="1394"/>
      <c r="N131" s="1394"/>
      <c r="O131" s="1394"/>
      <c r="P131" s="1394"/>
      <c r="Q131" s="1394"/>
      <c r="AA131" s="1787">
        <v>121</v>
      </c>
    </row>
    <row r="132" spans="1:27" ht="15" customHeight="1">
      <c r="A132" s="3010" t="s">
        <v>7694</v>
      </c>
      <c r="B132" s="3010"/>
      <c r="C132" s="3010"/>
      <c r="D132" s="3010"/>
      <c r="E132" s="3010"/>
      <c r="F132" s="3010"/>
      <c r="G132" s="3010"/>
      <c r="H132" s="3010"/>
      <c r="I132" s="3010"/>
      <c r="J132" s="3010"/>
      <c r="K132" s="3010"/>
      <c r="L132" s="3010"/>
      <c r="M132" s="3010"/>
      <c r="N132" s="3010"/>
      <c r="O132" s="3010"/>
      <c r="P132" s="3010"/>
      <c r="Q132" s="3094"/>
      <c r="AA132" s="1787">
        <v>122</v>
      </c>
    </row>
    <row r="133" spans="1:27" ht="15.75" customHeight="1">
      <c r="B133" s="1400" t="s">
        <v>1453</v>
      </c>
      <c r="C133" s="1401"/>
      <c r="D133" s="2545"/>
      <c r="E133" s="2545"/>
      <c r="F133" s="2545"/>
      <c r="G133" s="2545"/>
      <c r="H133" s="2545"/>
      <c r="I133" s="2545"/>
      <c r="J133" s="2545"/>
      <c r="K133" s="2545"/>
      <c r="L133" s="2545"/>
      <c r="M133" s="2545"/>
      <c r="N133" s="2545"/>
      <c r="O133" s="2545"/>
      <c r="P133" s="2545"/>
      <c r="Q133" s="2545"/>
      <c r="AA133" s="1787">
        <v>123</v>
      </c>
    </row>
    <row r="134" spans="1:27" ht="15" customHeight="1">
      <c r="A134" s="3013"/>
      <c r="B134" s="3013"/>
      <c r="C134" s="3013"/>
      <c r="D134" s="3013"/>
      <c r="E134" s="3013"/>
      <c r="F134" s="3013"/>
      <c r="G134" s="3013"/>
      <c r="H134" s="3013"/>
      <c r="I134" s="3013"/>
      <c r="J134" s="3013"/>
      <c r="K134" s="3013"/>
      <c r="L134" s="3013"/>
      <c r="M134" s="3013"/>
      <c r="N134" s="3013"/>
      <c r="O134" s="3013"/>
      <c r="P134" s="3013"/>
      <c r="Q134" s="3065"/>
      <c r="AA134" s="1787">
        <v>124</v>
      </c>
    </row>
    <row r="135" spans="1:27" ht="11.25" customHeight="1">
      <c r="A135" s="1394"/>
      <c r="B135" s="1397"/>
      <c r="C135" s="2545"/>
      <c r="D135" s="2545"/>
      <c r="E135" s="2545"/>
      <c r="F135" s="2545"/>
      <c r="G135" s="2545"/>
      <c r="H135" s="2545"/>
      <c r="I135" s="2545"/>
      <c r="J135" s="2545"/>
      <c r="K135" s="2545"/>
      <c r="L135" s="2545"/>
      <c r="M135" s="2545"/>
      <c r="Q135" s="1394"/>
      <c r="AA135" s="1787">
        <v>125</v>
      </c>
    </row>
    <row r="136" spans="1:27" ht="11.25" customHeight="1">
      <c r="A136" s="1399"/>
      <c r="B136" s="1397"/>
      <c r="C136" s="2545"/>
      <c r="D136" s="2545"/>
      <c r="E136" s="2545"/>
      <c r="F136" s="2545"/>
      <c r="G136" s="2545"/>
      <c r="H136" s="2545"/>
      <c r="I136" s="2545"/>
      <c r="J136" s="2545"/>
      <c r="K136" s="2545"/>
      <c r="L136" s="2545"/>
      <c r="M136" s="2545"/>
      <c r="Q136" s="1394"/>
      <c r="AA136" s="1787">
        <v>126</v>
      </c>
    </row>
    <row r="137" spans="1:27" ht="20.25" customHeight="1">
      <c r="A137" s="2550" t="s">
        <v>1501</v>
      </c>
      <c r="B137" s="2550" t="s">
        <v>1502</v>
      </c>
      <c r="C137" s="2550"/>
      <c r="D137" s="2545"/>
      <c r="E137" s="2545"/>
      <c r="F137" s="2545"/>
      <c r="G137" s="2545"/>
      <c r="H137" s="2545"/>
      <c r="I137" s="2545"/>
      <c r="J137" s="2545"/>
      <c r="K137" s="2545"/>
      <c r="L137" s="2545"/>
      <c r="M137" s="2545"/>
      <c r="O137" s="1398" t="s">
        <v>1451</v>
      </c>
      <c r="P137" s="3016"/>
      <c r="Q137" s="3025"/>
      <c r="AA137" s="1787">
        <v>127</v>
      </c>
    </row>
    <row r="138" spans="1:27" ht="27.6" customHeight="1">
      <c r="A138" s="1399"/>
      <c r="B138" s="3018" t="s">
        <v>1503</v>
      </c>
      <c r="C138" s="3018"/>
      <c r="D138" s="3018"/>
      <c r="E138" s="3018"/>
      <c r="F138" s="3018"/>
      <c r="G138" s="3018"/>
      <c r="H138" s="3018"/>
      <c r="I138" s="3018"/>
      <c r="J138" s="3018"/>
      <c r="K138" s="3018"/>
      <c r="L138" s="3018"/>
      <c r="M138" s="3018"/>
      <c r="N138" s="3018"/>
      <c r="O138" s="3019"/>
      <c r="P138" s="3057" t="s">
        <v>7444</v>
      </c>
      <c r="Q138" s="3059"/>
      <c r="AA138" s="1787">
        <v>128</v>
      </c>
    </row>
    <row r="139" spans="1:27" ht="20.25" customHeight="1">
      <c r="A139" s="1405" t="s">
        <v>186</v>
      </c>
      <c r="B139" s="1396" t="s">
        <v>1504</v>
      </c>
      <c r="O139" s="2552"/>
      <c r="P139" s="1399"/>
      <c r="Q139" s="1399"/>
      <c r="AA139" s="1788">
        <v>129</v>
      </c>
    </row>
    <row r="140" spans="1:27" ht="15" customHeight="1">
      <c r="A140" s="1405"/>
      <c r="B140" s="2549"/>
      <c r="C140" s="1396" t="s">
        <v>1505</v>
      </c>
      <c r="J140" s="2552"/>
      <c r="K140" s="1399"/>
      <c r="L140" s="1399"/>
      <c r="M140" s="3122" t="s">
        <v>7737</v>
      </c>
      <c r="N140" s="3123"/>
      <c r="O140" s="3123"/>
      <c r="P140" s="3123"/>
      <c r="Q140" s="3124"/>
      <c r="AA140" s="1787">
        <v>130</v>
      </c>
    </row>
    <row r="141" spans="1:27" ht="15" customHeight="1">
      <c r="A141" s="1405"/>
      <c r="B141" s="2549"/>
      <c r="C141" s="2549" t="s">
        <v>1506</v>
      </c>
      <c r="E141" s="2549"/>
      <c r="F141" s="2549"/>
      <c r="G141" s="2549"/>
      <c r="H141" s="2549"/>
      <c r="J141" s="2552"/>
      <c r="K141" s="1399"/>
      <c r="L141" s="1399"/>
      <c r="M141" s="3126" t="s">
        <v>7738</v>
      </c>
      <c r="N141" s="3127"/>
      <c r="O141" s="3127"/>
      <c r="P141" s="3127"/>
      <c r="Q141" s="3128"/>
      <c r="AA141" s="1787">
        <v>131</v>
      </c>
    </row>
    <row r="142" spans="1:27" ht="15" customHeight="1">
      <c r="A142" s="1405"/>
      <c r="B142" s="2549"/>
      <c r="C142" s="3112" t="s">
        <v>1507</v>
      </c>
      <c r="D142" s="3113"/>
      <c r="E142" s="3113"/>
      <c r="F142" s="3113"/>
      <c r="G142" s="3113"/>
      <c r="H142" s="3113"/>
      <c r="I142" s="3113"/>
      <c r="J142" s="3113"/>
      <c r="K142" s="3113"/>
      <c r="L142" s="3113"/>
      <c r="M142" s="3114"/>
      <c r="N142" s="3114"/>
      <c r="O142" s="3114"/>
      <c r="P142" s="3114"/>
      <c r="Q142" s="3115"/>
      <c r="AA142" s="1787">
        <v>132</v>
      </c>
    </row>
    <row r="143" spans="1:27" ht="15" customHeight="1">
      <c r="A143" s="1405"/>
      <c r="B143" s="2549"/>
      <c r="C143" s="2549" t="s">
        <v>1508</v>
      </c>
      <c r="E143" s="2549"/>
      <c r="F143" s="2549"/>
      <c r="G143" s="2549"/>
      <c r="H143" s="2549"/>
      <c r="J143" s="2552"/>
      <c r="K143" s="1399"/>
      <c r="L143" s="1399"/>
      <c r="M143" s="3116" t="s">
        <v>7739</v>
      </c>
      <c r="N143" s="3117"/>
      <c r="O143" s="3117"/>
      <c r="P143" s="3117"/>
      <c r="Q143" s="3118"/>
      <c r="AA143" s="1787">
        <v>133</v>
      </c>
    </row>
    <row r="144" spans="1:27" ht="20.25" customHeight="1">
      <c r="A144" s="1405" t="s">
        <v>198</v>
      </c>
      <c r="B144" s="3018" t="s">
        <v>1509</v>
      </c>
      <c r="C144" s="3018"/>
      <c r="D144" s="3018"/>
      <c r="E144" s="3018"/>
      <c r="F144" s="3018"/>
      <c r="G144" s="3018"/>
      <c r="H144" s="3018"/>
      <c r="I144" s="3018"/>
      <c r="J144" s="3018"/>
      <c r="K144" s="3018"/>
      <c r="L144" s="3018"/>
      <c r="M144" s="3018"/>
      <c r="N144" s="3018"/>
      <c r="O144" s="2552"/>
      <c r="P144" s="1427"/>
      <c r="Q144" s="1394"/>
      <c r="AA144" s="1787">
        <v>134</v>
      </c>
    </row>
    <row r="145" spans="1:27" ht="27.6" customHeight="1">
      <c r="A145" s="1417"/>
      <c r="B145" s="2545"/>
      <c r="C145" s="3018" t="s">
        <v>1510</v>
      </c>
      <c r="D145" s="3018"/>
      <c r="E145" s="3018"/>
      <c r="F145" s="3018"/>
      <c r="G145" s="3018"/>
      <c r="H145" s="3018"/>
      <c r="I145" s="3018"/>
      <c r="J145" s="3018"/>
      <c r="K145" s="3018"/>
      <c r="L145" s="3018"/>
      <c r="M145" s="3018"/>
      <c r="N145" s="3018"/>
      <c r="O145" s="3018"/>
      <c r="P145" s="3018"/>
      <c r="Q145" s="3018"/>
      <c r="AA145" s="1787">
        <v>135</v>
      </c>
    </row>
    <row r="146" spans="1:27" ht="15" customHeight="1">
      <c r="A146" s="1394"/>
      <c r="B146" s="1422" t="s">
        <v>1511</v>
      </c>
      <c r="C146" s="3119" t="s">
        <v>1705</v>
      </c>
      <c r="D146" s="3120"/>
      <c r="E146" s="3120"/>
      <c r="F146" s="3120"/>
      <c r="G146" s="3120"/>
      <c r="H146" s="3121"/>
      <c r="I146" s="1399"/>
      <c r="J146" s="3078"/>
      <c r="K146" s="3079"/>
      <c r="L146" s="3079"/>
      <c r="M146" s="3079"/>
      <c r="N146" s="3079"/>
      <c r="O146" s="3079"/>
      <c r="P146" s="3079"/>
      <c r="Q146" s="3080"/>
      <c r="AA146" s="1787">
        <v>136</v>
      </c>
    </row>
    <row r="147" spans="1:27" ht="15" customHeight="1">
      <c r="A147" s="1394"/>
      <c r="B147" s="1422" t="s">
        <v>1513</v>
      </c>
      <c r="C147" s="3100" t="s">
        <v>1699</v>
      </c>
      <c r="D147" s="3101"/>
      <c r="E147" s="3101"/>
      <c r="F147" s="3101"/>
      <c r="G147" s="3101"/>
      <c r="H147" s="3102"/>
      <c r="I147" s="1399"/>
      <c r="J147" s="3103"/>
      <c r="K147" s="3104"/>
      <c r="L147" s="3104"/>
      <c r="M147" s="3104"/>
      <c r="N147" s="3104"/>
      <c r="O147" s="3104"/>
      <c r="P147" s="3104"/>
      <c r="Q147" s="3105"/>
      <c r="AA147" s="1787">
        <v>137</v>
      </c>
    </row>
    <row r="148" spans="1:27" ht="15" customHeight="1">
      <c r="A148" s="1394"/>
      <c r="B148" s="1422" t="s">
        <v>1514</v>
      </c>
      <c r="C148" s="3100"/>
      <c r="D148" s="3101"/>
      <c r="E148" s="3101"/>
      <c r="F148" s="3101"/>
      <c r="G148" s="3101"/>
      <c r="H148" s="3102"/>
      <c r="I148" s="1399"/>
      <c r="J148" s="3103"/>
      <c r="K148" s="3104"/>
      <c r="L148" s="3104"/>
      <c r="M148" s="3104"/>
      <c r="N148" s="3104"/>
      <c r="O148" s="3104"/>
      <c r="P148" s="3104"/>
      <c r="Q148" s="3105"/>
      <c r="AA148" s="1788">
        <v>138</v>
      </c>
    </row>
    <row r="149" spans="1:27" ht="15" customHeight="1">
      <c r="A149" s="1394"/>
      <c r="B149" s="1422" t="s">
        <v>1515</v>
      </c>
      <c r="C149" s="3106"/>
      <c r="D149" s="3107"/>
      <c r="E149" s="3107"/>
      <c r="F149" s="3107"/>
      <c r="G149" s="3107"/>
      <c r="H149" s="3108"/>
      <c r="I149" s="1399"/>
      <c r="J149" s="3109"/>
      <c r="K149" s="3110"/>
      <c r="L149" s="3110"/>
      <c r="M149" s="3110"/>
      <c r="N149" s="3110"/>
      <c r="O149" s="3110"/>
      <c r="P149" s="3110"/>
      <c r="Q149" s="3111"/>
      <c r="AA149" s="1787">
        <v>139</v>
      </c>
    </row>
    <row r="150" spans="1:27" ht="15.75" customHeight="1">
      <c r="B150" s="1402" t="s">
        <v>1457</v>
      </c>
      <c r="D150" s="1402"/>
      <c r="E150" s="1402"/>
      <c r="F150" s="1402"/>
      <c r="G150" s="1402"/>
      <c r="H150" s="2549"/>
      <c r="I150" s="1397"/>
      <c r="J150" s="1397"/>
      <c r="K150" s="1397"/>
      <c r="L150" s="1394"/>
      <c r="M150" s="1394"/>
      <c r="N150" s="1394"/>
      <c r="O150" s="1394"/>
      <c r="P150" s="1399"/>
      <c r="Q150" s="1399"/>
      <c r="AA150" s="1787">
        <v>140</v>
      </c>
    </row>
    <row r="151" spans="1:27" ht="15" customHeight="1">
      <c r="A151" s="3010" t="s">
        <v>7740</v>
      </c>
      <c r="B151" s="3010"/>
      <c r="C151" s="3010"/>
      <c r="D151" s="3010"/>
      <c r="E151" s="3010"/>
      <c r="F151" s="3010"/>
      <c r="G151" s="3010"/>
      <c r="H151" s="3010"/>
      <c r="I151" s="3010"/>
      <c r="J151" s="3010"/>
      <c r="K151" s="3010"/>
      <c r="L151" s="3010"/>
      <c r="M151" s="3010"/>
      <c r="N151" s="3010"/>
      <c r="O151" s="3010"/>
      <c r="P151" s="3010"/>
      <c r="Q151" s="3094"/>
      <c r="AA151" s="1787">
        <v>141</v>
      </c>
    </row>
    <row r="152" spans="1:27" ht="15.75" customHeight="1">
      <c r="B152" s="1400" t="s">
        <v>1453</v>
      </c>
      <c r="C152" s="1401"/>
      <c r="D152" s="2545"/>
      <c r="E152" s="2545"/>
      <c r="F152" s="2545"/>
      <c r="G152" s="2545"/>
      <c r="H152" s="2545"/>
      <c r="I152" s="2545"/>
      <c r="J152" s="2545"/>
      <c r="K152" s="2545"/>
      <c r="L152" s="2545"/>
      <c r="M152" s="2545"/>
      <c r="N152" s="2545"/>
      <c r="O152" s="2545"/>
      <c r="P152" s="2545"/>
      <c r="Q152" s="2545"/>
      <c r="AA152" s="1787">
        <v>142</v>
      </c>
    </row>
    <row r="153" spans="1:27" ht="15" customHeight="1">
      <c r="A153" s="3013"/>
      <c r="B153" s="3013"/>
      <c r="C153" s="3013"/>
      <c r="D153" s="3013"/>
      <c r="E153" s="3013"/>
      <c r="F153" s="3013"/>
      <c r="G153" s="3013"/>
      <c r="H153" s="3013"/>
      <c r="I153" s="3013"/>
      <c r="J153" s="3013"/>
      <c r="K153" s="3013"/>
      <c r="L153" s="3013"/>
      <c r="M153" s="3013"/>
      <c r="N153" s="3013"/>
      <c r="O153" s="3013"/>
      <c r="P153" s="3013"/>
      <c r="Q153" s="3095"/>
      <c r="AA153" s="1787">
        <v>143</v>
      </c>
    </row>
    <row r="154" spans="1:27" ht="11.25" customHeight="1">
      <c r="A154" s="1394"/>
      <c r="B154" s="1397"/>
      <c r="C154" s="2545"/>
      <c r="D154" s="2545"/>
      <c r="E154" s="2545"/>
      <c r="F154" s="2545"/>
      <c r="G154" s="2545"/>
      <c r="H154" s="2545"/>
      <c r="I154" s="2545"/>
      <c r="J154" s="2545"/>
      <c r="K154" s="2545"/>
      <c r="L154" s="2545"/>
      <c r="M154" s="2545"/>
      <c r="Q154" s="1394"/>
      <c r="AA154" s="1787">
        <v>144</v>
      </c>
    </row>
    <row r="155" spans="1:27" ht="11.25" customHeight="1">
      <c r="A155" s="1399"/>
      <c r="B155" s="1397"/>
      <c r="C155" s="2545"/>
      <c r="D155" s="2545"/>
      <c r="E155" s="2545"/>
      <c r="F155" s="2545"/>
      <c r="G155" s="2545"/>
      <c r="H155" s="2545"/>
      <c r="I155" s="2545"/>
      <c r="J155" s="2545"/>
      <c r="K155" s="2545"/>
      <c r="L155" s="2545"/>
      <c r="M155" s="2545"/>
      <c r="Q155" s="1394"/>
      <c r="AA155" s="1787">
        <v>145</v>
      </c>
    </row>
    <row r="156" spans="1:27" ht="20.25" customHeight="1">
      <c r="A156" s="2550" t="s">
        <v>1516</v>
      </c>
      <c r="B156" s="1395" t="s">
        <v>1517</v>
      </c>
      <c r="C156" s="1395"/>
      <c r="D156" s="1395"/>
      <c r="E156" s="1395"/>
      <c r="F156" s="1395"/>
      <c r="G156" s="1395"/>
      <c r="H156" s="2545"/>
      <c r="I156" s="2545"/>
      <c r="J156" s="2545"/>
      <c r="K156" s="2545"/>
      <c r="L156" s="1428"/>
      <c r="M156" s="1429"/>
      <c r="O156" s="1398" t="s">
        <v>1451</v>
      </c>
      <c r="P156" s="3066"/>
      <c r="Q156" s="3099"/>
      <c r="AA156" s="1787">
        <v>146</v>
      </c>
    </row>
    <row r="157" spans="1:27" ht="15" customHeight="1">
      <c r="A157" s="1399"/>
      <c r="B157" s="1396" t="s">
        <v>1455</v>
      </c>
      <c r="C157" s="1399"/>
      <c r="D157" s="1399"/>
      <c r="E157" s="1399"/>
      <c r="F157" s="1399"/>
      <c r="G157" s="1399"/>
      <c r="H157" s="1399"/>
      <c r="I157" s="1399"/>
      <c r="J157" s="1399"/>
      <c r="K157" s="1399"/>
      <c r="L157" s="1399"/>
      <c r="M157" s="1399"/>
      <c r="N157" s="1397"/>
      <c r="O157" s="1399"/>
      <c r="P157" s="3043" t="s">
        <v>7474</v>
      </c>
      <c r="Q157" s="3044"/>
      <c r="AA157" s="1787">
        <v>147</v>
      </c>
    </row>
    <row r="158" spans="1:27" ht="15" customHeight="1">
      <c r="A158" s="1405"/>
      <c r="B158" s="1396" t="s">
        <v>1518</v>
      </c>
      <c r="G158" s="1399"/>
      <c r="M158" s="3072" t="s">
        <v>7696</v>
      </c>
      <c r="N158" s="3165"/>
      <c r="O158" s="3165"/>
      <c r="P158" s="3166"/>
      <c r="Q158" s="3167"/>
      <c r="R158" s="1411"/>
      <c r="AA158" s="1787">
        <v>148</v>
      </c>
    </row>
    <row r="159" spans="1:27" ht="15" customHeight="1">
      <c r="A159" s="1405"/>
      <c r="B159" s="1396" t="s">
        <v>1519</v>
      </c>
      <c r="G159" s="1399"/>
      <c r="M159" s="3074" t="s">
        <v>7695</v>
      </c>
      <c r="N159" s="3163"/>
      <c r="O159" s="3163"/>
      <c r="P159" s="3163"/>
      <c r="Q159" s="3164"/>
      <c r="R159" s="1411"/>
      <c r="AA159" s="1787">
        <v>149</v>
      </c>
    </row>
    <row r="160" spans="1:27" ht="15.75" customHeight="1">
      <c r="B160" s="1410" t="s">
        <v>1457</v>
      </c>
      <c r="D160" s="1410"/>
      <c r="E160" s="1410"/>
      <c r="F160" s="1410"/>
      <c r="G160" s="1410"/>
      <c r="H160" s="2549"/>
      <c r="I160" s="1397"/>
      <c r="J160" s="1397"/>
      <c r="K160" s="1397"/>
      <c r="L160" s="1394"/>
      <c r="M160" s="1394"/>
      <c r="N160" s="1394"/>
      <c r="O160" s="1394"/>
      <c r="P160" s="1394"/>
      <c r="Q160" s="1394"/>
      <c r="AA160" s="1787">
        <v>150</v>
      </c>
    </row>
    <row r="161" spans="1:27" ht="45" customHeight="1">
      <c r="A161" s="3010" t="s">
        <v>7697</v>
      </c>
      <c r="B161" s="3010"/>
      <c r="C161" s="3010"/>
      <c r="D161" s="3010"/>
      <c r="E161" s="3010"/>
      <c r="F161" s="3010"/>
      <c r="G161" s="3010"/>
      <c r="H161" s="3010"/>
      <c r="I161" s="3010"/>
      <c r="J161" s="3010"/>
      <c r="K161" s="3010"/>
      <c r="L161" s="3010"/>
      <c r="M161" s="3010"/>
      <c r="N161" s="3010"/>
      <c r="O161" s="3010"/>
      <c r="P161" s="3010"/>
      <c r="Q161" s="3094"/>
      <c r="AA161" s="1787">
        <v>151</v>
      </c>
    </row>
    <row r="162" spans="1:27" ht="15.75" customHeight="1">
      <c r="B162" s="1400" t="s">
        <v>1453</v>
      </c>
      <c r="C162" s="1401"/>
      <c r="D162" s="2545"/>
      <c r="E162" s="2545"/>
      <c r="F162" s="2545"/>
      <c r="G162" s="2545"/>
      <c r="H162" s="2545"/>
      <c r="I162" s="2545"/>
      <c r="J162" s="2545"/>
      <c r="K162" s="2545"/>
      <c r="L162" s="2545"/>
      <c r="M162" s="2545"/>
      <c r="N162" s="2545"/>
      <c r="O162" s="2545"/>
      <c r="P162" s="2545"/>
      <c r="Q162" s="2545"/>
      <c r="AA162" s="1787">
        <v>152</v>
      </c>
    </row>
    <row r="163" spans="1:27" ht="15" customHeight="1">
      <c r="A163" s="3013"/>
      <c r="B163" s="3013"/>
      <c r="C163" s="3013"/>
      <c r="D163" s="3013"/>
      <c r="E163" s="3013"/>
      <c r="F163" s="3013"/>
      <c r="G163" s="3013"/>
      <c r="H163" s="3013"/>
      <c r="I163" s="3013"/>
      <c r="J163" s="3013"/>
      <c r="K163" s="3013"/>
      <c r="L163" s="3013"/>
      <c r="M163" s="3013"/>
      <c r="N163" s="3013"/>
      <c r="O163" s="3013"/>
      <c r="P163" s="3013"/>
      <c r="Q163" s="3095"/>
      <c r="AA163" s="1788">
        <v>153</v>
      </c>
    </row>
    <row r="164" spans="1:27" ht="11.25" customHeight="1">
      <c r="A164" s="1394"/>
      <c r="B164" s="1397"/>
      <c r="C164" s="2545"/>
      <c r="D164" s="2545"/>
      <c r="E164" s="2545"/>
      <c r="F164" s="2545"/>
      <c r="G164" s="2545"/>
      <c r="H164" s="2545"/>
      <c r="I164" s="2545"/>
      <c r="J164" s="2545"/>
      <c r="K164" s="2545"/>
      <c r="L164" s="2545"/>
      <c r="M164" s="2545"/>
      <c r="Q164" s="1394"/>
      <c r="AA164" s="1787">
        <v>154</v>
      </c>
    </row>
    <row r="165" spans="1:27" ht="11.25" customHeight="1">
      <c r="A165" s="1399"/>
      <c r="B165" s="1397"/>
      <c r="C165" s="2545"/>
      <c r="D165" s="2545"/>
      <c r="E165" s="2545"/>
      <c r="F165" s="2545"/>
      <c r="G165" s="2545"/>
      <c r="H165" s="2545"/>
      <c r="I165" s="2545"/>
      <c r="J165" s="2545"/>
      <c r="K165" s="2545"/>
      <c r="L165" s="2545"/>
      <c r="M165" s="2545"/>
      <c r="Q165" s="1394"/>
      <c r="AA165" s="1787">
        <v>155</v>
      </c>
    </row>
    <row r="166" spans="1:27" ht="20.25" customHeight="1">
      <c r="A166" s="2550" t="s">
        <v>1520</v>
      </c>
      <c r="B166" s="1395" t="s">
        <v>1521</v>
      </c>
      <c r="C166" s="1395"/>
      <c r="D166" s="1395"/>
      <c r="E166" s="1395"/>
      <c r="F166" s="1395"/>
      <c r="G166" s="1395"/>
      <c r="H166" s="2545"/>
      <c r="I166" s="2545"/>
      <c r="J166" s="2545"/>
      <c r="K166" s="2545"/>
      <c r="L166" s="2545"/>
      <c r="M166" s="2545"/>
      <c r="O166" s="1398" t="s">
        <v>1451</v>
      </c>
      <c r="P166" s="3016"/>
      <c r="Q166" s="3025"/>
      <c r="AA166" s="1787">
        <v>156</v>
      </c>
    </row>
    <row r="167" spans="1:27" ht="15.75" customHeight="1">
      <c r="B167" s="1410" t="s">
        <v>1457</v>
      </c>
      <c r="D167" s="1410"/>
      <c r="E167" s="1410"/>
      <c r="F167" s="1410"/>
      <c r="G167" s="1410"/>
      <c r="H167" s="2549"/>
      <c r="I167" s="1397"/>
      <c r="J167" s="1397"/>
      <c r="K167" s="1397"/>
      <c r="L167" s="1394"/>
      <c r="M167" s="1394"/>
      <c r="N167" s="1394"/>
      <c r="O167" s="1394"/>
      <c r="P167" s="1394"/>
      <c r="Q167" s="1394"/>
      <c r="AA167" s="1787">
        <v>157</v>
      </c>
    </row>
    <row r="168" spans="1:27" ht="30" customHeight="1">
      <c r="A168" s="3010" t="s">
        <v>7750</v>
      </c>
      <c r="B168" s="3010"/>
      <c r="C168" s="3010"/>
      <c r="D168" s="3010"/>
      <c r="E168" s="3010"/>
      <c r="F168" s="3010"/>
      <c r="G168" s="3010"/>
      <c r="H168" s="3010"/>
      <c r="I168" s="3010"/>
      <c r="J168" s="3010"/>
      <c r="K168" s="3010"/>
      <c r="L168" s="3010"/>
      <c r="M168" s="3010"/>
      <c r="N168" s="3010"/>
      <c r="O168" s="3010"/>
      <c r="P168" s="3010"/>
      <c r="Q168" s="3094"/>
      <c r="AA168" s="1787">
        <v>158</v>
      </c>
    </row>
    <row r="169" spans="1:27" ht="15.75" customHeight="1">
      <c r="B169" s="1400" t="s">
        <v>1453</v>
      </c>
      <c r="C169" s="1401"/>
      <c r="D169" s="2545"/>
      <c r="E169" s="2545"/>
      <c r="F169" s="2545"/>
      <c r="G169" s="2545"/>
      <c r="H169" s="2545"/>
      <c r="I169" s="2545"/>
      <c r="J169" s="2545"/>
      <c r="K169" s="2545"/>
      <c r="L169" s="2545"/>
      <c r="M169" s="2545"/>
      <c r="N169" s="2545"/>
      <c r="O169" s="2545"/>
      <c r="P169" s="2545"/>
      <c r="Q169" s="2545"/>
      <c r="AA169" s="1787">
        <v>159</v>
      </c>
    </row>
    <row r="170" spans="1:27" ht="15" customHeight="1">
      <c r="A170" s="3013"/>
      <c r="B170" s="3013"/>
      <c r="C170" s="3013"/>
      <c r="D170" s="3013"/>
      <c r="E170" s="3013"/>
      <c r="F170" s="3013"/>
      <c r="G170" s="3013"/>
      <c r="H170" s="3013"/>
      <c r="I170" s="3013"/>
      <c r="J170" s="3013"/>
      <c r="K170" s="3013"/>
      <c r="L170" s="3013"/>
      <c r="M170" s="3013"/>
      <c r="N170" s="3013"/>
      <c r="O170" s="3013"/>
      <c r="P170" s="3013"/>
      <c r="Q170" s="3095"/>
      <c r="AA170" s="1787">
        <v>160</v>
      </c>
    </row>
    <row r="171" spans="1:27" ht="11.25" customHeight="1">
      <c r="AA171" s="1787">
        <v>161</v>
      </c>
    </row>
    <row r="172" spans="1:27" ht="11.25" customHeight="1">
      <c r="A172" s="1399"/>
      <c r="AA172" s="1788">
        <v>162</v>
      </c>
    </row>
    <row r="173" spans="1:27" ht="17.100000000000001" customHeight="1">
      <c r="A173" s="2550" t="s">
        <v>1522</v>
      </c>
      <c r="B173" s="2550" t="s">
        <v>1523</v>
      </c>
      <c r="C173" s="2550"/>
      <c r="D173" s="2545"/>
      <c r="E173" s="2545"/>
      <c r="F173" s="2545"/>
      <c r="G173" s="2545"/>
      <c r="H173" s="2545"/>
      <c r="I173" s="2545"/>
      <c r="J173" s="2545"/>
      <c r="K173" s="2545"/>
      <c r="L173" s="2545"/>
      <c r="M173" s="2545"/>
      <c r="O173" s="1398" t="s">
        <v>1451</v>
      </c>
      <c r="P173" s="3016"/>
      <c r="Q173" s="3025"/>
      <c r="AA173" s="1787">
        <v>163</v>
      </c>
    </row>
    <row r="174" spans="1:27" ht="15" customHeight="1">
      <c r="A174" s="1405" t="s">
        <v>186</v>
      </c>
      <c r="B174" s="1395" t="s">
        <v>1524</v>
      </c>
      <c r="G174" s="1399"/>
      <c r="J174" s="1399"/>
      <c r="K174" s="1399"/>
      <c r="L174" s="1399"/>
      <c r="M174" s="1399"/>
      <c r="N174" s="1399"/>
      <c r="O174" s="2552"/>
      <c r="P174" s="1399"/>
      <c r="Q174" s="1399"/>
      <c r="AA174" s="1787">
        <v>164</v>
      </c>
    </row>
    <row r="175" spans="1:27" ht="29.55" customHeight="1">
      <c r="B175" s="3027" t="s">
        <v>1525</v>
      </c>
      <c r="C175" s="3027"/>
      <c r="D175" s="3027"/>
      <c r="E175" s="3027"/>
      <c r="F175" s="3027"/>
      <c r="G175" s="3027"/>
      <c r="H175" s="3027"/>
      <c r="I175" s="3027"/>
      <c r="J175" s="3027"/>
      <c r="K175" s="3027"/>
      <c r="L175" s="3027"/>
      <c r="M175" s="3027"/>
      <c r="N175" s="3027"/>
      <c r="O175" s="3028"/>
      <c r="P175" s="3092" t="s">
        <v>7681</v>
      </c>
      <c r="Q175" s="3093"/>
      <c r="AA175" s="1787">
        <v>165</v>
      </c>
    </row>
    <row r="176" spans="1:27" ht="17.100000000000001" customHeight="1">
      <c r="A176" s="1405" t="s">
        <v>198</v>
      </c>
      <c r="B176" s="1395" t="s">
        <v>1526</v>
      </c>
      <c r="G176" s="1399"/>
      <c r="L176" s="3096"/>
      <c r="M176" s="3097"/>
      <c r="N176" s="3097"/>
      <c r="O176" s="3097"/>
      <c r="P176" s="3097"/>
      <c r="Q176" s="3098"/>
      <c r="AA176" s="1787">
        <v>166</v>
      </c>
    </row>
    <row r="177" spans="1:27" ht="15.75" customHeight="1">
      <c r="B177" s="1410" t="s">
        <v>1457</v>
      </c>
      <c r="M177" s="1397"/>
      <c r="N177" s="1397"/>
      <c r="O177" s="1430"/>
      <c r="P177" s="1394"/>
      <c r="AA177" s="1787">
        <v>167</v>
      </c>
    </row>
    <row r="178" spans="1:27" ht="31.2" customHeight="1">
      <c r="A178" s="3010" t="s">
        <v>7698</v>
      </c>
      <c r="B178" s="3010"/>
      <c r="C178" s="3010"/>
      <c r="D178" s="3010"/>
      <c r="E178" s="3010"/>
      <c r="F178" s="3010"/>
      <c r="G178" s="3010"/>
      <c r="H178" s="3010"/>
      <c r="I178" s="3010"/>
      <c r="J178" s="3010"/>
      <c r="K178" s="3010"/>
      <c r="L178" s="3010"/>
      <c r="M178" s="3010"/>
      <c r="N178" s="3010"/>
      <c r="O178" s="3010"/>
      <c r="P178" s="3010"/>
      <c r="Q178" s="3094"/>
      <c r="AA178" s="1787">
        <v>168</v>
      </c>
    </row>
    <row r="179" spans="1:27" ht="15.75" customHeight="1">
      <c r="B179" s="1400" t="s">
        <v>1453</v>
      </c>
      <c r="C179" s="1401"/>
      <c r="D179" s="2545"/>
      <c r="E179" s="2545"/>
      <c r="F179" s="2545"/>
      <c r="G179" s="2545"/>
      <c r="H179" s="2545"/>
      <c r="I179" s="2545"/>
      <c r="J179" s="2545"/>
      <c r="K179" s="2545"/>
      <c r="L179" s="2545"/>
      <c r="M179" s="2545"/>
      <c r="N179" s="2545"/>
      <c r="O179" s="2545"/>
      <c r="P179" s="2545"/>
      <c r="Q179" s="2545"/>
      <c r="AA179" s="1787">
        <v>169</v>
      </c>
    </row>
    <row r="180" spans="1:27" ht="15" customHeight="1">
      <c r="A180" s="3013"/>
      <c r="B180" s="3013"/>
      <c r="C180" s="3013"/>
      <c r="D180" s="3013"/>
      <c r="E180" s="3013"/>
      <c r="F180" s="3013"/>
      <c r="G180" s="3013"/>
      <c r="H180" s="3013"/>
      <c r="I180" s="3013"/>
      <c r="J180" s="3013"/>
      <c r="K180" s="3013"/>
      <c r="L180" s="3013"/>
      <c r="M180" s="3013"/>
      <c r="N180" s="3013"/>
      <c r="O180" s="3013"/>
      <c r="P180" s="3013"/>
      <c r="Q180" s="3065"/>
      <c r="AA180" s="1787">
        <v>170</v>
      </c>
    </row>
    <row r="181" spans="1:27" ht="11.25" customHeight="1">
      <c r="F181" s="1394"/>
      <c r="G181" s="1394"/>
      <c r="H181" s="1394"/>
      <c r="I181" s="1394"/>
      <c r="J181" s="2549"/>
      <c r="K181" s="2549"/>
      <c r="L181" s="2549"/>
      <c r="M181" s="1397"/>
      <c r="N181" s="1394"/>
      <c r="O181" s="1394"/>
      <c r="P181" s="1430"/>
      <c r="AA181" s="1787">
        <v>171</v>
      </c>
    </row>
    <row r="182" spans="1:27" ht="11.25" customHeight="1">
      <c r="A182" s="1399"/>
      <c r="F182" s="1394"/>
      <c r="G182" s="1394"/>
      <c r="H182" s="1394"/>
      <c r="I182" s="1394"/>
      <c r="J182" s="2549"/>
      <c r="K182" s="2549"/>
      <c r="L182" s="2549"/>
      <c r="M182" s="1397"/>
      <c r="N182" s="1394"/>
      <c r="O182" s="1394"/>
      <c r="P182" s="1430"/>
      <c r="AA182" s="1787">
        <v>172</v>
      </c>
    </row>
    <row r="183" spans="1:27" ht="17.100000000000001" customHeight="1">
      <c r="A183" s="2550" t="s">
        <v>1528</v>
      </c>
      <c r="B183" s="2550" t="s">
        <v>1529</v>
      </c>
      <c r="C183" s="1431"/>
      <c r="D183" s="1431"/>
      <c r="E183" s="2545"/>
      <c r="F183" s="2545"/>
      <c r="G183" s="2545"/>
      <c r="H183" s="2545"/>
      <c r="I183" s="2545"/>
      <c r="J183" s="2545"/>
      <c r="K183" s="2545"/>
      <c r="L183" s="2545"/>
      <c r="M183" s="2545"/>
      <c r="O183" s="1398" t="s">
        <v>1451</v>
      </c>
      <c r="P183" s="3066"/>
      <c r="Q183" s="3067"/>
      <c r="AA183" s="1787">
        <v>173</v>
      </c>
    </row>
    <row r="184" spans="1:27" ht="15" customHeight="1">
      <c r="A184" s="1399"/>
      <c r="B184" s="1396" t="s">
        <v>1455</v>
      </c>
      <c r="C184" s="1399"/>
      <c r="D184" s="1399"/>
      <c r="E184" s="1399"/>
      <c r="F184" s="1399"/>
      <c r="G184" s="1399"/>
      <c r="H184" s="1399"/>
      <c r="I184" s="1399"/>
      <c r="J184" s="1399"/>
      <c r="K184" s="1399"/>
      <c r="L184" s="1399"/>
      <c r="M184" s="1399"/>
      <c r="N184" s="1397"/>
      <c r="O184" s="1399"/>
      <c r="P184" s="3043" t="s">
        <v>7474</v>
      </c>
      <c r="Q184" s="3068"/>
      <c r="AA184" s="1787">
        <v>174</v>
      </c>
    </row>
    <row r="185" spans="1:27" ht="30.6" customHeight="1">
      <c r="A185" s="1399"/>
      <c r="B185" s="3018" t="s">
        <v>1530</v>
      </c>
      <c r="C185" s="3018"/>
      <c r="D185" s="3018"/>
      <c r="E185" s="3018"/>
      <c r="F185" s="3018"/>
      <c r="G185" s="3018"/>
      <c r="H185" s="3018"/>
      <c r="I185" s="3018"/>
      <c r="J185" s="3018"/>
      <c r="K185" s="3018"/>
      <c r="L185" s="3018"/>
      <c r="M185" s="3018"/>
      <c r="N185" s="3018"/>
      <c r="O185" s="3018"/>
      <c r="P185" s="3085" t="s">
        <v>7681</v>
      </c>
      <c r="Q185" s="3086"/>
      <c r="AA185" s="1787">
        <v>175</v>
      </c>
    </row>
    <row r="186" spans="1:27">
      <c r="A186" s="1405" t="s">
        <v>186</v>
      </c>
      <c r="B186" s="2550" t="s">
        <v>1531</v>
      </c>
      <c r="C186" s="2545"/>
      <c r="D186" s="2545"/>
      <c r="E186" s="2545"/>
      <c r="F186" s="2545"/>
      <c r="G186" s="2545"/>
      <c r="H186" s="2545"/>
      <c r="I186" s="2545"/>
      <c r="J186" s="2545"/>
      <c r="K186" s="1399"/>
      <c r="L186" s="1503"/>
      <c r="M186" s="1434"/>
      <c r="N186" s="1502"/>
      <c r="O186" s="2552"/>
      <c r="P186" s="2552"/>
      <c r="Q186" s="2552"/>
      <c r="AA186" s="1787">
        <v>176</v>
      </c>
    </row>
    <row r="187" spans="1:27" ht="45" customHeight="1">
      <c r="A187" s="1399"/>
      <c r="B187" s="3087" t="s">
        <v>1532</v>
      </c>
      <c r="C187" s="3021"/>
      <c r="D187" s="3021"/>
      <c r="E187" s="3021"/>
      <c r="F187" s="3021"/>
      <c r="G187" s="3021"/>
      <c r="H187" s="3021"/>
      <c r="I187" s="3021"/>
      <c r="J187" s="3021"/>
      <c r="K187" s="3021"/>
      <c r="L187" s="3021"/>
      <c r="M187" s="3021"/>
      <c r="N187" s="3021"/>
      <c r="O187" s="3021"/>
      <c r="P187" s="2552"/>
      <c r="Q187" s="2552"/>
      <c r="AA187" s="1788">
        <v>177</v>
      </c>
    </row>
    <row r="188" spans="1:27" ht="28.5" customHeight="1">
      <c r="A188" s="1399"/>
      <c r="B188" s="1399"/>
      <c r="C188" s="1421"/>
      <c r="D188" s="3027" t="s">
        <v>1533</v>
      </c>
      <c r="E188" s="3027"/>
      <c r="F188" s="3027"/>
      <c r="G188" s="3027"/>
      <c r="H188" s="3027"/>
      <c r="I188" s="3027"/>
      <c r="J188" s="3027"/>
      <c r="K188" s="3027"/>
      <c r="L188" s="3027"/>
      <c r="M188" s="3027"/>
      <c r="N188" s="3027"/>
      <c r="O188" s="3027"/>
      <c r="P188" s="3089">
        <f>'Part VIII Scoring Criteria'!AA86</f>
        <v>10</v>
      </c>
      <c r="Q188" s="3090"/>
      <c r="AA188" s="1787">
        <v>178</v>
      </c>
    </row>
    <row r="189" spans="1:27" ht="12" customHeight="1">
      <c r="A189" s="1399"/>
      <c r="C189" s="1399"/>
      <c r="D189" s="1399"/>
      <c r="E189" s="1399"/>
      <c r="F189" s="1399"/>
      <c r="G189" s="1399"/>
      <c r="H189" s="1399"/>
      <c r="I189" s="1399"/>
      <c r="J189" s="1399"/>
      <c r="K189" s="1399"/>
      <c r="L189" s="3088" t="s">
        <v>1534</v>
      </c>
      <c r="M189" s="3088"/>
      <c r="N189" s="1397"/>
      <c r="O189" s="1399"/>
      <c r="P189" s="1427"/>
      <c r="Q189" s="1394"/>
      <c r="AA189" s="1787">
        <v>179</v>
      </c>
    </row>
    <row r="190" spans="1:27" ht="17.100000000000001" customHeight="1">
      <c r="A190" s="1405" t="s">
        <v>198</v>
      </c>
      <c r="B190" s="2550" t="s">
        <v>1535</v>
      </c>
      <c r="D190" s="1432"/>
      <c r="E190" s="1432"/>
      <c r="F190" s="1432"/>
      <c r="G190" s="1432"/>
      <c r="H190" s="1432"/>
      <c r="I190" s="1432"/>
      <c r="J190" s="1432"/>
      <c r="K190" s="1432"/>
      <c r="L190" s="1396" t="s">
        <v>1536</v>
      </c>
      <c r="M190" s="1397" t="s">
        <v>1537</v>
      </c>
      <c r="N190" s="1432"/>
      <c r="O190" s="2552"/>
      <c r="P190" s="3091" t="s">
        <v>1538</v>
      </c>
      <c r="Q190" s="3091"/>
      <c r="AA190" s="1787">
        <v>180</v>
      </c>
    </row>
    <row r="191" spans="1:27" ht="15" customHeight="1">
      <c r="A191" s="1405"/>
      <c r="B191" s="1396" t="s">
        <v>1539</v>
      </c>
      <c r="C191" s="1399"/>
      <c r="D191" s="2548"/>
      <c r="E191" s="2548"/>
      <c r="F191" s="2548"/>
      <c r="G191" s="2548"/>
      <c r="H191" s="1399"/>
      <c r="K191" s="1433"/>
      <c r="L191" s="2770">
        <f>ROUNDUP('Part V-Revenues &amp; Expenses'!$P$76*M191,0)</f>
        <v>5</v>
      </c>
      <c r="M191" s="1434">
        <f>'DCA Underwriting Assumptions'!$Q$148</f>
        <v>0.05</v>
      </c>
      <c r="N191" s="1502" t="s">
        <v>1540</v>
      </c>
      <c r="O191" s="2552"/>
      <c r="P191" s="3043">
        <v>5</v>
      </c>
      <c r="Q191" s="3068"/>
      <c r="R191" s="1774" t="str">
        <f>IF(P191&lt;L191,"Check Actual against Minimum!","")</f>
        <v/>
      </c>
      <c r="AA191" s="1787">
        <v>181</v>
      </c>
    </row>
    <row r="192" spans="1:27" ht="15" customHeight="1">
      <c r="A192" s="1405"/>
      <c r="B192" s="2549"/>
      <c r="D192" s="3018" t="s">
        <v>1541</v>
      </c>
      <c r="E192" s="3018"/>
      <c r="F192" s="3018"/>
      <c r="G192" s="3018"/>
      <c r="H192" s="3018"/>
      <c r="I192" s="3018"/>
      <c r="J192" s="3018"/>
      <c r="K192" s="1433"/>
      <c r="L192" s="1435">
        <f>ROUNDUP(L191*M192,0)</f>
        <v>2</v>
      </c>
      <c r="M192" s="1434">
        <f>'DCA Underwriting Assumptions'!$Q$149</f>
        <v>0.4</v>
      </c>
      <c r="N192" s="1502" t="s">
        <v>1542</v>
      </c>
      <c r="O192" s="2552"/>
      <c r="P192" s="3034">
        <v>2</v>
      </c>
      <c r="Q192" s="3069"/>
      <c r="R192" s="1774" t="str">
        <f t="shared" ref="R192:R193" si="0">IF(P192&lt;L192,"Check Actual against Minimum!","")</f>
        <v/>
      </c>
      <c r="AA192" s="1787">
        <v>182</v>
      </c>
    </row>
    <row r="193" spans="1:27" ht="15" customHeight="1">
      <c r="A193" s="1405"/>
      <c r="B193" s="3018" t="s">
        <v>1543</v>
      </c>
      <c r="C193" s="3018"/>
      <c r="D193" s="3018"/>
      <c r="E193" s="3018"/>
      <c r="F193" s="3018"/>
      <c r="G193" s="3018"/>
      <c r="H193" s="3018"/>
      <c r="I193" s="3018"/>
      <c r="J193" s="3018"/>
      <c r="K193" s="1399"/>
      <c r="L193" s="2771">
        <f>ROUNDUP('Part V-Revenues &amp; Expenses'!$P$76*M193,0)</f>
        <v>2</v>
      </c>
      <c r="M193" s="1434">
        <f>'DCA Underwriting Assumptions'!$Q$150</f>
        <v>0.02</v>
      </c>
      <c r="N193" s="1502" t="s">
        <v>1540</v>
      </c>
      <c r="O193" s="2552"/>
      <c r="P193" s="3037">
        <v>2</v>
      </c>
      <c r="Q193" s="3077"/>
      <c r="R193" s="1774" t="str">
        <f t="shared" si="0"/>
        <v/>
      </c>
      <c r="AA193" s="1787">
        <v>183</v>
      </c>
    </row>
    <row r="194" spans="1:27" ht="15" customHeight="1">
      <c r="A194" s="1405" t="s">
        <v>219</v>
      </c>
      <c r="B194" s="2550" t="s">
        <v>1544</v>
      </c>
      <c r="C194" s="2545"/>
      <c r="D194" s="2545"/>
      <c r="E194" s="2545"/>
      <c r="F194" s="2545"/>
      <c r="G194" s="2545"/>
      <c r="H194" s="2545"/>
      <c r="I194" s="2545"/>
      <c r="J194" s="2545"/>
      <c r="K194" s="1399"/>
      <c r="L194" s="1503"/>
      <c r="M194" s="1434"/>
      <c r="N194" s="1502"/>
      <c r="O194" s="2552"/>
      <c r="P194" s="2552"/>
      <c r="Q194" s="2552"/>
      <c r="AA194" s="1787">
        <v>184</v>
      </c>
    </row>
    <row r="195" spans="1:27" ht="15.6" customHeight="1">
      <c r="A195" s="1405"/>
      <c r="B195" s="1396" t="s">
        <v>1545</v>
      </c>
      <c r="G195" s="1399"/>
      <c r="M195" s="3082" t="s">
        <v>4692</v>
      </c>
      <c r="N195" s="3083"/>
      <c r="O195" s="3083"/>
      <c r="P195" s="3083"/>
      <c r="Q195" s="3084"/>
      <c r="AA195" s="1787">
        <v>185</v>
      </c>
    </row>
    <row r="196" spans="1:27" ht="15.6" customHeight="1">
      <c r="A196" s="1405"/>
      <c r="C196" s="1399"/>
      <c r="D196" s="1396" t="s">
        <v>1546</v>
      </c>
      <c r="O196" s="2552"/>
      <c r="P196" s="2768"/>
      <c r="Q196" s="2769"/>
      <c r="R196" s="2552"/>
      <c r="AA196" s="1788">
        <v>186</v>
      </c>
    </row>
    <row r="197" spans="1:27" ht="15.6" customHeight="1">
      <c r="A197" s="1405"/>
      <c r="C197" s="1399"/>
      <c r="D197" s="1396" t="s">
        <v>1547</v>
      </c>
      <c r="O197" s="2552"/>
      <c r="P197" s="1414"/>
      <c r="Q197" s="1415"/>
      <c r="R197" s="2552"/>
      <c r="AA197" s="1787">
        <v>187</v>
      </c>
    </row>
    <row r="198" spans="1:27" ht="15.75" customHeight="1">
      <c r="B198" s="1410" t="s">
        <v>1457</v>
      </c>
      <c r="D198" s="1410"/>
      <c r="E198" s="1410"/>
      <c r="F198" s="1410"/>
      <c r="G198" s="1410"/>
      <c r="H198" s="2549"/>
      <c r="I198" s="1397"/>
      <c r="J198" s="1397"/>
      <c r="K198" s="1397"/>
      <c r="L198" s="1394"/>
      <c r="M198" s="1394"/>
      <c r="N198" s="1394"/>
      <c r="O198" s="1394"/>
      <c r="P198" s="1394"/>
      <c r="Q198" s="1394"/>
      <c r="AA198" s="1787">
        <v>188</v>
      </c>
    </row>
    <row r="199" spans="1:27" ht="67.2" customHeight="1">
      <c r="A199" s="3010" t="s">
        <v>7752</v>
      </c>
      <c r="B199" s="3010"/>
      <c r="C199" s="3010"/>
      <c r="D199" s="3010"/>
      <c r="E199" s="3010"/>
      <c r="F199" s="3010"/>
      <c r="G199" s="3010"/>
      <c r="H199" s="3010"/>
      <c r="I199" s="3010"/>
      <c r="J199" s="3010"/>
      <c r="K199" s="3010"/>
      <c r="L199" s="3010"/>
      <c r="M199" s="3010"/>
      <c r="N199" s="3010"/>
      <c r="O199" s="3010"/>
      <c r="P199" s="3010"/>
      <c r="Q199" s="3076"/>
      <c r="AA199" s="1787">
        <v>189</v>
      </c>
    </row>
    <row r="200" spans="1:27" ht="15.75" customHeight="1">
      <c r="B200" s="1400" t="s">
        <v>1453</v>
      </c>
      <c r="C200" s="1401"/>
      <c r="D200" s="2545"/>
      <c r="E200" s="2545"/>
      <c r="F200" s="2545"/>
      <c r="G200" s="2545"/>
      <c r="H200" s="2545"/>
      <c r="I200" s="2545"/>
      <c r="J200" s="2545"/>
      <c r="K200" s="2545"/>
      <c r="L200" s="2545"/>
      <c r="M200" s="2545"/>
      <c r="N200" s="2545"/>
      <c r="O200" s="2545"/>
      <c r="P200" s="2545"/>
      <c r="Q200" s="2545"/>
      <c r="AA200" s="1787">
        <v>190</v>
      </c>
    </row>
    <row r="201" spans="1:27" ht="15" customHeight="1">
      <c r="A201" s="3013"/>
      <c r="B201" s="3013"/>
      <c r="C201" s="3013"/>
      <c r="D201" s="3013"/>
      <c r="E201" s="3013"/>
      <c r="F201" s="3013"/>
      <c r="G201" s="3013"/>
      <c r="H201" s="3013"/>
      <c r="I201" s="3013"/>
      <c r="J201" s="3013"/>
      <c r="K201" s="3013"/>
      <c r="L201" s="3013"/>
      <c r="M201" s="3013"/>
      <c r="N201" s="3013"/>
      <c r="O201" s="3013"/>
      <c r="P201" s="3013"/>
      <c r="Q201" s="3065"/>
      <c r="AA201" s="1787">
        <v>191</v>
      </c>
    </row>
    <row r="202" spans="1:27" ht="11.25" customHeight="1">
      <c r="A202" s="2545"/>
      <c r="B202" s="2545"/>
      <c r="C202" s="2545"/>
      <c r="D202" s="2545"/>
      <c r="E202" s="2545"/>
      <c r="F202" s="2545"/>
      <c r="G202" s="2545"/>
      <c r="H202" s="2545"/>
      <c r="I202" s="2545"/>
      <c r="J202" s="2545"/>
      <c r="K202" s="2545"/>
      <c r="L202" s="2545"/>
      <c r="M202" s="2545"/>
      <c r="N202" s="2545"/>
      <c r="O202" s="2545"/>
      <c r="P202" s="2545"/>
      <c r="Q202" s="2545"/>
      <c r="AA202" s="1787">
        <v>192</v>
      </c>
    </row>
    <row r="203" spans="1:27" ht="11.25" customHeight="1">
      <c r="A203" s="1399"/>
      <c r="B203" s="2545"/>
      <c r="C203" s="2545"/>
      <c r="D203" s="2545"/>
      <c r="E203" s="2545"/>
      <c r="F203" s="2545"/>
      <c r="G203" s="2545"/>
      <c r="H203" s="2545"/>
      <c r="I203" s="2545"/>
      <c r="J203" s="2545"/>
      <c r="K203" s="2545"/>
      <c r="L203" s="2545"/>
      <c r="M203" s="2545"/>
      <c r="N203" s="2545"/>
      <c r="O203" s="2545"/>
      <c r="P203" s="2551"/>
      <c r="Q203" s="2551"/>
      <c r="AA203" s="1787">
        <v>193</v>
      </c>
    </row>
    <row r="204" spans="1:27" ht="20.25" customHeight="1">
      <c r="A204" s="2550" t="s">
        <v>1548</v>
      </c>
      <c r="B204" s="1395" t="s">
        <v>1549</v>
      </c>
      <c r="C204" s="1395"/>
      <c r="D204" s="1395"/>
      <c r="E204" s="1395"/>
      <c r="F204" s="1395"/>
      <c r="G204" s="1395"/>
      <c r="H204" s="2545"/>
      <c r="I204" s="2545"/>
      <c r="J204" s="2545"/>
      <c r="K204" s="2545"/>
      <c r="L204" s="2545"/>
      <c r="M204" s="2545"/>
      <c r="O204" s="1398" t="s">
        <v>1451</v>
      </c>
      <c r="P204" s="3016"/>
      <c r="Q204" s="3064"/>
      <c r="AA204" s="1787">
        <v>194</v>
      </c>
    </row>
    <row r="205" spans="1:27" ht="15" customHeight="1">
      <c r="B205" s="1396" t="s">
        <v>1455</v>
      </c>
      <c r="P205" s="3043" t="s">
        <v>7474</v>
      </c>
      <c r="Q205" s="3068"/>
      <c r="AA205" s="1787">
        <v>195</v>
      </c>
    </row>
    <row r="206" spans="1:27" ht="28.5" customHeight="1">
      <c r="B206" s="3018" t="s">
        <v>1550</v>
      </c>
      <c r="C206" s="3018"/>
      <c r="D206" s="3018"/>
      <c r="E206" s="3018"/>
      <c r="F206" s="3018"/>
      <c r="G206" s="3018"/>
      <c r="H206" s="3018"/>
      <c r="I206" s="3018"/>
      <c r="J206" s="3018"/>
      <c r="K206" s="3018"/>
      <c r="L206" s="3018"/>
      <c r="M206" s="3018"/>
      <c r="N206" s="3018"/>
      <c r="P206" s="3037" t="s">
        <v>7444</v>
      </c>
      <c r="Q206" s="3077"/>
      <c r="AA206" s="1787">
        <v>196</v>
      </c>
    </row>
    <row r="207" spans="1:27" ht="20.25" customHeight="1">
      <c r="A207" s="1405" t="s">
        <v>186</v>
      </c>
      <c r="B207" s="1395" t="s">
        <v>1551</v>
      </c>
      <c r="D207" s="1395"/>
      <c r="E207" s="1395"/>
      <c r="F207" s="1395"/>
      <c r="G207" s="1395"/>
      <c r="H207" s="1395"/>
      <c r="I207" s="1395"/>
      <c r="J207" s="1395"/>
      <c r="K207" s="1395"/>
      <c r="L207" s="1395"/>
      <c r="M207" s="1395"/>
      <c r="O207" s="2552"/>
      <c r="P207" s="1394"/>
      <c r="Q207" s="1394"/>
      <c r="AA207" s="1787">
        <v>197</v>
      </c>
    </row>
    <row r="208" spans="1:27" ht="59.25" customHeight="1">
      <c r="B208" s="1422" t="s">
        <v>1511</v>
      </c>
      <c r="C208" s="3027" t="s">
        <v>1552</v>
      </c>
      <c r="D208" s="3027"/>
      <c r="E208" s="3027"/>
      <c r="F208" s="3078" t="s">
        <v>1553</v>
      </c>
      <c r="G208" s="3079"/>
      <c r="H208" s="3079"/>
      <c r="I208" s="3079"/>
      <c r="J208" s="3079"/>
      <c r="K208" s="3079"/>
      <c r="L208" s="3079"/>
      <c r="M208" s="3079"/>
      <c r="N208" s="3079"/>
      <c r="O208" s="3079"/>
      <c r="P208" s="3079"/>
      <c r="Q208" s="3080"/>
      <c r="AA208" s="1787">
        <v>198</v>
      </c>
    </row>
    <row r="209" spans="1:27" ht="60" customHeight="1">
      <c r="B209" s="1422" t="s">
        <v>1513</v>
      </c>
      <c r="C209" s="3027" t="s">
        <v>1554</v>
      </c>
      <c r="D209" s="3027"/>
      <c r="E209" s="3027"/>
      <c r="F209" s="3081" t="s">
        <v>1555</v>
      </c>
      <c r="G209" s="3081"/>
      <c r="H209" s="3081"/>
      <c r="I209" s="3081"/>
      <c r="J209" s="3081"/>
      <c r="K209" s="3081"/>
      <c r="L209" s="3081"/>
      <c r="M209" s="3081"/>
      <c r="N209" s="3081"/>
      <c r="O209" s="3081"/>
      <c r="P209" s="3081"/>
      <c r="Q209" s="3081"/>
      <c r="AA209" s="1787">
        <v>199</v>
      </c>
    </row>
    <row r="210" spans="1:27" ht="20.25" customHeight="1">
      <c r="A210" s="1405"/>
      <c r="B210" s="1422" t="s">
        <v>1514</v>
      </c>
      <c r="C210" s="3018" t="s">
        <v>1556</v>
      </c>
      <c r="D210" s="3018"/>
      <c r="E210" s="3018"/>
      <c r="F210" s="3018"/>
      <c r="G210" s="3018"/>
      <c r="H210" s="3018"/>
      <c r="I210" s="3018"/>
      <c r="J210" s="3018"/>
      <c r="K210" s="3018"/>
      <c r="L210" s="3018"/>
      <c r="M210" s="3018"/>
      <c r="N210" s="3018"/>
      <c r="O210" s="3018"/>
      <c r="P210" s="3018"/>
      <c r="Q210" s="3018"/>
      <c r="AA210" s="1787">
        <v>200</v>
      </c>
    </row>
    <row r="211" spans="1:27" ht="15.6" customHeight="1">
      <c r="A211" s="1405"/>
      <c r="B211" s="2552"/>
      <c r="C211" s="3072"/>
      <c r="D211" s="3072"/>
      <c r="E211" s="3072"/>
      <c r="F211" s="3072"/>
      <c r="G211" s="3072"/>
      <c r="H211" s="3072"/>
      <c r="I211" s="3072"/>
      <c r="J211" s="3072"/>
      <c r="K211" s="3072"/>
      <c r="L211" s="3072"/>
      <c r="M211" s="3072"/>
      <c r="N211" s="3072"/>
      <c r="O211" s="3072"/>
      <c r="P211" s="3072"/>
      <c r="Q211" s="3073"/>
      <c r="AA211" s="1788">
        <v>201</v>
      </c>
    </row>
    <row r="212" spans="1:27" ht="15.6" customHeight="1">
      <c r="A212" s="1405"/>
      <c r="B212" s="2552"/>
      <c r="C212" s="3074"/>
      <c r="D212" s="3074"/>
      <c r="E212" s="3074"/>
      <c r="F212" s="3074"/>
      <c r="G212" s="3074"/>
      <c r="H212" s="3074"/>
      <c r="I212" s="3074"/>
      <c r="J212" s="3074"/>
      <c r="K212" s="3074"/>
      <c r="L212" s="3074"/>
      <c r="M212" s="3074"/>
      <c r="N212" s="3074"/>
      <c r="O212" s="3074"/>
      <c r="P212" s="3074"/>
      <c r="Q212" s="3075"/>
      <c r="AA212" s="1787">
        <v>202</v>
      </c>
    </row>
    <row r="213" spans="1:27" ht="15.75" customHeight="1">
      <c r="B213" s="1410" t="s">
        <v>1457</v>
      </c>
      <c r="D213" s="1410"/>
      <c r="E213" s="1410"/>
      <c r="F213" s="1410"/>
      <c r="G213" s="1410"/>
      <c r="H213" s="2549"/>
      <c r="I213" s="1397"/>
      <c r="J213" s="1397"/>
      <c r="K213" s="1397"/>
      <c r="L213" s="1394"/>
      <c r="M213" s="1394"/>
      <c r="N213" s="1394"/>
      <c r="O213" s="1394"/>
      <c r="P213" s="1394"/>
      <c r="Q213" s="1394"/>
      <c r="AA213" s="1787">
        <v>203</v>
      </c>
    </row>
    <row r="214" spans="1:27" ht="43.2" customHeight="1">
      <c r="A214" s="3010" t="s">
        <v>7753</v>
      </c>
      <c r="B214" s="3010"/>
      <c r="C214" s="3010"/>
      <c r="D214" s="3010"/>
      <c r="E214" s="3010"/>
      <c r="F214" s="3010"/>
      <c r="G214" s="3010"/>
      <c r="H214" s="3010"/>
      <c r="I214" s="3010"/>
      <c r="J214" s="3010"/>
      <c r="K214" s="3010"/>
      <c r="L214" s="3010"/>
      <c r="M214" s="3010"/>
      <c r="N214" s="3010"/>
      <c r="O214" s="3010"/>
      <c r="P214" s="3010"/>
      <c r="Q214" s="3076"/>
      <c r="AA214" s="1787">
        <v>204</v>
      </c>
    </row>
    <row r="215" spans="1:27" ht="15.75" customHeight="1">
      <c r="B215" s="1400" t="s">
        <v>1453</v>
      </c>
      <c r="C215" s="1401"/>
      <c r="D215" s="2545"/>
      <c r="E215" s="2545"/>
      <c r="F215" s="2545"/>
      <c r="G215" s="2545"/>
      <c r="H215" s="2545"/>
      <c r="I215" s="2545"/>
      <c r="J215" s="2545"/>
      <c r="K215" s="2545"/>
      <c r="L215" s="2545"/>
      <c r="M215" s="2545"/>
      <c r="N215" s="2545"/>
      <c r="O215" s="2545"/>
      <c r="P215" s="2545"/>
      <c r="Q215" s="2545"/>
      <c r="AA215" s="1787">
        <v>205</v>
      </c>
    </row>
    <row r="216" spans="1:27" ht="15" customHeight="1">
      <c r="A216" s="3013"/>
      <c r="B216" s="3013"/>
      <c r="C216" s="3013"/>
      <c r="D216" s="3013"/>
      <c r="E216" s="3013"/>
      <c r="F216" s="3013"/>
      <c r="G216" s="3013"/>
      <c r="H216" s="3013"/>
      <c r="I216" s="3013"/>
      <c r="J216" s="3013"/>
      <c r="K216" s="3013"/>
      <c r="L216" s="3013"/>
      <c r="M216" s="3013"/>
      <c r="N216" s="3013"/>
      <c r="O216" s="3013"/>
      <c r="P216" s="3013"/>
      <c r="Q216" s="3065"/>
      <c r="AA216" s="1787">
        <v>206</v>
      </c>
    </row>
    <row r="217" spans="1:27" ht="11.25" customHeight="1">
      <c r="A217" s="2545"/>
      <c r="B217" s="2545"/>
      <c r="C217" s="2545"/>
      <c r="D217" s="2545"/>
      <c r="E217" s="2545"/>
      <c r="F217" s="2545"/>
      <c r="G217" s="2545"/>
      <c r="H217" s="2545"/>
      <c r="I217" s="2545"/>
      <c r="J217" s="2545"/>
      <c r="K217" s="2545"/>
      <c r="L217" s="2545"/>
      <c r="M217" s="2545"/>
      <c r="N217" s="2545"/>
      <c r="O217" s="2545"/>
      <c r="P217" s="2772"/>
      <c r="Q217" s="2772"/>
      <c r="AA217" s="1787">
        <v>207</v>
      </c>
    </row>
    <row r="218" spans="1:27" ht="11.25" customHeight="1">
      <c r="A218" s="1399"/>
      <c r="B218" s="2545"/>
      <c r="C218" s="2545"/>
      <c r="D218" s="2545"/>
      <c r="E218" s="2545"/>
      <c r="F218" s="2545"/>
      <c r="G218" s="2545"/>
      <c r="H218" s="2545"/>
      <c r="I218" s="2545"/>
      <c r="J218" s="2545"/>
      <c r="K218" s="2545"/>
      <c r="L218" s="2545"/>
      <c r="M218" s="2545"/>
      <c r="N218" s="2545"/>
      <c r="O218" s="2545"/>
      <c r="P218" s="2551"/>
      <c r="Q218" s="2551"/>
      <c r="AA218" s="1787">
        <v>208</v>
      </c>
    </row>
    <row r="219" spans="1:27" ht="20.25" customHeight="1">
      <c r="A219" s="2550" t="s">
        <v>1557</v>
      </c>
      <c r="B219" s="2550" t="s">
        <v>1558</v>
      </c>
      <c r="C219" s="2550"/>
      <c r="D219" s="2545"/>
      <c r="E219" s="2545"/>
      <c r="F219" s="2545"/>
      <c r="G219" s="2545"/>
      <c r="H219" s="2545"/>
      <c r="N219" s="1416"/>
      <c r="O219" s="1398" t="s">
        <v>1451</v>
      </c>
      <c r="P219" s="3066"/>
      <c r="Q219" s="3067"/>
      <c r="AA219" s="1787">
        <v>209</v>
      </c>
    </row>
    <row r="220" spans="1:27" ht="15" customHeight="1">
      <c r="A220" s="1405"/>
      <c r="B220" s="1396" t="s">
        <v>1559</v>
      </c>
      <c r="O220" s="2552"/>
      <c r="P220" s="3043" t="s">
        <v>7699</v>
      </c>
      <c r="Q220" s="3068"/>
      <c r="AA220" s="1788">
        <v>210</v>
      </c>
    </row>
    <row r="221" spans="1:27" ht="15" customHeight="1">
      <c r="A221" s="1405"/>
      <c r="B221" s="1396" t="s">
        <v>1560</v>
      </c>
      <c r="O221" s="2552"/>
      <c r="P221" s="3034" t="s">
        <v>7699</v>
      </c>
      <c r="Q221" s="3069"/>
      <c r="AA221" s="1787">
        <v>211</v>
      </c>
    </row>
    <row r="222" spans="1:27" ht="15" customHeight="1">
      <c r="A222" s="1405"/>
      <c r="B222" s="1396" t="s">
        <v>1561</v>
      </c>
      <c r="C222" s="1399"/>
      <c r="K222" s="1397"/>
      <c r="M222" s="2552"/>
      <c r="O222" s="1436"/>
      <c r="P222" s="3034" t="s">
        <v>7474</v>
      </c>
      <c r="Q222" s="3069"/>
      <c r="AA222" s="1787">
        <v>212</v>
      </c>
    </row>
    <row r="223" spans="1:27" ht="29.55" customHeight="1">
      <c r="A223" s="1405"/>
      <c r="B223" s="3018" t="s">
        <v>1562</v>
      </c>
      <c r="C223" s="3018"/>
      <c r="D223" s="3018"/>
      <c r="E223" s="3018"/>
      <c r="F223" s="3018"/>
      <c r="G223" s="3018"/>
      <c r="H223" s="3018"/>
      <c r="I223" s="3018"/>
      <c r="J223" s="3018"/>
      <c r="K223" s="3018"/>
      <c r="L223" s="3018"/>
      <c r="M223" s="3018"/>
      <c r="N223" s="3018"/>
      <c r="O223" s="3018"/>
      <c r="P223" s="3070" t="s">
        <v>7474</v>
      </c>
      <c r="Q223" s="3071"/>
      <c r="AA223" s="1787">
        <v>213</v>
      </c>
    </row>
    <row r="224" spans="1:27" ht="15.6" customHeight="1">
      <c r="A224" s="1405"/>
      <c r="B224" s="1396" t="s">
        <v>1563</v>
      </c>
      <c r="M224" s="1399"/>
      <c r="N224" s="1399"/>
      <c r="O224" s="3057" t="s">
        <v>1647</v>
      </c>
      <c r="P224" s="3058"/>
      <c r="Q224" s="3059"/>
      <c r="AA224" s="1787">
        <v>214</v>
      </c>
    </row>
    <row r="225" spans="1:28" ht="15.6" customHeight="1">
      <c r="A225" s="1405"/>
      <c r="B225" s="1395" t="s">
        <v>1564</v>
      </c>
      <c r="I225" s="3016" t="s">
        <v>721</v>
      </c>
      <c r="J225" s="3136"/>
      <c r="K225" s="3136"/>
      <c r="L225" s="3017"/>
      <c r="M225" s="1399"/>
      <c r="N225" s="1399"/>
      <c r="O225" s="1399"/>
      <c r="P225" s="1399"/>
      <c r="Q225" s="1399"/>
      <c r="AA225" s="1787">
        <v>215</v>
      </c>
    </row>
    <row r="226" spans="1:28" ht="15.75" customHeight="1">
      <c r="B226" s="1410" t="s">
        <v>1457</v>
      </c>
      <c r="D226" s="1410"/>
      <c r="E226" s="1410"/>
      <c r="F226" s="1410"/>
      <c r="G226" s="1410"/>
      <c r="H226" s="2549"/>
      <c r="I226" s="1397"/>
      <c r="J226" s="1397"/>
      <c r="K226" s="1397"/>
      <c r="L226" s="1394"/>
      <c r="M226" s="1394"/>
      <c r="N226" s="1394"/>
      <c r="O226" s="1394"/>
      <c r="P226" s="1394"/>
      <c r="Q226" s="1394"/>
      <c r="AA226" s="1787">
        <v>216</v>
      </c>
    </row>
    <row r="227" spans="1:28" ht="30" customHeight="1">
      <c r="A227" s="3054" t="s">
        <v>7700</v>
      </c>
      <c r="B227" s="3060"/>
      <c r="C227" s="3060"/>
      <c r="D227" s="3060"/>
      <c r="E227" s="3060"/>
      <c r="F227" s="3060"/>
      <c r="G227" s="3060"/>
      <c r="H227" s="3060"/>
      <c r="I227" s="3060"/>
      <c r="J227" s="3060"/>
      <c r="K227" s="3060"/>
      <c r="L227" s="3060"/>
      <c r="M227" s="3060"/>
      <c r="N227" s="3060"/>
      <c r="O227" s="3060"/>
      <c r="P227" s="3060"/>
      <c r="Q227" s="3061"/>
      <c r="AA227" s="1787">
        <v>217</v>
      </c>
    </row>
    <row r="228" spans="1:28" ht="15.75" customHeight="1">
      <c r="B228" s="1400" t="s">
        <v>1453</v>
      </c>
      <c r="C228" s="1401"/>
      <c r="D228" s="2545"/>
      <c r="E228" s="2545"/>
      <c r="F228" s="2545"/>
      <c r="G228" s="2545"/>
      <c r="H228" s="2545"/>
      <c r="I228" s="2545"/>
      <c r="J228" s="2545"/>
      <c r="K228" s="2545"/>
      <c r="L228" s="2545"/>
      <c r="M228" s="2545"/>
      <c r="N228" s="2545"/>
      <c r="O228" s="1399"/>
      <c r="P228" s="2545"/>
      <c r="Q228" s="2545"/>
      <c r="AA228" s="1787">
        <v>218</v>
      </c>
    </row>
    <row r="229" spans="1:28" ht="15" customHeight="1">
      <c r="A229" s="3048"/>
      <c r="B229" s="3062"/>
      <c r="C229" s="3062"/>
      <c r="D229" s="3062"/>
      <c r="E229" s="3062"/>
      <c r="F229" s="3062"/>
      <c r="G229" s="3062"/>
      <c r="H229" s="3062"/>
      <c r="I229" s="3062"/>
      <c r="J229" s="3062"/>
      <c r="K229" s="3062"/>
      <c r="L229" s="3062"/>
      <c r="M229" s="3062"/>
      <c r="N229" s="3062"/>
      <c r="O229" s="3062"/>
      <c r="P229" s="3062"/>
      <c r="Q229" s="3063"/>
      <c r="AA229" s="1787">
        <v>219</v>
      </c>
    </row>
    <row r="230" spans="1:28" ht="11.25" customHeight="1">
      <c r="A230" s="1394"/>
      <c r="B230" s="1397"/>
      <c r="C230" s="2545"/>
      <c r="D230" s="2545"/>
      <c r="E230" s="2545"/>
      <c r="F230" s="2545"/>
      <c r="G230" s="2545"/>
      <c r="H230" s="2545"/>
      <c r="I230" s="2545"/>
      <c r="J230" s="2545"/>
      <c r="K230" s="2545"/>
      <c r="L230" s="2545"/>
      <c r="M230" s="2545"/>
      <c r="N230" s="2545"/>
      <c r="O230" s="2545"/>
      <c r="P230" s="2545"/>
      <c r="Q230" s="1394"/>
      <c r="AA230" s="1787">
        <v>220</v>
      </c>
    </row>
    <row r="231" spans="1:28" ht="11.25" customHeight="1">
      <c r="A231" s="1399"/>
      <c r="B231" s="1397"/>
      <c r="C231" s="2545"/>
      <c r="D231" s="2545"/>
      <c r="E231" s="2545"/>
      <c r="F231" s="2545"/>
      <c r="G231" s="2545"/>
      <c r="H231" s="2545"/>
      <c r="I231" s="2545"/>
      <c r="J231" s="2545"/>
      <c r="K231" s="2545"/>
      <c r="L231" s="2545"/>
      <c r="M231" s="2545"/>
      <c r="N231" s="2545"/>
      <c r="O231" s="2545"/>
      <c r="P231" s="2545"/>
      <c r="Q231" s="1394"/>
      <c r="AA231" s="1787">
        <v>221</v>
      </c>
    </row>
    <row r="232" spans="1:28" ht="20.25" customHeight="1">
      <c r="A232" s="2550" t="s">
        <v>1565</v>
      </c>
      <c r="B232" s="1395" t="s">
        <v>1566</v>
      </c>
      <c r="C232" s="1395"/>
      <c r="D232" s="1395"/>
      <c r="E232" s="1395"/>
      <c r="F232" s="1395"/>
      <c r="G232" s="1395"/>
      <c r="H232" s="2545"/>
      <c r="I232" s="2545"/>
      <c r="J232" s="2545"/>
      <c r="K232" s="2545"/>
      <c r="L232" s="2545"/>
      <c r="M232" s="2545"/>
      <c r="N232" s="1437"/>
      <c r="O232" s="1398" t="s">
        <v>1451</v>
      </c>
      <c r="P232" s="3016"/>
      <c r="Q232" s="3064"/>
      <c r="AA232" s="1787">
        <v>222</v>
      </c>
    </row>
    <row r="233" spans="1:28" ht="33.75" customHeight="1">
      <c r="A233" s="2550"/>
      <c r="B233" s="3018" t="s">
        <v>1567</v>
      </c>
      <c r="C233" s="3018"/>
      <c r="D233" s="3018"/>
      <c r="E233" s="3018"/>
      <c r="F233" s="3018"/>
      <c r="G233" s="3018"/>
      <c r="H233" s="3018"/>
      <c r="I233" s="3018"/>
      <c r="J233" s="3018"/>
      <c r="K233" s="3018"/>
      <c r="L233" s="3018"/>
      <c r="M233" s="3018"/>
      <c r="N233" s="3018"/>
      <c r="O233" s="3019"/>
      <c r="P233" s="3057" t="s">
        <v>7681</v>
      </c>
      <c r="Q233" s="3059"/>
      <c r="AA233" s="1787">
        <v>223</v>
      </c>
    </row>
    <row r="234" spans="1:28" s="1438" customFormat="1">
      <c r="A234" s="1417" t="s">
        <v>186</v>
      </c>
      <c r="B234" s="1504" t="s">
        <v>1568</v>
      </c>
      <c r="C234" s="1504"/>
      <c r="D234" s="1504"/>
      <c r="E234" s="1504"/>
      <c r="F234" s="1504"/>
      <c r="G234" s="1504"/>
      <c r="H234" s="1504"/>
      <c r="I234" s="1504"/>
      <c r="J234" s="1504"/>
      <c r="K234" s="1504"/>
      <c r="L234" s="1504"/>
      <c r="M234" s="1504"/>
      <c r="N234" s="1504"/>
      <c r="O234" s="1504"/>
      <c r="P234" s="1504"/>
      <c r="Q234" s="1504"/>
      <c r="R234" s="1504"/>
      <c r="S234" s="1487"/>
      <c r="T234" s="1487"/>
      <c r="U234" s="1487"/>
      <c r="V234" s="1487"/>
      <c r="W234" s="1487"/>
      <c r="X234" s="1487"/>
      <c r="Y234" s="1487"/>
      <c r="Z234" s="1487"/>
      <c r="AA234" s="1787">
        <v>224</v>
      </c>
      <c r="AB234" s="1487"/>
    </row>
    <row r="235" spans="1:28" s="1438" customFormat="1" ht="30.75" customHeight="1">
      <c r="A235" s="1417"/>
      <c r="C235" s="1765" t="s">
        <v>1569</v>
      </c>
      <c r="D235" s="1766"/>
      <c r="E235" s="1766"/>
      <c r="F235" s="1767"/>
      <c r="G235" s="3052" t="s">
        <v>1570</v>
      </c>
      <c r="H235" s="3052"/>
      <c r="I235" s="3052"/>
      <c r="J235" s="3052"/>
      <c r="K235" s="3052"/>
      <c r="L235" s="3052"/>
      <c r="M235" s="3052"/>
      <c r="N235" s="3052"/>
      <c r="O235" s="3053"/>
      <c r="P235" s="2773" t="s">
        <v>7701</v>
      </c>
      <c r="Q235" s="2769"/>
      <c r="R235" s="1487"/>
      <c r="S235" s="1487"/>
      <c r="T235" s="1487"/>
      <c r="U235" s="1487"/>
      <c r="V235" s="1487"/>
      <c r="W235" s="1487"/>
      <c r="X235" s="1487"/>
      <c r="Y235" s="1487"/>
      <c r="Z235" s="1487"/>
      <c r="AA235" s="1788">
        <v>225</v>
      </c>
      <c r="AB235" s="1487"/>
    </row>
    <row r="236" spans="1:28" s="1438" customFormat="1" ht="30.75" customHeight="1">
      <c r="A236" s="1417"/>
      <c r="C236" s="3027" t="s">
        <v>1571</v>
      </c>
      <c r="D236" s="3027"/>
      <c r="E236" s="3027"/>
      <c r="F236" s="3027"/>
      <c r="G236" s="3027" t="s">
        <v>1572</v>
      </c>
      <c r="H236" s="3027"/>
      <c r="I236" s="3027"/>
      <c r="J236" s="3027"/>
      <c r="K236" s="3027"/>
      <c r="L236" s="3027"/>
      <c r="M236" s="3027"/>
      <c r="N236" s="3027"/>
      <c r="O236" s="3028"/>
      <c r="P236" s="1505" t="s">
        <v>7702</v>
      </c>
      <c r="Q236" s="1415"/>
      <c r="R236" s="1487"/>
      <c r="S236" s="1487"/>
      <c r="T236" s="1487"/>
      <c r="U236" s="1487"/>
      <c r="V236" s="1487"/>
      <c r="W236" s="1487"/>
      <c r="X236" s="1487"/>
      <c r="Y236" s="1487"/>
      <c r="Z236" s="1487"/>
      <c r="AA236" s="1787">
        <v>226</v>
      </c>
      <c r="AB236" s="1487"/>
    </row>
    <row r="237" spans="1:28" ht="44.25" customHeight="1">
      <c r="A237" s="1417" t="s">
        <v>198</v>
      </c>
      <c r="B237" s="3027" t="s">
        <v>1573</v>
      </c>
      <c r="C237" s="3027"/>
      <c r="D237" s="3027"/>
      <c r="E237" s="3027"/>
      <c r="F237" s="3027"/>
      <c r="G237" s="3027"/>
      <c r="H237" s="3027"/>
      <c r="I237" s="3027"/>
      <c r="J237" s="3027"/>
      <c r="K237" s="3027"/>
      <c r="L237" s="3027"/>
      <c r="M237" s="3027"/>
      <c r="N237" s="3027"/>
      <c r="O237" s="3027"/>
      <c r="P237" s="2774" t="s">
        <v>7701</v>
      </c>
      <c r="Q237" s="2767"/>
      <c r="AA237" s="1787">
        <v>227</v>
      </c>
    </row>
    <row r="238" spans="1:28" ht="20.25" customHeight="1">
      <c r="A238" s="1405" t="s">
        <v>219</v>
      </c>
      <c r="B238" s="1396" t="s">
        <v>1574</v>
      </c>
      <c r="G238" s="1396" t="s">
        <v>1575</v>
      </c>
      <c r="P238" s="2774" t="s">
        <v>7681</v>
      </c>
      <c r="Q238" s="2767"/>
      <c r="AA238" s="1787">
        <v>228</v>
      </c>
    </row>
    <row r="239" spans="1:28" ht="45" customHeight="1">
      <c r="A239" s="1417" t="s">
        <v>221</v>
      </c>
      <c r="B239" s="3027" t="s">
        <v>1576</v>
      </c>
      <c r="C239" s="3027"/>
      <c r="D239" s="3027"/>
      <c r="E239" s="3027"/>
      <c r="F239" s="3027"/>
      <c r="G239" s="3027"/>
      <c r="H239" s="3027"/>
      <c r="I239" s="3027"/>
      <c r="J239" s="3027"/>
      <c r="K239" s="3027"/>
      <c r="L239" s="3027"/>
      <c r="M239" s="3027"/>
      <c r="N239" s="3027"/>
      <c r="O239" s="3027"/>
      <c r="P239" s="2774" t="s">
        <v>7701</v>
      </c>
      <c r="Q239" s="2767"/>
      <c r="AA239" s="1787">
        <v>229</v>
      </c>
    </row>
    <row r="240" spans="1:28" ht="15.75" customHeight="1">
      <c r="B240" s="1410" t="s">
        <v>1457</v>
      </c>
      <c r="D240" s="1410"/>
      <c r="E240" s="1410"/>
      <c r="F240" s="1410"/>
      <c r="G240" s="1410"/>
      <c r="H240" s="2549"/>
      <c r="I240" s="1397"/>
      <c r="J240" s="1397"/>
      <c r="K240" s="1397"/>
      <c r="L240" s="1394"/>
      <c r="M240" s="1394"/>
      <c r="N240" s="1394"/>
      <c r="O240" s="1394"/>
      <c r="P240" s="1394"/>
      <c r="Q240" s="1394"/>
      <c r="AA240" s="1787">
        <v>230</v>
      </c>
    </row>
    <row r="241" spans="1:27" ht="45" customHeight="1">
      <c r="A241" s="3054" t="s">
        <v>7751</v>
      </c>
      <c r="B241" s="3055"/>
      <c r="C241" s="3055"/>
      <c r="D241" s="3055"/>
      <c r="E241" s="3055"/>
      <c r="F241" s="3055"/>
      <c r="G241" s="3055"/>
      <c r="H241" s="3055"/>
      <c r="I241" s="3055"/>
      <c r="J241" s="3055"/>
      <c r="K241" s="3055"/>
      <c r="L241" s="3055"/>
      <c r="M241" s="3055"/>
      <c r="N241" s="3055"/>
      <c r="O241" s="3055"/>
      <c r="P241" s="3055"/>
      <c r="Q241" s="3056"/>
      <c r="AA241" s="1787">
        <v>231</v>
      </c>
    </row>
    <row r="242" spans="1:27" ht="15.75" customHeight="1">
      <c r="B242" s="1400" t="s">
        <v>1453</v>
      </c>
      <c r="C242" s="1401"/>
      <c r="D242" s="2545"/>
      <c r="E242" s="2545"/>
      <c r="F242" s="2545"/>
      <c r="G242" s="2545"/>
      <c r="H242" s="2545"/>
      <c r="I242" s="2545"/>
      <c r="J242" s="2545"/>
      <c r="K242" s="2545"/>
      <c r="L242" s="2545"/>
      <c r="M242" s="2545"/>
      <c r="N242" s="2545"/>
      <c r="O242" s="2545"/>
      <c r="P242" s="2545"/>
      <c r="Q242" s="2545"/>
      <c r="AA242" s="1787">
        <v>232</v>
      </c>
    </row>
    <row r="243" spans="1:27" ht="15" customHeight="1">
      <c r="A243" s="3048"/>
      <c r="B243" s="3049"/>
      <c r="C243" s="3049"/>
      <c r="D243" s="3049"/>
      <c r="E243" s="3049"/>
      <c r="F243" s="3049"/>
      <c r="G243" s="3049"/>
      <c r="H243" s="3049"/>
      <c r="I243" s="3049"/>
      <c r="J243" s="3049"/>
      <c r="K243" s="3049"/>
      <c r="L243" s="3049"/>
      <c r="M243" s="3049"/>
      <c r="N243" s="3049"/>
      <c r="O243" s="3049"/>
      <c r="P243" s="3049"/>
      <c r="Q243" s="3050"/>
      <c r="AA243" s="1787">
        <v>233</v>
      </c>
    </row>
    <row r="244" spans="1:27" ht="11.25" customHeight="1">
      <c r="A244" s="1394"/>
      <c r="B244" s="1397"/>
      <c r="C244" s="2545"/>
      <c r="D244" s="2545"/>
      <c r="E244" s="2545"/>
      <c r="F244" s="2545"/>
      <c r="G244" s="2545"/>
      <c r="H244" s="2545"/>
      <c r="I244" s="2545"/>
      <c r="J244" s="2545"/>
      <c r="K244" s="2545"/>
      <c r="L244" s="2545"/>
      <c r="M244" s="2545"/>
      <c r="N244" s="2545"/>
      <c r="O244" s="2545"/>
      <c r="P244" s="2545"/>
      <c r="Q244" s="1394"/>
      <c r="AA244" s="1788">
        <v>234</v>
      </c>
    </row>
    <row r="245" spans="1:27" ht="11.25" customHeight="1">
      <c r="A245" s="2550"/>
      <c r="B245" s="1397"/>
      <c r="C245" s="2545"/>
      <c r="D245" s="2545"/>
      <c r="E245" s="2545"/>
      <c r="F245" s="2545"/>
      <c r="G245" s="2545"/>
      <c r="H245" s="2545"/>
      <c r="I245" s="2545"/>
      <c r="J245" s="2545"/>
      <c r="K245" s="2545"/>
      <c r="L245" s="2545"/>
      <c r="M245" s="2545"/>
      <c r="N245" s="2545"/>
      <c r="O245" s="2545"/>
      <c r="P245" s="2545"/>
      <c r="Q245" s="1394"/>
      <c r="AA245" s="1787">
        <v>235</v>
      </c>
    </row>
    <row r="246" spans="1:27" ht="20.25" customHeight="1">
      <c r="A246" s="2550" t="s">
        <v>1577</v>
      </c>
      <c r="B246" s="1395" t="s">
        <v>1578</v>
      </c>
      <c r="C246" s="1395"/>
      <c r="D246" s="1395"/>
      <c r="E246" s="1395"/>
      <c r="F246" s="1395"/>
      <c r="G246" s="1395"/>
      <c r="H246" s="2545"/>
      <c r="I246" s="2545"/>
      <c r="J246" s="2545"/>
      <c r="K246" s="2545"/>
      <c r="L246" s="2545"/>
      <c r="M246" s="2545"/>
      <c r="N246" s="1439"/>
      <c r="O246" s="1398" t="s">
        <v>1451</v>
      </c>
      <c r="P246" s="3016"/>
      <c r="Q246" s="3017"/>
      <c r="AA246" s="1787">
        <v>236</v>
      </c>
    </row>
    <row r="247" spans="1:27" ht="15" customHeight="1">
      <c r="A247" s="1405"/>
      <c r="B247" s="3051" t="s">
        <v>1579</v>
      </c>
      <c r="C247" s="3051"/>
      <c r="D247" s="3051"/>
      <c r="E247" s="3051"/>
      <c r="F247" s="3051"/>
      <c r="I247" s="3129"/>
      <c r="J247" s="3130"/>
      <c r="K247" s="3130"/>
      <c r="L247" s="3130"/>
      <c r="M247" s="3130"/>
      <c r="N247" s="3130"/>
      <c r="O247" s="3130"/>
      <c r="P247" s="3130"/>
      <c r="Q247" s="3131"/>
      <c r="AA247" s="1787">
        <v>237</v>
      </c>
    </row>
    <row r="248" spans="1:27" ht="15" customHeight="1">
      <c r="A248" s="1405"/>
      <c r="B248" s="3051" t="s">
        <v>1580</v>
      </c>
      <c r="C248" s="3051"/>
      <c r="D248" s="3051"/>
      <c r="E248" s="3051"/>
      <c r="F248" s="3051"/>
      <c r="I248" s="3116"/>
      <c r="J248" s="3117"/>
      <c r="K248" s="3117"/>
      <c r="L248" s="3117"/>
      <c r="M248" s="3117"/>
      <c r="N248" s="3117"/>
      <c r="O248" s="3117"/>
      <c r="P248" s="3117"/>
      <c r="Q248" s="3118"/>
      <c r="AA248" s="1787">
        <v>238</v>
      </c>
    </row>
    <row r="249" spans="1:27" ht="30" customHeight="1">
      <c r="A249" s="1405"/>
      <c r="B249" s="3027" t="s">
        <v>1581</v>
      </c>
      <c r="C249" s="3027"/>
      <c r="D249" s="3027"/>
      <c r="E249" s="3027"/>
      <c r="F249" s="3027"/>
      <c r="G249" s="3027"/>
      <c r="H249" s="3027"/>
      <c r="I249" s="3027"/>
      <c r="J249" s="3027"/>
      <c r="K249" s="3027"/>
      <c r="L249" s="3027"/>
      <c r="M249" s="3027"/>
      <c r="N249" s="3027"/>
      <c r="O249" s="3045"/>
      <c r="P249" s="3046"/>
      <c r="Q249" s="3047"/>
      <c r="AA249" s="1787">
        <v>239</v>
      </c>
    </row>
    <row r="250" spans="1:27" ht="15.75" customHeight="1">
      <c r="B250" s="1410" t="s">
        <v>1457</v>
      </c>
      <c r="D250" s="1410"/>
      <c r="E250" s="1410"/>
      <c r="F250" s="1410"/>
      <c r="G250" s="1410"/>
      <c r="H250" s="2549"/>
      <c r="I250" s="1397"/>
      <c r="J250" s="1397"/>
      <c r="K250" s="1397"/>
      <c r="L250" s="1394"/>
      <c r="M250" s="1394"/>
      <c r="N250" s="1394"/>
      <c r="O250" s="1394"/>
      <c r="P250" s="1394"/>
      <c r="Q250" s="1394"/>
      <c r="AA250" s="1787">
        <v>240</v>
      </c>
    </row>
    <row r="251" spans="1:27" ht="30" customHeight="1">
      <c r="A251" s="3010" t="s">
        <v>7703</v>
      </c>
      <c r="B251" s="3011"/>
      <c r="C251" s="3011"/>
      <c r="D251" s="3011"/>
      <c r="E251" s="3011"/>
      <c r="F251" s="3011"/>
      <c r="G251" s="3011"/>
      <c r="H251" s="3011"/>
      <c r="I251" s="3011"/>
      <c r="J251" s="3011"/>
      <c r="K251" s="3011"/>
      <c r="L251" s="3011"/>
      <c r="M251" s="3011"/>
      <c r="N251" s="3011"/>
      <c r="O251" s="3011"/>
      <c r="P251" s="3011"/>
      <c r="Q251" s="3012"/>
      <c r="AA251" s="1787">
        <v>241</v>
      </c>
    </row>
    <row r="252" spans="1:27" ht="15.75" customHeight="1">
      <c r="B252" s="1400" t="s">
        <v>1453</v>
      </c>
      <c r="C252" s="1401"/>
      <c r="D252" s="2545"/>
      <c r="E252" s="2545"/>
      <c r="F252" s="2545"/>
      <c r="G252" s="2545"/>
      <c r="H252" s="2545"/>
      <c r="I252" s="2545"/>
      <c r="J252" s="2545"/>
      <c r="K252" s="2545"/>
      <c r="L252" s="2545"/>
      <c r="M252" s="2545"/>
      <c r="N252" s="2545"/>
      <c r="O252" s="2545"/>
      <c r="P252" s="2545"/>
      <c r="Q252" s="2545"/>
      <c r="AA252" s="1787">
        <v>242</v>
      </c>
    </row>
    <row r="253" spans="1:27" ht="15" customHeight="1">
      <c r="A253" s="3013"/>
      <c r="B253" s="3014"/>
      <c r="C253" s="3014"/>
      <c r="D253" s="3014"/>
      <c r="E253" s="3014"/>
      <c r="F253" s="3014"/>
      <c r="G253" s="3014"/>
      <c r="H253" s="3014"/>
      <c r="I253" s="3014"/>
      <c r="J253" s="3014"/>
      <c r="K253" s="3014"/>
      <c r="L253" s="3014"/>
      <c r="M253" s="3014"/>
      <c r="N253" s="3014"/>
      <c r="O253" s="3014"/>
      <c r="P253" s="3014"/>
      <c r="Q253" s="3015"/>
      <c r="AA253" s="1787">
        <v>243</v>
      </c>
    </row>
    <row r="254" spans="1:27" ht="11.1" customHeight="1">
      <c r="A254" s="1394"/>
      <c r="B254" s="1397"/>
      <c r="C254" s="2545"/>
      <c r="D254" s="2545"/>
      <c r="E254" s="2545"/>
      <c r="F254" s="2545"/>
      <c r="G254" s="2545"/>
      <c r="H254" s="2545"/>
      <c r="I254" s="2545"/>
      <c r="J254" s="2545"/>
      <c r="K254" s="2545"/>
      <c r="L254" s="2545"/>
      <c r="M254" s="2545"/>
      <c r="Q254" s="1394"/>
      <c r="AA254" s="1787">
        <v>244</v>
      </c>
    </row>
    <row r="255" spans="1:27" ht="11.1" customHeight="1">
      <c r="A255" s="1399"/>
      <c r="B255" s="1397"/>
      <c r="C255" s="2545"/>
      <c r="D255" s="2545"/>
      <c r="E255" s="2545"/>
      <c r="F255" s="2545"/>
      <c r="G255" s="2545"/>
      <c r="H255" s="2545"/>
      <c r="I255" s="2545"/>
      <c r="J255" s="2545"/>
      <c r="K255" s="2545"/>
      <c r="L255" s="2545"/>
      <c r="M255" s="2545"/>
      <c r="Q255" s="1394"/>
      <c r="AA255" s="1787">
        <v>245</v>
      </c>
    </row>
    <row r="256" spans="1:27" ht="20.25" customHeight="1">
      <c r="A256" s="2550" t="s">
        <v>1582</v>
      </c>
      <c r="B256" s="1395" t="s">
        <v>1583</v>
      </c>
      <c r="C256" s="1395"/>
      <c r="D256" s="1395"/>
      <c r="E256" s="2545"/>
      <c r="G256" s="1396" t="s">
        <v>1584</v>
      </c>
      <c r="H256" s="2545"/>
      <c r="I256" s="2545"/>
      <c r="J256" s="2545"/>
      <c r="K256" s="2545"/>
      <c r="L256" s="2545"/>
      <c r="M256" s="2545"/>
      <c r="O256" s="1398" t="s">
        <v>1451</v>
      </c>
      <c r="P256" s="3016"/>
      <c r="Q256" s="3017"/>
      <c r="AA256" s="1787">
        <v>246</v>
      </c>
    </row>
    <row r="257" spans="1:27" ht="15.6" customHeight="1">
      <c r="A257" s="1405"/>
      <c r="B257" s="1396" t="s">
        <v>1585</v>
      </c>
      <c r="D257" s="2548"/>
      <c r="E257" s="2548"/>
      <c r="O257" s="2552"/>
      <c r="P257" s="3043"/>
      <c r="Q257" s="3044"/>
      <c r="AA257" s="1787">
        <v>247</v>
      </c>
    </row>
    <row r="258" spans="1:27" ht="15.6" customHeight="1">
      <c r="A258" s="1405"/>
      <c r="B258" s="1396" t="s">
        <v>1586</v>
      </c>
      <c r="D258" s="2548"/>
      <c r="E258" s="2548"/>
      <c r="O258" s="2552"/>
      <c r="P258" s="3034" t="s">
        <v>7474</v>
      </c>
      <c r="Q258" s="3035"/>
      <c r="AA258" s="1787">
        <v>248</v>
      </c>
    </row>
    <row r="259" spans="1:27" ht="15.6" customHeight="1">
      <c r="A259" s="1405"/>
      <c r="B259" s="1396" t="s">
        <v>436</v>
      </c>
      <c r="D259" s="3039"/>
      <c r="E259" s="3040"/>
      <c r="F259" s="3040"/>
      <c r="G259" s="3040"/>
      <c r="H259" s="3040"/>
      <c r="I259" s="3040"/>
      <c r="J259" s="3040"/>
      <c r="K259" s="3040"/>
      <c r="L259" s="3040"/>
      <c r="M259" s="3040"/>
      <c r="N259" s="3040"/>
      <c r="O259" s="3040"/>
      <c r="P259" s="3041"/>
      <c r="Q259" s="3042"/>
      <c r="AA259" s="1788">
        <v>249</v>
      </c>
    </row>
    <row r="260" spans="1:27" ht="15.75" customHeight="1">
      <c r="B260" s="1410" t="s">
        <v>1457</v>
      </c>
      <c r="D260" s="1410"/>
      <c r="E260" s="1410"/>
      <c r="F260" s="1410"/>
      <c r="G260" s="1410"/>
      <c r="H260" s="2549"/>
      <c r="I260" s="1397"/>
      <c r="J260" s="1397"/>
      <c r="K260" s="1397"/>
      <c r="L260" s="1394"/>
      <c r="M260" s="1394"/>
      <c r="N260" s="1394"/>
      <c r="O260" s="1394"/>
      <c r="P260" s="1394"/>
      <c r="Q260" s="1394"/>
      <c r="AA260" s="1787">
        <v>250</v>
      </c>
    </row>
    <row r="261" spans="1:27" ht="15" customHeight="1">
      <c r="A261" s="3010" t="s">
        <v>7704</v>
      </c>
      <c r="B261" s="3011"/>
      <c r="C261" s="3011"/>
      <c r="D261" s="3011"/>
      <c r="E261" s="3011"/>
      <c r="F261" s="3011"/>
      <c r="G261" s="3011"/>
      <c r="H261" s="3011"/>
      <c r="I261" s="3011"/>
      <c r="J261" s="3011"/>
      <c r="K261" s="3011"/>
      <c r="L261" s="3011"/>
      <c r="M261" s="3011"/>
      <c r="N261" s="3011"/>
      <c r="O261" s="3011"/>
      <c r="P261" s="3011"/>
      <c r="Q261" s="3012"/>
      <c r="AA261" s="1787">
        <v>251</v>
      </c>
    </row>
    <row r="262" spans="1:27" ht="15.75" customHeight="1">
      <c r="B262" s="1400" t="s">
        <v>1453</v>
      </c>
      <c r="C262" s="1401"/>
      <c r="D262" s="2545"/>
      <c r="E262" s="2545"/>
      <c r="F262" s="2545"/>
      <c r="G262" s="2545"/>
      <c r="H262" s="2545"/>
      <c r="I262" s="2545"/>
      <c r="J262" s="2545"/>
      <c r="K262" s="2545"/>
      <c r="L262" s="2545"/>
      <c r="M262" s="2545"/>
      <c r="N262" s="2545"/>
      <c r="O262" s="2545"/>
      <c r="P262" s="2545"/>
      <c r="Q262" s="2545"/>
      <c r="AA262" s="1787">
        <v>252</v>
      </c>
    </row>
    <row r="263" spans="1:27" ht="15" customHeight="1">
      <c r="A263" s="3013"/>
      <c r="B263" s="3014"/>
      <c r="C263" s="3014"/>
      <c r="D263" s="3014"/>
      <c r="E263" s="3014"/>
      <c r="F263" s="3014"/>
      <c r="G263" s="3014"/>
      <c r="H263" s="3014"/>
      <c r="I263" s="3014"/>
      <c r="J263" s="3014"/>
      <c r="K263" s="3014"/>
      <c r="L263" s="3014"/>
      <c r="M263" s="3014"/>
      <c r="N263" s="3014"/>
      <c r="O263" s="3014"/>
      <c r="P263" s="3014"/>
      <c r="Q263" s="3015"/>
      <c r="AA263" s="1787">
        <v>253</v>
      </c>
    </row>
    <row r="264" spans="1:27" ht="11.1" customHeight="1">
      <c r="A264" s="1394"/>
      <c r="B264" s="1397"/>
      <c r="C264" s="2545"/>
      <c r="D264" s="2545"/>
      <c r="E264" s="2545"/>
      <c r="F264" s="2545"/>
      <c r="G264" s="2545"/>
      <c r="H264" s="2545"/>
      <c r="I264" s="2545"/>
      <c r="J264" s="2545"/>
      <c r="K264" s="2545"/>
      <c r="L264" s="2545"/>
      <c r="M264" s="2545"/>
      <c r="N264" s="2545"/>
      <c r="O264" s="2545"/>
      <c r="P264" s="2545"/>
      <c r="Q264" s="1394"/>
      <c r="AA264" s="1787">
        <v>254</v>
      </c>
    </row>
    <row r="265" spans="1:27" ht="11.1" customHeight="1">
      <c r="A265" s="1399"/>
      <c r="B265" s="1397"/>
      <c r="C265" s="2545"/>
      <c r="D265" s="2545"/>
      <c r="E265" s="2545"/>
      <c r="F265" s="2545"/>
      <c r="G265" s="2545"/>
      <c r="H265" s="2545"/>
      <c r="I265" s="2545"/>
      <c r="J265" s="2545"/>
      <c r="K265" s="2545"/>
      <c r="L265" s="2545"/>
      <c r="M265" s="2545"/>
      <c r="N265" s="2545"/>
      <c r="O265" s="2545"/>
      <c r="P265" s="2545"/>
      <c r="Q265" s="1394"/>
      <c r="AA265" s="1787">
        <v>255</v>
      </c>
    </row>
    <row r="266" spans="1:27" ht="20.25" customHeight="1">
      <c r="A266" s="2550" t="s">
        <v>1587</v>
      </c>
      <c r="B266" s="1395" t="s">
        <v>1588</v>
      </c>
      <c r="C266" s="1395"/>
      <c r="D266" s="1395"/>
      <c r="E266" s="1395"/>
      <c r="F266" s="1395"/>
      <c r="G266" s="1395"/>
      <c r="H266" s="2545"/>
      <c r="I266" s="2545"/>
      <c r="J266" s="2545"/>
      <c r="K266" s="2545"/>
      <c r="L266" s="2545"/>
      <c r="M266" s="2545"/>
      <c r="O266" s="1398" t="s">
        <v>1451</v>
      </c>
      <c r="P266" s="3016"/>
      <c r="Q266" s="3017"/>
      <c r="AA266" s="1787">
        <v>256</v>
      </c>
    </row>
    <row r="267" spans="1:27" ht="15.6" customHeight="1">
      <c r="B267" s="1396" t="s">
        <v>1589</v>
      </c>
      <c r="O267" s="2552"/>
      <c r="P267" s="3043" t="s">
        <v>7474</v>
      </c>
      <c r="Q267" s="3044"/>
      <c r="AA267" s="1787">
        <v>257</v>
      </c>
    </row>
    <row r="268" spans="1:27" ht="15.6" customHeight="1">
      <c r="A268" s="1405"/>
      <c r="B268" s="3033" t="s">
        <v>1590</v>
      </c>
      <c r="C268" s="3033"/>
      <c r="D268" s="3033"/>
      <c r="E268" s="3033"/>
      <c r="F268" s="3033"/>
      <c r="G268" s="3033"/>
      <c r="H268" s="3033"/>
      <c r="I268" s="3033"/>
      <c r="J268" s="3033"/>
      <c r="K268" s="3033"/>
      <c r="L268" s="3033"/>
      <c r="M268" s="3033"/>
      <c r="N268" s="3033"/>
      <c r="O268" s="3033"/>
      <c r="P268" s="3034" t="s">
        <v>7444</v>
      </c>
      <c r="Q268" s="3035"/>
      <c r="AA268" s="1788">
        <v>258</v>
      </c>
    </row>
    <row r="269" spans="1:27" ht="15.6" customHeight="1">
      <c r="B269" s="3033" t="s">
        <v>1591</v>
      </c>
      <c r="C269" s="3033"/>
      <c r="D269" s="3033"/>
      <c r="E269" s="3033"/>
      <c r="F269" s="3033"/>
      <c r="G269" s="3033"/>
      <c r="H269" s="3033"/>
      <c r="I269" s="3033"/>
      <c r="J269" s="3033"/>
      <c r="K269" s="3033"/>
      <c r="L269" s="3033"/>
      <c r="M269" s="3033"/>
      <c r="N269" s="3033"/>
      <c r="O269" s="3033"/>
      <c r="P269" s="3034" t="s">
        <v>7474</v>
      </c>
      <c r="Q269" s="3035"/>
      <c r="AA269" s="1787">
        <v>259</v>
      </c>
    </row>
    <row r="270" spans="1:27" ht="28.05" customHeight="1">
      <c r="A270" s="1405"/>
      <c r="B270" s="3036" t="s">
        <v>1592</v>
      </c>
      <c r="C270" s="3036"/>
      <c r="D270" s="3036"/>
      <c r="E270" s="3036"/>
      <c r="F270" s="3036"/>
      <c r="G270" s="3036"/>
      <c r="H270" s="3036"/>
      <c r="I270" s="3036"/>
      <c r="J270" s="3036"/>
      <c r="K270" s="3036"/>
      <c r="L270" s="3036"/>
      <c r="M270" s="3036"/>
      <c r="N270" s="3036"/>
      <c r="O270" s="3036"/>
      <c r="P270" s="3037" t="s">
        <v>7474</v>
      </c>
      <c r="Q270" s="3038"/>
      <c r="AA270" s="1787">
        <v>260</v>
      </c>
    </row>
    <row r="271" spans="1:27" ht="15.75" customHeight="1">
      <c r="B271" s="1410" t="s">
        <v>1457</v>
      </c>
      <c r="D271" s="1410"/>
      <c r="E271" s="1410"/>
      <c r="F271" s="1410"/>
      <c r="G271" s="1410"/>
      <c r="H271" s="2549"/>
      <c r="I271" s="1397"/>
      <c r="J271" s="1397"/>
      <c r="K271" s="1397"/>
      <c r="AA271" s="1787">
        <v>261</v>
      </c>
    </row>
    <row r="272" spans="1:27" ht="76.8" customHeight="1">
      <c r="A272" s="3010" t="s">
        <v>7754</v>
      </c>
      <c r="B272" s="3011"/>
      <c r="C272" s="3011"/>
      <c r="D272" s="3011"/>
      <c r="E272" s="3011"/>
      <c r="F272" s="3011"/>
      <c r="G272" s="3011"/>
      <c r="H272" s="3011"/>
      <c r="I272" s="3011"/>
      <c r="J272" s="3011"/>
      <c r="K272" s="3011"/>
      <c r="L272" s="3011"/>
      <c r="M272" s="3011"/>
      <c r="N272" s="3011"/>
      <c r="O272" s="3011"/>
      <c r="P272" s="3011"/>
      <c r="Q272" s="3012"/>
      <c r="AA272" s="1787">
        <v>262</v>
      </c>
    </row>
    <row r="273" spans="1:27" ht="15.75" customHeight="1">
      <c r="B273" s="1400" t="s">
        <v>1453</v>
      </c>
      <c r="C273" s="1401"/>
      <c r="D273" s="2545"/>
      <c r="E273" s="2545"/>
      <c r="F273" s="2545"/>
      <c r="G273" s="2545"/>
      <c r="H273" s="2545"/>
      <c r="I273" s="2545"/>
      <c r="J273" s="2545"/>
      <c r="K273" s="2545"/>
      <c r="L273" s="2545"/>
      <c r="M273" s="2545"/>
      <c r="N273" s="2545"/>
      <c r="O273" s="2545"/>
      <c r="P273" s="2545"/>
      <c r="Q273" s="2545"/>
      <c r="AA273" s="1787">
        <v>263</v>
      </c>
    </row>
    <row r="274" spans="1:27" ht="15" customHeight="1">
      <c r="A274" s="3013"/>
      <c r="B274" s="3014"/>
      <c r="C274" s="3014"/>
      <c r="D274" s="3014"/>
      <c r="E274" s="3014"/>
      <c r="F274" s="3014"/>
      <c r="G274" s="3014"/>
      <c r="H274" s="3014"/>
      <c r="I274" s="3014"/>
      <c r="J274" s="3014"/>
      <c r="K274" s="3014"/>
      <c r="L274" s="3014"/>
      <c r="M274" s="3014"/>
      <c r="N274" s="3014"/>
      <c r="O274" s="3014"/>
      <c r="P274" s="3014"/>
      <c r="Q274" s="3015"/>
      <c r="AA274" s="1787">
        <v>264</v>
      </c>
    </row>
    <row r="275" spans="1:27" ht="11.1" customHeight="1">
      <c r="A275" s="1394"/>
      <c r="B275" s="1397"/>
      <c r="C275" s="2545"/>
      <c r="D275" s="2545"/>
      <c r="E275" s="2545"/>
      <c r="F275" s="2545"/>
      <c r="G275" s="2545"/>
      <c r="H275" s="2545"/>
      <c r="I275" s="2545"/>
      <c r="J275" s="2545"/>
      <c r="K275" s="2545"/>
      <c r="L275" s="2545"/>
      <c r="M275" s="2545"/>
      <c r="Q275" s="1394"/>
      <c r="AA275" s="1787">
        <v>265</v>
      </c>
    </row>
    <row r="276" spans="1:27" ht="11.1" customHeight="1">
      <c r="A276" s="1399"/>
      <c r="B276" s="1397"/>
      <c r="C276" s="2545"/>
      <c r="D276" s="2545"/>
      <c r="E276" s="2545"/>
      <c r="F276" s="2545"/>
      <c r="G276" s="2545"/>
      <c r="H276" s="2545"/>
      <c r="I276" s="2545"/>
      <c r="J276" s="2545"/>
      <c r="K276" s="2545"/>
      <c r="L276" s="2545"/>
      <c r="M276" s="2545"/>
      <c r="Q276" s="1394"/>
      <c r="AA276" s="1787">
        <v>266</v>
      </c>
    </row>
    <row r="277" spans="1:27" ht="20.25" customHeight="1">
      <c r="A277" s="2550" t="s">
        <v>1593</v>
      </c>
      <c r="B277" s="1395" t="s">
        <v>1594</v>
      </c>
      <c r="C277" s="1395"/>
      <c r="D277" s="1395"/>
      <c r="E277" s="2545"/>
      <c r="F277" s="2545"/>
      <c r="G277" s="2545"/>
      <c r="H277" s="2545"/>
      <c r="O277" s="1398" t="s">
        <v>1451</v>
      </c>
      <c r="P277" s="3025"/>
      <c r="Q277" s="3025"/>
      <c r="AA277" s="1787">
        <v>267</v>
      </c>
    </row>
    <row r="278" spans="1:27" ht="28.5" customHeight="1">
      <c r="A278" s="1399"/>
      <c r="B278" s="3018" t="s">
        <v>1595</v>
      </c>
      <c r="C278" s="3018"/>
      <c r="D278" s="3018"/>
      <c r="E278" s="3018"/>
      <c r="F278" s="3018"/>
      <c r="G278" s="3018"/>
      <c r="H278" s="3018"/>
      <c r="I278" s="3018"/>
      <c r="J278" s="3018"/>
      <c r="K278" s="3018"/>
      <c r="L278" s="3018"/>
      <c r="M278" s="3018"/>
      <c r="N278" s="3018"/>
      <c r="O278" s="1440"/>
      <c r="P278" s="3031" t="s">
        <v>7681</v>
      </c>
      <c r="Q278" s="3032"/>
      <c r="AA278" s="1787">
        <v>268</v>
      </c>
    </row>
    <row r="279" spans="1:27" ht="44.55" customHeight="1">
      <c r="A279" s="1417"/>
      <c r="B279" s="3027" t="s">
        <v>1596</v>
      </c>
      <c r="C279" s="3027"/>
      <c r="D279" s="3027"/>
      <c r="E279" s="3027"/>
      <c r="F279" s="3027"/>
      <c r="G279" s="3027"/>
      <c r="H279" s="3027"/>
      <c r="I279" s="3027"/>
      <c r="J279" s="3027"/>
      <c r="K279" s="3027"/>
      <c r="L279" s="3027"/>
      <c r="M279" s="3027"/>
      <c r="N279" s="3027"/>
      <c r="O279" s="3028"/>
      <c r="P279" s="3023" t="s">
        <v>7681</v>
      </c>
      <c r="Q279" s="3023"/>
      <c r="AA279" s="1787">
        <v>269</v>
      </c>
    </row>
    <row r="280" spans="1:27" ht="15.75" customHeight="1">
      <c r="B280" s="1410" t="s">
        <v>1457</v>
      </c>
      <c r="D280" s="1410"/>
      <c r="E280" s="1410"/>
      <c r="F280" s="1410"/>
      <c r="G280" s="1410"/>
      <c r="H280" s="2549"/>
      <c r="I280" s="1397"/>
      <c r="J280" s="1397"/>
      <c r="K280" s="1397"/>
      <c r="L280" s="1394"/>
      <c r="M280" s="1394"/>
      <c r="N280" s="1394"/>
      <c r="O280" s="1394"/>
      <c r="P280" s="1394"/>
      <c r="Q280" s="1394"/>
      <c r="AA280" s="1787">
        <v>270</v>
      </c>
    </row>
    <row r="281" spans="1:27" ht="30" customHeight="1">
      <c r="A281" s="3010" t="s">
        <v>7705</v>
      </c>
      <c r="B281" s="3011"/>
      <c r="C281" s="3011"/>
      <c r="D281" s="3011"/>
      <c r="E281" s="3011"/>
      <c r="F281" s="3011"/>
      <c r="G281" s="3011"/>
      <c r="H281" s="3011"/>
      <c r="I281" s="3011"/>
      <c r="J281" s="3011"/>
      <c r="K281" s="3011"/>
      <c r="L281" s="3011"/>
      <c r="M281" s="3011"/>
      <c r="N281" s="3011"/>
      <c r="O281" s="3011"/>
      <c r="P281" s="3011"/>
      <c r="Q281" s="3012"/>
      <c r="AA281" s="1787">
        <v>271</v>
      </c>
    </row>
    <row r="282" spans="1:27" ht="15.75" customHeight="1">
      <c r="B282" s="1400" t="s">
        <v>1453</v>
      </c>
      <c r="C282" s="1401"/>
      <c r="D282" s="2545"/>
      <c r="E282" s="2545"/>
      <c r="F282" s="2545"/>
      <c r="G282" s="2545"/>
      <c r="H282" s="2545"/>
      <c r="I282" s="2545"/>
      <c r="J282" s="2545"/>
      <c r="K282" s="2545"/>
      <c r="L282" s="2545"/>
      <c r="M282" s="2545"/>
      <c r="N282" s="2545"/>
      <c r="O282" s="2545"/>
      <c r="P282" s="2545"/>
      <c r="Q282" s="2545"/>
      <c r="AA282" s="1787">
        <v>272</v>
      </c>
    </row>
    <row r="283" spans="1:27" ht="15" customHeight="1">
      <c r="A283" s="3013"/>
      <c r="B283" s="3014"/>
      <c r="C283" s="3014"/>
      <c r="D283" s="3014"/>
      <c r="E283" s="3014"/>
      <c r="F283" s="3014"/>
      <c r="G283" s="3014"/>
      <c r="H283" s="3014"/>
      <c r="I283" s="3014"/>
      <c r="J283" s="3014"/>
      <c r="K283" s="3014"/>
      <c r="L283" s="3014"/>
      <c r="M283" s="3014"/>
      <c r="N283" s="3014"/>
      <c r="O283" s="3014"/>
      <c r="P283" s="3014"/>
      <c r="Q283" s="3015"/>
      <c r="AA283" s="1788">
        <v>273</v>
      </c>
    </row>
    <row r="284" spans="1:27" ht="11.55" customHeight="1">
      <c r="A284" s="1394"/>
      <c r="B284" s="1397"/>
      <c r="C284" s="2545"/>
      <c r="D284" s="2545"/>
      <c r="E284" s="2545"/>
      <c r="F284" s="2545"/>
      <c r="G284" s="2545"/>
      <c r="H284" s="2545"/>
      <c r="I284" s="2545"/>
      <c r="J284" s="2545"/>
      <c r="K284" s="2545"/>
      <c r="L284" s="2545"/>
      <c r="M284" s="2545"/>
      <c r="Q284" s="1394"/>
      <c r="AA284" s="1787">
        <v>274</v>
      </c>
    </row>
    <row r="285" spans="1:27" ht="11.55" customHeight="1">
      <c r="A285" s="1394"/>
      <c r="B285" s="1397"/>
      <c r="C285" s="2545"/>
      <c r="D285" s="2545"/>
      <c r="E285" s="2545"/>
      <c r="F285" s="2545"/>
      <c r="G285" s="2545"/>
      <c r="H285" s="2545"/>
      <c r="I285" s="2545"/>
      <c r="J285" s="2545"/>
      <c r="K285" s="2545"/>
      <c r="L285" s="2545"/>
      <c r="M285" s="2545"/>
      <c r="Q285" s="1394"/>
      <c r="AA285" s="1787">
        <v>275</v>
      </c>
    </row>
    <row r="286" spans="1:27" ht="14.25" customHeight="1">
      <c r="A286" s="2550" t="s">
        <v>1597</v>
      </c>
      <c r="B286" s="2550" t="s">
        <v>1598</v>
      </c>
      <c r="C286" s="2545"/>
      <c r="D286" s="2545"/>
      <c r="E286" s="2545"/>
      <c r="F286" s="2545"/>
      <c r="G286" s="2545"/>
      <c r="H286" s="2545"/>
      <c r="I286" s="2545"/>
      <c r="J286" s="2545"/>
      <c r="K286" s="2545"/>
      <c r="L286" s="2545"/>
      <c r="M286" s="2545"/>
      <c r="O286" s="1398" t="s">
        <v>1451</v>
      </c>
      <c r="P286" s="3025"/>
      <c r="Q286" s="3025"/>
      <c r="AA286" s="1787">
        <v>276</v>
      </c>
    </row>
    <row r="287" spans="1:27" ht="14.25" customHeight="1">
      <c r="A287" s="1506" t="s">
        <v>186</v>
      </c>
      <c r="B287" s="2550" t="s">
        <v>1599</v>
      </c>
      <c r="C287" s="2550"/>
      <c r="D287" s="2549"/>
      <c r="E287" s="2545"/>
      <c r="F287" s="2545"/>
      <c r="G287" s="2545"/>
      <c r="H287" s="2545"/>
      <c r="I287" s="2545"/>
      <c r="J287" s="2545"/>
      <c r="K287" s="2545"/>
      <c r="L287" s="2545"/>
      <c r="M287" s="2545"/>
      <c r="P287" s="3030" t="s">
        <v>7681</v>
      </c>
      <c r="Q287" s="3030"/>
      <c r="AA287" s="1787">
        <v>277</v>
      </c>
    </row>
    <row r="288" spans="1:27" ht="30" customHeight="1">
      <c r="A288" s="2549"/>
      <c r="B288" s="3027" t="s">
        <v>1600</v>
      </c>
      <c r="C288" s="3027"/>
      <c r="D288" s="3027"/>
      <c r="E288" s="3027"/>
      <c r="F288" s="3027"/>
      <c r="G288" s="3027"/>
      <c r="H288" s="3027"/>
      <c r="I288" s="3027"/>
      <c r="J288" s="3027"/>
      <c r="K288" s="3027"/>
      <c r="L288" s="3027"/>
      <c r="M288" s="3027"/>
      <c r="N288" s="3027"/>
      <c r="O288" s="3028"/>
      <c r="P288" s="3029"/>
      <c r="Q288" s="3029"/>
      <c r="AA288" s="1787">
        <v>278</v>
      </c>
    </row>
    <row r="289" spans="1:27" ht="14.25" customHeight="1">
      <c r="A289" s="1506" t="s">
        <v>198</v>
      </c>
      <c r="B289" s="2550" t="s">
        <v>1601</v>
      </c>
      <c r="C289" s="1399"/>
      <c r="D289" s="2549"/>
      <c r="E289" s="2545"/>
      <c r="F289" s="2545"/>
      <c r="G289" s="2545"/>
      <c r="H289" s="2545"/>
      <c r="I289" s="2545"/>
      <c r="J289" s="2545"/>
      <c r="K289" s="2545"/>
      <c r="L289" s="2545"/>
      <c r="M289" s="2545"/>
      <c r="P289" s="3029" t="s">
        <v>7681</v>
      </c>
      <c r="Q289" s="3029"/>
      <c r="AA289" s="1787">
        <v>279</v>
      </c>
    </row>
    <row r="290" spans="1:27" ht="29.25" customHeight="1">
      <c r="A290" s="2549"/>
      <c r="B290" s="3027" t="s">
        <v>1602</v>
      </c>
      <c r="C290" s="3027"/>
      <c r="D290" s="3027"/>
      <c r="E290" s="3027"/>
      <c r="F290" s="3027"/>
      <c r="G290" s="3027"/>
      <c r="H290" s="3027"/>
      <c r="I290" s="3027"/>
      <c r="J290" s="3027"/>
      <c r="K290" s="3027"/>
      <c r="L290" s="3027"/>
      <c r="M290" s="3027"/>
      <c r="N290" s="3027"/>
      <c r="O290" s="3028"/>
      <c r="P290" s="3023"/>
      <c r="Q290" s="3023"/>
      <c r="AA290" s="1787">
        <v>280</v>
      </c>
    </row>
    <row r="291" spans="1:27" ht="15.75" customHeight="1">
      <c r="A291" s="2550"/>
      <c r="B291" s="1410" t="s">
        <v>1457</v>
      </c>
      <c r="D291" s="1410"/>
      <c r="E291" s="1410"/>
      <c r="F291" s="1410"/>
      <c r="G291" s="1410"/>
      <c r="H291" s="2549"/>
      <c r="I291" s="1397"/>
      <c r="J291" s="1397"/>
      <c r="K291" s="1397"/>
      <c r="L291" s="1394"/>
      <c r="M291" s="1394"/>
      <c r="N291" s="1394"/>
      <c r="O291" s="1394"/>
      <c r="P291" s="1394"/>
      <c r="Q291" s="1394"/>
      <c r="AA291" s="1787">
        <v>281</v>
      </c>
    </row>
    <row r="292" spans="1:27" ht="15" customHeight="1">
      <c r="A292" s="3010" t="s">
        <v>7706</v>
      </c>
      <c r="B292" s="3011"/>
      <c r="C292" s="3011"/>
      <c r="D292" s="3011"/>
      <c r="E292" s="3011"/>
      <c r="F292" s="3011"/>
      <c r="G292" s="3011"/>
      <c r="H292" s="3011"/>
      <c r="I292" s="3011"/>
      <c r="J292" s="3011"/>
      <c r="K292" s="3011"/>
      <c r="L292" s="3011"/>
      <c r="M292" s="3011"/>
      <c r="N292" s="3011"/>
      <c r="O292" s="3011"/>
      <c r="P292" s="3011"/>
      <c r="Q292" s="3012"/>
      <c r="AA292" s="1788">
        <v>282</v>
      </c>
    </row>
    <row r="293" spans="1:27" ht="15.75" customHeight="1">
      <c r="B293" s="1400" t="s">
        <v>1453</v>
      </c>
      <c r="C293" s="1401"/>
      <c r="D293" s="2545"/>
      <c r="E293" s="2545"/>
      <c r="F293" s="2545"/>
      <c r="G293" s="2545"/>
      <c r="H293" s="2545"/>
      <c r="I293" s="2545"/>
      <c r="J293" s="2545"/>
      <c r="K293" s="2545"/>
      <c r="L293" s="2545"/>
      <c r="M293" s="2545"/>
      <c r="N293" s="2545"/>
      <c r="O293" s="2545"/>
      <c r="P293" s="2545"/>
      <c r="Q293" s="2545"/>
      <c r="AA293" s="1787">
        <v>283</v>
      </c>
    </row>
    <row r="294" spans="1:27" ht="15" customHeight="1">
      <c r="A294" s="3013"/>
      <c r="B294" s="3014"/>
      <c r="C294" s="3014"/>
      <c r="D294" s="3014"/>
      <c r="E294" s="3014"/>
      <c r="F294" s="3014"/>
      <c r="G294" s="3014"/>
      <c r="H294" s="3014"/>
      <c r="I294" s="3014"/>
      <c r="J294" s="3014"/>
      <c r="K294" s="3014"/>
      <c r="L294" s="3014"/>
      <c r="M294" s="3014"/>
      <c r="N294" s="3014"/>
      <c r="O294" s="3014"/>
      <c r="P294" s="3014"/>
      <c r="Q294" s="3015"/>
      <c r="AA294" s="1787">
        <v>284</v>
      </c>
    </row>
    <row r="295" spans="1:27" ht="14.25" customHeight="1">
      <c r="A295" s="2550"/>
      <c r="B295" s="1397"/>
      <c r="C295" s="2545"/>
      <c r="D295" s="2545"/>
      <c r="E295" s="2545"/>
      <c r="F295" s="2545"/>
      <c r="G295" s="2545"/>
      <c r="H295" s="2545"/>
      <c r="I295" s="2545"/>
      <c r="J295" s="2545"/>
      <c r="K295" s="2545"/>
      <c r="L295" s="2545"/>
      <c r="M295" s="2545"/>
      <c r="Q295" s="1394"/>
      <c r="AA295" s="1787">
        <v>285</v>
      </c>
    </row>
    <row r="296" spans="1:27" ht="14.25" customHeight="1">
      <c r="A296" s="2550"/>
      <c r="B296" s="1397"/>
      <c r="C296" s="2545"/>
      <c r="D296" s="2545"/>
      <c r="E296" s="2545"/>
      <c r="F296" s="2545"/>
      <c r="G296" s="2545"/>
      <c r="H296" s="2545"/>
      <c r="I296" s="2545"/>
      <c r="J296" s="2545"/>
      <c r="K296" s="2545"/>
      <c r="L296" s="2545"/>
      <c r="M296" s="2545"/>
      <c r="Q296" s="1394"/>
      <c r="AA296" s="1787">
        <v>286</v>
      </c>
    </row>
    <row r="297" spans="1:27" ht="14.25" customHeight="1">
      <c r="A297" s="2550" t="s">
        <v>1603</v>
      </c>
      <c r="B297" s="2550" t="s">
        <v>1604</v>
      </c>
      <c r="C297" s="2545"/>
      <c r="D297" s="2545"/>
      <c r="E297" s="2545"/>
      <c r="F297" s="2545"/>
      <c r="G297" s="2545"/>
      <c r="H297" s="2545"/>
      <c r="I297" s="2545"/>
      <c r="J297" s="2545"/>
      <c r="K297" s="2545"/>
      <c r="L297" s="2545"/>
      <c r="M297" s="2545"/>
      <c r="O297" s="1398" t="s">
        <v>1451</v>
      </c>
      <c r="P297" s="3025"/>
      <c r="Q297" s="3025"/>
      <c r="AA297" s="1787">
        <v>287</v>
      </c>
    </row>
    <row r="298" spans="1:27" ht="30.75" customHeight="1">
      <c r="A298" s="2550"/>
      <c r="B298" s="3018" t="s">
        <v>1605</v>
      </c>
      <c r="C298" s="3018"/>
      <c r="D298" s="3018"/>
      <c r="E298" s="3018"/>
      <c r="F298" s="3018"/>
      <c r="G298" s="3018"/>
      <c r="H298" s="3018"/>
      <c r="I298" s="3018"/>
      <c r="J298" s="3018"/>
      <c r="K298" s="3018"/>
      <c r="L298" s="3018"/>
      <c r="M298" s="3018"/>
      <c r="N298" s="3018"/>
      <c r="O298" s="3019"/>
      <c r="P298" s="3026" t="s">
        <v>7444</v>
      </c>
      <c r="Q298" s="3026"/>
      <c r="AA298" s="1787">
        <v>288</v>
      </c>
    </row>
    <row r="299" spans="1:27" ht="20.25" customHeight="1">
      <c r="A299" s="2550"/>
      <c r="B299" s="1410" t="s">
        <v>1457</v>
      </c>
      <c r="D299" s="1410"/>
      <c r="E299" s="1410"/>
      <c r="F299" s="1410"/>
      <c r="G299" s="1410"/>
      <c r="H299" s="2549"/>
      <c r="I299" s="1397"/>
      <c r="J299" s="1397"/>
      <c r="K299" s="1397"/>
      <c r="L299" s="1394"/>
      <c r="M299" s="1394"/>
      <c r="N299" s="1394"/>
      <c r="O299" s="1394"/>
      <c r="P299" s="1394"/>
      <c r="Q299" s="1394"/>
      <c r="AA299" s="1787">
        <v>289</v>
      </c>
    </row>
    <row r="300" spans="1:27" ht="15" customHeight="1">
      <c r="A300" s="3010" t="s">
        <v>7707</v>
      </c>
      <c r="B300" s="3011"/>
      <c r="C300" s="3011"/>
      <c r="D300" s="3011"/>
      <c r="E300" s="3011"/>
      <c r="F300" s="3011"/>
      <c r="G300" s="3011"/>
      <c r="H300" s="3011"/>
      <c r="I300" s="3011"/>
      <c r="J300" s="3011"/>
      <c r="K300" s="3011"/>
      <c r="L300" s="3011"/>
      <c r="M300" s="3011"/>
      <c r="N300" s="3011"/>
      <c r="O300" s="3011"/>
      <c r="P300" s="3011"/>
      <c r="Q300" s="3012"/>
      <c r="AA300" s="1787">
        <v>290</v>
      </c>
    </row>
    <row r="301" spans="1:27" ht="20.25" customHeight="1">
      <c r="B301" s="1400" t="s">
        <v>1453</v>
      </c>
      <c r="C301" s="1401"/>
      <c r="D301" s="2545"/>
      <c r="E301" s="2545"/>
      <c r="F301" s="2545"/>
      <c r="G301" s="2545"/>
      <c r="H301" s="2545"/>
      <c r="I301" s="2545"/>
      <c r="J301" s="2545"/>
      <c r="K301" s="2545"/>
      <c r="L301" s="2545"/>
      <c r="M301" s="2545"/>
      <c r="N301" s="2545"/>
      <c r="O301" s="2545"/>
      <c r="P301" s="2545"/>
      <c r="Q301" s="2545"/>
      <c r="AA301" s="1787">
        <v>291</v>
      </c>
    </row>
    <row r="302" spans="1:27" ht="15" customHeight="1">
      <c r="A302" s="3013"/>
      <c r="B302" s="3014"/>
      <c r="C302" s="3014"/>
      <c r="D302" s="3014"/>
      <c r="E302" s="3014"/>
      <c r="F302" s="3014"/>
      <c r="G302" s="3014"/>
      <c r="H302" s="3014"/>
      <c r="I302" s="3014"/>
      <c r="J302" s="3014"/>
      <c r="K302" s="3014"/>
      <c r="L302" s="3014"/>
      <c r="M302" s="3014"/>
      <c r="N302" s="3014"/>
      <c r="O302" s="3014"/>
      <c r="P302" s="3014"/>
      <c r="Q302" s="3015"/>
      <c r="AA302" s="1787">
        <v>292</v>
      </c>
    </row>
    <row r="303" spans="1:27" ht="14.25" customHeight="1">
      <c r="A303" s="2550"/>
      <c r="B303" s="1397"/>
      <c r="C303" s="2545"/>
      <c r="D303" s="2545"/>
      <c r="E303" s="2545"/>
      <c r="F303" s="2545"/>
      <c r="G303" s="2545"/>
      <c r="H303" s="2545"/>
      <c r="I303" s="2545"/>
      <c r="J303" s="2545"/>
      <c r="K303" s="2545"/>
      <c r="L303" s="2545"/>
      <c r="M303" s="2545"/>
      <c r="Q303" s="1394"/>
      <c r="AA303" s="1787">
        <v>293</v>
      </c>
    </row>
    <row r="304" spans="1:27" ht="14.25" customHeight="1">
      <c r="A304" s="2550"/>
      <c r="B304" s="1397"/>
      <c r="C304" s="2545"/>
      <c r="D304" s="2545"/>
      <c r="E304" s="2545"/>
      <c r="F304" s="2545"/>
      <c r="G304" s="2545"/>
      <c r="H304" s="2545"/>
      <c r="I304" s="2545"/>
      <c r="J304" s="2545"/>
      <c r="K304" s="2545"/>
      <c r="L304" s="2545"/>
      <c r="M304" s="2545"/>
      <c r="Q304" s="1394"/>
      <c r="AA304" s="1787">
        <v>294</v>
      </c>
    </row>
    <row r="305" spans="1:27" ht="20.25" customHeight="1">
      <c r="A305" s="2550" t="s">
        <v>1606</v>
      </c>
      <c r="B305" s="1395" t="s">
        <v>1607</v>
      </c>
      <c r="C305" s="1399"/>
      <c r="D305" s="1395"/>
      <c r="E305" s="2545"/>
      <c r="F305" s="2545"/>
      <c r="G305" s="2545"/>
      <c r="H305" s="2545"/>
      <c r="J305" s="2545"/>
      <c r="K305" s="2545"/>
      <c r="L305" s="2545"/>
      <c r="M305" s="2545"/>
      <c r="O305" s="1398" t="s">
        <v>1451</v>
      </c>
      <c r="P305" s="3016"/>
      <c r="Q305" s="3017"/>
      <c r="S305" s="1399"/>
      <c r="T305" s="1399"/>
      <c r="AA305" s="1787">
        <v>295</v>
      </c>
    </row>
    <row r="306" spans="1:27">
      <c r="A306" s="2550"/>
      <c r="B306" s="3018" t="s">
        <v>1608</v>
      </c>
      <c r="C306" s="3018"/>
      <c r="D306" s="3018"/>
      <c r="E306" s="3018"/>
      <c r="F306" s="3018"/>
      <c r="G306" s="3018"/>
      <c r="H306" s="3018"/>
      <c r="I306" s="3018"/>
      <c r="J306" s="3018"/>
      <c r="K306" s="3018"/>
      <c r="L306" s="3018"/>
      <c r="M306" s="3018"/>
      <c r="N306" s="3018"/>
      <c r="O306" s="3019"/>
      <c r="P306" s="3020" t="s">
        <v>7444</v>
      </c>
      <c r="Q306" s="3020"/>
      <c r="AA306" s="1787">
        <v>296</v>
      </c>
    </row>
    <row r="307" spans="1:27" ht="45" customHeight="1">
      <c r="A307" s="2550"/>
      <c r="B307" s="3021" t="s">
        <v>1609</v>
      </c>
      <c r="C307" s="3021"/>
      <c r="D307" s="3021"/>
      <c r="E307" s="3021"/>
      <c r="F307" s="3021"/>
      <c r="G307" s="3021"/>
      <c r="H307" s="3021"/>
      <c r="I307" s="3021"/>
      <c r="J307" s="3021"/>
      <c r="K307" s="3021"/>
      <c r="L307" s="3021"/>
      <c r="M307" s="3021"/>
      <c r="N307" s="3021"/>
      <c r="O307" s="3022"/>
      <c r="P307" s="3023" t="s">
        <v>7444</v>
      </c>
      <c r="Q307" s="3023"/>
      <c r="AA307" s="1788">
        <v>297</v>
      </c>
    </row>
    <row r="308" spans="1:27" ht="15" customHeight="1">
      <c r="A308" s="2550"/>
      <c r="B308" s="1410" t="s">
        <v>1457</v>
      </c>
      <c r="D308" s="1410"/>
      <c r="E308" s="1410"/>
      <c r="F308" s="1410"/>
      <c r="G308" s="1410"/>
      <c r="H308" s="2549"/>
      <c r="I308" s="1397"/>
      <c r="J308" s="1397"/>
      <c r="K308" s="1397"/>
      <c r="L308" s="1394"/>
      <c r="M308" s="1394"/>
      <c r="N308" s="1394"/>
      <c r="O308" s="1394"/>
      <c r="P308" s="1394"/>
      <c r="Q308" s="1394"/>
      <c r="AA308" s="1787">
        <v>298</v>
      </c>
    </row>
    <row r="309" spans="1:27" ht="15" customHeight="1">
      <c r="A309" s="3010" t="s">
        <v>7708</v>
      </c>
      <c r="B309" s="3011"/>
      <c r="C309" s="3011"/>
      <c r="D309" s="3011"/>
      <c r="E309" s="3011"/>
      <c r="F309" s="3011"/>
      <c r="G309" s="3011"/>
      <c r="H309" s="3011"/>
      <c r="I309" s="3011"/>
      <c r="J309" s="3011"/>
      <c r="K309" s="3011"/>
      <c r="L309" s="3011"/>
      <c r="M309" s="3011"/>
      <c r="N309" s="3011"/>
      <c r="O309" s="3011"/>
      <c r="P309" s="3011"/>
      <c r="Q309" s="3012"/>
      <c r="AA309" s="1787">
        <v>299</v>
      </c>
    </row>
    <row r="310" spans="1:27" ht="15" customHeight="1">
      <c r="B310" s="1400" t="s">
        <v>1453</v>
      </c>
      <c r="C310" s="1401"/>
      <c r="D310" s="2545"/>
      <c r="E310" s="2545"/>
      <c r="F310" s="2545"/>
      <c r="G310" s="2545"/>
      <c r="H310" s="2545"/>
      <c r="I310" s="2545"/>
      <c r="J310" s="2545"/>
      <c r="K310" s="2545"/>
      <c r="L310" s="2545"/>
      <c r="M310" s="2545"/>
      <c r="N310" s="2545"/>
      <c r="O310" s="2545"/>
      <c r="P310" s="2545"/>
      <c r="Q310" s="2545"/>
      <c r="AA310" s="1787">
        <v>300</v>
      </c>
    </row>
    <row r="311" spans="1:27" ht="15" customHeight="1">
      <c r="A311" s="3013"/>
      <c r="B311" s="3014"/>
      <c r="C311" s="3014"/>
      <c r="D311" s="3014"/>
      <c r="E311" s="3014"/>
      <c r="F311" s="3014"/>
      <c r="G311" s="3014"/>
      <c r="H311" s="3014"/>
      <c r="I311" s="3014"/>
      <c r="J311" s="3014"/>
      <c r="K311" s="3014"/>
      <c r="L311" s="3014"/>
      <c r="M311" s="3014"/>
      <c r="N311" s="3014"/>
      <c r="O311" s="3014"/>
      <c r="P311" s="3014"/>
      <c r="Q311" s="3015"/>
      <c r="AA311" s="1787">
        <v>301</v>
      </c>
    </row>
    <row r="312" spans="1:27" ht="15.6" customHeight="1">
      <c r="A312" s="1394"/>
      <c r="B312" s="1397"/>
      <c r="C312" s="2545"/>
      <c r="D312" s="2545"/>
      <c r="E312" s="2545"/>
      <c r="F312" s="2545"/>
      <c r="G312" s="2545"/>
      <c r="H312" s="2545"/>
      <c r="I312" s="2545"/>
      <c r="J312" s="2545"/>
      <c r="K312" s="2545"/>
      <c r="L312" s="2545"/>
      <c r="M312" s="2545"/>
      <c r="N312" s="2545"/>
      <c r="O312" s="2545"/>
      <c r="P312" s="2545"/>
      <c r="Q312" s="1394"/>
      <c r="AA312" s="1787">
        <v>302</v>
      </c>
    </row>
    <row r="313" spans="1:27" ht="21" customHeight="1">
      <c r="A313" s="2550" t="s">
        <v>1610</v>
      </c>
      <c r="B313" s="1395" t="s">
        <v>1611</v>
      </c>
      <c r="C313" s="1399"/>
      <c r="D313" s="1395"/>
      <c r="E313" s="2545"/>
      <c r="F313" s="2545"/>
      <c r="G313" s="2545"/>
      <c r="H313" s="2545"/>
      <c r="J313" s="2545"/>
      <c r="K313" s="2545"/>
      <c r="L313" s="2545"/>
      <c r="M313" s="2545"/>
      <c r="O313" s="1398" t="s">
        <v>1451</v>
      </c>
      <c r="P313" s="3016"/>
      <c r="Q313" s="3017"/>
      <c r="AA313" s="1787">
        <v>303</v>
      </c>
    </row>
    <row r="314" spans="1:27" ht="15" customHeight="1">
      <c r="A314" s="2550"/>
      <c r="B314" s="3018" t="s">
        <v>1612</v>
      </c>
      <c r="C314" s="3018"/>
      <c r="D314" s="3018"/>
      <c r="E314" s="3018"/>
      <c r="F314" s="3018"/>
      <c r="G314" s="3018"/>
      <c r="H314" s="3018"/>
      <c r="I314" s="3018"/>
      <c r="J314" s="3018"/>
      <c r="K314" s="3018"/>
      <c r="L314" s="3018"/>
      <c r="M314" s="3018"/>
      <c r="N314" s="3018"/>
      <c r="O314" s="3019"/>
      <c r="P314" s="3024" t="s">
        <v>7444</v>
      </c>
      <c r="Q314" s="3024"/>
      <c r="AA314" s="1787"/>
    </row>
    <row r="315" spans="1:27" ht="19.5" customHeight="1">
      <c r="A315" s="2550"/>
      <c r="B315" s="1410" t="s">
        <v>1457</v>
      </c>
      <c r="D315" s="1410"/>
      <c r="E315" s="1410"/>
      <c r="F315" s="1410"/>
      <c r="G315" s="1410"/>
      <c r="H315" s="2549"/>
      <c r="I315" s="1397"/>
      <c r="J315" s="1397"/>
      <c r="K315" s="1397"/>
      <c r="L315" s="1394"/>
      <c r="M315" s="1394"/>
      <c r="N315" s="1394"/>
      <c r="O315" s="1394"/>
      <c r="P315" s="1394"/>
      <c r="Q315" s="1394"/>
      <c r="AA315" s="1787"/>
    </row>
    <row r="316" spans="1:27" ht="17.25" customHeight="1">
      <c r="A316" s="3010" t="s">
        <v>7709</v>
      </c>
      <c r="B316" s="3011"/>
      <c r="C316" s="3011"/>
      <c r="D316" s="3011"/>
      <c r="E316" s="3011"/>
      <c r="F316" s="3011"/>
      <c r="G316" s="3011"/>
      <c r="H316" s="3011"/>
      <c r="I316" s="3011"/>
      <c r="J316" s="3011"/>
      <c r="K316" s="3011"/>
      <c r="L316" s="3011"/>
      <c r="M316" s="3011"/>
      <c r="N316" s="3011"/>
      <c r="O316" s="3011"/>
      <c r="P316" s="3011"/>
      <c r="Q316" s="3012"/>
      <c r="AA316" s="1787"/>
    </row>
    <row r="317" spans="1:27" ht="14.25" customHeight="1">
      <c r="B317" s="1400" t="s">
        <v>1453</v>
      </c>
      <c r="C317" s="1401"/>
      <c r="D317" s="2545"/>
      <c r="E317" s="2545"/>
      <c r="F317" s="2545"/>
      <c r="G317" s="2545"/>
      <c r="H317" s="2545"/>
      <c r="I317" s="2545"/>
      <c r="J317" s="2545"/>
      <c r="K317" s="2545"/>
      <c r="L317" s="2545"/>
      <c r="M317" s="2545"/>
      <c r="N317" s="2545"/>
      <c r="O317" s="2545"/>
      <c r="P317" s="2545"/>
      <c r="Q317" s="2545"/>
      <c r="AA317" s="1787"/>
    </row>
    <row r="318" spans="1:27" ht="14.25" customHeight="1">
      <c r="A318" s="3013"/>
      <c r="B318" s="3014"/>
      <c r="C318" s="3014"/>
      <c r="D318" s="3014"/>
      <c r="E318" s="3014"/>
      <c r="F318" s="3014"/>
      <c r="G318" s="3014"/>
      <c r="H318" s="3014"/>
      <c r="I318" s="3014"/>
      <c r="J318" s="3014"/>
      <c r="K318" s="3014"/>
      <c r="L318" s="3014"/>
      <c r="M318" s="3014"/>
      <c r="N318" s="3014"/>
      <c r="O318" s="3014"/>
      <c r="P318" s="3014"/>
      <c r="Q318" s="3015"/>
      <c r="AA318" s="1787"/>
    </row>
    <row r="319" spans="1:27" ht="14.25" customHeight="1">
      <c r="A319" s="2550"/>
      <c r="B319" s="1397"/>
      <c r="C319" s="2545"/>
      <c r="D319" s="2545"/>
      <c r="E319" s="2545"/>
      <c r="F319" s="2545"/>
      <c r="G319" s="2545"/>
      <c r="H319" s="2545"/>
      <c r="I319" s="2545"/>
      <c r="J319" s="2545"/>
      <c r="K319" s="2545"/>
      <c r="L319" s="2545"/>
      <c r="M319" s="2545"/>
      <c r="Q319" s="1394"/>
      <c r="AA319" s="1787"/>
    </row>
    <row r="320" spans="1:27" ht="20.25" customHeight="1">
      <c r="A320" s="2550" t="s">
        <v>1613</v>
      </c>
      <c r="B320" s="1395" t="s">
        <v>1614</v>
      </c>
      <c r="C320" s="1399"/>
      <c r="D320" s="1395"/>
      <c r="E320" s="2545"/>
      <c r="F320" s="2545"/>
      <c r="G320" s="2545"/>
      <c r="H320" s="2545"/>
      <c r="J320" s="2545"/>
      <c r="K320" s="2545"/>
      <c r="L320" s="2545"/>
      <c r="M320" s="2545"/>
      <c r="O320" s="1398" t="s">
        <v>1451</v>
      </c>
      <c r="P320" s="3016"/>
      <c r="Q320" s="3017"/>
      <c r="AA320" s="1787">
        <v>304</v>
      </c>
    </row>
    <row r="321" spans="1:27" ht="15" customHeight="1">
      <c r="A321" s="2550"/>
      <c r="B321" s="1410" t="s">
        <v>1457</v>
      </c>
      <c r="D321" s="1410"/>
      <c r="E321" s="1410"/>
      <c r="F321" s="1410"/>
      <c r="G321" s="1410"/>
      <c r="H321" s="2549"/>
      <c r="I321" s="1397"/>
      <c r="J321" s="1397"/>
      <c r="K321" s="1397"/>
      <c r="L321" s="1394"/>
      <c r="M321" s="1394"/>
      <c r="N321" s="1394"/>
      <c r="O321" s="1394"/>
      <c r="P321" s="1394"/>
      <c r="Q321" s="1394"/>
      <c r="AA321" s="1787">
        <v>305</v>
      </c>
    </row>
    <row r="322" spans="1:27" ht="30" customHeight="1">
      <c r="A322" s="3010" t="s">
        <v>7710</v>
      </c>
      <c r="B322" s="3011"/>
      <c r="C322" s="3011"/>
      <c r="D322" s="3011"/>
      <c r="E322" s="3011"/>
      <c r="F322" s="3011"/>
      <c r="G322" s="3011"/>
      <c r="H322" s="3011"/>
      <c r="I322" s="3011"/>
      <c r="J322" s="3011"/>
      <c r="K322" s="3011"/>
      <c r="L322" s="3011"/>
      <c r="M322" s="3011"/>
      <c r="N322" s="3011"/>
      <c r="O322" s="3011"/>
      <c r="P322" s="3011"/>
      <c r="Q322" s="3012"/>
      <c r="AA322" s="1788">
        <v>306</v>
      </c>
    </row>
    <row r="323" spans="1:27" ht="15" customHeight="1">
      <c r="B323" s="1400" t="s">
        <v>1453</v>
      </c>
      <c r="C323" s="1401"/>
      <c r="D323" s="2545"/>
      <c r="E323" s="2545"/>
      <c r="F323" s="2545"/>
      <c r="G323" s="2545"/>
      <c r="H323" s="2545"/>
      <c r="I323" s="2545"/>
      <c r="J323" s="2545"/>
      <c r="K323" s="2545"/>
      <c r="L323" s="2545"/>
      <c r="M323" s="2545"/>
      <c r="N323" s="2545"/>
      <c r="O323" s="2545"/>
      <c r="P323" s="2545"/>
      <c r="Q323" s="2545"/>
      <c r="AA323" s="1787">
        <v>307</v>
      </c>
    </row>
    <row r="324" spans="1:27" ht="15" customHeight="1">
      <c r="A324" s="3013"/>
      <c r="B324" s="3014"/>
      <c r="C324" s="3014"/>
      <c r="D324" s="3014"/>
      <c r="E324" s="3014"/>
      <c r="F324" s="3014"/>
      <c r="G324" s="3014"/>
      <c r="H324" s="3014"/>
      <c r="I324" s="3014"/>
      <c r="J324" s="3014"/>
      <c r="K324" s="3014"/>
      <c r="L324" s="3014"/>
      <c r="M324" s="3014"/>
      <c r="N324" s="3014"/>
      <c r="O324" s="3014"/>
      <c r="P324" s="3014"/>
      <c r="Q324" s="3015"/>
      <c r="AA324" s="1787">
        <v>308</v>
      </c>
    </row>
    <row r="325" spans="1:27" ht="20.25" customHeight="1">
      <c r="A325" s="2545"/>
      <c r="B325" s="2545"/>
      <c r="C325" s="2545"/>
      <c r="D325" s="2545"/>
      <c r="E325" s="2545"/>
      <c r="F325" s="2545"/>
      <c r="G325" s="2545"/>
      <c r="H325" s="2545"/>
      <c r="I325" s="2545"/>
      <c r="J325" s="2545"/>
      <c r="K325" s="2545"/>
      <c r="L325" s="2545"/>
      <c r="M325" s="2545"/>
      <c r="N325" s="2545"/>
      <c r="O325" s="2545"/>
      <c r="P325" s="2545"/>
      <c r="Q325" s="2545"/>
      <c r="R325" s="1436"/>
      <c r="AA325" s="1787">
        <v>309</v>
      </c>
    </row>
    <row r="326" spans="1:27" ht="20.25" customHeight="1">
      <c r="A326" s="2545"/>
      <c r="B326" s="2545"/>
      <c r="C326" s="2545"/>
      <c r="D326" s="2545"/>
      <c r="E326" s="2545"/>
      <c r="F326" s="2545"/>
      <c r="G326" s="2545"/>
      <c r="H326" s="2545"/>
      <c r="I326" s="2545"/>
      <c r="J326" s="2545"/>
      <c r="K326" s="2545"/>
      <c r="L326" s="2545"/>
      <c r="M326" s="2545"/>
      <c r="N326" s="2545"/>
      <c r="O326" s="2545"/>
      <c r="P326" s="2545"/>
      <c r="Q326" s="2545"/>
      <c r="R326" s="1436"/>
      <c r="S326" s="1436"/>
      <c r="AA326" s="1787">
        <v>310</v>
      </c>
    </row>
    <row r="327" spans="1:27">
      <c r="R327" s="1436"/>
      <c r="S327" s="1436"/>
      <c r="AA327" s="1787">
        <v>311</v>
      </c>
    </row>
    <row r="328" spans="1:27">
      <c r="R328" s="1436"/>
      <c r="S328" s="1436"/>
      <c r="AA328" s="1787">
        <v>312</v>
      </c>
    </row>
    <row r="329" spans="1:27">
      <c r="R329" s="1436"/>
      <c r="S329" s="1436"/>
      <c r="AA329" s="1787">
        <v>313</v>
      </c>
    </row>
    <row r="330" spans="1:27">
      <c r="R330" s="1436"/>
      <c r="S330" s="1436"/>
      <c r="AA330" s="1787">
        <v>314</v>
      </c>
    </row>
    <row r="331" spans="1:27">
      <c r="R331" s="1436"/>
      <c r="S331" s="1436"/>
      <c r="AA331" s="1787">
        <v>315</v>
      </c>
    </row>
    <row r="332" spans="1:27">
      <c r="R332" s="1436"/>
      <c r="S332" s="1436"/>
      <c r="AA332" s="1787">
        <v>316</v>
      </c>
    </row>
    <row r="333" spans="1:27">
      <c r="R333" s="1436"/>
      <c r="S333" s="1436"/>
      <c r="AA333" s="1787">
        <v>317</v>
      </c>
    </row>
    <row r="334" spans="1:27">
      <c r="R334" s="1436"/>
      <c r="S334" s="1436"/>
      <c r="AA334" s="1787">
        <v>318</v>
      </c>
    </row>
    <row r="335" spans="1:27">
      <c r="R335" s="1436"/>
      <c r="S335" s="1436"/>
      <c r="AA335" s="1787">
        <v>319</v>
      </c>
    </row>
    <row r="336" spans="1:27">
      <c r="R336" s="1436"/>
      <c r="S336" s="1436"/>
      <c r="AA336" s="1787">
        <v>320</v>
      </c>
    </row>
    <row r="337" spans="18:27">
      <c r="R337" s="1436"/>
      <c r="S337" s="1436"/>
      <c r="AA337" s="1788">
        <v>321</v>
      </c>
    </row>
    <row r="338" spans="18:27">
      <c r="R338" s="1436"/>
      <c r="S338" s="1436"/>
      <c r="AA338" s="1787">
        <v>322</v>
      </c>
    </row>
    <row r="339" spans="18:27">
      <c r="R339" s="1436"/>
      <c r="S339" s="1436"/>
      <c r="AA339" s="1787">
        <v>323</v>
      </c>
    </row>
    <row r="340" spans="18:27">
      <c r="R340" s="1436"/>
      <c r="S340" s="1436"/>
      <c r="AA340" s="1787">
        <v>324</v>
      </c>
    </row>
    <row r="341" spans="18:27">
      <c r="R341" s="1436"/>
      <c r="S341" s="1436"/>
      <c r="AA341" s="1787">
        <v>325</v>
      </c>
    </row>
    <row r="342" spans="18:27">
      <c r="R342" s="1436"/>
      <c r="S342" s="1436"/>
      <c r="AA342" s="1787">
        <v>326</v>
      </c>
    </row>
    <row r="343" spans="18:27">
      <c r="R343" s="1436"/>
      <c r="S343" s="1436"/>
      <c r="AA343" s="1787">
        <v>327</v>
      </c>
    </row>
    <row r="344" spans="18:27">
      <c r="R344" s="1436"/>
      <c r="S344" s="1436"/>
      <c r="AA344" s="1787">
        <v>328</v>
      </c>
    </row>
    <row r="345" spans="18:27">
      <c r="R345" s="1436"/>
      <c r="S345" s="1436"/>
      <c r="AA345" s="1787">
        <v>329</v>
      </c>
    </row>
    <row r="346" spans="18:27">
      <c r="R346" s="1436"/>
      <c r="S346" s="1436"/>
      <c r="AA346" s="1788">
        <v>330</v>
      </c>
    </row>
    <row r="347" spans="18:27">
      <c r="R347" s="1436"/>
      <c r="S347" s="1436"/>
      <c r="AA347" s="1787">
        <v>331</v>
      </c>
    </row>
    <row r="348" spans="18:27">
      <c r="R348" s="1436"/>
      <c r="S348" s="1436"/>
      <c r="AA348" s="1787">
        <v>332</v>
      </c>
    </row>
    <row r="349" spans="18:27">
      <c r="R349" s="1436"/>
      <c r="S349" s="1436"/>
      <c r="AA349" s="1787">
        <v>333</v>
      </c>
    </row>
    <row r="350" spans="18:27">
      <c r="R350" s="1436"/>
      <c r="S350" s="1436"/>
      <c r="AA350" s="1787">
        <v>334</v>
      </c>
    </row>
    <row r="351" spans="18:27">
      <c r="R351" s="1436"/>
      <c r="S351" s="1436"/>
      <c r="AA351" s="1787">
        <v>335</v>
      </c>
    </row>
    <row r="352" spans="18:27">
      <c r="R352" s="1436"/>
      <c r="S352" s="1436"/>
      <c r="AA352" s="1787">
        <v>336</v>
      </c>
    </row>
    <row r="353" spans="18:27">
      <c r="R353" s="1436"/>
      <c r="S353" s="1436"/>
      <c r="AA353" s="1787">
        <v>337</v>
      </c>
    </row>
    <row r="354" spans="18:27">
      <c r="R354" s="1436"/>
      <c r="S354" s="1436"/>
      <c r="AA354" s="1787">
        <v>338</v>
      </c>
    </row>
    <row r="355" spans="18:27">
      <c r="R355" s="1436"/>
      <c r="S355" s="1436"/>
    </row>
    <row r="356" spans="18:27">
      <c r="R356" s="1436"/>
      <c r="S356" s="1436"/>
    </row>
    <row r="357" spans="18:27">
      <c r="R357" s="1436"/>
      <c r="S357" s="1436"/>
    </row>
    <row r="358" spans="18:27">
      <c r="R358" s="1436"/>
      <c r="S358" s="1436"/>
    </row>
    <row r="359" spans="18:27">
      <c r="R359" s="1436"/>
      <c r="S359" s="1436"/>
    </row>
    <row r="360" spans="18:27">
      <c r="R360" s="1436"/>
      <c r="S360" s="1436"/>
    </row>
    <row r="361" spans="18:27">
      <c r="R361" s="1436"/>
      <c r="S361" s="1436"/>
    </row>
    <row r="362" spans="18:27">
      <c r="R362" s="1436"/>
      <c r="S362" s="1436"/>
    </row>
    <row r="363" spans="18:27">
      <c r="R363" s="1436"/>
      <c r="S363" s="1436"/>
    </row>
    <row r="364" spans="18:27">
      <c r="R364" s="1436"/>
      <c r="S364" s="1436"/>
    </row>
    <row r="365" spans="18:27">
      <c r="R365" s="1436"/>
      <c r="S365" s="1436"/>
    </row>
    <row r="366" spans="18:27">
      <c r="R366" s="1436"/>
      <c r="S366" s="1436"/>
    </row>
    <row r="367" spans="18:27">
      <c r="R367" s="1436"/>
      <c r="S367" s="1436"/>
    </row>
    <row r="368" spans="18:27">
      <c r="R368" s="1436"/>
      <c r="S368" s="1436"/>
    </row>
    <row r="369" spans="18:19">
      <c r="R369" s="1436"/>
      <c r="S369" s="1436"/>
    </row>
    <row r="370" spans="18:19">
      <c r="R370" s="1436"/>
      <c r="S370" s="1436"/>
    </row>
    <row r="371" spans="18:19">
      <c r="R371" s="1436"/>
      <c r="S371" s="1436"/>
    </row>
    <row r="372" spans="18:19">
      <c r="R372" s="1436"/>
      <c r="S372" s="1436"/>
    </row>
    <row r="373" spans="18:19">
      <c r="R373" s="1436"/>
      <c r="S373" s="1436"/>
    </row>
    <row r="374" spans="18:19">
      <c r="R374" s="1436"/>
      <c r="S374" s="1436"/>
    </row>
    <row r="375" spans="18:19">
      <c r="R375" s="1436"/>
      <c r="S375" s="1436"/>
    </row>
    <row r="376" spans="18:19">
      <c r="R376" s="1436"/>
      <c r="S376" s="1436"/>
    </row>
    <row r="377" spans="18:19">
      <c r="R377" s="1436"/>
      <c r="S377" s="1436"/>
    </row>
    <row r="378" spans="18:19">
      <c r="R378" s="1436"/>
      <c r="S378" s="1436"/>
    </row>
    <row r="379" spans="18:19">
      <c r="R379" s="1436"/>
      <c r="S379" s="1436"/>
    </row>
    <row r="380" spans="18:19">
      <c r="R380" s="1436"/>
      <c r="S380" s="1436"/>
    </row>
    <row r="381" spans="18:19">
      <c r="R381" s="1436"/>
      <c r="S381" s="1436"/>
    </row>
    <row r="382" spans="18:19">
      <c r="R382" s="1436"/>
      <c r="S382" s="1436"/>
    </row>
    <row r="383" spans="18:19">
      <c r="R383" s="1436"/>
      <c r="S383" s="1436"/>
    </row>
    <row r="384" spans="18:19">
      <c r="R384" s="1436"/>
      <c r="S384" s="1436"/>
    </row>
    <row r="385" spans="1:20">
      <c r="R385" s="1436"/>
      <c r="S385" s="1436"/>
    </row>
    <row r="386" spans="1:20">
      <c r="R386" s="1436"/>
      <c r="S386" s="1436"/>
    </row>
    <row r="387" spans="1:20">
      <c r="R387" s="1436"/>
      <c r="S387" s="1436"/>
    </row>
    <row r="388" spans="1:20">
      <c r="R388" s="1436"/>
      <c r="S388" s="1436"/>
    </row>
    <row r="389" spans="1:20">
      <c r="R389" s="1436"/>
      <c r="S389" s="1436"/>
    </row>
    <row r="390" spans="1:20">
      <c r="R390" s="1436"/>
      <c r="S390" s="1436"/>
    </row>
    <row r="391" spans="1:20">
      <c r="R391" s="1436"/>
      <c r="S391" s="1436"/>
    </row>
    <row r="392" spans="1:20">
      <c r="R392" s="1436"/>
      <c r="S392" s="1436"/>
    </row>
    <row r="393" spans="1:20">
      <c r="R393" s="1436"/>
      <c r="S393" s="1436"/>
    </row>
    <row r="394" spans="1:20">
      <c r="R394" s="1436"/>
      <c r="S394" s="1436"/>
    </row>
    <row r="395" spans="1:20">
      <c r="R395" s="1436"/>
      <c r="S395" s="1436"/>
    </row>
    <row r="396" spans="1:20">
      <c r="A396" s="1745"/>
      <c r="B396" s="1745"/>
      <c r="C396" s="1745"/>
      <c r="D396" s="1745"/>
      <c r="E396" s="1745"/>
      <c r="F396" s="1745"/>
      <c r="G396" s="1745"/>
      <c r="H396" s="1745"/>
      <c r="I396" s="1745"/>
      <c r="J396" s="1745"/>
      <c r="K396" s="1745"/>
      <c r="L396" s="1745"/>
      <c r="M396" s="1745"/>
      <c r="N396" s="1745"/>
      <c r="O396" s="1745"/>
      <c r="P396" s="1745"/>
      <c r="Q396" s="1745"/>
      <c r="R396" s="1436"/>
      <c r="S396" s="1436"/>
    </row>
    <row r="397" spans="1:20">
      <c r="A397" s="1745"/>
      <c r="B397" s="1745"/>
      <c r="C397" s="1745"/>
      <c r="D397" s="1745"/>
      <c r="E397" s="1745"/>
      <c r="F397" s="1745"/>
      <c r="G397" s="1745"/>
      <c r="H397" s="1745"/>
      <c r="I397" s="1745"/>
      <c r="J397" s="1745"/>
      <c r="K397" s="1745"/>
      <c r="L397" s="1745"/>
      <c r="M397" s="1745"/>
      <c r="N397" s="1745"/>
      <c r="O397" s="1745"/>
      <c r="P397" s="1745"/>
      <c r="Q397" s="1745"/>
      <c r="R397" s="1436"/>
      <c r="S397" s="1436"/>
    </row>
    <row r="398" spans="1:20">
      <c r="A398" s="1745"/>
      <c r="B398" s="1745"/>
      <c r="C398" s="1745"/>
      <c r="D398" s="1745"/>
      <c r="E398" s="1745"/>
      <c r="F398" s="1745"/>
      <c r="G398" s="1745"/>
      <c r="H398" s="1745"/>
      <c r="I398" s="1745"/>
      <c r="J398" s="1745" t="s">
        <v>1512</v>
      </c>
      <c r="K398" s="1745"/>
      <c r="L398" s="1745"/>
      <c r="M398" s="1745"/>
      <c r="N398" s="1745"/>
      <c r="O398" s="1745" t="s">
        <v>721</v>
      </c>
      <c r="P398" s="1745"/>
      <c r="Q398" s="1745"/>
      <c r="R398" s="1436"/>
      <c r="S398" s="1436"/>
    </row>
    <row r="399" spans="1:20" ht="20.25" customHeight="1">
      <c r="A399" s="1745"/>
      <c r="B399" s="1745"/>
      <c r="C399" s="1745" t="s">
        <v>721</v>
      </c>
      <c r="D399" s="1745"/>
      <c r="E399" s="1745"/>
      <c r="F399" s="1745"/>
      <c r="G399" s="1745"/>
      <c r="H399" s="1745"/>
      <c r="I399" s="1745"/>
      <c r="J399" s="1746" t="s">
        <v>1615</v>
      </c>
      <c r="K399" s="1745"/>
      <c r="L399" s="1745"/>
      <c r="M399" s="1745"/>
      <c r="N399" s="1747"/>
      <c r="O399" s="1746" t="s">
        <v>1616</v>
      </c>
      <c r="P399" s="1748"/>
      <c r="Q399" s="1745"/>
      <c r="R399" s="1436"/>
      <c r="S399" s="1436"/>
      <c r="T399" s="1436"/>
    </row>
    <row r="400" spans="1:20" ht="20.25" customHeight="1">
      <c r="A400" s="1745"/>
      <c r="B400" s="1745"/>
      <c r="C400" s="1746" t="s">
        <v>1617</v>
      </c>
      <c r="D400" s="1745"/>
      <c r="E400" s="1745"/>
      <c r="F400" s="1745"/>
      <c r="G400" s="1745"/>
      <c r="H400" s="1745"/>
      <c r="I400" s="1745"/>
      <c r="J400" s="1746" t="s">
        <v>1618</v>
      </c>
      <c r="K400" s="1745"/>
      <c r="L400" s="1745"/>
      <c r="M400" s="1745"/>
      <c r="N400" s="1747"/>
      <c r="O400" s="1746" t="s">
        <v>1619</v>
      </c>
      <c r="P400" s="1748"/>
      <c r="Q400" s="1745"/>
      <c r="R400" s="1436"/>
      <c r="S400" s="1436"/>
      <c r="T400" s="1436"/>
    </row>
    <row r="401" spans="1:20" ht="20.25" customHeight="1">
      <c r="A401" s="1745"/>
      <c r="B401" s="1745"/>
      <c r="C401" s="1746" t="s">
        <v>1620</v>
      </c>
      <c r="D401" s="1745"/>
      <c r="E401" s="1745"/>
      <c r="F401" s="1745"/>
      <c r="G401" s="1745"/>
      <c r="H401" s="1745"/>
      <c r="I401" s="1745"/>
      <c r="J401" s="1746" t="s">
        <v>1621</v>
      </c>
      <c r="K401" s="1745"/>
      <c r="L401" s="1745"/>
      <c r="M401" s="1745"/>
      <c r="N401" s="1747"/>
      <c r="O401" s="1746" t="s">
        <v>1622</v>
      </c>
      <c r="P401" s="1748"/>
      <c r="Q401" s="1745"/>
      <c r="R401" s="1436"/>
      <c r="S401" s="1436"/>
      <c r="T401" s="1436"/>
    </row>
    <row r="402" spans="1:20" ht="20.25" customHeight="1">
      <c r="A402" s="1745"/>
      <c r="B402" s="1745"/>
      <c r="C402" s="1746" t="s">
        <v>1623</v>
      </c>
      <c r="D402" s="1745"/>
      <c r="E402" s="1745"/>
      <c r="F402" s="1745"/>
      <c r="G402" s="1745"/>
      <c r="H402" s="1745"/>
      <c r="I402" s="1745"/>
      <c r="J402" s="1746" t="s">
        <v>1624</v>
      </c>
      <c r="K402" s="1745"/>
      <c r="L402" s="1745"/>
      <c r="M402" s="1745"/>
      <c r="N402" s="1747"/>
      <c r="O402" s="1746" t="s">
        <v>1625</v>
      </c>
      <c r="P402" s="1748"/>
      <c r="Q402" s="1745"/>
      <c r="R402" s="1436"/>
      <c r="S402" s="1436"/>
      <c r="T402" s="1436"/>
    </row>
    <row r="403" spans="1:20" ht="20.25" customHeight="1">
      <c r="A403" s="1745"/>
      <c r="B403" s="1745"/>
      <c r="C403" s="1746" t="s">
        <v>1626</v>
      </c>
      <c r="D403" s="1745"/>
      <c r="E403" s="1745"/>
      <c r="F403" s="1745"/>
      <c r="G403" s="1745"/>
      <c r="H403" s="1745"/>
      <c r="I403" s="1745"/>
      <c r="J403" s="1746" t="s">
        <v>1627</v>
      </c>
      <c r="K403" s="1745"/>
      <c r="L403" s="1745"/>
      <c r="M403" s="1745"/>
      <c r="N403" s="1747"/>
      <c r="O403" s="1746" t="s">
        <v>1628</v>
      </c>
      <c r="P403" s="1748"/>
      <c r="Q403" s="1745"/>
      <c r="R403" s="1436"/>
      <c r="S403" s="1436"/>
      <c r="T403" s="1436"/>
    </row>
    <row r="404" spans="1:20" ht="20.25" customHeight="1">
      <c r="A404" s="1745"/>
      <c r="B404" s="1745"/>
      <c r="C404" s="1746" t="s">
        <v>1629</v>
      </c>
      <c r="D404" s="1745"/>
      <c r="E404" s="1745"/>
      <c r="F404" s="1745"/>
      <c r="G404" s="1745"/>
      <c r="H404" s="1745"/>
      <c r="I404" s="1745"/>
      <c r="J404" s="1746" t="s">
        <v>1630</v>
      </c>
      <c r="K404" s="1745"/>
      <c r="L404" s="1745"/>
      <c r="M404" s="1745"/>
      <c r="N404" s="1747"/>
      <c r="O404" s="1746" t="s">
        <v>1631</v>
      </c>
      <c r="P404" s="1748"/>
      <c r="Q404" s="1745"/>
      <c r="R404" s="1436"/>
      <c r="S404" s="1436"/>
      <c r="T404" s="1436"/>
    </row>
    <row r="405" spans="1:20" ht="20.25" customHeight="1">
      <c r="A405" s="1745"/>
      <c r="B405" s="1745"/>
      <c r="C405" s="1746" t="s">
        <v>1632</v>
      </c>
      <c r="D405" s="1745"/>
      <c r="E405" s="1745"/>
      <c r="F405" s="1745"/>
      <c r="G405" s="1745"/>
      <c r="H405" s="1745"/>
      <c r="I405" s="1745"/>
      <c r="J405" s="1746" t="s">
        <v>1633</v>
      </c>
      <c r="K405" s="1745"/>
      <c r="L405" s="1745"/>
      <c r="M405" s="1745"/>
      <c r="N405" s="1747"/>
      <c r="O405" s="1746" t="s">
        <v>1634</v>
      </c>
      <c r="P405" s="1748"/>
      <c r="Q405" s="1745"/>
      <c r="R405" s="1436"/>
      <c r="S405" s="1436"/>
      <c r="T405" s="1436"/>
    </row>
    <row r="406" spans="1:20" ht="20.25" customHeight="1">
      <c r="A406" s="1745"/>
      <c r="B406" s="1745"/>
      <c r="C406" s="1746" t="s">
        <v>1635</v>
      </c>
      <c r="D406" s="1745"/>
      <c r="E406" s="1745"/>
      <c r="F406" s="1745"/>
      <c r="G406" s="1745"/>
      <c r="H406" s="1745"/>
      <c r="I406" s="1745"/>
      <c r="J406" s="1746" t="s">
        <v>1636</v>
      </c>
      <c r="K406" s="1745"/>
      <c r="L406" s="1745"/>
      <c r="M406" s="1745"/>
      <c r="N406" s="1747"/>
      <c r="O406" s="1745" t="s">
        <v>1637</v>
      </c>
      <c r="P406" s="1748"/>
      <c r="Q406" s="1745"/>
      <c r="R406" s="1436"/>
      <c r="S406" s="1436"/>
      <c r="T406" s="1436"/>
    </row>
    <row r="407" spans="1:20" ht="20.25" customHeight="1">
      <c r="A407" s="1745"/>
      <c r="B407" s="1745"/>
      <c r="C407" s="1746" t="s">
        <v>1638</v>
      </c>
      <c r="D407" s="1745"/>
      <c r="E407" s="1745"/>
      <c r="F407" s="1745"/>
      <c r="G407" s="1745"/>
      <c r="H407" s="1745"/>
      <c r="I407" s="1745"/>
      <c r="J407" s="1746" t="s">
        <v>1639</v>
      </c>
      <c r="K407" s="1745"/>
      <c r="L407" s="1745"/>
      <c r="M407" s="1745"/>
      <c r="N407" s="1747"/>
      <c r="O407" s="1745" t="s">
        <v>1640</v>
      </c>
      <c r="P407" s="1748"/>
      <c r="Q407" s="1745"/>
      <c r="R407" s="1436"/>
      <c r="S407" s="1436"/>
      <c r="T407" s="1436"/>
    </row>
    <row r="408" spans="1:20" ht="20.25" customHeight="1">
      <c r="A408" s="1745"/>
      <c r="B408" s="1745"/>
      <c r="C408" s="1746" t="s">
        <v>1641</v>
      </c>
      <c r="D408" s="1745"/>
      <c r="E408" s="1745"/>
      <c r="F408" s="1745"/>
      <c r="G408" s="1745"/>
      <c r="H408" s="1745"/>
      <c r="I408" s="1745"/>
      <c r="J408" s="1746" t="s">
        <v>1642</v>
      </c>
      <c r="K408" s="1745"/>
      <c r="L408" s="1745"/>
      <c r="M408" s="1745"/>
      <c r="N408" s="1747"/>
      <c r="O408" s="1746"/>
      <c r="P408" s="1748"/>
      <c r="Q408" s="1745"/>
      <c r="R408" s="1436"/>
      <c r="S408" s="1436"/>
      <c r="T408" s="1436"/>
    </row>
    <row r="409" spans="1:20" ht="20.25" customHeight="1">
      <c r="A409" s="1745"/>
      <c r="B409" s="1745"/>
      <c r="C409" s="1746" t="s">
        <v>1643</v>
      </c>
      <c r="D409" s="1745"/>
      <c r="E409" s="1745"/>
      <c r="F409" s="1745"/>
      <c r="G409" s="1745"/>
      <c r="H409" s="1745"/>
      <c r="I409" s="1745"/>
      <c r="J409" s="1746" t="s">
        <v>1644</v>
      </c>
      <c r="K409" s="1745"/>
      <c r="L409" s="1745"/>
      <c r="M409" s="1745"/>
      <c r="N409" s="1747"/>
      <c r="O409" s="1745" t="s">
        <v>721</v>
      </c>
      <c r="P409" s="1748"/>
      <c r="Q409" s="1745"/>
      <c r="R409" s="1436"/>
      <c r="S409" s="1436"/>
      <c r="T409" s="1436"/>
    </row>
    <row r="410" spans="1:20" ht="20.25" customHeight="1">
      <c r="A410" s="1745"/>
      <c r="B410" s="1745"/>
      <c r="C410" s="1746" t="s">
        <v>1645</v>
      </c>
      <c r="D410" s="1745"/>
      <c r="E410" s="1745"/>
      <c r="F410" s="1745"/>
      <c r="G410" s="1745"/>
      <c r="H410" s="1745"/>
      <c r="I410" s="1745"/>
      <c r="J410" s="1746" t="s">
        <v>1646</v>
      </c>
      <c r="K410" s="1745"/>
      <c r="L410" s="1745"/>
      <c r="M410" s="1745"/>
      <c r="N410" s="1747"/>
      <c r="O410" s="1746" t="s">
        <v>1647</v>
      </c>
      <c r="P410" s="1748"/>
      <c r="Q410" s="1745"/>
      <c r="R410" s="1436"/>
      <c r="S410" s="1436"/>
      <c r="T410" s="1436"/>
    </row>
    <row r="411" spans="1:20" ht="20.25" customHeight="1">
      <c r="A411" s="1745"/>
      <c r="B411" s="1745"/>
      <c r="C411" s="1746" t="s">
        <v>1648</v>
      </c>
      <c r="D411" s="1745"/>
      <c r="E411" s="1745"/>
      <c r="F411" s="1745"/>
      <c r="G411" s="1745"/>
      <c r="H411" s="1745"/>
      <c r="I411" s="1745"/>
      <c r="J411" s="1745"/>
      <c r="K411" s="1745"/>
      <c r="L411" s="1745"/>
      <c r="M411" s="1745"/>
      <c r="N411" s="1747"/>
      <c r="O411" s="1746" t="s">
        <v>1649</v>
      </c>
      <c r="P411" s="1748"/>
      <c r="Q411" s="1745"/>
      <c r="R411" s="1436"/>
      <c r="S411" s="1436"/>
      <c r="T411" s="1436"/>
    </row>
    <row r="412" spans="1:20" ht="20.25" customHeight="1">
      <c r="A412" s="1745"/>
      <c r="B412" s="1745"/>
      <c r="C412" s="1745"/>
      <c r="D412" s="1745"/>
      <c r="E412" s="1745"/>
      <c r="F412" s="1745"/>
      <c r="G412" s="1745"/>
      <c r="H412" s="1745"/>
      <c r="I412" s="1745"/>
      <c r="J412" s="1745"/>
      <c r="K412" s="1745"/>
      <c r="L412" s="1745"/>
      <c r="M412" s="1745"/>
      <c r="N412" s="1747"/>
      <c r="O412" s="1746" t="s">
        <v>1650</v>
      </c>
      <c r="P412" s="1748"/>
      <c r="Q412" s="1745"/>
      <c r="R412" s="1436"/>
      <c r="S412" s="1436"/>
      <c r="T412" s="1436"/>
    </row>
    <row r="413" spans="1:20" ht="20.25" customHeight="1">
      <c r="A413" s="1745"/>
      <c r="B413" s="1745"/>
      <c r="C413" s="1745"/>
      <c r="D413" s="1745"/>
      <c r="E413" s="1745"/>
      <c r="F413" s="1745"/>
      <c r="G413" s="1745"/>
      <c r="H413" s="1745"/>
      <c r="I413" s="1745"/>
      <c r="J413" s="1745"/>
      <c r="K413" s="1745"/>
      <c r="L413" s="1745"/>
      <c r="M413" s="1745"/>
      <c r="N413" s="1745"/>
      <c r="O413" s="1746" t="s">
        <v>1651</v>
      </c>
      <c r="P413" s="1745"/>
      <c r="Q413" s="1745"/>
      <c r="R413" s="1436"/>
      <c r="S413" s="1436"/>
      <c r="T413" s="1436"/>
    </row>
    <row r="414" spans="1:20" ht="20.25" customHeight="1">
      <c r="A414" s="1745"/>
      <c r="B414" s="1745"/>
      <c r="C414" s="1749" t="s">
        <v>1652</v>
      </c>
      <c r="D414" s="1745"/>
      <c r="E414" s="1745"/>
      <c r="F414" s="1745"/>
      <c r="G414" s="1745"/>
      <c r="H414" s="1745"/>
      <c r="I414" s="1745"/>
      <c r="J414" s="1745"/>
      <c r="K414" s="1745"/>
      <c r="L414" s="1745"/>
      <c r="M414" s="1745"/>
      <c r="N414" s="1745"/>
      <c r="O414" s="1745"/>
      <c r="P414" s="1745"/>
      <c r="Q414" s="1745"/>
      <c r="R414" s="1436"/>
      <c r="S414" s="1436"/>
      <c r="T414" s="1436"/>
    </row>
    <row r="415" spans="1:20" ht="20.25" customHeight="1">
      <c r="A415" s="1745"/>
      <c r="B415" s="1745"/>
      <c r="C415" s="1745" t="s">
        <v>1653</v>
      </c>
      <c r="D415" s="1745"/>
      <c r="E415" s="1745"/>
      <c r="F415" s="1745"/>
      <c r="G415" s="1745"/>
      <c r="H415" s="1745"/>
      <c r="I415" s="1745"/>
      <c r="J415" s="1745"/>
      <c r="K415" s="1745"/>
      <c r="L415" s="1745"/>
      <c r="M415" s="1745"/>
      <c r="N415" s="1745"/>
      <c r="O415" s="1745"/>
      <c r="P415" s="1745"/>
      <c r="Q415" s="1745"/>
      <c r="R415" s="1436"/>
      <c r="S415" s="1436"/>
      <c r="T415" s="1436"/>
    </row>
    <row r="416" spans="1:20" ht="20.25" customHeight="1">
      <c r="A416" s="1745"/>
      <c r="B416" s="1745"/>
      <c r="C416" s="1746" t="s">
        <v>1654</v>
      </c>
      <c r="D416" s="1745"/>
      <c r="E416" s="1745"/>
      <c r="F416" s="1745"/>
      <c r="G416" s="1745"/>
      <c r="H416" s="1745"/>
      <c r="I416" s="1745"/>
      <c r="J416" s="1745"/>
      <c r="K416" s="1745"/>
      <c r="L416" s="1745"/>
      <c r="M416" s="1745"/>
      <c r="N416" s="1745"/>
      <c r="O416" s="1745"/>
      <c r="P416" s="1745"/>
      <c r="Q416" s="1745"/>
      <c r="R416" s="1436"/>
      <c r="S416" s="1436"/>
      <c r="T416" s="1436"/>
    </row>
    <row r="417" spans="1:20" ht="20.25" customHeight="1">
      <c r="A417" s="1745"/>
      <c r="B417" s="1745"/>
      <c r="C417" s="1746" t="s">
        <v>1655</v>
      </c>
      <c r="D417" s="1745"/>
      <c r="E417" s="1745"/>
      <c r="F417" s="1745"/>
      <c r="G417" s="1745"/>
      <c r="H417" s="1745"/>
      <c r="I417" s="1745"/>
      <c r="J417" s="1745"/>
      <c r="K417" s="1745"/>
      <c r="L417" s="1746"/>
      <c r="M417" s="1745"/>
      <c r="N417" s="1745"/>
      <c r="O417" s="1745"/>
      <c r="P417" s="1745"/>
      <c r="Q417" s="1745"/>
      <c r="R417" s="1436"/>
      <c r="S417" s="1436"/>
      <c r="T417" s="1436"/>
    </row>
    <row r="418" spans="1:20" ht="20.25" customHeight="1">
      <c r="A418" s="1745"/>
      <c r="B418" s="1745"/>
      <c r="C418" s="1746" t="s">
        <v>1656</v>
      </c>
      <c r="D418" s="1745"/>
      <c r="E418" s="1745"/>
      <c r="F418" s="1745"/>
      <c r="G418" s="1745"/>
      <c r="H418" s="1745"/>
      <c r="I418" s="1745"/>
      <c r="J418" s="1745"/>
      <c r="K418" s="1745"/>
      <c r="L418" s="1746"/>
      <c r="M418" s="1745"/>
      <c r="N418" s="1745"/>
      <c r="O418" s="1745"/>
      <c r="P418" s="1745"/>
      <c r="Q418" s="1745"/>
      <c r="R418" s="1436"/>
      <c r="S418" s="1436"/>
      <c r="T418" s="1436"/>
    </row>
    <row r="419" spans="1:20" ht="20.25" customHeight="1">
      <c r="A419" s="1745"/>
      <c r="B419" s="1745"/>
      <c r="C419" s="1746" t="s">
        <v>1657</v>
      </c>
      <c r="D419" s="1745"/>
      <c r="E419" s="1745"/>
      <c r="F419" s="1745"/>
      <c r="G419" s="1745"/>
      <c r="H419" s="1745"/>
      <c r="I419" s="1745"/>
      <c r="J419" s="1745"/>
      <c r="K419" s="1745"/>
      <c r="L419" s="1746"/>
      <c r="M419" s="1745"/>
      <c r="N419" s="1745"/>
      <c r="O419" s="1745"/>
      <c r="P419" s="1745"/>
      <c r="Q419" s="1745"/>
      <c r="R419" s="1436"/>
      <c r="S419" s="1436"/>
      <c r="T419" s="1436"/>
    </row>
    <row r="420" spans="1:20" ht="20.25" customHeight="1">
      <c r="A420" s="1745"/>
      <c r="B420" s="1745"/>
      <c r="C420" s="1746" t="s">
        <v>1658</v>
      </c>
      <c r="D420" s="1745"/>
      <c r="E420" s="1745"/>
      <c r="F420" s="1745"/>
      <c r="G420" s="1745"/>
      <c r="H420" s="1745"/>
      <c r="I420" s="1745"/>
      <c r="J420" s="1745"/>
      <c r="K420" s="1745"/>
      <c r="L420" s="1746"/>
      <c r="M420" s="1745"/>
      <c r="N420" s="1745"/>
      <c r="O420" s="1745"/>
      <c r="P420" s="1745"/>
      <c r="Q420" s="1745"/>
      <c r="R420" s="1436"/>
      <c r="S420" s="1436"/>
      <c r="T420" s="1436"/>
    </row>
    <row r="421" spans="1:20" ht="20.25" customHeight="1">
      <c r="A421" s="1745"/>
      <c r="B421" s="1745"/>
      <c r="C421" s="1745" t="s">
        <v>1659</v>
      </c>
      <c r="D421" s="1745"/>
      <c r="E421" s="1745"/>
      <c r="F421" s="1745"/>
      <c r="G421" s="1745"/>
      <c r="H421" s="1745"/>
      <c r="I421" s="1745"/>
      <c r="J421" s="1745"/>
      <c r="K421" s="1745"/>
      <c r="L421" s="1746"/>
      <c r="M421" s="1745"/>
      <c r="N421" s="1745"/>
      <c r="O421" s="1745"/>
      <c r="P421" s="1745"/>
      <c r="Q421" s="1745"/>
      <c r="R421" s="1436"/>
      <c r="S421" s="1436"/>
      <c r="T421" s="1436"/>
    </row>
    <row r="422" spans="1:20" ht="20.25" customHeight="1">
      <c r="A422" s="1745"/>
      <c r="B422" s="1745"/>
      <c r="C422" s="1745" t="s">
        <v>1660</v>
      </c>
      <c r="D422" s="1745"/>
      <c r="E422" s="1745"/>
      <c r="F422" s="1745"/>
      <c r="G422" s="1745"/>
      <c r="H422" s="1745"/>
      <c r="I422" s="1745"/>
      <c r="J422" s="1745"/>
      <c r="K422" s="1745"/>
      <c r="L422" s="1745"/>
      <c r="M422" s="1745"/>
      <c r="N422" s="1745"/>
      <c r="O422" s="1745"/>
      <c r="P422" s="1745"/>
      <c r="Q422" s="1745"/>
      <c r="R422" s="1436"/>
      <c r="S422" s="1436"/>
      <c r="T422" s="1436"/>
    </row>
    <row r="423" spans="1:20" ht="20.25" customHeight="1">
      <c r="A423" s="1745"/>
      <c r="B423" s="1745"/>
      <c r="C423" s="1746" t="s">
        <v>1661</v>
      </c>
      <c r="D423" s="1745"/>
      <c r="E423" s="1745"/>
      <c r="F423" s="1745"/>
      <c r="G423" s="1745"/>
      <c r="H423" s="1745"/>
      <c r="I423" s="1745"/>
      <c r="J423" s="1745"/>
      <c r="K423" s="1745"/>
      <c r="L423" s="1746"/>
      <c r="M423" s="1745"/>
      <c r="N423" s="1745"/>
      <c r="O423" s="1745"/>
      <c r="P423" s="1745"/>
      <c r="Q423" s="1745"/>
      <c r="R423" s="1436"/>
      <c r="S423" s="1436"/>
      <c r="T423" s="1436"/>
    </row>
    <row r="424" spans="1:20" ht="20.25" customHeight="1">
      <c r="A424" s="1745"/>
      <c r="B424" s="1745"/>
      <c r="C424" s="1745" t="s">
        <v>1662</v>
      </c>
      <c r="D424" s="1745"/>
      <c r="E424" s="1745"/>
      <c r="F424" s="1745"/>
      <c r="G424" s="1745"/>
      <c r="H424" s="1745"/>
      <c r="I424" s="1745"/>
      <c r="J424" s="1745"/>
      <c r="K424" s="1745"/>
      <c r="L424" s="1746"/>
      <c r="M424" s="1745"/>
      <c r="N424" s="1745"/>
      <c r="O424" s="1745"/>
      <c r="P424" s="1745"/>
      <c r="Q424" s="1745"/>
      <c r="R424" s="1436"/>
      <c r="S424" s="1436"/>
      <c r="T424" s="1436"/>
    </row>
    <row r="425" spans="1:20" ht="20.25" customHeight="1">
      <c r="A425" s="1745"/>
      <c r="B425" s="1745"/>
      <c r="C425" s="1745" t="s">
        <v>1658</v>
      </c>
      <c r="D425" s="1745"/>
      <c r="E425" s="1745"/>
      <c r="F425" s="1745"/>
      <c r="G425" s="1745"/>
      <c r="H425" s="1745"/>
      <c r="I425" s="1745"/>
      <c r="J425" s="1745"/>
      <c r="K425" s="1745"/>
      <c r="L425" s="1746"/>
      <c r="M425" s="1745"/>
      <c r="N425" s="1745"/>
      <c r="O425" s="1745"/>
      <c r="P425" s="1745"/>
      <c r="Q425" s="1745"/>
      <c r="R425" s="1436"/>
      <c r="S425" s="1436"/>
      <c r="T425" s="1436"/>
    </row>
    <row r="426" spans="1:20" ht="20.25" customHeight="1">
      <c r="A426" s="1745"/>
      <c r="B426" s="1745"/>
      <c r="C426" s="1745" t="s">
        <v>1663</v>
      </c>
      <c r="D426" s="1745"/>
      <c r="E426" s="1745"/>
      <c r="F426" s="1745"/>
      <c r="G426" s="1745"/>
      <c r="H426" s="1745"/>
      <c r="I426" s="1745"/>
      <c r="J426" s="1745"/>
      <c r="K426" s="1745"/>
      <c r="L426" s="1746"/>
      <c r="M426" s="1745"/>
      <c r="N426" s="1745"/>
      <c r="O426" s="1745"/>
      <c r="P426" s="1745"/>
      <c r="Q426" s="1745"/>
      <c r="R426" s="1436"/>
      <c r="S426" s="1436"/>
      <c r="T426" s="1436"/>
    </row>
    <row r="427" spans="1:20" ht="20.25" customHeight="1">
      <c r="A427" s="1745"/>
      <c r="B427" s="1745"/>
      <c r="C427" s="1745" t="s">
        <v>1664</v>
      </c>
      <c r="D427" s="1745"/>
      <c r="E427" s="1745"/>
      <c r="F427" s="1745"/>
      <c r="G427" s="1745"/>
      <c r="H427" s="1745"/>
      <c r="I427" s="1745"/>
      <c r="J427" s="1745"/>
      <c r="K427" s="1745"/>
      <c r="L427" s="1745"/>
      <c r="M427" s="1745"/>
      <c r="N427" s="1745"/>
      <c r="O427" s="1745"/>
      <c r="P427" s="1745"/>
      <c r="Q427" s="1745"/>
      <c r="R427" s="1436"/>
      <c r="S427" s="1436"/>
      <c r="T427" s="1436"/>
    </row>
    <row r="428" spans="1:20" ht="20.25" customHeight="1">
      <c r="A428" s="1745"/>
      <c r="B428" s="1745"/>
      <c r="C428" s="1746" t="s">
        <v>1665</v>
      </c>
      <c r="D428" s="1745"/>
      <c r="E428" s="1745"/>
      <c r="F428" s="1745"/>
      <c r="G428" s="1745"/>
      <c r="H428" s="1745"/>
      <c r="I428" s="1745"/>
      <c r="J428" s="1745"/>
      <c r="K428" s="1745"/>
      <c r="L428" s="1746"/>
      <c r="M428" s="1745"/>
      <c r="N428" s="1745"/>
      <c r="O428" s="1745"/>
      <c r="P428" s="1745"/>
      <c r="Q428" s="1745"/>
      <c r="R428" s="1436"/>
      <c r="S428" s="1436"/>
      <c r="T428" s="1436"/>
    </row>
    <row r="429" spans="1:20" ht="20.25" customHeight="1">
      <c r="A429" s="1745"/>
      <c r="B429" s="1745"/>
      <c r="C429" s="1745" t="s">
        <v>1666</v>
      </c>
      <c r="D429" s="1745"/>
      <c r="E429" s="1745"/>
      <c r="F429" s="1745"/>
      <c r="G429" s="1745"/>
      <c r="H429" s="1745"/>
      <c r="I429" s="1745"/>
      <c r="J429" s="1745"/>
      <c r="K429" s="1745"/>
      <c r="L429" s="1746"/>
      <c r="M429" s="1745"/>
      <c r="N429" s="1745"/>
      <c r="O429" s="1745"/>
      <c r="P429" s="1745"/>
      <c r="Q429" s="1745"/>
      <c r="R429" s="1436"/>
      <c r="S429" s="1436"/>
      <c r="T429" s="1436"/>
    </row>
    <row r="430" spans="1:20" ht="20.25" customHeight="1">
      <c r="A430" s="1745"/>
      <c r="B430" s="1745"/>
      <c r="C430" s="1745" t="s">
        <v>1667</v>
      </c>
      <c r="D430" s="1745"/>
      <c r="E430" s="1745"/>
      <c r="F430" s="1745"/>
      <c r="G430" s="1745"/>
      <c r="H430" s="1745"/>
      <c r="I430" s="1745"/>
      <c r="J430" s="1745"/>
      <c r="K430" s="1745"/>
      <c r="L430" s="1746"/>
      <c r="M430" s="1745"/>
      <c r="N430" s="1745"/>
      <c r="O430" s="1745"/>
      <c r="P430" s="1745"/>
      <c r="Q430" s="1745"/>
      <c r="R430" s="1436"/>
      <c r="S430" s="1436"/>
      <c r="T430" s="1436"/>
    </row>
    <row r="431" spans="1:20" ht="20.25" customHeight="1">
      <c r="A431" s="1745"/>
      <c r="B431" s="1745"/>
      <c r="C431" s="1745" t="s">
        <v>1668</v>
      </c>
      <c r="D431" s="1745"/>
      <c r="E431" s="1745"/>
      <c r="F431" s="1745"/>
      <c r="G431" s="1745"/>
      <c r="H431" s="1745"/>
      <c r="I431" s="1745"/>
      <c r="J431" s="1745"/>
      <c r="K431" s="1749" t="s">
        <v>1669</v>
      </c>
      <c r="L431" s="1746"/>
      <c r="M431" s="1745"/>
      <c r="N431" s="1745"/>
      <c r="O431" s="1745"/>
      <c r="P431" s="1745"/>
      <c r="Q431" s="1745"/>
      <c r="R431" s="1436"/>
      <c r="S431" s="1436"/>
      <c r="T431" s="1436"/>
    </row>
    <row r="432" spans="1:20" ht="20.25" customHeight="1">
      <c r="A432" s="1745"/>
      <c r="B432" s="1745"/>
      <c r="C432" s="1745" t="s">
        <v>1670</v>
      </c>
      <c r="D432" s="1745"/>
      <c r="E432" s="1745"/>
      <c r="F432" s="1745"/>
      <c r="G432" s="1745"/>
      <c r="H432" s="1745"/>
      <c r="I432" s="1745"/>
      <c r="J432" s="1745"/>
      <c r="K432" s="1745" t="s">
        <v>1555</v>
      </c>
      <c r="L432" s="1746"/>
      <c r="M432" s="1745"/>
      <c r="N432" s="1745"/>
      <c r="O432" s="1745"/>
      <c r="P432" s="1745"/>
      <c r="Q432" s="1745"/>
      <c r="R432" s="1436"/>
      <c r="S432" s="1436"/>
      <c r="T432" s="1436"/>
    </row>
    <row r="433" spans="1:28" ht="20.25" customHeight="1">
      <c r="A433" s="1745"/>
      <c r="B433" s="1745"/>
      <c r="C433" s="1745" t="s">
        <v>1671</v>
      </c>
      <c r="D433" s="1745"/>
      <c r="E433" s="1745"/>
      <c r="F433" s="1745"/>
      <c r="G433" s="1745"/>
      <c r="H433" s="1745"/>
      <c r="I433" s="1745"/>
      <c r="J433" s="1745"/>
      <c r="K433" s="1745" t="s">
        <v>1672</v>
      </c>
      <c r="L433" s="1745"/>
      <c r="M433" s="1745"/>
      <c r="N433" s="1745"/>
      <c r="O433" s="1745"/>
      <c r="P433" s="1745"/>
      <c r="Q433" s="1745"/>
      <c r="R433" s="1436"/>
      <c r="S433" s="1436"/>
      <c r="T433" s="1436"/>
    </row>
    <row r="434" spans="1:28" ht="20.25" customHeight="1">
      <c r="A434" s="1745"/>
      <c r="B434" s="1745"/>
      <c r="C434" s="1746" t="s">
        <v>1673</v>
      </c>
      <c r="D434" s="1745"/>
      <c r="E434" s="1745"/>
      <c r="F434" s="1745"/>
      <c r="G434" s="1745"/>
      <c r="H434" s="1745"/>
      <c r="I434" s="1745"/>
      <c r="J434" s="1745"/>
      <c r="K434" s="1745" t="s">
        <v>1674</v>
      </c>
      <c r="L434" s="1745"/>
      <c r="M434" s="1745"/>
      <c r="N434" s="1745"/>
      <c r="O434" s="1745"/>
      <c r="P434" s="1745"/>
      <c r="Q434" s="1745"/>
      <c r="R434" s="1436"/>
      <c r="S434" s="1436"/>
      <c r="T434" s="1436"/>
    </row>
    <row r="435" spans="1:28" ht="20.25" customHeight="1">
      <c r="A435" s="1745"/>
      <c r="B435" s="1745"/>
      <c r="C435" s="1745"/>
      <c r="D435" s="1745"/>
      <c r="E435" s="1745"/>
      <c r="F435" s="1745"/>
      <c r="G435" s="1745"/>
      <c r="H435" s="1745"/>
      <c r="I435" s="1745"/>
      <c r="J435" s="1745"/>
      <c r="K435" s="1745"/>
      <c r="L435" s="1745"/>
      <c r="M435" s="1745"/>
      <c r="N435" s="1745"/>
      <c r="O435" s="1745"/>
      <c r="P435" s="1745"/>
      <c r="Q435" s="1745"/>
      <c r="R435" s="1436"/>
      <c r="S435" s="1436"/>
      <c r="T435" s="1436"/>
    </row>
    <row r="436" spans="1:28" ht="20.25" customHeight="1">
      <c r="A436" s="1745"/>
      <c r="B436" s="1745"/>
      <c r="C436" s="1749" t="s">
        <v>1675</v>
      </c>
      <c r="D436" s="1745"/>
      <c r="E436" s="1745"/>
      <c r="F436" s="1745"/>
      <c r="G436" s="1745"/>
      <c r="H436" s="1745"/>
      <c r="I436" s="1745"/>
      <c r="J436" s="1745"/>
      <c r="K436" s="1749" t="s">
        <v>1676</v>
      </c>
      <c r="L436" s="1745"/>
      <c r="M436" s="1745"/>
      <c r="N436" s="1745"/>
      <c r="O436" s="1745"/>
      <c r="P436" s="1745"/>
      <c r="Q436" s="1745"/>
      <c r="R436" s="1436"/>
      <c r="S436" s="1436"/>
      <c r="T436" s="1436"/>
    </row>
    <row r="437" spans="1:28" ht="20.25" customHeight="1">
      <c r="A437" s="1745"/>
      <c r="B437" s="1745"/>
      <c r="C437" s="1745" t="s">
        <v>1677</v>
      </c>
      <c r="D437" s="1745"/>
      <c r="E437" s="1745"/>
      <c r="F437" s="1745"/>
      <c r="G437" s="1745"/>
      <c r="H437" s="1745"/>
      <c r="I437" s="1745"/>
      <c r="J437" s="1745"/>
      <c r="K437" s="1745" t="s">
        <v>1553</v>
      </c>
      <c r="L437" s="1745"/>
      <c r="M437" s="1745"/>
      <c r="N437" s="1745"/>
      <c r="O437" s="1745"/>
      <c r="P437" s="1745"/>
      <c r="Q437" s="1745"/>
      <c r="R437" s="1436"/>
      <c r="S437" s="1436"/>
      <c r="T437" s="1436"/>
    </row>
    <row r="438" spans="1:28" ht="20.25" customHeight="1">
      <c r="A438" s="1745"/>
      <c r="B438" s="1745"/>
      <c r="C438" s="1745" t="s">
        <v>1678</v>
      </c>
      <c r="D438" s="1745"/>
      <c r="E438" s="1745"/>
      <c r="F438" s="1745"/>
      <c r="G438" s="1745"/>
      <c r="H438" s="1745"/>
      <c r="I438" s="1745"/>
      <c r="J438" s="1745"/>
      <c r="K438" s="1745" t="s">
        <v>1679</v>
      </c>
      <c r="L438" s="1745"/>
      <c r="M438" s="1745"/>
      <c r="N438" s="1745"/>
      <c r="O438" s="1745"/>
      <c r="P438" s="1745"/>
      <c r="Q438" s="1745"/>
      <c r="R438" s="1436"/>
      <c r="S438" s="1436"/>
      <c r="T438" s="1436"/>
    </row>
    <row r="439" spans="1:28" ht="20.25" customHeight="1">
      <c r="A439" s="1745"/>
      <c r="B439" s="1745"/>
      <c r="C439" s="1745" t="s">
        <v>1680</v>
      </c>
      <c r="D439" s="1745"/>
      <c r="E439" s="1745"/>
      <c r="F439" s="1745"/>
      <c r="G439" s="1745"/>
      <c r="H439" s="1745"/>
      <c r="I439" s="1745"/>
      <c r="J439" s="1745"/>
      <c r="K439" s="1745" t="s">
        <v>1681</v>
      </c>
      <c r="L439" s="1745"/>
      <c r="M439" s="1745"/>
      <c r="N439" s="1745"/>
      <c r="O439" s="1745"/>
      <c r="P439" s="1745"/>
      <c r="Q439" s="1745"/>
      <c r="R439" s="1436"/>
      <c r="S439" s="1436"/>
      <c r="T439" s="1436"/>
    </row>
    <row r="440" spans="1:28" ht="20.25" customHeight="1">
      <c r="A440" s="1745"/>
      <c r="B440" s="1745"/>
      <c r="C440" s="1745" t="s">
        <v>1682</v>
      </c>
      <c r="D440" s="1745"/>
      <c r="E440" s="1745"/>
      <c r="F440" s="1745"/>
      <c r="G440" s="1745"/>
      <c r="H440" s="1745"/>
      <c r="I440" s="1745"/>
      <c r="J440" s="1745"/>
      <c r="K440" s="1745" t="s">
        <v>1683</v>
      </c>
      <c r="L440" s="1745"/>
      <c r="M440" s="1745"/>
      <c r="N440" s="1745"/>
      <c r="O440" s="1745"/>
      <c r="P440" s="1745"/>
      <c r="Q440" s="1745"/>
      <c r="R440" s="1436"/>
      <c r="S440" s="1436"/>
      <c r="T440" s="1436"/>
    </row>
    <row r="441" spans="1:28" ht="20.25" customHeight="1">
      <c r="A441" s="1745"/>
      <c r="B441" s="1745"/>
      <c r="C441" s="1745" t="s">
        <v>1684</v>
      </c>
      <c r="D441" s="1745"/>
      <c r="E441" s="1745"/>
      <c r="F441" s="1745"/>
      <c r="G441" s="1745"/>
      <c r="H441" s="1745"/>
      <c r="I441" s="1745"/>
      <c r="J441" s="1745"/>
      <c r="K441" s="1745" t="s">
        <v>1685</v>
      </c>
      <c r="L441" s="1745"/>
      <c r="M441" s="1745"/>
      <c r="N441" s="1745"/>
      <c r="O441" s="1745"/>
      <c r="P441" s="1745"/>
      <c r="Q441" s="1745"/>
      <c r="R441" s="1436"/>
      <c r="S441" s="1436"/>
      <c r="T441" s="1436"/>
    </row>
    <row r="442" spans="1:28" ht="20.25" customHeight="1">
      <c r="A442" s="1745"/>
      <c r="B442" s="1745"/>
      <c r="C442" s="1745"/>
      <c r="D442" s="1745"/>
      <c r="E442" s="1745"/>
      <c r="F442" s="1745"/>
      <c r="G442" s="1745"/>
      <c r="H442" s="1745"/>
      <c r="I442" s="1745"/>
      <c r="J442" s="1745"/>
      <c r="K442" s="1749" t="s">
        <v>1686</v>
      </c>
      <c r="L442" s="1745"/>
      <c r="M442" s="1745"/>
      <c r="N442" s="1745"/>
      <c r="O442" s="1745"/>
      <c r="P442" s="1745"/>
      <c r="Q442" s="1745"/>
      <c r="R442" s="1436"/>
      <c r="S442" s="1436"/>
      <c r="T442" s="1436"/>
    </row>
    <row r="443" spans="1:28" s="1396" customFormat="1" ht="20.25" customHeight="1">
      <c r="D443" s="1745"/>
      <c r="E443" s="1745"/>
      <c r="F443" s="1745"/>
      <c r="G443" s="1745"/>
      <c r="H443" s="1745"/>
      <c r="I443" s="1745"/>
      <c r="J443" s="1745"/>
      <c r="K443" s="1745" t="s">
        <v>1687</v>
      </c>
      <c r="L443" s="1745"/>
      <c r="M443" s="1745"/>
      <c r="N443" s="1745"/>
      <c r="O443" s="1745"/>
      <c r="P443" s="1745"/>
      <c r="Q443" s="1745"/>
      <c r="R443" s="1436"/>
      <c r="S443" s="1436"/>
      <c r="T443" s="1436"/>
      <c r="U443" s="1436"/>
      <c r="V443" s="1436"/>
      <c r="W443" s="1436"/>
      <c r="X443" s="1436"/>
      <c r="Y443" s="1436"/>
      <c r="Z443" s="1436"/>
      <c r="AA443" s="1789"/>
      <c r="AB443" s="1436"/>
    </row>
    <row r="444" spans="1:28" s="1396" customFormat="1" ht="20.25" customHeight="1">
      <c r="D444" s="1745"/>
      <c r="E444" s="1745"/>
      <c r="F444" s="1745"/>
      <c r="G444" s="1745"/>
      <c r="H444" s="1745"/>
      <c r="I444" s="1745"/>
      <c r="J444" s="1745"/>
      <c r="K444" s="1745" t="s">
        <v>1688</v>
      </c>
      <c r="L444" s="1745"/>
      <c r="M444" s="1745"/>
      <c r="N444" s="1745"/>
      <c r="O444" s="1745"/>
      <c r="P444" s="1745"/>
      <c r="Q444" s="1745"/>
      <c r="R444" s="1436"/>
      <c r="S444" s="1436"/>
      <c r="T444" s="1436"/>
      <c r="U444" s="1436"/>
      <c r="V444" s="1436"/>
      <c r="W444" s="1436"/>
      <c r="X444" s="1436"/>
      <c r="Y444" s="1436"/>
      <c r="Z444" s="1436"/>
      <c r="AA444" s="1789"/>
      <c r="AB444" s="1436"/>
    </row>
    <row r="445" spans="1:28" s="1396" customFormat="1" ht="20.25" customHeight="1">
      <c r="D445" s="1745"/>
      <c r="E445" s="1745"/>
      <c r="F445" s="1745"/>
      <c r="G445" s="1745"/>
      <c r="H445" s="1745"/>
      <c r="I445" s="1745"/>
      <c r="J445" s="1745"/>
      <c r="K445" s="1745" t="s">
        <v>1689</v>
      </c>
      <c r="L445" s="1745"/>
      <c r="M445" s="1745"/>
      <c r="N445" s="1745"/>
      <c r="O445" s="1745"/>
      <c r="P445" s="1745"/>
      <c r="Q445" s="1745"/>
      <c r="R445" s="1436"/>
      <c r="S445" s="1436"/>
      <c r="T445" s="1436"/>
      <c r="U445" s="1436"/>
      <c r="V445" s="1436"/>
      <c r="W445" s="1436"/>
      <c r="X445" s="1436"/>
      <c r="Y445" s="1436"/>
      <c r="Z445" s="1436"/>
      <c r="AA445" s="1789"/>
      <c r="AB445" s="1436"/>
    </row>
    <row r="446" spans="1:28" s="1396" customFormat="1" ht="20.25" customHeight="1">
      <c r="D446" s="1745"/>
      <c r="E446" s="1745"/>
      <c r="F446" s="1745"/>
      <c r="G446" s="1745"/>
      <c r="H446" s="1745"/>
      <c r="I446" s="1745"/>
      <c r="J446" s="1745"/>
      <c r="K446" s="1745" t="s">
        <v>1690</v>
      </c>
      <c r="L446" s="1745"/>
      <c r="M446" s="1745"/>
      <c r="N446" s="1745"/>
      <c r="O446" s="1745"/>
      <c r="P446" s="1745"/>
      <c r="Q446" s="1745"/>
      <c r="R446" s="1436"/>
      <c r="S446" s="1436"/>
      <c r="T446" s="1436"/>
      <c r="U446" s="1436"/>
      <c r="V446" s="1436"/>
      <c r="W446" s="1436"/>
      <c r="X446" s="1436"/>
      <c r="Y446" s="1436"/>
      <c r="Z446" s="1436"/>
      <c r="AA446" s="1789"/>
      <c r="AB446" s="1436"/>
    </row>
    <row r="447" spans="1:28" s="1396" customFormat="1" ht="20.25" customHeight="1">
      <c r="D447" s="1745"/>
      <c r="E447" s="1745"/>
      <c r="F447" s="1745"/>
      <c r="G447" s="1745"/>
      <c r="H447" s="1745"/>
      <c r="I447" s="1745"/>
      <c r="J447" s="1745"/>
      <c r="K447" s="1745" t="s">
        <v>1691</v>
      </c>
      <c r="L447" s="1745"/>
      <c r="M447" s="1745"/>
      <c r="N447" s="1745"/>
      <c r="O447" s="1745"/>
      <c r="P447" s="1745"/>
      <c r="Q447" s="1745"/>
      <c r="R447" s="1436"/>
      <c r="S447" s="1436"/>
      <c r="T447" s="1436"/>
      <c r="U447" s="1436"/>
      <c r="V447" s="1436"/>
      <c r="W447" s="1436"/>
      <c r="X447" s="1436"/>
      <c r="Y447" s="1436"/>
      <c r="Z447" s="1436"/>
      <c r="AA447" s="1789"/>
      <c r="AB447" s="1436"/>
    </row>
    <row r="448" spans="1:28" s="1396" customFormat="1" ht="20.25" customHeight="1">
      <c r="B448" s="1745"/>
      <c r="C448" s="1745"/>
      <c r="D448" s="1745"/>
      <c r="E448" s="1745"/>
      <c r="F448" s="1745"/>
      <c r="G448" s="1745"/>
      <c r="H448" s="1745"/>
      <c r="I448" s="1745"/>
      <c r="J448" s="1745"/>
      <c r="K448" s="1745"/>
      <c r="L448" s="1745"/>
      <c r="M448" s="1745"/>
      <c r="N448" s="1745"/>
      <c r="O448" s="1745"/>
      <c r="P448" s="1745"/>
      <c r="Q448" s="1745"/>
      <c r="R448" s="1436"/>
      <c r="S448" s="1436"/>
      <c r="T448" s="1436"/>
      <c r="U448" s="1436"/>
      <c r="V448" s="1436"/>
      <c r="W448" s="1436"/>
      <c r="X448" s="1436"/>
      <c r="Y448" s="1436"/>
      <c r="Z448" s="1436"/>
      <c r="AA448" s="1789"/>
      <c r="AB448" s="1436"/>
    </row>
    <row r="449" spans="2:28" s="1396" customFormat="1" ht="20.25" customHeight="1">
      <c r="B449" s="1745"/>
      <c r="C449" s="1749" t="s">
        <v>1692</v>
      </c>
      <c r="D449" s="1745"/>
      <c r="E449" s="1745"/>
      <c r="F449" s="1745"/>
      <c r="G449" s="1745"/>
      <c r="H449" s="1745"/>
      <c r="I449" s="1745"/>
      <c r="J449" s="1745"/>
      <c r="K449" s="1745"/>
      <c r="L449" s="1745"/>
      <c r="M449" s="1749" t="s">
        <v>1693</v>
      </c>
      <c r="N449" s="1745"/>
      <c r="O449" s="1745"/>
      <c r="P449" s="1745"/>
      <c r="Q449" s="1745"/>
      <c r="R449" s="1436"/>
      <c r="S449" s="1436"/>
      <c r="T449" s="1436"/>
      <c r="U449" s="1436"/>
      <c r="V449" s="1436"/>
      <c r="W449" s="1436"/>
      <c r="X449" s="1436"/>
      <c r="Y449" s="1436"/>
      <c r="Z449" s="1436"/>
      <c r="AA449" s="1789"/>
      <c r="AB449" s="1436"/>
    </row>
    <row r="450" spans="2:28" s="1396" customFormat="1" ht="20.25" customHeight="1">
      <c r="B450" s="1745"/>
      <c r="C450" s="1745" t="s">
        <v>1512</v>
      </c>
      <c r="D450" s="1745"/>
      <c r="E450" s="1745"/>
      <c r="F450" s="1745"/>
      <c r="G450" s="1745"/>
      <c r="H450" s="1745"/>
      <c r="I450" s="1745"/>
      <c r="J450" s="1745"/>
      <c r="K450" s="1745"/>
      <c r="L450" s="1745"/>
      <c r="M450" s="1745" t="s">
        <v>1512</v>
      </c>
      <c r="N450" s="1745"/>
      <c r="O450" s="1745"/>
      <c r="P450" s="1745"/>
      <c r="Q450" s="1745"/>
      <c r="R450" s="1436"/>
      <c r="S450" s="1436"/>
      <c r="T450" s="1436"/>
      <c r="U450" s="1436"/>
      <c r="V450" s="1436"/>
      <c r="W450" s="1436"/>
      <c r="X450" s="1436"/>
      <c r="Y450" s="1436"/>
      <c r="Z450" s="1436"/>
      <c r="AA450" s="1789"/>
      <c r="AB450" s="1436"/>
    </row>
    <row r="451" spans="2:28" s="1396" customFormat="1" ht="20.25" customHeight="1">
      <c r="B451" s="1745"/>
      <c r="C451" s="1745" t="s">
        <v>1694</v>
      </c>
      <c r="D451" s="1745"/>
      <c r="E451" s="1745"/>
      <c r="F451" s="1745"/>
      <c r="G451" s="1745"/>
      <c r="H451" s="1745"/>
      <c r="I451" s="1745"/>
      <c r="J451" s="1745"/>
      <c r="K451" s="1745"/>
      <c r="L451" s="1745"/>
      <c r="M451" s="1745" t="s">
        <v>1695</v>
      </c>
      <c r="N451" s="1745"/>
      <c r="O451" s="1745"/>
      <c r="P451" s="1745"/>
      <c r="Q451" s="1745"/>
      <c r="R451" s="1436"/>
      <c r="S451" s="1436"/>
      <c r="T451" s="1436"/>
      <c r="U451" s="1436"/>
      <c r="V451" s="1436"/>
      <c r="W451" s="1436"/>
      <c r="X451" s="1436"/>
      <c r="Y451" s="1436"/>
      <c r="Z451" s="1436"/>
      <c r="AA451" s="1789"/>
      <c r="AB451" s="1436"/>
    </row>
    <row r="452" spans="2:28" s="1396" customFormat="1" ht="20.25" customHeight="1">
      <c r="B452" s="1745"/>
      <c r="C452" s="1745" t="s">
        <v>1696</v>
      </c>
      <c r="D452" s="1745"/>
      <c r="E452" s="1745"/>
      <c r="F452" s="1745"/>
      <c r="G452" s="1745"/>
      <c r="H452" s="1745"/>
      <c r="I452" s="1745"/>
      <c r="J452" s="1745"/>
      <c r="K452" s="1745"/>
      <c r="L452" s="1745"/>
      <c r="M452" s="1745" t="s">
        <v>1697</v>
      </c>
      <c r="N452" s="1745"/>
      <c r="O452" s="1745"/>
      <c r="P452" s="1745"/>
      <c r="Q452" s="1745"/>
      <c r="R452" s="1436"/>
      <c r="S452" s="1436"/>
      <c r="T452" s="1436"/>
      <c r="U452" s="1436"/>
      <c r="V452" s="1436"/>
      <c r="W452" s="1436"/>
      <c r="X452" s="1436"/>
      <c r="Y452" s="1436"/>
      <c r="Z452" s="1436"/>
      <c r="AA452" s="1789"/>
      <c r="AB452" s="1436"/>
    </row>
    <row r="453" spans="2:28" s="1396" customFormat="1" ht="20.25" customHeight="1">
      <c r="B453" s="1745"/>
      <c r="C453" s="1745" t="s">
        <v>1698</v>
      </c>
      <c r="D453" s="1745"/>
      <c r="E453" s="1745"/>
      <c r="F453" s="1745"/>
      <c r="G453" s="1745"/>
      <c r="H453" s="1745"/>
      <c r="I453" s="1745"/>
      <c r="J453" s="1745"/>
      <c r="K453" s="1745"/>
      <c r="L453" s="1745"/>
      <c r="M453" s="1745" t="s">
        <v>1699</v>
      </c>
      <c r="N453" s="1745"/>
      <c r="O453" s="1745"/>
      <c r="P453" s="1745"/>
      <c r="Q453" s="1745"/>
      <c r="R453" s="1436"/>
      <c r="S453" s="1436"/>
      <c r="T453" s="1436"/>
      <c r="U453" s="1436"/>
      <c r="V453" s="1436"/>
      <c r="W453" s="1436"/>
      <c r="X453" s="1436"/>
      <c r="Y453" s="1436"/>
      <c r="Z453" s="1436"/>
      <c r="AA453" s="1789"/>
      <c r="AB453" s="1436"/>
    </row>
    <row r="454" spans="2:28" s="1396" customFormat="1" ht="20.25" customHeight="1">
      <c r="B454" s="1745"/>
      <c r="C454" s="1745" t="s">
        <v>1700</v>
      </c>
      <c r="D454" s="1745"/>
      <c r="E454" s="1745"/>
      <c r="F454" s="1745"/>
      <c r="G454" s="1745"/>
      <c r="H454" s="1745"/>
      <c r="I454" s="1745"/>
      <c r="J454" s="1745"/>
      <c r="K454" s="1745"/>
      <c r="L454" s="1745"/>
      <c r="M454" s="1745" t="s">
        <v>1701</v>
      </c>
      <c r="N454" s="1745"/>
      <c r="O454" s="1745"/>
      <c r="P454" s="1745"/>
      <c r="Q454" s="1745"/>
      <c r="R454" s="1436"/>
      <c r="S454" s="1436"/>
      <c r="T454" s="1436"/>
      <c r="U454" s="1436"/>
      <c r="V454" s="1436"/>
      <c r="W454" s="1436"/>
      <c r="X454" s="1436"/>
      <c r="Y454" s="1436"/>
      <c r="Z454" s="1436"/>
      <c r="AA454" s="1789"/>
      <c r="AB454" s="1436"/>
    </row>
    <row r="455" spans="2:28" s="1396" customFormat="1" ht="20.25" customHeight="1">
      <c r="B455" s="1745"/>
      <c r="C455" s="1745" t="s">
        <v>1702</v>
      </c>
      <c r="D455" s="1745"/>
      <c r="E455" s="1745"/>
      <c r="F455" s="1745"/>
      <c r="G455" s="1745"/>
      <c r="H455" s="1745"/>
      <c r="I455" s="1745"/>
      <c r="J455" s="1745"/>
      <c r="K455" s="1745"/>
      <c r="L455" s="1745"/>
      <c r="M455" s="1745" t="s">
        <v>1703</v>
      </c>
      <c r="N455" s="1745"/>
      <c r="O455" s="1745"/>
      <c r="P455" s="1745"/>
      <c r="Q455" s="1745"/>
      <c r="R455" s="1436"/>
      <c r="S455" s="1436"/>
      <c r="T455" s="1436"/>
      <c r="U455" s="1436"/>
      <c r="V455" s="1436"/>
      <c r="W455" s="1436"/>
      <c r="X455" s="1436"/>
      <c r="Y455" s="1436"/>
      <c r="Z455" s="1436"/>
      <c r="AA455" s="1789"/>
      <c r="AB455" s="1436"/>
    </row>
    <row r="456" spans="2:28" s="1396" customFormat="1" ht="20.25" customHeight="1">
      <c r="B456" s="1745"/>
      <c r="C456" s="1745" t="s">
        <v>1704</v>
      </c>
      <c r="D456" s="1745"/>
      <c r="E456" s="1745"/>
      <c r="F456" s="1745"/>
      <c r="G456" s="1745"/>
      <c r="H456" s="1745"/>
      <c r="I456" s="1745"/>
      <c r="J456" s="1745"/>
      <c r="K456" s="1745"/>
      <c r="L456" s="1745"/>
      <c r="M456" s="1745" t="s">
        <v>1705</v>
      </c>
      <c r="N456" s="1745"/>
      <c r="O456" s="1745"/>
      <c r="P456" s="1745"/>
      <c r="Q456" s="1745"/>
      <c r="R456" s="1436"/>
      <c r="S456" s="1436"/>
      <c r="T456" s="1436"/>
      <c r="U456" s="1436"/>
      <c r="V456" s="1436"/>
      <c r="W456" s="1436"/>
      <c r="X456" s="1436"/>
      <c r="Y456" s="1436"/>
      <c r="Z456" s="1436"/>
      <c r="AA456" s="1789"/>
      <c r="AB456" s="1436"/>
    </row>
    <row r="457" spans="2:28" s="1396" customFormat="1" ht="20.25" customHeight="1">
      <c r="B457" s="1745"/>
      <c r="C457" s="1745" t="s">
        <v>1706</v>
      </c>
      <c r="D457" s="1745"/>
      <c r="E457" s="1745"/>
      <c r="F457" s="1745"/>
      <c r="G457" s="1745"/>
      <c r="H457" s="1745"/>
      <c r="I457" s="1745"/>
      <c r="J457" s="1745"/>
      <c r="K457" s="1745"/>
      <c r="L457" s="1745"/>
      <c r="M457" s="1745" t="s">
        <v>1707</v>
      </c>
      <c r="N457" s="1745"/>
      <c r="O457" s="1745"/>
      <c r="P457" s="1745"/>
      <c r="Q457" s="1745"/>
      <c r="R457" s="1436"/>
      <c r="S457" s="1436"/>
      <c r="T457" s="1436"/>
      <c r="U457" s="1436"/>
      <c r="V457" s="1436"/>
      <c r="W457" s="1436"/>
      <c r="X457" s="1436"/>
      <c r="Y457" s="1436"/>
      <c r="Z457" s="1436"/>
      <c r="AA457" s="1789"/>
      <c r="AB457" s="1436"/>
    </row>
    <row r="458" spans="2:28" s="1396" customFormat="1" ht="20.25" customHeight="1">
      <c r="D458" s="1745"/>
      <c r="E458" s="1745"/>
      <c r="F458" s="1745"/>
      <c r="G458" s="1745"/>
      <c r="H458" s="1745"/>
      <c r="I458" s="1745"/>
      <c r="J458" s="1745"/>
      <c r="K458" s="1745"/>
      <c r="L458" s="1745"/>
      <c r="M458" s="1745" t="s">
        <v>1646</v>
      </c>
      <c r="N458" s="1745"/>
      <c r="O458" s="1745"/>
      <c r="P458" s="1745"/>
      <c r="Q458" s="1745"/>
      <c r="R458" s="1436"/>
      <c r="S458" s="1436"/>
      <c r="T458" s="1436"/>
      <c r="U458" s="1436"/>
      <c r="V458" s="1436"/>
      <c r="W458" s="1436"/>
      <c r="X458" s="1436"/>
      <c r="Y458" s="1436"/>
      <c r="Z458" s="1436"/>
      <c r="AA458" s="1789"/>
      <c r="AB458" s="1436"/>
    </row>
    <row r="459" spans="2:28" s="1396" customFormat="1" ht="20.25" customHeight="1">
      <c r="D459" s="1745"/>
      <c r="E459" s="1745"/>
      <c r="F459" s="1745"/>
      <c r="G459" s="1745"/>
      <c r="H459" s="1745"/>
      <c r="I459" s="1745"/>
      <c r="J459" s="1745"/>
      <c r="K459" s="1745"/>
      <c r="L459" s="1745"/>
      <c r="M459" s="1745" t="s">
        <v>1708</v>
      </c>
      <c r="N459" s="1745"/>
      <c r="O459" s="1745"/>
      <c r="P459" s="1745"/>
      <c r="Q459" s="1745"/>
      <c r="R459" s="1436"/>
      <c r="S459" s="1436"/>
      <c r="T459" s="1436"/>
      <c r="U459" s="1436"/>
      <c r="V459" s="1436"/>
      <c r="W459" s="1436"/>
      <c r="X459" s="1436"/>
      <c r="Y459" s="1436"/>
      <c r="Z459" s="1436"/>
      <c r="AA459" s="1789"/>
      <c r="AB459" s="1436"/>
    </row>
    <row r="460" spans="2:28" s="1396" customFormat="1" ht="20.25" customHeight="1">
      <c r="D460" s="1745"/>
      <c r="E460" s="1745"/>
      <c r="F460" s="1745"/>
      <c r="G460" s="1745"/>
      <c r="H460" s="1745"/>
      <c r="I460" s="1745"/>
      <c r="J460" s="1745"/>
      <c r="K460" s="1745"/>
      <c r="L460" s="1745"/>
      <c r="M460" s="1745"/>
      <c r="N460" s="1745"/>
      <c r="O460" s="1745"/>
      <c r="P460" s="1745"/>
      <c r="Q460" s="1745"/>
      <c r="R460" s="2328"/>
      <c r="S460" s="1436"/>
      <c r="T460" s="1436"/>
      <c r="U460" s="1436"/>
      <c r="V460" s="1436"/>
      <c r="W460" s="1436"/>
      <c r="X460" s="1436"/>
      <c r="Y460" s="1436"/>
      <c r="Z460" s="1436"/>
      <c r="AA460" s="1789"/>
      <c r="AB460" s="1436"/>
    </row>
    <row r="461" spans="2:28" s="1396" customFormat="1" ht="20.25" customHeight="1">
      <c r="D461" s="1745"/>
      <c r="E461" s="1745"/>
      <c r="F461" s="1745"/>
      <c r="G461" s="1745"/>
      <c r="H461" s="1745"/>
      <c r="I461" s="1745"/>
      <c r="J461" s="1745"/>
      <c r="K461" s="1745"/>
      <c r="L461" s="1745"/>
      <c r="M461" s="1750" t="s">
        <v>1526</v>
      </c>
      <c r="N461" s="1745"/>
      <c r="O461" s="1745"/>
      <c r="P461" s="1745"/>
      <c r="Q461" s="1745"/>
      <c r="R461" s="2328"/>
      <c r="S461" s="1436"/>
      <c r="T461" s="1436"/>
      <c r="U461" s="1436"/>
      <c r="V461" s="1436"/>
      <c r="W461" s="1436"/>
      <c r="X461" s="1436"/>
      <c r="Y461" s="1436"/>
      <c r="Z461" s="1436"/>
      <c r="AA461" s="1789"/>
      <c r="AB461" s="1436"/>
    </row>
    <row r="462" spans="2:28" s="1396" customFormat="1" ht="20.25" customHeight="1">
      <c r="D462" s="1745"/>
      <c r="E462" s="1745"/>
      <c r="F462" s="1745"/>
      <c r="G462" s="1745"/>
      <c r="H462" s="1745"/>
      <c r="I462" s="1745"/>
      <c r="J462" s="1745"/>
      <c r="K462" s="1745"/>
      <c r="L462" s="1745"/>
      <c r="M462" s="1745" t="s">
        <v>1527</v>
      </c>
      <c r="N462" s="1745"/>
      <c r="O462" s="1745"/>
      <c r="P462" s="1745"/>
      <c r="Q462" s="1745"/>
      <c r="R462" s="2328"/>
      <c r="S462" s="1436"/>
      <c r="T462" s="1436"/>
      <c r="U462" s="1436"/>
      <c r="V462" s="1436"/>
      <c r="W462" s="1436"/>
      <c r="X462" s="1436"/>
      <c r="Y462" s="1436"/>
      <c r="Z462" s="1436"/>
      <c r="AA462" s="1789"/>
      <c r="AB462" s="1436"/>
    </row>
    <row r="463" spans="2:28" s="1396" customFormat="1" ht="20.25" customHeight="1">
      <c r="D463" s="1745"/>
      <c r="E463" s="1745"/>
      <c r="F463" s="1745"/>
      <c r="G463" s="1745"/>
      <c r="H463" s="1745"/>
      <c r="I463" s="1745"/>
      <c r="J463" s="1745"/>
      <c r="K463" s="1745"/>
      <c r="L463" s="1745"/>
      <c r="M463" s="1745" t="s">
        <v>1709</v>
      </c>
      <c r="N463" s="1745"/>
      <c r="O463" s="1745"/>
      <c r="P463" s="1745"/>
      <c r="Q463" s="1745"/>
      <c r="R463" s="2328"/>
      <c r="S463" s="1436"/>
      <c r="T463" s="1436"/>
      <c r="U463" s="1436"/>
      <c r="V463" s="1436"/>
      <c r="W463" s="1436"/>
      <c r="X463" s="1436"/>
      <c r="Y463" s="1436"/>
      <c r="Z463" s="1436"/>
      <c r="AA463" s="1789"/>
      <c r="AB463" s="1436"/>
    </row>
    <row r="464" spans="2:28" s="1396" customFormat="1" ht="20.25" customHeight="1">
      <c r="D464" s="1745"/>
      <c r="E464" s="1745"/>
      <c r="F464" s="1745"/>
      <c r="G464" s="1745"/>
      <c r="H464" s="1745"/>
      <c r="I464" s="1745"/>
      <c r="J464" s="1745"/>
      <c r="K464" s="1745"/>
      <c r="L464" s="1745"/>
      <c r="M464" s="1745" t="s">
        <v>1710</v>
      </c>
      <c r="N464" s="1745"/>
      <c r="O464" s="1745"/>
      <c r="P464" s="1745"/>
      <c r="Q464" s="1745"/>
      <c r="R464" s="2328"/>
      <c r="S464" s="1436"/>
      <c r="T464" s="1436"/>
      <c r="U464" s="1436"/>
      <c r="V464" s="1436"/>
      <c r="W464" s="1436"/>
      <c r="X464" s="1436"/>
      <c r="Y464" s="1436"/>
      <c r="Z464" s="1436"/>
      <c r="AA464" s="1789"/>
      <c r="AB464" s="1436"/>
    </row>
    <row r="465" spans="4:28" s="1396" customFormat="1" ht="20.25" customHeight="1">
      <c r="D465" s="1745"/>
      <c r="E465" s="1745"/>
      <c r="F465" s="1745"/>
      <c r="G465" s="1745"/>
      <c r="H465" s="1745"/>
      <c r="I465" s="1745"/>
      <c r="J465" s="1745"/>
      <c r="K465" s="1745"/>
      <c r="L465" s="1745"/>
      <c r="M465" s="1745" t="s">
        <v>1711</v>
      </c>
      <c r="N465" s="1745"/>
      <c r="O465" s="1745"/>
      <c r="P465" s="1745"/>
      <c r="Q465" s="1745"/>
      <c r="R465" s="2328"/>
      <c r="S465" s="1436"/>
      <c r="T465" s="1436"/>
      <c r="U465" s="1436"/>
      <c r="V465" s="1436"/>
      <c r="W465" s="1436"/>
      <c r="X465" s="1436"/>
      <c r="Y465" s="1436"/>
      <c r="Z465" s="1436"/>
      <c r="AA465" s="1789"/>
      <c r="AB465" s="1436"/>
    </row>
    <row r="466" spans="4:28" s="1396" customFormat="1" ht="20.25" customHeight="1">
      <c r="D466" s="1750" t="s">
        <v>1712</v>
      </c>
      <c r="E466" s="1745"/>
      <c r="F466" s="1745"/>
      <c r="G466" s="1745"/>
      <c r="H466" s="1745"/>
      <c r="I466" s="1745"/>
      <c r="J466" s="1745"/>
      <c r="K466" s="1745"/>
      <c r="L466" s="1745"/>
      <c r="M466" s="1745" t="s">
        <v>1713</v>
      </c>
      <c r="N466" s="1745"/>
      <c r="O466" s="1745"/>
      <c r="P466" s="1745"/>
      <c r="Q466" s="1745"/>
      <c r="R466" s="2328"/>
      <c r="S466" s="1436"/>
      <c r="T466" s="1436"/>
      <c r="U466" s="1436"/>
      <c r="V466" s="1436"/>
      <c r="W466" s="1436"/>
      <c r="X466" s="1436"/>
      <c r="Y466" s="1436"/>
      <c r="Z466" s="1436"/>
      <c r="AA466" s="1789"/>
      <c r="AB466" s="1436"/>
    </row>
    <row r="467" spans="4:28" s="1396" customFormat="1" ht="20.25" customHeight="1">
      <c r="D467" s="1745"/>
      <c r="E467" s="1745"/>
      <c r="F467" s="1745"/>
      <c r="G467" s="1745"/>
      <c r="H467" s="1745"/>
      <c r="I467" s="1745"/>
      <c r="J467" s="1745"/>
      <c r="K467" s="1745"/>
      <c r="L467" s="1745"/>
      <c r="M467" s="1745" t="s">
        <v>1714</v>
      </c>
      <c r="N467" s="1745"/>
      <c r="O467" s="1745"/>
      <c r="P467" s="1745"/>
      <c r="Q467" s="1745"/>
      <c r="R467" s="2328"/>
      <c r="S467" s="1436"/>
      <c r="T467" s="1436"/>
      <c r="U467" s="1436"/>
      <c r="V467" s="1436"/>
      <c r="W467" s="1436"/>
      <c r="X467" s="1436"/>
      <c r="Y467" s="1436"/>
      <c r="Z467" s="1436"/>
      <c r="AA467" s="1789"/>
      <c r="AB467" s="1436"/>
    </row>
    <row r="468" spans="4:28" s="1396" customFormat="1" ht="20.25" customHeight="1">
      <c r="D468" s="1745"/>
      <c r="E468" s="1745"/>
      <c r="F468" s="1745"/>
      <c r="G468" s="1745"/>
      <c r="H468" s="1745"/>
      <c r="I468" s="1745"/>
      <c r="J468" s="1745"/>
      <c r="K468" s="1745"/>
      <c r="L468" s="1745"/>
      <c r="M468" s="1745" t="s">
        <v>1715</v>
      </c>
      <c r="N468" s="1745"/>
      <c r="O468" s="1745"/>
      <c r="P468" s="1745"/>
      <c r="Q468" s="1745"/>
      <c r="R468" s="2328"/>
      <c r="S468" s="1436"/>
      <c r="T468" s="1436"/>
      <c r="U468" s="1436"/>
      <c r="V468" s="1436"/>
      <c r="W468" s="1436"/>
      <c r="X468" s="1436"/>
      <c r="Y468" s="1436"/>
      <c r="Z468" s="1436"/>
      <c r="AA468" s="1789"/>
      <c r="AB468" s="1436"/>
    </row>
    <row r="469" spans="4:28" s="1396" customFormat="1" ht="20.25" customHeight="1">
      <c r="D469" s="1745"/>
      <c r="E469" s="1745"/>
      <c r="F469" s="1745"/>
      <c r="G469" s="1745"/>
      <c r="H469" s="1745"/>
      <c r="I469" s="1745"/>
      <c r="J469" s="1745"/>
      <c r="K469" s="1745"/>
      <c r="L469" s="1745"/>
      <c r="M469" s="1745" t="s">
        <v>1716</v>
      </c>
      <c r="N469" s="1745"/>
      <c r="O469" s="1745"/>
      <c r="P469" s="1745"/>
      <c r="Q469" s="1745"/>
      <c r="R469" s="2328"/>
      <c r="S469" s="1436"/>
      <c r="T469" s="1436"/>
      <c r="U469" s="1436"/>
      <c r="V469" s="1436"/>
      <c r="W469" s="1436"/>
      <c r="X469" s="1436"/>
      <c r="Y469" s="1436"/>
      <c r="Z469" s="1436"/>
      <c r="AA469" s="1789"/>
      <c r="AB469" s="1436"/>
    </row>
    <row r="470" spans="4:28" s="1396" customFormat="1" ht="20.25" customHeight="1">
      <c r="D470" s="1745"/>
      <c r="E470" s="1745"/>
      <c r="F470" s="1745"/>
      <c r="G470" s="1745"/>
      <c r="H470" s="1745"/>
      <c r="I470" s="1745"/>
      <c r="J470" s="1745"/>
      <c r="K470" s="1745"/>
      <c r="L470" s="1745"/>
      <c r="M470" s="1745" t="s">
        <v>1717</v>
      </c>
      <c r="N470" s="1745"/>
      <c r="O470" s="1745"/>
      <c r="P470" s="1745"/>
      <c r="Q470" s="1745"/>
      <c r="R470" s="2328"/>
      <c r="S470" s="1436"/>
      <c r="T470" s="1436"/>
      <c r="U470" s="1436"/>
      <c r="V470" s="1436"/>
      <c r="W470" s="1436"/>
      <c r="X470" s="1436"/>
      <c r="Y470" s="1436"/>
      <c r="Z470" s="1436"/>
      <c r="AA470" s="1789"/>
      <c r="AB470" s="1436"/>
    </row>
    <row r="471" spans="4:28" s="1396" customFormat="1" ht="20.25" customHeight="1">
      <c r="D471" s="1745"/>
      <c r="E471" s="1745"/>
      <c r="F471" s="1745"/>
      <c r="G471" s="1745"/>
      <c r="H471" s="1745"/>
      <c r="I471" s="1745"/>
      <c r="J471" s="1745"/>
      <c r="K471" s="1745"/>
      <c r="L471" s="1745"/>
      <c r="M471" s="1745" t="s">
        <v>1718</v>
      </c>
      <c r="N471" s="1745"/>
      <c r="O471" s="1745"/>
      <c r="P471" s="1745"/>
      <c r="Q471" s="1745"/>
      <c r="R471" s="2328"/>
      <c r="S471" s="1436"/>
      <c r="T471" s="1436"/>
      <c r="U471" s="1436"/>
      <c r="V471" s="1436"/>
      <c r="W471" s="1436"/>
      <c r="X471" s="1436"/>
      <c r="Y471" s="1436"/>
      <c r="Z471" s="1436"/>
      <c r="AA471" s="1789"/>
      <c r="AB471" s="1436"/>
    </row>
    <row r="472" spans="4:28" s="1396" customFormat="1" ht="20.25" customHeight="1">
      <c r="D472" s="1745"/>
      <c r="E472" s="1745"/>
      <c r="F472" s="1745"/>
      <c r="G472" s="1745"/>
      <c r="H472" s="1745"/>
      <c r="I472" s="1745"/>
      <c r="J472" s="1745"/>
      <c r="K472" s="1745"/>
      <c r="L472" s="1745"/>
      <c r="M472" s="1745" t="s">
        <v>1719</v>
      </c>
      <c r="N472" s="1745"/>
      <c r="O472" s="1745"/>
      <c r="P472" s="1745"/>
      <c r="Q472" s="1745"/>
      <c r="R472" s="2328"/>
      <c r="S472" s="1436"/>
      <c r="T472" s="1436"/>
      <c r="U472" s="1436"/>
      <c r="V472" s="1436"/>
      <c r="W472" s="1436"/>
      <c r="X472" s="1436"/>
      <c r="Y472" s="1436"/>
      <c r="Z472" s="1436"/>
      <c r="AA472" s="1789"/>
      <c r="AB472" s="1436"/>
    </row>
    <row r="473" spans="4:28" s="1396" customFormat="1" ht="20.25" customHeight="1">
      <c r="D473" s="1745"/>
      <c r="E473" s="1745"/>
      <c r="F473" s="1745"/>
      <c r="G473" s="1745"/>
      <c r="H473" s="1745"/>
      <c r="I473" s="1745"/>
      <c r="J473" s="1745"/>
      <c r="K473" s="1745"/>
      <c r="L473" s="1745"/>
      <c r="M473" s="1745" t="s">
        <v>1720</v>
      </c>
      <c r="N473" s="1745"/>
      <c r="O473" s="1745"/>
      <c r="P473" s="1745"/>
      <c r="Q473" s="1745"/>
      <c r="R473" s="2328"/>
      <c r="S473" s="1436"/>
      <c r="T473" s="1436"/>
      <c r="U473" s="1436"/>
      <c r="V473" s="1436"/>
      <c r="W473" s="1436"/>
      <c r="X473" s="1436"/>
      <c r="Y473" s="1436"/>
      <c r="Z473" s="1436"/>
      <c r="AA473" s="1789"/>
      <c r="AB473" s="1436"/>
    </row>
    <row r="474" spans="4:28" s="1396" customFormat="1" ht="20.25" customHeight="1">
      <c r="D474" s="1745"/>
      <c r="E474" s="1745"/>
      <c r="F474" s="1745"/>
      <c r="G474" s="1745"/>
      <c r="H474" s="1745"/>
      <c r="I474" s="1745"/>
      <c r="J474" s="1745"/>
      <c r="K474" s="1745"/>
      <c r="L474" s="1745"/>
      <c r="M474" s="1745"/>
      <c r="N474" s="1745"/>
      <c r="O474" s="1745"/>
      <c r="P474" s="1745"/>
      <c r="Q474" s="1745"/>
      <c r="R474" s="2328"/>
      <c r="S474" s="1436"/>
      <c r="T474" s="1436"/>
      <c r="U474" s="1436"/>
      <c r="V474" s="1436"/>
      <c r="W474" s="1436"/>
      <c r="X474" s="1436"/>
      <c r="Y474" s="1436"/>
      <c r="Z474" s="1436"/>
      <c r="AA474" s="1789"/>
      <c r="AB474" s="1436"/>
    </row>
    <row r="475" spans="4:28" s="1396" customFormat="1" ht="20.25" customHeight="1">
      <c r="D475" s="1745"/>
      <c r="E475" s="1745"/>
      <c r="F475" s="1745"/>
      <c r="G475" s="1745"/>
      <c r="H475" s="1745"/>
      <c r="I475" s="1745"/>
      <c r="J475" s="1745"/>
      <c r="K475" s="1745"/>
      <c r="L475" s="1745"/>
      <c r="M475" s="1416"/>
      <c r="N475" s="1416"/>
      <c r="O475" s="1745"/>
      <c r="P475" s="1745"/>
      <c r="Q475" s="1745"/>
      <c r="R475" s="1436"/>
      <c r="S475" s="1436"/>
      <c r="T475" s="1436"/>
      <c r="U475" s="1436"/>
      <c r="V475" s="1436"/>
      <c r="W475" s="1436"/>
      <c r="X475" s="1436"/>
      <c r="Y475" s="1436"/>
      <c r="Z475" s="1436"/>
      <c r="AA475" s="1789"/>
      <c r="AB475" s="1436"/>
    </row>
    <row r="476" spans="4:28" s="1396" customFormat="1" ht="20.25" customHeight="1">
      <c r="D476" s="1745"/>
      <c r="E476" s="1745"/>
      <c r="F476" s="1745"/>
      <c r="G476" s="1745"/>
      <c r="H476" s="1745"/>
      <c r="I476" s="1745"/>
      <c r="J476" s="1745"/>
      <c r="K476" s="1745"/>
      <c r="L476" s="1745"/>
      <c r="M476" s="1416"/>
      <c r="N476" s="1416"/>
      <c r="O476" s="1745"/>
      <c r="P476" s="1745"/>
      <c r="Q476" s="1745"/>
      <c r="R476" s="1436"/>
      <c r="S476" s="1436"/>
      <c r="T476" s="1436"/>
      <c r="U476" s="1436"/>
      <c r="V476" s="1436"/>
      <c r="W476" s="1436"/>
      <c r="X476" s="1436"/>
      <c r="Y476" s="1436"/>
      <c r="Z476" s="1436"/>
      <c r="AA476" s="1789"/>
      <c r="AB476" s="1436"/>
    </row>
    <row r="477" spans="4:28" s="1396" customFormat="1" ht="20.25" customHeight="1">
      <c r="D477" s="1745"/>
      <c r="E477" s="1745"/>
      <c r="F477" s="1745"/>
      <c r="G477" s="1745"/>
      <c r="H477" s="1745"/>
      <c r="I477" s="1745"/>
      <c r="J477" s="1745"/>
      <c r="K477" s="1745"/>
      <c r="L477" s="1745"/>
      <c r="M477" s="1416"/>
      <c r="N477" s="1416"/>
      <c r="O477" s="1745"/>
      <c r="P477" s="1745"/>
      <c r="Q477" s="1745"/>
      <c r="R477" s="1436"/>
      <c r="S477" s="1436"/>
      <c r="T477" s="1436"/>
      <c r="U477" s="1436"/>
      <c r="V477" s="1436"/>
      <c r="W477" s="1436"/>
      <c r="X477" s="1436"/>
      <c r="Y477" s="1436"/>
      <c r="Z477" s="1436"/>
      <c r="AA477" s="1789"/>
      <c r="AB477" s="1436"/>
    </row>
    <row r="478" spans="4:28" s="1396" customFormat="1" ht="20.25" customHeight="1">
      <c r="D478" s="1745"/>
      <c r="E478" s="1745"/>
      <c r="F478" s="1745"/>
      <c r="G478" s="1745"/>
      <c r="H478" s="1745"/>
      <c r="I478" s="1745"/>
      <c r="J478" s="1745"/>
      <c r="K478" s="1745"/>
      <c r="L478" s="1745"/>
      <c r="M478" s="1416"/>
      <c r="N478" s="1416"/>
      <c r="O478" s="1745"/>
      <c r="P478" s="1745"/>
      <c r="Q478" s="1745"/>
      <c r="R478" s="1436"/>
      <c r="S478" s="1436"/>
      <c r="T478" s="1436"/>
      <c r="U478" s="1436"/>
      <c r="V478" s="1436"/>
      <c r="W478" s="1436"/>
      <c r="X478" s="1436"/>
      <c r="Y478" s="1436"/>
      <c r="Z478" s="1436"/>
      <c r="AA478" s="1789"/>
      <c r="AB478" s="1436"/>
    </row>
    <row r="479" spans="4:28" s="1396" customFormat="1" ht="20.25" customHeight="1">
      <c r="D479" s="1745"/>
      <c r="E479" s="1745"/>
      <c r="F479" s="1745"/>
      <c r="G479" s="1745"/>
      <c r="H479" s="1745"/>
      <c r="I479" s="1745"/>
      <c r="J479" s="1745"/>
      <c r="K479" s="1745"/>
      <c r="L479" s="1745"/>
      <c r="M479" s="1416"/>
      <c r="N479" s="1416"/>
      <c r="O479" s="1745"/>
      <c r="P479" s="1745"/>
      <c r="Q479" s="1745"/>
      <c r="R479" s="1436"/>
      <c r="S479" s="1436"/>
      <c r="T479" s="1436"/>
      <c r="U479" s="1436"/>
      <c r="V479" s="1436"/>
      <c r="W479" s="1436"/>
      <c r="X479" s="1436"/>
      <c r="Y479" s="1436"/>
      <c r="Z479" s="1436"/>
      <c r="AA479" s="1789"/>
      <c r="AB479" s="1436"/>
    </row>
    <row r="480" spans="4:28" s="1396" customFormat="1" ht="20.25" customHeight="1">
      <c r="D480" s="1745"/>
      <c r="E480" s="1745"/>
      <c r="F480" s="1745"/>
      <c r="G480" s="1745"/>
      <c r="H480" s="1745"/>
      <c r="I480" s="1745"/>
      <c r="J480" s="1745"/>
      <c r="K480" s="1745"/>
      <c r="L480" s="1745"/>
      <c r="M480" s="1416"/>
      <c r="N480" s="1416"/>
      <c r="O480" s="1745"/>
      <c r="P480" s="1745"/>
      <c r="Q480" s="1745"/>
      <c r="R480" s="1436"/>
      <c r="S480" s="1436"/>
      <c r="T480" s="1436"/>
      <c r="U480" s="1436"/>
      <c r="V480" s="1436"/>
      <c r="W480" s="1436"/>
      <c r="X480" s="1436"/>
      <c r="Y480" s="1436"/>
      <c r="Z480" s="1436"/>
      <c r="AA480" s="1789"/>
      <c r="AB480" s="1436"/>
    </row>
    <row r="481" spans="4:28" s="1396" customFormat="1" ht="20.25" customHeight="1">
      <c r="D481" s="1745"/>
      <c r="E481" s="1745"/>
      <c r="F481" s="1745"/>
      <c r="G481" s="1745"/>
      <c r="H481" s="1745"/>
      <c r="I481" s="1745"/>
      <c r="J481" s="1745"/>
      <c r="K481" s="1745"/>
      <c r="L481" s="1745"/>
      <c r="M481" s="1416"/>
      <c r="N481" s="1416"/>
      <c r="O481" s="1745"/>
      <c r="P481" s="1745"/>
      <c r="Q481" s="1745"/>
      <c r="R481" s="1436"/>
      <c r="S481" s="1436"/>
      <c r="T481" s="1436"/>
      <c r="U481" s="1436"/>
      <c r="V481" s="1436"/>
      <c r="W481" s="1436"/>
      <c r="X481" s="1436"/>
      <c r="Y481" s="1436"/>
      <c r="Z481" s="1436"/>
      <c r="AA481" s="1789"/>
      <c r="AB481" s="1436"/>
    </row>
    <row r="482" spans="4:28" s="1396" customFormat="1" ht="20.25" customHeight="1">
      <c r="D482" s="1745"/>
      <c r="E482" s="1745"/>
      <c r="F482" s="1745"/>
      <c r="G482" s="1745"/>
      <c r="H482" s="1745"/>
      <c r="I482" s="1745"/>
      <c r="J482" s="1745"/>
      <c r="K482" s="1745"/>
      <c r="L482" s="1745"/>
      <c r="M482" s="1416"/>
      <c r="N482" s="1416"/>
      <c r="O482" s="1745"/>
      <c r="P482" s="1745"/>
      <c r="Q482" s="1745"/>
      <c r="R482" s="1436"/>
      <c r="S482" s="1436"/>
      <c r="T482" s="1436"/>
      <c r="U482" s="1436"/>
      <c r="V482" s="1436"/>
      <c r="W482" s="1436"/>
      <c r="X482" s="1436"/>
      <c r="Y482" s="1436"/>
      <c r="Z482" s="1436"/>
      <c r="AA482" s="1789"/>
      <c r="AB482" s="1436"/>
    </row>
    <row r="483" spans="4:28" s="1396" customFormat="1" ht="20.25" customHeight="1">
      <c r="D483" s="1745"/>
      <c r="E483" s="1745"/>
      <c r="F483" s="1745"/>
      <c r="G483" s="1745"/>
      <c r="H483" s="1745"/>
      <c r="I483" s="1745"/>
      <c r="J483" s="1745"/>
      <c r="K483" s="1745"/>
      <c r="L483" s="1745"/>
      <c r="M483" s="1745"/>
      <c r="N483" s="1745"/>
      <c r="O483" s="1745"/>
      <c r="P483" s="1745"/>
      <c r="Q483" s="1745"/>
      <c r="R483" s="1436"/>
      <c r="S483" s="1436"/>
      <c r="T483" s="1436"/>
      <c r="U483" s="1436"/>
      <c r="V483" s="1436"/>
      <c r="W483" s="1436"/>
      <c r="X483" s="1436"/>
      <c r="Y483" s="1436"/>
      <c r="Z483" s="1436"/>
      <c r="AA483" s="1789"/>
      <c r="AB483" s="1436"/>
    </row>
    <row r="484" spans="4:28" s="1396" customFormat="1" ht="20.25" customHeight="1">
      <c r="D484" s="1745"/>
      <c r="E484" s="1745"/>
      <c r="F484" s="1745"/>
      <c r="G484" s="1745"/>
      <c r="H484" s="1745"/>
      <c r="I484" s="1745"/>
      <c r="J484" s="1745"/>
      <c r="K484" s="1745"/>
      <c r="L484" s="1745"/>
      <c r="M484" s="1745"/>
      <c r="N484" s="1745"/>
      <c r="O484" s="1745"/>
      <c r="P484" s="1745"/>
      <c r="Q484" s="1745"/>
      <c r="R484" s="1436"/>
      <c r="S484" s="1436"/>
      <c r="T484" s="1436"/>
      <c r="U484" s="1436"/>
      <c r="V484" s="1436"/>
      <c r="W484" s="1436"/>
      <c r="X484" s="1436"/>
      <c r="Y484" s="1436"/>
      <c r="Z484" s="1436"/>
      <c r="AA484" s="1789"/>
      <c r="AB484" s="1436"/>
    </row>
    <row r="485" spans="4:28" s="1396" customFormat="1" ht="20.25" customHeight="1">
      <c r="D485" s="1745"/>
      <c r="E485" s="1745"/>
      <c r="F485" s="1745"/>
      <c r="G485" s="1745"/>
      <c r="H485" s="1745"/>
      <c r="I485" s="1745"/>
      <c r="J485" s="1745"/>
      <c r="K485" s="1745"/>
      <c r="L485" s="1745"/>
      <c r="M485" s="1745"/>
      <c r="N485" s="1745"/>
      <c r="O485" s="1745"/>
      <c r="P485" s="1745"/>
      <c r="Q485" s="1745"/>
      <c r="R485" s="1436"/>
      <c r="S485" s="1436"/>
      <c r="T485" s="1436"/>
      <c r="U485" s="1436"/>
      <c r="V485" s="1436"/>
      <c r="W485" s="1436"/>
      <c r="X485" s="1436"/>
      <c r="Y485" s="1436"/>
      <c r="Z485" s="1436"/>
      <c r="AA485" s="1789"/>
      <c r="AB485" s="1436"/>
    </row>
    <row r="486" spans="4:28" s="1396" customFormat="1" ht="20.25" customHeight="1">
      <c r="D486" s="1745"/>
      <c r="E486" s="1745"/>
      <c r="F486" s="1745"/>
      <c r="G486" s="1745"/>
      <c r="H486" s="1745"/>
      <c r="I486" s="1745"/>
      <c r="J486" s="1745"/>
      <c r="K486" s="1745"/>
      <c r="L486" s="1745"/>
      <c r="M486" s="1745"/>
      <c r="N486" s="1745"/>
      <c r="O486" s="1745"/>
      <c r="P486" s="1745"/>
      <c r="Q486" s="1745"/>
      <c r="R486" s="1436"/>
      <c r="S486" s="1436"/>
      <c r="T486" s="1436"/>
      <c r="U486" s="1436"/>
      <c r="V486" s="1436"/>
      <c r="W486" s="1436"/>
      <c r="X486" s="1436"/>
      <c r="Y486" s="1436"/>
      <c r="Z486" s="1436"/>
      <c r="AA486" s="1789"/>
      <c r="AB486" s="1436"/>
    </row>
    <row r="487" spans="4:28" s="1396" customFormat="1" ht="20.25" customHeight="1">
      <c r="D487" s="1745"/>
      <c r="E487" s="1745"/>
      <c r="F487" s="1745"/>
      <c r="G487" s="1745"/>
      <c r="H487" s="1745"/>
      <c r="I487" s="1745"/>
      <c r="J487" s="1745"/>
      <c r="K487" s="1745"/>
      <c r="L487" s="1745"/>
      <c r="M487" s="1745"/>
      <c r="N487" s="1745"/>
      <c r="O487" s="1745"/>
      <c r="P487" s="1745"/>
      <c r="Q487" s="1745"/>
      <c r="R487" s="1436"/>
      <c r="S487" s="1436"/>
      <c r="T487" s="1436"/>
      <c r="U487" s="1436"/>
      <c r="V487" s="1436"/>
      <c r="W487" s="1436"/>
      <c r="X487" s="1436"/>
      <c r="Y487" s="1436"/>
      <c r="Z487" s="1436"/>
      <c r="AA487" s="1789"/>
      <c r="AB487" s="1436"/>
    </row>
    <row r="488" spans="4:28" s="1396" customFormat="1" ht="20.25" customHeight="1">
      <c r="D488" s="1745"/>
      <c r="E488" s="1745"/>
      <c r="F488" s="1745"/>
      <c r="G488" s="1745"/>
      <c r="H488" s="1745"/>
      <c r="I488" s="1745"/>
      <c r="J488" s="1745"/>
      <c r="K488" s="1745"/>
      <c r="L488" s="1745"/>
      <c r="M488" s="1745"/>
      <c r="N488" s="1745"/>
      <c r="O488" s="1745"/>
      <c r="P488" s="1745"/>
      <c r="Q488" s="1745"/>
      <c r="R488" s="1436"/>
      <c r="S488" s="1436"/>
      <c r="T488" s="1436"/>
      <c r="U488" s="1436"/>
      <c r="V488" s="1436"/>
      <c r="W488" s="1436"/>
      <c r="X488" s="1436"/>
      <c r="Y488" s="1436"/>
      <c r="Z488" s="1436"/>
      <c r="AA488" s="1789"/>
      <c r="AB488" s="1436"/>
    </row>
    <row r="489" spans="4:28" s="1396" customFormat="1" ht="20.25" customHeight="1">
      <c r="D489" s="1745"/>
      <c r="E489" s="1745"/>
      <c r="F489" s="1745"/>
      <c r="G489" s="1745"/>
      <c r="H489" s="1745"/>
      <c r="I489" s="1745"/>
      <c r="J489" s="1745"/>
      <c r="K489" s="1745"/>
      <c r="L489" s="1745"/>
      <c r="M489" s="1745"/>
      <c r="N489" s="1745"/>
      <c r="O489" s="1745"/>
      <c r="P489" s="1745"/>
      <c r="Q489" s="1745"/>
      <c r="R489" s="1436"/>
      <c r="S489" s="1436"/>
      <c r="T489" s="1436"/>
      <c r="U489" s="1436"/>
      <c r="V489" s="1436"/>
      <c r="W489" s="1436"/>
      <c r="X489" s="1436"/>
      <c r="Y489" s="1436"/>
      <c r="Z489" s="1436"/>
      <c r="AA489" s="1789"/>
      <c r="AB489" s="1436"/>
    </row>
    <row r="490" spans="4:28" s="1396" customFormat="1" ht="20.25" customHeight="1">
      <c r="D490" s="1745"/>
      <c r="E490" s="1745"/>
      <c r="F490" s="1745"/>
      <c r="G490" s="1745"/>
      <c r="H490" s="1745"/>
      <c r="I490" s="1745"/>
      <c r="J490" s="1745"/>
      <c r="K490" s="1745"/>
      <c r="L490" s="1745"/>
      <c r="M490" s="1745"/>
      <c r="N490" s="1745"/>
      <c r="O490" s="1745"/>
      <c r="P490" s="1745"/>
      <c r="Q490" s="1745"/>
      <c r="R490" s="1436"/>
      <c r="S490" s="1436"/>
      <c r="T490" s="1436"/>
      <c r="U490" s="1436"/>
      <c r="V490" s="1436"/>
      <c r="W490" s="1436"/>
      <c r="X490" s="1436"/>
      <c r="Y490" s="1436"/>
      <c r="Z490" s="1436"/>
      <c r="AA490" s="1789"/>
      <c r="AB490" s="1436"/>
    </row>
    <row r="491" spans="4:28" s="1396" customFormat="1" ht="20.25" customHeight="1">
      <c r="D491" s="1745"/>
      <c r="E491" s="1745"/>
      <c r="F491" s="1745"/>
      <c r="G491" s="1745"/>
      <c r="H491" s="1745"/>
      <c r="I491" s="1745"/>
      <c r="J491" s="1745"/>
      <c r="K491" s="1745"/>
      <c r="L491" s="1745"/>
      <c r="M491" s="1745"/>
      <c r="N491" s="1745"/>
      <c r="O491" s="1745"/>
      <c r="P491" s="1745"/>
      <c r="Q491" s="1745"/>
      <c r="R491" s="1436"/>
      <c r="S491" s="1436"/>
      <c r="T491" s="1436"/>
      <c r="U491" s="1436"/>
      <c r="V491" s="1436"/>
      <c r="W491" s="1436"/>
      <c r="X491" s="1436"/>
      <c r="Y491" s="1436"/>
      <c r="Z491" s="1436"/>
      <c r="AA491" s="1789"/>
      <c r="AB491" s="1436"/>
    </row>
    <row r="492" spans="4:28" s="1396" customFormat="1" ht="20.25" customHeight="1">
      <c r="D492" s="1745"/>
      <c r="E492" s="1745"/>
      <c r="F492" s="1745"/>
      <c r="G492" s="1745"/>
      <c r="H492" s="1745"/>
      <c r="I492" s="1745"/>
      <c r="J492" s="1745"/>
      <c r="K492" s="1745"/>
      <c r="L492" s="1745"/>
      <c r="M492" s="1745"/>
      <c r="N492" s="1745"/>
      <c r="O492" s="1745"/>
      <c r="P492" s="1745"/>
      <c r="Q492" s="1745"/>
      <c r="R492" s="1436"/>
      <c r="S492" s="1436"/>
      <c r="T492" s="1436"/>
      <c r="U492" s="1436"/>
      <c r="V492" s="1436"/>
      <c r="W492" s="1436"/>
      <c r="X492" s="1436"/>
      <c r="Y492" s="1436"/>
      <c r="Z492" s="1436"/>
      <c r="AA492" s="1789"/>
      <c r="AB492" s="1436"/>
    </row>
    <row r="493" spans="4:28" s="1396" customFormat="1" ht="20.25" customHeight="1">
      <c r="D493" s="1745"/>
      <c r="E493" s="1745"/>
      <c r="F493" s="1745"/>
      <c r="G493" s="1745"/>
      <c r="H493" s="1745"/>
      <c r="I493" s="1745"/>
      <c r="J493" s="1745"/>
      <c r="K493" s="1745"/>
      <c r="L493" s="1745"/>
      <c r="M493" s="1745"/>
      <c r="N493" s="1745"/>
      <c r="O493" s="1745"/>
      <c r="P493" s="1745"/>
      <c r="Q493" s="1745"/>
      <c r="R493" s="1436"/>
      <c r="S493" s="1436"/>
      <c r="T493" s="1436"/>
      <c r="U493" s="1436"/>
      <c r="V493" s="1436"/>
      <c r="W493" s="1436"/>
      <c r="X493" s="1436"/>
      <c r="Y493" s="1436"/>
      <c r="Z493" s="1436"/>
      <c r="AA493" s="1789"/>
      <c r="AB493" s="1436"/>
    </row>
    <row r="494" spans="4:28" s="1396" customFormat="1" ht="20.25" customHeight="1">
      <c r="D494" s="1745"/>
      <c r="E494" s="1745"/>
      <c r="F494" s="1745"/>
      <c r="G494" s="1745"/>
      <c r="H494" s="1745"/>
      <c r="I494" s="1745"/>
      <c r="J494" s="1745"/>
      <c r="K494" s="1745"/>
      <c r="L494" s="1745"/>
      <c r="M494" s="1745"/>
      <c r="N494" s="1745"/>
      <c r="O494" s="1745"/>
      <c r="P494" s="1745"/>
      <c r="Q494" s="1745"/>
      <c r="R494" s="1436"/>
      <c r="S494" s="1436"/>
      <c r="T494" s="1436"/>
      <c r="U494" s="1436"/>
      <c r="V494" s="1436"/>
      <c r="W494" s="1436"/>
      <c r="X494" s="1436"/>
      <c r="Y494" s="1436"/>
      <c r="Z494" s="1436"/>
      <c r="AA494" s="1789"/>
      <c r="AB494" s="1436"/>
    </row>
    <row r="495" spans="4:28" s="1396" customFormat="1" ht="20.25" customHeight="1">
      <c r="D495" s="1745"/>
      <c r="E495" s="1745"/>
      <c r="F495" s="1745"/>
      <c r="G495" s="1745"/>
      <c r="H495" s="1745"/>
      <c r="I495" s="1745"/>
      <c r="J495" s="1745"/>
      <c r="K495" s="1745"/>
      <c r="L495" s="1745"/>
      <c r="M495" s="1745"/>
      <c r="N495" s="1745"/>
      <c r="O495" s="1745"/>
      <c r="P495" s="1745"/>
      <c r="Q495" s="1745"/>
      <c r="R495" s="1436"/>
      <c r="S495" s="1436"/>
      <c r="T495" s="1436"/>
      <c r="U495" s="1436"/>
      <c r="V495" s="1436"/>
      <c r="W495" s="1436"/>
      <c r="X495" s="1436"/>
      <c r="Y495" s="1436"/>
      <c r="Z495" s="1436"/>
      <c r="AA495" s="1789"/>
      <c r="AB495" s="1436"/>
    </row>
    <row r="496" spans="4:28" s="1396" customFormat="1" ht="20.25" customHeight="1">
      <c r="D496" s="1745"/>
      <c r="E496" s="1745"/>
      <c r="F496" s="1745"/>
      <c r="G496" s="1745"/>
      <c r="H496" s="1745"/>
      <c r="I496" s="1745"/>
      <c r="J496" s="1745"/>
      <c r="K496" s="1745"/>
      <c r="L496" s="1745"/>
      <c r="M496" s="1745"/>
      <c r="N496" s="1745"/>
      <c r="O496" s="1745"/>
      <c r="P496" s="1745"/>
      <c r="Q496" s="1745"/>
      <c r="R496" s="1436"/>
      <c r="S496" s="1436"/>
      <c r="T496" s="1436"/>
      <c r="U496" s="1436"/>
      <c r="V496" s="1436"/>
      <c r="W496" s="1436"/>
      <c r="X496" s="1436"/>
      <c r="Y496" s="1436"/>
      <c r="Z496" s="1436"/>
      <c r="AA496" s="1789"/>
      <c r="AB496" s="1436"/>
    </row>
    <row r="497" spans="4:28" s="1396" customFormat="1" ht="20.25" customHeight="1">
      <c r="D497" s="1745"/>
      <c r="E497" s="1745"/>
      <c r="F497" s="1745"/>
      <c r="G497" s="1745"/>
      <c r="H497" s="1745"/>
      <c r="I497" s="1745"/>
      <c r="J497" s="1745"/>
      <c r="K497" s="1745"/>
      <c r="L497" s="1745"/>
      <c r="M497" s="1745"/>
      <c r="N497" s="1745"/>
      <c r="O497" s="1745"/>
      <c r="P497" s="1745"/>
      <c r="Q497" s="1745"/>
      <c r="R497" s="1436"/>
      <c r="S497" s="1436"/>
      <c r="T497" s="1436"/>
      <c r="U497" s="1436"/>
      <c r="V497" s="1436"/>
      <c r="W497" s="1436"/>
      <c r="X497" s="1436"/>
      <c r="Y497" s="1436"/>
      <c r="Z497" s="1436"/>
      <c r="AA497" s="1789"/>
      <c r="AB497" s="1436"/>
    </row>
    <row r="498" spans="4:28" s="1396" customFormat="1" ht="20.25" customHeight="1">
      <c r="D498" s="1745"/>
      <c r="E498" s="1745"/>
      <c r="F498" s="1745"/>
      <c r="G498" s="1745"/>
      <c r="H498" s="1745"/>
      <c r="I498" s="1745"/>
      <c r="J498" s="1745"/>
      <c r="K498" s="1745"/>
      <c r="L498" s="1745"/>
      <c r="M498" s="1745"/>
      <c r="N498" s="1745"/>
      <c r="O498" s="1745"/>
      <c r="P498" s="1745"/>
      <c r="Q498" s="1745"/>
      <c r="R498" s="1436"/>
      <c r="S498" s="1436"/>
      <c r="T498" s="1436"/>
      <c r="U498" s="1436"/>
      <c r="V498" s="1436"/>
      <c r="W498" s="1436"/>
      <c r="X498" s="1436"/>
      <c r="Y498" s="1436"/>
      <c r="Z498" s="1436"/>
      <c r="AA498" s="1789"/>
      <c r="AB498" s="1436"/>
    </row>
    <row r="499" spans="4:28" s="1396" customFormat="1" ht="20.25" customHeight="1">
      <c r="D499" s="1745"/>
      <c r="E499" s="1745"/>
      <c r="F499" s="1745"/>
      <c r="G499" s="1745"/>
      <c r="H499" s="1745"/>
      <c r="I499" s="1745"/>
      <c r="J499" s="1745"/>
      <c r="K499" s="1745"/>
      <c r="L499" s="1745"/>
      <c r="M499" s="1745"/>
      <c r="N499" s="1745"/>
      <c r="O499" s="1745"/>
      <c r="P499" s="1745"/>
      <c r="Q499" s="1745"/>
      <c r="R499" s="1436"/>
      <c r="S499" s="1436"/>
      <c r="T499" s="1436"/>
      <c r="U499" s="1436"/>
      <c r="V499" s="1436"/>
      <c r="W499" s="1436"/>
      <c r="X499" s="1436"/>
      <c r="Y499" s="1436"/>
      <c r="Z499" s="1436"/>
      <c r="AA499" s="1789"/>
      <c r="AB499" s="1436"/>
    </row>
    <row r="500" spans="4:28" s="1396" customFormat="1" ht="20.25" customHeight="1">
      <c r="D500" s="1745"/>
      <c r="E500" s="1745"/>
      <c r="F500" s="1745"/>
      <c r="G500" s="1745"/>
      <c r="H500" s="1745"/>
      <c r="I500" s="1745"/>
      <c r="J500" s="1745"/>
      <c r="K500" s="1745"/>
      <c r="L500" s="1745"/>
      <c r="M500" s="1745"/>
      <c r="N500" s="1745"/>
      <c r="O500" s="1745"/>
      <c r="P500" s="1745"/>
      <c r="Q500" s="1745"/>
      <c r="R500" s="1436"/>
      <c r="S500" s="1436"/>
      <c r="T500" s="1436"/>
      <c r="U500" s="1436"/>
      <c r="V500" s="1436"/>
      <c r="W500" s="1436"/>
      <c r="X500" s="1436"/>
      <c r="Y500" s="1436"/>
      <c r="Z500" s="1436"/>
      <c r="AA500" s="1789"/>
      <c r="AB500" s="1436"/>
    </row>
    <row r="501" spans="4:28" s="1396" customFormat="1" ht="20.25" customHeight="1">
      <c r="D501" s="1745"/>
      <c r="E501" s="1745"/>
      <c r="F501" s="1745"/>
      <c r="G501" s="1745"/>
      <c r="H501" s="1745"/>
      <c r="I501" s="1745"/>
      <c r="J501" s="1745"/>
      <c r="K501" s="1745"/>
      <c r="L501" s="1745"/>
      <c r="M501" s="1745"/>
      <c r="N501" s="1745"/>
      <c r="O501" s="1745"/>
      <c r="P501" s="1745"/>
      <c r="Q501" s="1745"/>
      <c r="R501" s="1436"/>
      <c r="S501" s="1436"/>
      <c r="T501" s="1436"/>
      <c r="U501" s="1436"/>
      <c r="V501" s="1436"/>
      <c r="W501" s="1436"/>
      <c r="X501" s="1436"/>
      <c r="Y501" s="1436"/>
      <c r="Z501" s="1436"/>
      <c r="AA501" s="1789"/>
      <c r="AB501" s="1436"/>
    </row>
    <row r="502" spans="4:28" s="1396" customFormat="1" ht="20.25" customHeight="1">
      <c r="D502" s="1745"/>
      <c r="E502" s="1745"/>
      <c r="F502" s="1745"/>
      <c r="G502" s="1745"/>
      <c r="H502" s="1745"/>
      <c r="I502" s="1745"/>
      <c r="J502" s="1745"/>
      <c r="K502" s="1745"/>
      <c r="L502" s="1745"/>
      <c r="M502" s="1745"/>
      <c r="N502" s="1745"/>
      <c r="O502" s="1745"/>
      <c r="P502" s="1745"/>
      <c r="Q502" s="1745"/>
      <c r="R502" s="1436"/>
      <c r="S502" s="1436"/>
      <c r="T502" s="1436"/>
      <c r="U502" s="1436"/>
      <c r="V502" s="1436"/>
      <c r="W502" s="1436"/>
      <c r="X502" s="1436"/>
      <c r="Y502" s="1436"/>
      <c r="Z502" s="1436"/>
      <c r="AA502" s="1789"/>
      <c r="AB502" s="1436"/>
    </row>
    <row r="503" spans="4:28" s="1396" customFormat="1" ht="20.25" customHeight="1">
      <c r="D503" s="1745"/>
      <c r="E503" s="1745"/>
      <c r="F503" s="1745"/>
      <c r="G503" s="1745"/>
      <c r="H503" s="1745"/>
      <c r="I503" s="1745"/>
      <c r="J503" s="1745"/>
      <c r="K503" s="1745"/>
      <c r="L503" s="1745"/>
      <c r="M503" s="1745"/>
      <c r="N503" s="1745"/>
      <c r="O503" s="1745"/>
      <c r="P503" s="1745"/>
      <c r="Q503" s="1745"/>
      <c r="R503" s="1436"/>
      <c r="S503" s="1436"/>
      <c r="T503" s="1436"/>
      <c r="U503" s="1436"/>
      <c r="V503" s="1436"/>
      <c r="W503" s="1436"/>
      <c r="X503" s="1436"/>
      <c r="Y503" s="1436"/>
      <c r="Z503" s="1436"/>
      <c r="AA503" s="1789"/>
      <c r="AB503" s="1436"/>
    </row>
    <row r="504" spans="4:28" s="1396" customFormat="1" ht="20.25" customHeight="1">
      <c r="D504" s="1745"/>
      <c r="E504" s="1745"/>
      <c r="F504" s="1745"/>
      <c r="G504" s="1745"/>
      <c r="H504" s="1745"/>
      <c r="I504" s="1745"/>
      <c r="J504" s="1745"/>
      <c r="K504" s="1745"/>
      <c r="L504" s="1745"/>
      <c r="M504" s="1745"/>
      <c r="N504" s="1745"/>
      <c r="O504" s="1745"/>
      <c r="P504" s="1745"/>
      <c r="Q504" s="1745"/>
      <c r="R504" s="1436"/>
      <c r="S504" s="1436"/>
      <c r="T504" s="1436"/>
      <c r="U504" s="1436"/>
      <c r="V504" s="1436"/>
      <c r="W504" s="1436"/>
      <c r="X504" s="1436"/>
      <c r="Y504" s="1436"/>
      <c r="Z504" s="1436"/>
      <c r="AA504" s="1789"/>
      <c r="AB504" s="1436"/>
    </row>
    <row r="505" spans="4:28" s="1396" customFormat="1" ht="20.25" customHeight="1">
      <c r="D505" s="1745"/>
      <c r="E505" s="1745"/>
      <c r="F505" s="1745"/>
      <c r="G505" s="1745"/>
      <c r="H505" s="1745"/>
      <c r="I505" s="1745"/>
      <c r="J505" s="1745"/>
      <c r="K505" s="1745"/>
      <c r="L505" s="1745"/>
      <c r="M505" s="1745"/>
      <c r="N505" s="1745"/>
      <c r="O505" s="1745"/>
      <c r="P505" s="1745"/>
      <c r="Q505" s="1745"/>
      <c r="R505" s="1436"/>
      <c r="S505" s="1436"/>
      <c r="T505" s="1436"/>
      <c r="U505" s="1436"/>
      <c r="V505" s="1436"/>
      <c r="W505" s="1436"/>
      <c r="X505" s="1436"/>
      <c r="Y505" s="1436"/>
      <c r="Z505" s="1436"/>
      <c r="AA505" s="1789"/>
      <c r="AB505" s="1436"/>
    </row>
    <row r="506" spans="4:28" s="1396" customFormat="1" ht="20.25" customHeight="1">
      <c r="D506" s="1745"/>
      <c r="E506" s="1745"/>
      <c r="F506" s="1745"/>
      <c r="G506" s="1745"/>
      <c r="H506" s="1745"/>
      <c r="I506" s="1745"/>
      <c r="J506" s="1745"/>
      <c r="K506" s="1745"/>
      <c r="L506" s="1745"/>
      <c r="M506" s="1745"/>
      <c r="N506" s="1745"/>
      <c r="O506" s="1745"/>
      <c r="P506" s="1745"/>
      <c r="Q506" s="1745"/>
      <c r="R506" s="1436"/>
      <c r="S506" s="1436"/>
      <c r="T506" s="1436"/>
      <c r="U506" s="1436"/>
      <c r="V506" s="1436"/>
      <c r="W506" s="1436"/>
      <c r="X506" s="1436"/>
      <c r="Y506" s="1436"/>
      <c r="Z506" s="1436"/>
      <c r="AA506" s="1789"/>
      <c r="AB506" s="1436"/>
    </row>
    <row r="507" spans="4:28" s="1396" customFormat="1" ht="20.25" customHeight="1">
      <c r="D507" s="1745"/>
      <c r="E507" s="1745"/>
      <c r="F507" s="1745"/>
      <c r="G507" s="1745"/>
      <c r="H507" s="1745"/>
      <c r="I507" s="1745"/>
      <c r="J507" s="1745"/>
      <c r="K507" s="1745"/>
      <c r="L507" s="1745"/>
      <c r="M507" s="1745"/>
      <c r="N507" s="1745"/>
      <c r="O507" s="1745"/>
      <c r="P507" s="1745"/>
      <c r="Q507" s="1745"/>
      <c r="R507" s="1436"/>
      <c r="S507" s="1436"/>
      <c r="T507" s="1436"/>
      <c r="U507" s="1436"/>
      <c r="V507" s="1436"/>
      <c r="W507" s="1436"/>
      <c r="X507" s="1436"/>
      <c r="Y507" s="1436"/>
      <c r="Z507" s="1436"/>
      <c r="AA507" s="1789"/>
      <c r="AB507" s="1436"/>
    </row>
    <row r="508" spans="4:28" s="1396" customFormat="1" ht="20.25" customHeight="1">
      <c r="R508" s="1436"/>
      <c r="S508" s="1436"/>
      <c r="T508" s="1436"/>
      <c r="U508" s="1436"/>
      <c r="V508" s="1436"/>
      <c r="W508" s="1436"/>
      <c r="X508" s="1436"/>
      <c r="Y508" s="1436"/>
      <c r="Z508" s="1436"/>
      <c r="AA508" s="1789"/>
      <c r="AB508" s="1436"/>
    </row>
    <row r="509" spans="4:28" s="1396" customFormat="1" ht="20.25" customHeight="1">
      <c r="R509" s="1436"/>
      <c r="S509" s="1436"/>
      <c r="T509" s="1436"/>
      <c r="U509" s="1436"/>
      <c r="V509" s="1436"/>
      <c r="W509" s="1436"/>
      <c r="X509" s="1436"/>
      <c r="Y509" s="1436"/>
      <c r="Z509" s="1436"/>
      <c r="AA509" s="1789"/>
      <c r="AB509" s="1436"/>
    </row>
    <row r="510" spans="4:28" s="1396" customFormat="1" ht="20.25" customHeight="1">
      <c r="R510" s="1436"/>
      <c r="S510" s="1436"/>
      <c r="T510" s="1436"/>
      <c r="U510" s="1436"/>
      <c r="V510" s="1436"/>
      <c r="W510" s="1436"/>
      <c r="X510" s="1436"/>
      <c r="Y510" s="1436"/>
      <c r="Z510" s="1436"/>
      <c r="AA510" s="1789"/>
      <c r="AB510" s="1436"/>
    </row>
    <row r="511" spans="4:28" s="1396" customFormat="1" ht="20.25" customHeight="1">
      <c r="R511" s="1436"/>
      <c r="S511" s="1436"/>
      <c r="T511" s="1436"/>
      <c r="U511" s="1436"/>
      <c r="V511" s="1436"/>
      <c r="W511" s="1436"/>
      <c r="X511" s="1436"/>
      <c r="Y511" s="1436"/>
      <c r="Z511" s="1436"/>
      <c r="AA511" s="1789"/>
      <c r="AB511" s="1436"/>
    </row>
    <row r="512" spans="4:28" s="1396" customFormat="1" ht="20.25" customHeight="1">
      <c r="R512" s="1436"/>
      <c r="S512" s="1436"/>
      <c r="T512" s="1436"/>
      <c r="U512" s="1436"/>
      <c r="V512" s="1436"/>
      <c r="W512" s="1436"/>
      <c r="X512" s="1436"/>
      <c r="Y512" s="1436"/>
      <c r="Z512" s="1436"/>
      <c r="AA512" s="1789"/>
      <c r="AB512" s="1436"/>
    </row>
    <row r="513" spans="18:28" s="1396" customFormat="1" ht="20.25" customHeight="1">
      <c r="R513" s="1436"/>
      <c r="S513" s="1436"/>
      <c r="T513" s="1436"/>
      <c r="U513" s="1436"/>
      <c r="V513" s="1436"/>
      <c r="W513" s="1436"/>
      <c r="X513" s="1436"/>
      <c r="Y513" s="1436"/>
      <c r="Z513" s="1436"/>
      <c r="AA513" s="1789"/>
      <c r="AB513" s="1436"/>
    </row>
    <row r="514" spans="18:28" s="1396" customFormat="1" ht="20.25" customHeight="1">
      <c r="R514" s="1436"/>
      <c r="S514" s="1436"/>
      <c r="T514" s="1436"/>
      <c r="U514" s="1436"/>
      <c r="V514" s="1436"/>
      <c r="W514" s="1436"/>
      <c r="X514" s="1436"/>
      <c r="Y514" s="1436"/>
      <c r="Z514" s="1436"/>
      <c r="AA514" s="1789"/>
      <c r="AB514" s="1436"/>
    </row>
    <row r="515" spans="18:28" s="1396" customFormat="1" ht="20.25" customHeight="1">
      <c r="R515" s="1436"/>
      <c r="S515" s="1436"/>
      <c r="T515" s="1436"/>
      <c r="U515" s="1436"/>
      <c r="V515" s="1436"/>
      <c r="W515" s="1436"/>
      <c r="X515" s="1436"/>
      <c r="Y515" s="1436"/>
      <c r="Z515" s="1436"/>
      <c r="AA515" s="1789"/>
      <c r="AB515" s="1436"/>
    </row>
    <row r="516" spans="18:28" s="1396" customFormat="1" ht="20.25" customHeight="1">
      <c r="R516" s="1436"/>
      <c r="S516" s="1436"/>
      <c r="T516" s="1436"/>
      <c r="U516" s="1436"/>
      <c r="V516" s="1436"/>
      <c r="W516" s="1436"/>
      <c r="X516" s="1436"/>
      <c r="Y516" s="1436"/>
      <c r="Z516" s="1436"/>
      <c r="AA516" s="1789"/>
      <c r="AB516" s="1436"/>
    </row>
    <row r="517" spans="18:28" s="1396" customFormat="1" ht="20.25" customHeight="1">
      <c r="R517" s="1436"/>
      <c r="S517" s="1436"/>
      <c r="T517" s="1436"/>
      <c r="U517" s="1436"/>
      <c r="V517" s="1436"/>
      <c r="W517" s="1436"/>
      <c r="X517" s="1436"/>
      <c r="Y517" s="1436"/>
      <c r="Z517" s="1436"/>
      <c r="AA517" s="1789"/>
      <c r="AB517" s="1436"/>
    </row>
    <row r="518" spans="18:28" s="1396" customFormat="1" ht="20.25" customHeight="1">
      <c r="R518" s="1436"/>
      <c r="S518" s="1436"/>
      <c r="T518" s="1436"/>
      <c r="U518" s="1436"/>
      <c r="V518" s="1436"/>
      <c r="W518" s="1436"/>
      <c r="X518" s="1436"/>
      <c r="Y518" s="1436"/>
      <c r="Z518" s="1436"/>
      <c r="AA518" s="1789"/>
      <c r="AB518" s="1436"/>
    </row>
    <row r="519" spans="18:28" s="1396" customFormat="1" ht="20.25" customHeight="1">
      <c r="R519" s="1436"/>
      <c r="S519" s="1436"/>
      <c r="T519" s="1436"/>
      <c r="U519" s="1436"/>
      <c r="V519" s="1436"/>
      <c r="W519" s="1436"/>
      <c r="X519" s="1436"/>
      <c r="Y519" s="1436"/>
      <c r="Z519" s="1436"/>
      <c r="AA519" s="1789"/>
      <c r="AB519" s="1436"/>
    </row>
    <row r="520" spans="18:28" s="1396" customFormat="1" ht="20.25" customHeight="1">
      <c r="R520" s="1436"/>
      <c r="S520" s="1436"/>
      <c r="T520" s="1436"/>
      <c r="U520" s="1436"/>
      <c r="V520" s="1436"/>
      <c r="W520" s="1436"/>
      <c r="X520" s="1436"/>
      <c r="Y520" s="1436"/>
      <c r="Z520" s="1436"/>
      <c r="AA520" s="1789"/>
      <c r="AB520" s="1436"/>
    </row>
    <row r="521" spans="18:28" s="1396" customFormat="1" ht="20.25" customHeight="1">
      <c r="R521" s="1436"/>
      <c r="S521" s="1436"/>
      <c r="T521" s="1436"/>
      <c r="U521" s="1436"/>
      <c r="V521" s="1436"/>
      <c r="W521" s="1436"/>
      <c r="X521" s="1436"/>
      <c r="Y521" s="1436"/>
      <c r="Z521" s="1436"/>
      <c r="AA521" s="1789"/>
      <c r="AB521" s="1436"/>
    </row>
    <row r="522" spans="18:28" s="1396" customFormat="1" ht="20.25" customHeight="1">
      <c r="R522" s="1436"/>
      <c r="S522" s="1436"/>
      <c r="T522" s="1436"/>
      <c r="U522" s="1436"/>
      <c r="V522" s="1436"/>
      <c r="W522" s="1436"/>
      <c r="X522" s="1436"/>
      <c r="Y522" s="1436"/>
      <c r="Z522" s="1436"/>
      <c r="AA522" s="1789"/>
      <c r="AB522" s="1436"/>
    </row>
    <row r="523" spans="18:28" s="1396" customFormat="1" ht="20.25" customHeight="1">
      <c r="R523" s="1436"/>
      <c r="S523" s="1436"/>
      <c r="T523" s="1436"/>
      <c r="U523" s="1436"/>
      <c r="V523" s="1436"/>
      <c r="W523" s="1436"/>
      <c r="X523" s="1436"/>
      <c r="Y523" s="1436"/>
      <c r="Z523" s="1436"/>
      <c r="AA523" s="1789"/>
      <c r="AB523" s="1436"/>
    </row>
    <row r="524" spans="18:28" s="1396" customFormat="1" ht="20.25" customHeight="1">
      <c r="R524" s="1436"/>
      <c r="S524" s="1436"/>
      <c r="T524" s="1436"/>
      <c r="U524" s="1436"/>
      <c r="V524" s="1436"/>
      <c r="W524" s="1436"/>
      <c r="X524" s="1436"/>
      <c r="Y524" s="1436"/>
      <c r="Z524" s="1436"/>
      <c r="AA524" s="1789"/>
      <c r="AB524" s="1436"/>
    </row>
    <row r="525" spans="18:28" s="1396" customFormat="1" ht="20.25" customHeight="1">
      <c r="R525" s="1436"/>
      <c r="S525" s="1436"/>
      <c r="T525" s="1436"/>
      <c r="U525" s="1436"/>
      <c r="V525" s="1436"/>
      <c r="W525" s="1436"/>
      <c r="X525" s="1436"/>
      <c r="Y525" s="1436"/>
      <c r="Z525" s="1436"/>
      <c r="AA525" s="1789"/>
      <c r="AB525" s="1436"/>
    </row>
    <row r="526" spans="18:28" s="1396" customFormat="1" ht="20.25" customHeight="1">
      <c r="R526" s="1436"/>
      <c r="S526" s="1436"/>
      <c r="T526" s="1436"/>
      <c r="U526" s="1436"/>
      <c r="V526" s="1436"/>
      <c r="W526" s="1436"/>
      <c r="X526" s="1436"/>
      <c r="Y526" s="1436"/>
      <c r="Z526" s="1436"/>
      <c r="AA526" s="1789"/>
      <c r="AB526" s="1436"/>
    </row>
    <row r="527" spans="18:28" s="1396" customFormat="1" ht="20.25" customHeight="1">
      <c r="R527" s="1436"/>
      <c r="S527" s="1436"/>
      <c r="T527" s="1436"/>
      <c r="U527" s="1436"/>
      <c r="V527" s="1436"/>
      <c r="W527" s="1436"/>
      <c r="X527" s="1436"/>
      <c r="Y527" s="1436"/>
      <c r="Z527" s="1436"/>
      <c r="AA527" s="1789"/>
      <c r="AB527" s="1436"/>
    </row>
    <row r="528" spans="18:28" s="1396" customFormat="1" ht="20.25" customHeight="1">
      <c r="R528" s="1436"/>
      <c r="S528" s="1436"/>
      <c r="T528" s="1436"/>
      <c r="U528" s="1436"/>
      <c r="V528" s="1436"/>
      <c r="W528" s="1436"/>
      <c r="X528" s="1436"/>
      <c r="Y528" s="1436"/>
      <c r="Z528" s="1436"/>
      <c r="AA528" s="1789"/>
      <c r="AB528" s="1436"/>
    </row>
    <row r="529" spans="18:28" s="1396" customFormat="1" ht="20.25" customHeight="1">
      <c r="R529" s="1436"/>
      <c r="S529" s="1436"/>
      <c r="T529" s="1436"/>
      <c r="U529" s="1436"/>
      <c r="V529" s="1436"/>
      <c r="W529" s="1436"/>
      <c r="X529" s="1436"/>
      <c r="Y529" s="1436"/>
      <c r="Z529" s="1436"/>
      <c r="AA529" s="1789"/>
      <c r="AB529" s="1436"/>
    </row>
    <row r="530" spans="18:28" s="1396" customFormat="1" ht="20.25" customHeight="1">
      <c r="R530" s="1436"/>
      <c r="S530" s="1436"/>
      <c r="T530" s="1436"/>
      <c r="U530" s="1436"/>
      <c r="V530" s="1436"/>
      <c r="W530" s="1436"/>
      <c r="X530" s="1436"/>
      <c r="Y530" s="1436"/>
      <c r="Z530" s="1436"/>
      <c r="AA530" s="1789"/>
      <c r="AB530" s="1436"/>
    </row>
    <row r="531" spans="18:28" s="1396" customFormat="1" ht="20.25" customHeight="1">
      <c r="R531" s="1436"/>
      <c r="S531" s="1436"/>
      <c r="T531" s="1436"/>
      <c r="U531" s="1436"/>
      <c r="V531" s="1436"/>
      <c r="W531" s="1436"/>
      <c r="X531" s="1436"/>
      <c r="Y531" s="1436"/>
      <c r="Z531" s="1436"/>
      <c r="AA531" s="1789"/>
      <c r="AB531" s="1436"/>
    </row>
    <row r="532" spans="18:28" s="1396" customFormat="1" ht="20.25" customHeight="1">
      <c r="R532" s="1436"/>
      <c r="S532" s="1436"/>
      <c r="T532" s="1436"/>
      <c r="U532" s="1436"/>
      <c r="V532" s="1436"/>
      <c r="W532" s="1436"/>
      <c r="X532" s="1436"/>
      <c r="Y532" s="1436"/>
      <c r="Z532" s="1436"/>
      <c r="AA532" s="1789"/>
      <c r="AB532" s="1436"/>
    </row>
    <row r="533" spans="18:28" s="1396" customFormat="1" ht="20.25" customHeight="1">
      <c r="R533" s="1436"/>
      <c r="S533" s="1436"/>
      <c r="T533" s="1436"/>
      <c r="U533" s="1436"/>
      <c r="V533" s="1436"/>
      <c r="W533" s="1436"/>
      <c r="X533" s="1436"/>
      <c r="Y533" s="1436"/>
      <c r="Z533" s="1436"/>
      <c r="AA533" s="1789"/>
      <c r="AB533" s="1436"/>
    </row>
    <row r="534" spans="18:28" s="1396" customFormat="1" ht="20.25" customHeight="1">
      <c r="R534" s="1436"/>
      <c r="S534" s="1436"/>
      <c r="T534" s="1436"/>
      <c r="U534" s="1436"/>
      <c r="V534" s="1436"/>
      <c r="W534" s="1436"/>
      <c r="X534" s="1436"/>
      <c r="Y534" s="1436"/>
      <c r="Z534" s="1436"/>
      <c r="AA534" s="1789"/>
      <c r="AB534" s="1436"/>
    </row>
    <row r="535" spans="18:28" s="1396" customFormat="1" ht="20.25" customHeight="1">
      <c r="R535" s="1436"/>
      <c r="S535" s="1436"/>
      <c r="T535" s="1436"/>
      <c r="U535" s="1436"/>
      <c r="V535" s="1436"/>
      <c r="W535" s="1436"/>
      <c r="X535" s="1436"/>
      <c r="Y535" s="1436"/>
      <c r="Z535" s="1436"/>
      <c r="AA535" s="1789"/>
      <c r="AB535" s="1436"/>
    </row>
    <row r="536" spans="18:28" s="1396" customFormat="1" ht="20.25" customHeight="1">
      <c r="R536" s="1436"/>
      <c r="S536" s="1436"/>
      <c r="T536" s="1436"/>
      <c r="U536" s="1436"/>
      <c r="V536" s="1436"/>
      <c r="W536" s="1436"/>
      <c r="X536" s="1436"/>
      <c r="Y536" s="1436"/>
      <c r="Z536" s="1436"/>
      <c r="AA536" s="1789"/>
      <c r="AB536" s="1436"/>
    </row>
    <row r="537" spans="18:28" s="1396" customFormat="1" ht="20.25" customHeight="1">
      <c r="R537" s="1436"/>
      <c r="S537" s="1436"/>
      <c r="T537" s="1436"/>
      <c r="U537" s="1436"/>
      <c r="V537" s="1436"/>
      <c r="W537" s="1436"/>
      <c r="X537" s="1436"/>
      <c r="Y537" s="1436"/>
      <c r="Z537" s="1436"/>
      <c r="AA537" s="1789"/>
      <c r="AB537" s="1436"/>
    </row>
    <row r="538" spans="18:28" s="1396" customFormat="1" ht="20.25" customHeight="1">
      <c r="R538" s="1436"/>
      <c r="S538" s="1436"/>
      <c r="T538" s="1436"/>
      <c r="U538" s="1436"/>
      <c r="V538" s="1436"/>
      <c r="W538" s="1436"/>
      <c r="X538" s="1436"/>
      <c r="Y538" s="1436"/>
      <c r="Z538" s="1436"/>
      <c r="AA538" s="1789"/>
      <c r="AB538" s="1436"/>
    </row>
    <row r="539" spans="18:28" s="1396" customFormat="1" ht="20.25" customHeight="1">
      <c r="R539" s="1436"/>
      <c r="S539" s="1436"/>
      <c r="T539" s="1436"/>
      <c r="U539" s="1436"/>
      <c r="V539" s="1436"/>
      <c r="W539" s="1436"/>
      <c r="X539" s="1436"/>
      <c r="Y539" s="1436"/>
      <c r="Z539" s="1436"/>
      <c r="AA539" s="1789"/>
      <c r="AB539" s="1436"/>
    </row>
    <row r="540" spans="18:28" s="1396" customFormat="1" ht="20.25" customHeight="1">
      <c r="R540" s="1436"/>
      <c r="S540" s="1436"/>
      <c r="T540" s="1436"/>
      <c r="U540" s="1436"/>
      <c r="V540" s="1436"/>
      <c r="W540" s="1436"/>
      <c r="X540" s="1436"/>
      <c r="Y540" s="1436"/>
      <c r="Z540" s="1436"/>
      <c r="AA540" s="1789"/>
      <c r="AB540" s="1436"/>
    </row>
    <row r="541" spans="18:28" s="1396" customFormat="1" ht="20.25" customHeight="1">
      <c r="R541" s="1436"/>
      <c r="S541" s="1436"/>
      <c r="T541" s="1436"/>
      <c r="U541" s="1436"/>
      <c r="V541" s="1436"/>
      <c r="W541" s="1436"/>
      <c r="X541" s="1436"/>
      <c r="Y541" s="1436"/>
      <c r="Z541" s="1436"/>
      <c r="AA541" s="1789"/>
      <c r="AB541" s="1436"/>
    </row>
    <row r="542" spans="18:28" s="1396" customFormat="1" ht="20.25" customHeight="1">
      <c r="R542" s="1436"/>
      <c r="S542" s="1436"/>
      <c r="T542" s="1436"/>
      <c r="U542" s="1436"/>
      <c r="V542" s="1436"/>
      <c r="W542" s="1436"/>
      <c r="X542" s="1436"/>
      <c r="Y542" s="1436"/>
      <c r="Z542" s="1436"/>
      <c r="AA542" s="1789"/>
      <c r="AB542" s="1436"/>
    </row>
    <row r="543" spans="18:28" s="1396" customFormat="1" ht="20.25" customHeight="1">
      <c r="R543" s="1436"/>
      <c r="S543" s="1436"/>
      <c r="T543" s="1436"/>
      <c r="U543" s="1436"/>
      <c r="V543" s="1436"/>
      <c r="W543" s="1436"/>
      <c r="X543" s="1436"/>
      <c r="Y543" s="1436"/>
      <c r="Z543" s="1436"/>
      <c r="AA543" s="1789"/>
      <c r="AB543" s="1436"/>
    </row>
    <row r="544" spans="18:28" s="1396" customFormat="1" ht="20.25" customHeight="1">
      <c r="R544" s="1436"/>
      <c r="S544" s="1436"/>
      <c r="T544" s="1436"/>
      <c r="U544" s="1436"/>
      <c r="V544" s="1436"/>
      <c r="W544" s="1436"/>
      <c r="X544" s="1436"/>
      <c r="Y544" s="1436"/>
      <c r="Z544" s="1436"/>
      <c r="AA544" s="1789"/>
      <c r="AB544" s="1436"/>
    </row>
    <row r="545" spans="18:28" s="1396" customFormat="1" ht="20.25" customHeight="1">
      <c r="R545" s="1436"/>
      <c r="S545" s="1436"/>
      <c r="T545" s="1436"/>
      <c r="U545" s="1436"/>
      <c r="V545" s="1436"/>
      <c r="W545" s="1436"/>
      <c r="X545" s="1436"/>
      <c r="Y545" s="1436"/>
      <c r="Z545" s="1436"/>
      <c r="AA545" s="1789"/>
      <c r="AB545" s="1436"/>
    </row>
    <row r="546" spans="18:28" s="1396" customFormat="1" ht="20.25" customHeight="1">
      <c r="R546" s="1436"/>
      <c r="S546" s="1436"/>
      <c r="T546" s="1436"/>
      <c r="U546" s="1436"/>
      <c r="V546" s="1436"/>
      <c r="W546" s="1436"/>
      <c r="X546" s="1436"/>
      <c r="Y546" s="1436"/>
      <c r="Z546" s="1436"/>
      <c r="AA546" s="1789"/>
      <c r="AB546" s="1436"/>
    </row>
    <row r="547" spans="18:28" s="1396" customFormat="1" ht="20.25" customHeight="1">
      <c r="R547" s="1436"/>
      <c r="S547" s="1436"/>
      <c r="T547" s="1436"/>
      <c r="U547" s="1436"/>
      <c r="V547" s="1436"/>
      <c r="W547" s="1436"/>
      <c r="X547" s="1436"/>
      <c r="Y547" s="1436"/>
      <c r="Z547" s="1436"/>
      <c r="AA547" s="1789"/>
      <c r="AB547" s="1436"/>
    </row>
    <row r="548" spans="18:28" s="1396" customFormat="1" ht="20.25" customHeight="1">
      <c r="R548" s="1436"/>
      <c r="S548" s="1436"/>
      <c r="T548" s="1436"/>
      <c r="U548" s="1436"/>
      <c r="V548" s="1436"/>
      <c r="W548" s="1436"/>
      <c r="X548" s="1436"/>
      <c r="Y548" s="1436"/>
      <c r="Z548" s="1436"/>
      <c r="AA548" s="1789"/>
      <c r="AB548" s="1436"/>
    </row>
    <row r="549" spans="18:28" s="1396" customFormat="1" ht="20.25" customHeight="1">
      <c r="R549" s="1436"/>
      <c r="S549" s="1436"/>
      <c r="T549" s="1436"/>
      <c r="U549" s="1436"/>
      <c r="V549" s="1436"/>
      <c r="W549" s="1436"/>
      <c r="X549" s="1436"/>
      <c r="Y549" s="1436"/>
      <c r="Z549" s="1436"/>
      <c r="AA549" s="1789"/>
      <c r="AB549" s="1436"/>
    </row>
    <row r="550" spans="18:28" s="1396" customFormat="1" ht="20.25" customHeight="1">
      <c r="R550" s="1436"/>
      <c r="S550" s="1436"/>
      <c r="T550" s="1436"/>
      <c r="U550" s="1436"/>
      <c r="V550" s="1436"/>
      <c r="W550" s="1436"/>
      <c r="X550" s="1436"/>
      <c r="Y550" s="1436"/>
      <c r="Z550" s="1436"/>
      <c r="AA550" s="1789"/>
      <c r="AB550" s="1436"/>
    </row>
    <row r="551" spans="18:28" s="1396" customFormat="1" ht="20.25" customHeight="1">
      <c r="R551" s="1436"/>
      <c r="S551" s="1436"/>
      <c r="T551" s="1436"/>
      <c r="U551" s="1436"/>
      <c r="V551" s="1436"/>
      <c r="W551" s="1436"/>
      <c r="X551" s="1436"/>
      <c r="Y551" s="1436"/>
      <c r="Z551" s="1436"/>
      <c r="AA551" s="1789"/>
      <c r="AB551" s="1436"/>
    </row>
    <row r="552" spans="18:28" s="1396" customFormat="1" ht="20.25" customHeight="1">
      <c r="R552" s="1436"/>
      <c r="S552" s="1436"/>
      <c r="T552" s="1436"/>
      <c r="U552" s="1436"/>
      <c r="V552" s="1436"/>
      <c r="W552" s="1436"/>
      <c r="X552" s="1436"/>
      <c r="Y552" s="1436"/>
      <c r="Z552" s="1436"/>
      <c r="AA552" s="1789"/>
      <c r="AB552" s="1436"/>
    </row>
    <row r="553" spans="18:28" s="1396" customFormat="1" ht="20.25" customHeight="1">
      <c r="R553" s="1436"/>
      <c r="S553" s="1436"/>
      <c r="T553" s="1436"/>
      <c r="U553" s="1436"/>
      <c r="V553" s="1436"/>
      <c r="W553" s="1436"/>
      <c r="X553" s="1436"/>
      <c r="Y553" s="1436"/>
      <c r="Z553" s="1436"/>
      <c r="AA553" s="1789"/>
      <c r="AB553" s="1436"/>
    </row>
    <row r="554" spans="18:28" s="1396" customFormat="1" ht="20.25" customHeight="1">
      <c r="R554" s="1436"/>
      <c r="S554" s="1436"/>
      <c r="T554" s="1436"/>
      <c r="U554" s="1436"/>
      <c r="V554" s="1436"/>
      <c r="W554" s="1436"/>
      <c r="X554" s="1436"/>
      <c r="Y554" s="1436"/>
      <c r="Z554" s="1436"/>
      <c r="AA554" s="1789"/>
      <c r="AB554" s="1436"/>
    </row>
    <row r="555" spans="18:28" s="1396" customFormat="1" ht="20.25" customHeight="1">
      <c r="R555" s="1436"/>
      <c r="S555" s="1436"/>
      <c r="T555" s="1436"/>
      <c r="U555" s="1436"/>
      <c r="V555" s="1436"/>
      <c r="W555" s="1436"/>
      <c r="X555" s="1436"/>
      <c r="Y555" s="1436"/>
      <c r="Z555" s="1436"/>
      <c r="AA555" s="1789"/>
      <c r="AB555" s="1436"/>
    </row>
    <row r="556" spans="18:28" s="1396" customFormat="1" ht="20.25" customHeight="1">
      <c r="R556" s="1436"/>
      <c r="S556" s="1436"/>
      <c r="T556" s="1436"/>
      <c r="U556" s="1436"/>
      <c r="V556" s="1436"/>
      <c r="W556" s="1436"/>
      <c r="X556" s="1436"/>
      <c r="Y556" s="1436"/>
      <c r="Z556" s="1436"/>
      <c r="AA556" s="1789"/>
      <c r="AB556" s="1436"/>
    </row>
    <row r="557" spans="18:28" s="1396" customFormat="1" ht="20.25" customHeight="1">
      <c r="R557" s="1436"/>
      <c r="S557" s="1436"/>
      <c r="T557" s="1436"/>
      <c r="U557" s="1436"/>
      <c r="V557" s="1436"/>
      <c r="W557" s="1436"/>
      <c r="X557" s="1436"/>
      <c r="Y557" s="1436"/>
      <c r="Z557" s="1436"/>
      <c r="AA557" s="1789"/>
      <c r="AB557" s="1436"/>
    </row>
    <row r="558" spans="18:28" s="1396" customFormat="1" ht="20.25" customHeight="1">
      <c r="R558" s="1436"/>
      <c r="S558" s="1436"/>
      <c r="T558" s="1436"/>
      <c r="U558" s="1436"/>
      <c r="V558" s="1436"/>
      <c r="W558" s="1436"/>
      <c r="X558" s="1436"/>
      <c r="Y558" s="1436"/>
      <c r="Z558" s="1436"/>
      <c r="AA558" s="1789"/>
      <c r="AB558" s="1436"/>
    </row>
    <row r="559" spans="18:28" s="1396" customFormat="1" ht="20.25" customHeight="1">
      <c r="R559" s="1436"/>
      <c r="S559" s="1436"/>
      <c r="T559" s="1436"/>
      <c r="U559" s="1436"/>
      <c r="V559" s="1436"/>
      <c r="W559" s="1436"/>
      <c r="X559" s="1436"/>
      <c r="Y559" s="1436"/>
      <c r="Z559" s="1436"/>
      <c r="AA559" s="1789"/>
      <c r="AB559" s="1436"/>
    </row>
    <row r="560" spans="18:28" s="1396" customFormat="1" ht="20.25" customHeight="1">
      <c r="R560" s="1436"/>
      <c r="S560" s="1436"/>
      <c r="T560" s="1436"/>
      <c r="U560" s="1436"/>
      <c r="V560" s="1436"/>
      <c r="W560" s="1436"/>
      <c r="X560" s="1436"/>
      <c r="Y560" s="1436"/>
      <c r="Z560" s="1436"/>
      <c r="AA560" s="1789"/>
      <c r="AB560" s="1436"/>
    </row>
    <row r="561" spans="1:28" s="1396" customFormat="1" ht="20.25" customHeight="1">
      <c r="R561" s="1436"/>
      <c r="S561" s="1436"/>
      <c r="T561" s="1436"/>
      <c r="U561" s="1436"/>
      <c r="V561" s="1436"/>
      <c r="W561" s="1436"/>
      <c r="X561" s="1436"/>
      <c r="Y561" s="1436"/>
      <c r="Z561" s="1436"/>
      <c r="AA561" s="1789"/>
      <c r="AB561" s="1436"/>
    </row>
    <row r="562" spans="1:28" s="1396" customFormat="1" ht="20.25" customHeight="1">
      <c r="R562" s="1436"/>
      <c r="S562" s="1436"/>
      <c r="T562" s="1436"/>
      <c r="U562" s="1436"/>
      <c r="V562" s="1436"/>
      <c r="W562" s="1436"/>
      <c r="X562" s="1436"/>
      <c r="Y562" s="1436"/>
      <c r="Z562" s="1436"/>
      <c r="AA562" s="1789"/>
      <c r="AB562" s="1436"/>
    </row>
    <row r="563" spans="1:28" s="1396" customFormat="1" ht="20.25" customHeight="1">
      <c r="R563" s="1436"/>
      <c r="S563" s="1436"/>
      <c r="T563" s="1436"/>
      <c r="U563" s="1436"/>
      <c r="V563" s="1436"/>
      <c r="W563" s="1436"/>
      <c r="X563" s="1436"/>
      <c r="Y563" s="1436"/>
      <c r="Z563" s="1436"/>
      <c r="AA563" s="1789"/>
      <c r="AB563" s="1436"/>
    </row>
    <row r="564" spans="1:28" s="1396" customFormat="1" ht="20.25" customHeight="1">
      <c r="R564" s="1436"/>
      <c r="S564" s="1436"/>
      <c r="T564" s="1436"/>
      <c r="U564" s="1436"/>
      <c r="V564" s="1436"/>
      <c r="W564" s="1436"/>
      <c r="X564" s="1436"/>
      <c r="Y564" s="1436"/>
      <c r="Z564" s="1436"/>
      <c r="AA564" s="1789"/>
      <c r="AB564" s="1436"/>
    </row>
    <row r="565" spans="1:28" s="1396" customFormat="1" ht="20.25" customHeight="1">
      <c r="R565" s="1436"/>
      <c r="S565" s="1436"/>
      <c r="T565" s="1436"/>
      <c r="U565" s="1436"/>
      <c r="V565" s="1436"/>
      <c r="W565" s="1436"/>
      <c r="X565" s="1436"/>
      <c r="Y565" s="1436"/>
      <c r="Z565" s="1436"/>
      <c r="AA565" s="1789"/>
      <c r="AB565" s="1436"/>
    </row>
    <row r="566" spans="1:28" s="1396" customFormat="1" ht="20.25" customHeight="1">
      <c r="R566" s="1436"/>
      <c r="S566" s="1436"/>
      <c r="T566" s="1436"/>
      <c r="U566" s="1436"/>
      <c r="V566" s="1436"/>
      <c r="W566" s="1436"/>
      <c r="X566" s="1436"/>
      <c r="Y566" s="1436"/>
      <c r="Z566" s="1436"/>
      <c r="AA566" s="1789"/>
      <c r="AB566" s="1436"/>
    </row>
    <row r="567" spans="1:28" s="1396" customFormat="1" ht="20.25" customHeight="1">
      <c r="R567" s="1436"/>
      <c r="S567" s="1436"/>
      <c r="T567" s="1436"/>
      <c r="U567" s="1436"/>
      <c r="V567" s="1436"/>
      <c r="W567" s="1436"/>
      <c r="X567" s="1436"/>
      <c r="Y567" s="1436"/>
      <c r="Z567" s="1436"/>
      <c r="AA567" s="1789"/>
      <c r="AB567" s="1436"/>
    </row>
    <row r="568" spans="1:28" s="1396" customFormat="1" ht="20.25" customHeight="1">
      <c r="R568" s="1436"/>
      <c r="S568" s="1436"/>
      <c r="T568" s="1436"/>
      <c r="U568" s="1436"/>
      <c r="V568" s="1436"/>
      <c r="W568" s="1436"/>
      <c r="X568" s="1436"/>
      <c r="Y568" s="1436"/>
      <c r="Z568" s="1436"/>
      <c r="AA568" s="1789"/>
      <c r="AB568" s="1436"/>
    </row>
    <row r="569" spans="1:28" s="1396" customFormat="1" ht="20.25" customHeight="1">
      <c r="R569" s="1436"/>
      <c r="S569" s="1436"/>
      <c r="T569" s="1436"/>
      <c r="U569" s="1436"/>
      <c r="V569" s="1436"/>
      <c r="W569" s="1436"/>
      <c r="X569" s="1436"/>
      <c r="Y569" s="1436"/>
      <c r="Z569" s="1436"/>
      <c r="AA569" s="1789"/>
      <c r="AB569" s="1436"/>
    </row>
    <row r="570" spans="1:28" s="1396" customFormat="1" ht="20.25" customHeight="1">
      <c r="R570" s="1436"/>
      <c r="S570" s="1436"/>
      <c r="T570" s="1436"/>
      <c r="U570" s="1436"/>
      <c r="V570" s="1436"/>
      <c r="W570" s="1436"/>
      <c r="X570" s="1436"/>
      <c r="Y570" s="1436"/>
      <c r="Z570" s="1436"/>
      <c r="AA570" s="1789"/>
      <c r="AB570" s="1436"/>
    </row>
    <row r="571" spans="1:28" s="1396" customFormat="1" ht="20.25" customHeight="1">
      <c r="R571" s="1436"/>
      <c r="S571" s="1436"/>
      <c r="T571" s="1436"/>
      <c r="U571" s="1436"/>
      <c r="V571" s="1436"/>
      <c r="W571" s="1436"/>
      <c r="X571" s="1436"/>
      <c r="Y571" s="1436"/>
      <c r="Z571" s="1436"/>
      <c r="AA571" s="1789"/>
      <c r="AB571" s="1436"/>
    </row>
    <row r="572" spans="1:28" s="1396" customFormat="1" ht="20.25" customHeight="1">
      <c r="R572" s="1436"/>
      <c r="S572" s="1436"/>
      <c r="T572" s="1436"/>
      <c r="U572" s="1436"/>
      <c r="V572" s="1436"/>
      <c r="W572" s="1436"/>
      <c r="X572" s="1436"/>
      <c r="Y572" s="1436"/>
      <c r="Z572" s="1436"/>
      <c r="AA572" s="1789"/>
      <c r="AB572" s="1436"/>
    </row>
    <row r="573" spans="1:28" s="1396" customFormat="1" ht="20.25" customHeight="1">
      <c r="J573" s="2549"/>
      <c r="R573" s="1436"/>
      <c r="S573" s="1436"/>
      <c r="T573" s="1436"/>
      <c r="U573" s="1436"/>
      <c r="V573" s="1436"/>
      <c r="W573" s="1436"/>
      <c r="X573" s="1436"/>
      <c r="Y573" s="1436"/>
      <c r="Z573" s="1436"/>
      <c r="AA573" s="1789"/>
      <c r="AB573" s="1436"/>
    </row>
    <row r="574" spans="1:28" s="1396" customFormat="1" ht="20.25" customHeight="1">
      <c r="A574" s="1394"/>
      <c r="B574" s="1394"/>
      <c r="C574" s="1394"/>
      <c r="G574" s="2549"/>
      <c r="H574" s="2549"/>
      <c r="I574" s="2549"/>
      <c r="J574" s="2549"/>
      <c r="K574" s="1394"/>
      <c r="L574" s="1394"/>
      <c r="M574" s="1394"/>
      <c r="P574" s="2549"/>
      <c r="Q574" s="1394"/>
      <c r="R574" s="1436"/>
      <c r="S574" s="1436"/>
      <c r="T574" s="1436"/>
      <c r="U574" s="1436"/>
      <c r="V574" s="1436"/>
      <c r="W574" s="1436"/>
      <c r="X574" s="1436"/>
      <c r="Y574" s="1436"/>
      <c r="Z574" s="1436"/>
      <c r="AA574" s="1789"/>
      <c r="AB574" s="1436"/>
    </row>
    <row r="575" spans="1:28" s="1396" customFormat="1" ht="20.25" customHeight="1">
      <c r="A575" s="2549"/>
      <c r="B575" s="2549"/>
      <c r="C575" s="2549"/>
      <c r="G575" s="2549"/>
      <c r="H575" s="2549"/>
      <c r="I575" s="2549"/>
      <c r="J575" s="2549"/>
      <c r="K575" s="2549"/>
      <c r="L575" s="2549"/>
      <c r="M575" s="2549"/>
      <c r="O575" s="2549"/>
      <c r="P575" s="2549"/>
      <c r="Q575" s="2549"/>
      <c r="R575" s="1436"/>
      <c r="S575" s="1436"/>
      <c r="T575" s="1436"/>
      <c r="U575" s="1436"/>
      <c r="V575" s="1436"/>
      <c r="W575" s="1436"/>
      <c r="X575" s="1436"/>
      <c r="Y575" s="1436"/>
      <c r="Z575" s="1436"/>
      <c r="AA575" s="1789"/>
      <c r="AB575" s="1436"/>
    </row>
    <row r="576" spans="1:28" ht="20.25" customHeight="1">
      <c r="A576" s="2549"/>
      <c r="B576" s="2549"/>
      <c r="C576" s="2549"/>
      <c r="G576" s="2549"/>
      <c r="H576" s="2549"/>
      <c r="I576" s="2549"/>
      <c r="J576" s="2549"/>
      <c r="K576" s="2549"/>
      <c r="L576" s="2549"/>
      <c r="M576" s="2549"/>
      <c r="O576" s="2549"/>
      <c r="P576" s="2549"/>
      <c r="Q576" s="2549"/>
      <c r="R576" s="1436"/>
      <c r="S576" s="1436"/>
    </row>
    <row r="577" spans="1:19" ht="20.25" customHeight="1">
      <c r="A577" s="2549"/>
      <c r="B577" s="2549"/>
      <c r="C577" s="2549"/>
      <c r="G577" s="2549"/>
      <c r="H577" s="2549"/>
      <c r="I577" s="2549"/>
      <c r="J577" s="2549"/>
      <c r="K577" s="2549"/>
      <c r="L577" s="2549"/>
      <c r="M577" s="2549"/>
      <c r="O577" s="2549"/>
      <c r="P577" s="2549"/>
      <c r="Q577" s="2549"/>
      <c r="R577" s="1436"/>
      <c r="S577" s="1436"/>
    </row>
    <row r="578" spans="1:19" ht="20.25" customHeight="1">
      <c r="A578" s="2549"/>
      <c r="B578" s="2549"/>
      <c r="C578" s="2549"/>
      <c r="I578" s="2549"/>
      <c r="K578" s="2549"/>
      <c r="L578" s="2549"/>
      <c r="M578" s="2549"/>
      <c r="O578" s="2549"/>
      <c r="Q578" s="2549"/>
      <c r="R578" s="1436"/>
      <c r="S578" s="1436"/>
    </row>
    <row r="579" spans="1:19" ht="20.25" customHeight="1">
      <c r="A579" s="2549"/>
      <c r="B579" s="2549"/>
      <c r="C579" s="2549"/>
      <c r="K579" s="2549"/>
      <c r="L579" s="2549"/>
      <c r="M579" s="2549"/>
      <c r="O579" s="2549"/>
      <c r="Q579" s="2549"/>
      <c r="R579" s="1436"/>
      <c r="S579" s="1436"/>
    </row>
    <row r="580" spans="1:19">
      <c r="R580" s="1436"/>
      <c r="S580" s="1436"/>
    </row>
    <row r="581" spans="1:19">
      <c r="R581" s="1436"/>
      <c r="S581" s="1436"/>
    </row>
  </sheetData>
  <sheetProtection algorithmName="SHA-512" hashValue="EG/1COkIPX3WnxgQTa5y3yaHNZahKca5oXKC6W1ldMBFfZNBb/FKGNsvYTOPuP1QrZW3twQkOlY669KnDeDnBw==" saltValue="edbOG9ZyDMhYf5USM8h0qA==" spinCount="100000" sheet="1" objects="1" scenarios="1" formatRows="0"/>
  <mergeCells count="227">
    <mergeCell ref="M159:Q159"/>
    <mergeCell ref="M158:Q158"/>
    <mergeCell ref="I225:L225"/>
    <mergeCell ref="I248:Q248"/>
    <mergeCell ref="I247:Q247"/>
    <mergeCell ref="P61:Q61"/>
    <mergeCell ref="L60:Q60"/>
    <mergeCell ref="L71:Q71"/>
    <mergeCell ref="P63:Q63"/>
    <mergeCell ref="P62:Q62"/>
    <mergeCell ref="C73:O73"/>
    <mergeCell ref="A75:Q75"/>
    <mergeCell ref="A77:Q77"/>
    <mergeCell ref="P80:Q80"/>
    <mergeCell ref="B81:K81"/>
    <mergeCell ref="L81:Q81"/>
    <mergeCell ref="A65:Q65"/>
    <mergeCell ref="A67:Q67"/>
    <mergeCell ref="P70:Q70"/>
    <mergeCell ref="A100:Q100"/>
    <mergeCell ref="A102:Q102"/>
    <mergeCell ref="P105:Q105"/>
    <mergeCell ref="A107:Q107"/>
    <mergeCell ref="A109:Q109"/>
    <mergeCell ref="A1:Q1"/>
    <mergeCell ref="A3:G3"/>
    <mergeCell ref="H3:N3"/>
    <mergeCell ref="P3:P5"/>
    <mergeCell ref="Q3:Q5"/>
    <mergeCell ref="B4:D4"/>
    <mergeCell ref="E5:I5"/>
    <mergeCell ref="A15:Q15"/>
    <mergeCell ref="A16:Q16"/>
    <mergeCell ref="A17:Q17"/>
    <mergeCell ref="A18:Q18"/>
    <mergeCell ref="A19:Q19"/>
    <mergeCell ref="A20:Q20"/>
    <mergeCell ref="A7:Q7"/>
    <mergeCell ref="P9:Q9"/>
    <mergeCell ref="A11:Q11"/>
    <mergeCell ref="A12:Q12"/>
    <mergeCell ref="A13:Q13"/>
    <mergeCell ref="A14:Q14"/>
    <mergeCell ref="A25:Q25"/>
    <mergeCell ref="P27:Q27"/>
    <mergeCell ref="A29:Q29"/>
    <mergeCell ref="A31:Q31"/>
    <mergeCell ref="P43:Q43"/>
    <mergeCell ref="A21:Q21"/>
    <mergeCell ref="A22:Q22"/>
    <mergeCell ref="A23:Q23"/>
    <mergeCell ref="A24:Q24"/>
    <mergeCell ref="P33:Q33"/>
    <mergeCell ref="A38:Q38"/>
    <mergeCell ref="A40:Q40"/>
    <mergeCell ref="P34:Q34"/>
    <mergeCell ref="B35:O35"/>
    <mergeCell ref="P35:Q35"/>
    <mergeCell ref="P59:Q59"/>
    <mergeCell ref="B44:O44"/>
    <mergeCell ref="P44:Q44"/>
    <mergeCell ref="A46:Q46"/>
    <mergeCell ref="A48:Q48"/>
    <mergeCell ref="P51:Q51"/>
    <mergeCell ref="P52:Q52"/>
    <mergeCell ref="A54:Q54"/>
    <mergeCell ref="A56:Q56"/>
    <mergeCell ref="B88:Q88"/>
    <mergeCell ref="B89:Q89"/>
    <mergeCell ref="A91:Q91"/>
    <mergeCell ref="A93:Q93"/>
    <mergeCell ref="P96:Q96"/>
    <mergeCell ref="L97:N97"/>
    <mergeCell ref="O97:Q97"/>
    <mergeCell ref="L98:Q98"/>
    <mergeCell ref="A123:Q123"/>
    <mergeCell ref="A125:Q125"/>
    <mergeCell ref="P128:Q128"/>
    <mergeCell ref="B112:D112"/>
    <mergeCell ref="P112:Q112"/>
    <mergeCell ref="A114:Q114"/>
    <mergeCell ref="A116:Q116"/>
    <mergeCell ref="P119:Q119"/>
    <mergeCell ref="M141:Q141"/>
    <mergeCell ref="M130:Q130"/>
    <mergeCell ref="M129:Q129"/>
    <mergeCell ref="M121:Q121"/>
    <mergeCell ref="M120:Q120"/>
    <mergeCell ref="C142:Q142"/>
    <mergeCell ref="M143:Q143"/>
    <mergeCell ref="B144:N144"/>
    <mergeCell ref="C145:Q145"/>
    <mergeCell ref="C146:H146"/>
    <mergeCell ref="J146:Q146"/>
    <mergeCell ref="A132:Q132"/>
    <mergeCell ref="A134:Q134"/>
    <mergeCell ref="P137:Q137"/>
    <mergeCell ref="B138:O138"/>
    <mergeCell ref="P138:Q138"/>
    <mergeCell ref="M140:Q140"/>
    <mergeCell ref="A151:Q151"/>
    <mergeCell ref="A153:Q153"/>
    <mergeCell ref="P156:Q156"/>
    <mergeCell ref="P157:Q157"/>
    <mergeCell ref="C147:H147"/>
    <mergeCell ref="J147:Q147"/>
    <mergeCell ref="C148:H148"/>
    <mergeCell ref="J148:Q148"/>
    <mergeCell ref="C149:H149"/>
    <mergeCell ref="J149:Q149"/>
    <mergeCell ref="B175:O175"/>
    <mergeCell ref="P175:Q175"/>
    <mergeCell ref="A178:Q178"/>
    <mergeCell ref="A180:Q180"/>
    <mergeCell ref="P183:Q183"/>
    <mergeCell ref="A161:Q161"/>
    <mergeCell ref="A163:Q163"/>
    <mergeCell ref="P166:Q166"/>
    <mergeCell ref="A168:Q168"/>
    <mergeCell ref="A170:Q170"/>
    <mergeCell ref="P173:Q173"/>
    <mergeCell ref="L176:Q176"/>
    <mergeCell ref="D192:J192"/>
    <mergeCell ref="P192:Q192"/>
    <mergeCell ref="B193:J193"/>
    <mergeCell ref="P193:Q193"/>
    <mergeCell ref="M195:Q195"/>
    <mergeCell ref="A199:Q199"/>
    <mergeCell ref="P184:Q184"/>
    <mergeCell ref="B185:O185"/>
    <mergeCell ref="P185:Q185"/>
    <mergeCell ref="B187:O187"/>
    <mergeCell ref="L189:M189"/>
    <mergeCell ref="P191:Q191"/>
    <mergeCell ref="D188:O188"/>
    <mergeCell ref="P188:Q188"/>
    <mergeCell ref="P190:Q190"/>
    <mergeCell ref="C210:Q210"/>
    <mergeCell ref="C211:Q211"/>
    <mergeCell ref="C212:Q212"/>
    <mergeCell ref="A214:Q214"/>
    <mergeCell ref="A201:Q201"/>
    <mergeCell ref="P204:Q204"/>
    <mergeCell ref="P205:Q205"/>
    <mergeCell ref="B206:N206"/>
    <mergeCell ref="P206:Q206"/>
    <mergeCell ref="C208:E208"/>
    <mergeCell ref="F208:Q208"/>
    <mergeCell ref="C209:E209"/>
    <mergeCell ref="F209:Q209"/>
    <mergeCell ref="O224:Q224"/>
    <mergeCell ref="A227:Q227"/>
    <mergeCell ref="A229:Q229"/>
    <mergeCell ref="P232:Q232"/>
    <mergeCell ref="B233:O233"/>
    <mergeCell ref="P233:Q233"/>
    <mergeCell ref="A216:Q216"/>
    <mergeCell ref="P219:Q219"/>
    <mergeCell ref="P220:Q220"/>
    <mergeCell ref="P221:Q221"/>
    <mergeCell ref="P222:Q222"/>
    <mergeCell ref="B223:O223"/>
    <mergeCell ref="P223:Q223"/>
    <mergeCell ref="A243:Q243"/>
    <mergeCell ref="P246:Q246"/>
    <mergeCell ref="B247:F247"/>
    <mergeCell ref="B248:F248"/>
    <mergeCell ref="G235:O235"/>
    <mergeCell ref="C236:F236"/>
    <mergeCell ref="G236:O236"/>
    <mergeCell ref="B237:O237"/>
    <mergeCell ref="B239:O239"/>
    <mergeCell ref="A241:Q241"/>
    <mergeCell ref="P258:Q258"/>
    <mergeCell ref="D259:Q259"/>
    <mergeCell ref="A261:Q261"/>
    <mergeCell ref="A263:Q263"/>
    <mergeCell ref="P266:Q266"/>
    <mergeCell ref="P267:Q267"/>
    <mergeCell ref="B249:O249"/>
    <mergeCell ref="P249:Q249"/>
    <mergeCell ref="A251:Q251"/>
    <mergeCell ref="A253:Q253"/>
    <mergeCell ref="P256:Q256"/>
    <mergeCell ref="P257:Q257"/>
    <mergeCell ref="A272:Q272"/>
    <mergeCell ref="A274:Q274"/>
    <mergeCell ref="P277:Q277"/>
    <mergeCell ref="B278:N278"/>
    <mergeCell ref="P278:Q278"/>
    <mergeCell ref="B279:O279"/>
    <mergeCell ref="P279:Q279"/>
    <mergeCell ref="B268:O268"/>
    <mergeCell ref="P268:Q268"/>
    <mergeCell ref="B269:O269"/>
    <mergeCell ref="P269:Q269"/>
    <mergeCell ref="B270:O270"/>
    <mergeCell ref="P270:Q270"/>
    <mergeCell ref="A292:Q292"/>
    <mergeCell ref="A294:Q294"/>
    <mergeCell ref="P297:Q297"/>
    <mergeCell ref="B298:O298"/>
    <mergeCell ref="P298:Q298"/>
    <mergeCell ref="A300:Q300"/>
    <mergeCell ref="A281:Q281"/>
    <mergeCell ref="A283:Q283"/>
    <mergeCell ref="P286:Q286"/>
    <mergeCell ref="B288:O288"/>
    <mergeCell ref="B290:O290"/>
    <mergeCell ref="P289:Q290"/>
    <mergeCell ref="P287:Q288"/>
    <mergeCell ref="A309:Q309"/>
    <mergeCell ref="A311:Q311"/>
    <mergeCell ref="P320:Q320"/>
    <mergeCell ref="A322:Q322"/>
    <mergeCell ref="A324:Q324"/>
    <mergeCell ref="A302:Q302"/>
    <mergeCell ref="P305:Q305"/>
    <mergeCell ref="B306:O306"/>
    <mergeCell ref="P306:Q306"/>
    <mergeCell ref="B307:O307"/>
    <mergeCell ref="P307:Q307"/>
    <mergeCell ref="P313:Q313"/>
    <mergeCell ref="A316:Q316"/>
    <mergeCell ref="A318:Q318"/>
    <mergeCell ref="B314:O314"/>
    <mergeCell ref="P314:Q314"/>
  </mergeCells>
  <dataValidations count="22">
    <dataValidation type="list" allowBlank="1" showInputMessage="1" showErrorMessage="1" sqref="P236" xr:uid="{D66E83FB-5DD8-444D-8F59-B7CD26146A55}">
      <formula1>"Agree, Disagree,N/A - 9%"</formula1>
    </dataValidation>
    <dataValidation type="list" allowBlank="1" showInputMessage="1" showErrorMessage="1" sqref="P235" xr:uid="{4BAB5CE1-0360-4B3E-AE0F-1779883DA710}">
      <formula1>"Agree, Disagree, N/A - 4%"</formula1>
    </dataValidation>
    <dataValidation type="list" allowBlank="1" showInputMessage="1" showErrorMessage="1" sqref="P73:Q73" xr:uid="{5D47EC6C-CB45-4442-B408-11D6A18C536E}">
      <formula1>"Yes, No, N/a"</formula1>
    </dataValidation>
    <dataValidation type="list" allowBlank="1" showInputMessage="1" showErrorMessage="1" sqref="M158" xr:uid="{525701B6-2A97-41D5-994D-2A17AAF78DD9}">
      <formula1>"&lt;&lt;Select&gt;&gt;, Substantial Rehab Gutted, Substantial Rehab Non-Gutted,Historic Preservation"</formula1>
    </dataValidation>
    <dataValidation type="list" allowBlank="1" showInputMessage="1" showErrorMessage="1" sqref="M141" xr:uid="{EE03F823-A6DC-4432-96A9-A92D6AF3B78E}">
      <formula1>"&lt;&lt;Select&gt;&gt;, Gazebo, Covered Porch, Other Pre-Approved"</formula1>
    </dataValidation>
    <dataValidation type="list" allowBlank="1" showInputMessage="1" showErrorMessage="1" sqref="M143" xr:uid="{9C96D3EC-252D-42F5-94FC-E1BACA21BA14}">
      <formula1>"&lt;&lt;Select&gt;&gt;, On-site laundry, W&amp;D installed in each unit, Both options"</formula1>
    </dataValidation>
    <dataValidation type="list" allowBlank="1" showInputMessage="1" showErrorMessage="1" sqref="P196:Q197 P157 Q126:Q127 P44 P205:P206 Q275:Q276 Q254:Q255 P184:Q184 P82:Q87 Q235:Q236 P257:P258 P138 P72:Q72 P267:Q270 P298 P34:Q34 Q284:Q285 Q295:Q296 Q303:Q304 P306:P307 P52 Q319 P314" xr:uid="{96818EE3-0161-43A0-8AF8-0902153C8E1D}">
      <formula1>"Yes, No"</formula1>
    </dataValidation>
    <dataValidation type="list" allowBlank="1" showInputMessage="1" showErrorMessage="1" sqref="P320 P256 P112 P204 P156 P173 P128 P137 P119 P43 P246 P70 P59 P105 P27 P232 P277 P219 P80 P166 P183 P266 P51 P96 P286 P297 P305 P33 P313" xr:uid="{B5A03B49-7A18-4D72-968B-E493A407080C}">
      <formula1>"Conditional Pass, Pass, Fail, N/A, TBD"</formula1>
    </dataValidation>
    <dataValidation type="list" allowBlank="1" showInputMessage="1" showErrorMessage="1" sqref="P237:Q239 P175 P278:P279 P233 P287 P289" xr:uid="{1420CE3D-9DCC-484B-A1A4-14AC590DA99D}">
      <formula1>"Agree, Disagree"</formula1>
    </dataValidation>
    <dataValidation type="list" allowBlank="1" showInputMessage="1" showErrorMessage="1" sqref="M140" xr:uid="{FB5A5D00-B12D-4C32-854B-09A637ADFC37}">
      <formula1>"&lt;&lt;Select&gt;&gt;, Room, Building"</formula1>
    </dataValidation>
    <dataValidation type="list" allowBlank="1" showInputMessage="1" showErrorMessage="1" sqref="O97" xr:uid="{9B029407-C85B-4646-80B0-E6D090A00907}">
      <formula1>"&lt;&lt;Select&gt;&gt;, Warranty Deed, Contract/Option, Ground lease, No site control, Other (see comments)"</formula1>
    </dataValidation>
    <dataValidation type="list" allowBlank="1" showInputMessage="1" showErrorMessage="1" sqref="L97" xr:uid="{7C186DCC-A2BD-4CFF-9569-A88D6EACD5AB}">
      <formula1>"&lt;&lt;Select&gt;&gt;, Warranty Deed, Purchase Contract, Ground lease/Option, RFP Selection, Other (see comments)"</formula1>
    </dataValidation>
    <dataValidation type="list" allowBlank="1" showInputMessage="1" showErrorMessage="1" sqref="P9:Q9" xr:uid="{FDCD89C7-FDC3-4046-8364-60E228AD3ED5}">
      <formula1>"PASS, FAIL, W/DRWN"</formula1>
    </dataValidation>
    <dataValidation type="list" allowBlank="1" showInputMessage="1" showErrorMessage="1" sqref="P249 P185 P35" xr:uid="{C28C8A8F-99C4-4392-8E9F-CA08D32E1573}">
      <formula1>"Agree,Disagree"</formula1>
    </dataValidation>
    <dataValidation type="whole" allowBlank="1" showInputMessage="1" showErrorMessage="1" sqref="P191:P193" xr:uid="{341781D8-EC28-4F78-89C0-A3AC6BE50FAB}">
      <formula1>0</formula1>
      <formula2>200</formula2>
    </dataValidation>
    <dataValidation type="list" allowBlank="1" showInputMessage="1" showErrorMessage="1" sqref="O222:P222 P223 P220:P221" xr:uid="{53BE2765-06AC-487E-A951-DAE5855B684D}">
      <formula1>"&lt;&lt;Select&gt;&gt;,Yes - see Comment, No, N/A - no pre-app"</formula1>
    </dataValidation>
    <dataValidation type="list" allowBlank="1" showInputMessage="1" showErrorMessage="1" sqref="F208:Q208" xr:uid="{62C9E4CB-9234-4D09-99EC-C11B36C44FBB}">
      <formula1>$K$437:$K$441</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05:C410 C400:C401" xr:uid="{636B9265-DEB9-4154-87B0-AA8FC034D712}"/>
    <dataValidation type="list" allowBlank="1" showInputMessage="1" showErrorMessage="1" sqref="C146:H149" xr:uid="{0951D74E-304A-4F9F-864C-65E04FF9C6BE}">
      <formula1>$M$450:$M$459</formula1>
    </dataValidation>
    <dataValidation type="list" allowBlank="1" showInputMessage="1" showErrorMessage="1" sqref="F209" xr:uid="{F1E47B88-53CB-47B0-81C1-F76220BE18E2}">
      <formula1>$K$432:$K$434</formula1>
    </dataValidation>
    <dataValidation type="list" allowBlank="1" showInputMessage="1" showErrorMessage="1" sqref="O224:Q224 I225" xr:uid="{FDCB5A69-7ADE-4B3B-868F-140ED9EF1C34}">
      <formula1>$O$409:$O$413</formula1>
    </dataValidation>
    <dataValidation type="list" allowBlank="1" showInputMessage="1" showErrorMessage="1" sqref="L176:Q176" xr:uid="{927A4F7A-7354-40BA-BF5A-ECDB38C6E623}">
      <formula1>$M$462:$M$474</formula1>
    </dataValidation>
  </dataValidations>
  <pageMargins left="0.7" right="0.7" top="0.75" bottom="0.75" header="0.3" footer="0.3"/>
  <pageSetup scale="89"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9" manualBreakCount="9">
    <brk id="42" max="16383" man="1"/>
    <brk id="126" max="16383" man="1"/>
    <brk id="154" max="16383" man="1"/>
    <brk id="181" max="16383" man="1"/>
    <brk id="202" max="16383" man="1"/>
    <brk id="230" max="16383" man="1"/>
    <brk id="254" max="16383" man="1"/>
    <brk id="284" max="16383" man="1"/>
    <brk id="312" max="16383"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04A8-B1BC-4CA1-97A2-643D5731673D}">
  <sheetPr codeName="Sheet24"/>
  <dimension ref="A1:BR770"/>
  <sheetViews>
    <sheetView showGridLines="0" tabSelected="1" topLeftCell="A43" zoomScale="60" zoomScaleNormal="60" workbookViewId="0">
      <selection activeCell="A67" sqref="A67"/>
    </sheetView>
  </sheetViews>
  <sheetFormatPr defaultColWidth="9.21875" defaultRowHeight="15" customHeight="1"/>
  <cols>
    <col min="1" max="1" width="6" style="1514" customWidth="1"/>
    <col min="2" max="2" width="4.5546875" style="1514" customWidth="1"/>
    <col min="3" max="3" width="12.44140625" style="1514" customWidth="1"/>
    <col min="4" max="4" width="14.21875" style="1514" customWidth="1"/>
    <col min="5" max="5" width="11.77734375" style="1514" customWidth="1"/>
    <col min="6" max="6" width="7.44140625" style="1514" customWidth="1"/>
    <col min="7" max="7" width="2.5546875" style="1514" customWidth="1"/>
    <col min="8" max="8" width="3" style="1514" customWidth="1"/>
    <col min="9" max="9" width="2.77734375" style="1514" customWidth="1"/>
    <col min="10" max="10" width="3" style="1514" customWidth="1"/>
    <col min="11" max="11" width="3.21875" style="1514" customWidth="1"/>
    <col min="12" max="19" width="2.77734375" style="1514" customWidth="1"/>
    <col min="20" max="20" width="13.5546875" style="1514" customWidth="1"/>
    <col min="21" max="21" width="6" style="1514" customWidth="1"/>
    <col min="22" max="22" width="5.77734375" style="1514" customWidth="1"/>
    <col min="23" max="23" width="5.5546875" style="1514" customWidth="1"/>
    <col min="24" max="24" width="13.77734375" style="1514" customWidth="1"/>
    <col min="25" max="25" width="7.44140625" style="1514" customWidth="1"/>
    <col min="26" max="26" width="6.21875" style="1531" customWidth="1"/>
    <col min="27" max="28" width="8.77734375" style="1524" customWidth="1"/>
    <col min="29" max="29" width="5.77734375" style="1514" customWidth="1"/>
    <col min="30" max="30" width="11.77734375" style="1514" customWidth="1"/>
    <col min="31" max="31" width="11" style="1514" customWidth="1"/>
    <col min="32" max="32" width="8" style="1514" customWidth="1"/>
    <col min="33" max="33" width="3.77734375" style="1514" customWidth="1"/>
    <col min="34" max="34" width="11.21875" style="1514" customWidth="1"/>
    <col min="35" max="35" width="10.77734375" style="1514" customWidth="1"/>
    <col min="36" max="36" width="8.5546875" style="1514" customWidth="1"/>
    <col min="37" max="37" width="11.77734375" style="1514" customWidth="1"/>
    <col min="38" max="38" width="9.44140625" style="1514" customWidth="1"/>
    <col min="39" max="39" width="8.77734375" style="1514" customWidth="1"/>
    <col min="40" max="42" width="2.77734375" style="1514" customWidth="1"/>
    <col min="43" max="44" width="10.44140625" style="1514" customWidth="1"/>
    <col min="45" max="50" width="9.21875" style="1514"/>
    <col min="51" max="51" width="9.21875" style="1792"/>
    <col min="52" max="54" width="9.21875" style="1514"/>
    <col min="55" max="59" width="10.44140625" style="1514" customWidth="1"/>
    <col min="60" max="16384" width="9.21875" style="1514"/>
  </cols>
  <sheetData>
    <row r="1" spans="1:51" ht="14.1" customHeight="1">
      <c r="A1" s="4155" t="str">
        <f>CONCATENATE("PART EIGHT - SCORING CRITERIA","  -  ",'Part I-Project Identification'!$O$7," ",'Part I-Project Identification'!$F$27,", ",'Part I-Project Identification'!F28,", ",'Part I-Project Identification'!J28," County")</f>
        <v>PART EIGHT - SCORING CRITERIA  -  2026-0xx The Groves, Tifton, Tift County</v>
      </c>
      <c r="B1" s="4156"/>
      <c r="C1" s="4156"/>
      <c r="D1" s="4156"/>
      <c r="E1" s="4156"/>
      <c r="F1" s="4156"/>
      <c r="G1" s="4156"/>
      <c r="H1" s="4156"/>
      <c r="I1" s="4156"/>
      <c r="J1" s="4156"/>
      <c r="K1" s="4156"/>
      <c r="L1" s="4156"/>
      <c r="M1" s="4156"/>
      <c r="N1" s="4156"/>
      <c r="O1" s="4156"/>
      <c r="P1" s="4156"/>
      <c r="Q1" s="4156"/>
      <c r="R1" s="4156"/>
      <c r="S1" s="4156"/>
      <c r="T1" s="4156"/>
      <c r="U1" s="4156"/>
      <c r="V1" s="4156"/>
      <c r="W1" s="4156"/>
      <c r="X1" s="4156"/>
      <c r="Y1" s="4156"/>
      <c r="Z1" s="4156"/>
      <c r="AA1" s="4156"/>
      <c r="AB1" s="4157"/>
      <c r="AC1" s="1512"/>
      <c r="AD1" s="1512"/>
      <c r="AE1" s="1512"/>
      <c r="AF1" s="1512"/>
      <c r="AG1" s="1512"/>
      <c r="AH1" s="1512"/>
      <c r="AI1" s="1512"/>
      <c r="AJ1" s="1513"/>
      <c r="AY1" s="1790">
        <v>1</v>
      </c>
    </row>
    <row r="2" spans="1:51" ht="4.3499999999999996" customHeight="1">
      <c r="A2" s="1515"/>
      <c r="B2" s="1515"/>
      <c r="C2" s="1516"/>
      <c r="D2" s="1516"/>
      <c r="E2" s="1515"/>
      <c r="F2" s="1515"/>
      <c r="G2" s="1515"/>
      <c r="H2" s="1515"/>
      <c r="I2" s="1515"/>
      <c r="J2" s="1515"/>
      <c r="K2" s="1515"/>
      <c r="L2" s="1515"/>
      <c r="M2" s="1515"/>
      <c r="N2" s="1515"/>
      <c r="O2" s="1515"/>
      <c r="P2" s="1515"/>
      <c r="Q2" s="1515"/>
      <c r="R2" s="1515"/>
      <c r="S2" s="1515"/>
      <c r="T2" s="1515"/>
      <c r="U2" s="1515"/>
      <c r="V2" s="1515"/>
      <c r="W2" s="1515"/>
      <c r="X2" s="1515"/>
      <c r="Y2" s="2557"/>
      <c r="Z2" s="2557"/>
      <c r="AA2" s="1517"/>
      <c r="AB2" s="1517"/>
      <c r="AC2" s="1512"/>
      <c r="AD2" s="1512"/>
      <c r="AE2" s="1512"/>
      <c r="AF2" s="1512"/>
      <c r="AG2" s="1512"/>
      <c r="AH2" s="1512"/>
      <c r="AI2" s="1512"/>
      <c r="AJ2" s="1513"/>
      <c r="AY2" s="1790">
        <v>2</v>
      </c>
    </row>
    <row r="3" spans="1:51" s="1515" customFormat="1" ht="20.55" customHeight="1">
      <c r="A3" s="4158" t="s">
        <v>1721</v>
      </c>
      <c r="B3" s="4158"/>
      <c r="C3" s="4158"/>
      <c r="D3" s="4158"/>
      <c r="E3" s="4158"/>
      <c r="F3" s="4158"/>
      <c r="G3" s="4158"/>
      <c r="H3" s="4158"/>
      <c r="I3" s="4158"/>
      <c r="J3" s="4158"/>
      <c r="K3" s="4158"/>
      <c r="L3" s="4158"/>
      <c r="M3" s="4158"/>
      <c r="N3" s="4158"/>
      <c r="O3" s="4158"/>
      <c r="P3" s="4158"/>
      <c r="Q3" s="4158"/>
      <c r="R3" s="4158"/>
      <c r="S3" s="4158"/>
      <c r="T3" s="4158"/>
      <c r="U3" s="4158"/>
      <c r="V3" s="4158"/>
      <c r="W3" s="4158"/>
      <c r="X3" s="4158"/>
      <c r="Y3" s="2775" t="s">
        <v>1722</v>
      </c>
      <c r="Z3" s="2557"/>
      <c r="AA3" s="2776" t="s">
        <v>1723</v>
      </c>
      <c r="AB3" s="2775" t="s">
        <v>1724</v>
      </c>
      <c r="AC3" s="1512"/>
      <c r="AD3" s="1512"/>
      <c r="AE3" s="1512"/>
      <c r="AF3" s="1512"/>
      <c r="AG3" s="1512"/>
      <c r="AH3" s="1518"/>
      <c r="AI3" s="1518"/>
      <c r="AJ3" s="1519"/>
      <c r="AY3" s="1791">
        <v>3</v>
      </c>
    </row>
    <row r="4" spans="1:51" s="1515" customFormat="1" ht="16.5" customHeight="1">
      <c r="A4" s="4158"/>
      <c r="B4" s="4158"/>
      <c r="C4" s="4158"/>
      <c r="D4" s="4158"/>
      <c r="E4" s="4158"/>
      <c r="F4" s="4158"/>
      <c r="G4" s="4158"/>
      <c r="H4" s="4158"/>
      <c r="I4" s="4158"/>
      <c r="J4" s="4158"/>
      <c r="K4" s="4158"/>
      <c r="L4" s="4158"/>
      <c r="M4" s="4158"/>
      <c r="N4" s="4158"/>
      <c r="O4" s="4158"/>
      <c r="P4" s="4158"/>
      <c r="Q4" s="4158"/>
      <c r="R4" s="4158"/>
      <c r="S4" s="4158"/>
      <c r="T4" s="4158"/>
      <c r="U4" s="4158"/>
      <c r="V4" s="4158"/>
      <c r="W4" s="4158"/>
      <c r="X4" s="4158"/>
      <c r="Y4" s="1520" t="s">
        <v>1725</v>
      </c>
      <c r="Z4" s="1521"/>
      <c r="AA4" s="1520" t="s">
        <v>1725</v>
      </c>
      <c r="AB4" s="1520" t="s">
        <v>1725</v>
      </c>
      <c r="AC4" s="1512"/>
      <c r="AD4" s="1512"/>
      <c r="AE4" s="1512"/>
      <c r="AF4" s="1512"/>
      <c r="AG4" s="1512"/>
      <c r="AH4" s="1518"/>
      <c r="AY4" s="1791">
        <v>4</v>
      </c>
    </row>
    <row r="5" spans="1:51" s="1515" customFormat="1" ht="3" customHeight="1">
      <c r="Y5" s="1522"/>
      <c r="Z5" s="1523"/>
      <c r="AA5" s="1517"/>
      <c r="AB5" s="1524"/>
      <c r="AC5" s="1512"/>
      <c r="AD5" s="1512"/>
      <c r="AE5" s="1512"/>
      <c r="AF5" s="1512"/>
      <c r="AG5" s="1512"/>
      <c r="AH5" s="1518"/>
      <c r="AY5" s="1791">
        <v>5</v>
      </c>
    </row>
    <row r="6" spans="1:51" s="1515" customFormat="1" ht="13.5" customHeight="1">
      <c r="B6" s="4159" t="str">
        <f>'Part I-Project Identification'!$A$6</f>
        <v>May XX, 2026</v>
      </c>
      <c r="C6" s="4160"/>
      <c r="D6" s="4160"/>
      <c r="E6" s="4160"/>
      <c r="F6" s="4160"/>
      <c r="G6" s="4160"/>
      <c r="X6" s="1517" t="s">
        <v>1726</v>
      </c>
      <c r="Y6" s="1525"/>
      <c r="Z6" s="1526"/>
      <c r="AA6" s="1527">
        <f>AA374</f>
        <v>73</v>
      </c>
      <c r="AB6" s="1527">
        <f>AB374</f>
        <v>12</v>
      </c>
      <c r="AC6" s="4197" t="s">
        <v>1727</v>
      </c>
      <c r="AD6" s="3859"/>
      <c r="AE6" s="3859"/>
      <c r="AF6" s="3859"/>
      <c r="AG6" s="3859"/>
      <c r="AH6" s="3859"/>
      <c r="AI6" s="3859"/>
      <c r="AJ6" s="3859"/>
      <c r="AK6" s="3859"/>
      <c r="AL6" s="3859"/>
      <c r="AM6" s="3859"/>
      <c r="AN6" s="3859"/>
      <c r="AO6" s="3859"/>
      <c r="AP6" s="3859"/>
      <c r="AQ6" s="3859"/>
      <c r="AY6" s="1791">
        <v>6</v>
      </c>
    </row>
    <row r="7" spans="1:51" ht="15.75" customHeight="1">
      <c r="A7" s="1515"/>
      <c r="B7" s="1530"/>
      <c r="C7" s="1515"/>
      <c r="D7" s="1515"/>
      <c r="E7" s="1515"/>
      <c r="F7" s="1515"/>
      <c r="G7" s="1515"/>
      <c r="H7" s="1515"/>
      <c r="I7" s="1515"/>
      <c r="J7" s="1515"/>
      <c r="K7" s="1515"/>
      <c r="L7" s="1515"/>
      <c r="M7" s="1515"/>
      <c r="N7" s="1515"/>
      <c r="O7" s="1515"/>
      <c r="P7" s="1515"/>
      <c r="Q7" s="1515"/>
      <c r="R7" s="1515"/>
      <c r="S7" s="1515"/>
      <c r="T7" s="1515"/>
      <c r="U7" s="1515"/>
      <c r="V7" s="1515"/>
      <c r="W7" s="1515"/>
      <c r="X7" s="1515"/>
      <c r="Y7" s="2557"/>
      <c r="AA7" s="1525"/>
      <c r="AB7" s="1517"/>
      <c r="AC7" s="1529"/>
      <c r="AD7" s="1529"/>
      <c r="AE7" s="1529"/>
      <c r="AF7" s="1529"/>
      <c r="AG7" s="1529"/>
      <c r="AH7" s="2563"/>
      <c r="AI7" s="2563"/>
      <c r="AJ7" s="2563"/>
      <c r="AK7" s="2563"/>
      <c r="AY7" s="1790">
        <v>7</v>
      </c>
    </row>
    <row r="8" spans="1:51" s="1515" customFormat="1" ht="14.4">
      <c r="A8" s="1534" t="s">
        <v>25</v>
      </c>
      <c r="B8" s="1535" t="s">
        <v>1728</v>
      </c>
      <c r="C8" s="1523"/>
      <c r="D8" s="1523"/>
      <c r="H8" s="1533"/>
      <c r="J8" s="1533"/>
      <c r="K8" s="1533"/>
      <c r="L8" s="1533"/>
      <c r="M8" s="1533"/>
      <c r="N8" s="1533"/>
      <c r="O8" s="1533"/>
      <c r="P8" s="1533"/>
      <c r="Q8" s="1533"/>
      <c r="R8" s="1533"/>
      <c r="S8" s="1533"/>
      <c r="T8" s="1533"/>
      <c r="U8" s="1533"/>
      <c r="V8" s="1533"/>
      <c r="W8" s="1533"/>
      <c r="X8" s="1533"/>
      <c r="Y8" s="1533"/>
      <c r="Z8" s="1533"/>
      <c r="AA8" s="1533"/>
      <c r="AB8" s="1533"/>
      <c r="AC8" s="1529"/>
      <c r="AY8" s="1791">
        <v>8</v>
      </c>
    </row>
    <row r="9" spans="1:51" ht="7.5" customHeight="1">
      <c r="AC9" s="1536"/>
      <c r="AY9" s="1790">
        <v>9</v>
      </c>
    </row>
    <row r="10" spans="1:51" ht="14.25" customHeight="1">
      <c r="A10" s="4163" t="str">
        <f>IF(OR((D12-C12&gt;0),(E12-C12&gt;0)),"Points Exceed Max!","")</f>
        <v/>
      </c>
      <c r="B10" s="4163"/>
      <c r="C10" s="4177" t="s">
        <v>1729</v>
      </c>
      <c r="D10" s="4177"/>
      <c r="E10" s="4177"/>
      <c r="F10" s="1531"/>
      <c r="G10" s="2406"/>
      <c r="H10" s="2406"/>
      <c r="I10" s="2406"/>
      <c r="J10" s="2406"/>
      <c r="K10" s="2406"/>
      <c r="L10" s="2406"/>
      <c r="AB10" s="1523"/>
      <c r="AC10" s="1536"/>
      <c r="AY10" s="1790">
        <v>10</v>
      </c>
    </row>
    <row r="11" spans="1:51" ht="20.25" customHeight="1">
      <c r="A11" s="4163"/>
      <c r="B11" s="4163"/>
      <c r="C11" s="1752" t="s">
        <v>1722</v>
      </c>
      <c r="D11" s="1537" t="s">
        <v>1730</v>
      </c>
      <c r="E11" s="1538" t="s">
        <v>1724</v>
      </c>
      <c r="G11" s="4189" t="s">
        <v>1731</v>
      </c>
      <c r="H11" s="4189"/>
      <c r="I11" s="4189"/>
      <c r="J11" s="4189"/>
      <c r="K11" s="4189"/>
      <c r="L11" s="4190"/>
      <c r="M11" s="4186" t="s">
        <v>2019</v>
      </c>
      <c r="N11" s="4187"/>
      <c r="O11" s="4187"/>
      <c r="P11" s="4187"/>
      <c r="Q11" s="4187"/>
      <c r="R11" s="4187"/>
      <c r="S11" s="4187"/>
      <c r="T11" s="4188"/>
      <c r="U11" s="4178" t="s">
        <v>1733</v>
      </c>
      <c r="V11" s="4178"/>
      <c r="W11" s="4179"/>
      <c r="X11" s="4170" t="s">
        <v>4688</v>
      </c>
      <c r="Y11" s="4171"/>
      <c r="Z11" s="4172"/>
      <c r="AB11" s="1523"/>
      <c r="AY11" s="1790">
        <v>11</v>
      </c>
    </row>
    <row r="12" spans="1:51" ht="11.25" customHeight="1">
      <c r="A12" s="4163"/>
      <c r="B12" s="4163"/>
      <c r="C12" s="4161">
        <v>33</v>
      </c>
      <c r="D12" s="4173">
        <f>IF($C$16="4%",AA136+AA145+AA166+AA183+AA215+AA247,0)</f>
        <v>0</v>
      </c>
      <c r="E12" s="4175">
        <f>IF($C$16="4%",AB136+AB145+AB166+AB183+AB215+AB247,0)</f>
        <v>0</v>
      </c>
      <c r="G12" s="4189"/>
      <c r="H12" s="4189"/>
      <c r="I12" s="4189"/>
      <c r="J12" s="4189"/>
      <c r="K12" s="4189"/>
      <c r="L12" s="4190"/>
      <c r="M12" s="4180" t="s">
        <v>1732</v>
      </c>
      <c r="N12" s="4181"/>
      <c r="O12" s="4181"/>
      <c r="P12" s="4181"/>
      <c r="Q12" s="4181"/>
      <c r="R12" s="4181"/>
      <c r="S12" s="4181"/>
      <c r="T12" s="4182"/>
      <c r="U12" s="4178"/>
      <c r="V12" s="4178"/>
      <c r="W12" s="4179"/>
      <c r="X12" s="4164" t="s">
        <v>1734</v>
      </c>
      <c r="Y12" s="4165"/>
      <c r="Z12" s="4166"/>
      <c r="AB12" s="1528"/>
      <c r="AY12" s="1790">
        <v>12</v>
      </c>
    </row>
    <row r="13" spans="1:51" ht="11.25" customHeight="1">
      <c r="A13" s="4163"/>
      <c r="B13" s="4163"/>
      <c r="C13" s="4162"/>
      <c r="D13" s="4174"/>
      <c r="E13" s="4176"/>
      <c r="G13" s="4189"/>
      <c r="H13" s="4189"/>
      <c r="I13" s="4189"/>
      <c r="J13" s="4189"/>
      <c r="K13" s="4189"/>
      <c r="L13" s="4190"/>
      <c r="M13" s="4183"/>
      <c r="N13" s="4184"/>
      <c r="O13" s="4184"/>
      <c r="P13" s="4184"/>
      <c r="Q13" s="4184"/>
      <c r="R13" s="4184"/>
      <c r="S13" s="4184"/>
      <c r="T13" s="4185"/>
      <c r="U13" s="4178"/>
      <c r="V13" s="4178"/>
      <c r="W13" s="4179"/>
      <c r="X13" s="4167"/>
      <c r="Y13" s="4168"/>
      <c r="Z13" s="4169"/>
      <c r="AB13" s="1528"/>
      <c r="AY13" s="1790">
        <v>13</v>
      </c>
    </row>
    <row r="14" spans="1:51" ht="15.75" customHeight="1">
      <c r="A14" s="1515"/>
      <c r="B14" s="1530"/>
      <c r="E14" s="1445"/>
      <c r="F14" s="1446"/>
      <c r="G14" s="2407"/>
      <c r="H14" s="2408"/>
      <c r="I14" s="2408"/>
      <c r="J14" s="2408"/>
      <c r="K14" s="2408"/>
      <c r="L14" s="2408"/>
      <c r="M14" s="1539"/>
      <c r="N14" s="1539"/>
      <c r="O14" s="1539"/>
      <c r="P14" s="1539"/>
      <c r="Q14" s="1539"/>
      <c r="R14" s="1539"/>
      <c r="S14" s="1539"/>
      <c r="T14" s="1539"/>
      <c r="U14" s="1539"/>
      <c r="V14" s="1539"/>
      <c r="W14" s="1539"/>
      <c r="X14" s="1539"/>
      <c r="Y14" s="2557"/>
      <c r="AA14" s="1525"/>
      <c r="AB14" s="1517"/>
      <c r="AI14" s="1515"/>
      <c r="AJ14" s="1540"/>
      <c r="AK14" s="1540"/>
      <c r="AL14" s="1540"/>
      <c r="AM14" s="1540"/>
      <c r="AN14" s="1540"/>
      <c r="AO14" s="1540"/>
      <c r="AP14" s="1540"/>
      <c r="AQ14" s="1540"/>
      <c r="AR14" s="1540"/>
      <c r="AS14" s="1540"/>
      <c r="AT14" s="1540"/>
      <c r="AU14" s="1540"/>
      <c r="AY14" s="1790">
        <v>14</v>
      </c>
    </row>
    <row r="15" spans="1:51" ht="17.25" customHeight="1">
      <c r="C15" s="4178" t="s">
        <v>1735</v>
      </c>
      <c r="D15" s="4178"/>
      <c r="E15" s="4178"/>
      <c r="G15" s="4178" t="s">
        <v>1736</v>
      </c>
      <c r="H15" s="4178"/>
      <c r="I15" s="4178"/>
      <c r="J15" s="4178"/>
      <c r="K15" s="4178"/>
      <c r="L15" s="4178"/>
      <c r="M15" s="4191" t="s">
        <v>1737</v>
      </c>
      <c r="N15" s="4192"/>
      <c r="O15" s="4192"/>
      <c r="P15" s="4192"/>
      <c r="Q15" s="4192"/>
      <c r="R15" s="4192"/>
      <c r="S15" s="4192"/>
      <c r="T15" s="4192"/>
      <c r="U15" s="4192"/>
      <c r="V15" s="4192"/>
      <c r="W15" s="4192"/>
      <c r="X15" s="4192"/>
      <c r="Y15" s="4192"/>
      <c r="Z15" s="4193"/>
      <c r="AM15" s="1529"/>
      <c r="AN15" s="1529"/>
      <c r="AO15" s="1529"/>
      <c r="AP15" s="1529"/>
      <c r="AQ15" s="1529"/>
      <c r="AR15" s="1540"/>
      <c r="AS15" s="1540"/>
      <c r="AT15" s="1540"/>
      <c r="AU15" s="1540"/>
      <c r="AY15" s="1791">
        <v>15</v>
      </c>
    </row>
    <row r="16" spans="1:51" ht="17.25" customHeight="1">
      <c r="C16" s="4202" t="str">
        <f>IF(OR('Part I-Project Identification'!$F$12="9% Credits", 'Part I-Project Identification'!$F$12="9% Credit &amp; HOME"),"9%",IF(OR('Part I-Project Identification'!$F$12="4% Credits/Bonds", 'Part I-Project Identification'!$F$12="4% Credit/TE Bond &amp; HOME",'Part I-Project Identification'!$F$132="4% Credit/TE Bond &amp; HOME NOFA",'Part I-Project Identification'!$F$12="4% Credit &amp; NHTF", 'Part I-Project Identification'!$F$12="4% Credit &amp; NHTF &amp; HOME"),"4%",""))</f>
        <v>9%</v>
      </c>
      <c r="D16" s="4203"/>
      <c r="E16" s="4204"/>
      <c r="G16" s="4178"/>
      <c r="H16" s="4178"/>
      <c r="I16" s="4178"/>
      <c r="J16" s="4178"/>
      <c r="K16" s="4178"/>
      <c r="L16" s="4178"/>
      <c r="M16" s="4194" t="s">
        <v>1737</v>
      </c>
      <c r="N16" s="4195"/>
      <c r="O16" s="4195"/>
      <c r="P16" s="4195"/>
      <c r="Q16" s="4195"/>
      <c r="R16" s="4195"/>
      <c r="S16" s="4195"/>
      <c r="T16" s="4195"/>
      <c r="U16" s="4195"/>
      <c r="V16" s="4195"/>
      <c r="W16" s="4195"/>
      <c r="X16" s="4195"/>
      <c r="Y16" s="4195"/>
      <c r="Z16" s="4196"/>
      <c r="AM16" s="1529"/>
      <c r="AN16" s="1529"/>
      <c r="AO16" s="1529"/>
      <c r="AP16" s="1529"/>
      <c r="AQ16" s="1529"/>
      <c r="AR16" s="1540"/>
      <c r="AS16" s="1540"/>
      <c r="AT16" s="1540"/>
      <c r="AU16" s="1540"/>
      <c r="AY16" s="1791">
        <v>16</v>
      </c>
    </row>
    <row r="17" spans="1:51" ht="16.05" customHeight="1">
      <c r="C17" s="1528"/>
      <c r="D17" s="1528"/>
      <c r="AC17" s="1529"/>
      <c r="AD17" s="1529"/>
      <c r="AE17" s="1529"/>
      <c r="AF17" s="1529"/>
      <c r="AG17" s="1529"/>
      <c r="AH17" s="1529"/>
      <c r="AI17" s="1529"/>
      <c r="AJ17" s="1529"/>
      <c r="AK17" s="1529"/>
      <c r="AL17" s="1529"/>
      <c r="AM17" s="1529"/>
      <c r="AN17" s="1529"/>
      <c r="AO17" s="1529"/>
      <c r="AP17" s="1529"/>
      <c r="AQ17" s="1529"/>
      <c r="AY17" s="1791">
        <v>17</v>
      </c>
    </row>
    <row r="18" spans="1:51" ht="16.05" customHeight="1">
      <c r="C18" s="1528"/>
      <c r="D18" s="1528"/>
      <c r="G18" s="4178" t="s">
        <v>1738</v>
      </c>
      <c r="H18" s="4178"/>
      <c r="I18" s="4178"/>
      <c r="J18" s="4178"/>
      <c r="K18" s="4178"/>
      <c r="L18" s="4178"/>
      <c r="M18" s="4191" t="s">
        <v>7713</v>
      </c>
      <c r="N18" s="4192"/>
      <c r="O18" s="4192"/>
      <c r="P18" s="4192"/>
      <c r="Q18" s="4192"/>
      <c r="R18" s="4192"/>
      <c r="S18" s="4192"/>
      <c r="T18" s="4192"/>
      <c r="U18" s="4192"/>
      <c r="V18" s="4192"/>
      <c r="W18" s="4192"/>
      <c r="X18" s="4192"/>
      <c r="Y18" s="4192"/>
      <c r="Z18" s="4193"/>
      <c r="AC18" s="1529"/>
      <c r="AD18" s="1529"/>
      <c r="AE18" s="1529"/>
      <c r="AF18" s="1529"/>
      <c r="AG18" s="1529"/>
      <c r="AH18" s="1529"/>
      <c r="AI18" s="1529"/>
      <c r="AJ18" s="1529"/>
      <c r="AK18" s="1529"/>
      <c r="AL18" s="1529"/>
      <c r="AM18" s="1529"/>
      <c r="AN18" s="1529"/>
      <c r="AO18" s="1529"/>
      <c r="AP18" s="1529"/>
      <c r="AQ18" s="1529"/>
      <c r="AY18" s="1791"/>
    </row>
    <row r="19" spans="1:51" ht="16.05" customHeight="1">
      <c r="C19" s="1528"/>
      <c r="D19" s="1528"/>
      <c r="G19" s="4178"/>
      <c r="H19" s="4178"/>
      <c r="I19" s="4178"/>
      <c r="J19" s="4178"/>
      <c r="K19" s="4178"/>
      <c r="L19" s="4178"/>
      <c r="M19" s="4194" t="s">
        <v>1739</v>
      </c>
      <c r="N19" s="4195"/>
      <c r="O19" s="4195"/>
      <c r="P19" s="4195"/>
      <c r="Q19" s="4195"/>
      <c r="R19" s="4195"/>
      <c r="S19" s="4195"/>
      <c r="T19" s="4195"/>
      <c r="U19" s="4195"/>
      <c r="V19" s="4195"/>
      <c r="W19" s="4195"/>
      <c r="X19" s="4195"/>
      <c r="Y19" s="4195"/>
      <c r="Z19" s="4196"/>
      <c r="AC19" s="1529"/>
      <c r="AD19" s="1529"/>
      <c r="AE19" s="1529"/>
      <c r="AF19" s="1529"/>
      <c r="AG19" s="1529"/>
      <c r="AH19" s="1529"/>
      <c r="AI19" s="1529"/>
      <c r="AJ19" s="1529"/>
      <c r="AK19" s="1529"/>
      <c r="AL19" s="1529"/>
      <c r="AM19" s="1529"/>
      <c r="AN19" s="1529"/>
      <c r="AO19" s="1529"/>
      <c r="AP19" s="1529"/>
      <c r="AQ19" s="1529"/>
      <c r="AY19" s="1791"/>
    </row>
    <row r="20" spans="1:51" ht="16.05" customHeight="1">
      <c r="C20" s="1528"/>
      <c r="D20" s="1528"/>
      <c r="AC20" s="1529"/>
      <c r="AD20" s="1529"/>
      <c r="AE20" s="1529"/>
      <c r="AF20" s="1529"/>
      <c r="AG20" s="1529"/>
      <c r="AH20" s="1529"/>
      <c r="AI20" s="1529"/>
      <c r="AJ20" s="1529"/>
      <c r="AK20" s="1529"/>
      <c r="AL20" s="1529"/>
      <c r="AM20" s="1529"/>
      <c r="AN20" s="1529"/>
      <c r="AO20" s="1529"/>
      <c r="AP20" s="1529"/>
      <c r="AQ20" s="1529"/>
      <c r="AY20" s="1791"/>
    </row>
    <row r="21" spans="1:51" ht="56.25" customHeight="1">
      <c r="C21" s="1768" t="s">
        <v>1740</v>
      </c>
      <c r="D21" s="4206" t="s">
        <v>1741</v>
      </c>
      <c r="E21" s="4207"/>
      <c r="F21" s="4207"/>
      <c r="G21" s="4207"/>
      <c r="H21" s="4207"/>
      <c r="I21" s="4207"/>
      <c r="J21" s="4207"/>
      <c r="K21" s="4207"/>
      <c r="L21" s="4207"/>
      <c r="M21" s="4207"/>
      <c r="N21" s="4207"/>
      <c r="O21" s="4207"/>
      <c r="P21" s="4207"/>
      <c r="Q21" s="4207"/>
      <c r="R21" s="4207"/>
      <c r="S21" s="4207"/>
      <c r="T21" s="4207"/>
      <c r="U21" s="4207"/>
      <c r="V21" s="4207"/>
      <c r="W21" s="4207"/>
      <c r="X21" s="4207"/>
      <c r="Y21" s="4207"/>
      <c r="Z21" s="4208"/>
      <c r="AA21" s="1529"/>
      <c r="AB21" s="1764"/>
      <c r="AC21" s="1529"/>
      <c r="AD21" s="1529"/>
      <c r="AE21" s="1529"/>
      <c r="AF21" s="1529"/>
      <c r="AG21" s="1529"/>
      <c r="AH21" s="1529"/>
      <c r="AI21" s="1529"/>
      <c r="AJ21" s="1529"/>
      <c r="AK21" s="1529"/>
      <c r="AL21" s="1529"/>
      <c r="AM21" s="1529"/>
      <c r="AN21" s="1529"/>
      <c r="AO21" s="1529"/>
      <c r="AP21" s="1529"/>
      <c r="AQ21" s="1529"/>
      <c r="AY21" s="1790">
        <v>18</v>
      </c>
    </row>
    <row r="22" spans="1:51" ht="24" customHeight="1">
      <c r="AC22" s="1529"/>
      <c r="AD22" s="1529"/>
      <c r="AE22" s="1529"/>
      <c r="AF22" s="1529"/>
      <c r="AG22" s="1529"/>
      <c r="AH22" s="1529"/>
      <c r="AI22" s="1529"/>
      <c r="AJ22" s="1529"/>
      <c r="AK22" s="1529"/>
      <c r="AL22" s="1529"/>
      <c r="AM22" s="1529"/>
      <c r="AN22" s="1529"/>
      <c r="AO22" s="1529"/>
      <c r="AP22" s="1529"/>
      <c r="AQ22" s="1529"/>
      <c r="AY22" s="1790">
        <v>19</v>
      </c>
    </row>
    <row r="23" spans="1:51" ht="16.05" customHeight="1">
      <c r="A23" s="1534" t="s">
        <v>32</v>
      </c>
      <c r="B23" s="1535" t="s">
        <v>1742</v>
      </c>
      <c r="I23" s="2562"/>
      <c r="K23" s="2557"/>
      <c r="L23" s="2557"/>
      <c r="M23" s="2557"/>
      <c r="N23" s="2557"/>
      <c r="O23" s="2557"/>
      <c r="P23" s="2557"/>
      <c r="Q23" s="2557"/>
      <c r="R23" s="2557"/>
      <c r="S23" s="2557"/>
      <c r="T23" s="1515"/>
      <c r="U23" s="1515"/>
      <c r="V23" s="1515"/>
      <c r="W23" s="1515"/>
      <c r="X23" s="1542" t="s">
        <v>1743</v>
      </c>
      <c r="Y23" s="1517">
        <v>6</v>
      </c>
      <c r="Z23" s="2557"/>
      <c r="AA23" s="1543">
        <f>SUM(AA24,MAX(AA26,AA28))</f>
        <v>6</v>
      </c>
      <c r="AB23" s="1543">
        <f>SUM(AB24,MAX(AB26,AB28))</f>
        <v>0</v>
      </c>
      <c r="AC23" s="1544" t="s">
        <v>1744</v>
      </c>
      <c r="AF23" s="1541"/>
      <c r="AG23" s="1541"/>
      <c r="AY23" s="1791">
        <v>20</v>
      </c>
    </row>
    <row r="24" spans="1:51" s="1515" customFormat="1" ht="16.05" customHeight="1">
      <c r="A24" s="1517" t="s">
        <v>186</v>
      </c>
      <c r="B24" s="1523" t="s">
        <v>1745</v>
      </c>
      <c r="E24" s="1545"/>
      <c r="F24" s="1545"/>
      <c r="H24" s="1514"/>
      <c r="X24" s="1546"/>
      <c r="Y24" s="2557">
        <v>5</v>
      </c>
      <c r="Z24" s="1547"/>
      <c r="AA24" s="1548">
        <f>IF(AA25="Yes",$Y24,0)</f>
        <v>5</v>
      </c>
      <c r="AB24" s="1548">
        <f>IF(AB25="Yes",$Y24,0)</f>
        <v>0</v>
      </c>
      <c r="AC24" s="1549"/>
      <c r="AD24" s="2554"/>
      <c r="AF24" s="1541"/>
      <c r="AG24" s="1541"/>
      <c r="AY24" s="1790">
        <v>21</v>
      </c>
    </row>
    <row r="25" spans="1:51" s="1515" customFormat="1" ht="26.55" customHeight="1">
      <c r="A25" s="1517"/>
      <c r="B25" s="4205" t="s">
        <v>1746</v>
      </c>
      <c r="C25" s="4205"/>
      <c r="D25" s="4205"/>
      <c r="E25" s="4205"/>
      <c r="F25" s="4205"/>
      <c r="G25" s="4205"/>
      <c r="H25" s="4205"/>
      <c r="I25" s="4205"/>
      <c r="J25" s="4205"/>
      <c r="K25" s="4205"/>
      <c r="L25" s="4205"/>
      <c r="M25" s="4205"/>
      <c r="N25" s="4205"/>
      <c r="O25" s="4205"/>
      <c r="P25" s="4205"/>
      <c r="Q25" s="4205"/>
      <c r="R25" s="4205"/>
      <c r="S25" s="4205"/>
      <c r="T25" s="4205"/>
      <c r="U25" s="83"/>
      <c r="V25" s="83"/>
      <c r="W25" s="83"/>
      <c r="X25" s="1546"/>
      <c r="Y25" s="2557"/>
      <c r="Z25" s="1551"/>
      <c r="AA25" s="2777" t="s">
        <v>7444</v>
      </c>
      <c r="AB25" s="2778"/>
      <c r="AC25" s="1549"/>
      <c r="AD25" s="2554"/>
      <c r="AF25" s="1541"/>
      <c r="AG25" s="1541"/>
      <c r="AY25" s="1790">
        <v>22</v>
      </c>
    </row>
    <row r="26" spans="1:51" ht="16.05" customHeight="1">
      <c r="A26" s="1517" t="s">
        <v>198</v>
      </c>
      <c r="B26" s="1523" t="s">
        <v>1747</v>
      </c>
      <c r="E26" s="1515"/>
      <c r="T26" s="1515"/>
      <c r="U26" s="1515"/>
      <c r="V26" s="1515"/>
      <c r="W26" s="1515"/>
      <c r="X26" s="1546" t="str">
        <f>IF(OR($AA26=$Y26,$AA26=0,$AA26=""),"","* * Check Score! * *")</f>
        <v/>
      </c>
      <c r="Y26" s="2557">
        <v>1</v>
      </c>
      <c r="Z26" s="1547"/>
      <c r="AA26" s="2779">
        <f>IF(AA27="Yes",$Y$26,0)</f>
        <v>0</v>
      </c>
      <c r="AB26" s="2779">
        <f>IF(AB27="Yes",$Y$26,0)</f>
        <v>0</v>
      </c>
      <c r="AC26" s="1549" t="str">
        <f>IF(OR($AA26=$Y26,$AA26=0,$AA26=""),"","*CHECK!*")</f>
        <v/>
      </c>
      <c r="AD26" s="2554"/>
      <c r="AF26" s="1541"/>
      <c r="AG26" s="1541"/>
      <c r="AY26" s="1791">
        <v>25</v>
      </c>
    </row>
    <row r="27" spans="1:51" ht="13.8">
      <c r="A27" s="1554"/>
      <c r="B27" s="4103" t="s">
        <v>1748</v>
      </c>
      <c r="C27" s="4103"/>
      <c r="D27" s="4103"/>
      <c r="E27" s="4103"/>
      <c r="F27" s="4103"/>
      <c r="G27" s="4103"/>
      <c r="H27" s="4103"/>
      <c r="I27" s="4103"/>
      <c r="J27" s="4103"/>
      <c r="K27" s="4103"/>
      <c r="L27" s="4103"/>
      <c r="M27" s="4103"/>
      <c r="N27" s="4103"/>
      <c r="O27" s="4103"/>
      <c r="P27" s="4103"/>
      <c r="Q27" s="4103"/>
      <c r="R27" s="4103"/>
      <c r="S27" s="4103"/>
      <c r="T27" s="4103"/>
      <c r="U27" s="4103"/>
      <c r="V27" s="4103"/>
      <c r="W27" s="4103"/>
      <c r="X27" s="4103"/>
      <c r="Y27" s="2557"/>
      <c r="Z27" s="1547"/>
      <c r="AA27" s="1457" t="s">
        <v>7474</v>
      </c>
      <c r="AB27" s="1555"/>
      <c r="AD27" s="1546"/>
      <c r="AF27" s="1541"/>
      <c r="AG27" s="1541"/>
      <c r="AY27" s="1791">
        <v>26</v>
      </c>
    </row>
    <row r="28" spans="1:51" ht="16.05" customHeight="1">
      <c r="A28" s="1517" t="s">
        <v>219</v>
      </c>
      <c r="B28" s="1523" t="s">
        <v>1749</v>
      </c>
      <c r="E28" s="1515"/>
      <c r="I28" s="1515"/>
      <c r="T28" s="1515"/>
      <c r="U28" s="1515"/>
      <c r="V28" s="1515"/>
      <c r="W28" s="1515"/>
      <c r="X28" s="1546"/>
      <c r="Y28" s="2557">
        <v>1</v>
      </c>
      <c r="Z28" s="1547"/>
      <c r="AA28" s="2779">
        <f>IF(OR(AA30="Yes",AA31="Yes",AA33="Yes"),$Y$28,0)</f>
        <v>1</v>
      </c>
      <c r="AB28" s="2779">
        <f>IF(OR(AB30="Yes",AB31="Yes",AB33="Yes"),$Y$28,0)</f>
        <v>0</v>
      </c>
      <c r="AC28" s="1549" t="str">
        <f>IF(OR($AA28=$Y28,$AA28=0,$AA28=""),"","*CHECK!*")</f>
        <v/>
      </c>
      <c r="AD28" s="2554"/>
      <c r="AF28" s="1541"/>
      <c r="AG28" s="1541"/>
      <c r="AY28" s="1790">
        <v>27</v>
      </c>
    </row>
    <row r="29" spans="1:51" ht="13.8">
      <c r="B29" s="3926" t="s">
        <v>1750</v>
      </c>
      <c r="C29" s="3926"/>
      <c r="D29" s="3926"/>
      <c r="E29" s="3926"/>
      <c r="F29" s="3926"/>
      <c r="G29" s="3926"/>
      <c r="H29" s="3926"/>
      <c r="I29" s="3926"/>
      <c r="J29" s="3926"/>
      <c r="K29" s="3926"/>
      <c r="L29" s="3926"/>
      <c r="M29" s="3926"/>
      <c r="N29" s="3926"/>
      <c r="O29" s="3926"/>
      <c r="P29" s="3926"/>
      <c r="Q29" s="3926"/>
      <c r="R29" s="3926"/>
      <c r="S29" s="3926"/>
      <c r="T29" s="3926"/>
      <c r="U29" s="3926"/>
      <c r="V29" s="3926"/>
      <c r="W29" s="3926"/>
      <c r="X29" s="3926"/>
      <c r="Y29" s="2557"/>
      <c r="Z29" s="2557"/>
      <c r="AA29" s="2557"/>
      <c r="AB29" s="2557"/>
      <c r="AD29" s="1546"/>
      <c r="AF29" s="1541"/>
      <c r="AG29" s="1541"/>
      <c r="AY29" s="1791">
        <v>28</v>
      </c>
    </row>
    <row r="30" spans="1:51" s="1557" customFormat="1" ht="13.8">
      <c r="B30" s="1552" t="s">
        <v>201</v>
      </c>
      <c r="C30" s="4209" t="s">
        <v>1751</v>
      </c>
      <c r="D30" s="4209"/>
      <c r="E30" s="4209"/>
      <c r="F30" s="4209"/>
      <c r="G30" s="4209"/>
      <c r="H30" s="4209"/>
      <c r="I30" s="4209"/>
      <c r="J30" s="4209"/>
      <c r="K30" s="4209"/>
      <c r="L30" s="4209"/>
      <c r="M30" s="4209"/>
      <c r="N30" s="4209"/>
      <c r="O30" s="4209"/>
      <c r="P30" s="4209"/>
      <c r="Q30" s="4209"/>
      <c r="R30" s="4209"/>
      <c r="S30" s="4209"/>
      <c r="T30" s="4209"/>
      <c r="U30" s="4209"/>
      <c r="V30" s="2559"/>
      <c r="W30" s="2559"/>
      <c r="X30" s="2559"/>
      <c r="Y30" s="1558"/>
      <c r="Z30" s="1559"/>
      <c r="AA30" s="2780" t="s">
        <v>7474</v>
      </c>
      <c r="AB30" s="2781"/>
      <c r="AD30" s="1560"/>
      <c r="AF30" s="1561"/>
      <c r="AG30" s="1561"/>
      <c r="AY30" s="1790">
        <v>29</v>
      </c>
    </row>
    <row r="31" spans="1:51" s="1557" customFormat="1" ht="13.8">
      <c r="B31" s="1552" t="s">
        <v>209</v>
      </c>
      <c r="C31" s="1557" t="s">
        <v>1752</v>
      </c>
      <c r="V31" s="2559"/>
      <c r="W31" s="2559"/>
      <c r="X31" s="2559"/>
      <c r="Y31" s="1558"/>
      <c r="Z31" s="1559"/>
      <c r="AA31" s="1456" t="s">
        <v>7474</v>
      </c>
      <c r="AB31" s="1556"/>
      <c r="AD31" s="1560"/>
      <c r="AF31" s="1561"/>
      <c r="AG31" s="1561"/>
      <c r="AY31" s="1790">
        <v>30</v>
      </c>
    </row>
    <row r="32" spans="1:51" s="1557" customFormat="1" ht="13.8">
      <c r="B32" s="2576" t="s">
        <v>1753</v>
      </c>
      <c r="E32" s="2559"/>
      <c r="F32" s="2559"/>
      <c r="G32" s="2559"/>
      <c r="H32" s="2559"/>
      <c r="I32" s="2559"/>
      <c r="J32" s="2409"/>
      <c r="K32" s="2410"/>
      <c r="L32" s="2410"/>
      <c r="M32" s="2410"/>
      <c r="N32" s="2410"/>
      <c r="O32" s="2410"/>
      <c r="P32" s="2410"/>
      <c r="Q32" s="2410"/>
      <c r="R32" s="2410"/>
      <c r="S32" s="2410"/>
      <c r="T32" s="3930"/>
      <c r="U32" s="4071"/>
      <c r="V32" s="4071"/>
      <c r="W32" s="4071"/>
      <c r="X32" s="4071"/>
      <c r="Y32" s="4071"/>
      <c r="Z32" s="3931"/>
      <c r="AA32" s="1559"/>
      <c r="AB32" s="1559"/>
      <c r="AD32" s="1560"/>
      <c r="AF32" s="1561"/>
      <c r="AG32" s="1561"/>
      <c r="AY32" s="1790">
        <v>31</v>
      </c>
    </row>
    <row r="33" spans="1:51" s="1557" customFormat="1" ht="13.8">
      <c r="B33" s="1552" t="s">
        <v>213</v>
      </c>
      <c r="C33" s="3926" t="s">
        <v>1754</v>
      </c>
      <c r="D33" s="3926"/>
      <c r="E33" s="3926"/>
      <c r="F33" s="3926"/>
      <c r="G33" s="3926"/>
      <c r="H33" s="3926"/>
      <c r="I33" s="3926"/>
      <c r="J33" s="3926"/>
      <c r="K33" s="3926"/>
      <c r="L33" s="3926"/>
      <c r="M33" s="3926"/>
      <c r="N33" s="3926"/>
      <c r="O33" s="3926"/>
      <c r="P33" s="3926"/>
      <c r="Q33" s="3926"/>
      <c r="R33" s="3926"/>
      <c r="S33" s="3926"/>
      <c r="T33" s="3926"/>
      <c r="U33" s="3926"/>
      <c r="V33" s="3926"/>
      <c r="W33" s="3926"/>
      <c r="X33" s="3926"/>
      <c r="Y33" s="1558"/>
      <c r="Z33" s="1559"/>
      <c r="AA33" s="2782" t="s">
        <v>7444</v>
      </c>
      <c r="AB33" s="2783"/>
      <c r="AD33" s="1560"/>
      <c r="AF33" s="1561"/>
      <c r="AG33" s="1561"/>
      <c r="AY33" s="1790">
        <v>32</v>
      </c>
    </row>
    <row r="34" spans="1:51" ht="16.05" customHeight="1">
      <c r="A34" s="1515"/>
      <c r="B34" s="1562" t="s">
        <v>1453</v>
      </c>
      <c r="C34" s="1563"/>
      <c r="D34" s="1563"/>
      <c r="E34" s="1562"/>
      <c r="F34" s="1564"/>
      <c r="G34" s="2559"/>
      <c r="H34" s="2559"/>
      <c r="I34" s="2559"/>
      <c r="J34" s="2559"/>
      <c r="K34" s="2559"/>
      <c r="L34" s="2559"/>
      <c r="M34" s="2559"/>
      <c r="N34" s="2559"/>
      <c r="O34" s="2559"/>
      <c r="P34" s="2559"/>
      <c r="Q34" s="2559"/>
      <c r="R34" s="2559"/>
      <c r="S34" s="2559"/>
      <c r="T34" s="2559"/>
      <c r="U34" s="2559"/>
      <c r="V34" s="2559"/>
      <c r="W34" s="2559"/>
      <c r="X34" s="2559"/>
      <c r="Y34" s="2559"/>
      <c r="Z34" s="1565"/>
      <c r="AA34" s="1566"/>
      <c r="AB34" s="1517"/>
      <c r="AY34" s="1791">
        <v>33</v>
      </c>
    </row>
    <row r="35" spans="1:51" ht="45" customHeight="1">
      <c r="A35" s="3847"/>
      <c r="B35" s="3848"/>
      <c r="C35" s="3848"/>
      <c r="D35" s="3848"/>
      <c r="E35" s="3848"/>
      <c r="F35" s="3848"/>
      <c r="G35" s="3848"/>
      <c r="H35" s="3848"/>
      <c r="I35" s="3848"/>
      <c r="J35" s="3848"/>
      <c r="K35" s="3848"/>
      <c r="L35" s="3848"/>
      <c r="M35" s="3848"/>
      <c r="N35" s="3848"/>
      <c r="O35" s="3848"/>
      <c r="P35" s="3848"/>
      <c r="Q35" s="3848"/>
      <c r="R35" s="3848"/>
      <c r="S35" s="3848"/>
      <c r="T35" s="3848"/>
      <c r="U35" s="3848"/>
      <c r="V35" s="3848"/>
      <c r="W35" s="3848"/>
      <c r="X35" s="3848"/>
      <c r="Y35" s="3848"/>
      <c r="Z35" s="3848"/>
      <c r="AA35" s="3848"/>
      <c r="AB35" s="3849"/>
      <c r="AC35" s="1567"/>
      <c r="AY35" s="1791">
        <v>34</v>
      </c>
    </row>
    <row r="36" spans="1:51" ht="9.75" customHeight="1">
      <c r="A36" s="1515"/>
      <c r="B36" s="1530"/>
      <c r="C36" s="1515"/>
      <c r="D36" s="1515"/>
      <c r="E36" s="1445"/>
      <c r="F36" s="1446"/>
      <c r="G36" s="1446"/>
      <c r="H36" s="1539"/>
      <c r="I36" s="1539"/>
      <c r="J36" s="1539"/>
      <c r="K36" s="1539"/>
      <c r="L36" s="1539"/>
      <c r="M36" s="1539"/>
      <c r="N36" s="1539"/>
      <c r="O36" s="1539"/>
      <c r="P36" s="1539"/>
      <c r="Q36" s="1539"/>
      <c r="R36" s="1539"/>
      <c r="S36" s="1539"/>
      <c r="T36" s="1539"/>
      <c r="U36" s="1539"/>
      <c r="V36" s="1539"/>
      <c r="W36" s="1539"/>
      <c r="X36" s="1539"/>
      <c r="Y36" s="2557"/>
      <c r="AA36" s="1525"/>
      <c r="AB36" s="1517"/>
      <c r="AD36" s="1515"/>
      <c r="AE36" s="1515"/>
      <c r="AF36" s="1515"/>
      <c r="AG36" s="1515"/>
      <c r="AH36" s="1515"/>
      <c r="AI36" s="1515"/>
      <c r="AJ36" s="1540"/>
      <c r="AK36" s="1540"/>
      <c r="AL36" s="1540"/>
      <c r="AM36" s="1540"/>
      <c r="AN36" s="1540"/>
      <c r="AO36" s="1540"/>
      <c r="AP36" s="1540"/>
      <c r="AQ36" s="1540"/>
      <c r="AR36" s="1540"/>
      <c r="AS36" s="1540"/>
      <c r="AT36" s="1540"/>
      <c r="AU36" s="1540"/>
      <c r="AY36" s="1791">
        <v>35</v>
      </c>
    </row>
    <row r="37" spans="1:51" ht="9.75" customHeight="1" thickBot="1">
      <c r="AF37" s="1541"/>
      <c r="AG37" s="1541"/>
      <c r="AY37" s="1791">
        <v>36</v>
      </c>
    </row>
    <row r="38" spans="1:51" ht="16.05" customHeight="1" thickBot="1">
      <c r="A38" s="1534" t="s">
        <v>44</v>
      </c>
      <c r="B38" s="1535" t="s">
        <v>1755</v>
      </c>
      <c r="E38" s="1575"/>
      <c r="F38" s="1575"/>
      <c r="G38" s="1515"/>
      <c r="H38" s="1515"/>
      <c r="I38" s="1515"/>
      <c r="K38" s="1576"/>
      <c r="L38" s="1576"/>
      <c r="M38" s="1576"/>
      <c r="N38" s="1576"/>
      <c r="O38" s="1576"/>
      <c r="P38" s="1576"/>
      <c r="Q38" s="1576"/>
      <c r="R38" s="1576"/>
      <c r="S38" s="1576"/>
      <c r="T38" s="2553"/>
      <c r="U38" s="2553"/>
      <c r="V38" s="2553"/>
      <c r="W38" s="2553"/>
      <c r="X38" s="1542" t="s">
        <v>1743</v>
      </c>
      <c r="Y38" s="1525">
        <v>5</v>
      </c>
      <c r="Z38" s="2557"/>
      <c r="AA38" s="1577">
        <f>AA39+AA60</f>
        <v>2</v>
      </c>
      <c r="AB38" s="1577">
        <f>AB39+AB60</f>
        <v>0</v>
      </c>
      <c r="AC38" s="1544" t="s">
        <v>1744</v>
      </c>
      <c r="AY38" s="1791">
        <v>55</v>
      </c>
    </row>
    <row r="39" spans="1:51" ht="16.05" customHeight="1">
      <c r="A39" s="1578" t="s">
        <v>186</v>
      </c>
      <c r="B39" s="1523" t="s">
        <v>1756</v>
      </c>
      <c r="X39" s="1546" t="str">
        <f>IF(AA39&lt;=Y39,"","* * Check Score! * *")</f>
        <v/>
      </c>
      <c r="Y39" s="2557">
        <v>4</v>
      </c>
      <c r="Z39" s="1547"/>
      <c r="AA39" s="1458">
        <v>2</v>
      </c>
      <c r="AB39" s="1579"/>
      <c r="AC39" s="1549" t="str">
        <f>IF(AA39&lt;=Y39,"","*CHECK!*")</f>
        <v/>
      </c>
      <c r="AD39" s="1528"/>
      <c r="AE39" s="1528"/>
      <c r="AF39" s="1513"/>
      <c r="AY39" s="1791">
        <v>56</v>
      </c>
    </row>
    <row r="40" spans="1:51" ht="31.05" customHeight="1">
      <c r="A40" s="1578"/>
      <c r="B40" s="4210" t="s">
        <v>1757</v>
      </c>
      <c r="C40" s="4210"/>
      <c r="D40" s="4210"/>
      <c r="E40" s="4210"/>
      <c r="F40" s="4210"/>
      <c r="G40" s="4210"/>
      <c r="H40" s="4210"/>
      <c r="I40" s="4210"/>
      <c r="J40" s="4210"/>
      <c r="K40" s="4210"/>
      <c r="L40" s="4210"/>
      <c r="M40" s="4210"/>
      <c r="N40" s="4210"/>
      <c r="O40" s="4210"/>
      <c r="P40" s="4210"/>
      <c r="Q40" s="4210"/>
      <c r="R40" s="4210"/>
      <c r="S40" s="4210"/>
      <c r="T40" s="4210"/>
      <c r="U40" s="4210"/>
      <c r="V40" s="4210"/>
      <c r="W40" s="4210"/>
      <c r="X40" s="4210"/>
      <c r="Z40" s="1514"/>
      <c r="AA40" s="1459" t="s">
        <v>7714</v>
      </c>
      <c r="AB40" s="1580"/>
      <c r="AD40" s="1528"/>
      <c r="AE40" s="1528"/>
      <c r="AF40" s="1513"/>
      <c r="AY40" s="1790">
        <v>57</v>
      </c>
    </row>
    <row r="41" spans="1:51" ht="16.05" customHeight="1">
      <c r="A41" s="1578"/>
      <c r="B41" s="1581"/>
      <c r="C41" s="1557"/>
      <c r="D41" s="1557"/>
      <c r="E41" s="1557"/>
      <c r="F41" s="1557"/>
      <c r="G41" s="1557"/>
      <c r="H41" s="1557"/>
      <c r="I41" s="1557"/>
      <c r="J41" s="1557"/>
      <c r="K41" s="2411"/>
      <c r="L41" s="2411"/>
      <c r="M41" s="2411"/>
      <c r="N41" s="2411"/>
      <c r="O41" s="2411"/>
      <c r="P41" s="2411"/>
      <c r="Q41" s="2411"/>
      <c r="R41" s="2411"/>
      <c r="S41" s="2411"/>
      <c r="T41" s="4154" t="s">
        <v>1758</v>
      </c>
      <c r="U41" s="4154"/>
      <c r="V41" s="4154"/>
      <c r="W41" s="4154"/>
      <c r="Y41" s="4150" t="s">
        <v>1758</v>
      </c>
      <c r="Z41" s="4150"/>
      <c r="AA41" s="4150"/>
      <c r="AB41" s="4150"/>
      <c r="AD41" s="1582"/>
      <c r="AE41" s="1582"/>
      <c r="AF41" s="1513"/>
      <c r="AY41" s="1790">
        <v>58</v>
      </c>
    </row>
    <row r="42" spans="1:51" ht="14.1" customHeight="1">
      <c r="A42" s="1547"/>
      <c r="B42" s="1550" t="s">
        <v>201</v>
      </c>
      <c r="C42" s="1515" t="s">
        <v>1759</v>
      </c>
      <c r="D42" s="1515"/>
      <c r="J42" s="1547"/>
      <c r="K42" s="2412"/>
      <c r="L42" s="2412"/>
      <c r="M42" s="2412"/>
      <c r="N42" s="2412"/>
      <c r="O42" s="2412"/>
      <c r="P42" s="2412"/>
      <c r="Q42" s="2412"/>
      <c r="R42" s="2412"/>
      <c r="S42" s="2412"/>
      <c r="T42" s="4135"/>
      <c r="U42" s="4136"/>
      <c r="V42" s="4136"/>
      <c r="W42" s="4137"/>
      <c r="X42" s="1547"/>
      <c r="Y42" s="4151"/>
      <c r="Z42" s="4152"/>
      <c r="AA42" s="4152"/>
      <c r="AB42" s="4153"/>
      <c r="AD42" s="1546"/>
      <c r="AY42" s="1791">
        <v>59</v>
      </c>
    </row>
    <row r="43" spans="1:51" ht="14.1" customHeight="1">
      <c r="A43" s="1542"/>
      <c r="B43" s="1552" t="s">
        <v>209</v>
      </c>
      <c r="C43" s="1515" t="s">
        <v>1760</v>
      </c>
      <c r="D43" s="1515"/>
      <c r="J43" s="1559"/>
      <c r="K43" s="2413"/>
      <c r="L43" s="2413"/>
      <c r="M43" s="2413"/>
      <c r="N43" s="2413"/>
      <c r="O43" s="2413"/>
      <c r="P43" s="2413"/>
      <c r="Q43" s="2413"/>
      <c r="R43" s="2413"/>
      <c r="S43" s="2413"/>
      <c r="T43" s="4135"/>
      <c r="U43" s="4136"/>
      <c r="V43" s="4136"/>
      <c r="W43" s="4137"/>
      <c r="X43" s="1559"/>
      <c r="Y43" s="4129"/>
      <c r="Z43" s="4130"/>
      <c r="AA43" s="4130"/>
      <c r="AB43" s="4131"/>
      <c r="AY43" s="1791">
        <v>60</v>
      </c>
    </row>
    <row r="44" spans="1:51" ht="14.1" customHeight="1">
      <c r="B44" s="1550" t="s">
        <v>213</v>
      </c>
      <c r="C44" s="1515" t="s">
        <v>1761</v>
      </c>
      <c r="D44" s="1515"/>
      <c r="J44" s="1547"/>
      <c r="K44" s="2414"/>
      <c r="L44" s="2414"/>
      <c r="M44" s="2414"/>
      <c r="N44" s="2414"/>
      <c r="O44" s="2414"/>
      <c r="P44" s="2414"/>
      <c r="Q44" s="2414"/>
      <c r="R44" s="2414"/>
      <c r="S44" s="2414"/>
      <c r="T44" s="4117">
        <f>'Part II-Sources of Funds'!H7</f>
        <v>1000000</v>
      </c>
      <c r="U44" s="4118"/>
      <c r="V44" s="4118"/>
      <c r="W44" s="4119"/>
      <c r="X44" s="1547"/>
      <c r="Y44" s="4129"/>
      <c r="Z44" s="4130"/>
      <c r="AA44" s="4130"/>
      <c r="AB44" s="4131"/>
      <c r="AY44" s="1791">
        <v>61</v>
      </c>
    </row>
    <row r="45" spans="1:51" ht="14.1" customHeight="1">
      <c r="B45" s="1550" t="s">
        <v>253</v>
      </c>
      <c r="C45" s="1515" t="s">
        <v>1762</v>
      </c>
      <c r="D45" s="1515"/>
      <c r="J45" s="1547"/>
      <c r="K45" s="2414"/>
      <c r="L45" s="2414"/>
      <c r="M45" s="2414"/>
      <c r="N45" s="2414"/>
      <c r="O45" s="2414"/>
      <c r="P45" s="2414"/>
      <c r="Q45" s="2414"/>
      <c r="R45" s="2414"/>
      <c r="S45" s="2414"/>
      <c r="T45" s="4117">
        <f>'Part II-Sources of Funds'!H9</f>
        <v>0</v>
      </c>
      <c r="U45" s="4118"/>
      <c r="V45" s="4118"/>
      <c r="W45" s="4119"/>
      <c r="X45" s="1547"/>
      <c r="Y45" s="4129"/>
      <c r="Z45" s="4130"/>
      <c r="AA45" s="4130"/>
      <c r="AB45" s="4131"/>
      <c r="AY45" s="1791">
        <v>62</v>
      </c>
    </row>
    <row r="46" spans="1:51" ht="14.1" customHeight="1">
      <c r="A46" s="1542"/>
      <c r="B46" s="1552" t="s">
        <v>255</v>
      </c>
      <c r="C46" s="1515" t="s">
        <v>1763</v>
      </c>
      <c r="D46" s="1515"/>
      <c r="J46" s="1547"/>
      <c r="K46" s="2413"/>
      <c r="L46" s="2413"/>
      <c r="M46" s="2413"/>
      <c r="N46" s="2413"/>
      <c r="O46" s="2413"/>
      <c r="P46" s="2413"/>
      <c r="Q46" s="2413"/>
      <c r="R46" s="2413"/>
      <c r="S46" s="2413"/>
      <c r="T46" s="4138"/>
      <c r="U46" s="4139"/>
      <c r="V46" s="4139"/>
      <c r="W46" s="4140"/>
      <c r="X46" s="1547"/>
      <c r="Y46" s="4129"/>
      <c r="Z46" s="4130"/>
      <c r="AA46" s="4130"/>
      <c r="AB46" s="4131"/>
      <c r="AY46" s="1790">
        <v>63</v>
      </c>
    </row>
    <row r="47" spans="1:51" ht="14.1" customHeight="1">
      <c r="A47" s="1547"/>
      <c r="B47" s="1550" t="s">
        <v>257</v>
      </c>
      <c r="C47" s="1515" t="s">
        <v>1764</v>
      </c>
      <c r="D47" s="1515"/>
      <c r="J47" s="1559"/>
      <c r="K47" s="2413"/>
      <c r="L47" s="2413"/>
      <c r="M47" s="2413"/>
      <c r="N47" s="2413"/>
      <c r="O47" s="2413"/>
      <c r="P47" s="2497"/>
      <c r="Q47" s="2413"/>
      <c r="R47" s="2413"/>
      <c r="S47" s="2413"/>
      <c r="T47" s="4135"/>
      <c r="U47" s="4136"/>
      <c r="V47" s="4136"/>
      <c r="W47" s="4137"/>
      <c r="X47" s="1559"/>
      <c r="Y47" s="4129"/>
      <c r="Z47" s="4130"/>
      <c r="AA47" s="4130"/>
      <c r="AB47" s="4131"/>
      <c r="AY47" s="1791">
        <v>64</v>
      </c>
    </row>
    <row r="48" spans="1:51" ht="14.1" customHeight="1">
      <c r="B48" s="1550" t="s">
        <v>259</v>
      </c>
      <c r="C48" s="1515" t="s">
        <v>1765</v>
      </c>
      <c r="D48" s="1515"/>
      <c r="J48" s="1547"/>
      <c r="K48" s="2413"/>
      <c r="L48" s="2413"/>
      <c r="M48" s="2413"/>
      <c r="N48" s="2413"/>
      <c r="O48" s="2413"/>
      <c r="P48" s="2413"/>
      <c r="Q48" s="2413"/>
      <c r="R48" s="2413"/>
      <c r="S48" s="2413"/>
      <c r="T48" s="4135"/>
      <c r="U48" s="4136"/>
      <c r="V48" s="4136"/>
      <c r="W48" s="4137"/>
      <c r="X48" s="1547"/>
      <c r="Y48" s="4129"/>
      <c r="Z48" s="4130"/>
      <c r="AA48" s="4130"/>
      <c r="AB48" s="4131"/>
      <c r="AY48" s="1790">
        <v>65</v>
      </c>
    </row>
    <row r="49" spans="1:51" ht="14.1" customHeight="1">
      <c r="B49" s="1550" t="s">
        <v>261</v>
      </c>
      <c r="C49" s="1515" t="s">
        <v>1766</v>
      </c>
      <c r="D49" s="1515"/>
      <c r="J49" s="1547"/>
      <c r="K49" s="2413"/>
      <c r="L49" s="2413"/>
      <c r="M49" s="2413"/>
      <c r="N49" s="2413"/>
      <c r="O49" s="2413"/>
      <c r="P49" s="2413"/>
      <c r="Q49" s="2413"/>
      <c r="R49" s="2413"/>
      <c r="S49" s="2413"/>
      <c r="T49" s="4135"/>
      <c r="U49" s="4136"/>
      <c r="V49" s="4136"/>
      <c r="W49" s="4137"/>
      <c r="X49" s="1547"/>
      <c r="Y49" s="4129"/>
      <c r="Z49" s="4130"/>
      <c r="AA49" s="4130"/>
      <c r="AB49" s="4131"/>
      <c r="AD49" s="1546"/>
      <c r="AY49" s="1790">
        <v>66</v>
      </c>
    </row>
    <row r="50" spans="1:51" ht="14.1" customHeight="1">
      <c r="A50" s="1542"/>
      <c r="B50" s="1550" t="s">
        <v>263</v>
      </c>
      <c r="C50" s="1515" t="s">
        <v>1767</v>
      </c>
      <c r="D50" s="1515"/>
      <c r="J50" s="1547"/>
      <c r="K50" s="2413"/>
      <c r="L50" s="2413"/>
      <c r="M50" s="2413"/>
      <c r="N50" s="2413"/>
      <c r="O50" s="2413"/>
      <c r="P50" s="2413"/>
      <c r="Q50" s="2413"/>
      <c r="R50" s="2413"/>
      <c r="S50" s="2413"/>
      <c r="T50" s="4135"/>
      <c r="U50" s="4136"/>
      <c r="V50" s="4136"/>
      <c r="W50" s="4137"/>
      <c r="X50" s="1547"/>
      <c r="Y50" s="4129"/>
      <c r="Z50" s="4130"/>
      <c r="AA50" s="4130"/>
      <c r="AB50" s="4131"/>
      <c r="AD50" s="1546"/>
      <c r="AY50" s="1790">
        <v>67</v>
      </c>
    </row>
    <row r="51" spans="1:51" ht="14.1" customHeight="1">
      <c r="B51" s="1550" t="s">
        <v>1768</v>
      </c>
      <c r="C51" s="1515" t="s">
        <v>1769</v>
      </c>
      <c r="D51" s="1515"/>
      <c r="J51" s="1547"/>
      <c r="K51" s="2413"/>
      <c r="L51" s="2413"/>
      <c r="M51" s="2413"/>
      <c r="N51" s="2413"/>
      <c r="O51" s="2413"/>
      <c r="P51" s="2413"/>
      <c r="Q51" s="2413"/>
      <c r="R51" s="2413"/>
      <c r="S51" s="2413"/>
      <c r="T51" s="4135"/>
      <c r="U51" s="4136"/>
      <c r="V51" s="4136"/>
      <c r="W51" s="4137"/>
      <c r="X51" s="1547"/>
      <c r="Y51" s="4129"/>
      <c r="Z51" s="4130"/>
      <c r="AA51" s="4130"/>
      <c r="AB51" s="4131"/>
      <c r="AD51" s="1546"/>
      <c r="AY51" s="1790">
        <v>69</v>
      </c>
    </row>
    <row r="52" spans="1:51" ht="14.1" customHeight="1">
      <c r="B52" s="1550" t="s">
        <v>1770</v>
      </c>
      <c r="C52" s="1515" t="s">
        <v>1771</v>
      </c>
      <c r="D52" s="1515"/>
      <c r="J52" s="1547"/>
      <c r="K52" s="2413"/>
      <c r="L52" s="2413"/>
      <c r="M52" s="2413"/>
      <c r="N52" s="2413"/>
      <c r="O52" s="2413"/>
      <c r="P52" s="2413"/>
      <c r="Q52" s="2413"/>
      <c r="R52" s="2413"/>
      <c r="S52" s="2413"/>
      <c r="T52" s="4138"/>
      <c r="U52" s="4139"/>
      <c r="V52" s="4139"/>
      <c r="W52" s="4140"/>
      <c r="X52" s="1547"/>
      <c r="Y52" s="4132"/>
      <c r="Z52" s="4133"/>
      <c r="AA52" s="4133"/>
      <c r="AB52" s="4134"/>
      <c r="AD52" s="1546"/>
      <c r="AY52" s="1790">
        <v>70</v>
      </c>
    </row>
    <row r="53" spans="1:51" ht="16.5" customHeight="1">
      <c r="B53" s="1515"/>
      <c r="H53" s="2329" t="s">
        <v>1772</v>
      </c>
      <c r="J53" s="1530"/>
      <c r="L53" s="2415"/>
      <c r="M53" s="2415"/>
      <c r="N53" s="2415"/>
      <c r="O53" s="2415"/>
      <c r="P53" s="2415"/>
      <c r="Q53" s="2415"/>
      <c r="R53" s="2415"/>
      <c r="S53" s="2415"/>
      <c r="T53" s="4141">
        <f>SUM(T42:W52)</f>
        <v>1000000</v>
      </c>
      <c r="U53" s="4142"/>
      <c r="V53" s="4142"/>
      <c r="W53" s="4143"/>
      <c r="Y53" s="4123">
        <f>SUM($Y42:$Y52)</f>
        <v>0</v>
      </c>
      <c r="Z53" s="4124"/>
      <c r="AA53" s="4124"/>
      <c r="AB53" s="4125"/>
      <c r="AH53" s="3917" t="s">
        <v>1773</v>
      </c>
      <c r="AI53" s="3917"/>
      <c r="AJ53" s="3917"/>
      <c r="AK53" s="3917"/>
      <c r="AL53" s="3917"/>
      <c r="AM53" s="3917"/>
      <c r="AY53" s="1791">
        <v>71</v>
      </c>
    </row>
    <row r="54" spans="1:51" ht="7.5" customHeight="1">
      <c r="Y54" s="1528"/>
      <c r="Z54" s="1528"/>
      <c r="AA54" s="1514"/>
      <c r="AB54" s="1528"/>
      <c r="AH54" s="1662" t="s">
        <v>1774</v>
      </c>
      <c r="AI54" s="1662" t="s">
        <v>1722</v>
      </c>
      <c r="AJ54" s="1662" t="s">
        <v>1774</v>
      </c>
      <c r="AK54" s="1662" t="s">
        <v>1722</v>
      </c>
      <c r="AL54" s="1662" t="s">
        <v>1774</v>
      </c>
      <c r="AM54" s="1662" t="s">
        <v>1722</v>
      </c>
      <c r="AY54" s="1791">
        <v>72</v>
      </c>
    </row>
    <row r="55" spans="1:51" ht="16.05" customHeight="1">
      <c r="A55" s="1515"/>
      <c r="B55" s="1550"/>
      <c r="C55" s="1575" t="s">
        <v>1775</v>
      </c>
      <c r="D55" s="1575"/>
      <c r="E55" s="2563"/>
      <c r="F55" s="2563"/>
      <c r="L55" s="2415"/>
      <c r="M55" s="2415"/>
      <c r="N55" s="2415"/>
      <c r="O55" s="2415"/>
      <c r="P55" s="2415"/>
      <c r="Q55" s="2415"/>
      <c r="R55" s="2415"/>
      <c r="S55" s="1547" t="s">
        <v>1776</v>
      </c>
      <c r="T55" s="4144">
        <f>'Part V-Revenues &amp; Expenses'!$P$76</f>
        <v>96</v>
      </c>
      <c r="U55" s="4145"/>
      <c r="V55" s="4145"/>
      <c r="W55" s="4146"/>
      <c r="X55" s="1528"/>
      <c r="Y55" s="1528"/>
      <c r="Z55" s="1528"/>
      <c r="AA55" s="1514"/>
      <c r="AB55" s="1528"/>
      <c r="AD55" s="4198" t="s">
        <v>1777</v>
      </c>
      <c r="AE55" s="4198"/>
      <c r="AF55" s="4198"/>
      <c r="AG55" s="4199"/>
      <c r="AH55" s="2784">
        <v>500000</v>
      </c>
      <c r="AI55" s="2785">
        <v>999999.99</v>
      </c>
      <c r="AJ55" s="2784">
        <v>1000000</v>
      </c>
      <c r="AK55" s="2785">
        <v>1999999.99</v>
      </c>
      <c r="AL55" s="2784">
        <v>2000000</v>
      </c>
      <c r="AM55" s="2786"/>
      <c r="AY55" s="1791">
        <v>73</v>
      </c>
    </row>
    <row r="56" spans="1:51" ht="16.05" customHeight="1">
      <c r="C56" s="2563"/>
      <c r="D56" s="2563"/>
      <c r="E56" s="2563"/>
      <c r="F56" s="2563"/>
      <c r="L56" s="2416"/>
      <c r="M56" s="2416"/>
      <c r="N56" s="2416"/>
      <c r="O56" s="2416"/>
      <c r="P56" s="2416"/>
      <c r="Q56" s="2416"/>
      <c r="R56" s="2416"/>
      <c r="S56" s="1583" t="s">
        <v>1778</v>
      </c>
      <c r="T56" s="4147">
        <f>IF(T55=0,0,T53/T55)</f>
        <v>10416.666666666666</v>
      </c>
      <c r="U56" s="4148"/>
      <c r="V56" s="4148"/>
      <c r="W56" s="4149"/>
      <c r="Y56" s="4126">
        <f>IF(T55=0,0,Y53/T55)</f>
        <v>0</v>
      </c>
      <c r="Z56" s="4127"/>
      <c r="AA56" s="4127"/>
      <c r="AB56" s="4128"/>
      <c r="AD56" s="4198" t="s">
        <v>1779</v>
      </c>
      <c r="AE56" s="4198"/>
      <c r="AF56" s="4198"/>
      <c r="AG56" s="4199"/>
      <c r="AH56" s="1584">
        <v>10000</v>
      </c>
      <c r="AI56" s="1585">
        <v>19999.990000000002</v>
      </c>
      <c r="AJ56" s="1584">
        <v>20000</v>
      </c>
      <c r="AK56" s="1585">
        <v>29999.99</v>
      </c>
      <c r="AL56" s="1584">
        <v>30000</v>
      </c>
      <c r="AM56" s="1586"/>
      <c r="AY56" s="1790">
        <v>74</v>
      </c>
    </row>
    <row r="57" spans="1:51" ht="16.05" customHeight="1">
      <c r="C57" s="2563"/>
      <c r="D57" s="2563"/>
      <c r="E57" s="2563"/>
      <c r="F57" s="2563"/>
      <c r="L57" s="2415"/>
      <c r="M57" s="2415"/>
      <c r="N57" s="2415"/>
      <c r="O57" s="2415"/>
      <c r="P57" s="2415"/>
      <c r="Q57" s="2415"/>
      <c r="R57" s="2415"/>
      <c r="S57" s="1542" t="s">
        <v>1780</v>
      </c>
      <c r="T57" s="4117">
        <f>IF(AND(T45+T50&gt;0,T53&gt;=$AL$55),$AL$57, IF(AND(T45+T50=0,T53&gt;=$AL$55),$AL$58, IF(AND(T45+T50&gt;0,T53&gt;=$AJ$55),$AJ$57,IF(AND(T45+T50=0,T53&gt;=$AJ$55),$AJ$58, IF(AND(T45+T50&gt;0,T53&gt;=$AH$55),$AH$57,IF(AND(T45+T50=0,T53&gt;=$AH$55),$AH$58,0))))))</f>
        <v>2</v>
      </c>
      <c r="U57" s="4118"/>
      <c r="V57" s="4118"/>
      <c r="W57" s="4119"/>
      <c r="Y57" s="4111">
        <f>IF(AND(Y45+Y50&gt;0,Y53&gt;=$AL$55),$AL$57, IF(AND(Y45+Y50=0,Y53&gt;=$AL$55),$AL$58, IF(AND(Y45+Y50&gt;0,Y53&gt;=$AJ$55),$AJ$57,IF(AND(Y45+Y50=0,Y53&gt;=$AJ$55),$AJ$58, IF(AND(Y45+Y50&gt;0,Y53&gt;=$AH$55),$AH$57,IF(AND(Y45+Y50=0,Y53&gt;=$AH$55),$AH$58,0))))))</f>
        <v>0</v>
      </c>
      <c r="Z57" s="4112"/>
      <c r="AA57" s="4112">
        <f>IF(AND(AA45+AA50&gt;0,AA53&gt;=$AL$55),$AL$57, IF(AND(AA45+AA50=0,AA53&gt;=$AL$55),$AL$58, IF(AND(AA45+AA50&gt;0,AA53&gt;=$AJ$55),$AJ$57,IF(AND(AA45+AA50=0,AA53&gt;=$AJ$55),$AJ$58, IF(AND(AA45+AA50&gt;0,AA53&gt;=$AH$55),$AH$57,IF(AND(AA45+AA50=0,AA53&gt;=$AH$55),$AH$58,0))))))</f>
        <v>0</v>
      </c>
      <c r="AB57" s="4113"/>
      <c r="AD57" s="4198" t="s">
        <v>1781</v>
      </c>
      <c r="AE57" s="4198"/>
      <c r="AF57" s="4198"/>
      <c r="AG57" s="4199"/>
      <c r="AH57" s="4114">
        <v>2</v>
      </c>
      <c r="AI57" s="4115"/>
      <c r="AJ57" s="4114">
        <v>3</v>
      </c>
      <c r="AK57" s="4115"/>
      <c r="AL57" s="4114">
        <v>4</v>
      </c>
      <c r="AM57" s="4115"/>
      <c r="AY57" s="1790">
        <v>75</v>
      </c>
    </row>
    <row r="58" spans="1:51" ht="16.05" customHeight="1">
      <c r="C58" s="2563"/>
      <c r="D58" s="2563"/>
      <c r="E58" s="2563"/>
      <c r="F58" s="2563"/>
      <c r="L58" s="2417"/>
      <c r="M58" s="2417"/>
      <c r="N58" s="2417"/>
      <c r="O58" s="2417"/>
      <c r="P58" s="2417"/>
      <c r="Q58" s="2417"/>
      <c r="R58" s="2417"/>
      <c r="S58" s="1542" t="s">
        <v>1782</v>
      </c>
      <c r="T58" s="4120">
        <f>IF(AND(T45+T50&gt;0,$T$56&gt;=$AL$56),$AL$57,IF(AND(T45+T50=0,$T$56&gt;=$AL$56),$AL$58,IF(AND(T45+T50&gt;0,$T$56&gt;=$AJ$56),$AJ$57,IF(AND(T45+T50=0,$T$56&gt;=$AJ$56),$AJ$58,IF(AND(T45+T50&gt;0,$T$56&gt;=$AH$56),$AH$57,IF(AND(T45+T50=0,$T$56&gt;=$AH$56),$AH$58,0))))))</f>
        <v>1</v>
      </c>
      <c r="U58" s="4121"/>
      <c r="V58" s="4121"/>
      <c r="W58" s="4122"/>
      <c r="X58" s="1528"/>
      <c r="Y58" s="4068">
        <f>IF(AND(Y45+Y50&gt;0,$Y$56&gt;=$AL$56),$AL$57,IF(AND(Y45+Y50=0,$Y$56&gt;=$AL$56),$AL$58,IF(AND(Y45+Y50&gt;0,$Y$56&gt;=$AJ$56),$AJ$57,IF(AND(Y45+Y50=0,$Y$56&gt;=$AJ$56),$AJ$58,IF(AND(Y45+Y50&gt;0,$Y$56&gt;=$AH$56),$AH$57,IF(AND(Y45+Y50=0,$Y$56&gt;=$AH$56),$AH$58,0))))))</f>
        <v>0</v>
      </c>
      <c r="Z58" s="4116"/>
      <c r="AA58" s="4116">
        <f>IF(AND(AA45+AA50&gt;0,$T$55&gt;=$AL$56),$AL$57, IF(AND(AA45+AA50=0,$T$55&gt;=$AL$56),$AL$58, IF(AND(AA45+AA50&gt;0,$T$55&gt;=$AJ$56),$AJ$57,IF(AND(AA45+AA50=0,$T$55&gt;=$AJ$56),$AJ$58, IF(AND(AA45+AA50&gt;0,$T$55&gt;=$AH$56),$AH$57,IF(AND(AA45+AA50=0,$T$55&gt;=$AH$56),$AH$58,0))))))</f>
        <v>0</v>
      </c>
      <c r="AB58" s="4069"/>
      <c r="AD58" s="4198" t="s">
        <v>1783</v>
      </c>
      <c r="AE58" s="4198"/>
      <c r="AF58" s="4198"/>
      <c r="AG58" s="4199"/>
      <c r="AH58" s="4114">
        <v>1</v>
      </c>
      <c r="AI58" s="4115"/>
      <c r="AJ58" s="4114">
        <v>2</v>
      </c>
      <c r="AK58" s="4115"/>
      <c r="AL58" s="4114">
        <v>3</v>
      </c>
      <c r="AM58" s="4115"/>
      <c r="AY58" s="1791">
        <v>76</v>
      </c>
    </row>
    <row r="59" spans="1:51" ht="6" customHeight="1">
      <c r="AY59" s="1790">
        <v>77</v>
      </c>
    </row>
    <row r="60" spans="1:51" ht="16.05" customHeight="1">
      <c r="A60" s="1517" t="s">
        <v>198</v>
      </c>
      <c r="B60" s="1523" t="s">
        <v>1784</v>
      </c>
      <c r="E60" s="1515"/>
      <c r="F60" s="1587" t="s">
        <v>1785</v>
      </c>
      <c r="T60" s="1515"/>
      <c r="U60" s="1515"/>
      <c r="V60" s="1515"/>
      <c r="W60" s="1515"/>
      <c r="X60" s="1588" t="s">
        <v>1786</v>
      </c>
      <c r="Y60" s="2557">
        <v>1</v>
      </c>
      <c r="Z60" s="1547"/>
      <c r="AA60" s="1589">
        <f>MAX(AA61,AA62)</f>
        <v>0</v>
      </c>
      <c r="AB60" s="1589">
        <f>MAX(AB61,AB62)</f>
        <v>0</v>
      </c>
      <c r="AC60" s="1549"/>
      <c r="AD60" s="2554"/>
      <c r="AF60" s="1541"/>
      <c r="AY60" s="1790">
        <v>78</v>
      </c>
    </row>
    <row r="61" spans="1:51" s="1515" customFormat="1" ht="16.05" customHeight="1">
      <c r="A61" s="1517"/>
      <c r="B61" s="1550" t="s">
        <v>201</v>
      </c>
      <c r="C61" s="2562" t="s">
        <v>1787</v>
      </c>
      <c r="D61" s="2562"/>
      <c r="F61" s="1590" t="s">
        <v>1788</v>
      </c>
      <c r="J61" s="1517"/>
      <c r="K61" s="2562"/>
      <c r="L61" s="2562"/>
      <c r="M61" s="2562"/>
      <c r="N61" s="2562"/>
      <c r="O61" s="2562"/>
      <c r="P61" s="2562"/>
      <c r="Q61" s="2562"/>
      <c r="R61" s="2562"/>
      <c r="S61" s="2562"/>
      <c r="T61" s="2562"/>
      <c r="U61" s="2562"/>
      <c r="V61" s="2562"/>
      <c r="W61" s="2562"/>
      <c r="X61" s="1546" t="str">
        <f>IF(OR($AA61=$Y61,$AA61=0,$AA61=""),"","* * Check Score! * *")</f>
        <v/>
      </c>
      <c r="Y61" s="1591">
        <v>1</v>
      </c>
      <c r="Z61" s="1547"/>
      <c r="AA61" s="1510">
        <v>0</v>
      </c>
      <c r="AB61" s="1592"/>
      <c r="AC61" s="2554"/>
      <c r="AY61" s="1791">
        <v>79</v>
      </c>
    </row>
    <row r="62" spans="1:51" s="1515" customFormat="1" ht="16.05" customHeight="1">
      <c r="A62" s="1517"/>
      <c r="B62" s="1552" t="s">
        <v>209</v>
      </c>
      <c r="C62" s="3929" t="s">
        <v>1789</v>
      </c>
      <c r="D62" s="3929"/>
      <c r="E62" s="3929"/>
      <c r="F62" s="3929"/>
      <c r="G62" s="1517"/>
      <c r="J62" s="1517"/>
      <c r="K62" s="2562"/>
      <c r="L62" s="2562"/>
      <c r="M62" s="2562"/>
      <c r="N62" s="2562"/>
      <c r="O62" s="2562"/>
      <c r="P62" s="2562"/>
      <c r="Q62" s="2562"/>
      <c r="R62" s="2562"/>
      <c r="S62" s="2562"/>
      <c r="T62" s="2562"/>
      <c r="U62" s="2562"/>
      <c r="V62" s="2562"/>
      <c r="W62" s="2562"/>
      <c r="X62" s="1546" t="str">
        <f>IF(OR($AA62=$Y62,$AA62=0,$AA62=""),"","* * Check Score! * *")</f>
        <v/>
      </c>
      <c r="Y62" s="1591">
        <v>1</v>
      </c>
      <c r="Z62" s="1547"/>
      <c r="AA62" s="2787">
        <f>IF(OR(AA63="Yes",AA64="Yes"),$Y62,0)</f>
        <v>0</v>
      </c>
      <c r="AB62" s="2787">
        <f>IF(AND(AB63="Yes",AB64="Yes"),$Y62,0)</f>
        <v>0</v>
      </c>
      <c r="AC62" s="2554"/>
      <c r="AY62" s="1791">
        <v>80</v>
      </c>
    </row>
    <row r="63" spans="1:51" ht="28.95" customHeight="1">
      <c r="A63" s="1530"/>
      <c r="B63" s="1573"/>
      <c r="C63" s="3926" t="s">
        <v>1790</v>
      </c>
      <c r="D63" s="3926"/>
      <c r="E63" s="3926"/>
      <c r="F63" s="3926"/>
      <c r="G63" s="3926"/>
      <c r="H63" s="3926"/>
      <c r="I63" s="3926"/>
      <c r="J63" s="3926"/>
      <c r="K63" s="3926"/>
      <c r="L63" s="3926"/>
      <c r="M63" s="3926"/>
      <c r="N63" s="3926"/>
      <c r="O63" s="3926"/>
      <c r="P63" s="3926"/>
      <c r="Q63" s="3926"/>
      <c r="R63" s="3926"/>
      <c r="S63" s="3926"/>
      <c r="T63" s="3926"/>
      <c r="U63" s="3926"/>
      <c r="V63" s="3926"/>
      <c r="W63" s="3926"/>
      <c r="X63" s="3926"/>
      <c r="Y63" s="1620"/>
      <c r="Z63" s="1593"/>
      <c r="AA63" s="1460"/>
      <c r="AB63" s="1594"/>
      <c r="AY63" s="1791">
        <v>81</v>
      </c>
    </row>
    <row r="64" spans="1:51" ht="44.25" customHeight="1">
      <c r="A64" s="1530"/>
      <c r="B64" s="1573"/>
      <c r="C64" s="3940" t="s">
        <v>1791</v>
      </c>
      <c r="D64" s="3940"/>
      <c r="E64" s="3940"/>
      <c r="F64" s="3940"/>
      <c r="G64" s="3940"/>
      <c r="H64" s="3940"/>
      <c r="I64" s="3940"/>
      <c r="J64" s="3940"/>
      <c r="K64" s="3940"/>
      <c r="L64" s="3940"/>
      <c r="M64" s="3940"/>
      <c r="N64" s="3940"/>
      <c r="O64" s="3940"/>
      <c r="P64" s="3940"/>
      <c r="Q64" s="3940"/>
      <c r="R64" s="3940"/>
      <c r="S64" s="3940"/>
      <c r="T64" s="3940"/>
      <c r="U64" s="3940"/>
      <c r="V64" s="3940"/>
      <c r="W64" s="3940"/>
      <c r="X64" s="3940"/>
      <c r="Y64" s="1515"/>
      <c r="Z64" s="1595"/>
      <c r="AA64" s="1450"/>
      <c r="AB64" s="1553"/>
      <c r="AY64" s="1791">
        <v>82</v>
      </c>
    </row>
    <row r="65" spans="1:51" ht="13.5" customHeight="1">
      <c r="A65" s="1515"/>
      <c r="B65" s="1533" t="s">
        <v>1792</v>
      </c>
      <c r="C65" s="1515"/>
      <c r="D65" s="1515"/>
      <c r="E65" s="1515"/>
      <c r="F65" s="1515"/>
      <c r="G65" s="1515"/>
      <c r="H65" s="1515"/>
      <c r="I65" s="1515"/>
      <c r="J65" s="1515"/>
      <c r="K65" s="1515"/>
      <c r="L65" s="1515"/>
      <c r="M65" s="1515"/>
      <c r="N65" s="1515"/>
      <c r="O65" s="1515"/>
      <c r="P65" s="1515"/>
      <c r="Q65" s="1515"/>
      <c r="R65" s="1515"/>
      <c r="S65" s="1515"/>
      <c r="T65" s="1515"/>
      <c r="U65" s="1515"/>
      <c r="V65" s="1515"/>
      <c r="W65" s="1515"/>
      <c r="Y65" s="2557"/>
      <c r="AA65" s="1525"/>
      <c r="AY65" s="1790">
        <v>83</v>
      </c>
    </row>
    <row r="66" spans="1:51" ht="142.80000000000001" customHeight="1">
      <c r="A66" s="3844" t="s">
        <v>7755</v>
      </c>
      <c r="B66" s="3845"/>
      <c r="C66" s="3845"/>
      <c r="D66" s="3845"/>
      <c r="E66" s="3845"/>
      <c r="F66" s="3845"/>
      <c r="G66" s="3845"/>
      <c r="H66" s="3845"/>
      <c r="I66" s="3845"/>
      <c r="J66" s="3845"/>
      <c r="K66" s="3845"/>
      <c r="L66" s="3845"/>
      <c r="M66" s="3845"/>
      <c r="N66" s="3845"/>
      <c r="O66" s="3845"/>
      <c r="P66" s="3845"/>
      <c r="Q66" s="3845"/>
      <c r="R66" s="3845"/>
      <c r="S66" s="3845"/>
      <c r="T66" s="3845"/>
      <c r="U66" s="3845"/>
      <c r="V66" s="3845"/>
      <c r="W66" s="3845"/>
      <c r="X66" s="3845"/>
      <c r="Y66" s="3845"/>
      <c r="Z66" s="3845"/>
      <c r="AA66" s="3845"/>
      <c r="AB66" s="3846"/>
      <c r="AC66" s="1574"/>
      <c r="AY66" s="1791">
        <v>84</v>
      </c>
    </row>
    <row r="67" spans="1:51" s="1515" customFormat="1" ht="13.5" customHeight="1">
      <c r="B67" s="1596" t="s">
        <v>1453</v>
      </c>
      <c r="C67" s="1563"/>
      <c r="D67" s="1563"/>
      <c r="E67" s="1596"/>
      <c r="F67" s="1597"/>
      <c r="G67" s="2574"/>
      <c r="H67" s="2574"/>
      <c r="I67" s="2574"/>
      <c r="J67" s="2574"/>
      <c r="K67" s="2574"/>
      <c r="L67" s="2574"/>
      <c r="M67" s="2574"/>
      <c r="N67" s="2574"/>
      <c r="O67" s="2574"/>
      <c r="P67" s="2574"/>
      <c r="Q67" s="2574"/>
      <c r="R67" s="2574"/>
      <c r="S67" s="2574"/>
      <c r="T67" s="2574"/>
      <c r="U67" s="2574"/>
      <c r="V67" s="2574"/>
      <c r="W67" s="2574"/>
      <c r="X67" s="2574"/>
      <c r="Y67" s="2574"/>
      <c r="Z67" s="2558"/>
      <c r="AA67" s="2575"/>
      <c r="AB67" s="1517"/>
      <c r="AC67" s="1514"/>
      <c r="AY67" s="1790">
        <v>85</v>
      </c>
    </row>
    <row r="68" spans="1:51" ht="30" customHeight="1">
      <c r="A68" s="3847"/>
      <c r="B68" s="3848"/>
      <c r="C68" s="3848"/>
      <c r="D68" s="3848"/>
      <c r="E68" s="3848"/>
      <c r="F68" s="3848"/>
      <c r="G68" s="3848"/>
      <c r="H68" s="3848"/>
      <c r="I68" s="3848"/>
      <c r="J68" s="3848"/>
      <c r="K68" s="3848"/>
      <c r="L68" s="3848"/>
      <c r="M68" s="3848"/>
      <c r="N68" s="3848"/>
      <c r="O68" s="3848"/>
      <c r="P68" s="3848"/>
      <c r="Q68" s="3848"/>
      <c r="R68" s="3848"/>
      <c r="S68" s="3848"/>
      <c r="T68" s="3848"/>
      <c r="U68" s="3848"/>
      <c r="V68" s="3848"/>
      <c r="W68" s="3848"/>
      <c r="X68" s="3848"/>
      <c r="Y68" s="3848"/>
      <c r="Z68" s="3848"/>
      <c r="AA68" s="3848"/>
      <c r="AB68" s="3849"/>
      <c r="AC68" s="1567"/>
      <c r="AY68" s="1790">
        <v>86</v>
      </c>
    </row>
    <row r="69" spans="1:51" ht="6" customHeight="1">
      <c r="A69" s="1515"/>
      <c r="B69" s="1530"/>
      <c r="C69" s="1515"/>
      <c r="D69" s="1515"/>
      <c r="E69" s="1445"/>
      <c r="F69" s="1446"/>
      <c r="G69" s="1446"/>
      <c r="H69" s="1539"/>
      <c r="I69" s="1539"/>
      <c r="J69" s="1539"/>
      <c r="K69" s="1539"/>
      <c r="L69" s="1539"/>
      <c r="M69" s="1539"/>
      <c r="N69" s="1539"/>
      <c r="O69" s="1539"/>
      <c r="P69" s="1539"/>
      <c r="Q69" s="1539"/>
      <c r="R69" s="1539"/>
      <c r="S69" s="1539"/>
      <c r="T69" s="1539"/>
      <c r="U69" s="1539"/>
      <c r="V69" s="1539"/>
      <c r="W69" s="1539"/>
      <c r="X69" s="1539"/>
      <c r="Y69" s="2557"/>
      <c r="AA69" s="1525"/>
      <c r="AB69" s="1517"/>
      <c r="AD69" s="1515"/>
      <c r="AE69" s="1515"/>
      <c r="AF69" s="1515"/>
      <c r="AG69" s="1515"/>
      <c r="AH69" s="1515"/>
      <c r="AI69" s="1515"/>
      <c r="AJ69" s="1540"/>
      <c r="AK69" s="1540"/>
      <c r="AL69" s="1540"/>
      <c r="AM69" s="1540"/>
      <c r="AN69" s="1540"/>
      <c r="AO69" s="1540"/>
      <c r="AP69" s="1540"/>
      <c r="AQ69" s="1540"/>
      <c r="AR69" s="1540"/>
      <c r="AS69" s="1540"/>
      <c r="AT69" s="1540"/>
      <c r="AU69" s="1540"/>
      <c r="AY69" s="1790">
        <v>87</v>
      </c>
    </row>
    <row r="70" spans="1:51" ht="6" customHeight="1" thickBot="1">
      <c r="AF70" s="1541"/>
      <c r="AG70" s="1541"/>
      <c r="AY70" s="1790">
        <v>88</v>
      </c>
    </row>
    <row r="71" spans="1:51" s="1515" customFormat="1" ht="16.05" customHeight="1">
      <c r="A71" s="1598" t="s">
        <v>58</v>
      </c>
      <c r="B71" s="1535" t="s">
        <v>1793</v>
      </c>
      <c r="E71" s="1535"/>
      <c r="F71" s="1535"/>
      <c r="T71" s="1546"/>
      <c r="U71" s="1546"/>
      <c r="V71" s="1546"/>
      <c r="W71" s="1546"/>
      <c r="X71" s="1542" t="s">
        <v>1743</v>
      </c>
      <c r="Y71" s="1517">
        <v>10</v>
      </c>
      <c r="Z71" s="2557"/>
      <c r="AA71" s="1543">
        <f>IF(AA72-AA73&lt;$Y$71,MIN($Y$71,AA72-AA73+AA76),$Y$71)</f>
        <v>10</v>
      </c>
      <c r="AB71" s="1543">
        <f>IF(AB77="Yes",0,IF(AB72-AB73&lt;$Y$71,MIN($Y$71,AB72-AB73+AB76),$Y$71))</f>
        <v>10</v>
      </c>
      <c r="AC71" s="1544" t="s">
        <v>1744</v>
      </c>
      <c r="AY71" s="1791">
        <v>89</v>
      </c>
    </row>
    <row r="72" spans="1:51" s="1515" customFormat="1" ht="16.05" customHeight="1">
      <c r="A72" s="1598"/>
      <c r="B72" s="1523" t="s">
        <v>1794</v>
      </c>
      <c r="E72" s="1535"/>
      <c r="F72" s="1535"/>
      <c r="X72" s="1546"/>
      <c r="Y72" s="1517"/>
      <c r="Z72" s="2557"/>
      <c r="AA72" s="1599">
        <v>10</v>
      </c>
      <c r="AB72" s="1599">
        <v>10</v>
      </c>
      <c r="AC72" s="1544"/>
      <c r="AY72" s="1791">
        <v>91</v>
      </c>
    </row>
    <row r="73" spans="1:51" s="1515" customFormat="1" ht="16.05" customHeight="1">
      <c r="A73" s="1517" t="s">
        <v>186</v>
      </c>
      <c r="B73" s="1523" t="s">
        <v>1795</v>
      </c>
      <c r="E73" s="1535"/>
      <c r="F73" s="1535"/>
      <c r="X73" s="1546"/>
      <c r="Y73" s="1517"/>
      <c r="Z73" s="2557"/>
      <c r="AA73" s="2779">
        <f>SUM(AA74:AA75)</f>
        <v>0</v>
      </c>
      <c r="AB73" s="2779">
        <f>SUM(AB74:AB75)</f>
        <v>0</v>
      </c>
      <c r="AC73" s="1544"/>
      <c r="AY73" s="1791">
        <v>92</v>
      </c>
    </row>
    <row r="74" spans="1:51" s="1515" customFormat="1" ht="16.05" customHeight="1">
      <c r="A74" s="1517"/>
      <c r="B74" s="1550" t="s">
        <v>201</v>
      </c>
      <c r="C74" s="1515" t="s">
        <v>1796</v>
      </c>
      <c r="E74" s="1535"/>
      <c r="F74" s="1535"/>
      <c r="X74" s="1546"/>
      <c r="Y74" s="1600"/>
      <c r="Z74" s="2557"/>
      <c r="AA74" s="1461">
        <v>0</v>
      </c>
      <c r="AB74" s="1601"/>
      <c r="AC74" s="1544"/>
      <c r="AY74" s="1790">
        <v>93</v>
      </c>
    </row>
    <row r="75" spans="1:51" s="1515" customFormat="1" ht="16.05" customHeight="1">
      <c r="A75" s="1517"/>
      <c r="B75" s="1552" t="s">
        <v>209</v>
      </c>
      <c r="C75" s="1515" t="s">
        <v>1797</v>
      </c>
      <c r="E75" s="1535"/>
      <c r="F75" s="1535"/>
      <c r="X75" s="1546"/>
      <c r="Y75" s="1600"/>
      <c r="Z75" s="2557"/>
      <c r="AA75" s="1511">
        <v>0</v>
      </c>
      <c r="AB75" s="1602"/>
      <c r="AC75" s="1544"/>
      <c r="AY75" s="1791">
        <v>94</v>
      </c>
    </row>
    <row r="76" spans="1:51" s="1515" customFormat="1" ht="16.05" customHeight="1">
      <c r="A76" s="1517" t="s">
        <v>198</v>
      </c>
      <c r="B76" s="1523" t="s">
        <v>1798</v>
      </c>
      <c r="E76" s="1535"/>
      <c r="F76" s="1535"/>
      <c r="X76" s="1546"/>
      <c r="Y76" s="1517"/>
      <c r="Z76" s="2557"/>
      <c r="AA76" s="2788">
        <v>0</v>
      </c>
      <c r="AB76" s="2789"/>
      <c r="AC76" s="1544"/>
      <c r="AY76" s="1790">
        <v>95</v>
      </c>
    </row>
    <row r="77" spans="1:51" s="1515" customFormat="1" ht="15.75" customHeight="1">
      <c r="A77" s="1533"/>
      <c r="B77" s="1533" t="s">
        <v>1453</v>
      </c>
      <c r="E77" s="1533"/>
      <c r="F77" s="2574"/>
      <c r="G77" s="2574"/>
      <c r="H77" s="2574"/>
      <c r="I77" s="2574"/>
      <c r="J77" s="2574"/>
      <c r="K77" s="1515" t="s">
        <v>1799</v>
      </c>
      <c r="T77" s="2574"/>
      <c r="U77" s="2574"/>
      <c r="V77" s="2574"/>
      <c r="W77" s="2574"/>
      <c r="X77" s="2574"/>
      <c r="Y77" s="2574"/>
      <c r="Z77" s="2558"/>
      <c r="AA77" s="2575"/>
      <c r="AB77" s="2790"/>
      <c r="AY77" s="1790">
        <v>96</v>
      </c>
    </row>
    <row r="78" spans="1:51" ht="15" customHeight="1">
      <c r="A78" s="3847"/>
      <c r="B78" s="3848"/>
      <c r="C78" s="3848"/>
      <c r="D78" s="3848"/>
      <c r="E78" s="3848"/>
      <c r="F78" s="3848"/>
      <c r="G78" s="3848"/>
      <c r="H78" s="3848"/>
      <c r="I78" s="3848"/>
      <c r="J78" s="3848"/>
      <c r="K78" s="3848"/>
      <c r="L78" s="3848"/>
      <c r="M78" s="3848"/>
      <c r="N78" s="3848"/>
      <c r="O78" s="3848"/>
      <c r="P78" s="3848"/>
      <c r="Q78" s="3848"/>
      <c r="R78" s="3848"/>
      <c r="S78" s="3848"/>
      <c r="T78" s="3848"/>
      <c r="U78" s="3848"/>
      <c r="V78" s="3848"/>
      <c r="W78" s="3848"/>
      <c r="X78" s="3848"/>
      <c r="Y78" s="3848"/>
      <c r="Z78" s="3848"/>
      <c r="AA78" s="3848"/>
      <c r="AB78" s="3849"/>
      <c r="AC78" s="1574"/>
      <c r="AD78" s="1574"/>
      <c r="AY78" s="1790">
        <v>97</v>
      </c>
    </row>
    <row r="79" spans="1:51" ht="6" customHeight="1">
      <c r="A79" s="1515"/>
      <c r="B79" s="1530"/>
      <c r="C79" s="1515"/>
      <c r="D79" s="1515"/>
      <c r="E79" s="1445"/>
      <c r="F79" s="1446"/>
      <c r="G79" s="1446"/>
      <c r="H79" s="1539"/>
      <c r="I79" s="1539"/>
      <c r="J79" s="1539"/>
      <c r="K79" s="1539"/>
      <c r="L79" s="1539"/>
      <c r="M79" s="1539"/>
      <c r="N79" s="1539"/>
      <c r="O79" s="1539"/>
      <c r="P79" s="1539"/>
      <c r="Q79" s="1539"/>
      <c r="R79" s="1539"/>
      <c r="S79" s="1539"/>
      <c r="T79" s="1539"/>
      <c r="U79" s="1539"/>
      <c r="V79" s="1539"/>
      <c r="W79" s="1539"/>
      <c r="X79" s="1539"/>
      <c r="Y79" s="2557"/>
      <c r="AA79" s="1525"/>
      <c r="AB79" s="1517"/>
      <c r="AD79" s="1515"/>
      <c r="AE79" s="1515"/>
      <c r="AF79" s="1515"/>
      <c r="AG79" s="1515"/>
      <c r="AH79" s="1515"/>
      <c r="AI79" s="1515"/>
      <c r="AJ79" s="1540"/>
      <c r="AK79" s="1540"/>
      <c r="AL79" s="1540"/>
      <c r="AM79" s="1540"/>
      <c r="AN79" s="1540"/>
      <c r="AO79" s="1540"/>
      <c r="AP79" s="1540"/>
      <c r="AQ79" s="1540"/>
      <c r="AR79" s="1540"/>
      <c r="AS79" s="1540"/>
      <c r="AT79" s="1540"/>
      <c r="AU79" s="1540"/>
      <c r="AY79" s="1790">
        <v>98</v>
      </c>
    </row>
    <row r="80" spans="1:51" ht="6" customHeight="1" thickBot="1">
      <c r="AF80" s="1541"/>
      <c r="AG80" s="1541"/>
      <c r="AY80" s="1791">
        <v>99</v>
      </c>
    </row>
    <row r="81" spans="1:51" ht="16.05" customHeight="1">
      <c r="A81" s="1598" t="s">
        <v>67</v>
      </c>
      <c r="B81" s="1535" t="s">
        <v>1800</v>
      </c>
      <c r="C81" s="2559"/>
      <c r="D81" s="2559"/>
      <c r="E81" s="2559"/>
      <c r="F81" s="2559"/>
      <c r="G81" s="2559"/>
      <c r="H81" s="1603" t="s">
        <v>1801</v>
      </c>
      <c r="I81" s="2559"/>
      <c r="T81" s="2559"/>
      <c r="U81" s="2559"/>
      <c r="V81" s="2559"/>
      <c r="W81" s="2559"/>
      <c r="X81" s="1542" t="s">
        <v>1743</v>
      </c>
      <c r="Y81" s="1517">
        <v>5</v>
      </c>
      <c r="Z81" s="1565"/>
      <c r="AA81" s="1543">
        <f>IF(OR((AA82+AA88+AA89)&gt;$Y81,(AA82+AA88)&gt;$Y82,AA89&gt;$Y$89),"Check",IF((AA82+AA88+AA89)&lt;=$Y$81,(AA82+AA88+AA89),""))</f>
        <v>4</v>
      </c>
      <c r="AB81" s="1543">
        <f>IF(OR((AB82+AB88+AB89)&gt;$Y81,(AB82+AB88)&gt;$Y82,AB89&gt;$Y$89),"Check",IF((AB82+AB88+AB89)&lt;=$Y$81,(AB82+AB88+AB89),""))</f>
        <v>2</v>
      </c>
      <c r="AC81" s="1544" t="s">
        <v>1744</v>
      </c>
      <c r="AD81" s="2554"/>
      <c r="AY81" s="1791">
        <v>100</v>
      </c>
    </row>
    <row r="82" spans="1:51" ht="16.05" customHeight="1">
      <c r="A82" s="1517" t="s">
        <v>186</v>
      </c>
      <c r="B82" s="1523" t="s">
        <v>1802</v>
      </c>
      <c r="C82" s="1515"/>
      <c r="D82" s="1515"/>
      <c r="E82" s="1515"/>
      <c r="F82" s="1523"/>
      <c r="G82" s="1515"/>
      <c r="H82" s="1587"/>
      <c r="I82" s="1515"/>
      <c r="J82" s="1515"/>
      <c r="K82" s="1515"/>
      <c r="L82" s="1515"/>
      <c r="M82" s="1515"/>
      <c r="N82" s="1515"/>
      <c r="O82" s="1515"/>
      <c r="P82" s="1515"/>
      <c r="Q82" s="1515"/>
      <c r="R82" s="1515"/>
      <c r="S82" s="1515"/>
      <c r="T82" s="2557"/>
      <c r="U82" s="2557"/>
      <c r="V82" s="2557"/>
      <c r="W82" s="2557"/>
      <c r="X82" s="1547"/>
      <c r="Y82" s="2557">
        <v>3</v>
      </c>
      <c r="Z82" s="1604"/>
      <c r="AA82" s="1770">
        <f>IF(AND(AA84&gt;0,AA85&gt;0),"1or2?",MIN($Y82,SUM(AA84,AA85)))</f>
        <v>2</v>
      </c>
      <c r="AB82" s="1770">
        <f>IF(AND(AB84&gt;0,AB85&gt;0),"1or2?",MIN($Y82,SUM(AB84,AB85)))</f>
        <v>0</v>
      </c>
      <c r="AC82" s="1549"/>
      <c r="AD82" s="2554"/>
      <c r="AY82" s="1791">
        <v>101</v>
      </c>
    </row>
    <row r="83" spans="1:51" ht="31.5" customHeight="1">
      <c r="A83" s="1517"/>
      <c r="B83" s="4103" t="s">
        <v>1803</v>
      </c>
      <c r="C83" s="4103"/>
      <c r="D83" s="4103"/>
      <c r="E83" s="4103"/>
      <c r="F83" s="4103"/>
      <c r="G83" s="4103"/>
      <c r="H83" s="4103"/>
      <c r="I83" s="4103"/>
      <c r="J83" s="4103"/>
      <c r="K83" s="4103"/>
      <c r="L83" s="4103"/>
      <c r="M83" s="4103"/>
      <c r="N83" s="4103"/>
      <c r="O83" s="4103"/>
      <c r="P83" s="4103"/>
      <c r="Q83" s="4103"/>
      <c r="R83" s="4103"/>
      <c r="S83" s="4103"/>
      <c r="T83" s="4103"/>
      <c r="U83" s="4103"/>
      <c r="V83" s="4103"/>
      <c r="W83" s="4103"/>
      <c r="X83" s="4103"/>
      <c r="Y83" s="2557"/>
      <c r="Z83" s="2557"/>
      <c r="AA83" s="2557"/>
      <c r="AB83" s="2557"/>
      <c r="AC83" s="1549"/>
      <c r="AD83" s="2554"/>
      <c r="AY83" s="1791">
        <v>102</v>
      </c>
    </row>
    <row r="84" spans="1:51" s="1557" customFormat="1" ht="16.05" customHeight="1">
      <c r="A84" s="1517"/>
      <c r="B84" s="1814" t="s">
        <v>201</v>
      </c>
      <c r="C84" s="1515" t="s">
        <v>1804</v>
      </c>
      <c r="D84" s="1515"/>
      <c r="E84" s="2563"/>
      <c r="F84" s="2563"/>
      <c r="G84" s="2563"/>
      <c r="H84" s="1515"/>
      <c r="I84" s="2563"/>
      <c r="J84" s="2563"/>
      <c r="K84"/>
      <c r="L84"/>
      <c r="M84"/>
      <c r="N84"/>
      <c r="O84"/>
      <c r="Q84" s="2461"/>
      <c r="R84" s="2461"/>
      <c r="S84" s="2461"/>
      <c r="T84" s="3945" t="s">
        <v>1534</v>
      </c>
      <c r="U84" s="3946"/>
      <c r="V84" s="3947"/>
      <c r="W84" s="2461"/>
      <c r="X84" s="2461"/>
      <c r="Y84" s="2418">
        <v>2</v>
      </c>
      <c r="Z84" s="2419"/>
      <c r="AA84" s="2791">
        <v>2</v>
      </c>
      <c r="AB84" s="2792"/>
      <c r="AC84" s="1549" t="str">
        <f>IF(OR($AA84=$Y84,$AA84=0,$AA84=""),"","*CHECK!*")</f>
        <v/>
      </c>
      <c r="AD84" s="2554"/>
      <c r="AY84" s="1790">
        <v>103</v>
      </c>
    </row>
    <row r="85" spans="1:51" s="1557" customFormat="1" ht="16.05" customHeight="1">
      <c r="A85" s="1517"/>
      <c r="B85" s="1657" t="s">
        <v>209</v>
      </c>
      <c r="C85" s="1515" t="s">
        <v>1805</v>
      </c>
      <c r="D85" s="1515"/>
      <c r="E85" s="2563"/>
      <c r="F85" s="2563"/>
      <c r="G85" s="2563"/>
      <c r="H85" s="1515"/>
      <c r="I85" s="2563"/>
      <c r="K85"/>
      <c r="L85"/>
      <c r="M85"/>
      <c r="N85"/>
      <c r="O85"/>
      <c r="Q85" s="2462"/>
      <c r="R85" s="2462"/>
      <c r="S85" s="2462"/>
      <c r="T85" s="2465" t="s">
        <v>1536</v>
      </c>
      <c r="U85" s="3941" t="s">
        <v>1806</v>
      </c>
      <c r="V85" s="3942"/>
      <c r="W85" s="2462"/>
      <c r="Y85" s="2418">
        <v>3</v>
      </c>
      <c r="Z85" s="2419"/>
      <c r="AA85" s="2793">
        <v>0</v>
      </c>
      <c r="AB85" s="2794"/>
      <c r="AC85" s="1549" t="str">
        <f>IF(OR($AA85=$Y85,$AA85=0,$AA85=""),"","*CHECK!*")</f>
        <v/>
      </c>
      <c r="AD85" s="2554"/>
      <c r="AY85" s="1791">
        <v>104</v>
      </c>
    </row>
    <row r="86" spans="1:51" ht="13.8">
      <c r="B86" s="3917" t="s">
        <v>1807</v>
      </c>
      <c r="C86" s="3917"/>
      <c r="D86" s="3917"/>
      <c r="E86" s="3917"/>
      <c r="F86" s="3917"/>
      <c r="G86" s="3917"/>
      <c r="H86" s="3917"/>
      <c r="I86" s="3917"/>
      <c r="J86" s="3917"/>
      <c r="K86" s="3917"/>
      <c r="L86" s="3917"/>
      <c r="M86" s="3917"/>
      <c r="N86" s="3917"/>
      <c r="O86" s="3917"/>
      <c r="Q86" s="2463"/>
      <c r="R86" s="2463"/>
      <c r="S86" s="2463"/>
      <c r="T86" s="2466">
        <f>'Part V-Revenues &amp; Expenses'!P76*'Part VIII Scoring Criteria'!U86</f>
        <v>9.6000000000000014</v>
      </c>
      <c r="U86" s="3943">
        <f>IF('Part I-Project Identification'!F12 ="9% Credits",0.1,IF('Part I-Project Identification'!F12="4% Credits/Bonds",0.05,""))</f>
        <v>0.1</v>
      </c>
      <c r="V86" s="3944"/>
      <c r="W86" s="2464"/>
      <c r="Z86" s="1542" t="s">
        <v>1808</v>
      </c>
      <c r="AA86" s="1448">
        <v>10</v>
      </c>
      <c r="AB86" s="1609"/>
      <c r="AF86" s="1541"/>
      <c r="AG86" s="1541"/>
      <c r="AY86" s="1790">
        <v>105</v>
      </c>
    </row>
    <row r="87" spans="1:51" ht="45" hidden="1" customHeight="1">
      <c r="B87" s="1581" t="s">
        <v>253</v>
      </c>
      <c r="C87" s="4103" t="s">
        <v>1809</v>
      </c>
      <c r="D87" s="4103"/>
      <c r="E87" s="4103"/>
      <c r="F87" s="4103"/>
      <c r="G87" s="4103"/>
      <c r="H87" s="4103"/>
      <c r="I87" s="4103"/>
      <c r="J87" s="4103"/>
      <c r="K87" s="4103"/>
      <c r="L87" s="4103"/>
      <c r="M87" s="4103"/>
      <c r="N87" s="4103"/>
      <c r="O87" s="4103"/>
      <c r="P87" s="4103"/>
      <c r="Q87" s="4103"/>
      <c r="R87" s="4103"/>
      <c r="S87" s="4103"/>
      <c r="T87" s="4103"/>
      <c r="U87" s="4103"/>
      <c r="V87" s="4103"/>
      <c r="W87" s="4103"/>
      <c r="X87" s="4103"/>
      <c r="AA87" s="1456"/>
      <c r="AB87" s="1556"/>
      <c r="AF87" s="1541"/>
      <c r="AG87" s="1541"/>
      <c r="AY87" s="1790">
        <v>106</v>
      </c>
    </row>
    <row r="88" spans="1:51" ht="16.05" customHeight="1">
      <c r="A88" s="1517" t="s">
        <v>198</v>
      </c>
      <c r="B88" s="1523" t="s">
        <v>1810</v>
      </c>
      <c r="C88" s="1515"/>
      <c r="D88" s="1515"/>
      <c r="E88" s="1515"/>
      <c r="F88" s="1515"/>
      <c r="G88" s="1515"/>
      <c r="H88" s="1515"/>
      <c r="I88" s="1515"/>
      <c r="J88" s="1515"/>
      <c r="K88" s="1515"/>
      <c r="L88" s="1515"/>
      <c r="M88" s="1515"/>
      <c r="N88" s="1515"/>
      <c r="O88" s="1515"/>
      <c r="P88" s="1515"/>
      <c r="Q88" s="1515"/>
      <c r="R88" s="1515"/>
      <c r="S88" s="1515"/>
      <c r="T88" s="1515"/>
      <c r="U88" s="1515"/>
      <c r="V88" s="1515"/>
      <c r="W88" s="1515"/>
      <c r="X88" s="1515"/>
      <c r="Y88" s="2557">
        <v>1</v>
      </c>
      <c r="Z88" s="1604"/>
      <c r="AA88" s="2795">
        <v>0</v>
      </c>
      <c r="AB88" s="2789"/>
      <c r="AC88" s="1549" t="str">
        <f>IF(OR($AA88=$Y88,$AA88=0,$AA88=""),"","*CHECK!*")</f>
        <v/>
      </c>
      <c r="AD88" s="2554"/>
      <c r="AY88" s="1790">
        <v>107</v>
      </c>
    </row>
    <row r="89" spans="1:51" s="1515" customFormat="1" ht="16.05" customHeight="1">
      <c r="A89" s="1517" t="s">
        <v>219</v>
      </c>
      <c r="B89" s="1523" t="s">
        <v>1811</v>
      </c>
      <c r="H89" s="1605" t="s">
        <v>1812</v>
      </c>
      <c r="Y89" s="2557">
        <v>2</v>
      </c>
      <c r="Z89" s="1604"/>
      <c r="AA89" s="2779">
        <f>AA90-AA91</f>
        <v>2</v>
      </c>
      <c r="AB89" s="2779">
        <f>AB90-AB91</f>
        <v>2</v>
      </c>
      <c r="AC89" s="1549" t="str">
        <f>IF(OR($AA89=$Y89,$AA89=0,$AA89=""),"","*CHECK!*")</f>
        <v/>
      </c>
      <c r="AY89" s="1790">
        <v>108</v>
      </c>
    </row>
    <row r="90" spans="1:51" s="1515" customFormat="1" ht="16.05" customHeight="1">
      <c r="A90" s="1598"/>
      <c r="C90" s="1523" t="s">
        <v>1794</v>
      </c>
      <c r="D90" s="1523"/>
      <c r="E90" s="1535"/>
      <c r="F90" s="1535"/>
      <c r="X90" s="1546"/>
      <c r="Y90" s="1517"/>
      <c r="Z90" s="2557"/>
      <c r="AA90" s="2796">
        <v>2</v>
      </c>
      <c r="AB90" s="2796">
        <v>2</v>
      </c>
      <c r="AC90" s="1544"/>
      <c r="AY90" s="1790">
        <v>109</v>
      </c>
    </row>
    <row r="91" spans="1:51" s="1515" customFormat="1" ht="16.05" customHeight="1">
      <c r="A91" s="1598"/>
      <c r="C91" s="1523" t="s">
        <v>1813</v>
      </c>
      <c r="D91" s="1523"/>
      <c r="E91" s="1535"/>
      <c r="F91" s="1535"/>
      <c r="X91" s="1546"/>
      <c r="Y91" s="1517"/>
      <c r="Z91" s="2557"/>
      <c r="AA91" s="2788">
        <v>0</v>
      </c>
      <c r="AB91" s="2789"/>
      <c r="AC91" s="1544"/>
      <c r="AD91" s="2554"/>
      <c r="AY91" s="1790">
        <v>110</v>
      </c>
    </row>
    <row r="92" spans="1:51" ht="16.05" customHeight="1">
      <c r="A92" s="1515"/>
      <c r="B92" s="1533" t="s">
        <v>1792</v>
      </c>
      <c r="C92" s="1515"/>
      <c r="D92" s="1515"/>
      <c r="E92" s="1515"/>
      <c r="F92" s="1515"/>
      <c r="G92" s="1515"/>
      <c r="H92" s="1515"/>
      <c r="I92" s="1515"/>
      <c r="J92" s="1515"/>
      <c r="K92" s="1515"/>
      <c r="L92" s="1515"/>
      <c r="M92" s="1515"/>
      <c r="N92" s="1515"/>
      <c r="O92" s="1515"/>
      <c r="P92" s="1515"/>
      <c r="Q92" s="1515"/>
      <c r="R92" s="1515"/>
      <c r="S92" s="1515"/>
      <c r="T92" s="1515"/>
      <c r="U92" s="1515"/>
      <c r="V92" s="1515"/>
      <c r="W92" s="1515"/>
      <c r="Y92" s="2557"/>
      <c r="AA92" s="1525"/>
      <c r="AB92" s="1525"/>
      <c r="AY92" s="1790">
        <v>111</v>
      </c>
    </row>
    <row r="93" spans="1:51" ht="27" customHeight="1">
      <c r="A93" s="3844" t="s">
        <v>7717</v>
      </c>
      <c r="B93" s="3845"/>
      <c r="C93" s="3845"/>
      <c r="D93" s="3845"/>
      <c r="E93" s="3845"/>
      <c r="F93" s="3845"/>
      <c r="G93" s="3845"/>
      <c r="H93" s="3845"/>
      <c r="I93" s="3845"/>
      <c r="J93" s="3845"/>
      <c r="K93" s="3845"/>
      <c r="L93" s="3845"/>
      <c r="M93" s="3845"/>
      <c r="N93" s="3845"/>
      <c r="O93" s="3845"/>
      <c r="P93" s="3845"/>
      <c r="Q93" s="3845"/>
      <c r="R93" s="3845"/>
      <c r="S93" s="3845"/>
      <c r="T93" s="3845"/>
      <c r="U93" s="3845"/>
      <c r="V93" s="3845"/>
      <c r="W93" s="3845"/>
      <c r="X93" s="3845"/>
      <c r="Y93" s="3845"/>
      <c r="Z93" s="3845"/>
      <c r="AA93" s="3845"/>
      <c r="AB93" s="3846"/>
      <c r="AC93" s="1574"/>
      <c r="AD93" s="1574"/>
      <c r="AY93" s="1791">
        <v>112</v>
      </c>
    </row>
    <row r="94" spans="1:51" ht="16.05" customHeight="1">
      <c r="B94" s="1562" t="s">
        <v>1453</v>
      </c>
      <c r="C94" s="1563"/>
      <c r="D94" s="1563"/>
      <c r="E94" s="1562"/>
      <c r="F94" s="1564"/>
      <c r="G94" s="2559"/>
      <c r="H94" s="2559"/>
      <c r="I94" s="2559"/>
      <c r="J94" s="2559"/>
      <c r="K94" s="2559"/>
      <c r="L94" s="2559"/>
      <c r="M94" s="2559"/>
      <c r="N94" s="2559"/>
      <c r="O94" s="2559"/>
      <c r="P94" s="2559"/>
      <c r="Q94" s="2559"/>
      <c r="R94" s="2559"/>
      <c r="S94" s="2559"/>
      <c r="T94" s="2559"/>
      <c r="U94" s="2559"/>
      <c r="V94" s="2559"/>
      <c r="W94" s="2559"/>
      <c r="X94" s="2559"/>
      <c r="Y94" s="2559"/>
      <c r="Z94" s="1565"/>
      <c r="AA94" s="1566"/>
      <c r="AB94" s="1517"/>
      <c r="AY94" s="1791">
        <v>113</v>
      </c>
    </row>
    <row r="95" spans="1:51" ht="30" customHeight="1">
      <c r="A95" s="3847"/>
      <c r="B95" s="3848"/>
      <c r="C95" s="3848"/>
      <c r="D95" s="3848"/>
      <c r="E95" s="3848"/>
      <c r="F95" s="3848"/>
      <c r="G95" s="3848"/>
      <c r="H95" s="3848"/>
      <c r="I95" s="3848"/>
      <c r="J95" s="3848"/>
      <c r="K95" s="3848"/>
      <c r="L95" s="3848"/>
      <c r="M95" s="3848"/>
      <c r="N95" s="3848"/>
      <c r="O95" s="3848"/>
      <c r="P95" s="3848"/>
      <c r="Q95" s="3848"/>
      <c r="R95" s="3848"/>
      <c r="S95" s="3848"/>
      <c r="T95" s="3848"/>
      <c r="U95" s="3848"/>
      <c r="V95" s="3848"/>
      <c r="W95" s="3848"/>
      <c r="X95" s="3848"/>
      <c r="Y95" s="3848"/>
      <c r="Z95" s="3848"/>
      <c r="AA95" s="3848"/>
      <c r="AB95" s="3849"/>
      <c r="AC95" s="1567"/>
      <c r="AY95" s="1791">
        <v>114</v>
      </c>
    </row>
    <row r="96" spans="1:51" ht="9.75" customHeight="1">
      <c r="A96" s="1598"/>
      <c r="B96" s="1515"/>
      <c r="C96" s="2559"/>
      <c r="D96" s="2559"/>
      <c r="E96" s="2559"/>
      <c r="F96" s="2559"/>
      <c r="G96" s="2559"/>
      <c r="H96" s="2559"/>
      <c r="I96" s="2559"/>
      <c r="J96" s="2559"/>
      <c r="K96" s="2559"/>
      <c r="L96" s="2559"/>
      <c r="M96" s="2559"/>
      <c r="N96" s="2559"/>
      <c r="O96" s="2559"/>
      <c r="P96" s="2559"/>
      <c r="Q96" s="2559"/>
      <c r="R96" s="2559"/>
      <c r="S96" s="2559"/>
      <c r="T96" s="2559"/>
      <c r="U96" s="2559"/>
      <c r="V96" s="2559"/>
      <c r="W96" s="2559"/>
      <c r="X96" s="2559"/>
      <c r="Y96" s="2559"/>
      <c r="Z96" s="1565"/>
      <c r="AA96" s="1566"/>
      <c r="AB96" s="1517"/>
      <c r="AY96" s="1791">
        <v>115</v>
      </c>
    </row>
    <row r="97" spans="1:51" ht="9.75" customHeight="1">
      <c r="A97" s="1598"/>
      <c r="B97" s="1515"/>
      <c r="C97" s="2559"/>
      <c r="D97" s="2559"/>
      <c r="E97" s="2559"/>
      <c r="F97" s="2559"/>
      <c r="G97" s="2559"/>
      <c r="H97" s="2559"/>
      <c r="I97" s="2559"/>
      <c r="J97" s="2559"/>
      <c r="K97" s="2559"/>
      <c r="L97" s="2559"/>
      <c r="M97" s="2559"/>
      <c r="N97" s="2559"/>
      <c r="O97" s="2559"/>
      <c r="P97" s="2559"/>
      <c r="Q97" s="2559"/>
      <c r="R97" s="2559"/>
      <c r="S97" s="2559"/>
      <c r="T97" s="2559"/>
      <c r="U97" s="2559"/>
      <c r="V97" s="2559"/>
      <c r="W97" s="2559"/>
      <c r="X97" s="2559"/>
      <c r="Y97" s="2559"/>
      <c r="Z97" s="1565"/>
      <c r="AA97" s="1566"/>
      <c r="AB97" s="1517"/>
      <c r="AY97" s="1790">
        <v>116</v>
      </c>
    </row>
    <row r="98" spans="1:51" s="1515" customFormat="1" ht="16.05" customHeight="1">
      <c r="A98" s="1598" t="s">
        <v>69</v>
      </c>
      <c r="B98" s="1535" t="s">
        <v>1814</v>
      </c>
      <c r="E98" s="1535"/>
      <c r="F98" s="1535"/>
      <c r="G98" s="2557"/>
      <c r="H98" s="2557"/>
      <c r="I98" s="2557"/>
      <c r="J98" s="2572"/>
      <c r="K98" s="2572"/>
      <c r="L98" s="2572"/>
      <c r="M98" s="2572"/>
      <c r="N98" s="2572"/>
      <c r="O98" s="2572"/>
      <c r="P98" s="2572"/>
      <c r="Q98" s="2421"/>
      <c r="R98" s="2424" t="s">
        <v>1815</v>
      </c>
      <c r="S98" s="2424"/>
      <c r="T98" s="2424"/>
      <c r="U98" s="2424"/>
      <c r="V98" s="2424"/>
      <c r="W98" s="2424"/>
      <c r="X98" s="1542" t="s">
        <v>1743</v>
      </c>
      <c r="Y98" s="1517">
        <v>15</v>
      </c>
      <c r="Z98" s="2557"/>
      <c r="AA98" s="1543">
        <f>MIN($Y$98,AA99+AA101+SUM(AA104:AA112))</f>
        <v>15</v>
      </c>
      <c r="AB98" s="1543">
        <f>MIN($Y$98,AB99+AB101+SUM(AB104:AB112))</f>
        <v>0</v>
      </c>
      <c r="AC98" s="1544" t="s">
        <v>1744</v>
      </c>
      <c r="AD98" s="2554"/>
      <c r="AY98" s="1791">
        <v>117</v>
      </c>
    </row>
    <row r="99" spans="1:51" s="1515" customFormat="1" ht="16.05" customHeight="1">
      <c r="A99" s="1517"/>
      <c r="B99" s="1571" t="s">
        <v>201</v>
      </c>
      <c r="C99" s="1515" t="s">
        <v>1816</v>
      </c>
      <c r="E99" s="1523"/>
      <c r="G99" s="1606"/>
      <c r="I99" s="1547"/>
      <c r="J99" s="2420"/>
      <c r="K99" s="2422"/>
      <c r="L99" s="2421"/>
      <c r="M99" s="2422"/>
      <c r="N99" s="2422"/>
      <c r="O99" s="2422"/>
      <c r="P99" s="2422"/>
      <c r="Q99" s="2422"/>
      <c r="R99" s="2422"/>
      <c r="S99" s="2422"/>
      <c r="T99" s="3930" t="s">
        <v>7718</v>
      </c>
      <c r="U99" s="3931"/>
      <c r="V99" s="1512"/>
      <c r="W99" s="1512"/>
      <c r="X99" s="1512"/>
      <c r="Y99" s="1591">
        <v>2</v>
      </c>
      <c r="Z99" s="1547"/>
      <c r="AA99" s="2797" t="str">
        <f>IF(OR($T99="Submitted",$T99="N/A-9%"),"2","0")</f>
        <v>2</v>
      </c>
      <c r="AB99" s="2798">
        <v>0</v>
      </c>
      <c r="AC99" s="1607"/>
      <c r="AD99" s="2554"/>
      <c r="AY99" s="1790"/>
    </row>
    <row r="100" spans="1:51" s="1515" customFormat="1" ht="16.05" customHeight="1">
      <c r="A100" s="1517"/>
      <c r="B100" s="1523" t="s">
        <v>1817</v>
      </c>
      <c r="E100" s="1523"/>
      <c r="G100" s="1606"/>
      <c r="I100" s="1547"/>
      <c r="J100" s="2423"/>
      <c r="K100" s="2423"/>
      <c r="L100" s="2423"/>
      <c r="M100" s="2423"/>
      <c r="N100" s="2423"/>
      <c r="O100" s="2423"/>
      <c r="P100" s="2423"/>
      <c r="Q100" s="2423"/>
      <c r="R100" s="2423"/>
      <c r="S100" s="2423"/>
      <c r="T100" s="1512"/>
      <c r="U100" s="1512"/>
      <c r="V100" s="1512"/>
      <c r="W100" s="1512"/>
      <c r="X100" s="1512"/>
      <c r="Y100" s="1512"/>
      <c r="Z100" s="1512"/>
      <c r="AA100" s="1512"/>
      <c r="AB100" s="1512"/>
      <c r="AC100" s="1607"/>
      <c r="AD100" s="2554"/>
      <c r="AY100" s="1790">
        <v>120</v>
      </c>
    </row>
    <row r="101" spans="1:51" s="1515" customFormat="1" ht="16.05" customHeight="1">
      <c r="A101" s="1517"/>
      <c r="B101" s="1550" t="s">
        <v>209</v>
      </c>
      <c r="C101" s="2571" t="s">
        <v>1818</v>
      </c>
      <c r="D101" s="2571"/>
      <c r="G101" s="1517"/>
      <c r="J101" s="2421"/>
      <c r="K101" s="2421"/>
      <c r="L101" s="2421"/>
      <c r="M101" s="2421"/>
      <c r="N101" s="2421"/>
      <c r="O101" s="2421"/>
      <c r="P101" s="2421"/>
      <c r="Q101" s="2421"/>
      <c r="R101" s="2421"/>
      <c r="S101" s="2421"/>
      <c r="X101" s="1546"/>
      <c r="Y101" s="1591">
        <v>5</v>
      </c>
      <c r="Z101" s="1547"/>
      <c r="AA101" s="2787">
        <f>IF(AND(AA102="Yes", AA103="Yes"),$Y101,0)</f>
        <v>5</v>
      </c>
      <c r="AB101" s="2787">
        <f>IF(AND(AB102="Yes", AB103="Yes"),$Y101,0)</f>
        <v>0</v>
      </c>
      <c r="AC101" s="2554"/>
      <c r="AH101" s="1541"/>
      <c r="AY101" s="1790">
        <v>121</v>
      </c>
    </row>
    <row r="102" spans="1:51" s="1515" customFormat="1" ht="16.05" customHeight="1">
      <c r="A102" s="1517"/>
      <c r="B102" s="1814"/>
      <c r="C102" s="1523"/>
      <c r="D102" s="1523"/>
      <c r="E102" s="2562" t="s">
        <v>1819</v>
      </c>
      <c r="G102" s="1517"/>
      <c r="J102" s="2420"/>
      <c r="K102" s="2421"/>
      <c r="L102" s="2422"/>
      <c r="M102" s="2422"/>
      <c r="N102" s="2422"/>
      <c r="O102" s="2422"/>
      <c r="P102" s="2422"/>
      <c r="Q102" s="2422"/>
      <c r="R102" s="2422"/>
      <c r="S102" s="2422"/>
      <c r="T102" s="3932" t="s">
        <v>7719</v>
      </c>
      <c r="U102" s="3933"/>
      <c r="Y102" s="1591"/>
      <c r="Z102" s="1547"/>
      <c r="AA102" s="2798" t="str">
        <f>IF(OR($T102="Submitted",$T102="N/A"), "Yes","")</f>
        <v>Yes</v>
      </c>
      <c r="AB102" s="2778"/>
      <c r="AC102" s="1547"/>
      <c r="AH102" s="1541"/>
      <c r="AY102" s="1790">
        <v>122</v>
      </c>
    </row>
    <row r="103" spans="1:51" s="1515" customFormat="1" ht="16.05" customHeight="1">
      <c r="A103" s="1517"/>
      <c r="B103" s="1657"/>
      <c r="C103" s="1523"/>
      <c r="D103" s="1523"/>
      <c r="E103" s="2562" t="s">
        <v>1820</v>
      </c>
      <c r="G103" s="1762"/>
      <c r="J103" s="2420"/>
      <c r="K103" s="2421"/>
      <c r="L103" s="2422"/>
      <c r="M103" s="2422"/>
      <c r="N103" s="2422"/>
      <c r="O103" s="2422"/>
      <c r="P103" s="2422"/>
      <c r="Q103" s="2422"/>
      <c r="R103" s="2422"/>
      <c r="S103" s="2422"/>
      <c r="T103" s="3934" t="s">
        <v>671</v>
      </c>
      <c r="U103" s="3935"/>
      <c r="V103" s="1547"/>
      <c r="W103" s="1547"/>
      <c r="Y103" s="1591"/>
      <c r="Z103" s="1547"/>
      <c r="AA103" s="1761" t="str">
        <f>IF(OR($T103="Submitted",$T103="N/A"), "Yes","")</f>
        <v>Yes</v>
      </c>
      <c r="AB103" s="1556"/>
      <c r="AC103" s="1547"/>
      <c r="AH103" s="1541"/>
      <c r="AY103" s="1790">
        <v>123</v>
      </c>
    </row>
    <row r="104" spans="1:51" s="1515" customFormat="1" ht="16.05" customHeight="1">
      <c r="A104" s="1517"/>
      <c r="B104" s="1657" t="s">
        <v>213</v>
      </c>
      <c r="C104" s="2562" t="s">
        <v>1821</v>
      </c>
      <c r="D104" s="2562"/>
      <c r="E104" s="1523"/>
      <c r="G104" s="1517"/>
      <c r="J104" s="2420"/>
      <c r="K104" s="2421"/>
      <c r="L104" s="2422"/>
      <c r="M104" s="2422"/>
      <c r="N104" s="2422"/>
      <c r="O104" s="2422"/>
      <c r="P104" s="2422"/>
      <c r="Q104" s="2422"/>
      <c r="R104" s="2422"/>
      <c r="S104" s="2422"/>
      <c r="T104" s="3936" t="s">
        <v>671</v>
      </c>
      <c r="U104" s="3937"/>
      <c r="V104" s="2562"/>
      <c r="W104" s="2562"/>
      <c r="X104" s="1546" t="str">
        <f t="shared" ref="X104:X112" si="0">IF(OR($AA104=$Y104,$AA104=0,$AA104=""),"","* * Check Score! * *")</f>
        <v/>
      </c>
      <c r="Y104" s="1591">
        <v>1</v>
      </c>
      <c r="Z104" s="1547"/>
      <c r="AA104" s="2798">
        <f>IF(OR($T104="Submitted",$T104="N/A"),1,"")</f>
        <v>1</v>
      </c>
      <c r="AB104" s="2794"/>
      <c r="AC104" s="1547"/>
      <c r="AH104" s="1541"/>
      <c r="AY104" s="1791">
        <v>124</v>
      </c>
    </row>
    <row r="105" spans="1:51" s="1515" customFormat="1" ht="16.05" customHeight="1">
      <c r="A105" s="1517"/>
      <c r="B105" s="1657" t="s">
        <v>253</v>
      </c>
      <c r="C105" s="2562" t="s">
        <v>1822</v>
      </c>
      <c r="D105" s="2562"/>
      <c r="E105" s="1523"/>
      <c r="G105" s="1517"/>
      <c r="J105" s="2420"/>
      <c r="K105" s="2421"/>
      <c r="L105" s="2422"/>
      <c r="M105" s="2422"/>
      <c r="N105" s="2422"/>
      <c r="O105" s="2422"/>
      <c r="P105" s="2422"/>
      <c r="Q105" s="2422"/>
      <c r="R105" s="2422"/>
      <c r="S105" s="2422"/>
      <c r="T105" s="3938" t="s">
        <v>671</v>
      </c>
      <c r="U105" s="3939"/>
      <c r="V105" s="2562"/>
      <c r="W105" s="2562"/>
      <c r="X105" s="1560" t="str">
        <f t="shared" si="0"/>
        <v/>
      </c>
      <c r="Y105" s="1591">
        <v>1</v>
      </c>
      <c r="Z105" s="1547"/>
      <c r="AA105" s="2508">
        <f>IF(OR($T105="Submitted",$T105="N/A"),1,"")</f>
        <v>1</v>
      </c>
      <c r="AB105" s="1609"/>
      <c r="AC105" s="2554"/>
      <c r="AH105" s="1541"/>
      <c r="AY105" s="1791">
        <v>125</v>
      </c>
    </row>
    <row r="106" spans="1:51" s="1515" customFormat="1" ht="16.05" customHeight="1">
      <c r="A106" s="1517"/>
      <c r="B106" s="1657" t="s">
        <v>255</v>
      </c>
      <c r="C106" s="2562" t="s">
        <v>1823</v>
      </c>
      <c r="D106" s="2562"/>
      <c r="E106" s="1523"/>
      <c r="G106" s="1517"/>
      <c r="J106" s="2420"/>
      <c r="K106" s="2421"/>
      <c r="L106" s="2422"/>
      <c r="M106" s="2422"/>
      <c r="N106" s="2422"/>
      <c r="O106" s="2422"/>
      <c r="P106" s="2422"/>
      <c r="Q106" s="2422"/>
      <c r="R106" s="2422"/>
      <c r="S106" s="2422"/>
      <c r="T106" s="3934" t="s">
        <v>7719</v>
      </c>
      <c r="U106" s="3935"/>
      <c r="V106" s="2562"/>
      <c r="W106" s="2562"/>
      <c r="X106" s="1546" t="str">
        <f t="shared" si="0"/>
        <v/>
      </c>
      <c r="Y106" s="1591">
        <v>1</v>
      </c>
      <c r="Z106" s="1547"/>
      <c r="AA106" s="1761">
        <f>IF(OR($T106="Submitted",$T106="N/A"),1,"")</f>
        <v>1</v>
      </c>
      <c r="AB106" s="1608"/>
      <c r="AC106" s="2554"/>
      <c r="AH106" s="1541"/>
      <c r="AY106" s="1791">
        <v>126</v>
      </c>
    </row>
    <row r="107" spans="1:51" s="1515" customFormat="1" ht="16.05" customHeight="1">
      <c r="A107" s="1517"/>
      <c r="B107" s="2571" t="s">
        <v>1824</v>
      </c>
      <c r="E107" s="1523"/>
      <c r="G107" s="1517"/>
      <c r="J107" s="2421"/>
      <c r="K107" s="2421"/>
      <c r="L107" s="2421"/>
      <c r="M107" s="2421"/>
      <c r="N107" s="2421"/>
      <c r="O107" s="2421"/>
      <c r="P107" s="2421"/>
      <c r="Q107" s="2421"/>
      <c r="R107" s="2421"/>
      <c r="S107" s="2421"/>
      <c r="T107" s="2557"/>
      <c r="U107" s="2557"/>
      <c r="AH107" s="1541"/>
      <c r="AY107" s="1790">
        <v>127</v>
      </c>
    </row>
    <row r="108" spans="1:51" s="1515" customFormat="1" ht="16.05" customHeight="1">
      <c r="A108" s="1517"/>
      <c r="B108" s="1814" t="s">
        <v>257</v>
      </c>
      <c r="C108" s="2562" t="s">
        <v>1825</v>
      </c>
      <c r="D108" s="2562"/>
      <c r="G108" s="2557"/>
      <c r="J108" s="2572"/>
      <c r="K108" s="2421"/>
      <c r="L108" s="2422"/>
      <c r="M108" s="2422"/>
      <c r="N108" s="2422"/>
      <c r="O108" s="2422"/>
      <c r="P108" s="2422"/>
      <c r="Q108" s="2422"/>
      <c r="R108" s="2422"/>
      <c r="S108" s="2422"/>
      <c r="T108" s="3932" t="s">
        <v>7719</v>
      </c>
      <c r="U108" s="3933"/>
      <c r="V108" s="2562"/>
      <c r="W108" s="2562"/>
      <c r="X108" s="1546" t="str">
        <f t="shared" si="0"/>
        <v/>
      </c>
      <c r="Y108" s="1591">
        <v>1</v>
      </c>
      <c r="Z108" s="1547"/>
      <c r="AA108" s="2798">
        <f>IF(OR($T108="Submitted",$T108="N/A"),1,"")</f>
        <v>1</v>
      </c>
      <c r="AB108" s="2794"/>
      <c r="AC108" s="2554"/>
      <c r="AH108" s="1541"/>
      <c r="AY108" s="1790">
        <v>128</v>
      </c>
    </row>
    <row r="109" spans="1:51" s="1515" customFormat="1" ht="15" customHeight="1">
      <c r="A109" s="1517"/>
      <c r="B109" s="1657" t="s">
        <v>259</v>
      </c>
      <c r="C109" s="1557" t="s">
        <v>1826</v>
      </c>
      <c r="D109" s="1557"/>
      <c r="E109" s="1557"/>
      <c r="F109" s="1557"/>
      <c r="G109" s="1557"/>
      <c r="H109" s="1557"/>
      <c r="I109" s="1557"/>
      <c r="J109" s="2409"/>
      <c r="K109" s="2421"/>
      <c r="L109" s="2422"/>
      <c r="M109" s="2422"/>
      <c r="N109" s="2422"/>
      <c r="O109" s="2422"/>
      <c r="P109" s="2422"/>
      <c r="Q109" s="2422"/>
      <c r="R109" s="2422"/>
      <c r="S109" s="2422"/>
      <c r="T109" s="3938" t="s">
        <v>7719</v>
      </c>
      <c r="U109" s="3939"/>
      <c r="V109" s="1557"/>
      <c r="W109" s="1557"/>
      <c r="X109" s="1546" t="str">
        <f t="shared" si="0"/>
        <v/>
      </c>
      <c r="Y109" s="1610">
        <v>1</v>
      </c>
      <c r="Z109" s="1559"/>
      <c r="AA109" s="2508">
        <f>IF(OR($T109="Submitted",$T109="N/A"),1,"")</f>
        <v>1</v>
      </c>
      <c r="AB109" s="1611"/>
      <c r="AC109" s="2554"/>
      <c r="AH109" s="1541"/>
      <c r="AY109" s="1791">
        <v>129</v>
      </c>
    </row>
    <row r="110" spans="1:51" s="1515" customFormat="1" ht="16.05" customHeight="1">
      <c r="A110" s="1517"/>
      <c r="B110" s="1657" t="s">
        <v>261</v>
      </c>
      <c r="C110" s="2562" t="s">
        <v>1827</v>
      </c>
      <c r="D110" s="2562"/>
      <c r="G110" s="1517"/>
      <c r="J110" s="2420"/>
      <c r="K110" s="2421"/>
      <c r="L110" s="2422"/>
      <c r="M110" s="2422"/>
      <c r="N110" s="2422"/>
      <c r="O110" s="2422"/>
      <c r="P110" s="2422"/>
      <c r="Q110" s="2422"/>
      <c r="R110" s="2422"/>
      <c r="S110" s="2422"/>
      <c r="T110" s="3938" t="s">
        <v>7719</v>
      </c>
      <c r="U110" s="3939"/>
      <c r="V110" s="2562"/>
      <c r="W110" s="2562"/>
      <c r="X110" s="1546" t="str">
        <f t="shared" si="0"/>
        <v/>
      </c>
      <c r="Y110" s="1591">
        <v>1</v>
      </c>
      <c r="Z110" s="1547"/>
      <c r="AA110" s="2508">
        <f>IF(OR($T110="Submitted",$T110="N/A"),1,"")</f>
        <v>1</v>
      </c>
      <c r="AB110" s="1609"/>
      <c r="AC110" s="2554"/>
      <c r="AH110" s="1541"/>
      <c r="AY110" s="1790">
        <v>130</v>
      </c>
    </row>
    <row r="111" spans="1:51" s="1515" customFormat="1" ht="16.05" customHeight="1">
      <c r="A111" s="1517"/>
      <c r="B111" s="1657" t="s">
        <v>263</v>
      </c>
      <c r="C111" s="2562" t="s">
        <v>1828</v>
      </c>
      <c r="D111" s="2562"/>
      <c r="G111" s="1517"/>
      <c r="J111" s="2420"/>
      <c r="K111" s="2421"/>
      <c r="L111" s="2422"/>
      <c r="M111" s="2422"/>
      <c r="N111" s="2422"/>
      <c r="O111" s="2422"/>
      <c r="P111" s="2422"/>
      <c r="Q111" s="2422"/>
      <c r="R111" s="2422"/>
      <c r="S111" s="2422"/>
      <c r="T111" s="3938" t="s">
        <v>7719</v>
      </c>
      <c r="U111" s="3939"/>
      <c r="V111" s="2562"/>
      <c r="W111" s="2562"/>
      <c r="X111" s="1546" t="str">
        <f t="shared" si="0"/>
        <v/>
      </c>
      <c r="Y111" s="1591">
        <v>1</v>
      </c>
      <c r="Z111" s="1547"/>
      <c r="AA111" s="2508">
        <f>IF(OR($T111="Submitted",$T111="N/A"),1,"")</f>
        <v>1</v>
      </c>
      <c r="AB111" s="1609"/>
      <c r="AC111" s="2554"/>
      <c r="AH111" s="1541"/>
      <c r="AY111" s="1790">
        <v>131</v>
      </c>
    </row>
    <row r="112" spans="1:51" s="1515" customFormat="1" ht="16.05" customHeight="1">
      <c r="A112" s="1517"/>
      <c r="B112" s="1657" t="s">
        <v>1768</v>
      </c>
      <c r="C112" s="2562" t="s">
        <v>1829</v>
      </c>
      <c r="D112" s="2562"/>
      <c r="G112" s="1517"/>
      <c r="J112" s="2420"/>
      <c r="K112" s="2421"/>
      <c r="L112" s="2422"/>
      <c r="M112" s="2422"/>
      <c r="N112" s="2422"/>
      <c r="O112" s="2422"/>
      <c r="P112" s="2422"/>
      <c r="Q112" s="2422"/>
      <c r="R112" s="2422"/>
      <c r="S112" s="2422"/>
      <c r="T112" s="3934" t="s">
        <v>7719</v>
      </c>
      <c r="U112" s="3935"/>
      <c r="V112" s="2562"/>
      <c r="W112" s="2562"/>
      <c r="X112" s="1546" t="str">
        <f t="shared" si="0"/>
        <v/>
      </c>
      <c r="Y112" s="1591">
        <v>1</v>
      </c>
      <c r="Z112" s="1547"/>
      <c r="AA112" s="1761">
        <f>IF(OR($T112="Submitted",$T112="N/A"),1,"")</f>
        <v>1</v>
      </c>
      <c r="AB112" s="1608"/>
      <c r="AC112" s="2554"/>
      <c r="AH112" s="1541"/>
      <c r="AY112" s="1791">
        <v>132</v>
      </c>
    </row>
    <row r="113" spans="1:51" ht="16.05" customHeight="1">
      <c r="A113" s="1515"/>
      <c r="B113" s="1533" t="s">
        <v>1792</v>
      </c>
      <c r="C113" s="1515"/>
      <c r="D113" s="1515"/>
      <c r="E113" s="1515"/>
      <c r="F113" s="1515"/>
      <c r="G113" s="1515"/>
      <c r="H113" s="1515"/>
      <c r="I113" s="1515"/>
      <c r="J113" s="1515"/>
      <c r="K113" s="1515"/>
      <c r="L113" s="1515"/>
      <c r="M113" s="1515"/>
      <c r="N113" s="1515"/>
      <c r="O113" s="1515"/>
      <c r="P113" s="1515"/>
      <c r="Q113" s="1515"/>
      <c r="R113" s="2421"/>
      <c r="S113" s="2421"/>
      <c r="T113" s="1515"/>
      <c r="U113" s="1515"/>
      <c r="V113" s="1515"/>
      <c r="W113" s="1515"/>
      <c r="Y113" s="2557"/>
      <c r="AA113" s="1525"/>
      <c r="AY113" s="1791">
        <v>135</v>
      </c>
    </row>
    <row r="114" spans="1:51" ht="22.2" customHeight="1">
      <c r="A114" s="3844" t="s">
        <v>7727</v>
      </c>
      <c r="B114" s="3845"/>
      <c r="C114" s="3845"/>
      <c r="D114" s="3845"/>
      <c r="E114" s="3845"/>
      <c r="F114" s="3845"/>
      <c r="G114" s="3845"/>
      <c r="H114" s="3845"/>
      <c r="I114" s="3845"/>
      <c r="J114" s="3845"/>
      <c r="K114" s="3845"/>
      <c r="L114" s="3845"/>
      <c r="M114" s="3845"/>
      <c r="N114" s="3845"/>
      <c r="O114" s="3845"/>
      <c r="P114" s="3845"/>
      <c r="Q114" s="3845"/>
      <c r="R114" s="3845"/>
      <c r="S114" s="3845"/>
      <c r="T114" s="3845"/>
      <c r="U114" s="3845"/>
      <c r="V114" s="3845"/>
      <c r="W114" s="3845"/>
      <c r="X114" s="3845"/>
      <c r="Y114" s="3845"/>
      <c r="Z114" s="3845"/>
      <c r="AA114" s="3845"/>
      <c r="AB114" s="3846"/>
      <c r="AC114" s="1574"/>
      <c r="AD114" s="1574"/>
      <c r="AY114" s="1790">
        <v>136</v>
      </c>
    </row>
    <row r="115" spans="1:51" s="1515" customFormat="1" ht="16.05" customHeight="1">
      <c r="A115" s="1533"/>
      <c r="B115" s="1533" t="s">
        <v>1453</v>
      </c>
      <c r="E115" s="1533"/>
      <c r="F115" s="2574"/>
      <c r="G115" s="2574"/>
      <c r="H115" s="2574"/>
      <c r="I115" s="2574"/>
      <c r="J115" s="2574"/>
      <c r="K115" s="2574"/>
      <c r="L115" s="2574"/>
      <c r="M115" s="2574"/>
      <c r="N115" s="2574"/>
      <c r="O115" s="2574"/>
      <c r="P115" s="2574"/>
      <c r="Q115" s="2574"/>
      <c r="R115" s="2574"/>
      <c r="S115" s="2574"/>
      <c r="T115" s="2574"/>
      <c r="U115" s="2574"/>
      <c r="V115" s="2574"/>
      <c r="W115" s="2574"/>
      <c r="X115" s="2574"/>
      <c r="Y115" s="2574"/>
      <c r="Z115" s="2558"/>
      <c r="AA115" s="2575"/>
      <c r="AB115" s="1517"/>
      <c r="AY115" s="1791">
        <v>137</v>
      </c>
    </row>
    <row r="116" spans="1:51" ht="15" customHeight="1">
      <c r="A116" s="3847"/>
      <c r="B116" s="3848"/>
      <c r="C116" s="3848"/>
      <c r="D116" s="3848"/>
      <c r="E116" s="3848"/>
      <c r="F116" s="3848"/>
      <c r="G116" s="3848"/>
      <c r="H116" s="3848"/>
      <c r="I116" s="3848"/>
      <c r="J116" s="3848"/>
      <c r="K116" s="3848"/>
      <c r="L116" s="3848"/>
      <c r="M116" s="3848"/>
      <c r="N116" s="3848"/>
      <c r="O116" s="3848"/>
      <c r="P116" s="3848"/>
      <c r="Q116" s="3848"/>
      <c r="R116" s="3848"/>
      <c r="S116" s="3848"/>
      <c r="T116" s="3848"/>
      <c r="U116" s="3848"/>
      <c r="V116" s="3848"/>
      <c r="W116" s="3848"/>
      <c r="X116" s="3848"/>
      <c r="Y116" s="3848"/>
      <c r="Z116" s="3848"/>
      <c r="AA116" s="3848"/>
      <c r="AB116" s="3849"/>
      <c r="AC116" s="1574"/>
      <c r="AD116" s="1574"/>
      <c r="AY116" s="1790">
        <v>138</v>
      </c>
    </row>
    <row r="117" spans="1:51" ht="9" customHeight="1">
      <c r="A117" s="1598"/>
      <c r="B117" s="1515"/>
      <c r="C117" s="2559"/>
      <c r="D117" s="2559"/>
      <c r="E117" s="2559"/>
      <c r="F117" s="2559"/>
      <c r="G117" s="2559"/>
      <c r="H117" s="2559"/>
      <c r="I117" s="2559"/>
      <c r="J117" s="2559"/>
      <c r="K117" s="2559"/>
      <c r="L117" s="2559"/>
      <c r="M117" s="2559"/>
      <c r="N117" s="2559"/>
      <c r="O117" s="2559"/>
      <c r="P117" s="2559"/>
      <c r="Q117" s="2559"/>
      <c r="R117" s="2559"/>
      <c r="S117" s="2559"/>
      <c r="T117" s="2559"/>
      <c r="U117" s="2559"/>
      <c r="V117" s="2559"/>
      <c r="W117" s="2559"/>
      <c r="X117" s="2559"/>
      <c r="Y117" s="2559"/>
      <c r="Z117" s="1565"/>
      <c r="AA117" s="1566"/>
      <c r="AB117" s="1517"/>
      <c r="AY117" s="1790">
        <v>139</v>
      </c>
    </row>
    <row r="118" spans="1:51" ht="9" customHeight="1">
      <c r="E118" s="1515"/>
      <c r="F118" s="1515"/>
      <c r="G118" s="1517"/>
      <c r="H118" s="1517"/>
      <c r="I118" s="4104" t="s">
        <v>1830</v>
      </c>
      <c r="J118" s="4105"/>
      <c r="K118" s="4105"/>
      <c r="L118" s="4105"/>
      <c r="M118" s="4105"/>
      <c r="N118" s="4105"/>
      <c r="O118" s="4105"/>
      <c r="P118" s="4105"/>
      <c r="Q118" s="4105"/>
      <c r="R118" s="4105"/>
      <c r="S118" s="4105"/>
      <c r="T118" s="4105"/>
      <c r="U118" s="4105"/>
      <c r="V118" s="4105"/>
      <c r="W118" s="4105"/>
      <c r="X118" s="2562"/>
      <c r="Y118" s="2557"/>
      <c r="Z118" s="1517"/>
      <c r="AB118" s="1525"/>
      <c r="AY118" s="1790">
        <v>140</v>
      </c>
    </row>
    <row r="119" spans="1:51" s="1515" customFormat="1" ht="16.05" customHeight="1">
      <c r="A119" s="1534" t="s">
        <v>1482</v>
      </c>
      <c r="B119" s="1535" t="s">
        <v>1831</v>
      </c>
      <c r="H119" s="1523"/>
      <c r="I119" s="4105"/>
      <c r="J119" s="4105"/>
      <c r="K119" s="4105"/>
      <c r="L119" s="4105"/>
      <c r="M119" s="4105"/>
      <c r="N119" s="4105"/>
      <c r="O119" s="4105"/>
      <c r="P119" s="4105"/>
      <c r="Q119" s="4105"/>
      <c r="R119" s="4105"/>
      <c r="S119" s="4105"/>
      <c r="T119" s="4105"/>
      <c r="U119" s="4105"/>
      <c r="V119" s="4105"/>
      <c r="W119" s="4105"/>
      <c r="X119" s="1542" t="s">
        <v>1743</v>
      </c>
      <c r="Y119" s="1517">
        <v>3</v>
      </c>
      <c r="Z119" s="2557"/>
      <c r="AA119" s="1543">
        <f>IF($C$16="9%",MIN($Y$119,AA120+AA123),IF($C$16="4%",AA123,0))</f>
        <v>2</v>
      </c>
      <c r="AB119" s="1543">
        <f>IF($C$16="9%",MIN($Y$119,AB120+AB123),IF($C$16="4%",AB123,0))</f>
        <v>0</v>
      </c>
      <c r="AC119" s="1544" t="s">
        <v>1744</v>
      </c>
      <c r="AD119" s="1517" t="str">
        <f>$C$16</f>
        <v>9%</v>
      </c>
      <c r="AE119" s="1575"/>
      <c r="AY119" s="1790">
        <v>141</v>
      </c>
    </row>
    <row r="120" spans="1:51" s="1515" customFormat="1" ht="16.05" customHeight="1">
      <c r="A120" s="1517" t="s">
        <v>186</v>
      </c>
      <c r="B120" s="2571" t="s">
        <v>1832</v>
      </c>
      <c r="C120" s="2563"/>
      <c r="D120" s="2563"/>
      <c r="E120" s="2563"/>
      <c r="F120" s="2563"/>
      <c r="G120" s="2563"/>
      <c r="H120" s="1612"/>
      <c r="L120" s="1613"/>
      <c r="N120" s="1613"/>
      <c r="O120" s="1514" t="s">
        <v>631</v>
      </c>
      <c r="P120" s="1613"/>
      <c r="Q120" s="1613"/>
      <c r="R120" s="1613"/>
      <c r="S120" s="1613"/>
      <c r="V120" s="2425" t="str">
        <f>'Part V-Revenues &amp; Expenses'!$O$62</f>
        <v>40% of Units at 60% of AMI</v>
      </c>
      <c r="W120" s="2426"/>
      <c r="X120" s="1613"/>
      <c r="Y120" s="1517">
        <v>2</v>
      </c>
      <c r="Z120" s="1573"/>
      <c r="AA120" s="2799">
        <f>IF($C$16="9%",MIN($Y120,AA121+AA122),0)</f>
        <v>2</v>
      </c>
      <c r="AB120" s="2799">
        <f>IF($C$16="9%",MIN($Y120,AB121+AB122),0)</f>
        <v>0</v>
      </c>
      <c r="AY120" s="1791">
        <v>143</v>
      </c>
    </row>
    <row r="121" spans="1:51" s="1515" customFormat="1" ht="16.05" customHeight="1">
      <c r="A121" s="1517"/>
      <c r="B121" s="1550" t="s">
        <v>201</v>
      </c>
      <c r="C121" s="1447" t="s">
        <v>1833</v>
      </c>
      <c r="D121" s="1447"/>
      <c r="J121" s="1614"/>
      <c r="O121" s="1515" t="s">
        <v>1834</v>
      </c>
      <c r="U121" s="2316"/>
      <c r="V121" s="4108">
        <f>'Part V-Revenues &amp; Expenses'!$B$59</f>
        <v>57.916666666666664</v>
      </c>
      <c r="W121" s="4109"/>
      <c r="X121" s="1546" t="str">
        <f t="shared" ref="X121:X122" si="1">IF(OR($AA121=$Y121,$AA121=0,$AA121=""),"","* * Check Score! * *")</f>
        <v/>
      </c>
      <c r="Y121" s="2557">
        <v>2</v>
      </c>
      <c r="Z121" s="1551"/>
      <c r="AA121" s="1448"/>
      <c r="AB121" s="2794"/>
      <c r="AC121" s="1607" t="str">
        <f>IF(OR($AA121=$Y121,$AA121=0,$AA121=""),"","*CHECK!*")</f>
        <v/>
      </c>
      <c r="AD121" s="2554"/>
      <c r="AY121" s="1791">
        <v>144</v>
      </c>
    </row>
    <row r="122" spans="1:51" s="1515" customFormat="1" ht="16.05" customHeight="1">
      <c r="A122" s="2553"/>
      <c r="B122" s="1552" t="s">
        <v>209</v>
      </c>
      <c r="C122" s="4110" t="s">
        <v>1835</v>
      </c>
      <c r="D122" s="4110"/>
      <c r="E122" s="4110"/>
      <c r="F122" s="4110"/>
      <c r="G122" s="4110"/>
      <c r="H122" s="4110"/>
      <c r="I122" s="4110"/>
      <c r="J122" s="4110"/>
      <c r="K122" s="4110"/>
      <c r="L122" s="4110"/>
      <c r="M122" s="4110"/>
      <c r="U122" s="1536"/>
      <c r="V122" s="1536"/>
      <c r="W122" s="1536"/>
      <c r="X122" s="1546" t="str">
        <f t="shared" si="1"/>
        <v/>
      </c>
      <c r="Y122" s="2557">
        <v>2</v>
      </c>
      <c r="Z122" s="1551"/>
      <c r="AA122" s="1449">
        <v>2</v>
      </c>
      <c r="AB122" s="1608"/>
      <c r="AC122" s="1607" t="str">
        <f>IF(OR($AA122=$Y122,$AA122=0,$AA122=""),"","*CHECK!*")</f>
        <v/>
      </c>
      <c r="AD122" s="2554"/>
      <c r="AY122" s="1791">
        <v>145</v>
      </c>
    </row>
    <row r="123" spans="1:51" ht="16.05" customHeight="1">
      <c r="A123" s="1517" t="s">
        <v>198</v>
      </c>
      <c r="B123" s="2571" t="s">
        <v>1836</v>
      </c>
      <c r="J123" s="1515"/>
      <c r="O123" s="2405" t="s">
        <v>1837</v>
      </c>
      <c r="U123" s="2317"/>
      <c r="V123" s="4106">
        <f>IF(OR('Part V-Revenues &amp; Expenses'!$P$74="", 'Part V-Revenues &amp; Expenses'!$P$74=0),0,'Part V-Revenues &amp; Expenses'!$P$109/'Part V-Revenues &amp; Expenses'!$P$74)</f>
        <v>0</v>
      </c>
      <c r="W123" s="4107"/>
      <c r="Y123" s="1517">
        <v>3</v>
      </c>
      <c r="Z123" s="1559"/>
      <c r="AA123" s="2795"/>
      <c r="AB123" s="2789"/>
      <c r="AY123" s="1791">
        <v>147</v>
      </c>
    </row>
    <row r="124" spans="1:51" ht="16.05" customHeight="1">
      <c r="A124" s="1515"/>
      <c r="B124" s="1596" t="s">
        <v>1453</v>
      </c>
      <c r="E124" s="1562"/>
      <c r="F124" s="2559"/>
      <c r="G124" s="2559"/>
      <c r="H124" s="2559"/>
      <c r="I124" s="2559"/>
      <c r="J124" s="2559"/>
      <c r="K124" s="2559"/>
      <c r="L124" s="2559"/>
      <c r="M124" s="2559"/>
      <c r="N124" s="2559"/>
      <c r="O124" s="2559"/>
      <c r="P124" s="2559"/>
      <c r="Q124" s="2559"/>
      <c r="R124" s="2559"/>
      <c r="S124" s="2559"/>
      <c r="T124" s="2559"/>
      <c r="U124" s="2559"/>
      <c r="V124" s="2559"/>
      <c r="W124" s="2559"/>
      <c r="X124" s="2559"/>
      <c r="Y124" s="2559"/>
      <c r="Z124" s="1565"/>
      <c r="AA124" s="1566"/>
      <c r="AB124" s="1517"/>
      <c r="AY124" s="1790">
        <v>148</v>
      </c>
    </row>
    <row r="125" spans="1:51" ht="15" customHeight="1">
      <c r="A125" s="3847"/>
      <c r="B125" s="3848"/>
      <c r="C125" s="3848"/>
      <c r="D125" s="3848"/>
      <c r="E125" s="3848"/>
      <c r="F125" s="3848"/>
      <c r="G125" s="3848"/>
      <c r="H125" s="3848"/>
      <c r="I125" s="3848"/>
      <c r="J125" s="3848"/>
      <c r="K125" s="3848"/>
      <c r="L125" s="3848"/>
      <c r="M125" s="3848"/>
      <c r="N125" s="3848"/>
      <c r="O125" s="3848"/>
      <c r="P125" s="3848"/>
      <c r="Q125" s="3848"/>
      <c r="R125" s="3848"/>
      <c r="S125" s="3848"/>
      <c r="T125" s="3848"/>
      <c r="U125" s="3848"/>
      <c r="V125" s="3848"/>
      <c r="W125" s="3848"/>
      <c r="X125" s="3848"/>
      <c r="Y125" s="3848"/>
      <c r="Z125" s="3848"/>
      <c r="AA125" s="3848"/>
      <c r="AB125" s="3849"/>
      <c r="AC125" s="1567"/>
      <c r="AY125" s="1790">
        <v>149</v>
      </c>
    </row>
    <row r="126" spans="1:51" ht="9.75" customHeight="1">
      <c r="A126" s="1515"/>
      <c r="B126" s="1530"/>
      <c r="C126" s="1515"/>
      <c r="D126" s="1515"/>
      <c r="E126" s="1445"/>
      <c r="F126" s="1446"/>
      <c r="G126" s="1446"/>
      <c r="H126" s="1539"/>
      <c r="I126" s="1539"/>
      <c r="J126" s="1539"/>
      <c r="K126" s="1539"/>
      <c r="L126" s="1539"/>
      <c r="M126" s="1539"/>
      <c r="N126" s="1539"/>
      <c r="O126" s="1539"/>
      <c r="P126" s="1539"/>
      <c r="Q126" s="1539"/>
      <c r="R126" s="1539"/>
      <c r="S126" s="1539"/>
      <c r="T126" s="1539"/>
      <c r="U126" s="1539"/>
      <c r="V126" s="1539"/>
      <c r="W126" s="1539"/>
      <c r="X126" s="1539"/>
      <c r="Y126" s="2557"/>
      <c r="AA126" s="1525"/>
      <c r="AB126" s="1517"/>
      <c r="AD126" s="1515"/>
      <c r="AE126" s="1515"/>
      <c r="AF126" s="1515"/>
      <c r="AG126" s="1515"/>
      <c r="AH126" s="1515"/>
      <c r="AI126" s="1515"/>
      <c r="AJ126" s="1540"/>
      <c r="AK126" s="1540"/>
      <c r="AL126" s="1540"/>
      <c r="AM126" s="1540"/>
      <c r="AN126" s="1540"/>
      <c r="AO126" s="1540"/>
      <c r="AP126" s="1540"/>
      <c r="AQ126" s="1540"/>
      <c r="AR126" s="1540"/>
      <c r="AS126" s="1540"/>
      <c r="AT126" s="1540"/>
      <c r="AU126" s="1540"/>
      <c r="AY126" s="1790">
        <v>150</v>
      </c>
    </row>
    <row r="127" spans="1:51" ht="9.75" customHeight="1" thickBot="1">
      <c r="AF127" s="1541"/>
      <c r="AG127" s="1541"/>
      <c r="AY127" s="1790">
        <v>151</v>
      </c>
    </row>
    <row r="128" spans="1:51" s="1515" customFormat="1" ht="16.05" customHeight="1">
      <c r="A128" s="1598" t="s">
        <v>1486</v>
      </c>
      <c r="B128" s="1535" t="s">
        <v>1838</v>
      </c>
      <c r="E128" s="1535"/>
      <c r="F128" s="1535"/>
      <c r="X128" s="1615"/>
      <c r="Y128" s="1517">
        <v>2</v>
      </c>
      <c r="Z128" s="2557"/>
      <c r="AA128" s="1589">
        <f>IF(AA129="Yes",$Y$128,0)</f>
        <v>2</v>
      </c>
      <c r="AB128" s="1589">
        <f>IF(AB129="Yes",$Y$128,0)</f>
        <v>0</v>
      </c>
      <c r="AC128" s="1544" t="s">
        <v>1744</v>
      </c>
      <c r="AD128" s="1517"/>
      <c r="AY128" s="1791">
        <v>152</v>
      </c>
    </row>
    <row r="129" spans="1:51" ht="16.05" customHeight="1">
      <c r="B129" s="1657" t="s">
        <v>1839</v>
      </c>
      <c r="C129" s="1515"/>
      <c r="D129" s="1515"/>
      <c r="E129" s="1515"/>
      <c r="F129" s="1515"/>
      <c r="G129" s="1515"/>
      <c r="H129" s="1515"/>
      <c r="I129" s="1515"/>
      <c r="J129" s="1515"/>
      <c r="K129" s="1515"/>
      <c r="L129" s="1515"/>
      <c r="M129" s="1515"/>
      <c r="N129" s="1515"/>
      <c r="O129" s="1515"/>
      <c r="P129" s="1515"/>
      <c r="Q129" s="1515"/>
      <c r="R129" s="1515"/>
      <c r="S129" s="1515"/>
      <c r="T129" s="1515"/>
      <c r="U129" s="1515"/>
      <c r="V129" s="1515"/>
      <c r="W129" s="1515"/>
      <c r="Y129" s="2557"/>
      <c r="AA129" s="2800" t="s">
        <v>7444</v>
      </c>
      <c r="AB129" s="2790"/>
      <c r="AY129" s="1791">
        <v>153</v>
      </c>
    </row>
    <row r="130" spans="1:51" ht="16.05" customHeight="1">
      <c r="A130" s="1515"/>
      <c r="B130" s="1533" t="s">
        <v>1792</v>
      </c>
      <c r="C130" s="1515"/>
      <c r="D130" s="1515"/>
      <c r="E130" s="1515"/>
      <c r="F130" s="1515"/>
      <c r="G130" s="1515"/>
      <c r="H130" s="1515"/>
      <c r="I130" s="1515"/>
      <c r="J130" s="1515"/>
      <c r="K130" s="1515"/>
      <c r="L130" s="1515"/>
      <c r="M130" s="1515"/>
      <c r="N130" s="1515"/>
      <c r="O130" s="1515"/>
      <c r="P130" s="1515"/>
      <c r="Q130" s="1515"/>
      <c r="R130" s="1515"/>
      <c r="S130" s="1515"/>
      <c r="T130" s="1515"/>
      <c r="U130" s="1515"/>
      <c r="V130" s="1515"/>
      <c r="W130" s="1515"/>
      <c r="Y130" s="2557"/>
      <c r="AA130" s="1525"/>
      <c r="AY130" s="1791">
        <v>154</v>
      </c>
    </row>
    <row r="131" spans="1:51" ht="30" customHeight="1">
      <c r="A131" s="3844" t="s">
        <v>7720</v>
      </c>
      <c r="B131" s="3845"/>
      <c r="C131" s="3845"/>
      <c r="D131" s="3845"/>
      <c r="E131" s="3845"/>
      <c r="F131" s="3845"/>
      <c r="G131" s="3845"/>
      <c r="H131" s="3845"/>
      <c r="I131" s="3845"/>
      <c r="J131" s="3845"/>
      <c r="K131" s="3845"/>
      <c r="L131" s="3845"/>
      <c r="M131" s="3845"/>
      <c r="N131" s="3845"/>
      <c r="O131" s="3845"/>
      <c r="P131" s="3845"/>
      <c r="Q131" s="3845"/>
      <c r="R131" s="3845"/>
      <c r="S131" s="3845"/>
      <c r="T131" s="3845"/>
      <c r="U131" s="3845"/>
      <c r="V131" s="3845"/>
      <c r="W131" s="3845"/>
      <c r="X131" s="3845"/>
      <c r="Y131" s="3845"/>
      <c r="Z131" s="3845"/>
      <c r="AA131" s="3845"/>
      <c r="AB131" s="3846"/>
      <c r="AC131" s="1574"/>
      <c r="AD131" s="1574"/>
      <c r="AY131" s="1791">
        <v>155</v>
      </c>
    </row>
    <row r="132" spans="1:51" s="1515" customFormat="1" ht="16.05" customHeight="1">
      <c r="A132" s="1533"/>
      <c r="B132" s="1533" t="s">
        <v>1453</v>
      </c>
      <c r="E132" s="1533"/>
      <c r="F132" s="2574"/>
      <c r="G132" s="2574"/>
      <c r="H132" s="2574"/>
      <c r="I132" s="2574"/>
      <c r="J132" s="2574"/>
      <c r="K132" s="2574"/>
      <c r="L132" s="2574"/>
      <c r="M132" s="2574"/>
      <c r="N132" s="2574"/>
      <c r="O132" s="2574"/>
      <c r="P132" s="2574"/>
      <c r="Q132" s="2574"/>
      <c r="R132" s="2574"/>
      <c r="S132" s="2574"/>
      <c r="T132" s="2574"/>
      <c r="U132" s="2574"/>
      <c r="V132" s="2574"/>
      <c r="W132" s="2574"/>
      <c r="X132" s="2574"/>
      <c r="Y132" s="2574"/>
      <c r="Z132" s="2558"/>
      <c r="AA132" s="2575"/>
      <c r="AB132" s="1517"/>
      <c r="AY132" s="1790">
        <v>156</v>
      </c>
    </row>
    <row r="133" spans="1:51" ht="15" customHeight="1">
      <c r="A133" s="3847"/>
      <c r="B133" s="3848"/>
      <c r="C133" s="3848"/>
      <c r="D133" s="3848"/>
      <c r="E133" s="3848"/>
      <c r="F133" s="3848"/>
      <c r="G133" s="3848"/>
      <c r="H133" s="3848"/>
      <c r="I133" s="3848"/>
      <c r="J133" s="3848"/>
      <c r="K133" s="3848"/>
      <c r="L133" s="3848"/>
      <c r="M133" s="3848"/>
      <c r="N133" s="3848"/>
      <c r="O133" s="3848"/>
      <c r="P133" s="3848"/>
      <c r="Q133" s="3848"/>
      <c r="R133" s="3848"/>
      <c r="S133" s="3848"/>
      <c r="T133" s="3848"/>
      <c r="U133" s="3848"/>
      <c r="V133" s="3848"/>
      <c r="W133" s="3848"/>
      <c r="X133" s="3848"/>
      <c r="Y133" s="3848"/>
      <c r="Z133" s="3848"/>
      <c r="AA133" s="3848"/>
      <c r="AB133" s="3849"/>
      <c r="AC133" s="1574"/>
      <c r="AD133" s="1574"/>
      <c r="AY133" s="1791">
        <v>157</v>
      </c>
    </row>
    <row r="134" spans="1:51" ht="9" customHeight="1">
      <c r="A134" s="1598"/>
      <c r="B134" s="1515"/>
      <c r="C134" s="2559"/>
      <c r="D134" s="2559"/>
      <c r="E134" s="2559"/>
      <c r="F134" s="2559"/>
      <c r="G134" s="2559"/>
      <c r="H134" s="2559"/>
      <c r="I134" s="2559"/>
      <c r="J134" s="2559"/>
      <c r="K134" s="2559"/>
      <c r="L134" s="2559"/>
      <c r="M134" s="2559"/>
      <c r="N134" s="2559"/>
      <c r="O134" s="2559"/>
      <c r="P134" s="2559"/>
      <c r="Q134" s="2559"/>
      <c r="R134" s="2559"/>
      <c r="S134" s="2559"/>
      <c r="T134" s="2559"/>
      <c r="U134" s="2559"/>
      <c r="V134" s="2559"/>
      <c r="W134" s="2559"/>
      <c r="X134" s="2559"/>
      <c r="Y134" s="2559"/>
      <c r="Z134" s="1565"/>
      <c r="AA134" s="1566"/>
      <c r="AB134" s="1517"/>
      <c r="AY134" s="1790">
        <v>158</v>
      </c>
    </row>
    <row r="135" spans="1:51" ht="9" customHeight="1" thickBot="1">
      <c r="AY135" s="1790">
        <v>159</v>
      </c>
    </row>
    <row r="136" spans="1:51" ht="16.05" customHeight="1">
      <c r="A136" s="1534" t="s">
        <v>1488</v>
      </c>
      <c r="B136" s="1535" t="s">
        <v>1840</v>
      </c>
      <c r="X136" s="1542" t="s">
        <v>1743</v>
      </c>
      <c r="Y136" s="1517">
        <v>20</v>
      </c>
      <c r="Z136" s="1547"/>
      <c r="AA136" s="1589">
        <f>IF(NOT($M$11="New Affordability"),0,IF(OR($Y137-AA138&lt;0,AA137-AA138&lt;0),0,IF(AA137&lt;=$Y137,AA137-AA138,IF(AA137&gt;$Y137,$Y137-AA138,0))))</f>
        <v>0</v>
      </c>
      <c r="AB136" s="1589">
        <f>IF(NOT($M$12="New Affordability"),0,IF(OR($Y137-AB138&lt;0,AB137-AB138&lt;0),0,IF(AB137&lt;=$Y137,AB137-AB138,IF(AB137&gt;$Y137,$Y137-AB138,0))))</f>
        <v>0</v>
      </c>
      <c r="AC136" s="1544" t="s">
        <v>1744</v>
      </c>
      <c r="AD136" s="1517" t="str">
        <f>$C$16</f>
        <v>9%</v>
      </c>
      <c r="AY136" s="1790">
        <v>160</v>
      </c>
    </row>
    <row r="137" spans="1:51" s="1515" customFormat="1" ht="16.05" customHeight="1">
      <c r="A137" s="1517" t="s">
        <v>186</v>
      </c>
      <c r="B137" s="1523" t="s">
        <v>1841</v>
      </c>
      <c r="C137" s="1523"/>
      <c r="D137" s="1523"/>
      <c r="E137" s="1523"/>
      <c r="G137" s="1523"/>
      <c r="I137" s="1547"/>
      <c r="J137" s="1512"/>
      <c r="K137" s="1512"/>
      <c r="L137" s="1512"/>
      <c r="M137" s="1512"/>
      <c r="N137" s="1512"/>
      <c r="O137" s="1512"/>
      <c r="P137" s="1512"/>
      <c r="Q137" s="1512"/>
      <c r="R137" s="1512"/>
      <c r="S137" s="1512"/>
      <c r="T137" s="1512"/>
      <c r="U137" s="1512"/>
      <c r="V137" s="1512"/>
      <c r="W137" s="1512"/>
      <c r="X137" s="1546" t="str">
        <f>IF(OR($AA137=$Y137,$AA137&lt;$Y137,$AA137=0,$AA137=""),"","* * Check Score! * *")</f>
        <v/>
      </c>
      <c r="Y137" s="2557">
        <v>20</v>
      </c>
      <c r="Z137" s="1551"/>
      <c r="AA137" s="2801">
        <v>20</v>
      </c>
      <c r="AB137" s="2802"/>
      <c r="AC137" s="1607"/>
      <c r="AD137" s="2554"/>
      <c r="AY137" s="1790">
        <v>161</v>
      </c>
    </row>
    <row r="138" spans="1:51" s="1515" customFormat="1" ht="16.05" customHeight="1">
      <c r="A138" s="1517" t="s">
        <v>198</v>
      </c>
      <c r="B138" s="1523" t="s">
        <v>1842</v>
      </c>
      <c r="I138" s="1547"/>
      <c r="J138" s="1512"/>
      <c r="K138" s="1512"/>
      <c r="L138" s="1512"/>
      <c r="M138" s="1512"/>
      <c r="N138" s="1512"/>
      <c r="O138" s="1512"/>
      <c r="P138" s="1512"/>
      <c r="Q138" s="1512"/>
      <c r="R138" s="1512"/>
      <c r="S138" s="1512"/>
      <c r="T138" s="1600"/>
      <c r="U138" s="1600"/>
      <c r="V138" s="1600"/>
      <c r="W138" s="1600"/>
      <c r="X138" s="1512"/>
      <c r="Y138" s="2557" t="s">
        <v>1843</v>
      </c>
      <c r="Z138" s="1547"/>
      <c r="AA138" s="2801">
        <v>0</v>
      </c>
      <c r="AB138" s="2802"/>
      <c r="AD138" s="2554"/>
      <c r="AY138" s="1790">
        <v>162</v>
      </c>
    </row>
    <row r="139" spans="1:51" ht="16.05" customHeight="1">
      <c r="A139" s="1515"/>
      <c r="B139" s="1533" t="s">
        <v>1792</v>
      </c>
      <c r="C139" s="1515"/>
      <c r="D139" s="1515"/>
      <c r="E139" s="1515"/>
      <c r="F139" s="1515"/>
      <c r="G139" s="1515"/>
      <c r="H139" s="1515"/>
      <c r="I139" s="1515"/>
      <c r="J139" s="1515"/>
      <c r="K139" s="1515"/>
      <c r="L139" s="1515"/>
      <c r="M139" s="1515"/>
      <c r="N139" s="1515"/>
      <c r="O139" s="1515"/>
      <c r="P139" s="1515"/>
      <c r="Q139" s="1515"/>
      <c r="R139" s="1515"/>
      <c r="S139" s="1515"/>
      <c r="T139" s="1515"/>
      <c r="U139" s="1515"/>
      <c r="V139" s="1515"/>
      <c r="W139" s="1515"/>
      <c r="Y139" s="2557"/>
      <c r="AA139" s="1525"/>
      <c r="AY139" s="1790">
        <v>163</v>
      </c>
    </row>
    <row r="140" spans="1:51" ht="58.5" customHeight="1">
      <c r="A140" s="3844" t="s">
        <v>7728</v>
      </c>
      <c r="B140" s="3845"/>
      <c r="C140" s="3845"/>
      <c r="D140" s="3845"/>
      <c r="E140" s="3845"/>
      <c r="F140" s="3845"/>
      <c r="G140" s="3845"/>
      <c r="H140" s="3845"/>
      <c r="I140" s="3845"/>
      <c r="J140" s="3845"/>
      <c r="K140" s="3845"/>
      <c r="L140" s="3845"/>
      <c r="M140" s="3845"/>
      <c r="N140" s="3845"/>
      <c r="O140" s="3845"/>
      <c r="P140" s="3845"/>
      <c r="Q140" s="3845"/>
      <c r="R140" s="3845"/>
      <c r="S140" s="3845"/>
      <c r="T140" s="3845"/>
      <c r="U140" s="3845"/>
      <c r="V140" s="3845"/>
      <c r="W140" s="3845"/>
      <c r="X140" s="3845"/>
      <c r="Y140" s="3845"/>
      <c r="Z140" s="3845"/>
      <c r="AA140" s="3845"/>
      <c r="AB140" s="3846"/>
      <c r="AC140" s="1574"/>
      <c r="AD140" s="1574"/>
      <c r="AY140" s="1791">
        <v>164</v>
      </c>
    </row>
    <row r="141" spans="1:51" ht="16.05" customHeight="1">
      <c r="A141" s="1515"/>
      <c r="B141" s="1533" t="s">
        <v>1453</v>
      </c>
      <c r="C141" s="1515"/>
      <c r="D141" s="1515"/>
      <c r="E141" s="1616"/>
      <c r="F141" s="2559"/>
      <c r="G141" s="2559"/>
      <c r="H141" s="2559"/>
      <c r="I141" s="2559"/>
      <c r="J141" s="2559"/>
      <c r="K141" s="2559"/>
      <c r="L141" s="2559"/>
      <c r="M141" s="2559"/>
      <c r="N141" s="2559"/>
      <c r="O141" s="2559"/>
      <c r="P141" s="2559"/>
      <c r="Q141" s="2559"/>
      <c r="R141" s="2559"/>
      <c r="S141" s="2559"/>
      <c r="T141" s="2559"/>
      <c r="U141" s="2559"/>
      <c r="V141" s="2559"/>
      <c r="W141" s="2559"/>
      <c r="X141" s="2559"/>
      <c r="Y141" s="2559"/>
      <c r="Z141" s="1565"/>
      <c r="AA141" s="1566"/>
      <c r="AB141" s="1517"/>
      <c r="AY141" s="1791">
        <v>165</v>
      </c>
    </row>
    <row r="142" spans="1:51" ht="30" customHeight="1">
      <c r="A142" s="3847"/>
      <c r="B142" s="3848"/>
      <c r="C142" s="3848"/>
      <c r="D142" s="3848"/>
      <c r="E142" s="3848"/>
      <c r="F142" s="3848"/>
      <c r="G142" s="3848"/>
      <c r="H142" s="3848"/>
      <c r="I142" s="3848"/>
      <c r="J142" s="3848"/>
      <c r="K142" s="3848"/>
      <c r="L142" s="3848"/>
      <c r="M142" s="3848"/>
      <c r="N142" s="3848"/>
      <c r="O142" s="3848"/>
      <c r="P142" s="3848"/>
      <c r="Q142" s="3848"/>
      <c r="R142" s="3848"/>
      <c r="S142" s="3848"/>
      <c r="T142" s="3848"/>
      <c r="U142" s="3848"/>
      <c r="V142" s="3848"/>
      <c r="W142" s="3848"/>
      <c r="X142" s="3848"/>
      <c r="Y142" s="3848"/>
      <c r="Z142" s="3848"/>
      <c r="AA142" s="3848"/>
      <c r="AB142" s="3849"/>
      <c r="AC142" s="1567"/>
      <c r="AD142" s="1574"/>
      <c r="AY142" s="1790">
        <v>166</v>
      </c>
    </row>
    <row r="143" spans="1:51" ht="9.75" customHeight="1">
      <c r="A143" s="1515"/>
      <c r="B143" s="1530"/>
      <c r="C143" s="1515"/>
      <c r="D143" s="1515"/>
      <c r="E143" s="1445"/>
      <c r="F143" s="1446"/>
      <c r="G143" s="1446"/>
      <c r="H143" s="1539"/>
      <c r="I143" s="1539"/>
      <c r="J143" s="1539"/>
      <c r="K143" s="1539"/>
      <c r="L143" s="1539"/>
      <c r="M143" s="1539"/>
      <c r="N143" s="1539"/>
      <c r="O143" s="1539"/>
      <c r="P143" s="1539"/>
      <c r="Q143" s="1539"/>
      <c r="R143" s="1539"/>
      <c r="S143" s="1539"/>
      <c r="T143" s="1539"/>
      <c r="U143" s="1539"/>
      <c r="V143" s="1539"/>
      <c r="W143" s="1539"/>
      <c r="X143" s="1539"/>
      <c r="Y143" s="2557"/>
      <c r="AA143" s="1525"/>
      <c r="AB143" s="1517"/>
      <c r="AD143" s="1515"/>
      <c r="AE143" s="1515"/>
      <c r="AF143" s="1515"/>
      <c r="AG143" s="1515"/>
      <c r="AH143" s="1515"/>
      <c r="AI143" s="1515"/>
      <c r="AJ143" s="1540"/>
      <c r="AK143" s="1540"/>
      <c r="AL143" s="1540"/>
      <c r="AM143" s="1540"/>
      <c r="AN143" s="1540"/>
      <c r="AO143" s="1540"/>
      <c r="AP143" s="1540"/>
      <c r="AQ143" s="1540"/>
      <c r="AR143" s="1540"/>
      <c r="AS143" s="1540"/>
      <c r="AT143" s="1540"/>
      <c r="AU143" s="1540"/>
      <c r="AY143" s="1790">
        <v>167</v>
      </c>
    </row>
    <row r="144" spans="1:51" ht="9.75" customHeight="1" thickBot="1">
      <c r="AF144" s="1541"/>
      <c r="AG144" s="1541"/>
      <c r="AY144" s="1791">
        <v>168</v>
      </c>
    </row>
    <row r="145" spans="1:51" ht="16.05" customHeight="1">
      <c r="A145" s="1534" t="s">
        <v>1490</v>
      </c>
      <c r="B145" s="1535" t="s">
        <v>1844</v>
      </c>
      <c r="I145" s="1617"/>
      <c r="J145" s="2571"/>
      <c r="K145" s="2553"/>
      <c r="L145" s="2553"/>
      <c r="M145" s="2553"/>
      <c r="N145" s="2553"/>
      <c r="O145" s="2553"/>
      <c r="P145" s="2553"/>
      <c r="Q145" s="2553"/>
      <c r="R145" s="2553"/>
      <c r="S145" s="2553"/>
      <c r="T145" s="1517"/>
      <c r="U145" s="1517"/>
      <c r="V145" s="1517"/>
      <c r="W145" s="1517"/>
      <c r="X145" s="1542" t="s">
        <v>1743</v>
      </c>
      <c r="Y145" s="1517">
        <v>6</v>
      </c>
      <c r="Z145" s="1547"/>
      <c r="AA145" s="1589">
        <f>IF($M$11="New Affordability",MAX(AA153,AA156),0)</f>
        <v>0</v>
      </c>
      <c r="AB145" s="1589">
        <f>IF($M$12="New Affordability",MAX(AB153,AB156),0)</f>
        <v>0</v>
      </c>
      <c r="AC145" s="1544" t="s">
        <v>1744</v>
      </c>
      <c r="AD145" s="1517" t="str">
        <f>$C$16</f>
        <v>9%</v>
      </c>
      <c r="AY145" s="1791">
        <v>169</v>
      </c>
    </row>
    <row r="146" spans="1:51" ht="16.05" customHeight="1">
      <c r="A146" s="1534"/>
      <c r="B146" s="1535"/>
      <c r="I146" s="1535"/>
      <c r="J146" s="1533"/>
      <c r="K146" s="1515"/>
      <c r="L146" s="1515"/>
      <c r="M146" s="1515"/>
      <c r="N146" s="1515"/>
      <c r="O146" s="1515"/>
      <c r="P146" s="1515"/>
      <c r="Q146" s="1515"/>
      <c r="R146" s="1515"/>
      <c r="S146" s="1515"/>
      <c r="T146" s="1515"/>
      <c r="U146" s="1515"/>
      <c r="V146" s="1515"/>
      <c r="W146" s="1515"/>
      <c r="Y146" s="1517"/>
      <c r="Z146" s="1547"/>
      <c r="AA146" s="1525"/>
      <c r="AB146" s="1525"/>
      <c r="AC146" s="1544"/>
      <c r="AY146" s="1791">
        <v>170</v>
      </c>
    </row>
    <row r="147" spans="1:51" ht="16.05" customHeight="1">
      <c r="A147" s="1534"/>
      <c r="B147" s="1515" t="s">
        <v>1845</v>
      </c>
      <c r="H147" s="1515"/>
      <c r="I147" s="1515" t="s">
        <v>1846</v>
      </c>
      <c r="J147" s="1515"/>
      <c r="L147" s="1515"/>
      <c r="M147" s="1515"/>
      <c r="N147" s="1515"/>
      <c r="O147" s="1515"/>
      <c r="P147" s="1515"/>
      <c r="Q147" s="1515"/>
      <c r="R147" s="1515"/>
      <c r="S147" s="1515"/>
      <c r="T147" s="1515"/>
      <c r="U147" s="1563" t="s">
        <v>1847</v>
      </c>
      <c r="V147" s="1563"/>
      <c r="W147" s="1563"/>
      <c r="X147" s="1563"/>
      <c r="Y147" s="1563"/>
      <c r="Z147" s="1547"/>
      <c r="AA147" s="4087" t="s">
        <v>1848</v>
      </c>
      <c r="AB147" s="4087"/>
      <c r="AY147" s="1791">
        <v>171</v>
      </c>
    </row>
    <row r="148" spans="1:51" ht="15" customHeight="1">
      <c r="B148" s="1618"/>
      <c r="C148" s="1619" t="s">
        <v>1849</v>
      </c>
      <c r="D148" s="1619"/>
      <c r="G148" s="4084"/>
      <c r="H148" s="4084"/>
      <c r="I148" s="4099"/>
      <c r="J148" s="4091"/>
      <c r="K148" s="4091"/>
      <c r="L148" s="4091"/>
      <c r="M148" s="4091"/>
      <c r="N148" s="4091"/>
      <c r="O148" s="4091"/>
      <c r="P148" s="4100"/>
      <c r="Q148" s="4095"/>
      <c r="R148" s="4096"/>
      <c r="S148" s="4096"/>
      <c r="T148" s="4090"/>
      <c r="U148" s="4091"/>
      <c r="V148" s="4091"/>
      <c r="W148" s="4092"/>
      <c r="X148" s="4089"/>
      <c r="Y148" s="4090"/>
      <c r="Z148" s="1514"/>
      <c r="AA148" s="4088"/>
      <c r="AB148" s="4088"/>
      <c r="AY148" s="1790">
        <v>172</v>
      </c>
    </row>
    <row r="149" spans="1:51" ht="15" customHeight="1">
      <c r="A149" s="1618"/>
      <c r="B149" s="1620"/>
      <c r="C149" s="1619" t="s">
        <v>1850</v>
      </c>
      <c r="D149" s="1619"/>
      <c r="G149" s="4084"/>
      <c r="H149" s="4084"/>
      <c r="I149" s="4101"/>
      <c r="J149" s="4093"/>
      <c r="K149" s="4093"/>
      <c r="L149" s="4093"/>
      <c r="M149" s="4093"/>
      <c r="N149" s="4093"/>
      <c r="O149" s="4093"/>
      <c r="P149" s="4102"/>
      <c r="Q149" s="4097"/>
      <c r="R149" s="4098"/>
      <c r="S149" s="4098"/>
      <c r="T149" s="4086"/>
      <c r="U149" s="4093"/>
      <c r="V149" s="4093"/>
      <c r="W149" s="4094"/>
      <c r="X149" s="4085"/>
      <c r="Y149" s="4086"/>
      <c r="Z149" s="1547"/>
      <c r="AA149" s="2803"/>
      <c r="AB149" s="2804"/>
      <c r="AY149" s="1791">
        <v>173</v>
      </c>
    </row>
    <row r="150" spans="1:51" ht="16.05" customHeight="1">
      <c r="A150" s="1620"/>
      <c r="B150" s="3928" t="s">
        <v>1851</v>
      </c>
      <c r="C150" s="3928"/>
      <c r="D150" s="3928"/>
      <c r="E150" s="4200" t="s">
        <v>1852</v>
      </c>
      <c r="F150" s="3928"/>
      <c r="G150" s="4201" t="s">
        <v>1853</v>
      </c>
      <c r="H150" s="4201"/>
      <c r="I150" s="4201"/>
      <c r="J150" s="4201"/>
      <c r="K150" s="4201"/>
      <c r="L150" s="4201"/>
      <c r="M150" s="4201"/>
      <c r="N150" s="4201"/>
      <c r="O150" s="4201"/>
      <c r="P150" s="4201"/>
      <c r="Q150" s="4201"/>
      <c r="R150" s="4201"/>
      <c r="S150" s="4201"/>
      <c r="T150" s="4201" t="s">
        <v>1854</v>
      </c>
      <c r="U150" s="4201"/>
      <c r="V150" s="4201"/>
      <c r="W150" s="4201"/>
      <c r="X150" s="4201"/>
      <c r="Y150" s="4201"/>
      <c r="Z150" s="4201"/>
      <c r="AA150" s="4201"/>
      <c r="AB150" s="4201"/>
      <c r="AY150" s="1790">
        <v>174</v>
      </c>
    </row>
    <row r="151" spans="1:51" ht="15" customHeight="1">
      <c r="A151" s="1620"/>
      <c r="B151" s="3912" t="s">
        <v>7741</v>
      </c>
      <c r="C151" s="3910"/>
      <c r="D151" s="3911"/>
      <c r="E151" s="3913" t="s">
        <v>7743</v>
      </c>
      <c r="F151" s="3914"/>
      <c r="G151" s="3913" t="s">
        <v>7744</v>
      </c>
      <c r="H151" s="3915"/>
      <c r="I151" s="3915"/>
      <c r="J151" s="3915"/>
      <c r="K151" s="3915"/>
      <c r="L151" s="3915"/>
      <c r="M151" s="3915"/>
      <c r="N151" s="3915"/>
      <c r="O151" s="3915"/>
      <c r="P151" s="3915"/>
      <c r="Q151" s="3915"/>
      <c r="R151" s="3915"/>
      <c r="S151" s="3916"/>
      <c r="T151" s="3909" t="s">
        <v>7742</v>
      </c>
      <c r="U151" s="3910"/>
      <c r="V151" s="3910"/>
      <c r="W151" s="3910"/>
      <c r="X151" s="3910"/>
      <c r="Y151" s="3910"/>
      <c r="Z151" s="3910"/>
      <c r="AA151" s="3910"/>
      <c r="AB151" s="3911"/>
      <c r="AY151" s="1790">
        <v>175</v>
      </c>
    </row>
    <row r="152" spans="1:51" ht="16.05" customHeight="1">
      <c r="A152" s="1532"/>
      <c r="B152" s="1535"/>
      <c r="G152" s="1545"/>
      <c r="Y152" s="1517"/>
      <c r="Z152" s="1517"/>
      <c r="AA152" s="1517"/>
      <c r="AB152" s="1517"/>
      <c r="AC152" s="1544"/>
      <c r="AD152" s="1570"/>
      <c r="AE152" s="1570"/>
      <c r="AF152" s="1570"/>
      <c r="AG152" s="1570"/>
      <c r="AY152" s="1790">
        <v>176</v>
      </c>
    </row>
    <row r="153" spans="1:51" ht="16.05" customHeight="1">
      <c r="A153" s="2555" t="s">
        <v>186</v>
      </c>
      <c r="B153" s="1523" t="s">
        <v>1855</v>
      </c>
      <c r="G153" s="1621"/>
      <c r="X153" s="1588" t="s">
        <v>1786</v>
      </c>
      <c r="Y153" s="1517">
        <v>6</v>
      </c>
      <c r="Z153" s="1573"/>
      <c r="AA153" s="2805">
        <f>IF(OR($X$11="Atlanta Metro",$X$11="Other Metro",$X$11="N/A-4%"),MIN($Y153,AA154+AA155),0)</f>
        <v>0</v>
      </c>
      <c r="AB153" s="2805">
        <f>IF(OR($X$12="Atlanta Metro",$X$12="Other Metro",$X$12="N/A-4%"),MIN($Y153,AB154+AB155),0)</f>
        <v>0</v>
      </c>
      <c r="AC153" s="1544"/>
      <c r="AE153" s="2806" t="s">
        <v>1856</v>
      </c>
      <c r="AF153" s="2806" t="s">
        <v>1857</v>
      </c>
      <c r="AY153" s="1790">
        <v>177</v>
      </c>
    </row>
    <row r="154" spans="1:51" s="1557" customFormat="1" ht="29.55" customHeight="1">
      <c r="A154" s="1558"/>
      <c r="B154" s="1552" t="s">
        <v>201</v>
      </c>
      <c r="C154" s="3926" t="s">
        <v>1858</v>
      </c>
      <c r="D154" s="3926"/>
      <c r="E154" s="3926"/>
      <c r="F154" s="3926"/>
      <c r="G154" s="3926"/>
      <c r="H154" s="3926"/>
      <c r="I154" s="3926"/>
      <c r="J154" s="3926"/>
      <c r="K154" s="3926"/>
      <c r="L154" s="3926"/>
      <c r="M154" s="3926"/>
      <c r="N154" s="3926"/>
      <c r="O154" s="3926"/>
      <c r="P154" s="3926"/>
      <c r="Q154" s="3926"/>
      <c r="R154" s="3926"/>
      <c r="S154" s="3926"/>
      <c r="T154" s="3926"/>
      <c r="U154" s="2559"/>
      <c r="V154" s="2559"/>
      <c r="W154" s="2559"/>
      <c r="X154" s="1546" t="str">
        <f t="shared" ref="X154" si="2">IF(OR($AA154=$Y154,$AA154=0,$AA154=""),"","* * Check Score! * *")</f>
        <v/>
      </c>
      <c r="Y154" s="1558">
        <v>6</v>
      </c>
      <c r="Z154" s="1593"/>
      <c r="AA154" s="1452"/>
      <c r="AB154" s="2807"/>
      <c r="AD154" s="4062" t="s">
        <v>1859</v>
      </c>
      <c r="AE154" s="1622">
        <v>0.25</v>
      </c>
      <c r="AF154" s="1622">
        <v>5</v>
      </c>
      <c r="AY154" s="1790">
        <v>178</v>
      </c>
    </row>
    <row r="155" spans="1:51" s="1557" customFormat="1" ht="16.05" customHeight="1">
      <c r="A155" s="2553" t="s">
        <v>327</v>
      </c>
      <c r="B155" s="1552" t="s">
        <v>209</v>
      </c>
      <c r="C155" s="1515" t="s">
        <v>1860</v>
      </c>
      <c r="D155" s="1515"/>
      <c r="E155" s="1515"/>
      <c r="F155" s="1515"/>
      <c r="G155" s="1515"/>
      <c r="H155" s="1515"/>
      <c r="I155" s="1515"/>
      <c r="J155" s="1515"/>
      <c r="K155" s="1529"/>
      <c r="L155" s="1529"/>
      <c r="M155" s="1529"/>
      <c r="N155" s="1529"/>
      <c r="O155" s="1529"/>
      <c r="P155" s="1529"/>
      <c r="Q155" s="1529"/>
      <c r="R155" s="1529"/>
      <c r="S155" s="1529"/>
      <c r="T155" s="1529"/>
      <c r="U155" s="1529"/>
      <c r="V155" s="1529"/>
      <c r="W155" s="1529"/>
      <c r="X155" s="1546"/>
      <c r="Y155" s="2557">
        <v>5</v>
      </c>
      <c r="Z155" s="1595"/>
      <c r="AA155" s="1451"/>
      <c r="AB155" s="1623"/>
      <c r="AD155" s="4062"/>
      <c r="AE155" s="1622">
        <v>0.5</v>
      </c>
      <c r="AF155" s="1622">
        <v>4.5</v>
      </c>
      <c r="AY155" s="1790">
        <v>179</v>
      </c>
    </row>
    <row r="156" spans="1:51" s="1557" customFormat="1" ht="16.05" customHeight="1">
      <c r="A156" s="2555" t="s">
        <v>198</v>
      </c>
      <c r="B156" s="1624" t="s">
        <v>1861</v>
      </c>
      <c r="G156" s="1625"/>
      <c r="I156" s="2563"/>
      <c r="J156" s="2563"/>
      <c r="K156" s="1620"/>
      <c r="L156" s="1620"/>
      <c r="M156" s="1620"/>
      <c r="N156" s="1620"/>
      <c r="O156" s="1620"/>
      <c r="P156" s="1620"/>
      <c r="Q156" s="1620"/>
      <c r="R156" s="1620"/>
      <c r="S156" s="1620"/>
      <c r="T156" s="1620"/>
      <c r="U156" s="1620"/>
      <c r="V156" s="1620"/>
      <c r="W156" s="1620"/>
      <c r="X156" s="1626"/>
      <c r="Y156" s="1517">
        <v>3</v>
      </c>
      <c r="Z156" s="1547"/>
      <c r="AA156" s="2799">
        <f>IF(OR(AND(AA157&gt;0,AA158&gt;0,AA159&gt;0), AND(AA157&gt;0,AA158&gt;0), AND(AA158&gt;0,AA159&gt;0), AND(AA157&gt;0,AA159&gt;0)),"Choose", IF(AND(OR($X$11="Atlanta Metro",$X$11="Other Metro",$X$11="N/A-4%"),SUM(AA157,AA158,AA159)&gt;0), MIN($Y156,AA157+AA158), IF(AND(OR($X$11="Rural"),SUM(AA157,AA158,AA159)&gt;0), MIN($Y156,AA159),0)))</f>
        <v>2</v>
      </c>
      <c r="AB156" s="2799">
        <f>IF(OR(AND(AB157&gt;0,AB158&gt;0,AB159&gt;0), AND(AB157&gt;0,AB158&gt;0), AND(AB158&gt;0,AB159&gt;0), AND(AB157&gt;0,AB159&gt;0)),"Choose", IF(AND(OR($X$12="Atlanta Metro",$X$12="Other Metro",$X$11="N/A-4%"),SUM(AB157,AB158,AB159)&gt;0), MIN($Y156,AB157+AB158), IF(AND(OR($X$11="Rural"),SUM(AB157,AB158,AB159)&gt;0), MIN($Y156,AB159),0)))</f>
        <v>0</v>
      </c>
      <c r="AD156" s="4062"/>
      <c r="AE156" s="1627">
        <v>1</v>
      </c>
      <c r="AF156" s="1627">
        <v>4</v>
      </c>
      <c r="AY156" s="1791">
        <v>180</v>
      </c>
    </row>
    <row r="157" spans="1:51" ht="16.05" customHeight="1">
      <c r="A157" s="1534"/>
      <c r="B157" s="1628" t="s">
        <v>201</v>
      </c>
      <c r="C157" s="1515" t="s">
        <v>1862</v>
      </c>
      <c r="D157" s="1515"/>
      <c r="E157" s="2563"/>
      <c r="F157" s="2563"/>
      <c r="G157" s="2563"/>
      <c r="H157" s="2563"/>
      <c r="I157" s="2563"/>
      <c r="J157" s="2563"/>
      <c r="K157" s="2563"/>
      <c r="L157" s="2563"/>
      <c r="M157" s="2563"/>
      <c r="N157" s="2563"/>
      <c r="O157" s="2563"/>
      <c r="P157" s="2563"/>
      <c r="Q157" s="2563"/>
      <c r="R157" s="2563"/>
      <c r="S157" s="2563"/>
      <c r="T157" s="2563"/>
      <c r="U157" s="2563"/>
      <c r="V157" s="2563"/>
      <c r="W157" s="2563"/>
      <c r="X157" s="1546" t="str">
        <f t="shared" ref="X157:X159" si="3">IF(OR($AA157=$Y157,$AA157=0,$AA157=""),"","* * Check Score! * *")</f>
        <v/>
      </c>
      <c r="Y157" s="2557">
        <v>3</v>
      </c>
      <c r="Z157" s="1595"/>
      <c r="AA157" s="2791"/>
      <c r="AB157" s="2792"/>
      <c r="AD157" s="4062" t="s">
        <v>1863</v>
      </c>
      <c r="AE157" s="2808">
        <v>0.25</v>
      </c>
      <c r="AF157" s="2808">
        <v>3</v>
      </c>
      <c r="AG157" s="1557"/>
      <c r="AY157" s="1791">
        <v>181</v>
      </c>
    </row>
    <row r="158" spans="1:51" ht="16.05" customHeight="1">
      <c r="A158" s="2553" t="s">
        <v>327</v>
      </c>
      <c r="B158" s="1628" t="s">
        <v>209</v>
      </c>
      <c r="C158" s="1515" t="s">
        <v>1864</v>
      </c>
      <c r="D158" s="1515"/>
      <c r="E158" s="2563"/>
      <c r="F158" s="2563"/>
      <c r="G158" s="2563"/>
      <c r="H158" s="2563"/>
      <c r="I158" s="2563"/>
      <c r="J158" s="2563"/>
      <c r="K158" s="1620"/>
      <c r="L158" s="1620"/>
      <c r="M158" s="1620"/>
      <c r="N158" s="1620"/>
      <c r="O158" s="1620"/>
      <c r="P158" s="1620"/>
      <c r="Q158" s="1620"/>
      <c r="R158" s="1620"/>
      <c r="S158" s="1620"/>
      <c r="T158" s="1620"/>
      <c r="U158" s="1620"/>
      <c r="V158" s="1620"/>
      <c r="W158" s="1620"/>
      <c r="X158" s="1546" t="str">
        <f t="shared" si="3"/>
        <v/>
      </c>
      <c r="Y158" s="2557">
        <v>1</v>
      </c>
      <c r="Z158" s="1595"/>
      <c r="AA158" s="1453"/>
      <c r="AB158" s="1629"/>
      <c r="AD158" s="4062"/>
      <c r="AE158" s="1622">
        <v>0.5</v>
      </c>
      <c r="AF158" s="1622">
        <v>2</v>
      </c>
      <c r="AG158" s="1557"/>
      <c r="AY158" s="1791">
        <v>182</v>
      </c>
    </row>
    <row r="159" spans="1:51" s="1557" customFormat="1" ht="29.25" customHeight="1">
      <c r="A159" s="1630" t="s">
        <v>327</v>
      </c>
      <c r="B159" s="1628" t="s">
        <v>213</v>
      </c>
      <c r="C159" s="3926" t="s">
        <v>1865</v>
      </c>
      <c r="D159" s="3926"/>
      <c r="E159" s="3926"/>
      <c r="F159" s="3926"/>
      <c r="G159" s="3926"/>
      <c r="H159" s="3926"/>
      <c r="I159" s="3926"/>
      <c r="J159" s="3926"/>
      <c r="K159" s="3926"/>
      <c r="L159" s="3926"/>
      <c r="M159" s="3926"/>
      <c r="N159" s="3926"/>
      <c r="O159" s="3926"/>
      <c r="P159" s="3926"/>
      <c r="Q159" s="3926"/>
      <c r="R159" s="3926"/>
      <c r="S159" s="3926"/>
      <c r="T159" s="3926"/>
      <c r="U159" s="2559"/>
      <c r="V159" s="2559"/>
      <c r="W159" s="2559"/>
      <c r="X159" s="1546" t="str">
        <f t="shared" si="3"/>
        <v/>
      </c>
      <c r="Y159" s="1558">
        <v>2</v>
      </c>
      <c r="Z159" s="1593"/>
      <c r="AA159" s="1474">
        <v>2</v>
      </c>
      <c r="AB159" s="1631"/>
      <c r="AD159" s="4062"/>
      <c r="AE159" s="1627">
        <v>1</v>
      </c>
      <c r="AF159" s="1627">
        <v>1</v>
      </c>
      <c r="AY159" s="1790">
        <v>183</v>
      </c>
    </row>
    <row r="160" spans="1:51" ht="16.05" customHeight="1">
      <c r="A160" s="1515"/>
      <c r="B160" s="1533" t="s">
        <v>1792</v>
      </c>
      <c r="C160" s="1515"/>
      <c r="D160" s="1515"/>
      <c r="E160" s="1515"/>
      <c r="F160" s="1515"/>
      <c r="G160" s="1515"/>
      <c r="H160" s="1515"/>
      <c r="I160" s="1515"/>
      <c r="J160" s="1515"/>
      <c r="K160" s="1515"/>
      <c r="L160" s="1515"/>
      <c r="M160" s="1515"/>
      <c r="N160" s="1515"/>
      <c r="O160" s="1515"/>
      <c r="P160" s="1515"/>
      <c r="Q160" s="1515"/>
      <c r="R160" s="1515"/>
      <c r="S160" s="1515"/>
      <c r="T160" s="1515"/>
      <c r="U160" s="1515"/>
      <c r="V160" s="1515"/>
      <c r="W160" s="1515"/>
      <c r="Y160" s="2557"/>
      <c r="AA160" s="1525"/>
      <c r="AY160" s="1790">
        <v>184</v>
      </c>
    </row>
    <row r="161" spans="1:51" ht="28.8" customHeight="1">
      <c r="A161" s="3844" t="s">
        <v>7745</v>
      </c>
      <c r="B161" s="3845"/>
      <c r="C161" s="3845"/>
      <c r="D161" s="3845"/>
      <c r="E161" s="3845"/>
      <c r="F161" s="3845"/>
      <c r="G161" s="3845"/>
      <c r="H161" s="3845"/>
      <c r="I161" s="3845"/>
      <c r="J161" s="3845"/>
      <c r="K161" s="3845"/>
      <c r="L161" s="3845"/>
      <c r="M161" s="3845"/>
      <c r="N161" s="3845"/>
      <c r="O161" s="3845"/>
      <c r="P161" s="3845"/>
      <c r="Q161" s="3845"/>
      <c r="R161" s="3845"/>
      <c r="S161" s="3845"/>
      <c r="T161" s="3845"/>
      <c r="U161" s="3845"/>
      <c r="V161" s="3845"/>
      <c r="W161" s="3845"/>
      <c r="X161" s="3845"/>
      <c r="Y161" s="3845"/>
      <c r="Z161" s="3845"/>
      <c r="AA161" s="3845"/>
      <c r="AB161" s="3846"/>
      <c r="AC161" s="1574"/>
      <c r="AD161" s="1574"/>
      <c r="AY161" s="1791">
        <v>185</v>
      </c>
    </row>
    <row r="162" spans="1:51" s="1515" customFormat="1" ht="16.05" customHeight="1">
      <c r="B162" s="1596" t="s">
        <v>1453</v>
      </c>
      <c r="E162" s="1596"/>
      <c r="F162" s="2574"/>
      <c r="G162" s="2574"/>
      <c r="H162" s="2574"/>
      <c r="I162" s="2574"/>
      <c r="J162" s="2574"/>
      <c r="K162" s="2574"/>
      <c r="L162" s="2574"/>
      <c r="M162" s="2574"/>
      <c r="N162" s="2574"/>
      <c r="O162" s="2574"/>
      <c r="P162" s="2574"/>
      <c r="Q162" s="2574"/>
      <c r="R162" s="2574"/>
      <c r="S162" s="2574"/>
      <c r="T162" s="2574"/>
      <c r="U162" s="2574"/>
      <c r="V162" s="2574"/>
      <c r="W162" s="2574"/>
      <c r="X162" s="2574"/>
      <c r="Y162" s="2574"/>
      <c r="Z162" s="2558"/>
      <c r="AA162" s="2575"/>
      <c r="AB162" s="1517"/>
      <c r="AC162" s="1514"/>
      <c r="AY162" s="1790">
        <v>186</v>
      </c>
    </row>
    <row r="163" spans="1:51" ht="30" customHeight="1">
      <c r="A163" s="3847"/>
      <c r="B163" s="3848"/>
      <c r="C163" s="3848"/>
      <c r="D163" s="3848"/>
      <c r="E163" s="3848"/>
      <c r="F163" s="3848"/>
      <c r="G163" s="3848"/>
      <c r="H163" s="3848"/>
      <c r="I163" s="3848"/>
      <c r="J163" s="3848"/>
      <c r="K163" s="3848"/>
      <c r="L163" s="3848"/>
      <c r="M163" s="3848"/>
      <c r="N163" s="3848"/>
      <c r="O163" s="3848"/>
      <c r="P163" s="3848"/>
      <c r="Q163" s="3848"/>
      <c r="R163" s="3848"/>
      <c r="S163" s="3848"/>
      <c r="T163" s="3848"/>
      <c r="U163" s="3848"/>
      <c r="V163" s="3848"/>
      <c r="W163" s="3848"/>
      <c r="X163" s="3848"/>
      <c r="Y163" s="3848"/>
      <c r="Z163" s="3848"/>
      <c r="AA163" s="3848"/>
      <c r="AB163" s="3849"/>
      <c r="AC163" s="1567"/>
      <c r="AY163" s="1790">
        <v>187</v>
      </c>
    </row>
    <row r="164" spans="1:51" ht="9.75" customHeight="1">
      <c r="AY164" s="1791">
        <v>188</v>
      </c>
    </row>
    <row r="165" spans="1:51" ht="9.75" customHeight="1">
      <c r="AY165" s="1791">
        <v>189</v>
      </c>
    </row>
    <row r="166" spans="1:51" ht="16.05" customHeight="1">
      <c r="A166" s="1534" t="s">
        <v>1496</v>
      </c>
      <c r="B166" s="1535" t="s">
        <v>1866</v>
      </c>
      <c r="C166" s="2559"/>
      <c r="D166" s="2559"/>
      <c r="E166" s="2559"/>
      <c r="F166" s="2559"/>
      <c r="H166" s="1517"/>
      <c r="I166" s="2554"/>
      <c r="X166" s="1542" t="s">
        <v>1743</v>
      </c>
      <c r="Y166" s="1517">
        <v>3</v>
      </c>
      <c r="Z166" s="1565"/>
      <c r="AA166" s="1478">
        <v>1</v>
      </c>
      <c r="AB166" s="1632"/>
      <c r="AC166" s="1544" t="s">
        <v>1744</v>
      </c>
      <c r="AD166" s="1517" t="str">
        <f>$C$16</f>
        <v>9%</v>
      </c>
      <c r="AY166" s="1791">
        <v>190</v>
      </c>
    </row>
    <row r="167" spans="1:51" ht="8.5500000000000007" customHeight="1">
      <c r="A167" s="1534"/>
      <c r="B167" s="1535"/>
      <c r="C167" s="2559"/>
      <c r="D167" s="2559"/>
      <c r="E167" s="2559"/>
      <c r="F167" s="2559"/>
      <c r="H167" s="1517"/>
      <c r="I167" s="2554"/>
      <c r="X167" s="1542"/>
      <c r="Y167" s="1517"/>
      <c r="Z167" s="1565"/>
      <c r="AA167" s="2318"/>
      <c r="AB167" s="1540"/>
      <c r="AC167" s="1607"/>
      <c r="AD167" s="1633"/>
      <c r="AE167" s="1517"/>
      <c r="AY167" s="1791"/>
    </row>
    <row r="168" spans="1:51" ht="51.75" customHeight="1">
      <c r="B168" s="1634"/>
      <c r="C168" s="1634"/>
      <c r="D168" s="1634"/>
      <c r="E168" s="1634"/>
      <c r="F168" s="1635"/>
      <c r="T168" s="3927" t="s">
        <v>1867</v>
      </c>
      <c r="U168" s="2560"/>
      <c r="V168" s="2560"/>
      <c r="W168" s="2560"/>
      <c r="X168" s="3918" t="s">
        <v>1868</v>
      </c>
      <c r="Y168" s="3918"/>
      <c r="Z168" s="3918" t="s">
        <v>1869</v>
      </c>
      <c r="AA168" s="3918"/>
      <c r="AB168" s="1514"/>
      <c r="AT168" s="1791">
        <v>191</v>
      </c>
      <c r="AY168" s="1514"/>
    </row>
    <row r="169" spans="1:51" ht="24.6" customHeight="1">
      <c r="B169" s="1634"/>
      <c r="C169" s="1634"/>
      <c r="D169" s="1634"/>
      <c r="E169" s="1634"/>
      <c r="F169" s="1635"/>
      <c r="G169" s="3917" t="s">
        <v>1870</v>
      </c>
      <c r="H169" s="3917"/>
      <c r="I169" s="3917"/>
      <c r="J169" s="3917"/>
      <c r="K169" s="3917"/>
      <c r="L169" s="3917"/>
      <c r="M169" s="3917"/>
      <c r="N169" s="3917"/>
      <c r="O169" s="3917"/>
      <c r="P169" s="3917"/>
      <c r="Q169" s="3917"/>
      <c r="R169" s="3917"/>
      <c r="S169" s="3917"/>
      <c r="T169" s="3917"/>
      <c r="U169" s="3917" t="s">
        <v>1871</v>
      </c>
      <c r="V169" s="3917"/>
      <c r="W169" s="3917"/>
      <c r="X169" s="3918"/>
      <c r="Y169" s="3918"/>
      <c r="Z169" s="3918"/>
      <c r="AA169" s="3918"/>
      <c r="AB169" s="1514"/>
      <c r="AT169" s="1790">
        <v>192</v>
      </c>
      <c r="AY169" s="1514"/>
    </row>
    <row r="170" spans="1:51" ht="15" customHeight="1">
      <c r="A170" s="1636" t="s">
        <v>1872</v>
      </c>
      <c r="C170" s="1637" t="s">
        <v>1873</v>
      </c>
      <c r="D170" s="1637" t="s">
        <v>1874</v>
      </c>
      <c r="E170" s="1636" t="s">
        <v>1875</v>
      </c>
      <c r="F170" s="1635"/>
      <c r="G170" s="2476" t="s">
        <v>1876</v>
      </c>
      <c r="H170" s="2476">
        <v>1</v>
      </c>
      <c r="I170" s="2476">
        <v>2</v>
      </c>
      <c r="J170" s="2476">
        <v>3</v>
      </c>
      <c r="K170" s="2476">
        <v>4</v>
      </c>
      <c r="L170" s="2476">
        <v>5</v>
      </c>
      <c r="M170" s="2476">
        <v>6</v>
      </c>
      <c r="N170" s="2476">
        <v>7</v>
      </c>
      <c r="O170" s="2476">
        <v>8</v>
      </c>
      <c r="P170" s="2476">
        <v>9</v>
      </c>
      <c r="Q170" s="2476">
        <v>10</v>
      </c>
      <c r="R170" s="2476">
        <v>11</v>
      </c>
      <c r="S170" s="2476">
        <v>12</v>
      </c>
      <c r="T170" s="3928"/>
      <c r="U170" s="2561" t="s">
        <v>1877</v>
      </c>
      <c r="V170" s="2561" t="s">
        <v>1878</v>
      </c>
      <c r="W170" s="2561" t="s">
        <v>1879</v>
      </c>
      <c r="X170" s="3919"/>
      <c r="Y170" s="3919"/>
      <c r="Z170" s="3919"/>
      <c r="AA170" s="3919"/>
      <c r="AB170" s="1514"/>
      <c r="AT170" s="1791">
        <v>193</v>
      </c>
      <c r="AY170" s="1514"/>
    </row>
    <row r="171" spans="1:51" ht="30" customHeight="1">
      <c r="A171" s="3920">
        <f>_xlfn.XLOOKUP(D171,'Quality Edu School List'!B$2:B$2254,'Quality Edu School List'!A$2:A$2254,"")</f>
        <v>737</v>
      </c>
      <c r="B171" s="3921"/>
      <c r="C171" s="2809">
        <f>_xlfn.XLOOKUP(E171,'Quality Edu School List'!D$2:D$2254,'Quality Edu School List'!C$2:C$2254,"")</f>
        <v>299</v>
      </c>
      <c r="D171" s="2810" t="s">
        <v>4370</v>
      </c>
      <c r="E171" s="3924" t="s">
        <v>4373</v>
      </c>
      <c r="F171" s="3925"/>
      <c r="G171" s="2811" t="b">
        <v>0</v>
      </c>
      <c r="H171" s="2469" t="b">
        <v>0</v>
      </c>
      <c r="I171" s="2469" t="b">
        <v>0</v>
      </c>
      <c r="J171" s="2469" t="b">
        <v>0</v>
      </c>
      <c r="K171" s="2469" t="b">
        <v>0</v>
      </c>
      <c r="L171" s="2469" t="b">
        <v>0</v>
      </c>
      <c r="M171" s="2469" t="b">
        <v>1</v>
      </c>
      <c r="N171" s="2469" t="b">
        <v>1</v>
      </c>
      <c r="O171" s="2469" t="b">
        <v>1</v>
      </c>
      <c r="P171" s="2469" t="b">
        <v>0</v>
      </c>
      <c r="Q171" s="2469" t="b">
        <v>0</v>
      </c>
      <c r="R171" s="2469" t="b">
        <v>0</v>
      </c>
      <c r="S171" s="2812" t="b">
        <v>0</v>
      </c>
      <c r="T171" s="2809">
        <f t="shared" ref="T171:T176" si="4">COUNTIF(G171:S171,TRUE)</f>
        <v>3</v>
      </c>
      <c r="U171" s="2813" t="str">
        <f>IF(OR(G171=TRUE,H171=TRUE,I171=TRUE,J171=TRUE,K171=TRUE,L171=TRUE),"E","")</f>
        <v/>
      </c>
      <c r="V171" s="2322" t="str">
        <f t="shared" ref="V171:V176" si="5">IF(OR(M171=TRUE,N171=TRUE,O171=TRUE),"M","")</f>
        <v>M</v>
      </c>
      <c r="W171" s="2814" t="str">
        <f t="shared" ref="W171:W176" si="6">IF(OR(P171=TRUE,Q171=TRUE,R171=TRUE,S171=TRUE),"H","")</f>
        <v/>
      </c>
      <c r="X171" s="3850" t="s">
        <v>7474</v>
      </c>
      <c r="Y171" s="3851"/>
      <c r="Z171" s="3850" t="s">
        <v>7444</v>
      </c>
      <c r="AA171" s="3851"/>
      <c r="AB171" s="2815"/>
      <c r="AT171" s="1790">
        <v>194</v>
      </c>
      <c r="AY171" s="1514"/>
    </row>
    <row r="172" spans="1:51" ht="30" customHeight="1">
      <c r="A172" s="3922" t="str">
        <f>_xlfn.XLOOKUP(D172,'Quality Edu School List'!B$2:B$2254,'Quality Edu School List'!A$2:A$2254,"")</f>
        <v/>
      </c>
      <c r="B172" s="3923"/>
      <c r="C172" s="2320" t="str">
        <f>_xlfn.XLOOKUP(E172,'Quality Edu School List'!D$2:D$2254,'Quality Edu School List'!C$2:C$2254,"")</f>
        <v/>
      </c>
      <c r="D172" s="2314"/>
      <c r="E172" s="4064"/>
      <c r="F172" s="4065"/>
      <c r="G172" s="2470" t="b">
        <v>0</v>
      </c>
      <c r="H172" s="2471" t="b">
        <v>0</v>
      </c>
      <c r="I172" s="2471" t="b">
        <v>0</v>
      </c>
      <c r="J172" s="2471" t="b">
        <v>0</v>
      </c>
      <c r="K172" s="2471" t="b">
        <v>0</v>
      </c>
      <c r="L172" s="2471" t="b">
        <v>0</v>
      </c>
      <c r="M172" s="2471" t="b">
        <v>0</v>
      </c>
      <c r="N172" s="2471" t="b">
        <v>0</v>
      </c>
      <c r="O172" s="2471" t="b">
        <v>0</v>
      </c>
      <c r="P172" s="2471" t="b">
        <v>0</v>
      </c>
      <c r="Q172" s="2471" t="b">
        <v>0</v>
      </c>
      <c r="R172" s="2471" t="b">
        <v>0</v>
      </c>
      <c r="S172" s="2472" t="b">
        <v>0</v>
      </c>
      <c r="T172" s="2320">
        <f t="shared" si="4"/>
        <v>0</v>
      </c>
      <c r="U172" s="2323" t="str">
        <f t="shared" ref="U172:U176" si="7">IF(OR(G172=TRUE,H172=TRUE,I172=TRUE,J172=TRUE,K172=TRUE,L172=TRUE),"E","")</f>
        <v/>
      </c>
      <c r="V172" s="1751" t="str">
        <f t="shared" si="5"/>
        <v/>
      </c>
      <c r="W172" s="2324" t="str">
        <f t="shared" si="6"/>
        <v/>
      </c>
      <c r="X172" s="3852"/>
      <c r="Y172" s="3853"/>
      <c r="Z172" s="3852"/>
      <c r="AA172" s="3853"/>
      <c r="AB172" s="2312"/>
      <c r="AT172" s="1790">
        <v>195</v>
      </c>
      <c r="AY172" s="1514"/>
    </row>
    <row r="173" spans="1:51" ht="30" customHeight="1">
      <c r="A173" s="3922" t="str">
        <f>_xlfn.XLOOKUP(D173,'Quality Edu School List'!B$2:B$2254,'Quality Edu School List'!A$2:A$2254,"")</f>
        <v/>
      </c>
      <c r="B173" s="3923"/>
      <c r="C173" s="2320" t="str">
        <f>_xlfn.XLOOKUP(E173,'Quality Edu School List'!D$2:D$2254,'Quality Edu School List'!C$2:C$2254,"")</f>
        <v/>
      </c>
      <c r="D173" s="2314"/>
      <c r="E173" s="4064"/>
      <c r="F173" s="4065"/>
      <c r="G173" s="2470" t="b">
        <v>0</v>
      </c>
      <c r="H173" s="2471" t="b">
        <v>0</v>
      </c>
      <c r="I173" s="2471" t="b">
        <v>0</v>
      </c>
      <c r="J173" s="2471" t="b">
        <v>0</v>
      </c>
      <c r="K173" s="2471" t="b">
        <v>0</v>
      </c>
      <c r="L173" s="2471" t="b">
        <v>0</v>
      </c>
      <c r="M173" s="2471" t="b">
        <v>0</v>
      </c>
      <c r="N173" s="2471" t="b">
        <v>0</v>
      </c>
      <c r="O173" s="2471" t="b">
        <v>0</v>
      </c>
      <c r="P173" s="2471" t="b">
        <v>0</v>
      </c>
      <c r="Q173" s="2471" t="b">
        <v>0</v>
      </c>
      <c r="R173" s="2471" t="b">
        <v>0</v>
      </c>
      <c r="S173" s="2472" t="b">
        <v>0</v>
      </c>
      <c r="T173" s="2320">
        <f t="shared" si="4"/>
        <v>0</v>
      </c>
      <c r="U173" s="2323" t="str">
        <f t="shared" si="7"/>
        <v/>
      </c>
      <c r="V173" s="1751" t="str">
        <f t="shared" si="5"/>
        <v/>
      </c>
      <c r="W173" s="2324" t="str">
        <f t="shared" si="6"/>
        <v/>
      </c>
      <c r="X173" s="3852"/>
      <c r="Y173" s="3853"/>
      <c r="Z173" s="3852"/>
      <c r="AA173" s="3853"/>
      <c r="AB173" s="2312"/>
      <c r="AT173" s="1790">
        <v>196</v>
      </c>
      <c r="AY173" s="1514"/>
    </row>
    <row r="174" spans="1:51" ht="30" customHeight="1">
      <c r="A174" s="3922" t="str">
        <f>_xlfn.XLOOKUP(D174,'Quality Edu School List'!B$2:B$2254,'Quality Edu School List'!A$2:A$2254,"")</f>
        <v/>
      </c>
      <c r="B174" s="3923"/>
      <c r="C174" s="2320" t="str">
        <f>_xlfn.XLOOKUP(E174,'Quality Edu School List'!D$2:D$2254,'Quality Edu School List'!C$2:C$2254,"")</f>
        <v/>
      </c>
      <c r="D174" s="2314"/>
      <c r="E174" s="4064"/>
      <c r="F174" s="4065"/>
      <c r="G174" s="2470" t="b">
        <v>0</v>
      </c>
      <c r="H174" s="2471" t="b">
        <v>0</v>
      </c>
      <c r="I174" s="2471" t="b">
        <v>0</v>
      </c>
      <c r="J174" s="2471" t="b">
        <v>0</v>
      </c>
      <c r="K174" s="2471" t="b">
        <v>0</v>
      </c>
      <c r="L174" s="2471" t="b">
        <v>0</v>
      </c>
      <c r="M174" s="2471" t="b">
        <v>0</v>
      </c>
      <c r="N174" s="2471" t="b">
        <v>0</v>
      </c>
      <c r="O174" s="2471" t="b">
        <v>0</v>
      </c>
      <c r="P174" s="2471" t="b">
        <v>0</v>
      </c>
      <c r="Q174" s="2471" t="b">
        <v>0</v>
      </c>
      <c r="R174" s="2471" t="b">
        <v>0</v>
      </c>
      <c r="S174" s="2472" t="b">
        <v>0</v>
      </c>
      <c r="T174" s="2320">
        <f t="shared" si="4"/>
        <v>0</v>
      </c>
      <c r="U174" s="2323" t="str">
        <f t="shared" si="7"/>
        <v/>
      </c>
      <c r="V174" s="1751" t="str">
        <f t="shared" si="5"/>
        <v/>
      </c>
      <c r="W174" s="2324" t="str">
        <f t="shared" si="6"/>
        <v/>
      </c>
      <c r="X174" s="3852"/>
      <c r="Y174" s="3853"/>
      <c r="Z174" s="3852"/>
      <c r="AA174" s="3853"/>
      <c r="AB174" s="2312"/>
      <c r="AT174" s="1790">
        <v>197</v>
      </c>
      <c r="AY174" s="1514"/>
    </row>
    <row r="175" spans="1:51" ht="30" customHeight="1">
      <c r="A175" s="3922" t="str">
        <f>_xlfn.XLOOKUP(D175,'Quality Edu School List'!B$2:B$2254,'Quality Edu School List'!A$2:A$2254,"")</f>
        <v/>
      </c>
      <c r="B175" s="3923"/>
      <c r="C175" s="2320" t="str">
        <f>_xlfn.XLOOKUP(E175,'Quality Edu School List'!D$2:D$2254,'Quality Edu School List'!C$2:C$2254,"")</f>
        <v/>
      </c>
      <c r="D175" s="2314"/>
      <c r="E175" s="4064"/>
      <c r="F175" s="4065"/>
      <c r="G175" s="2470" t="b">
        <v>0</v>
      </c>
      <c r="H175" s="2471" t="b">
        <v>0</v>
      </c>
      <c r="I175" s="2471" t="b">
        <v>0</v>
      </c>
      <c r="J175" s="2471" t="b">
        <v>0</v>
      </c>
      <c r="K175" s="2471" t="b">
        <v>0</v>
      </c>
      <c r="L175" s="2471" t="b">
        <v>0</v>
      </c>
      <c r="M175" s="2471" t="b">
        <v>0</v>
      </c>
      <c r="N175" s="2471" t="b">
        <v>0</v>
      </c>
      <c r="O175" s="2471" t="b">
        <v>0</v>
      </c>
      <c r="P175" s="2471" t="b">
        <v>0</v>
      </c>
      <c r="Q175" s="2471" t="b">
        <v>0</v>
      </c>
      <c r="R175" s="2471" t="b">
        <v>0</v>
      </c>
      <c r="S175" s="2472" t="b">
        <v>0</v>
      </c>
      <c r="T175" s="2320">
        <f t="shared" si="4"/>
        <v>0</v>
      </c>
      <c r="U175" s="2323" t="str">
        <f t="shared" si="7"/>
        <v/>
      </c>
      <c r="V175" s="1751" t="str">
        <f t="shared" si="5"/>
        <v/>
      </c>
      <c r="W175" s="2324" t="str">
        <f t="shared" si="6"/>
        <v/>
      </c>
      <c r="X175" s="3852"/>
      <c r="Y175" s="3853"/>
      <c r="Z175" s="3852"/>
      <c r="AA175" s="3853"/>
      <c r="AB175" s="2312"/>
      <c r="AT175" s="1791">
        <v>198</v>
      </c>
      <c r="AY175" s="1514"/>
    </row>
    <row r="176" spans="1:51" ht="30" customHeight="1">
      <c r="A176" s="4068" t="str">
        <f>_xlfn.XLOOKUP(D176,'Quality Edu School List'!B$2:B$2254,'Quality Edu School List'!A$2:A$2254,"")</f>
        <v/>
      </c>
      <c r="B176" s="4069"/>
      <c r="C176" s="2321" t="str">
        <f>_xlfn.XLOOKUP(E176,'Quality Edu School List'!D$2:D$2254,'Quality Edu School List'!C$2:C$2254,"")</f>
        <v/>
      </c>
      <c r="D176" s="2315"/>
      <c r="E176" s="4066"/>
      <c r="F176" s="4067"/>
      <c r="G176" s="2473" t="b">
        <v>0</v>
      </c>
      <c r="H176" s="2474" t="b">
        <v>0</v>
      </c>
      <c r="I176" s="2474" t="b">
        <v>0</v>
      </c>
      <c r="J176" s="2474" t="b">
        <v>0</v>
      </c>
      <c r="K176" s="2474" t="b">
        <v>0</v>
      </c>
      <c r="L176" s="2474" t="b">
        <v>0</v>
      </c>
      <c r="M176" s="2474" t="b">
        <v>0</v>
      </c>
      <c r="N176" s="2474" t="b">
        <v>0</v>
      </c>
      <c r="O176" s="2474" t="b">
        <v>0</v>
      </c>
      <c r="P176" s="2474" t="b">
        <v>0</v>
      </c>
      <c r="Q176" s="2474" t="b">
        <v>0</v>
      </c>
      <c r="R176" s="2474" t="b">
        <v>0</v>
      </c>
      <c r="S176" s="2475" t="b">
        <v>0</v>
      </c>
      <c r="T176" s="2321">
        <f t="shared" si="4"/>
        <v>0</v>
      </c>
      <c r="U176" s="2325" t="str">
        <f t="shared" si="7"/>
        <v/>
      </c>
      <c r="V176" s="2326" t="str">
        <f t="shared" si="5"/>
        <v/>
      </c>
      <c r="W176" s="2327" t="str">
        <f t="shared" si="6"/>
        <v/>
      </c>
      <c r="X176" s="3854"/>
      <c r="Y176" s="3855"/>
      <c r="Z176" s="3854"/>
      <c r="AA176" s="3855"/>
      <c r="AB176" s="2313"/>
      <c r="AT176" s="1791">
        <v>199</v>
      </c>
      <c r="AY176" s="1514"/>
    </row>
    <row r="177" spans="1:51" ht="16.05" customHeight="1">
      <c r="A177" s="1515"/>
      <c r="B177" s="1533" t="s">
        <v>1792</v>
      </c>
      <c r="C177" s="1515"/>
      <c r="D177" s="1515"/>
      <c r="E177" s="1515"/>
      <c r="F177" s="1515"/>
      <c r="G177" s="1515"/>
      <c r="H177" s="1515"/>
      <c r="I177" s="1515"/>
      <c r="J177" s="1515"/>
      <c r="K177" s="1515"/>
      <c r="L177" s="1515"/>
      <c r="M177" s="1515"/>
      <c r="N177" s="1515"/>
      <c r="O177" s="1515"/>
      <c r="P177" s="1515"/>
      <c r="Q177" s="1515"/>
      <c r="R177" s="1515"/>
      <c r="S177" s="1515"/>
      <c r="T177" s="1515"/>
      <c r="U177" s="1515"/>
      <c r="V177" s="1515"/>
      <c r="W177" s="1515"/>
      <c r="Y177" s="2557"/>
      <c r="AA177" s="1525"/>
      <c r="AY177" s="1791">
        <v>200</v>
      </c>
    </row>
    <row r="178" spans="1:51" ht="31.8" customHeight="1">
      <c r="A178" s="3844" t="s">
        <v>7721</v>
      </c>
      <c r="B178" s="3845"/>
      <c r="C178" s="3845"/>
      <c r="D178" s="3845"/>
      <c r="E178" s="3845"/>
      <c r="F178" s="3845"/>
      <c r="G178" s="3845"/>
      <c r="H178" s="3845"/>
      <c r="I178" s="3845"/>
      <c r="J178" s="3845"/>
      <c r="K178" s="3845"/>
      <c r="L178" s="3845"/>
      <c r="M178" s="3845"/>
      <c r="N178" s="3845"/>
      <c r="O178" s="3845"/>
      <c r="P178" s="3845"/>
      <c r="Q178" s="3845"/>
      <c r="R178" s="3845"/>
      <c r="S178" s="3845"/>
      <c r="T178" s="3845"/>
      <c r="U178" s="3845"/>
      <c r="V178" s="3845"/>
      <c r="W178" s="3845"/>
      <c r="X178" s="3845"/>
      <c r="Y178" s="3845"/>
      <c r="Z178" s="3845"/>
      <c r="AA178" s="3845"/>
      <c r="AB178" s="3846"/>
      <c r="AC178" s="1574"/>
      <c r="AY178" s="1791">
        <v>201</v>
      </c>
    </row>
    <row r="179" spans="1:51" ht="16.05" customHeight="1">
      <c r="A179" s="1515"/>
      <c r="B179" s="1562" t="s">
        <v>1453</v>
      </c>
      <c r="C179" s="1563"/>
      <c r="D179" s="1563"/>
      <c r="E179" s="1562"/>
      <c r="F179" s="1564"/>
      <c r="G179" s="2559"/>
      <c r="H179" s="2559"/>
      <c r="I179" s="2559"/>
      <c r="J179" s="2559"/>
      <c r="K179" s="2559"/>
      <c r="L179" s="2559"/>
      <c r="M179" s="2559"/>
      <c r="N179" s="2559"/>
      <c r="O179" s="2559"/>
      <c r="P179" s="2559"/>
      <c r="Q179" s="2559"/>
      <c r="R179" s="2559"/>
      <c r="S179" s="2559"/>
      <c r="T179" s="2559"/>
      <c r="U179" s="2559"/>
      <c r="V179" s="2559"/>
      <c r="W179" s="2559"/>
      <c r="X179" s="2559"/>
      <c r="Y179" s="2559"/>
      <c r="Z179" s="1565"/>
      <c r="AA179" s="1566"/>
      <c r="AB179" s="1517"/>
      <c r="AY179" s="1790">
        <v>202</v>
      </c>
    </row>
    <row r="180" spans="1:51" ht="15" customHeight="1">
      <c r="A180" s="3847"/>
      <c r="B180" s="3848"/>
      <c r="C180" s="3848"/>
      <c r="D180" s="3848"/>
      <c r="E180" s="3848"/>
      <c r="F180" s="3848"/>
      <c r="G180" s="3848"/>
      <c r="H180" s="3848"/>
      <c r="I180" s="3848"/>
      <c r="J180" s="3848"/>
      <c r="K180" s="3848"/>
      <c r="L180" s="3848"/>
      <c r="M180" s="3848"/>
      <c r="N180" s="3848"/>
      <c r="O180" s="3848"/>
      <c r="P180" s="3848"/>
      <c r="Q180" s="3848"/>
      <c r="R180" s="3848"/>
      <c r="S180" s="3848"/>
      <c r="T180" s="3848"/>
      <c r="U180" s="3848"/>
      <c r="V180" s="3848"/>
      <c r="W180" s="3848"/>
      <c r="X180" s="3848"/>
      <c r="Y180" s="3848"/>
      <c r="Z180" s="3848"/>
      <c r="AA180" s="3848"/>
      <c r="AB180" s="3849"/>
      <c r="AC180" s="1567"/>
      <c r="AG180" s="2405"/>
      <c r="AY180" s="1791">
        <v>203</v>
      </c>
    </row>
    <row r="181" spans="1:51" ht="9.75" customHeight="1">
      <c r="AY181" s="1790">
        <v>204</v>
      </c>
    </row>
    <row r="182" spans="1:51" ht="9.75" customHeight="1">
      <c r="AY182" s="1790">
        <v>205</v>
      </c>
    </row>
    <row r="183" spans="1:51" s="1515" customFormat="1" ht="16.05" customHeight="1">
      <c r="A183" s="1534" t="s">
        <v>1501</v>
      </c>
      <c r="B183" s="1535" t="s">
        <v>1880</v>
      </c>
      <c r="E183" s="1535"/>
      <c r="F183" s="1535"/>
      <c r="G183" s="1528" t="str">
        <f>IF(OR($AA$215&gt;0,$AA$233&gt;0,$AA$247&gt;0),"Points already claimed in another restricted section!","")</f>
        <v/>
      </c>
      <c r="T183" s="1726"/>
      <c r="U183" s="1726"/>
      <c r="V183" s="1726"/>
      <c r="W183" s="1726"/>
      <c r="X183" s="1542" t="s">
        <v>1743</v>
      </c>
      <c r="Y183" s="1517">
        <v>10</v>
      </c>
      <c r="Z183" s="2557"/>
      <c r="AA183" s="1589">
        <f>IF(AND(M11 = "New Affordability", M15 = "Revitalization/Redevelopment Plans"),MIN($Y183,SUM(AA190,AA199,AA206)),0)</f>
        <v>0</v>
      </c>
      <c r="AB183" s="1589">
        <f>MIN($Y183,SUM(AB190,AB199,AB206))</f>
        <v>0</v>
      </c>
      <c r="AC183" s="1544" t="s">
        <v>1744</v>
      </c>
      <c r="AD183" s="4063" t="s">
        <v>1881</v>
      </c>
      <c r="AE183" s="4063"/>
      <c r="AF183" s="4063"/>
      <c r="AG183" s="4063"/>
      <c r="AH183" s="1725" t="str">
        <f>$M$15</f>
        <v>&lt;&lt; Select Scoring Track &gt;&gt;</v>
      </c>
      <c r="AY183" s="1790">
        <v>206</v>
      </c>
    </row>
    <row r="184" spans="1:51" ht="16.05" customHeight="1">
      <c r="A184" s="1544"/>
      <c r="B184" s="1515" t="s">
        <v>1882</v>
      </c>
      <c r="E184" s="1523"/>
      <c r="F184" s="1523"/>
      <c r="G184" s="1523"/>
      <c r="H184" s="1523"/>
      <c r="I184" s="1523"/>
      <c r="J184" s="1523"/>
      <c r="K184" s="1523"/>
      <c r="L184" s="1523"/>
      <c r="M184" s="1523"/>
      <c r="N184" s="1523"/>
      <c r="O184" s="1523"/>
      <c r="P184" s="1523"/>
      <c r="Q184" s="1523"/>
      <c r="R184" s="1523"/>
      <c r="S184" s="1523"/>
      <c r="T184" s="1523"/>
      <c r="U184" s="1523"/>
      <c r="V184" s="1523"/>
      <c r="W184" s="1523"/>
      <c r="X184" s="1523"/>
      <c r="AC184" s="1607" t="str">
        <f>IF(OR($AA191=$Y191,$AA191=0,$AA191=""),"","*CHECK!*")</f>
        <v/>
      </c>
      <c r="AD184" s="2554"/>
      <c r="AE184" s="1512"/>
      <c r="AF184" s="1512"/>
      <c r="AG184" s="1512"/>
      <c r="AY184" s="1791">
        <v>208</v>
      </c>
    </row>
    <row r="185" spans="1:51" ht="16.05" customHeight="1">
      <c r="A185" s="1638"/>
      <c r="B185" s="1639" t="s">
        <v>201</v>
      </c>
      <c r="C185" s="1557" t="s">
        <v>1883</v>
      </c>
      <c r="D185" s="1557"/>
      <c r="E185" s="1557"/>
      <c r="F185" s="1557"/>
      <c r="G185" s="1557"/>
      <c r="H185" s="1557"/>
      <c r="I185" s="1557"/>
      <c r="J185" s="1557"/>
      <c r="K185" s="1557"/>
      <c r="L185" s="1557"/>
      <c r="M185" s="1557"/>
      <c r="N185" s="1557"/>
      <c r="O185" s="1557"/>
      <c r="P185" s="1557"/>
      <c r="Q185" s="1557"/>
      <c r="R185" s="1557"/>
      <c r="S185" s="1557"/>
      <c r="T185" s="1557"/>
      <c r="U185" s="1557"/>
      <c r="V185" s="1557"/>
      <c r="W185" s="1557"/>
      <c r="X185" s="1559"/>
      <c r="Z185" s="3983" t="s">
        <v>1884</v>
      </c>
      <c r="AA185" s="3984"/>
      <c r="AB185" s="3985"/>
      <c r="AE185" s="1512"/>
      <c r="AF185" s="1512"/>
      <c r="AG185" s="1512"/>
      <c r="AY185" s="1791">
        <v>209</v>
      </c>
    </row>
    <row r="186" spans="1:51" s="1515" customFormat="1" ht="16.05" customHeight="1">
      <c r="A186" s="2557"/>
      <c r="B186" s="1550" t="s">
        <v>209</v>
      </c>
      <c r="C186" s="1515" t="s">
        <v>1885</v>
      </c>
      <c r="X186" s="1547"/>
      <c r="Z186" s="3986" t="s">
        <v>1884</v>
      </c>
      <c r="AA186" s="3987"/>
      <c r="AB186" s="3988"/>
      <c r="AE186" s="1512"/>
      <c r="AF186" s="1512"/>
      <c r="AG186" s="1512"/>
      <c r="AY186" s="1791">
        <v>210</v>
      </c>
    </row>
    <row r="187" spans="1:51" s="1515" customFormat="1" ht="16.05" customHeight="1">
      <c r="A187" s="2557"/>
      <c r="B187" s="1639" t="s">
        <v>213</v>
      </c>
      <c r="C187" s="1515" t="s">
        <v>1886</v>
      </c>
      <c r="X187" s="1547"/>
      <c r="Z187" s="3986" t="s">
        <v>1884</v>
      </c>
      <c r="AA187" s="3987"/>
      <c r="AB187" s="3988"/>
      <c r="AE187" s="1512"/>
      <c r="AF187" s="1512"/>
      <c r="AG187" s="1512"/>
      <c r="AY187" s="1791"/>
    </row>
    <row r="188" spans="1:51" s="1515" customFormat="1" ht="16.05" customHeight="1">
      <c r="A188" s="2557"/>
      <c r="B188" s="1550" t="s">
        <v>253</v>
      </c>
      <c r="C188" s="1515" t="s">
        <v>1887</v>
      </c>
      <c r="X188" s="1547"/>
      <c r="Z188" s="3986" t="s">
        <v>1884</v>
      </c>
      <c r="AA188" s="3987"/>
      <c r="AB188" s="3988"/>
      <c r="AE188" s="1512"/>
      <c r="AF188" s="1512"/>
      <c r="AG188" s="1512"/>
      <c r="AY188" s="1791"/>
    </row>
    <row r="189" spans="1:51" s="1515" customFormat="1" ht="16.05" customHeight="1">
      <c r="A189" s="2557"/>
      <c r="B189" s="1550" t="s">
        <v>255</v>
      </c>
      <c r="C189" s="1515" t="s">
        <v>1888</v>
      </c>
      <c r="X189" s="1547"/>
      <c r="Z189" s="3989" t="s">
        <v>1884</v>
      </c>
      <c r="AA189" s="3990"/>
      <c r="AB189" s="3991"/>
      <c r="AC189" s="1454"/>
      <c r="AE189" s="1512"/>
      <c r="AF189" s="1512"/>
      <c r="AG189" s="1512"/>
      <c r="AH189" s="1454"/>
      <c r="AY189" s="1791">
        <v>211</v>
      </c>
    </row>
    <row r="190" spans="1:51" s="1515" customFormat="1" ht="16.05" customHeight="1">
      <c r="A190" s="1517" t="s">
        <v>186</v>
      </c>
      <c r="B190" s="2571" t="s">
        <v>1889</v>
      </c>
      <c r="X190" s="1588" t="s">
        <v>1743</v>
      </c>
      <c r="Y190" s="1517">
        <v>7</v>
      </c>
      <c r="Z190" s="1547"/>
      <c r="AA190" s="2816">
        <f>MIN($Y190,SUM(AA191:AA193))</f>
        <v>0</v>
      </c>
      <c r="AB190" s="2816">
        <f>MIN($Y190,SUM(AB191:AB193))</f>
        <v>0</v>
      </c>
      <c r="AC190" s="1454"/>
      <c r="AE190" s="1512"/>
      <c r="AF190" s="1512"/>
      <c r="AG190" s="1512"/>
      <c r="AH190" s="1454"/>
      <c r="AY190" s="1790">
        <v>212</v>
      </c>
    </row>
    <row r="191" spans="1:51" ht="16.05" customHeight="1">
      <c r="A191" s="1638"/>
      <c r="B191" s="1514" t="s">
        <v>201</v>
      </c>
      <c r="C191" s="2571" t="s">
        <v>1890</v>
      </c>
      <c r="D191" s="2571"/>
      <c r="F191" s="1557"/>
      <c r="G191" s="1557"/>
      <c r="H191" s="1557"/>
      <c r="I191" s="1557"/>
      <c r="J191" s="1557"/>
      <c r="T191" s="2557"/>
      <c r="U191" s="2557"/>
      <c r="V191" s="2557"/>
      <c r="W191" s="2557"/>
      <c r="X191" s="1546" t="str">
        <f>IF(OR($AA191=$Y191,$AA191=0,$AA191=""),"","* * Check Score! * *")</f>
        <v/>
      </c>
      <c r="Y191" s="2557">
        <v>4</v>
      </c>
      <c r="Z191" s="1559"/>
      <c r="AA191" s="2793"/>
      <c r="AB191" s="2794"/>
      <c r="AD191" s="1512"/>
      <c r="AE191" s="1512"/>
      <c r="AF191" s="1512"/>
      <c r="AG191" s="1512"/>
      <c r="AY191" s="1791">
        <v>213</v>
      </c>
    </row>
    <row r="192" spans="1:51" ht="16.05" customHeight="1">
      <c r="A192" s="2553"/>
      <c r="B192" s="1514" t="s">
        <v>209</v>
      </c>
      <c r="C192" s="1514" t="s">
        <v>1891</v>
      </c>
      <c r="F192" s="1624"/>
      <c r="G192" s="1624"/>
      <c r="H192" s="1624"/>
      <c r="I192" s="1624"/>
      <c r="J192" s="1624"/>
      <c r="K192" s="1624"/>
      <c r="L192" s="1624"/>
      <c r="M192" s="1624"/>
      <c r="N192" s="1624"/>
      <c r="O192" s="1624"/>
      <c r="P192" s="1624"/>
      <c r="Q192" s="1624"/>
      <c r="R192" s="1624"/>
      <c r="S192" s="1624"/>
      <c r="T192" s="1624"/>
      <c r="U192" s="1624"/>
      <c r="V192" s="1624"/>
      <c r="W192" s="1624"/>
      <c r="X192" s="1546" t="str">
        <f t="shared" ref="X192" si="8">IF(OR($AA192=$Y192,$AA192=0,$AA192=""),"","* * Check Score! * *")</f>
        <v/>
      </c>
      <c r="Y192" s="2557">
        <v>1</v>
      </c>
      <c r="Z192" s="1547"/>
      <c r="AA192" s="1453"/>
      <c r="AB192" s="1629"/>
      <c r="AC192" s="1607" t="str">
        <f>IF(OR($AA192=$Y192,$AA192=0,$AA192=""),"","*CHECK!*")</f>
        <v/>
      </c>
      <c r="AD192" s="2554"/>
      <c r="AY192" s="1790">
        <v>214</v>
      </c>
    </row>
    <row r="193" spans="1:51" ht="16.05" customHeight="1">
      <c r="A193" s="1638"/>
      <c r="B193" s="1514" t="s">
        <v>213</v>
      </c>
      <c r="C193" s="2571" t="s">
        <v>1892</v>
      </c>
      <c r="D193" s="2571"/>
      <c r="F193" s="1557"/>
      <c r="G193" s="1557"/>
      <c r="H193" s="1557"/>
      <c r="I193" s="1557"/>
      <c r="J193" s="1557"/>
      <c r="T193" s="2557"/>
      <c r="U193" s="2557"/>
      <c r="V193" s="2557"/>
      <c r="W193" s="2557"/>
      <c r="X193" s="1588" t="s">
        <v>1743</v>
      </c>
      <c r="Y193" s="2557">
        <v>2</v>
      </c>
      <c r="Z193" s="1514"/>
      <c r="AA193" s="2787">
        <f>MAX(AA194,AA198)</f>
        <v>0</v>
      </c>
      <c r="AB193" s="2787">
        <f>MAX(AB194,AB198)</f>
        <v>0</v>
      </c>
      <c r="AD193" s="1512"/>
      <c r="AE193" s="1512"/>
      <c r="AF193" s="1512"/>
      <c r="AG193" s="1512"/>
      <c r="AY193" s="1790">
        <v>215</v>
      </c>
    </row>
    <row r="194" spans="1:51" ht="16.05" customHeight="1">
      <c r="A194" s="2557"/>
      <c r="C194" s="2576" t="s">
        <v>1893</v>
      </c>
      <c r="D194" s="2559"/>
      <c r="G194" s="2559"/>
      <c r="H194" s="2559"/>
      <c r="I194" s="2559"/>
      <c r="J194" s="2559"/>
      <c r="K194" s="2559"/>
      <c r="L194" s="2559"/>
      <c r="M194" s="2559"/>
      <c r="N194" s="2559"/>
      <c r="O194" s="2559"/>
      <c r="P194" s="2559"/>
      <c r="Q194" s="2559"/>
      <c r="R194" s="2559"/>
      <c r="S194" s="2559"/>
      <c r="T194" s="2559"/>
      <c r="U194" s="2559"/>
      <c r="V194" s="2559"/>
      <c r="W194" s="2559"/>
      <c r="X194" s="2559"/>
      <c r="Y194" s="2557">
        <v>2</v>
      </c>
      <c r="Z194" s="1565"/>
      <c r="AA194" s="1724">
        <f>IF(OR(AA195="Yes", AA196="Yes", AA197="Yes"),$Y194,0)</f>
        <v>0</v>
      </c>
      <c r="AB194" s="1724">
        <f>IF(OR(AB195="Yes", AB196="Yes", AB197="Yes"),$Y194,0)</f>
        <v>0</v>
      </c>
      <c r="AY194" s="1790">
        <v>216</v>
      </c>
    </row>
    <row r="195" spans="1:51" ht="16.05" customHeight="1">
      <c r="A195" s="2553"/>
      <c r="C195" s="1542"/>
      <c r="D195" s="1557" t="s">
        <v>1894</v>
      </c>
      <c r="G195" s="1557"/>
      <c r="H195" s="1557"/>
      <c r="I195" s="1557"/>
      <c r="J195" s="1557"/>
      <c r="K195" s="1557"/>
      <c r="L195" s="1557"/>
      <c r="M195" s="1557"/>
      <c r="N195" s="1557"/>
      <c r="O195" s="1557"/>
      <c r="P195" s="1557"/>
      <c r="Q195" s="1557"/>
      <c r="R195" s="1557"/>
      <c r="S195" s="1557"/>
      <c r="T195" s="1557"/>
      <c r="U195" s="1557"/>
      <c r="V195" s="1557"/>
      <c r="W195" s="1557"/>
      <c r="X195" s="1557"/>
      <c r="Y195" s="1558"/>
      <c r="Z195" s="1559"/>
      <c r="AA195" s="1448"/>
      <c r="AB195" s="1609"/>
      <c r="AC195" s="1607"/>
      <c r="AD195" s="2554"/>
      <c r="AY195" s="1790">
        <v>217</v>
      </c>
    </row>
    <row r="196" spans="1:51" ht="15" customHeight="1">
      <c r="A196" s="2553"/>
      <c r="C196" s="1542"/>
      <c r="D196" s="1557" t="s">
        <v>1895</v>
      </c>
      <c r="G196" s="1557"/>
      <c r="H196" s="1557"/>
      <c r="I196" s="1557"/>
      <c r="J196" s="1557"/>
      <c r="K196" s="1557"/>
      <c r="L196" s="1557"/>
      <c r="M196" s="1557"/>
      <c r="N196" s="1557"/>
      <c r="O196" s="1557"/>
      <c r="P196" s="1557"/>
      <c r="Q196" s="1557"/>
      <c r="R196" s="1557"/>
      <c r="S196" s="1557"/>
      <c r="T196" s="1557"/>
      <c r="U196" s="1557"/>
      <c r="V196" s="1557"/>
      <c r="W196" s="1557"/>
      <c r="X196" s="1557"/>
      <c r="Y196" s="1558"/>
      <c r="Z196" s="1559"/>
      <c r="AA196" s="1455"/>
      <c r="AB196" s="1611"/>
      <c r="AC196" s="1607"/>
      <c r="AD196" s="2554"/>
      <c r="AY196" s="1790">
        <v>218</v>
      </c>
    </row>
    <row r="197" spans="1:51" ht="13.8">
      <c r="A197" s="2553"/>
      <c r="C197" s="1542"/>
      <c r="D197" s="1557" t="s">
        <v>1896</v>
      </c>
      <c r="G197" s="1557"/>
      <c r="H197" s="1557"/>
      <c r="I197" s="1557"/>
      <c r="J197" s="1557"/>
      <c r="K197" s="1557"/>
      <c r="L197" s="1557"/>
      <c r="M197" s="1557"/>
      <c r="N197" s="1557"/>
      <c r="O197" s="1557"/>
      <c r="P197" s="1557"/>
      <c r="Q197" s="1557"/>
      <c r="R197" s="1557"/>
      <c r="S197" s="1557"/>
      <c r="T197" s="1557"/>
      <c r="U197" s="1557"/>
      <c r="V197" s="1557"/>
      <c r="W197" s="1557"/>
      <c r="X197" s="1557"/>
      <c r="Y197" s="1558"/>
      <c r="Z197" s="1559"/>
      <c r="AA197" s="1474"/>
      <c r="AB197" s="1631"/>
      <c r="AC197" s="1607"/>
      <c r="AD197" s="2554"/>
      <c r="AY197" s="1790">
        <v>219</v>
      </c>
    </row>
    <row r="198" spans="1:51" ht="16.05" customHeight="1">
      <c r="A198" s="2557"/>
      <c r="C198" s="2576" t="s">
        <v>1897</v>
      </c>
      <c r="G198" s="2559"/>
      <c r="H198" s="2559"/>
      <c r="I198" s="2559"/>
      <c r="J198" s="2559"/>
      <c r="K198" s="2559"/>
      <c r="L198" s="2559"/>
      <c r="M198" s="2559"/>
      <c r="N198" s="2559"/>
      <c r="O198" s="2559"/>
      <c r="P198" s="2559"/>
      <c r="Q198" s="2559"/>
      <c r="R198" s="2559"/>
      <c r="S198" s="2559"/>
      <c r="T198" s="2559"/>
      <c r="U198" s="2559"/>
      <c r="V198" s="2559"/>
      <c r="W198" s="2559"/>
      <c r="X198" s="1546" t="str">
        <f t="shared" ref="X198" si="9">IF(OR($AA198=$Y198,$AA198=0,$AA198=""),"","* * Check Score! * *")</f>
        <v/>
      </c>
      <c r="Y198" s="2558">
        <v>2</v>
      </c>
      <c r="Z198" s="1565"/>
      <c r="AA198" s="2793"/>
      <c r="AB198" s="2794"/>
      <c r="AY198" s="1790">
        <v>220</v>
      </c>
    </row>
    <row r="199" spans="1:51" ht="16.05" customHeight="1">
      <c r="A199" s="1517" t="s">
        <v>198</v>
      </c>
      <c r="B199" s="1523" t="s">
        <v>1898</v>
      </c>
      <c r="C199" s="2559"/>
      <c r="D199" s="2559"/>
      <c r="E199" s="2559"/>
      <c r="F199" s="2559"/>
      <c r="G199" s="2559"/>
      <c r="H199" s="2559"/>
      <c r="I199" s="2559"/>
      <c r="J199" s="2559"/>
      <c r="K199" s="2559"/>
      <c r="L199" s="2559"/>
      <c r="M199" s="2559"/>
      <c r="N199" s="2559"/>
      <c r="O199" s="2559"/>
      <c r="P199" s="2559"/>
      <c r="Q199" s="2559"/>
      <c r="R199" s="2559"/>
      <c r="S199" s="2559"/>
      <c r="T199" s="2559"/>
      <c r="U199" s="2559"/>
      <c r="V199" s="2559"/>
      <c r="W199" s="2559"/>
      <c r="X199" s="1588" t="s">
        <v>1743</v>
      </c>
      <c r="Y199" s="1517">
        <v>3</v>
      </c>
      <c r="Z199" s="1565"/>
      <c r="AA199" s="2779">
        <f>IF(AA200="yes",MIN($Y199,AA201+AA205),0)</f>
        <v>0</v>
      </c>
      <c r="AB199" s="2779">
        <f>IF(AB200="yes",MIN($Y199,AB201+AB205),0)</f>
        <v>0</v>
      </c>
      <c r="AC199" s="1544"/>
      <c r="AD199" s="2554"/>
      <c r="AY199" s="1791">
        <v>222</v>
      </c>
    </row>
    <row r="200" spans="1:51" ht="16.05" customHeight="1">
      <c r="A200" s="1517"/>
      <c r="B200" s="1515" t="s">
        <v>1899</v>
      </c>
      <c r="C200" s="2559"/>
      <c r="D200" s="2559"/>
      <c r="E200" s="2559"/>
      <c r="F200" s="2559"/>
      <c r="G200" s="2559"/>
      <c r="H200" s="2559"/>
      <c r="I200" s="2559"/>
      <c r="J200" s="2559"/>
      <c r="K200" s="2559"/>
      <c r="L200" s="2559"/>
      <c r="M200" s="2559"/>
      <c r="N200" s="2559"/>
      <c r="O200" s="2559"/>
      <c r="P200" s="2559"/>
      <c r="Q200" s="2559"/>
      <c r="R200" s="2559"/>
      <c r="S200" s="2559"/>
      <c r="T200" s="2559"/>
      <c r="U200" s="2559"/>
      <c r="V200" s="2559"/>
      <c r="W200" s="2559"/>
      <c r="X200" s="1588"/>
      <c r="Y200" s="1517"/>
      <c r="Z200" s="1565"/>
      <c r="AA200" s="1474"/>
      <c r="AB200" s="1631"/>
      <c r="AC200" s="1544"/>
      <c r="AD200" s="2554"/>
      <c r="AY200" s="1791">
        <v>223</v>
      </c>
    </row>
    <row r="201" spans="1:51" ht="16.05" customHeight="1">
      <c r="A201" s="1534"/>
      <c r="B201" s="1639" t="s">
        <v>201</v>
      </c>
      <c r="C201" s="2576" t="s">
        <v>1900</v>
      </c>
      <c r="D201" s="2576"/>
      <c r="E201" s="2559"/>
      <c r="F201" s="2559"/>
      <c r="G201" s="2559"/>
      <c r="H201" s="2559"/>
      <c r="I201" s="2559"/>
      <c r="X201" s="1588" t="s">
        <v>1743</v>
      </c>
      <c r="Y201" s="2557">
        <v>3</v>
      </c>
      <c r="Z201" s="1565"/>
      <c r="AA201" s="2817">
        <f>MIN($Y201,AA202+AA203+AA204)</f>
        <v>0</v>
      </c>
      <c r="AB201" s="2817">
        <f>MIN($Y201,AB202+AB203+AB204)</f>
        <v>0</v>
      </c>
      <c r="AC201" s="1544"/>
      <c r="AD201" s="2554"/>
      <c r="AY201" s="1791">
        <v>224</v>
      </c>
    </row>
    <row r="202" spans="1:51" ht="16.05" customHeight="1">
      <c r="B202" s="1551" t="s">
        <v>203</v>
      </c>
      <c r="C202" s="1514" t="s">
        <v>1901</v>
      </c>
      <c r="X202" s="1546" t="str">
        <f>IF(OR($AA202=$Y202,$AA202=0,$AA202=""),"","* * Check Score! * *")</f>
        <v/>
      </c>
      <c r="Y202" s="1531">
        <v>1</v>
      </c>
      <c r="AA202" s="2793"/>
      <c r="AB202" s="2794"/>
      <c r="AY202" s="1790">
        <v>225</v>
      </c>
    </row>
    <row r="203" spans="1:51" ht="16.05" customHeight="1">
      <c r="B203" s="1551" t="s">
        <v>206</v>
      </c>
      <c r="C203" s="1514" t="s">
        <v>1902</v>
      </c>
      <c r="X203" s="1546" t="str">
        <f t="shared" ref="X203" si="10">IF(OR($AA203=$Y203,$AA203=0,$AA203=""),"","* * Check Score! * *")</f>
        <v/>
      </c>
      <c r="Y203" s="1531">
        <v>1</v>
      </c>
      <c r="AA203" s="1448"/>
      <c r="AB203" s="1609"/>
      <c r="AY203" s="1791">
        <v>226</v>
      </c>
    </row>
    <row r="204" spans="1:51" ht="16.05" customHeight="1">
      <c r="B204" s="1551" t="s">
        <v>208</v>
      </c>
      <c r="C204" s="1514" t="s">
        <v>1903</v>
      </c>
      <c r="X204" s="1546"/>
      <c r="Y204" s="1531">
        <v>1</v>
      </c>
      <c r="AA204" s="1449"/>
      <c r="AB204" s="1608"/>
      <c r="AY204" s="1790">
        <v>227</v>
      </c>
    </row>
    <row r="205" spans="1:51" ht="16.05" customHeight="1">
      <c r="A205" s="1534"/>
      <c r="B205" s="1550" t="s">
        <v>209</v>
      </c>
      <c r="C205" s="1515" t="s">
        <v>1904</v>
      </c>
      <c r="D205" s="1515"/>
      <c r="E205" s="1588"/>
      <c r="F205" s="2559"/>
      <c r="G205" s="2559"/>
      <c r="H205" s="2559"/>
      <c r="I205" s="2559"/>
      <c r="Y205" s="2557">
        <v>2</v>
      </c>
      <c r="AA205" s="1449"/>
      <c r="AB205" s="1608"/>
      <c r="AC205" s="2507" t="str">
        <f>IF(OR(AA$247&gt;0,AA$215&gt;0),"Applicant is ineligible for points in this section!  Points claimed in Stable Communities or Community Designations.","")</f>
        <v/>
      </c>
      <c r="AD205" s="1512"/>
      <c r="AE205" s="1512"/>
      <c r="AF205" s="1512"/>
      <c r="AG205" s="1512"/>
      <c r="AY205" s="1790">
        <v>228</v>
      </c>
    </row>
    <row r="206" spans="1:51" ht="16.05" customHeight="1">
      <c r="A206" s="1517" t="s">
        <v>219</v>
      </c>
      <c r="B206" s="1523" t="s">
        <v>1905</v>
      </c>
      <c r="E206" s="1515"/>
      <c r="G206" s="1640"/>
      <c r="T206" s="1641"/>
      <c r="U206" s="1641"/>
      <c r="V206" s="1641"/>
      <c r="W206" s="1641"/>
      <c r="X206" s="1588" t="s">
        <v>1743</v>
      </c>
      <c r="Y206" s="1517">
        <v>3</v>
      </c>
      <c r="Z206" s="1547"/>
      <c r="AA206" s="2818">
        <f>MIN($Y206,AA207+AA208)</f>
        <v>0</v>
      </c>
      <c r="AB206" s="2818">
        <f>MIN($Y206,AB207+AB208)</f>
        <v>0</v>
      </c>
      <c r="AC206" s="1549"/>
      <c r="AD206" s="2554"/>
      <c r="AY206" s="1790">
        <v>229</v>
      </c>
    </row>
    <row r="207" spans="1:51" ht="16.05" customHeight="1">
      <c r="A207" s="1515"/>
      <c r="B207" s="1639" t="s">
        <v>201</v>
      </c>
      <c r="C207" s="2576" t="s">
        <v>1906</v>
      </c>
      <c r="D207" s="2576"/>
      <c r="E207" s="2559"/>
      <c r="F207" s="2559"/>
      <c r="G207" s="2559"/>
      <c r="H207" s="2559"/>
      <c r="I207" s="2559"/>
      <c r="J207" s="2559"/>
      <c r="K207" s="2559"/>
      <c r="L207" s="2559"/>
      <c r="M207" s="2559"/>
      <c r="N207" s="2559"/>
      <c r="O207" s="2559"/>
      <c r="P207" s="2559"/>
      <c r="Q207" s="2559"/>
      <c r="R207" s="2559"/>
      <c r="S207" s="2559"/>
      <c r="T207" s="2559"/>
      <c r="U207" s="2559"/>
      <c r="V207" s="2559"/>
      <c r="W207" s="2559"/>
      <c r="X207" s="1588" t="s">
        <v>1743</v>
      </c>
      <c r="Y207" s="1565">
        <v>2</v>
      </c>
      <c r="Z207" s="1565"/>
      <c r="AA207" s="1449"/>
      <c r="AB207" s="1608"/>
      <c r="AY207" s="1790">
        <v>230</v>
      </c>
    </row>
    <row r="208" spans="1:51" ht="16.05" customHeight="1">
      <c r="A208" s="1515"/>
      <c r="B208" s="1550" t="s">
        <v>209</v>
      </c>
      <c r="C208" s="2576" t="s">
        <v>1907</v>
      </c>
      <c r="D208" s="2576"/>
      <c r="E208" s="2559"/>
      <c r="F208" s="2559"/>
      <c r="G208" s="2559"/>
      <c r="H208" s="2559"/>
      <c r="I208" s="2559"/>
      <c r="J208" s="2559"/>
      <c r="K208" s="2559"/>
      <c r="L208" s="2559"/>
      <c r="M208" s="2559"/>
      <c r="N208" s="2559"/>
      <c r="O208" s="2559"/>
      <c r="P208" s="2559"/>
      <c r="Q208" s="2559"/>
      <c r="R208" s="2559"/>
      <c r="S208" s="2559"/>
      <c r="T208" s="2559"/>
      <c r="U208" s="2559"/>
      <c r="V208" s="2559"/>
      <c r="W208" s="2559"/>
      <c r="X208" s="2559"/>
      <c r="Y208" s="1565">
        <v>1</v>
      </c>
      <c r="Z208" s="1565"/>
      <c r="AA208" s="1449"/>
      <c r="AB208" s="1608"/>
      <c r="AY208" s="1790">
        <v>231</v>
      </c>
    </row>
    <row r="209" spans="1:51" s="1515" customFormat="1" ht="16.05" customHeight="1">
      <c r="B209" s="1533" t="s">
        <v>1792</v>
      </c>
      <c r="X209" s="1514"/>
      <c r="Y209" s="2557"/>
      <c r="Z209" s="1531"/>
      <c r="AA209" s="1525"/>
      <c r="AB209" s="1524"/>
      <c r="AY209" s="1790">
        <v>232</v>
      </c>
    </row>
    <row r="210" spans="1:51" ht="24.6" customHeight="1">
      <c r="A210" s="3844" t="s">
        <v>7722</v>
      </c>
      <c r="B210" s="3845"/>
      <c r="C210" s="3845"/>
      <c r="D210" s="3845"/>
      <c r="E210" s="3845"/>
      <c r="F210" s="3845"/>
      <c r="G210" s="3845"/>
      <c r="H210" s="3845"/>
      <c r="I210" s="3845"/>
      <c r="J210" s="3845"/>
      <c r="K210" s="3845"/>
      <c r="L210" s="3845"/>
      <c r="M210" s="3845"/>
      <c r="N210" s="3845"/>
      <c r="O210" s="3845"/>
      <c r="P210" s="3845"/>
      <c r="Q210" s="3845"/>
      <c r="R210" s="3845"/>
      <c r="S210" s="3845"/>
      <c r="T210" s="3845"/>
      <c r="U210" s="3845"/>
      <c r="V210" s="3845"/>
      <c r="W210" s="3845"/>
      <c r="X210" s="3845"/>
      <c r="Y210" s="3845"/>
      <c r="Z210" s="3845"/>
      <c r="AA210" s="3845"/>
      <c r="AB210" s="3846"/>
      <c r="AC210" s="1574"/>
      <c r="AY210" s="1791">
        <v>233</v>
      </c>
    </row>
    <row r="211" spans="1:51" s="1515" customFormat="1" ht="16.05" customHeight="1">
      <c r="B211" s="1596" t="s">
        <v>1453</v>
      </c>
      <c r="E211" s="1596"/>
      <c r="F211" s="2574"/>
      <c r="G211" s="2574"/>
      <c r="H211" s="2574"/>
      <c r="I211" s="2574"/>
      <c r="J211" s="2574"/>
      <c r="K211" s="2574"/>
      <c r="L211" s="2574"/>
      <c r="M211" s="2574"/>
      <c r="N211" s="2574"/>
      <c r="O211" s="2574"/>
      <c r="P211" s="2574"/>
      <c r="Q211" s="2574"/>
      <c r="R211" s="2574"/>
      <c r="S211" s="2574"/>
      <c r="T211" s="2574"/>
      <c r="U211" s="2574"/>
      <c r="V211" s="2574"/>
      <c r="W211" s="2574"/>
      <c r="X211" s="2574"/>
      <c r="Y211" s="2574"/>
      <c r="Z211" s="2558"/>
      <c r="AA211" s="2575"/>
      <c r="AB211" s="1517"/>
      <c r="AC211" s="1514"/>
      <c r="AY211" s="1791">
        <v>234</v>
      </c>
    </row>
    <row r="212" spans="1:51" ht="30" customHeight="1">
      <c r="A212" s="3847"/>
      <c r="B212" s="3848"/>
      <c r="C212" s="3848"/>
      <c r="D212" s="3848"/>
      <c r="E212" s="3848"/>
      <c r="F212" s="3848"/>
      <c r="G212" s="3848"/>
      <c r="H212" s="3848"/>
      <c r="I212" s="3848"/>
      <c r="J212" s="3848"/>
      <c r="K212" s="3848"/>
      <c r="L212" s="3848"/>
      <c r="M212" s="3848"/>
      <c r="N212" s="3848"/>
      <c r="O212" s="3848"/>
      <c r="P212" s="3848"/>
      <c r="Q212" s="3848"/>
      <c r="R212" s="3848"/>
      <c r="S212" s="3848"/>
      <c r="T212" s="3848"/>
      <c r="U212" s="3848"/>
      <c r="V212" s="3848"/>
      <c r="W212" s="3848"/>
      <c r="X212" s="3848"/>
      <c r="Y212" s="3848"/>
      <c r="Z212" s="3848"/>
      <c r="AA212" s="3848"/>
      <c r="AB212" s="3849"/>
      <c r="AC212" s="1567"/>
      <c r="AY212" s="1791">
        <v>235</v>
      </c>
    </row>
    <row r="213" spans="1:51" ht="9.75" customHeight="1">
      <c r="AY213" s="1790">
        <v>236</v>
      </c>
    </row>
    <row r="214" spans="1:51" ht="9.75" customHeight="1">
      <c r="AY214" s="1790">
        <v>237</v>
      </c>
    </row>
    <row r="215" spans="1:51" s="1515" customFormat="1" ht="16.05" customHeight="1">
      <c r="A215" s="1534" t="s">
        <v>1516</v>
      </c>
      <c r="B215" s="1535" t="s">
        <v>1908</v>
      </c>
      <c r="E215" s="1535"/>
      <c r="F215" s="1528" t="str">
        <f>IF(OR($AA$183&gt;0,$AA$233&gt;0,$AA$247&gt;0),"Points already claimed in another restricted section!","")</f>
        <v/>
      </c>
      <c r="G215" s="2562"/>
      <c r="H215" s="2562"/>
      <c r="T215" s="1569"/>
      <c r="U215" s="1569"/>
      <c r="V215" s="1569"/>
      <c r="W215" s="1569"/>
      <c r="X215" s="1546" t="str">
        <f>IF(OR($AA215=$Y215,$AA215=0,$AA215=""),"",IF(OR($AA215&lt;$V$219,$AA215&gt;$V$219),"* * Check Score! * *",""))</f>
        <v/>
      </c>
      <c r="Y215" s="1517">
        <v>10</v>
      </c>
      <c r="Z215" s="2557"/>
      <c r="AA215" s="1543">
        <f>IF($M$15="Stable Communities",V219,0)</f>
        <v>0</v>
      </c>
      <c r="AB215" s="1543">
        <f>IF($M$16="Stable Communities",X219,0)</f>
        <v>0</v>
      </c>
      <c r="AC215" s="1544" t="s">
        <v>1744</v>
      </c>
      <c r="AD215" s="4063" t="s">
        <v>1881</v>
      </c>
      <c r="AE215" s="4063"/>
      <c r="AF215" s="4063"/>
      <c r="AG215" s="4063"/>
      <c r="AH215" s="1725" t="str">
        <f>$M$15</f>
        <v>&lt;&lt; Select Scoring Track &gt;&gt;</v>
      </c>
      <c r="AI215" s="1514"/>
      <c r="AJ215" s="1514"/>
      <c r="AY215" s="1791">
        <v>238</v>
      </c>
    </row>
    <row r="216" spans="1:51" s="1515" customFormat="1" ht="16.05" customHeight="1">
      <c r="A216" s="1534"/>
      <c r="B216" s="1523" t="s">
        <v>1909</v>
      </c>
      <c r="E216" s="1535"/>
      <c r="S216" s="2420"/>
      <c r="T216" s="2421"/>
      <c r="U216" s="2451"/>
      <c r="V216" s="3955" t="s">
        <v>1730</v>
      </c>
      <c r="W216" s="3956"/>
      <c r="X216" s="2819" t="s">
        <v>1724</v>
      </c>
      <c r="Y216" s="1517"/>
      <c r="Z216" s="2557"/>
      <c r="AA216" s="1525"/>
      <c r="AB216" s="1525"/>
      <c r="AC216" s="1544"/>
      <c r="AD216" s="2554"/>
      <c r="AE216" s="1512"/>
      <c r="AF216" s="1512"/>
      <c r="AG216" s="1512"/>
      <c r="AH216" s="1514"/>
      <c r="AI216" s="1514"/>
      <c r="AJ216" s="1514"/>
      <c r="AY216" s="1790">
        <v>240</v>
      </c>
    </row>
    <row r="217" spans="1:51" s="1515" customFormat="1" ht="12.75" customHeight="1">
      <c r="A217" s="1534"/>
      <c r="B217" s="1639" t="s">
        <v>201</v>
      </c>
      <c r="C217" s="2562" t="s">
        <v>1910</v>
      </c>
      <c r="D217" s="2562"/>
      <c r="E217" s="1636"/>
      <c r="F217" s="1535"/>
      <c r="S217" s="2452"/>
      <c r="T217" s="2421"/>
      <c r="U217" s="2453"/>
      <c r="V217" s="3957">
        <f>COUNTIF(E222:F226,"Yes")</f>
        <v>5</v>
      </c>
      <c r="W217" s="3958"/>
      <c r="X217" s="2820">
        <f>COUNTIF(G222:L226,"Yes")</f>
        <v>0</v>
      </c>
      <c r="Y217" s="1591"/>
      <c r="Z217" s="2557"/>
      <c r="AA217" s="1525"/>
      <c r="AB217" s="1525"/>
      <c r="AC217" s="1544"/>
      <c r="AD217" s="2554"/>
      <c r="AE217" s="1512"/>
      <c r="AF217" s="1512"/>
      <c r="AG217" s="1512"/>
      <c r="AH217" s="1514"/>
      <c r="AI217" s="1514"/>
      <c r="AJ217" s="1514"/>
      <c r="AY217" s="1790">
        <v>249</v>
      </c>
    </row>
    <row r="218" spans="1:51" s="1515" customFormat="1" ht="16.05" customHeight="1">
      <c r="A218" s="1534"/>
      <c r="B218" s="1550" t="s">
        <v>209</v>
      </c>
      <c r="C218" s="2562" t="s">
        <v>1911</v>
      </c>
      <c r="D218" s="2562"/>
      <c r="E218" s="1636"/>
      <c r="F218" s="1535"/>
      <c r="S218" s="2452"/>
      <c r="T218" s="2421"/>
      <c r="U218" s="2453"/>
      <c r="V218" s="3959" t="str">
        <f>IF(OR(S222="Near Census Tract",S223="Near Census Tract",S224="Near Census Tract",S225="Near Census Tract",S226="Near Census Tract"),"Yes","No")</f>
        <v>No</v>
      </c>
      <c r="W218" s="3960"/>
      <c r="X218" s="2450" t="str">
        <f>IF(OR(V222="Near Census Tract",V223="Near Census Tract",V224="Near Census Tract",V225="Near Census Tract",V226="Near Census Tract"),"Yes","No")</f>
        <v>No</v>
      </c>
      <c r="Y218" s="1591"/>
      <c r="Z218" s="2557"/>
      <c r="AA218" s="1525"/>
      <c r="AB218" s="1525"/>
      <c r="AC218" s="1544"/>
      <c r="AD218" s="2554"/>
      <c r="AE218" s="1512"/>
      <c r="AF218" s="1512"/>
      <c r="AG218" s="1512"/>
      <c r="AH218" s="1514"/>
      <c r="AI218" s="1514"/>
      <c r="AJ218" s="1514"/>
      <c r="AY218" s="1790">
        <v>250</v>
      </c>
    </row>
    <row r="219" spans="1:51" s="1515" customFormat="1" ht="16.05" customHeight="1">
      <c r="A219" s="1534"/>
      <c r="B219" s="1550" t="s">
        <v>213</v>
      </c>
      <c r="C219" s="2562" t="s">
        <v>1912</v>
      </c>
      <c r="D219" s="2562"/>
      <c r="E219" s="1636"/>
      <c r="F219" s="1535"/>
      <c r="S219" s="2454"/>
      <c r="T219" s="2421"/>
      <c r="U219" s="2455"/>
      <c r="V219" s="3961">
        <f>IF(AND(V217=2,V218="No"),6,IF(AND(V217=3,V218="No"),8,IF(AND(V217&gt;=4,V218="No"),10,IF(AND(V217=2,V218="Yes"),5,IF(AND(V217=3,V218="Yes"),7,IF(AND(V217&gt;=4,V218="Yes"),9,0))))))</f>
        <v>10</v>
      </c>
      <c r="W219" s="3962"/>
      <c r="X219" s="2456">
        <f>IF(AND(X217=2,X218="No"),6,IF(AND(X217=3,X218="No"),8,IF(AND(X217&gt;=4,X218="No"),10,IF(AND(X217=2,X218="Yes"),5,IF(AND(X217=3,X218="Yes"),7,IF(AND(X217&gt;=4,X218="Yes"),9,0))))))</f>
        <v>0</v>
      </c>
      <c r="Y219" s="1591"/>
      <c r="Z219" s="2557"/>
      <c r="AA219" s="1525"/>
      <c r="AB219" s="1525"/>
      <c r="AC219" s="1544"/>
      <c r="AD219" s="2554"/>
      <c r="AE219" s="1512"/>
      <c r="AF219" s="1512"/>
      <c r="AG219" s="1512"/>
      <c r="AH219" s="1514"/>
      <c r="AI219" s="1514"/>
      <c r="AJ219" s="1514"/>
      <c r="AY219" s="1791">
        <v>251</v>
      </c>
    </row>
    <row r="220" spans="1:51" s="1515" customFormat="1" ht="13.5" customHeight="1">
      <c r="A220" s="1534"/>
      <c r="E220" s="1535"/>
      <c r="F220" s="1535"/>
      <c r="S220" s="2421"/>
      <c r="T220" s="2421"/>
      <c r="U220" s="2421"/>
      <c r="X220" s="1569"/>
      <c r="Y220" s="1517"/>
      <c r="Z220" s="2557"/>
      <c r="AA220" s="1525"/>
      <c r="AB220" s="1525"/>
      <c r="AC220" s="1544"/>
      <c r="AD220" s="2554"/>
      <c r="AE220" s="1760"/>
      <c r="AF220" s="1760"/>
      <c r="AG220" s="1760"/>
      <c r="AH220" s="1760"/>
      <c r="AI220" s="1760"/>
      <c r="AJ220" s="1514"/>
      <c r="AY220" s="1791">
        <v>252</v>
      </c>
    </row>
    <row r="221" spans="1:51" s="1515" customFormat="1" ht="30.75" customHeight="1">
      <c r="A221" s="1534"/>
      <c r="B221" s="4077" t="s">
        <v>1913</v>
      </c>
      <c r="C221" s="4077"/>
      <c r="D221" s="2573"/>
      <c r="E221" s="4074" t="s">
        <v>1914</v>
      </c>
      <c r="F221" s="4074"/>
      <c r="G221" s="4074"/>
      <c r="H221" s="4074"/>
      <c r="I221" s="4074"/>
      <c r="J221" s="4074"/>
      <c r="K221" s="4074"/>
      <c r="L221" s="4074"/>
      <c r="M221" s="4073" t="s">
        <v>1915</v>
      </c>
      <c r="N221" s="4073"/>
      <c r="O221" s="4073"/>
      <c r="P221" s="4073"/>
      <c r="Q221" s="4073"/>
      <c r="R221" s="4073"/>
      <c r="S221" s="4073" t="s">
        <v>1916</v>
      </c>
      <c r="T221" s="4073"/>
      <c r="U221" s="4073"/>
      <c r="V221" s="4073"/>
      <c r="W221" s="4073"/>
      <c r="X221" s="4073"/>
      <c r="Y221" s="4073"/>
      <c r="Z221" s="4073"/>
      <c r="AA221" s="4073"/>
      <c r="AB221" s="4073"/>
      <c r="AE221" s="1760"/>
      <c r="AF221" s="1760"/>
      <c r="AG221" s="1760"/>
      <c r="AH221" s="1760"/>
      <c r="AI221" s="1760"/>
      <c r="AJ221" s="1514"/>
      <c r="AY221" s="1791">
        <v>253</v>
      </c>
    </row>
    <row r="222" spans="1:51" s="1515" customFormat="1" ht="15" customHeight="1">
      <c r="A222" s="1534"/>
      <c r="C222" s="1515" t="s">
        <v>1917</v>
      </c>
      <c r="E222" s="3977" t="s">
        <v>7444</v>
      </c>
      <c r="F222" s="3978"/>
      <c r="G222" s="3884"/>
      <c r="H222" s="3884"/>
      <c r="I222" s="3884"/>
      <c r="J222" s="3884"/>
      <c r="K222" s="3884"/>
      <c r="L222" s="3885"/>
      <c r="M222" s="3900"/>
      <c r="N222" s="3900"/>
      <c r="O222" s="3900"/>
      <c r="P222" s="3900"/>
      <c r="Q222" s="3900"/>
      <c r="R222" s="3901"/>
      <c r="S222" s="3966" t="s">
        <v>7723</v>
      </c>
      <c r="T222" s="3967"/>
      <c r="U222" s="3968"/>
      <c r="V222" s="3963"/>
      <c r="W222" s="3964"/>
      <c r="X222" s="3965"/>
      <c r="Y222" s="4076" t="s">
        <v>1918</v>
      </c>
      <c r="Z222" s="4076"/>
      <c r="AA222" s="4076"/>
      <c r="AB222" s="4076"/>
      <c r="AD222" s="1755"/>
      <c r="AE222" s="1756"/>
      <c r="AF222" s="1756"/>
      <c r="AG222" s="1756"/>
      <c r="AH222" s="1756"/>
      <c r="AI222" s="1756"/>
      <c r="AJ222" s="1514"/>
      <c r="AY222" s="1791">
        <v>254</v>
      </c>
    </row>
    <row r="223" spans="1:51" s="1515" customFormat="1" ht="14.4">
      <c r="A223" s="1534"/>
      <c r="C223" s="1515" t="s">
        <v>1919</v>
      </c>
      <c r="E223" s="3882" t="s">
        <v>7444</v>
      </c>
      <c r="F223" s="3883"/>
      <c r="G223" s="3886"/>
      <c r="H223" s="3886"/>
      <c r="I223" s="3886"/>
      <c r="J223" s="3886"/>
      <c r="K223" s="3886"/>
      <c r="L223" s="3887"/>
      <c r="M223" s="3902">
        <v>2024</v>
      </c>
      <c r="N223" s="3902"/>
      <c r="O223" s="3902"/>
      <c r="P223" s="3902"/>
      <c r="Q223" s="3902"/>
      <c r="R223" s="3903"/>
      <c r="S223" s="3906" t="s">
        <v>7723</v>
      </c>
      <c r="T223" s="3907"/>
      <c r="U223" s="3908"/>
      <c r="V223" s="3969"/>
      <c r="W223" s="3970"/>
      <c r="X223" s="3971"/>
      <c r="Y223" s="3992" t="s">
        <v>1918</v>
      </c>
      <c r="Z223" s="3992"/>
      <c r="AA223" s="3992"/>
      <c r="AB223" s="3992"/>
      <c r="AD223" s="1757"/>
      <c r="AE223" s="1758"/>
      <c r="AF223" s="1758"/>
      <c r="AG223" s="1754"/>
      <c r="AH223" s="1759"/>
      <c r="AI223" s="1758"/>
      <c r="AJ223" s="1514"/>
      <c r="AY223" s="1790">
        <v>255</v>
      </c>
    </row>
    <row r="224" spans="1:51" s="1515" customFormat="1" ht="14.4">
      <c r="A224" s="1534"/>
      <c r="C224" s="1515" t="s">
        <v>1920</v>
      </c>
      <c r="E224" s="3882" t="s">
        <v>7444</v>
      </c>
      <c r="F224" s="3883"/>
      <c r="G224" s="3886"/>
      <c r="H224" s="3886"/>
      <c r="I224" s="3886"/>
      <c r="J224" s="3886"/>
      <c r="K224" s="3886"/>
      <c r="L224" s="3887"/>
      <c r="M224" s="3902">
        <v>2024</v>
      </c>
      <c r="N224" s="3902"/>
      <c r="O224" s="3902"/>
      <c r="P224" s="3902"/>
      <c r="Q224" s="3902"/>
      <c r="R224" s="3903"/>
      <c r="S224" s="3906" t="s">
        <v>7723</v>
      </c>
      <c r="T224" s="3907"/>
      <c r="U224" s="3908"/>
      <c r="V224" s="3969"/>
      <c r="W224" s="3970"/>
      <c r="X224" s="3971"/>
      <c r="Y224" s="3992" t="s">
        <v>1918</v>
      </c>
      <c r="Z224" s="3992"/>
      <c r="AA224" s="3992"/>
      <c r="AB224" s="3992"/>
      <c r="AD224" s="1757"/>
      <c r="AE224" s="1758"/>
      <c r="AF224" s="1758"/>
      <c r="AG224" s="1754"/>
      <c r="AH224" s="1759"/>
      <c r="AI224" s="1758"/>
      <c r="AJ224" s="1514"/>
      <c r="AY224" s="1791">
        <v>256</v>
      </c>
    </row>
    <row r="225" spans="1:51" s="1515" customFormat="1" ht="14.4">
      <c r="A225" s="1534"/>
      <c r="C225" s="1515" t="s">
        <v>1921</v>
      </c>
      <c r="E225" s="3882" t="s">
        <v>7444</v>
      </c>
      <c r="F225" s="3883"/>
      <c r="G225" s="3886"/>
      <c r="H225" s="3886"/>
      <c r="I225" s="3886"/>
      <c r="J225" s="3886"/>
      <c r="K225" s="3886"/>
      <c r="L225" s="3887"/>
      <c r="M225" s="3902">
        <v>2023</v>
      </c>
      <c r="N225" s="3902"/>
      <c r="O225" s="3902"/>
      <c r="P225" s="3902"/>
      <c r="Q225" s="3902"/>
      <c r="R225" s="3903"/>
      <c r="S225" s="3906" t="s">
        <v>7723</v>
      </c>
      <c r="T225" s="3907"/>
      <c r="U225" s="3908"/>
      <c r="V225" s="3969"/>
      <c r="W225" s="3970"/>
      <c r="X225" s="3971"/>
      <c r="Y225" s="3992" t="s">
        <v>1918</v>
      </c>
      <c r="Z225" s="3992"/>
      <c r="AA225" s="3992"/>
      <c r="AB225" s="3992"/>
      <c r="AD225" s="1757"/>
      <c r="AE225" s="1758"/>
      <c r="AF225" s="1758"/>
      <c r="AG225" s="1754"/>
      <c r="AH225" s="1759"/>
      <c r="AI225" s="1758"/>
      <c r="AJ225" s="1514"/>
      <c r="AY225" s="1790">
        <v>257</v>
      </c>
    </row>
    <row r="226" spans="1:51" s="1515" customFormat="1" ht="13.8">
      <c r="A226" s="1534"/>
      <c r="C226" s="1515" t="s">
        <v>1922</v>
      </c>
      <c r="E226" s="3888" t="s">
        <v>7444</v>
      </c>
      <c r="F226" s="3889"/>
      <c r="G226" s="3979"/>
      <c r="H226" s="3979"/>
      <c r="I226" s="3979"/>
      <c r="J226" s="3979"/>
      <c r="K226" s="3979"/>
      <c r="L226" s="3980"/>
      <c r="M226" s="3904">
        <v>2024</v>
      </c>
      <c r="N226" s="3904"/>
      <c r="O226" s="3904"/>
      <c r="P226" s="3904"/>
      <c r="Q226" s="3904"/>
      <c r="R226" s="3905"/>
      <c r="S226" s="3879" t="s">
        <v>7723</v>
      </c>
      <c r="T226" s="3880"/>
      <c r="U226" s="3881"/>
      <c r="V226" s="3972"/>
      <c r="W226" s="3973"/>
      <c r="X226" s="3974"/>
      <c r="Y226" s="4075" t="s">
        <v>1918</v>
      </c>
      <c r="Z226" s="4075"/>
      <c r="AA226" s="4075"/>
      <c r="AB226" s="4075"/>
      <c r="AD226" s="882"/>
      <c r="AE226" s="1512"/>
      <c r="AF226" s="1512"/>
      <c r="AG226" s="1512"/>
      <c r="AH226" s="1514"/>
      <c r="AI226" s="1514"/>
      <c r="AJ226" s="1514"/>
      <c r="AY226" s="1790">
        <v>258</v>
      </c>
    </row>
    <row r="227" spans="1:51" ht="16.05" customHeight="1">
      <c r="A227" s="1515"/>
      <c r="B227" s="1533" t="s">
        <v>1792</v>
      </c>
      <c r="C227" s="1515"/>
      <c r="D227" s="1515"/>
      <c r="E227" s="1515"/>
      <c r="F227" s="1515"/>
      <c r="G227" s="1515"/>
      <c r="H227" s="1515"/>
      <c r="I227" s="1515"/>
      <c r="J227" s="1515"/>
      <c r="K227" s="1515"/>
      <c r="L227" s="1515"/>
      <c r="M227" s="1515"/>
      <c r="N227" s="1515"/>
      <c r="O227" s="1515"/>
      <c r="P227" s="1515"/>
      <c r="Q227" s="1515"/>
      <c r="R227" s="1515"/>
      <c r="S227" s="1515"/>
      <c r="T227" s="1515"/>
      <c r="U227" s="1515"/>
      <c r="V227" s="1515"/>
      <c r="W227" s="1515"/>
      <c r="Y227" s="2557"/>
      <c r="AA227" s="1525"/>
      <c r="AD227" s="882"/>
      <c r="AY227" s="1790">
        <v>259</v>
      </c>
    </row>
    <row r="228" spans="1:51" ht="15" customHeight="1">
      <c r="A228" s="3844" t="s">
        <v>7724</v>
      </c>
      <c r="B228" s="3845"/>
      <c r="C228" s="3845"/>
      <c r="D228" s="3845"/>
      <c r="E228" s="3845"/>
      <c r="F228" s="3845"/>
      <c r="G228" s="3845"/>
      <c r="H228" s="3845"/>
      <c r="I228" s="3845"/>
      <c r="J228" s="3845"/>
      <c r="K228" s="3845"/>
      <c r="L228" s="3845"/>
      <c r="M228" s="3845"/>
      <c r="N228" s="3845"/>
      <c r="O228" s="3845"/>
      <c r="P228" s="3845"/>
      <c r="Q228" s="3845"/>
      <c r="R228" s="3845"/>
      <c r="S228" s="3845"/>
      <c r="T228" s="3845"/>
      <c r="U228" s="3845"/>
      <c r="V228" s="3845"/>
      <c r="W228" s="3845"/>
      <c r="X228" s="3845"/>
      <c r="Y228" s="3845"/>
      <c r="Z228" s="3845"/>
      <c r="AA228" s="3845"/>
      <c r="AB228" s="3846"/>
      <c r="AC228" s="1574"/>
      <c r="AD228" s="882"/>
      <c r="AY228" s="1790">
        <v>260</v>
      </c>
    </row>
    <row r="229" spans="1:51" ht="16.05" customHeight="1">
      <c r="A229" s="1515"/>
      <c r="B229" s="1562" t="s">
        <v>1453</v>
      </c>
      <c r="C229" s="1515"/>
      <c r="D229" s="1515"/>
      <c r="E229" s="1562"/>
      <c r="F229" s="2559"/>
      <c r="G229" s="2559"/>
      <c r="H229" s="2559"/>
      <c r="I229" s="2559"/>
      <c r="J229" s="2559"/>
      <c r="K229" s="2559"/>
      <c r="L229" s="2559"/>
      <c r="M229" s="2559"/>
      <c r="N229" s="2559"/>
      <c r="O229" s="2559"/>
      <c r="P229" s="2559"/>
      <c r="Q229" s="2559"/>
      <c r="R229" s="2559"/>
      <c r="S229" s="2559"/>
      <c r="T229" s="2559"/>
      <c r="U229" s="2559"/>
      <c r="V229" s="2559"/>
      <c r="W229" s="2559"/>
      <c r="X229" s="2559"/>
      <c r="Y229" s="2559"/>
      <c r="Z229" s="1565"/>
      <c r="AA229" s="1566"/>
      <c r="AB229" s="1517"/>
      <c r="AD229" s="882"/>
      <c r="AY229" s="1791">
        <v>261</v>
      </c>
    </row>
    <row r="230" spans="1:51" ht="15" customHeight="1">
      <c r="A230" s="3847"/>
      <c r="B230" s="3848"/>
      <c r="C230" s="3848"/>
      <c r="D230" s="3848"/>
      <c r="E230" s="3848"/>
      <c r="F230" s="3848"/>
      <c r="G230" s="3848"/>
      <c r="H230" s="3848"/>
      <c r="I230" s="3848"/>
      <c r="J230" s="3848"/>
      <c r="K230" s="3848"/>
      <c r="L230" s="3848"/>
      <c r="M230" s="3848"/>
      <c r="N230" s="3848"/>
      <c r="O230" s="3848"/>
      <c r="P230" s="3848"/>
      <c r="Q230" s="3848"/>
      <c r="R230" s="3848"/>
      <c r="S230" s="3848"/>
      <c r="T230" s="3848"/>
      <c r="U230" s="3848"/>
      <c r="V230" s="3848"/>
      <c r="W230" s="3848"/>
      <c r="X230" s="3848"/>
      <c r="Y230" s="3848"/>
      <c r="Z230" s="3848"/>
      <c r="AA230" s="3848"/>
      <c r="AB230" s="3849"/>
      <c r="AC230" s="1567"/>
      <c r="AD230" s="882"/>
      <c r="AY230" s="1791">
        <v>262</v>
      </c>
    </row>
    <row r="231" spans="1:51" ht="9.75" customHeight="1">
      <c r="AY231" s="1791">
        <v>263</v>
      </c>
    </row>
    <row r="232" spans="1:51" ht="9.75" customHeight="1">
      <c r="AY232" s="1791">
        <v>264</v>
      </c>
    </row>
    <row r="233" spans="1:51" s="1515" customFormat="1" ht="16.05" customHeight="1">
      <c r="A233" s="1534" t="s">
        <v>1520</v>
      </c>
      <c r="B233" s="1535" t="s">
        <v>1923</v>
      </c>
      <c r="E233" s="1535"/>
      <c r="F233" s="1528" t="str">
        <f>IF(AND(AND(OR($AA$183&gt;0,$AA$215&gt;0,$AA$247&gt;0), NOT(M15 = "Housing Needs Characteristics + Revitilization Characteristics")), NOT(M15 = "Housing Needs Characteristics + Revitilization Characteristics")), "Points already claimed in another restricted section!","")</f>
        <v/>
      </c>
      <c r="G233" s="1528"/>
      <c r="H233" s="1528"/>
      <c r="I233" s="1528"/>
      <c r="J233" s="1528"/>
      <c r="K233" s="1528"/>
      <c r="L233" s="1528"/>
      <c r="M233" s="1528"/>
      <c r="N233" s="1528"/>
      <c r="O233" s="1528"/>
      <c r="P233" s="1528"/>
      <c r="Q233" s="1528"/>
      <c r="R233" s="1528"/>
      <c r="S233" s="1528"/>
      <c r="U233" s="3858" t="str">
        <f>IF(AND(AA233&gt;0,NOT($M$11="New Affordability")), "Not New Affordability!","")</f>
        <v/>
      </c>
      <c r="V233" s="3858"/>
      <c r="W233" s="3858"/>
      <c r="X233" s="1542" t="s">
        <v>1743</v>
      </c>
      <c r="Y233" s="1517">
        <v>10</v>
      </c>
      <c r="Z233" s="2557"/>
      <c r="AA233" s="1543">
        <f>IF(OR($X$11="Atlanta Metro",AA$183&gt;0,AA$215&gt;0,AA$247&gt;0),0,IF(AND($M$11="New Affordability",$C$16="9%",AA239+AA240&lt;=$Y233),AA239+AA240,0))</f>
        <v>0</v>
      </c>
      <c r="AB233" s="1543">
        <f>IF(AND($M$12="New Affordability",NOT($X$12="Atlanta Metro"),$C$16="9%",AB239+AB240&lt;=$Y233),AB239+AB240,0)</f>
        <v>0</v>
      </c>
      <c r="AC233" s="1544" t="s">
        <v>1744</v>
      </c>
      <c r="AD233" s="4063" t="s">
        <v>1881</v>
      </c>
      <c r="AE233" s="4063"/>
      <c r="AF233" s="4063"/>
      <c r="AG233" s="4063"/>
      <c r="AH233" s="1725" t="str">
        <f>$M$15</f>
        <v>&lt;&lt; Select Scoring Track &gt;&gt;</v>
      </c>
      <c r="AY233" s="1790">
        <v>304</v>
      </c>
    </row>
    <row r="234" spans="1:51" s="1515" customFormat="1" ht="3.75" customHeight="1">
      <c r="A234" s="1534"/>
      <c r="B234" s="1535"/>
      <c r="E234" s="1535"/>
      <c r="F234" s="1535"/>
      <c r="X234" s="1569"/>
      <c r="Y234" s="1517"/>
      <c r="Z234" s="2557"/>
      <c r="AA234" s="1525"/>
      <c r="AB234" s="1525"/>
      <c r="AC234" s="1544"/>
      <c r="AD234" s="2554"/>
      <c r="AE234" s="1512"/>
      <c r="AF234" s="1512"/>
      <c r="AG234" s="1512"/>
      <c r="AH234" s="1514"/>
      <c r="AI234" s="1514"/>
      <c r="AJ234" s="1514"/>
      <c r="AY234" s="1790">
        <v>305</v>
      </c>
    </row>
    <row r="235" spans="1:51" s="1515" customFormat="1" ht="16.05" customHeight="1">
      <c r="A235" s="1534"/>
      <c r="C235" s="2428" t="s">
        <v>1924</v>
      </c>
      <c r="D235" s="2429"/>
      <c r="E235" s="2430"/>
      <c r="F235" s="2430"/>
      <c r="G235" s="2431"/>
      <c r="H235" s="2431"/>
      <c r="I235" s="2431"/>
      <c r="J235" s="2431"/>
      <c r="K235" s="2431"/>
      <c r="L235" s="2447"/>
      <c r="M235" s="2447"/>
      <c r="N235" s="2447"/>
      <c r="O235" s="2447"/>
      <c r="P235" s="2447"/>
      <c r="Q235" s="2431"/>
      <c r="R235" s="2447"/>
      <c r="S235" s="2447"/>
      <c r="T235" s="2566" t="s">
        <v>1730</v>
      </c>
      <c r="U235" s="2441" t="s">
        <v>1724</v>
      </c>
      <c r="V235" s="2427"/>
      <c r="W235" s="2427"/>
      <c r="X235" s="1569"/>
      <c r="Y235" s="1517"/>
      <c r="Z235" s="2557"/>
      <c r="AA235" s="1525"/>
      <c r="AB235" s="1525"/>
      <c r="AC235" s="1544"/>
      <c r="AD235" s="2554"/>
      <c r="AE235" s="1512"/>
      <c r="AF235" s="1512"/>
      <c r="AG235" s="1512"/>
      <c r="AH235" s="1514"/>
      <c r="AI235" s="1514"/>
      <c r="AJ235" s="1514"/>
      <c r="AY235" s="1790">
        <v>306</v>
      </c>
    </row>
    <row r="236" spans="1:51" s="1515" customFormat="1" ht="16.05" customHeight="1">
      <c r="A236" s="1534"/>
      <c r="B236" s="1535"/>
      <c r="C236" s="2443"/>
      <c r="E236" s="1515" t="s">
        <v>1925</v>
      </c>
      <c r="F236" s="1535"/>
      <c r="L236" s="2564"/>
      <c r="M236" s="2564"/>
      <c r="N236" s="2564"/>
      <c r="O236" s="2564"/>
      <c r="P236" s="2564"/>
      <c r="R236" s="2564"/>
      <c r="S236" s="2564"/>
      <c r="T236" s="2564">
        <f>MAX(AA183,AA190+AA199+AA206)</f>
        <v>0</v>
      </c>
      <c r="U236" s="2433">
        <f>MAX(AB183,AB190+AB199+AB206)</f>
        <v>0</v>
      </c>
      <c r="V236" s="1649"/>
      <c r="W236" s="1649"/>
      <c r="X236" s="1569"/>
      <c r="Y236" s="3858" t="str">
        <f>$X$11</f>
        <v>Rural</v>
      </c>
      <c r="Z236" s="3858"/>
      <c r="AA236" s="3858"/>
      <c r="AB236" s="3858"/>
      <c r="AC236" s="1544"/>
      <c r="AD236" s="2554"/>
      <c r="AE236" s="1512"/>
      <c r="AF236" s="1512"/>
      <c r="AG236" s="1512"/>
      <c r="AH236" s="1514"/>
      <c r="AI236" s="1514"/>
      <c r="AJ236" s="1514"/>
      <c r="AY236" s="1790">
        <v>307</v>
      </c>
    </row>
    <row r="237" spans="1:51" s="1515" customFormat="1" ht="16.05" customHeight="1">
      <c r="A237" s="1534"/>
      <c r="B237" s="1535"/>
      <c r="C237" s="2443"/>
      <c r="E237" s="1515" t="s">
        <v>1926</v>
      </c>
      <c r="F237" s="1535"/>
      <c r="L237" s="1651"/>
      <c r="M237" s="1651"/>
      <c r="N237" s="1651"/>
      <c r="O237" s="1651"/>
      <c r="P237" s="1651"/>
      <c r="R237" s="1651"/>
      <c r="S237" s="1651"/>
      <c r="T237" s="1651">
        <f>MAX($V$219,$AA$215)</f>
        <v>10</v>
      </c>
      <c r="U237" s="2435">
        <f>MAX($X$219,$AB$215)</f>
        <v>0</v>
      </c>
      <c r="V237" s="1652"/>
      <c r="W237" s="1652"/>
      <c r="X237" s="1569"/>
      <c r="Y237" s="1517"/>
      <c r="Z237" s="2557"/>
      <c r="AA237" s="1525"/>
      <c r="AB237" s="1525"/>
      <c r="AC237" s="1544"/>
      <c r="AD237" s="2554"/>
      <c r="AE237" s="1512"/>
      <c r="AF237" s="1512"/>
      <c r="AG237" s="1512"/>
      <c r="AH237" s="1514"/>
      <c r="AI237" s="1514"/>
      <c r="AJ237" s="1514"/>
      <c r="AY237" s="1791">
        <v>308</v>
      </c>
    </row>
    <row r="238" spans="1:51" s="1515" customFormat="1" ht="3.75" customHeight="1">
      <c r="A238" s="1534"/>
      <c r="B238" s="1535"/>
      <c r="C238" s="2444"/>
      <c r="D238" s="2438"/>
      <c r="E238" s="2445"/>
      <c r="F238" s="2445"/>
      <c r="G238" s="2438"/>
      <c r="H238" s="2438"/>
      <c r="I238" s="2438"/>
      <c r="J238" s="2438"/>
      <c r="K238" s="2438"/>
      <c r="L238" s="2438"/>
      <c r="M238" s="2438"/>
      <c r="N238" s="2438"/>
      <c r="O238" s="2438"/>
      <c r="P238" s="2438"/>
      <c r="Q238" s="2438"/>
      <c r="R238" s="2438"/>
      <c r="S238" s="2438"/>
      <c r="T238" s="2438"/>
      <c r="U238" s="2446"/>
      <c r="X238" s="1569"/>
      <c r="Y238" s="1517"/>
      <c r="Z238" s="2557"/>
      <c r="AA238" s="1525"/>
      <c r="AB238" s="1525"/>
      <c r="AC238" s="1544"/>
      <c r="AD238" s="2554"/>
      <c r="AE238" s="1512"/>
      <c r="AF238" s="1512"/>
      <c r="AG238" s="1512"/>
      <c r="AH238" s="1514"/>
      <c r="AI238" s="1514"/>
      <c r="AJ238" s="1514"/>
      <c r="AY238" s="1791">
        <v>309</v>
      </c>
    </row>
    <row r="239" spans="1:51" ht="16.05" customHeight="1">
      <c r="A239" s="1517" t="s">
        <v>186</v>
      </c>
      <c r="B239" s="2556" t="s">
        <v>1927</v>
      </c>
      <c r="E239" s="2576"/>
      <c r="F239" s="2576"/>
      <c r="G239" s="2576"/>
      <c r="H239" s="2576"/>
      <c r="I239" s="2576"/>
      <c r="X239" s="1546" t="str">
        <f>IF(OR($AA239=$Y239,$AA239=0,$AA239=""),"","* * Check Score! * *")</f>
        <v/>
      </c>
      <c r="Y239" s="2558">
        <v>5</v>
      </c>
      <c r="Z239" s="1547"/>
      <c r="AA239" s="2791"/>
      <c r="AB239" s="2792"/>
      <c r="AC239" s="2568"/>
      <c r="AD239" s="1512"/>
      <c r="AE239" s="1512"/>
      <c r="AF239" s="1512"/>
      <c r="AG239" s="1512"/>
      <c r="AH239" s="1512"/>
      <c r="AY239" s="1791">
        <v>310</v>
      </c>
    </row>
    <row r="240" spans="1:51" ht="16.05" customHeight="1">
      <c r="A240" s="1517" t="s">
        <v>198</v>
      </c>
      <c r="B240" s="2556" t="s">
        <v>1928</v>
      </c>
      <c r="E240" s="2576"/>
      <c r="K240" s="1662" t="str">
        <f>IF(AND(AA239=$Y239,OR((AA183+AA199+AA206)&gt;=5,V219&gt;=5)),"Eligible","Currently not eligible")</f>
        <v>Currently not eligible</v>
      </c>
      <c r="L240" s="1662"/>
      <c r="M240" s="1662"/>
      <c r="N240" s="1662"/>
      <c r="O240" s="1662"/>
      <c r="P240" s="1662"/>
      <c r="Q240" s="1662"/>
      <c r="R240" s="1662"/>
      <c r="S240" s="1662"/>
      <c r="X240" s="1546" t="str">
        <f>IF(OR($AA240=$Y240,$AA240=0,$AA240=""),"","* * Check Score! * *")</f>
        <v/>
      </c>
      <c r="Y240" s="2558">
        <v>5</v>
      </c>
      <c r="Z240" s="1547"/>
      <c r="AA240" s="2779">
        <f>IF(AND($M$15="Housing Needs Characteristics + Stable Communities Characteristics",$AA239&gt;0,$AA239=$Y239,$V219&gt;=5),MIN($V219,$Y$240),IF(AND($M$15="Housing Needs Characteristics + Revitalization Characteristics",$AA239&gt;0,$AA239=$Y239,AA183&gt;=5),MIN(AA183,$Y$240),0))</f>
        <v>0</v>
      </c>
      <c r="AB240" s="2779">
        <f>IF(AND($M$15="Housing Needs Characteristics + Stable Communities Characteristics",$AA239&gt;0,$AA239=$Y239,$V219&gt;=5),MIN($V219,$Y$240),IF(AND($M$15="Housing Needs Characteristics + Revitalization Characteristics",$AA239&gt;0,$AA239=$Y239,AB183&gt;=5),MIN(AB183,$Y$240),0))</f>
        <v>0</v>
      </c>
      <c r="AC240" s="2568"/>
      <c r="AD240" s="1512"/>
      <c r="AE240" s="1512"/>
      <c r="AF240" s="1512"/>
      <c r="AG240" s="1512"/>
      <c r="AH240" s="1512"/>
      <c r="AY240" s="1790">
        <v>311</v>
      </c>
    </row>
    <row r="241" spans="1:53" ht="16.05" customHeight="1">
      <c r="A241" s="1515"/>
      <c r="B241" s="1533" t="s">
        <v>1792</v>
      </c>
      <c r="C241" s="1515"/>
      <c r="D241" s="1515"/>
      <c r="E241" s="1515"/>
      <c r="F241" s="1515"/>
      <c r="G241" s="1515"/>
      <c r="H241" s="1515"/>
      <c r="I241" s="1515"/>
      <c r="J241" s="1515"/>
      <c r="K241" s="1515"/>
      <c r="L241" s="1515"/>
      <c r="M241" s="1515"/>
      <c r="N241" s="1515"/>
      <c r="O241" s="1515"/>
      <c r="P241" s="1515"/>
      <c r="Q241" s="1515"/>
      <c r="R241" s="1515"/>
      <c r="S241" s="1515"/>
      <c r="T241" s="1515"/>
      <c r="U241" s="1515"/>
      <c r="V241" s="1515"/>
      <c r="W241" s="1515"/>
      <c r="Y241" s="2557"/>
      <c r="AA241" s="1525"/>
      <c r="AD241" s="1512"/>
      <c r="AE241" s="1512"/>
      <c r="AF241" s="1512"/>
      <c r="AG241" s="1512"/>
      <c r="AH241" s="1512"/>
      <c r="AY241" s="1790">
        <v>312</v>
      </c>
    </row>
    <row r="242" spans="1:53" ht="16.05" customHeight="1">
      <c r="A242" s="3844" t="s">
        <v>7722</v>
      </c>
      <c r="B242" s="3845"/>
      <c r="C242" s="3845"/>
      <c r="D242" s="3845"/>
      <c r="E242" s="3845"/>
      <c r="F242" s="3845"/>
      <c r="G242" s="3845"/>
      <c r="H242" s="3845"/>
      <c r="I242" s="3845"/>
      <c r="J242" s="3845"/>
      <c r="K242" s="3845"/>
      <c r="L242" s="3845"/>
      <c r="M242" s="3845"/>
      <c r="N242" s="3845"/>
      <c r="O242" s="3845"/>
      <c r="P242" s="3845"/>
      <c r="Q242" s="3845"/>
      <c r="R242" s="3845"/>
      <c r="S242" s="3845"/>
      <c r="T242" s="3845"/>
      <c r="U242" s="3845"/>
      <c r="V242" s="3845"/>
      <c r="W242" s="3845"/>
      <c r="X242" s="3845"/>
      <c r="Y242" s="3845"/>
      <c r="Z242" s="3845"/>
      <c r="AA242" s="3845"/>
      <c r="AB242" s="3846"/>
      <c r="AC242" s="1574"/>
      <c r="AY242" s="1791">
        <v>313</v>
      </c>
    </row>
    <row r="243" spans="1:53" ht="16.05" customHeight="1">
      <c r="A243" s="1515"/>
      <c r="B243" s="1562" t="s">
        <v>1453</v>
      </c>
      <c r="C243" s="1515"/>
      <c r="D243" s="1515"/>
      <c r="E243" s="1562"/>
      <c r="F243" s="2559"/>
      <c r="G243" s="2559"/>
      <c r="H243" s="2559"/>
      <c r="I243" s="2559"/>
      <c r="J243" s="2559"/>
      <c r="K243" s="2559"/>
      <c r="L243" s="2559"/>
      <c r="M243" s="2559"/>
      <c r="N243" s="2559"/>
      <c r="O243" s="2559"/>
      <c r="P243" s="2559"/>
      <c r="Q243" s="2559"/>
      <c r="R243" s="2559"/>
      <c r="S243" s="2559"/>
      <c r="T243" s="2559"/>
      <c r="U243" s="2559"/>
      <c r="V243" s="2559"/>
      <c r="W243" s="2559"/>
      <c r="X243" s="2559"/>
      <c r="Y243" s="2559"/>
      <c r="Z243" s="1565"/>
      <c r="AA243" s="1566"/>
      <c r="AB243" s="1517"/>
      <c r="AY243" s="1790">
        <v>314</v>
      </c>
    </row>
    <row r="244" spans="1:53" ht="15" customHeight="1">
      <c r="A244" s="3847"/>
      <c r="B244" s="3848"/>
      <c r="C244" s="3848"/>
      <c r="D244" s="3848"/>
      <c r="E244" s="3848"/>
      <c r="F244" s="3848"/>
      <c r="G244" s="3848"/>
      <c r="H244" s="3848"/>
      <c r="I244" s="3848"/>
      <c r="J244" s="3848"/>
      <c r="K244" s="3848"/>
      <c r="L244" s="3848"/>
      <c r="M244" s="3848"/>
      <c r="N244" s="3848"/>
      <c r="O244" s="3848"/>
      <c r="P244" s="3848"/>
      <c r="Q244" s="3848"/>
      <c r="R244" s="3848"/>
      <c r="S244" s="3848"/>
      <c r="T244" s="3848"/>
      <c r="U244" s="3848"/>
      <c r="V244" s="3848"/>
      <c r="W244" s="3848"/>
      <c r="X244" s="3848"/>
      <c r="Y244" s="3848"/>
      <c r="Z244" s="3848"/>
      <c r="AA244" s="3848"/>
      <c r="AB244" s="3849"/>
      <c r="AC244" s="1567"/>
      <c r="AY244" s="1790">
        <v>315</v>
      </c>
    </row>
    <row r="245" spans="1:53" ht="7.5" customHeight="1">
      <c r="AY245" s="1791">
        <v>316</v>
      </c>
    </row>
    <row r="246" spans="1:53" ht="7.5" customHeight="1">
      <c r="AY246" s="1791">
        <v>317</v>
      </c>
      <c r="BA246" s="1648"/>
    </row>
    <row r="247" spans="1:53" s="1515" customFormat="1" ht="16.05" customHeight="1">
      <c r="A247" s="1534" t="s">
        <v>1522</v>
      </c>
      <c r="B247" s="1535" t="s">
        <v>1929</v>
      </c>
      <c r="E247" s="1535"/>
      <c r="F247" s="3859" t="str">
        <f>IF(OR($AA$183&gt;0,$AA$215&gt;0,$AA$233&gt;0),"Points already claimed in another restricted section!","")</f>
        <v/>
      </c>
      <c r="G247" s="3859"/>
      <c r="H247" s="3859"/>
      <c r="I247" s="3859"/>
      <c r="J247" s="3859"/>
      <c r="K247" s="3859"/>
      <c r="L247" s="3859"/>
      <c r="M247" s="3859"/>
      <c r="N247" s="3859"/>
      <c r="O247" s="3859"/>
      <c r="P247" s="3859"/>
      <c r="Q247" s="3859"/>
      <c r="R247" s="3859"/>
      <c r="S247" s="3859"/>
      <c r="T247" s="3859"/>
      <c r="X247" s="1658" t="str">
        <f>IF(AND(AA247&gt;0,NOT($M$11="New Affordability")), "Not New Affordability!","")</f>
        <v/>
      </c>
      <c r="Y247" s="1517">
        <v>13</v>
      </c>
      <c r="Z247" s="2557"/>
      <c r="AA247" s="1543">
        <f>IF(AND($M$11="New Affordability",$M$15="Community Designations"),IF(OR(AA$183&gt;0,AA$215&gt;0,AA$233&gt;0),0,IF(OR(AA248="Yes",AA249="Yes"),$Y$247,0)),0)</f>
        <v>0</v>
      </c>
      <c r="AB247" s="1543">
        <f>IF(AND($M$12="New Affordability",$M$16="Community Designations"),IF(OR(AB$183&gt;0,AB$215&gt;0,AB$233&gt;0),0,IF(OR(AB248="Yes",AB249="Yes"),$Y$247,0)),0)</f>
        <v>0</v>
      </c>
      <c r="AC247" s="1544" t="s">
        <v>1744</v>
      </c>
      <c r="AD247" s="4063" t="s">
        <v>1881</v>
      </c>
      <c r="AE247" s="4063"/>
      <c r="AF247" s="4063"/>
      <c r="AG247" s="4063"/>
      <c r="AH247" s="1725" t="str">
        <f>$M$15</f>
        <v>&lt;&lt; Select Scoring Track &gt;&gt;</v>
      </c>
      <c r="AY247" s="1790">
        <v>265</v>
      </c>
    </row>
    <row r="248" spans="1:53" ht="16.05" customHeight="1">
      <c r="A248" s="1517" t="s">
        <v>186</v>
      </c>
      <c r="B248" s="3860" t="s">
        <v>1930</v>
      </c>
      <c r="C248" s="3860"/>
      <c r="D248" s="3860"/>
      <c r="E248" s="3860"/>
      <c r="F248" s="3860"/>
      <c r="G248" s="3860"/>
      <c r="H248" s="2576"/>
      <c r="I248" s="2576"/>
      <c r="X248" s="2576"/>
      <c r="Y248" s="2558">
        <v>13</v>
      </c>
      <c r="Z248" s="1547"/>
      <c r="AA248" s="2777"/>
      <c r="AB248" s="2778"/>
      <c r="AC248" s="2568"/>
      <c r="AD248" s="1512"/>
      <c r="AE248" s="1512"/>
      <c r="AF248" s="1512"/>
      <c r="AG248" s="1512"/>
      <c r="AH248" s="1512"/>
      <c r="AY248" s="1791">
        <v>266</v>
      </c>
    </row>
    <row r="249" spans="1:53" ht="16.05" customHeight="1">
      <c r="A249" s="1517" t="s">
        <v>198</v>
      </c>
      <c r="B249" s="2556" t="s">
        <v>1931</v>
      </c>
      <c r="E249" s="2576"/>
      <c r="X249" s="2576"/>
      <c r="Y249" s="2558">
        <v>10</v>
      </c>
      <c r="Z249" s="1547"/>
      <c r="AA249" s="1450"/>
      <c r="AB249" s="1553"/>
      <c r="AC249" s="2568"/>
      <c r="AD249" s="1512"/>
      <c r="AE249" s="1512"/>
      <c r="AF249" s="1512"/>
      <c r="AG249" s="1512"/>
      <c r="AH249" s="1512"/>
      <c r="AY249" s="1790">
        <v>267</v>
      </c>
    </row>
    <row r="250" spans="1:53" ht="16.05" customHeight="1">
      <c r="A250" s="1515"/>
      <c r="B250" s="1533" t="s">
        <v>1792</v>
      </c>
      <c r="C250" s="1515"/>
      <c r="D250" s="1515"/>
      <c r="E250" s="1515"/>
      <c r="F250" s="1515"/>
      <c r="G250" s="1515"/>
      <c r="H250" s="1515"/>
      <c r="I250" s="1515"/>
      <c r="J250" s="1515"/>
      <c r="K250" s="1515"/>
      <c r="L250" s="1515"/>
      <c r="M250" s="1515"/>
      <c r="N250" s="1515"/>
      <c r="O250" s="1515"/>
      <c r="P250" s="1515"/>
      <c r="Q250" s="1515"/>
      <c r="R250" s="1515"/>
      <c r="S250" s="1515"/>
      <c r="T250" s="1515"/>
      <c r="U250" s="1515"/>
      <c r="V250" s="1515"/>
      <c r="W250" s="1515"/>
      <c r="Y250" s="2557"/>
      <c r="AA250" s="1525"/>
      <c r="AD250" s="1512"/>
      <c r="AE250" s="1512"/>
      <c r="AF250" s="1512"/>
      <c r="AG250" s="1512"/>
      <c r="AH250" s="1512"/>
      <c r="AY250" s="1790">
        <v>268</v>
      </c>
    </row>
    <row r="251" spans="1:53" ht="15" customHeight="1">
      <c r="A251" s="3844" t="s">
        <v>7722</v>
      </c>
      <c r="B251" s="3845"/>
      <c r="C251" s="3845"/>
      <c r="D251" s="3845"/>
      <c r="E251" s="3845"/>
      <c r="F251" s="3845"/>
      <c r="G251" s="3845"/>
      <c r="H251" s="3845"/>
      <c r="I251" s="3845"/>
      <c r="J251" s="3845"/>
      <c r="K251" s="3845"/>
      <c r="L251" s="3845"/>
      <c r="M251" s="3845"/>
      <c r="N251" s="3845"/>
      <c r="O251" s="3845"/>
      <c r="P251" s="3845"/>
      <c r="Q251" s="3845"/>
      <c r="R251" s="3845"/>
      <c r="S251" s="3845"/>
      <c r="T251" s="3845"/>
      <c r="U251" s="3845"/>
      <c r="V251" s="3845"/>
      <c r="W251" s="3845"/>
      <c r="X251" s="3845"/>
      <c r="Y251" s="3845"/>
      <c r="Z251" s="3845"/>
      <c r="AA251" s="3845"/>
      <c r="AB251" s="3846"/>
      <c r="AC251" s="1574"/>
      <c r="AY251" s="1790">
        <v>269</v>
      </c>
    </row>
    <row r="252" spans="1:53" ht="16.05" customHeight="1">
      <c r="A252" s="1515"/>
      <c r="B252" s="1562" t="s">
        <v>1453</v>
      </c>
      <c r="C252" s="1515"/>
      <c r="D252" s="1515"/>
      <c r="E252" s="1562"/>
      <c r="F252" s="2559"/>
      <c r="G252" s="2559"/>
      <c r="H252" s="2559"/>
      <c r="I252" s="2559"/>
      <c r="J252" s="2559"/>
      <c r="K252" s="2559"/>
      <c r="L252" s="2559"/>
      <c r="M252" s="2559"/>
      <c r="N252" s="2559"/>
      <c r="O252" s="2559"/>
      <c r="P252" s="2559"/>
      <c r="Q252" s="2559"/>
      <c r="R252" s="2559"/>
      <c r="S252" s="2559"/>
      <c r="T252" s="2559"/>
      <c r="U252" s="2559"/>
      <c r="V252" s="2559"/>
      <c r="W252" s="2559"/>
      <c r="X252" s="2559"/>
      <c r="Y252" s="2559"/>
      <c r="Z252" s="1565"/>
      <c r="AA252" s="1566"/>
      <c r="AB252" s="1517"/>
      <c r="AY252" s="1791">
        <v>270</v>
      </c>
    </row>
    <row r="253" spans="1:53" ht="15" customHeight="1">
      <c r="A253" s="3847"/>
      <c r="B253" s="3848"/>
      <c r="C253" s="3848"/>
      <c r="D253" s="3848"/>
      <c r="E253" s="3848"/>
      <c r="F253" s="3848"/>
      <c r="G253" s="3848"/>
      <c r="H253" s="3848"/>
      <c r="I253" s="3848"/>
      <c r="J253" s="3848"/>
      <c r="K253" s="3848"/>
      <c r="L253" s="3848"/>
      <c r="M253" s="3848"/>
      <c r="N253" s="3848"/>
      <c r="O253" s="3848"/>
      <c r="P253" s="3848"/>
      <c r="Q253" s="3848"/>
      <c r="R253" s="3848"/>
      <c r="S253" s="3848"/>
      <c r="T253" s="3848"/>
      <c r="U253" s="3848"/>
      <c r="V253" s="3848"/>
      <c r="W253" s="3848"/>
      <c r="X253" s="3848"/>
      <c r="Y253" s="3848"/>
      <c r="Z253" s="3848"/>
      <c r="AA253" s="3848"/>
      <c r="AB253" s="3849"/>
      <c r="AC253" s="1567"/>
      <c r="AY253" s="1791">
        <v>271</v>
      </c>
    </row>
    <row r="254" spans="1:53" ht="9.75" customHeight="1">
      <c r="AY254" s="1791">
        <v>272</v>
      </c>
    </row>
    <row r="255" spans="1:53" ht="9.75" customHeight="1" thickBot="1">
      <c r="Y255" s="2406"/>
      <c r="AY255" s="1791">
        <v>273</v>
      </c>
    </row>
    <row r="256" spans="1:53" ht="16.05" customHeight="1">
      <c r="A256" s="1534" t="s">
        <v>1528</v>
      </c>
      <c r="B256" s="1535" t="s">
        <v>1932</v>
      </c>
      <c r="F256" s="2554" t="str">
        <f>IF(AND(AA256&gt;0,NOT($M$11="New Affordability"),NOT($C$16="9%")), "Ineligible, not New Affordability and 9%!","")</f>
        <v/>
      </c>
      <c r="H256" s="1635" t="str">
        <f>$C$16</f>
        <v>9%</v>
      </c>
      <c r="I256" s="1587" t="str">
        <f>$X$11</f>
        <v>Rural</v>
      </c>
      <c r="X256" s="1542" t="s">
        <v>1743</v>
      </c>
      <c r="Y256" s="2420">
        <f>IF(AND('Part I-Project Identification'!F12 ="9% Credits", NOT(X11 ="Rural")),4,3)</f>
        <v>3</v>
      </c>
      <c r="Z256" s="2557"/>
      <c r="AA256" s="1543">
        <f>IF(AND($M$11="New Affordability",AA257="Yes",$H$256="9%",OR($I$256="Atlanta Metro",$I$256="Other Metro")),4,IF(AND($M$11="New Affordability",AA257="Yes"),3,0))</f>
        <v>0</v>
      </c>
      <c r="AB256" s="1543">
        <f>IF(AND($M$12="New Affordability", AB257="Yes", K260="Yes", Y260="Yes", $C$16="9%", OR($X$12="Atlanta Metro",$X$12="Other Metro")),4,IF(OR(AND($X$12="Rural", $C$16="9%", AB257="Yes",K260="Yes", Y260="Yes"),AND($C$16="4%", AB257="Yes",  K260="Yes", Y260="Yes")),3,0))</f>
        <v>0</v>
      </c>
      <c r="AC256" s="1544" t="s">
        <v>1744</v>
      </c>
      <c r="AD256" s="2554"/>
      <c r="AE256" s="1512"/>
      <c r="AF256" s="1512"/>
      <c r="AG256" s="1512"/>
      <c r="AH256" s="1512"/>
      <c r="AI256" s="1659"/>
      <c r="AJ256" s="1659"/>
      <c r="AY256" s="1790">
        <v>274</v>
      </c>
    </row>
    <row r="257" spans="1:51" ht="16.05" customHeight="1">
      <c r="A257" s="1660"/>
      <c r="B257" s="1557" t="s">
        <v>1933</v>
      </c>
      <c r="C257" s="1557"/>
      <c r="D257" s="1557"/>
      <c r="E257" s="1557"/>
      <c r="F257" s="1557"/>
      <c r="G257" s="1557"/>
      <c r="H257" s="1557"/>
      <c r="S257" s="3927" t="s">
        <v>1934</v>
      </c>
      <c r="T257" s="3927"/>
      <c r="U257" s="3927"/>
      <c r="V257" s="1536"/>
      <c r="W257" s="1536"/>
      <c r="X257" s="2296"/>
      <c r="Z257" s="1559"/>
      <c r="AA257" s="2782"/>
      <c r="AB257" s="2783"/>
      <c r="AC257" s="1661"/>
      <c r="AD257" s="1620"/>
      <c r="AE257" s="1620"/>
      <c r="AF257" s="1620"/>
      <c r="AI257" s="1620"/>
      <c r="AJ257" s="1620"/>
      <c r="AK257" s="1620"/>
      <c r="AL257" s="1620"/>
      <c r="AM257" s="1620"/>
      <c r="AY257" s="1791">
        <v>275</v>
      </c>
    </row>
    <row r="258" spans="1:51" ht="16.05" customHeight="1">
      <c r="A258" s="1660"/>
      <c r="B258" s="1557"/>
      <c r="C258" s="1557"/>
      <c r="D258" s="1557"/>
      <c r="E258" s="1557"/>
      <c r="F258" s="3917" t="s">
        <v>1935</v>
      </c>
      <c r="G258" s="3917"/>
      <c r="H258" s="3917"/>
      <c r="I258" s="3917"/>
      <c r="J258" s="3917"/>
      <c r="K258" s="3917" t="s">
        <v>46</v>
      </c>
      <c r="L258" s="3917"/>
      <c r="M258" s="3917"/>
      <c r="N258" s="3917"/>
      <c r="O258" s="3917"/>
      <c r="P258" s="3917"/>
      <c r="Q258" s="3917"/>
      <c r="R258" s="3917"/>
      <c r="S258" s="3927"/>
      <c r="T258" s="3927"/>
      <c r="U258" s="3927"/>
      <c r="V258" s="2560"/>
      <c r="W258" s="2560"/>
      <c r="Y258" s="2297"/>
      <c r="Z258" s="2297"/>
      <c r="AA258" s="2297"/>
      <c r="AB258" s="2297"/>
      <c r="AC258" s="1620"/>
      <c r="AD258" s="1620"/>
      <c r="AE258" s="1620"/>
      <c r="AF258" s="1620"/>
      <c r="AI258" s="1620"/>
      <c r="AJ258" s="1620"/>
      <c r="AK258" s="1620"/>
      <c r="AL258" s="1620"/>
      <c r="AM258" s="1620"/>
      <c r="AY258" s="1790">
        <v>276</v>
      </c>
    </row>
    <row r="259" spans="1:51" ht="13.8">
      <c r="A259" s="1660"/>
      <c r="B259" s="2405" t="s">
        <v>1936</v>
      </c>
      <c r="F259" s="3930"/>
      <c r="G259" s="4071"/>
      <c r="H259" s="4071"/>
      <c r="I259" s="4071"/>
      <c r="J259" s="4072"/>
      <c r="K259" s="3890"/>
      <c r="L259" s="3891"/>
      <c r="M259" s="3891"/>
      <c r="N259" s="3891"/>
      <c r="O259" s="3891"/>
      <c r="P259" s="3891"/>
      <c r="Q259" s="3891"/>
      <c r="R259" s="3892"/>
      <c r="S259" s="3892"/>
      <c r="T259" s="4080"/>
      <c r="U259" s="4081"/>
      <c r="V259" s="2448"/>
      <c r="W259" s="2448"/>
      <c r="X259" s="2406"/>
      <c r="Y259" s="2297"/>
      <c r="Z259" s="2297"/>
      <c r="AA259" s="2297"/>
      <c r="AB259" s="2297"/>
      <c r="AC259" s="1620"/>
      <c r="AD259" s="1620"/>
      <c r="AE259" s="1620"/>
      <c r="AF259" s="1620"/>
      <c r="AI259" s="1620"/>
      <c r="AJ259" s="1620"/>
      <c r="AK259" s="1620"/>
      <c r="AL259" s="1620"/>
      <c r="AM259" s="1620"/>
      <c r="AY259" s="1790">
        <v>277</v>
      </c>
    </row>
    <row r="260" spans="1:51" s="1515" customFormat="1" ht="13.8">
      <c r="A260" s="1578"/>
      <c r="B260" s="2562" t="s">
        <v>1937</v>
      </c>
      <c r="F260" s="3930"/>
      <c r="G260" s="4071"/>
      <c r="H260" s="4071"/>
      <c r="I260" s="4071"/>
      <c r="J260" s="4079"/>
      <c r="K260" s="4078"/>
      <c r="L260" s="4071"/>
      <c r="M260" s="4071"/>
      <c r="N260" s="4071"/>
      <c r="O260" s="4071"/>
      <c r="P260" s="4071"/>
      <c r="Q260" s="4071"/>
      <c r="R260" s="4071"/>
      <c r="S260" s="4082"/>
      <c r="T260" s="4082"/>
      <c r="U260" s="4083"/>
      <c r="V260" s="2448"/>
      <c r="W260" s="2448"/>
      <c r="X260" s="2421"/>
      <c r="Y260" s="4070"/>
      <c r="Z260" s="4070"/>
      <c r="AA260" s="4070"/>
      <c r="AB260" s="4070"/>
      <c r="AY260" s="1790">
        <v>278</v>
      </c>
    </row>
    <row r="261" spans="1:51" ht="16.05" customHeight="1">
      <c r="A261" s="1515"/>
      <c r="E261" s="1515"/>
      <c r="F261" s="1515"/>
      <c r="G261" s="1517"/>
      <c r="H261" s="1517"/>
      <c r="I261" s="1517"/>
      <c r="J261" s="1517"/>
      <c r="K261" s="2562"/>
      <c r="L261" s="2562"/>
      <c r="M261" s="2562"/>
      <c r="N261" s="2562"/>
      <c r="O261" s="2562"/>
      <c r="P261" s="2562"/>
      <c r="Q261" s="2562"/>
      <c r="R261" s="2562"/>
      <c r="S261" s="2562"/>
      <c r="T261" s="2562"/>
      <c r="U261" s="2562"/>
      <c r="V261" s="2562"/>
      <c r="W261" s="2562"/>
      <c r="X261" s="2562"/>
      <c r="Y261" s="2557"/>
      <c r="Z261" s="1517"/>
      <c r="AB261" s="1525"/>
      <c r="AY261" s="1790">
        <v>279</v>
      </c>
    </row>
    <row r="262" spans="1:51" ht="16.05" customHeight="1">
      <c r="A262" s="1515"/>
      <c r="B262" s="1533" t="s">
        <v>1792</v>
      </c>
      <c r="C262" s="1515"/>
      <c r="D262" s="1515"/>
      <c r="E262" s="1515"/>
      <c r="F262" s="1515"/>
      <c r="G262" s="1515"/>
      <c r="H262" s="1515"/>
      <c r="I262" s="1515"/>
      <c r="J262" s="1515"/>
      <c r="K262" s="1515"/>
      <c r="L262" s="1515"/>
      <c r="M262" s="1515"/>
      <c r="N262" s="1515"/>
      <c r="O262" s="1515"/>
      <c r="P262" s="1515"/>
      <c r="Q262" s="1515"/>
      <c r="R262" s="1515"/>
      <c r="S262" s="1515"/>
      <c r="T262" s="1515"/>
      <c r="U262" s="1515"/>
      <c r="V262" s="1515"/>
      <c r="W262" s="1515"/>
      <c r="Y262" s="2557"/>
      <c r="AA262" s="1525"/>
      <c r="AY262" s="1790">
        <v>280</v>
      </c>
    </row>
    <row r="263" spans="1:51" ht="30" customHeight="1">
      <c r="A263" s="3844" t="s">
        <v>7722</v>
      </c>
      <c r="B263" s="3845"/>
      <c r="C263" s="3845"/>
      <c r="D263" s="3845"/>
      <c r="E263" s="3845"/>
      <c r="F263" s="3845"/>
      <c r="G263" s="3845"/>
      <c r="H263" s="3845"/>
      <c r="I263" s="3845"/>
      <c r="J263" s="3845"/>
      <c r="K263" s="3845"/>
      <c r="L263" s="3845"/>
      <c r="M263" s="3845"/>
      <c r="N263" s="3845"/>
      <c r="O263" s="3845"/>
      <c r="P263" s="3845"/>
      <c r="Q263" s="3845"/>
      <c r="R263" s="3845"/>
      <c r="S263" s="3845"/>
      <c r="T263" s="3845"/>
      <c r="U263" s="3845"/>
      <c r="V263" s="3845"/>
      <c r="W263" s="3845"/>
      <c r="X263" s="3845"/>
      <c r="Y263" s="3845"/>
      <c r="Z263" s="3845"/>
      <c r="AA263" s="3845"/>
      <c r="AB263" s="3846"/>
      <c r="AC263" s="1574"/>
      <c r="AY263" s="1790">
        <v>281</v>
      </c>
    </row>
    <row r="264" spans="1:51" ht="16.05" customHeight="1">
      <c r="B264" s="1562" t="s">
        <v>1453</v>
      </c>
      <c r="C264" s="1563"/>
      <c r="D264" s="1563"/>
      <c r="E264" s="1562"/>
      <c r="F264" s="1564"/>
      <c r="G264" s="2559"/>
      <c r="H264" s="2559"/>
      <c r="I264" s="2559"/>
      <c r="J264" s="2559"/>
      <c r="K264" s="2559"/>
      <c r="L264" s="2559"/>
      <c r="M264" s="2559"/>
      <c r="N264" s="2559"/>
      <c r="O264" s="2559"/>
      <c r="P264" s="2559"/>
      <c r="Q264" s="2559"/>
      <c r="R264" s="2559"/>
      <c r="S264" s="2559"/>
      <c r="T264" s="2559"/>
      <c r="U264" s="2559"/>
      <c r="V264" s="2559"/>
      <c r="W264" s="2559"/>
      <c r="X264" s="2559"/>
      <c r="Y264" s="2559"/>
      <c r="Z264" s="1565"/>
      <c r="AA264" s="1566"/>
      <c r="AB264" s="1517"/>
      <c r="AY264" s="1791">
        <v>282</v>
      </c>
    </row>
    <row r="265" spans="1:51" ht="15" customHeight="1">
      <c r="A265" s="3847"/>
      <c r="B265" s="3848"/>
      <c r="C265" s="3848"/>
      <c r="D265" s="3848"/>
      <c r="E265" s="3848"/>
      <c r="F265" s="3848"/>
      <c r="G265" s="3848"/>
      <c r="H265" s="3848"/>
      <c r="I265" s="3848"/>
      <c r="J265" s="3848"/>
      <c r="K265" s="3848"/>
      <c r="L265" s="3848"/>
      <c r="M265" s="3848"/>
      <c r="N265" s="3848"/>
      <c r="O265" s="3848"/>
      <c r="P265" s="3848"/>
      <c r="Q265" s="3848"/>
      <c r="R265" s="3848"/>
      <c r="S265" s="3848"/>
      <c r="T265" s="3848"/>
      <c r="U265" s="3848"/>
      <c r="V265" s="3848"/>
      <c r="W265" s="3848"/>
      <c r="X265" s="3848"/>
      <c r="Y265" s="3848"/>
      <c r="Z265" s="3848"/>
      <c r="AA265" s="3848"/>
      <c r="AB265" s="3849"/>
      <c r="AC265" s="1567"/>
      <c r="AY265" s="1791">
        <v>283</v>
      </c>
    </row>
    <row r="266" spans="1:51" ht="9.75" customHeight="1">
      <c r="AY266" s="1791">
        <v>284</v>
      </c>
    </row>
    <row r="267" spans="1:51" ht="9.75" customHeight="1" thickBot="1">
      <c r="AY267" s="1790">
        <v>285</v>
      </c>
    </row>
    <row r="268" spans="1:51" ht="16.05" customHeight="1" thickBot="1">
      <c r="A268" s="1534" t="s">
        <v>1548</v>
      </c>
      <c r="B268" s="1535" t="s">
        <v>1938</v>
      </c>
      <c r="H268" s="1545"/>
      <c r="J268" s="1569" t="str">
        <f>IF($AA$256&gt;0,"Points already claimed in another restricted section!","")</f>
        <v/>
      </c>
      <c r="T268" s="1658" t="str">
        <f>IF(AND(SUM(AA270,AA273)&gt;0,NOT($M$11="New Affordability"),NOT($C$16="9%")), "Not 9% New Affordability!","")</f>
        <v/>
      </c>
      <c r="U268" s="1658"/>
      <c r="V268" s="1658"/>
      <c r="W268" s="1658"/>
      <c r="X268" s="1542" t="s">
        <v>1743</v>
      </c>
      <c r="Y268" s="1517">
        <v>5</v>
      </c>
      <c r="Z268" s="2557"/>
      <c r="AA268" s="1543">
        <f>IF(AND(AA256=0,$M$11="New Affordability",$C$16="9%"),MIN($Y268,MAX(AA270,AA273)),0)</f>
        <v>0</v>
      </c>
      <c r="AB268" s="1543">
        <f>IF(AND(AB256=0,$M$12="New Affordability",$C$16="9%"),MIN($Y268,MAX(AB270,AB273)),0)</f>
        <v>0</v>
      </c>
      <c r="AC268" s="1544" t="s">
        <v>1744</v>
      </c>
      <c r="AD268" s="2554"/>
      <c r="AE268" s="1512"/>
      <c r="AF268" s="1512"/>
      <c r="AG268" s="1512"/>
      <c r="AH268" s="1512"/>
      <c r="AI268" s="1659"/>
      <c r="AJ268" s="1659"/>
      <c r="AY268" s="1790">
        <v>286</v>
      </c>
    </row>
    <row r="269" spans="1:51" ht="15" customHeight="1">
      <c r="B269" s="1514" t="s">
        <v>1939</v>
      </c>
      <c r="AY269" s="1791">
        <v>287</v>
      </c>
    </row>
    <row r="270" spans="1:51" s="1515" customFormat="1" ht="16.05" customHeight="1">
      <c r="A270" s="1517" t="s">
        <v>186</v>
      </c>
      <c r="B270" s="1523" t="s">
        <v>1940</v>
      </c>
      <c r="X270" s="1588" t="s">
        <v>1743</v>
      </c>
      <c r="Y270" s="2557">
        <v>5</v>
      </c>
      <c r="Z270" s="1547"/>
      <c r="AA270" s="2816">
        <f>IF(AA271=15,5,IF(AA271=6,4,IF(AA271=4,3,IF(AND(AA271=3,AA272="Yes"),4,IF(AND(AA271=2,AA272="Yes"),3,0)))))</f>
        <v>0</v>
      </c>
      <c r="AB270" s="2816">
        <f>IF(AB271=15,5,IF(AB271=6,4,IF(AB271=4,3,IF(AND(AB271=3,AB272="Yes"),4,IF(AND(AB271=2,AB272="Yes"),3,0)))))</f>
        <v>0</v>
      </c>
      <c r="AC270" s="1549" t="str">
        <f>IF(OR($AA270&lt;=$Y270,$AA270=""),"","*CHECK!*")</f>
        <v/>
      </c>
      <c r="AD270" s="2554"/>
      <c r="AY270" s="1791">
        <v>291</v>
      </c>
    </row>
    <row r="271" spans="1:51" ht="15.75" customHeight="1">
      <c r="B271" s="1514" t="s">
        <v>1941</v>
      </c>
      <c r="AA271" s="1449"/>
      <c r="AB271" s="1601"/>
      <c r="AY271" s="1790">
        <v>294</v>
      </c>
    </row>
    <row r="272" spans="1:51" ht="15" customHeight="1">
      <c r="B272" s="1514" t="s">
        <v>1942</v>
      </c>
      <c r="X272" s="1751">
        <f>AA155</f>
        <v>0</v>
      </c>
      <c r="AA272" s="1753"/>
      <c r="AB272" s="1609"/>
      <c r="AY272" s="1791">
        <v>293</v>
      </c>
    </row>
    <row r="273" spans="1:60" ht="16.05" customHeight="1">
      <c r="A273" s="1517" t="s">
        <v>198</v>
      </c>
      <c r="B273" s="1523" t="s">
        <v>1943</v>
      </c>
      <c r="H273" s="2562"/>
      <c r="J273" s="1545"/>
      <c r="X273" s="1588" t="s">
        <v>1743</v>
      </c>
      <c r="Y273" s="2557">
        <v>3</v>
      </c>
      <c r="Z273" s="1547"/>
      <c r="AA273" s="2816">
        <f>IF(AND(AA274=15,AA275&lt;0.15,AA275&lt;&gt;""),3,IF(AND(AA274=15,AA275&gt;=0.15,AA275&lt;0.25),2,IF(AND(AA274=5,AA275&lt;0.15,AA275&lt;&gt;""),1,0)))</f>
        <v>0</v>
      </c>
      <c r="AB273" s="2816">
        <f>IF(AND(AB274=15,AB275&lt;0.15,AB275&lt;&gt;""),3,IF(AND(AB274=15,AB275&gt;=0.15,AB275&lt;0.25),2,IF(AND(AB274=5,AB275&lt;0.15,AB275&lt;&gt;""),1,0)))</f>
        <v>0</v>
      </c>
      <c r="AC273" s="1549" t="str">
        <f>IF(OR($AA273&lt;=$Y273,$AA273=""),"","*CHECK!*")</f>
        <v/>
      </c>
      <c r="AD273" s="2554"/>
      <c r="AY273" s="1790">
        <v>295</v>
      </c>
    </row>
    <row r="274" spans="1:60" ht="16.05" customHeight="1">
      <c r="A274" s="1517"/>
      <c r="B274" s="1515" t="s">
        <v>1944</v>
      </c>
      <c r="H274" s="2562"/>
      <c r="J274" s="1545"/>
      <c r="X274" s="1588"/>
      <c r="Y274" s="2557"/>
      <c r="Z274" s="1547"/>
      <c r="AA274" s="2298"/>
      <c r="AB274" s="1602"/>
      <c r="AC274" s="1549"/>
      <c r="AD274" s="2554"/>
      <c r="AY274" s="1790"/>
    </row>
    <row r="275" spans="1:60" ht="15.75" customHeight="1">
      <c r="B275" s="1514" t="s">
        <v>1945</v>
      </c>
      <c r="AA275" s="2299"/>
      <c r="AB275" s="2300"/>
      <c r="AY275" s="1791">
        <v>296</v>
      </c>
    </row>
    <row r="276" spans="1:60" ht="9.75" customHeight="1">
      <c r="AY276" s="1791">
        <v>297</v>
      </c>
    </row>
    <row r="277" spans="1:60" ht="16.05" customHeight="1">
      <c r="A277" s="1515"/>
      <c r="B277" s="1533" t="s">
        <v>1792</v>
      </c>
      <c r="C277" s="1515"/>
      <c r="D277" s="1515"/>
      <c r="E277" s="1515"/>
      <c r="F277" s="1515"/>
      <c r="G277" s="1515"/>
      <c r="H277" s="1515"/>
      <c r="I277" s="1515"/>
      <c r="J277" s="1515"/>
      <c r="K277" s="1515"/>
      <c r="L277" s="1515"/>
      <c r="M277" s="1515"/>
      <c r="N277" s="1515"/>
      <c r="O277" s="1515"/>
      <c r="P277" s="1515"/>
      <c r="Q277" s="1515"/>
      <c r="R277" s="1515"/>
      <c r="S277" s="1515"/>
      <c r="T277" s="1515"/>
      <c r="U277" s="1515"/>
      <c r="V277" s="1515"/>
      <c r="W277" s="1515"/>
      <c r="Y277" s="2557"/>
      <c r="AA277" s="1525"/>
      <c r="AY277" s="1791">
        <v>298</v>
      </c>
    </row>
    <row r="278" spans="1:60" ht="30" customHeight="1">
      <c r="A278" s="3844" t="s">
        <v>7722</v>
      </c>
      <c r="B278" s="3845"/>
      <c r="C278" s="3845"/>
      <c r="D278" s="3845"/>
      <c r="E278" s="3845"/>
      <c r="F278" s="3845"/>
      <c r="G278" s="3845"/>
      <c r="H278" s="3845"/>
      <c r="I278" s="3845"/>
      <c r="J278" s="3845"/>
      <c r="K278" s="3845"/>
      <c r="L278" s="3845"/>
      <c r="M278" s="3845"/>
      <c r="N278" s="3845"/>
      <c r="O278" s="3845"/>
      <c r="P278" s="3845"/>
      <c r="Q278" s="3845"/>
      <c r="R278" s="3845"/>
      <c r="S278" s="3845"/>
      <c r="T278" s="3845"/>
      <c r="U278" s="3845"/>
      <c r="V278" s="3845"/>
      <c r="W278" s="3845"/>
      <c r="X278" s="3845"/>
      <c r="Y278" s="3845"/>
      <c r="Z278" s="3845"/>
      <c r="AA278" s="3845"/>
      <c r="AB278" s="3846"/>
      <c r="AC278" s="1574"/>
      <c r="AY278" s="1791">
        <v>299</v>
      </c>
    </row>
    <row r="279" spans="1:60" ht="16.05" customHeight="1">
      <c r="B279" s="1562" t="s">
        <v>1453</v>
      </c>
      <c r="C279" s="1563"/>
      <c r="D279" s="1563"/>
      <c r="E279" s="1562"/>
      <c r="F279" s="1564"/>
      <c r="G279" s="2559"/>
      <c r="H279" s="2559"/>
      <c r="I279" s="2559"/>
      <c r="J279" s="2559"/>
      <c r="K279" s="2559"/>
      <c r="L279" s="2559"/>
      <c r="M279" s="2559"/>
      <c r="N279" s="2559"/>
      <c r="O279" s="2559"/>
      <c r="P279" s="2559"/>
      <c r="Q279" s="2559"/>
      <c r="R279" s="2559"/>
      <c r="S279" s="2559"/>
      <c r="T279" s="2559"/>
      <c r="U279" s="2559"/>
      <c r="V279" s="2559"/>
      <c r="W279" s="2559"/>
      <c r="X279" s="2559"/>
      <c r="Y279" s="2559"/>
      <c r="Z279" s="1565"/>
      <c r="AA279" s="1566"/>
      <c r="AB279" s="1517"/>
      <c r="AY279" s="1790">
        <v>300</v>
      </c>
    </row>
    <row r="280" spans="1:60" ht="15" customHeight="1">
      <c r="A280" s="3847"/>
      <c r="B280" s="3848"/>
      <c r="C280" s="3848"/>
      <c r="D280" s="3848"/>
      <c r="E280" s="3848"/>
      <c r="F280" s="3848"/>
      <c r="G280" s="3848"/>
      <c r="H280" s="3848"/>
      <c r="I280" s="3848"/>
      <c r="J280" s="3848"/>
      <c r="K280" s="3848"/>
      <c r="L280" s="3848"/>
      <c r="M280" s="3848"/>
      <c r="N280" s="3848"/>
      <c r="O280" s="3848"/>
      <c r="P280" s="3848"/>
      <c r="Q280" s="3848"/>
      <c r="R280" s="3848"/>
      <c r="S280" s="3848"/>
      <c r="T280" s="3848"/>
      <c r="U280" s="3848"/>
      <c r="V280" s="3848"/>
      <c r="W280" s="3848"/>
      <c r="X280" s="3848"/>
      <c r="Y280" s="3848"/>
      <c r="Z280" s="3848"/>
      <c r="AA280" s="3848"/>
      <c r="AB280" s="3849"/>
      <c r="AC280" s="1567"/>
      <c r="AY280" s="1791">
        <v>301</v>
      </c>
    </row>
    <row r="281" spans="1:60" ht="9.75" customHeight="1">
      <c r="AY281" s="1790">
        <v>302</v>
      </c>
    </row>
    <row r="282" spans="1:60" ht="9.75" customHeight="1">
      <c r="AY282" s="1790">
        <v>303</v>
      </c>
    </row>
    <row r="283" spans="1:60" s="1515" customFormat="1" ht="16.05" customHeight="1">
      <c r="A283" s="1534" t="s">
        <v>1557</v>
      </c>
      <c r="B283" s="1535" t="s">
        <v>1946</v>
      </c>
      <c r="E283" s="1535"/>
      <c r="F283" s="1535"/>
      <c r="H283" s="1515" t="str">
        <f>$X$11</f>
        <v>Rural</v>
      </c>
      <c r="L283" s="1546"/>
      <c r="M283" s="1546"/>
      <c r="N283" s="1546"/>
      <c r="O283" s="1546"/>
      <c r="P283" s="1546"/>
      <c r="Q283" s="1546"/>
      <c r="R283" s="1546"/>
      <c r="T283" s="1546" t="str">
        <f t="shared" ref="T283" si="11">IF(OR($AA283=$Y283,$AA283=0,$AA283=""),"","* * Check Score! * *")</f>
        <v/>
      </c>
      <c r="X283" s="1569" t="str">
        <f>IF(AND(AA283&gt;0,$X$11="Atlanta Metro"), "Atlanta Metro is ineligible to score in this section!","")</f>
        <v/>
      </c>
      <c r="Y283" s="1517">
        <v>1</v>
      </c>
      <c r="Z283" s="2557"/>
      <c r="AA283" s="1478"/>
      <c r="AB283" s="1632"/>
      <c r="AC283" s="1544" t="s">
        <v>1744</v>
      </c>
      <c r="AD283" s="1512"/>
      <c r="AE283" s="1512"/>
      <c r="AF283" s="1512"/>
      <c r="AG283" s="1512"/>
      <c r="AH283" s="1512"/>
      <c r="AY283" s="1791">
        <v>318</v>
      </c>
    </row>
    <row r="284" spans="1:60" s="1515" customFormat="1" ht="16.05" customHeight="1">
      <c r="A284" s="1534"/>
      <c r="B284" s="1535"/>
      <c r="E284" s="1535"/>
      <c r="F284" s="1535"/>
      <c r="Y284" s="2553"/>
      <c r="AC284" s="1544"/>
      <c r="AD284" s="1512"/>
      <c r="AE284" s="1512"/>
      <c r="AF284" s="1512"/>
      <c r="AG284" s="1512"/>
      <c r="AH284" s="1512"/>
      <c r="AI284" s="1514"/>
      <c r="AJ284" s="1514"/>
      <c r="AY284" s="1791">
        <v>319</v>
      </c>
    </row>
    <row r="285" spans="1:60" s="1515" customFormat="1" ht="16.05" customHeight="1">
      <c r="A285" s="1534"/>
      <c r="B285" s="1535"/>
      <c r="C285" s="1515" t="s">
        <v>1947</v>
      </c>
      <c r="F285" s="1535"/>
      <c r="X285" s="3899" t="s">
        <v>1948</v>
      </c>
      <c r="Y285" s="3899"/>
      <c r="AA285" s="3899" t="s">
        <v>1949</v>
      </c>
      <c r="AB285" s="3899"/>
      <c r="AC285" s="1544"/>
      <c r="AD285" s="1512"/>
      <c r="AE285" s="1512"/>
      <c r="AF285" s="1512"/>
      <c r="AG285" s="1512"/>
      <c r="AH285" s="1512"/>
      <c r="AI285" s="1514"/>
      <c r="AJ285" s="1514"/>
      <c r="AY285" s="1790">
        <v>320</v>
      </c>
    </row>
    <row r="286" spans="1:60" s="1515" customFormat="1" ht="16.05" customHeight="1">
      <c r="A286" s="1534"/>
      <c r="C286" s="1515" t="s">
        <v>1950</v>
      </c>
      <c r="E286" s="1535"/>
      <c r="F286" s="1515" t="s">
        <v>236</v>
      </c>
      <c r="T286" s="1515" t="s">
        <v>48</v>
      </c>
      <c r="U286" s="2557"/>
      <c r="V286" s="2562" t="s">
        <v>1951</v>
      </c>
      <c r="W286" s="2557"/>
      <c r="X286" s="3899"/>
      <c r="Y286" s="3899"/>
      <c r="AA286" s="3899"/>
      <c r="AB286" s="3899"/>
      <c r="AC286" s="1544"/>
      <c r="AD286" s="1512"/>
      <c r="AE286" s="1512"/>
      <c r="AF286" s="1512"/>
      <c r="AG286" s="1512"/>
      <c r="AH286" s="1512"/>
      <c r="AI286" s="1514"/>
      <c r="AJ286" s="1514"/>
      <c r="AY286" s="1791">
        <v>321</v>
      </c>
      <c r="BH286" s="1648"/>
    </row>
    <row r="287" spans="1:60" s="1515" customFormat="1" ht="16.05" customHeight="1">
      <c r="A287" s="1534"/>
      <c r="B287" s="1639" t="s">
        <v>201</v>
      </c>
      <c r="C287" s="4052"/>
      <c r="D287" s="4053"/>
      <c r="E287" s="4054"/>
      <c r="F287" s="4052"/>
      <c r="G287" s="4053"/>
      <c r="H287" s="4053"/>
      <c r="I287" s="4053"/>
      <c r="J287" s="4053"/>
      <c r="K287" s="4053"/>
      <c r="L287" s="4053"/>
      <c r="M287" s="4053"/>
      <c r="N287" s="4053"/>
      <c r="O287" s="4053"/>
      <c r="P287" s="4053"/>
      <c r="Q287" s="4053"/>
      <c r="R287" s="4053"/>
      <c r="S287" s="4054"/>
      <c r="T287" s="3877"/>
      <c r="U287" s="3878"/>
      <c r="V287" s="3877"/>
      <c r="W287" s="3878"/>
      <c r="X287" s="4061"/>
      <c r="Y287" s="4061"/>
      <c r="Z287" s="1636"/>
      <c r="AA287" s="4051"/>
      <c r="AB287" s="4051"/>
      <c r="AC287" s="1544"/>
      <c r="AD287" s="1512"/>
      <c r="AE287" s="1512"/>
      <c r="AF287" s="1512"/>
      <c r="AG287" s="1512"/>
      <c r="AH287" s="1512"/>
      <c r="AI287" s="1514"/>
      <c r="AJ287" s="1514"/>
      <c r="AY287" s="1790">
        <v>322</v>
      </c>
    </row>
    <row r="288" spans="1:60" s="1515" customFormat="1" ht="16.05" customHeight="1">
      <c r="A288" s="1534"/>
      <c r="B288" s="1550" t="s">
        <v>209</v>
      </c>
      <c r="C288" s="4055"/>
      <c r="D288" s="4056"/>
      <c r="E288" s="4057"/>
      <c r="F288" s="4055"/>
      <c r="G288" s="4056"/>
      <c r="H288" s="4056"/>
      <c r="I288" s="4056"/>
      <c r="J288" s="4056"/>
      <c r="K288" s="4056"/>
      <c r="L288" s="4056"/>
      <c r="M288" s="4056"/>
      <c r="N288" s="4056"/>
      <c r="O288" s="4056"/>
      <c r="P288" s="4056"/>
      <c r="Q288" s="4056"/>
      <c r="R288" s="4056"/>
      <c r="S288" s="4057"/>
      <c r="T288" s="3873"/>
      <c r="U288" s="3874"/>
      <c r="V288" s="3873"/>
      <c r="W288" s="3874"/>
      <c r="X288" s="3953"/>
      <c r="Y288" s="3953"/>
      <c r="Z288" s="1636"/>
      <c r="AA288" s="3954"/>
      <c r="AB288" s="3954"/>
      <c r="AC288" s="1544"/>
      <c r="AD288" s="1512"/>
      <c r="AE288" s="1512"/>
      <c r="AF288" s="1512"/>
      <c r="AG288" s="1512"/>
      <c r="AH288" s="1512"/>
      <c r="AI288" s="1514"/>
      <c r="AJ288" s="1514"/>
      <c r="AY288" s="1790">
        <v>323</v>
      </c>
    </row>
    <row r="289" spans="1:51" s="1515" customFormat="1" ht="16.05" customHeight="1">
      <c r="A289" s="1534"/>
      <c r="B289" s="1550" t="s">
        <v>213</v>
      </c>
      <c r="C289" s="4055"/>
      <c r="D289" s="4056"/>
      <c r="E289" s="4057"/>
      <c r="F289" s="4055"/>
      <c r="G289" s="4056"/>
      <c r="H289" s="4056"/>
      <c r="I289" s="4056"/>
      <c r="J289" s="4056"/>
      <c r="K289" s="4056"/>
      <c r="L289" s="4056"/>
      <c r="M289" s="4056"/>
      <c r="N289" s="4056"/>
      <c r="O289" s="4056"/>
      <c r="P289" s="4056"/>
      <c r="Q289" s="4056"/>
      <c r="R289" s="4056"/>
      <c r="S289" s="4057"/>
      <c r="T289" s="3873"/>
      <c r="U289" s="3874"/>
      <c r="V289" s="3873"/>
      <c r="W289" s="3874"/>
      <c r="X289" s="3953"/>
      <c r="Y289" s="3953"/>
      <c r="Z289" s="1636"/>
      <c r="AA289" s="3954"/>
      <c r="AB289" s="3954"/>
      <c r="AC289" s="1544"/>
      <c r="AD289" s="1512"/>
      <c r="AE289" s="1512"/>
      <c r="AF289" s="1512"/>
      <c r="AG289" s="1512"/>
      <c r="AH289" s="1512"/>
      <c r="AI289" s="1514"/>
      <c r="AJ289" s="1514"/>
      <c r="AY289" s="1790">
        <v>324</v>
      </c>
    </row>
    <row r="290" spans="1:51" s="1515" customFormat="1" ht="16.05" customHeight="1">
      <c r="A290" s="1534"/>
      <c r="B290" s="1550" t="s">
        <v>253</v>
      </c>
      <c r="C290" s="4058"/>
      <c r="D290" s="4059"/>
      <c r="E290" s="4060"/>
      <c r="F290" s="4058"/>
      <c r="G290" s="4059"/>
      <c r="H290" s="4059"/>
      <c r="I290" s="4059"/>
      <c r="J290" s="4059"/>
      <c r="K290" s="4059"/>
      <c r="L290" s="4059"/>
      <c r="M290" s="4059"/>
      <c r="N290" s="4059"/>
      <c r="O290" s="4059"/>
      <c r="P290" s="4059"/>
      <c r="Q290" s="4059"/>
      <c r="R290" s="4059"/>
      <c r="S290" s="4060"/>
      <c r="T290" s="3875"/>
      <c r="U290" s="3876"/>
      <c r="V290" s="3875"/>
      <c r="W290" s="3876"/>
      <c r="X290" s="3975"/>
      <c r="Y290" s="3975"/>
      <c r="Z290" s="1636"/>
      <c r="AA290" s="3976"/>
      <c r="AB290" s="3976"/>
      <c r="AC290" s="1544"/>
      <c r="AD290" s="1512"/>
      <c r="AE290" s="1512"/>
      <c r="AF290" s="1512"/>
      <c r="AG290" s="1512"/>
      <c r="AH290" s="1512"/>
      <c r="AI290" s="1514"/>
      <c r="AJ290" s="1514"/>
      <c r="AY290" s="1790">
        <v>325</v>
      </c>
    </row>
    <row r="291" spans="1:51" ht="16.05" customHeight="1">
      <c r="A291" s="1515"/>
      <c r="B291" s="1533" t="s">
        <v>1792</v>
      </c>
      <c r="C291" s="1515"/>
      <c r="D291" s="1515"/>
      <c r="E291" s="1515"/>
      <c r="F291" s="1515"/>
      <c r="G291" s="1515"/>
      <c r="H291" s="1515"/>
      <c r="I291" s="1515"/>
      <c r="J291" s="1515"/>
      <c r="K291" s="1515"/>
      <c r="L291" s="1515"/>
      <c r="M291" s="1515"/>
      <c r="N291" s="1515"/>
      <c r="O291" s="1515"/>
      <c r="P291" s="1515"/>
      <c r="Q291" s="1515"/>
      <c r="R291" s="1515"/>
      <c r="S291" s="1515"/>
      <c r="T291" s="1515"/>
      <c r="U291" s="1515"/>
      <c r="V291" s="1515"/>
      <c r="W291" s="1515"/>
      <c r="Y291" s="2557"/>
      <c r="AA291" s="1525"/>
      <c r="AD291" s="1512"/>
      <c r="AE291" s="1512"/>
      <c r="AF291" s="1512"/>
      <c r="AG291" s="1512"/>
      <c r="AH291" s="1512"/>
      <c r="AY291" s="1791">
        <v>326</v>
      </c>
    </row>
    <row r="292" spans="1:51" ht="13.8">
      <c r="A292" s="3844" t="s">
        <v>7722</v>
      </c>
      <c r="B292" s="3845"/>
      <c r="C292" s="3845"/>
      <c r="D292" s="3845"/>
      <c r="E292" s="3845"/>
      <c r="F292" s="3845"/>
      <c r="G292" s="3845"/>
      <c r="H292" s="3845"/>
      <c r="I292" s="3845"/>
      <c r="J292" s="3845"/>
      <c r="K292" s="3845"/>
      <c r="L292" s="3845"/>
      <c r="M292" s="3845"/>
      <c r="N292" s="3845"/>
      <c r="O292" s="3845"/>
      <c r="P292" s="3845"/>
      <c r="Q292" s="3845"/>
      <c r="R292" s="3845"/>
      <c r="S292" s="3845"/>
      <c r="T292" s="3845"/>
      <c r="U292" s="3845"/>
      <c r="V292" s="3845"/>
      <c r="W292" s="3845"/>
      <c r="X292" s="3845"/>
      <c r="Y292" s="3845"/>
      <c r="Z292" s="3845"/>
      <c r="AA292" s="3845"/>
      <c r="AB292" s="3846"/>
      <c r="AC292" s="1574"/>
      <c r="AY292" s="1791">
        <v>327</v>
      </c>
    </row>
    <row r="293" spans="1:51" ht="16.05" customHeight="1">
      <c r="A293" s="1515"/>
      <c r="B293" s="1562" t="s">
        <v>1453</v>
      </c>
      <c r="C293" s="1515"/>
      <c r="D293" s="1515"/>
      <c r="E293" s="1562"/>
      <c r="F293" s="2559"/>
      <c r="G293" s="2559"/>
      <c r="H293" s="2559"/>
      <c r="I293" s="2559"/>
      <c r="J293" s="2559"/>
      <c r="K293" s="2559"/>
      <c r="L293" s="2559"/>
      <c r="M293" s="2559"/>
      <c r="N293" s="2559"/>
      <c r="O293" s="2559"/>
      <c r="P293" s="2559"/>
      <c r="Q293" s="2559"/>
      <c r="R293" s="2559"/>
      <c r="S293" s="2559"/>
      <c r="T293" s="2559"/>
      <c r="U293" s="2559"/>
      <c r="V293" s="2559"/>
      <c r="W293" s="2559"/>
      <c r="X293" s="2559"/>
      <c r="Y293" s="2559"/>
      <c r="Z293" s="1565"/>
      <c r="AA293" s="1566"/>
      <c r="AB293" s="1517"/>
      <c r="AY293" s="1791">
        <v>328</v>
      </c>
    </row>
    <row r="294" spans="1:51" ht="15" customHeight="1">
      <c r="A294" s="3847"/>
      <c r="B294" s="3848"/>
      <c r="C294" s="3848"/>
      <c r="D294" s="3848"/>
      <c r="E294" s="3848"/>
      <c r="F294" s="3848"/>
      <c r="G294" s="3848"/>
      <c r="H294" s="3848"/>
      <c r="I294" s="3848"/>
      <c r="J294" s="3848"/>
      <c r="K294" s="3848"/>
      <c r="L294" s="3848"/>
      <c r="M294" s="3848"/>
      <c r="N294" s="3848"/>
      <c r="O294" s="3848"/>
      <c r="P294" s="3848"/>
      <c r="Q294" s="3848"/>
      <c r="R294" s="3848"/>
      <c r="S294" s="3848"/>
      <c r="T294" s="3848"/>
      <c r="U294" s="3848"/>
      <c r="V294" s="3848"/>
      <c r="W294" s="3848"/>
      <c r="X294" s="3848"/>
      <c r="Y294" s="3848"/>
      <c r="Z294" s="3848"/>
      <c r="AA294" s="3848"/>
      <c r="AB294" s="3849"/>
      <c r="AC294" s="1567"/>
      <c r="AY294" s="1791">
        <v>329</v>
      </c>
    </row>
    <row r="295" spans="1:51" ht="9.75" customHeight="1">
      <c r="A295" s="1515"/>
      <c r="E295" s="1515"/>
      <c r="F295" s="1515"/>
      <c r="G295" s="1517"/>
      <c r="H295" s="1517"/>
      <c r="I295" s="1517"/>
      <c r="J295" s="1517"/>
      <c r="K295" s="2562"/>
      <c r="L295" s="2562"/>
      <c r="M295" s="2562"/>
      <c r="N295" s="2562"/>
      <c r="O295" s="2562"/>
      <c r="P295" s="2562"/>
      <c r="Q295" s="2562"/>
      <c r="R295" s="2562"/>
      <c r="S295" s="2562"/>
      <c r="T295" s="2562"/>
      <c r="U295" s="2562"/>
      <c r="V295" s="2562"/>
      <c r="W295" s="2562"/>
      <c r="X295" s="2562"/>
      <c r="Y295" s="2557"/>
      <c r="Z295" s="1517"/>
      <c r="AB295" s="1525"/>
      <c r="AY295" s="1790">
        <v>330</v>
      </c>
    </row>
    <row r="296" spans="1:51" ht="9.75" customHeight="1" thickBot="1">
      <c r="A296" s="1515"/>
      <c r="E296" s="1515"/>
      <c r="F296" s="1515"/>
      <c r="G296" s="1517"/>
      <c r="H296" s="1517"/>
      <c r="I296" s="1517"/>
      <c r="J296" s="1517"/>
      <c r="K296" s="2562"/>
      <c r="L296" s="2562"/>
      <c r="M296" s="2562"/>
      <c r="N296" s="2562"/>
      <c r="O296" s="2562"/>
      <c r="P296" s="2562"/>
      <c r="Q296" s="2562"/>
      <c r="R296" s="2562"/>
      <c r="S296" s="2562"/>
      <c r="T296" s="2562"/>
      <c r="U296" s="2562"/>
      <c r="V296" s="2562"/>
      <c r="W296" s="2562"/>
      <c r="X296" s="2562"/>
      <c r="Y296" s="2557"/>
      <c r="Z296" s="1517"/>
      <c r="AB296" s="1525"/>
      <c r="AY296" s="1791">
        <v>331</v>
      </c>
    </row>
    <row r="297" spans="1:51" ht="16.05" customHeight="1">
      <c r="A297" s="1534" t="s">
        <v>1565</v>
      </c>
      <c r="B297" s="1598" t="s">
        <v>1952</v>
      </c>
      <c r="Y297" s="1517">
        <v>1</v>
      </c>
      <c r="AA297" s="1543">
        <f>IF(AND($M$11="New Affordability",$C$16="9%"),IF(AA298+AA299&gt;$Y297,"Choose",MIN($Y297,SUM(AA298:AA299))),0)</f>
        <v>0</v>
      </c>
      <c r="AB297" s="1543">
        <f>IF(AND($M$12="New Affordability",$C$16="9%"),IF(AB298+AB299&gt;$Y297,"Choose",MIN($Y297,SUM(AB298:AB299))),0)</f>
        <v>0</v>
      </c>
      <c r="AC297" s="1544" t="s">
        <v>1744</v>
      </c>
      <c r="AD297" s="2554" t="str">
        <f>IF(AND(AA297&gt;0,NOT($M$11="New Affordability")), "Ineligible to score in this section, not New Affordability!","")</f>
        <v/>
      </c>
      <c r="AY297" s="1790">
        <v>332</v>
      </c>
    </row>
    <row r="298" spans="1:51" ht="16.05" customHeight="1">
      <c r="A298" s="1517" t="s">
        <v>186</v>
      </c>
      <c r="B298" s="1575" t="s">
        <v>1953</v>
      </c>
      <c r="H298" s="3867" t="s">
        <v>1954</v>
      </c>
      <c r="I298" s="3867"/>
      <c r="J298" s="3867"/>
      <c r="K298" s="3867"/>
      <c r="L298" s="3867"/>
      <c r="M298" s="3867"/>
      <c r="N298" s="3867"/>
      <c r="O298" s="3864">
        <f>IF('Part V-Revenues &amp; Expenses'!$P$76=0,0,'Part V-Revenues &amp; Expenses'!$P$73/'Part V-Revenues &amp; Expenses'!$P$76)</f>
        <v>0</v>
      </c>
      <c r="P298" s="3865"/>
      <c r="Q298" s="3865"/>
      <c r="R298" s="3865"/>
      <c r="S298" s="3866"/>
      <c r="T298" s="2457" t="str">
        <f>IF(AND($AA298&gt;0,OR($O$298&lt;0.1,$H$299="Income Averaging")),"Not eligible for these points!","")</f>
        <v/>
      </c>
      <c r="U298" s="2449"/>
      <c r="V298" s="2449"/>
      <c r="W298" s="2449"/>
      <c r="X298" s="1546" t="str">
        <f t="shared" ref="X298:X299" si="12">IF(OR($AA298=$Y298,$AA298=0,$AA298=""),"","* * Check Score! * *")</f>
        <v/>
      </c>
      <c r="Y298" s="2557">
        <v>1</v>
      </c>
      <c r="Z298" s="1547"/>
      <c r="AA298" s="2793"/>
      <c r="AB298" s="2794"/>
      <c r="AC298" s="1549" t="str">
        <f>IF(OR($AA298=$Y298,$AA298=0,$AA298=""),"","*CHECK!*")</f>
        <v/>
      </c>
      <c r="AD298" s="2554"/>
      <c r="AY298" s="1790">
        <v>333</v>
      </c>
    </row>
    <row r="299" spans="1:51" ht="16.05" customHeight="1">
      <c r="A299" s="1517" t="s">
        <v>198</v>
      </c>
      <c r="B299" s="1575" t="s">
        <v>1833</v>
      </c>
      <c r="H299" s="3861" t="str">
        <f>'Part V-Revenues &amp; Expenses'!$O$62</f>
        <v>40% of Units at 60% of AMI</v>
      </c>
      <c r="I299" s="3862"/>
      <c r="J299" s="3862"/>
      <c r="K299" s="3862"/>
      <c r="L299" s="3862"/>
      <c r="M299" s="3862"/>
      <c r="N299" s="3862"/>
      <c r="O299" s="3862"/>
      <c r="P299" s="3862"/>
      <c r="Q299" s="3862"/>
      <c r="R299" s="3862"/>
      <c r="S299" s="3863"/>
      <c r="T299" s="2457" t="str">
        <f>IF(AND($AA299&gt;0,OR($O$298&gt;=0.1,NOT($H$299="Income Averaging"))),"Not eligible for these points!","")</f>
        <v/>
      </c>
      <c r="U299" s="2449"/>
      <c r="V299" s="2449"/>
      <c r="W299" s="2449"/>
      <c r="X299" s="1546" t="str">
        <f t="shared" si="12"/>
        <v/>
      </c>
      <c r="Y299" s="1531">
        <v>1</v>
      </c>
      <c r="Z299" s="1547"/>
      <c r="AA299" s="1449"/>
      <c r="AB299" s="1608"/>
      <c r="AC299" s="1549" t="str">
        <f>IF(OR($AA299=$Y299,$AA299=0,$AA299=""),"","*CHECK!*")</f>
        <v/>
      </c>
      <c r="AD299" s="2554"/>
      <c r="AY299" s="1790">
        <v>334</v>
      </c>
    </row>
    <row r="300" spans="1:51" ht="16.05" customHeight="1">
      <c r="A300" s="1575"/>
      <c r="B300" s="1550"/>
      <c r="Y300" s="2557"/>
      <c r="AA300" s="1517"/>
      <c r="AB300" s="1517"/>
      <c r="AY300" s="1790">
        <v>335</v>
      </c>
    </row>
    <row r="301" spans="1:51" ht="16.05" customHeight="1">
      <c r="A301" s="1515"/>
      <c r="B301" s="1562" t="s">
        <v>1453</v>
      </c>
      <c r="C301" s="1515"/>
      <c r="D301" s="1515"/>
      <c r="E301" s="1562"/>
      <c r="F301" s="2559"/>
      <c r="G301" s="2559"/>
      <c r="H301" s="2559"/>
      <c r="I301" s="2559"/>
      <c r="J301" s="2559"/>
      <c r="K301" s="2559"/>
      <c r="L301" s="2559"/>
      <c r="M301" s="2559"/>
      <c r="N301" s="2559"/>
      <c r="O301" s="2559"/>
      <c r="P301" s="2559"/>
      <c r="Q301" s="2559"/>
      <c r="R301" s="2559"/>
      <c r="S301" s="2559"/>
      <c r="T301" s="2559"/>
      <c r="U301" s="2559"/>
      <c r="V301" s="2559"/>
      <c r="W301" s="2559"/>
      <c r="X301" s="2559"/>
      <c r="Y301" s="2559"/>
      <c r="Z301" s="1565"/>
      <c r="AA301" s="1566"/>
      <c r="AB301" s="1517"/>
      <c r="AY301" s="1791">
        <v>336</v>
      </c>
    </row>
    <row r="302" spans="1:51" ht="15" customHeight="1">
      <c r="A302" s="3847"/>
      <c r="B302" s="3848"/>
      <c r="C302" s="3848"/>
      <c r="D302" s="3848"/>
      <c r="E302" s="3848"/>
      <c r="F302" s="3848"/>
      <c r="G302" s="3848"/>
      <c r="H302" s="3848"/>
      <c r="I302" s="3848"/>
      <c r="J302" s="3848"/>
      <c r="K302" s="3848"/>
      <c r="L302" s="3848"/>
      <c r="M302" s="3848"/>
      <c r="N302" s="3848"/>
      <c r="O302" s="3848"/>
      <c r="P302" s="3848"/>
      <c r="Q302" s="3848"/>
      <c r="R302" s="3848"/>
      <c r="S302" s="3848"/>
      <c r="T302" s="3848"/>
      <c r="U302" s="3848"/>
      <c r="V302" s="3848"/>
      <c r="W302" s="3848"/>
      <c r="X302" s="3848"/>
      <c r="Y302" s="3848"/>
      <c r="Z302" s="3848"/>
      <c r="AA302" s="3848"/>
      <c r="AB302" s="3849"/>
      <c r="AC302" s="1567"/>
      <c r="AY302" s="1791">
        <v>337</v>
      </c>
    </row>
    <row r="303" spans="1:51" ht="9.75" customHeight="1">
      <c r="A303" s="1515"/>
      <c r="E303" s="1515"/>
      <c r="F303" s="1515"/>
      <c r="G303" s="1517"/>
      <c r="H303" s="1517"/>
      <c r="I303" s="1517"/>
      <c r="J303" s="1517"/>
      <c r="K303" s="2562"/>
      <c r="L303" s="2562"/>
      <c r="M303" s="2562"/>
      <c r="N303" s="2562"/>
      <c r="O303" s="2562"/>
      <c r="P303" s="2562"/>
      <c r="Q303" s="2562"/>
      <c r="R303" s="2562"/>
      <c r="S303" s="2562"/>
      <c r="T303" s="2562"/>
      <c r="U303" s="2562"/>
      <c r="V303" s="2562"/>
      <c r="W303" s="2562"/>
      <c r="X303" s="2562"/>
      <c r="Y303" s="2557"/>
      <c r="Z303" s="1517"/>
      <c r="AB303" s="1525"/>
      <c r="AY303" s="1791">
        <v>338</v>
      </c>
    </row>
    <row r="304" spans="1:51" ht="9.75" customHeight="1">
      <c r="A304" s="1515"/>
      <c r="B304" s="1515"/>
      <c r="C304" s="2559"/>
      <c r="D304" s="2559"/>
      <c r="E304" s="2559"/>
      <c r="F304" s="2559"/>
      <c r="G304" s="2559"/>
      <c r="H304" s="2559"/>
      <c r="I304" s="2559"/>
      <c r="J304" s="2559"/>
      <c r="K304" s="2559"/>
      <c r="L304" s="2559"/>
      <c r="M304" s="2559"/>
      <c r="N304" s="2559"/>
      <c r="O304" s="2559"/>
      <c r="P304" s="2559"/>
      <c r="Q304" s="2559"/>
      <c r="R304" s="2559"/>
      <c r="S304" s="2559"/>
      <c r="T304" s="2559"/>
      <c r="U304" s="2559"/>
      <c r="V304" s="2559"/>
      <c r="W304" s="2559"/>
      <c r="X304" s="2559"/>
      <c r="Y304" s="2559"/>
      <c r="Z304" s="1565"/>
      <c r="AA304" s="1566"/>
      <c r="AB304" s="1517"/>
      <c r="AY304" s="1791">
        <v>339</v>
      </c>
    </row>
    <row r="305" spans="1:51" ht="16.05" customHeight="1">
      <c r="A305" s="1534" t="s">
        <v>1577</v>
      </c>
      <c r="B305" s="1535" t="s">
        <v>1955</v>
      </c>
      <c r="E305" s="2562"/>
      <c r="H305" s="2559"/>
      <c r="I305" s="2559"/>
      <c r="J305" s="2559"/>
      <c r="K305" s="2559"/>
      <c r="L305" s="2559"/>
      <c r="M305" s="2559"/>
      <c r="N305" s="2559"/>
      <c r="O305" s="2559"/>
      <c r="P305" s="2559"/>
      <c r="Q305" s="2559"/>
      <c r="R305" s="2559"/>
      <c r="S305" s="2559"/>
      <c r="T305" s="2559"/>
      <c r="U305" s="2559"/>
      <c r="V305" s="2559"/>
      <c r="W305" s="2559"/>
      <c r="X305" s="2559"/>
      <c r="Y305" s="1517">
        <v>2</v>
      </c>
      <c r="Z305" s="1547"/>
      <c r="AA305" s="1543">
        <f>IF(AND($M$11="New Affordability",$C$16="9%"),MIN($Y305,AA307+AA309),0)</f>
        <v>0</v>
      </c>
      <c r="AB305" s="1543">
        <f>IF(AND($M$12="New Affordability",$C$16="9%"),MIN($Y305,AB307+AB309),0)</f>
        <v>0</v>
      </c>
      <c r="AC305" s="1544" t="s">
        <v>1744</v>
      </c>
      <c r="AD305" s="2554" t="str">
        <f>IF(AND(AA305&gt;0,NOT($M$11="New Affordability")), "Ineligible to score in this section, not New Affordability!","")</f>
        <v/>
      </c>
      <c r="AY305" s="1790">
        <v>340</v>
      </c>
    </row>
    <row r="306" spans="1:51" s="1557" customFormat="1" ht="16.05" customHeight="1">
      <c r="A306" s="1598"/>
      <c r="B306" s="1657" t="s">
        <v>1956</v>
      </c>
      <c r="H306" s="3896" t="s">
        <v>1957</v>
      </c>
      <c r="I306" s="3897"/>
      <c r="J306" s="3897"/>
      <c r="K306" s="3897"/>
      <c r="L306" s="3897"/>
      <c r="M306" s="3897"/>
      <c r="N306" s="3897"/>
      <c r="O306" s="3897"/>
      <c r="P306" s="3897"/>
      <c r="Q306" s="3897"/>
      <c r="R306" s="3897"/>
      <c r="S306" s="3897"/>
      <c r="T306" s="3897"/>
      <c r="U306" s="3897"/>
      <c r="V306" s="3897"/>
      <c r="W306" s="3897"/>
      <c r="X306" s="3898"/>
      <c r="Y306" s="1558"/>
      <c r="Z306" s="1558"/>
      <c r="AA306" s="1558"/>
      <c r="AB306" s="1558"/>
      <c r="AC306" s="1515"/>
      <c r="AY306" s="1791">
        <v>341</v>
      </c>
    </row>
    <row r="307" spans="1:51" s="1557" customFormat="1" ht="16.05" customHeight="1">
      <c r="A307" s="1578" t="s">
        <v>186</v>
      </c>
      <c r="B307" s="1523" t="s">
        <v>1958</v>
      </c>
      <c r="X307" s="1546" t="str">
        <f t="shared" ref="X307" si="13">IF(OR($AA307=$Y307,$AA307=0,$AA307=""),"","* * Check Score! * *")</f>
        <v/>
      </c>
      <c r="Y307" s="1558">
        <v>2</v>
      </c>
      <c r="Z307" s="1559"/>
      <c r="AA307" s="2793"/>
      <c r="AB307" s="2794"/>
      <c r="AC307" s="1549" t="str">
        <f>IF(OR($AA307=$Y307,$AA307=0,$AA307=""),"","*CHECK!*")</f>
        <v/>
      </c>
      <c r="AD307" s="2554"/>
      <c r="AY307" s="1790">
        <v>342</v>
      </c>
    </row>
    <row r="308" spans="1:51" ht="15" customHeight="1">
      <c r="A308" s="1572"/>
      <c r="B308" s="3844" t="s">
        <v>1959</v>
      </c>
      <c r="C308" s="3845"/>
      <c r="D308" s="3845"/>
      <c r="E308" s="3845"/>
      <c r="F308" s="3845"/>
      <c r="G308" s="3845"/>
      <c r="H308" s="3845"/>
      <c r="I308" s="3845"/>
      <c r="J308" s="3845"/>
      <c r="K308" s="3845"/>
      <c r="L308" s="3845"/>
      <c r="M308" s="3845"/>
      <c r="N308" s="3845"/>
      <c r="O308" s="3845"/>
      <c r="P308" s="3845"/>
      <c r="Q308" s="3845"/>
      <c r="R308" s="3845"/>
      <c r="S308" s="3845"/>
      <c r="T308" s="3845"/>
      <c r="U308" s="3845"/>
      <c r="V308" s="3845"/>
      <c r="W308" s="3845"/>
      <c r="X308" s="3845"/>
      <c r="Y308" s="3845"/>
      <c r="Z308" s="3845"/>
      <c r="AA308" s="3845"/>
      <c r="AB308" s="3846"/>
      <c r="AC308" s="1567"/>
      <c r="AD308" s="1574"/>
      <c r="AE308" s="1574"/>
      <c r="AY308" s="1790">
        <v>343</v>
      </c>
    </row>
    <row r="309" spans="1:51" s="1557" customFormat="1" ht="16.05" customHeight="1">
      <c r="A309" s="1660" t="s">
        <v>198</v>
      </c>
      <c r="B309" s="1624" t="s">
        <v>1960</v>
      </c>
      <c r="X309" s="1546" t="str">
        <f t="shared" ref="X309" si="14">IF(OR($AA309=$Y309,$AA309=0,$AA309=""),"","* * Check Score! * *")</f>
        <v/>
      </c>
      <c r="Y309" s="1558">
        <v>2</v>
      </c>
      <c r="Z309" s="1559"/>
      <c r="AA309" s="1449"/>
      <c r="AB309" s="1608"/>
      <c r="AC309" s="1549" t="str">
        <f>IF(OR($AA309=$Y309,$AA309=0,$AA309=""),"","*CHECK!*")</f>
        <v/>
      </c>
      <c r="AD309" s="2554"/>
      <c r="AY309" s="1790">
        <v>344</v>
      </c>
    </row>
    <row r="310" spans="1:51" ht="16.05" customHeight="1">
      <c r="A310" s="1515"/>
      <c r="B310" s="1533" t="s">
        <v>1792</v>
      </c>
      <c r="C310" s="1515"/>
      <c r="D310" s="1515"/>
      <c r="E310" s="1515"/>
      <c r="F310" s="1515"/>
      <c r="G310" s="1515"/>
      <c r="H310" s="1515"/>
      <c r="I310" s="1515"/>
      <c r="J310" s="1515"/>
      <c r="K310" s="1515"/>
      <c r="L310" s="1515"/>
      <c r="M310" s="1515"/>
      <c r="N310" s="1515"/>
      <c r="O310" s="1515"/>
      <c r="P310" s="1515"/>
      <c r="Q310" s="1515"/>
      <c r="R310" s="1515"/>
      <c r="S310" s="1515"/>
      <c r="T310" s="1515"/>
      <c r="U310" s="1515"/>
      <c r="V310" s="1515"/>
      <c r="W310" s="1515"/>
      <c r="Y310" s="2557"/>
      <c r="AA310" s="1525"/>
      <c r="AY310" s="1790">
        <v>345</v>
      </c>
    </row>
    <row r="311" spans="1:51" ht="15" customHeight="1">
      <c r="A311" s="3893" t="s">
        <v>7722</v>
      </c>
      <c r="B311" s="3894"/>
      <c r="C311" s="3894"/>
      <c r="D311" s="3894"/>
      <c r="E311" s="3894"/>
      <c r="F311" s="3894"/>
      <c r="G311" s="3894"/>
      <c r="H311" s="3894"/>
      <c r="I311" s="3894"/>
      <c r="J311" s="3894"/>
      <c r="K311" s="3894"/>
      <c r="L311" s="3894"/>
      <c r="M311" s="3894"/>
      <c r="N311" s="3894"/>
      <c r="O311" s="3894"/>
      <c r="P311" s="3894"/>
      <c r="Q311" s="3894"/>
      <c r="R311" s="3894"/>
      <c r="S311" s="3894"/>
      <c r="T311" s="3894"/>
      <c r="U311" s="3894"/>
      <c r="V311" s="3894"/>
      <c r="W311" s="3894"/>
      <c r="X311" s="3894"/>
      <c r="Y311" s="3894"/>
      <c r="Z311" s="3894"/>
      <c r="AA311" s="3894"/>
      <c r="AB311" s="3895"/>
      <c r="AC311" s="1574"/>
      <c r="AD311" s="1574"/>
      <c r="AY311" s="1790">
        <v>346</v>
      </c>
    </row>
    <row r="312" spans="1:51" ht="16.05" customHeight="1">
      <c r="B312" s="1562" t="s">
        <v>1453</v>
      </c>
      <c r="C312" s="1563"/>
      <c r="D312" s="1563"/>
      <c r="E312" s="1562"/>
      <c r="F312" s="1564"/>
      <c r="G312" s="2559"/>
      <c r="H312" s="2559"/>
      <c r="I312" s="2559"/>
      <c r="J312" s="2559"/>
      <c r="K312" s="2559"/>
      <c r="L312" s="2559"/>
      <c r="M312" s="2559"/>
      <c r="N312" s="2559"/>
      <c r="O312" s="2559"/>
      <c r="P312" s="2559"/>
      <c r="Q312" s="2559"/>
      <c r="R312" s="2559"/>
      <c r="S312" s="2559"/>
      <c r="T312" s="2559"/>
      <c r="U312" s="2559"/>
      <c r="V312" s="2559"/>
      <c r="W312" s="2559"/>
      <c r="X312" s="2559"/>
      <c r="Y312" s="2559"/>
      <c r="Z312" s="1565"/>
      <c r="AA312" s="1566"/>
      <c r="AB312" s="1517"/>
      <c r="AY312" s="1790">
        <v>347</v>
      </c>
    </row>
    <row r="313" spans="1:51" ht="15" customHeight="1">
      <c r="A313" s="3847"/>
      <c r="B313" s="3848"/>
      <c r="C313" s="3848"/>
      <c r="D313" s="3848"/>
      <c r="E313" s="3848"/>
      <c r="F313" s="3848"/>
      <c r="G313" s="3848"/>
      <c r="H313" s="3848"/>
      <c r="I313" s="3848"/>
      <c r="J313" s="3848"/>
      <c r="K313" s="3848"/>
      <c r="L313" s="3848"/>
      <c r="M313" s="3848"/>
      <c r="N313" s="3848"/>
      <c r="O313" s="3848"/>
      <c r="P313" s="3848"/>
      <c r="Q313" s="3848"/>
      <c r="R313" s="3848"/>
      <c r="S313" s="3848"/>
      <c r="T313" s="3848"/>
      <c r="U313" s="3848"/>
      <c r="V313" s="3848"/>
      <c r="W313" s="3848"/>
      <c r="X313" s="3848"/>
      <c r="Y313" s="3848"/>
      <c r="Z313" s="3848"/>
      <c r="AA313" s="3848"/>
      <c r="AB313" s="3849"/>
      <c r="AC313" s="1567"/>
      <c r="AY313" s="1791">
        <v>348</v>
      </c>
    </row>
    <row r="314" spans="1:51" ht="7.5" customHeight="1">
      <c r="A314" s="1515"/>
      <c r="B314" s="1515"/>
      <c r="C314" s="2559"/>
      <c r="D314" s="2559"/>
      <c r="E314" s="2559"/>
      <c r="F314" s="2559"/>
      <c r="G314" s="2559"/>
      <c r="H314" s="2559"/>
      <c r="I314" s="2559"/>
      <c r="J314" s="2559"/>
      <c r="K314" s="2559"/>
      <c r="L314" s="2559"/>
      <c r="M314" s="2559"/>
      <c r="N314" s="2559"/>
      <c r="O314" s="2559"/>
      <c r="P314" s="2559"/>
      <c r="Q314" s="2559"/>
      <c r="R314" s="2559"/>
      <c r="S314" s="2559"/>
      <c r="T314" s="2559"/>
      <c r="U314" s="2559"/>
      <c r="V314" s="2559"/>
      <c r="W314" s="2559"/>
      <c r="X314" s="2559"/>
      <c r="Y314" s="2559"/>
      <c r="Z314" s="1565"/>
      <c r="AA314" s="1566"/>
      <c r="AB314" s="1517"/>
      <c r="AY314" s="1791">
        <v>349</v>
      </c>
    </row>
    <row r="315" spans="1:51" ht="7.5" customHeight="1" thickBot="1">
      <c r="A315" s="1515"/>
      <c r="E315" s="1515"/>
      <c r="F315" s="1515"/>
      <c r="G315" s="1517"/>
      <c r="H315" s="1517"/>
      <c r="I315" s="1517"/>
      <c r="J315" s="1517"/>
      <c r="K315" s="2562"/>
      <c r="L315" s="2562"/>
      <c r="M315" s="2562"/>
      <c r="N315" s="2562"/>
      <c r="O315" s="2562"/>
      <c r="P315" s="2562"/>
      <c r="Q315" s="2562"/>
      <c r="R315" s="2562"/>
      <c r="S315" s="2562"/>
      <c r="T315" s="2562"/>
      <c r="U315" s="2562"/>
      <c r="V315" s="2562"/>
      <c r="W315" s="2562"/>
      <c r="X315" s="2562"/>
      <c r="Y315" s="2557"/>
      <c r="Z315" s="1517"/>
      <c r="AB315" s="1525"/>
      <c r="AY315" s="1790">
        <v>350</v>
      </c>
    </row>
    <row r="316" spans="1:51" s="1515" customFormat="1" ht="16.05" customHeight="1">
      <c r="A316" s="1534" t="s">
        <v>1582</v>
      </c>
      <c r="B316" s="1535" t="s">
        <v>1961</v>
      </c>
      <c r="E316" s="1535"/>
      <c r="F316" s="1535"/>
      <c r="H316" s="1568"/>
      <c r="Y316" s="1517">
        <v>2</v>
      </c>
      <c r="Z316" s="2557"/>
      <c r="AA316" s="1543">
        <f>IF($C$16="9%",IF(OR(AA317=$Y317,AA318=$Y318),$Y$316,0),0)</f>
        <v>2</v>
      </c>
      <c r="AB316" s="1543">
        <f>IF($C$16="9%",IF(OR(AB317=$Y317,AB318=$Y318),$Y$316,0),0)</f>
        <v>0</v>
      </c>
      <c r="AC316" s="1544" t="s">
        <v>1744</v>
      </c>
      <c r="AD316" s="1512"/>
      <c r="AE316" s="1512"/>
      <c r="AF316" s="1512"/>
      <c r="AG316" s="1512"/>
      <c r="AH316" s="1512"/>
      <c r="AY316" s="1790">
        <v>351</v>
      </c>
    </row>
    <row r="317" spans="1:51" ht="16.05" customHeight="1">
      <c r="A317" s="1517" t="s">
        <v>186</v>
      </c>
      <c r="B317" s="3868" t="s">
        <v>1962</v>
      </c>
      <c r="C317" s="3868"/>
      <c r="D317" s="3868"/>
      <c r="E317" s="1515" t="s">
        <v>1963</v>
      </c>
      <c r="F317" s="1515"/>
      <c r="G317" s="1515"/>
      <c r="H317" s="1515"/>
      <c r="I317" s="1515"/>
      <c r="J317" s="1515"/>
      <c r="K317" s="1515"/>
      <c r="L317" s="1515"/>
      <c r="M317" s="1515"/>
      <c r="N317" s="1515"/>
      <c r="O317" s="1515"/>
      <c r="P317" s="1515"/>
      <c r="Q317" s="1515"/>
      <c r="R317" s="1515"/>
      <c r="S317" s="1515"/>
      <c r="T317" s="3870"/>
      <c r="U317" s="3871"/>
      <c r="V317" s="3871"/>
      <c r="W317" s="3871"/>
      <c r="X317" s="3872"/>
      <c r="Y317" s="1531">
        <v>2</v>
      </c>
      <c r="Z317" s="1547"/>
      <c r="AA317" s="2793"/>
      <c r="AB317" s="2794"/>
      <c r="AC317" s="1572" t="str">
        <f>IF(OR(AA317=0,AA317="",AA317=$Y317),"","Check!")</f>
        <v/>
      </c>
      <c r="AD317" s="1546" t="str">
        <f t="shared" ref="AD317:AD318" si="15">IF(OR($AA317=$Y317,$AA317=0,$AA317=""),"","* * Check Score! * *")</f>
        <v/>
      </c>
      <c r="AE317" s="1512"/>
      <c r="AF317" s="1512"/>
      <c r="AG317" s="1512"/>
      <c r="AH317" s="1512"/>
      <c r="AY317" s="1791">
        <v>352</v>
      </c>
    </row>
    <row r="318" spans="1:51" ht="16.05" customHeight="1">
      <c r="A318" s="1517" t="s">
        <v>198</v>
      </c>
      <c r="B318" s="3868" t="s">
        <v>1964</v>
      </c>
      <c r="C318" s="3868"/>
      <c r="D318" s="3868"/>
      <c r="E318" s="3869" t="s">
        <v>1965</v>
      </c>
      <c r="F318" s="3869"/>
      <c r="G318" s="3869"/>
      <c r="H318" s="3869"/>
      <c r="I318" s="3869"/>
      <c r="J318" s="3869"/>
      <c r="K318" s="3869"/>
      <c r="L318" s="3869"/>
      <c r="M318" s="3869"/>
      <c r="N318" s="3869"/>
      <c r="O318" s="3869"/>
      <c r="P318" s="3869"/>
      <c r="Q318" s="3869"/>
      <c r="R318" s="3869"/>
      <c r="S318" s="3869"/>
      <c r="T318" s="3870" t="s">
        <v>4692</v>
      </c>
      <c r="U318" s="3871"/>
      <c r="V318" s="3871"/>
      <c r="W318" s="3871"/>
      <c r="X318" s="3872"/>
      <c r="Y318" s="1531">
        <v>2</v>
      </c>
      <c r="Z318" s="1547"/>
      <c r="AA318" s="1449">
        <v>2</v>
      </c>
      <c r="AB318" s="1608"/>
      <c r="AC318" s="1572" t="str">
        <f>IF(OR(AA318=0,AA318="",AA318=$Y318),"","Check!")</f>
        <v/>
      </c>
      <c r="AD318" s="1546" t="str">
        <f t="shared" si="15"/>
        <v/>
      </c>
      <c r="AE318" s="1512"/>
      <c r="AF318" s="1512"/>
      <c r="AG318" s="1512"/>
      <c r="AH318" s="1512"/>
      <c r="AY318" s="1791">
        <v>353</v>
      </c>
    </row>
    <row r="319" spans="1:51" ht="16.05" customHeight="1">
      <c r="A319" s="1515"/>
      <c r="B319" s="1533" t="s">
        <v>1792</v>
      </c>
      <c r="C319" s="1515"/>
      <c r="D319" s="1515"/>
      <c r="E319" s="1515"/>
      <c r="F319" s="1515"/>
      <c r="G319" s="1515"/>
      <c r="H319" s="1515"/>
      <c r="I319" s="1515"/>
      <c r="J319" s="1515"/>
      <c r="K319" s="1515"/>
      <c r="L319" s="1515"/>
      <c r="M319" s="1515"/>
      <c r="N319" s="1515"/>
      <c r="O319" s="1515"/>
      <c r="P319" s="1515"/>
      <c r="Q319" s="1515"/>
      <c r="R319" s="1515"/>
      <c r="S319" s="1515"/>
      <c r="T319" s="1515"/>
      <c r="U319" s="1515"/>
      <c r="V319" s="1515"/>
      <c r="W319" s="1515"/>
      <c r="Y319" s="2557"/>
      <c r="AA319" s="1525"/>
      <c r="AD319" s="1512"/>
      <c r="AE319" s="1512"/>
      <c r="AF319" s="1512"/>
      <c r="AG319" s="1512"/>
      <c r="AH319" s="1512"/>
      <c r="AY319" s="1791">
        <v>354</v>
      </c>
    </row>
    <row r="320" spans="1:51" ht="15" customHeight="1">
      <c r="A320" s="3893" t="s">
        <v>7730</v>
      </c>
      <c r="B320" s="3894"/>
      <c r="C320" s="3894"/>
      <c r="D320" s="3894"/>
      <c r="E320" s="3894"/>
      <c r="F320" s="3894"/>
      <c r="G320" s="3894"/>
      <c r="H320" s="3894"/>
      <c r="I320" s="3894"/>
      <c r="J320" s="3894"/>
      <c r="K320" s="3894"/>
      <c r="L320" s="3894"/>
      <c r="M320" s="3894"/>
      <c r="N320" s="3894"/>
      <c r="O320" s="3894"/>
      <c r="P320" s="3894"/>
      <c r="Q320" s="3894"/>
      <c r="R320" s="3894"/>
      <c r="S320" s="3894"/>
      <c r="T320" s="3894"/>
      <c r="U320" s="3894"/>
      <c r="V320" s="3894"/>
      <c r="W320" s="3894"/>
      <c r="X320" s="3894"/>
      <c r="Y320" s="3894"/>
      <c r="Z320" s="3894"/>
      <c r="AA320" s="3894"/>
      <c r="AB320" s="3895"/>
      <c r="AC320" s="1574"/>
      <c r="AY320" s="1791">
        <v>355</v>
      </c>
    </row>
    <row r="321" spans="1:51" ht="16.05" customHeight="1">
      <c r="A321" s="1515"/>
      <c r="B321" s="1562" t="s">
        <v>1453</v>
      </c>
      <c r="C321" s="1515"/>
      <c r="D321" s="1515"/>
      <c r="E321" s="1562"/>
      <c r="F321" s="2559"/>
      <c r="G321" s="2559"/>
      <c r="H321" s="2559"/>
      <c r="I321" s="2559"/>
      <c r="J321" s="2559"/>
      <c r="K321" s="2559"/>
      <c r="L321" s="2559"/>
      <c r="M321" s="2559"/>
      <c r="N321" s="2559"/>
      <c r="O321" s="2559"/>
      <c r="P321" s="2559"/>
      <c r="Q321" s="2559"/>
      <c r="R321" s="2559"/>
      <c r="S321" s="2559"/>
      <c r="T321" s="2559"/>
      <c r="U321" s="2559"/>
      <c r="V321" s="2559"/>
      <c r="W321" s="2559"/>
      <c r="X321" s="2559"/>
      <c r="Y321" s="2559"/>
      <c r="Z321" s="1565"/>
      <c r="AA321" s="1566"/>
      <c r="AB321" s="1517"/>
      <c r="AY321" s="1790">
        <v>356</v>
      </c>
    </row>
    <row r="322" spans="1:51" ht="15" customHeight="1">
      <c r="A322" s="3847"/>
      <c r="B322" s="3848"/>
      <c r="C322" s="3848"/>
      <c r="D322" s="3848"/>
      <c r="E322" s="3848"/>
      <c r="F322" s="3848"/>
      <c r="G322" s="3848"/>
      <c r="H322" s="3848"/>
      <c r="I322" s="3848"/>
      <c r="J322" s="3848"/>
      <c r="K322" s="3848"/>
      <c r="L322" s="3848"/>
      <c r="M322" s="3848"/>
      <c r="N322" s="3848"/>
      <c r="O322" s="3848"/>
      <c r="P322" s="3848"/>
      <c r="Q322" s="3848"/>
      <c r="R322" s="3848"/>
      <c r="S322" s="3848"/>
      <c r="T322" s="3848"/>
      <c r="U322" s="3848"/>
      <c r="V322" s="3848"/>
      <c r="W322" s="3848"/>
      <c r="X322" s="3848"/>
      <c r="Y322" s="3848"/>
      <c r="Z322" s="3848"/>
      <c r="AA322" s="3848"/>
      <c r="AB322" s="3849"/>
      <c r="AC322" s="1567"/>
      <c r="AY322" s="1791">
        <v>357</v>
      </c>
    </row>
    <row r="323" spans="1:51" ht="9.75" customHeight="1">
      <c r="A323" s="1515"/>
      <c r="E323" s="1515"/>
      <c r="F323" s="1515"/>
      <c r="G323" s="1517"/>
      <c r="H323" s="1517"/>
      <c r="I323" s="1517"/>
      <c r="J323" s="1517"/>
      <c r="K323" s="2562"/>
      <c r="L323" s="2562"/>
      <c r="M323" s="2562"/>
      <c r="N323" s="2562"/>
      <c r="O323" s="2562"/>
      <c r="P323" s="2562"/>
      <c r="Q323" s="2562"/>
      <c r="R323" s="2562"/>
      <c r="S323" s="2562"/>
      <c r="T323" s="2562"/>
      <c r="U323" s="2562"/>
      <c r="V323" s="2562"/>
      <c r="W323" s="2562"/>
      <c r="X323" s="2562"/>
      <c r="Y323" s="2557"/>
      <c r="Z323" s="1517"/>
      <c r="AB323" s="1525"/>
      <c r="AY323" s="1790">
        <v>358</v>
      </c>
    </row>
    <row r="324" spans="1:51" ht="9.75" customHeight="1" thickBot="1">
      <c r="AY324" s="1790">
        <v>359</v>
      </c>
    </row>
    <row r="325" spans="1:51" ht="16.05" customHeight="1" thickBot="1">
      <c r="A325" s="1598" t="s">
        <v>1587</v>
      </c>
      <c r="B325" s="1535" t="s">
        <v>1966</v>
      </c>
      <c r="E325" s="1575"/>
      <c r="F325" s="1575"/>
      <c r="H325" s="1515"/>
      <c r="X325" s="1615" t="str">
        <f>IF(AND(AA325&gt;0,NOT($C$16="9%")),"Ineligible, not 9%!","")</f>
        <v/>
      </c>
      <c r="Y325" s="1517">
        <v>2.5</v>
      </c>
      <c r="Z325" s="1546"/>
      <c r="AA325" s="1664">
        <f>MAX(AA326:AA327)</f>
        <v>2</v>
      </c>
      <c r="AB325" s="1664">
        <f>MAX(AB326:AB327)</f>
        <v>0</v>
      </c>
      <c r="AC325" s="1544" t="s">
        <v>1744</v>
      </c>
      <c r="AD325" s="1663"/>
      <c r="AE325" s="1663"/>
      <c r="AY325" s="1790">
        <v>360</v>
      </c>
    </row>
    <row r="326" spans="1:51" ht="16.05" customHeight="1">
      <c r="A326" s="1530" t="s">
        <v>186</v>
      </c>
      <c r="B326" s="2571" t="s">
        <v>1967</v>
      </c>
      <c r="E326" s="1575"/>
      <c r="F326" s="1575"/>
      <c r="H326" s="1515"/>
      <c r="J326" s="4034" t="s">
        <v>7725</v>
      </c>
      <c r="K326" s="4035"/>
      <c r="L326" s="4035"/>
      <c r="M326" s="4035"/>
      <c r="N326" s="4035"/>
      <c r="O326" s="4035"/>
      <c r="P326" s="4035"/>
      <c r="Q326" s="4035"/>
      <c r="R326" s="4035"/>
      <c r="S326" s="4035"/>
      <c r="T326" s="4035"/>
      <c r="U326" s="4035"/>
      <c r="V326" s="4035"/>
      <c r="W326" s="4035"/>
      <c r="X326" s="4036"/>
      <c r="Y326" s="2557">
        <v>2</v>
      </c>
      <c r="Z326" s="2557"/>
      <c r="AA326" s="2793">
        <v>2</v>
      </c>
      <c r="AB326" s="2794"/>
      <c r="AC326" s="1549"/>
      <c r="AD326" s="1663"/>
      <c r="AE326" s="1663"/>
      <c r="AY326" s="1790">
        <v>361</v>
      </c>
    </row>
    <row r="327" spans="1:51" ht="16.05" customHeight="1">
      <c r="A327" s="1530" t="s">
        <v>198</v>
      </c>
      <c r="B327" s="2571" t="s">
        <v>1968</v>
      </c>
      <c r="E327" s="1515"/>
      <c r="F327" s="1515"/>
      <c r="G327" s="1515"/>
      <c r="H327" s="1515"/>
      <c r="I327" s="1515"/>
      <c r="J327" s="1515"/>
      <c r="K327" s="1515"/>
      <c r="L327" s="1515"/>
      <c r="M327" s="1515"/>
      <c r="N327" s="1515"/>
      <c r="O327" s="1515"/>
      <c r="P327" s="1515"/>
      <c r="Q327" s="1515"/>
      <c r="R327" s="1515"/>
      <c r="S327" s="1515"/>
      <c r="T327" s="1515"/>
      <c r="U327" s="1515"/>
      <c r="V327" s="1515"/>
      <c r="W327" s="1515"/>
      <c r="X327" s="1515"/>
      <c r="Y327" s="2557">
        <v>2.5</v>
      </c>
      <c r="Z327" s="1547"/>
      <c r="AA327" s="1451"/>
      <c r="AB327" s="1623"/>
      <c r="AY327" s="1790">
        <v>362</v>
      </c>
    </row>
    <row r="328" spans="1:51" s="1515" customFormat="1" ht="16.05" customHeight="1">
      <c r="B328" s="1533" t="s">
        <v>1792</v>
      </c>
      <c r="X328" s="1514"/>
      <c r="Y328" s="2557"/>
      <c r="Z328" s="1531"/>
      <c r="AA328" s="1525"/>
      <c r="AB328" s="1524"/>
      <c r="AY328" s="1790">
        <v>363</v>
      </c>
    </row>
    <row r="329" spans="1:51" ht="22.8" customHeight="1">
      <c r="A329" s="3893" t="s">
        <v>7746</v>
      </c>
      <c r="B329" s="3894"/>
      <c r="C329" s="3894"/>
      <c r="D329" s="3894"/>
      <c r="E329" s="3894"/>
      <c r="F329" s="3894"/>
      <c r="G329" s="3894"/>
      <c r="H329" s="3894"/>
      <c r="I329" s="3894"/>
      <c r="J329" s="3894"/>
      <c r="K329" s="3894"/>
      <c r="L329" s="3894"/>
      <c r="M329" s="3894"/>
      <c r="N329" s="3894"/>
      <c r="O329" s="3894"/>
      <c r="P329" s="3894"/>
      <c r="Q329" s="3894"/>
      <c r="R329" s="3894"/>
      <c r="S329" s="3894"/>
      <c r="T329" s="3894"/>
      <c r="U329" s="3894"/>
      <c r="V329" s="3894"/>
      <c r="W329" s="3894"/>
      <c r="X329" s="3894"/>
      <c r="Y329" s="3894"/>
      <c r="Z329" s="3894"/>
      <c r="AA329" s="3894"/>
      <c r="AB329" s="3895"/>
      <c r="AC329" s="1574"/>
      <c r="AY329" s="1791">
        <v>364</v>
      </c>
    </row>
    <row r="330" spans="1:51" s="1515" customFormat="1" ht="16.05" customHeight="1">
      <c r="B330" s="1596" t="s">
        <v>1453</v>
      </c>
      <c r="E330" s="1596"/>
      <c r="F330" s="2574"/>
      <c r="G330" s="2574"/>
      <c r="H330" s="2574"/>
      <c r="I330" s="2574"/>
      <c r="J330" s="2574"/>
      <c r="K330" s="2574"/>
      <c r="L330" s="2574"/>
      <c r="M330" s="2574"/>
      <c r="N330" s="2574"/>
      <c r="O330" s="2574"/>
      <c r="P330" s="2574"/>
      <c r="Q330" s="2574"/>
      <c r="R330" s="2574"/>
      <c r="S330" s="2574"/>
      <c r="T330" s="2574"/>
      <c r="U330" s="2574"/>
      <c r="V330" s="2574"/>
      <c r="W330" s="2574"/>
      <c r="X330" s="2574"/>
      <c r="Y330" s="2574"/>
      <c r="Z330" s="2558"/>
      <c r="AA330" s="2575"/>
      <c r="AB330" s="1517"/>
      <c r="AC330" s="1514"/>
      <c r="AY330" s="1791">
        <v>365</v>
      </c>
    </row>
    <row r="331" spans="1:51" ht="15" customHeight="1">
      <c r="A331" s="3847"/>
      <c r="B331" s="3848"/>
      <c r="C331" s="3848"/>
      <c r="D331" s="3848"/>
      <c r="E331" s="3848"/>
      <c r="F331" s="3848"/>
      <c r="G331" s="3848"/>
      <c r="H331" s="3848"/>
      <c r="I331" s="3848"/>
      <c r="J331" s="3848"/>
      <c r="K331" s="3848"/>
      <c r="L331" s="3848"/>
      <c r="M331" s="3848"/>
      <c r="N331" s="3848"/>
      <c r="O331" s="3848"/>
      <c r="P331" s="3848"/>
      <c r="Q331" s="3848"/>
      <c r="R331" s="3848"/>
      <c r="S331" s="3848"/>
      <c r="T331" s="3848"/>
      <c r="U331" s="3848"/>
      <c r="V331" s="3848"/>
      <c r="W331" s="3848"/>
      <c r="X331" s="3848"/>
      <c r="Y331" s="3848"/>
      <c r="Z331" s="3848"/>
      <c r="AA331" s="3848"/>
      <c r="AB331" s="3849"/>
      <c r="AC331" s="1567"/>
      <c r="AY331" s="1791">
        <v>366</v>
      </c>
    </row>
    <row r="332" spans="1:51" ht="9.75" customHeight="1">
      <c r="AY332" s="1790">
        <v>367</v>
      </c>
    </row>
    <row r="333" spans="1:51" ht="9.75" customHeight="1">
      <c r="A333" s="1598"/>
      <c r="B333" s="1515"/>
      <c r="C333" s="2559"/>
      <c r="D333" s="2559"/>
      <c r="E333" s="2559"/>
      <c r="F333" s="2559"/>
      <c r="G333" s="2559"/>
      <c r="J333" s="2559"/>
      <c r="K333" s="2559"/>
      <c r="L333" s="2559"/>
      <c r="M333" s="2559"/>
      <c r="N333" s="2559"/>
      <c r="O333" s="2559"/>
      <c r="P333" s="2559"/>
      <c r="Q333" s="2559"/>
      <c r="R333" s="2559"/>
      <c r="S333" s="2559"/>
      <c r="T333" s="2559"/>
      <c r="U333" s="2559"/>
      <c r="V333" s="2559"/>
      <c r="W333" s="2559"/>
      <c r="X333" s="2559"/>
      <c r="Y333" s="2559"/>
      <c r="Z333" s="1565"/>
      <c r="AA333" s="1566"/>
      <c r="AB333" s="1517"/>
      <c r="AY333" s="1790">
        <v>368</v>
      </c>
    </row>
    <row r="334" spans="1:51" s="1515" customFormat="1" ht="16.05" customHeight="1">
      <c r="A334" s="1598" t="s">
        <v>1593</v>
      </c>
      <c r="B334" s="1535" t="s">
        <v>1969</v>
      </c>
      <c r="E334" s="1535"/>
      <c r="F334" s="1535"/>
      <c r="J334" s="1615" t="str">
        <f>IF(AND($AA334&gt;0,NOT($M$11="Preservation")),"Ineligible, not Preservation!","")</f>
        <v/>
      </c>
      <c r="Y334" s="1517"/>
      <c r="Z334" s="2557"/>
      <c r="AA334" s="1664">
        <f>IF(AND(AA339&gt;0, AA340&gt;0),"C or D?",IF(AND($C$16="9%",$M$11="Preservation"),AA336+AA337+AA339+AA340+AA341+AA351,IF(AND($C$16="4%",$M$11="Preservation",AA351&gt;0),AA336+AA339+AA340+AA351,IF(AND($C$16="4%",$M$11="Preservation"),AA336+AA339+AA340+AA341+AA351,0))))</f>
        <v>28</v>
      </c>
      <c r="AB334" s="1664">
        <f>IF(AND(AB339&gt;0, AB340&gt;0),"C or D?",IF(AND($C$16="9%",$M$11="Preservation"),AB336+AB337+AB339+AB340+AB341+AB351,IF(AND($C$16="4%",$M$11="Preservation",AB351&gt;0),AB336+AB339+AB340+AB351,IF(AND($C$16="4%",$M$11="Preservation"),AB336+AB339+AB340+AB341+AB351,0))))</f>
        <v>0</v>
      </c>
      <c r="AC334" s="1544" t="s">
        <v>1744</v>
      </c>
      <c r="AD334" s="2554"/>
      <c r="AY334" s="1791">
        <v>369</v>
      </c>
    </row>
    <row r="335" spans="1:51" ht="7.5" customHeight="1">
      <c r="A335" s="1598"/>
      <c r="B335" s="1515"/>
      <c r="C335" s="2559"/>
      <c r="D335" s="2559"/>
      <c r="E335" s="2559"/>
      <c r="F335" s="2559"/>
      <c r="G335" s="2559"/>
      <c r="H335" s="2559"/>
      <c r="I335" s="2559"/>
      <c r="K335" s="2559"/>
      <c r="L335" s="2559"/>
      <c r="M335" s="2559"/>
      <c r="N335" s="2559"/>
      <c r="O335" s="2559"/>
      <c r="P335" s="2559"/>
      <c r="Q335" s="2559"/>
      <c r="R335" s="2559"/>
      <c r="S335" s="2559"/>
      <c r="T335" s="2559"/>
      <c r="U335" s="2559"/>
      <c r="V335" s="2559"/>
      <c r="W335" s="2559"/>
      <c r="X335" s="2559"/>
      <c r="Y335" s="2559"/>
      <c r="Z335" s="1565"/>
      <c r="AA335" s="1566"/>
      <c r="AB335" s="1566"/>
      <c r="AY335" s="1790">
        <v>370</v>
      </c>
    </row>
    <row r="336" spans="1:51" s="1515" customFormat="1" ht="16.05" customHeight="1">
      <c r="A336" s="1517" t="s">
        <v>186</v>
      </c>
      <c r="B336" s="1523" t="s">
        <v>1970</v>
      </c>
      <c r="E336" s="1535"/>
      <c r="F336" s="1535"/>
      <c r="X336" s="1588" t="s">
        <v>1743</v>
      </c>
      <c r="Y336" s="1517">
        <v>6</v>
      </c>
      <c r="Z336" s="2557"/>
      <c r="AA336" s="2795">
        <v>6</v>
      </c>
      <c r="AB336" s="2789"/>
      <c r="AC336" s="1544"/>
      <c r="AD336" s="2554"/>
      <c r="AY336" s="1790">
        <v>371</v>
      </c>
    </row>
    <row r="337" spans="1:51" s="1515" customFormat="1" ht="16.05" customHeight="1">
      <c r="A337" s="2555" t="s">
        <v>198</v>
      </c>
      <c r="B337" s="1523" t="s">
        <v>1971</v>
      </c>
      <c r="E337" s="1535"/>
      <c r="F337" s="1535"/>
      <c r="H337" s="4037" t="s">
        <v>1972</v>
      </c>
      <c r="I337" s="4037"/>
      <c r="J337" s="4037"/>
      <c r="K337" s="4037"/>
      <c r="L337" s="4037"/>
      <c r="M337" s="4037"/>
      <c r="N337" s="4037"/>
      <c r="O337" s="4037"/>
      <c r="P337" s="4037"/>
      <c r="Q337" s="4037"/>
      <c r="R337" s="4037"/>
      <c r="S337" s="4037"/>
      <c r="T337" s="4037"/>
      <c r="U337" s="2570"/>
      <c r="V337" s="2570"/>
      <c r="W337" s="2570"/>
      <c r="X337" s="1588" t="s">
        <v>1743</v>
      </c>
      <c r="Y337" s="1517">
        <v>6</v>
      </c>
      <c r="Z337" s="2557"/>
      <c r="AA337" s="2557"/>
      <c r="AB337" s="2794"/>
      <c r="AC337" s="1544"/>
      <c r="AD337" s="2554"/>
      <c r="AY337" s="1791">
        <v>372</v>
      </c>
    </row>
    <row r="338" spans="1:51" s="1515" customFormat="1" ht="16.05" customHeight="1">
      <c r="A338" s="1598"/>
      <c r="B338" s="3869" t="s">
        <v>1973</v>
      </c>
      <c r="C338" s="3869"/>
      <c r="D338" s="3869"/>
      <c r="E338" s="3869"/>
      <c r="F338" s="3869"/>
      <c r="G338" s="1528"/>
      <c r="H338" s="4037"/>
      <c r="I338" s="4037"/>
      <c r="J338" s="4037"/>
      <c r="K338" s="4037"/>
      <c r="L338" s="4037"/>
      <c r="M338" s="4037"/>
      <c r="N338" s="4037"/>
      <c r="O338" s="4037"/>
      <c r="P338" s="4037"/>
      <c r="Q338" s="4037"/>
      <c r="R338" s="4037"/>
      <c r="S338" s="4037"/>
      <c r="T338" s="4037"/>
      <c r="U338" s="2570"/>
      <c r="V338" s="2570"/>
      <c r="W338" s="2570"/>
      <c r="X338" s="1549"/>
      <c r="Y338" s="1517"/>
      <c r="Z338" s="2557"/>
      <c r="AA338" s="2800" t="s">
        <v>7444</v>
      </c>
      <c r="AB338" s="1553"/>
      <c r="AC338" s="1544"/>
      <c r="AD338" s="2554"/>
      <c r="AY338" s="1791">
        <v>373</v>
      </c>
    </row>
    <row r="339" spans="1:51" s="1557" customFormat="1" ht="15" customHeight="1">
      <c r="A339" s="1517" t="s">
        <v>219</v>
      </c>
      <c r="B339" s="1624" t="s">
        <v>1974</v>
      </c>
      <c r="C339" s="1620"/>
      <c r="D339" s="1620"/>
      <c r="E339" s="1620"/>
      <c r="F339" s="1620"/>
      <c r="H339" s="4039" t="s">
        <v>1975</v>
      </c>
      <c r="I339" s="4040"/>
      <c r="J339" s="4040"/>
      <c r="K339" s="4040"/>
      <c r="L339" s="4040"/>
      <c r="M339" s="4040"/>
      <c r="N339" s="4040"/>
      <c r="O339" s="4040"/>
      <c r="P339" s="4040"/>
      <c r="Q339" s="4040"/>
      <c r="R339" s="4040"/>
      <c r="S339" s="4040"/>
      <c r="T339" s="4041"/>
      <c r="U339" s="4038" t="str">
        <f>IF(AND(AA339&gt;0, AA340&gt;0), "Choose EITHER C OR D, but not both!","")</f>
        <v/>
      </c>
      <c r="V339" s="4038"/>
      <c r="W339" s="4038"/>
      <c r="X339" s="1588" t="s">
        <v>1743</v>
      </c>
      <c r="Y339" s="1517">
        <v>4</v>
      </c>
      <c r="Z339" s="1604"/>
      <c r="AA339" s="2795">
        <v>2</v>
      </c>
      <c r="AB339" s="2789"/>
      <c r="AC339" s="1549"/>
      <c r="AD339" s="2554"/>
      <c r="AY339" s="1791">
        <v>374</v>
      </c>
    </row>
    <row r="340" spans="1:51" ht="16.05" customHeight="1">
      <c r="A340" s="1517" t="s">
        <v>221</v>
      </c>
      <c r="B340" s="4050" t="s">
        <v>1976</v>
      </c>
      <c r="C340" s="4050"/>
      <c r="D340" s="4050"/>
      <c r="E340" s="4050"/>
      <c r="F340" s="1575"/>
      <c r="H340" s="4042"/>
      <c r="I340" s="4043"/>
      <c r="J340" s="4043"/>
      <c r="K340" s="4043"/>
      <c r="L340" s="4043"/>
      <c r="M340" s="4043"/>
      <c r="N340" s="4043"/>
      <c r="O340" s="4043"/>
      <c r="P340" s="4043"/>
      <c r="Q340" s="4043"/>
      <c r="R340" s="4043"/>
      <c r="S340" s="4043"/>
      <c r="T340" s="4044"/>
      <c r="U340" s="4038"/>
      <c r="V340" s="4038"/>
      <c r="W340" s="4038"/>
      <c r="X340" s="1588" t="s">
        <v>1743</v>
      </c>
      <c r="Y340" s="1517">
        <v>4</v>
      </c>
      <c r="Z340" s="1604"/>
      <c r="AA340" s="2795"/>
      <c r="AB340" s="2789"/>
      <c r="AC340" s="1549"/>
      <c r="AD340" s="2554"/>
      <c r="AY340" s="1791">
        <v>375</v>
      </c>
    </row>
    <row r="341" spans="1:51" s="1515" customFormat="1" ht="16.05" customHeight="1">
      <c r="A341" s="1517" t="s">
        <v>228</v>
      </c>
      <c r="B341" s="4050" t="s">
        <v>1977</v>
      </c>
      <c r="C341" s="4050"/>
      <c r="D341" s="4050"/>
      <c r="E341" s="4050"/>
      <c r="H341" s="1605" t="s">
        <v>1978</v>
      </c>
      <c r="K341" s="1605"/>
      <c r="L341" s="1605"/>
      <c r="M341" s="1605"/>
      <c r="N341" s="1605"/>
      <c r="O341" s="1605"/>
      <c r="P341" s="1605"/>
      <c r="Q341" s="1605"/>
      <c r="R341" s="1605"/>
      <c r="S341" s="1605"/>
      <c r="U341" s="1311" t="str">
        <f>IF(AND($AA341&gt;0,NOT($M$11="Preservation")),"Ineligible, not Preservation!","")</f>
        <v/>
      </c>
      <c r="V341" s="1311"/>
      <c r="W341" s="1311"/>
      <c r="X341" s="1588" t="s">
        <v>1743</v>
      </c>
      <c r="Y341" s="1517">
        <v>20</v>
      </c>
      <c r="Z341" s="2557"/>
      <c r="AA341" s="2779">
        <f>IF($M$11="Preservation",MIN($Y341,(U343+U344+U345+U346)),0)</f>
        <v>20</v>
      </c>
      <c r="AB341" s="2779">
        <f>IF($M$11="Preservation",MIN($Y341,(X343+X344+X345+X346)),0)</f>
        <v>0</v>
      </c>
      <c r="AC341" s="1544"/>
      <c r="AD341" s="2554"/>
      <c r="AY341" s="1790">
        <v>376</v>
      </c>
    </row>
    <row r="342" spans="1:51" s="1515" customFormat="1" ht="16.05" customHeight="1">
      <c r="A342" s="1517"/>
      <c r="B342" s="1523"/>
      <c r="E342" s="4048" t="s">
        <v>1979</v>
      </c>
      <c r="F342" s="4049"/>
      <c r="G342" s="4049"/>
      <c r="H342" s="4049"/>
      <c r="I342" s="4049"/>
      <c r="J342" s="4049"/>
      <c r="K342" s="4049"/>
      <c r="L342" s="4049"/>
      <c r="M342" s="4049"/>
      <c r="N342" s="4049"/>
      <c r="O342" s="4049"/>
      <c r="P342" s="4049"/>
      <c r="Q342" s="4049"/>
      <c r="R342" s="4049"/>
      <c r="S342" s="4049"/>
      <c r="T342" s="4049"/>
      <c r="U342" s="3982" t="s">
        <v>1730</v>
      </c>
      <c r="V342" s="3982"/>
      <c r="W342" s="2440"/>
      <c r="X342" s="2441" t="s">
        <v>1724</v>
      </c>
      <c r="AD342" s="1544"/>
      <c r="AE342" s="1544"/>
      <c r="AF342" s="1544"/>
      <c r="AG342" s="1544"/>
      <c r="AH342" s="1544"/>
      <c r="AI342" s="1544"/>
      <c r="AJ342" s="1544"/>
      <c r="AK342" s="1544"/>
      <c r="AL342" s="1544"/>
      <c r="AM342" s="1544"/>
      <c r="AY342" s="1791">
        <v>377</v>
      </c>
    </row>
    <row r="343" spans="1:51" s="1515" customFormat="1" ht="16.05" customHeight="1">
      <c r="A343" s="1517"/>
      <c r="B343" s="1523"/>
      <c r="E343" s="2432" t="s">
        <v>1980</v>
      </c>
      <c r="F343" s="1636"/>
      <c r="G343" s="1636"/>
      <c r="H343" s="1636"/>
      <c r="I343" s="1636"/>
      <c r="U343" s="3981">
        <f>MAX(AA136,AA137-AA138)</f>
        <v>20</v>
      </c>
      <c r="V343" s="3981"/>
      <c r="W343" s="2564"/>
      <c r="X343" s="2433">
        <f>MAX(AB136,AB137-AB138)</f>
        <v>0</v>
      </c>
      <c r="AD343" s="1544"/>
      <c r="AE343" s="1544"/>
      <c r="AF343" s="1544"/>
      <c r="AG343" s="1544"/>
      <c r="AH343" s="1544"/>
      <c r="AI343" s="1544"/>
      <c r="AJ343" s="1544"/>
      <c r="AK343" s="1544"/>
      <c r="AL343" s="1544"/>
      <c r="AM343" s="1544"/>
      <c r="AY343" s="1790">
        <v>378</v>
      </c>
    </row>
    <row r="344" spans="1:51" s="1515" customFormat="1" ht="16.05" customHeight="1">
      <c r="A344" s="1517"/>
      <c r="B344" s="1523"/>
      <c r="E344" s="2432" t="s">
        <v>1981</v>
      </c>
      <c r="F344" s="1636"/>
      <c r="G344" s="1636"/>
      <c r="H344" s="1636"/>
      <c r="I344" s="1636"/>
      <c r="U344" s="3948">
        <f>MAX(AA145,AA154+AA155+AA157+AA158+AA159)</f>
        <v>2</v>
      </c>
      <c r="V344" s="3948"/>
      <c r="W344" s="2564"/>
      <c r="X344" s="2433">
        <f>MAX(AB145,AB154+AB155+AB157+AB158+AB159)</f>
        <v>0</v>
      </c>
      <c r="AD344" s="1544"/>
      <c r="AE344" s="1544"/>
      <c r="AF344" s="1544"/>
      <c r="AG344" s="1544"/>
      <c r="AH344" s="1544"/>
      <c r="AI344" s="1544"/>
      <c r="AJ344" s="1544"/>
      <c r="AK344" s="1544"/>
      <c r="AL344" s="1544"/>
      <c r="AM344" s="1544"/>
      <c r="AY344" s="1790">
        <v>379</v>
      </c>
    </row>
    <row r="345" spans="1:51" s="1515" customFormat="1" ht="16.05" customHeight="1">
      <c r="A345" s="1517"/>
      <c r="B345" s="1523"/>
      <c r="E345" s="2432" t="s">
        <v>1982</v>
      </c>
      <c r="F345" s="1636"/>
      <c r="G345" s="1636"/>
      <c r="H345" s="1636"/>
      <c r="I345" s="1636"/>
      <c r="U345" s="3949">
        <f>$AA$166</f>
        <v>1</v>
      </c>
      <c r="V345" s="3949"/>
      <c r="W345" s="2564"/>
      <c r="X345" s="2468">
        <f>$AB$166</f>
        <v>0</v>
      </c>
      <c r="AD345" s="1544"/>
      <c r="AE345" s="1544"/>
      <c r="AF345" s="1544"/>
      <c r="AG345" s="1544"/>
      <c r="AH345" s="1544"/>
      <c r="AI345" s="1544"/>
      <c r="AJ345" s="1544"/>
      <c r="AK345" s="1544"/>
      <c r="AL345" s="1544"/>
      <c r="AM345" s="1544"/>
      <c r="AY345" s="1790">
        <v>380</v>
      </c>
    </row>
    <row r="346" spans="1:51" s="1515" customFormat="1" ht="16.05" customHeight="1">
      <c r="A346" s="1517"/>
      <c r="B346" s="1523"/>
      <c r="E346" s="2434" t="s">
        <v>1983</v>
      </c>
      <c r="F346" s="1614"/>
      <c r="G346" s="1614"/>
      <c r="L346" s="1612"/>
      <c r="M346" s="1612"/>
      <c r="N346" s="1612"/>
      <c r="O346" s="1612"/>
      <c r="P346" s="1612"/>
      <c r="Q346" s="1612"/>
      <c r="R346" s="1612"/>
      <c r="S346" s="1612"/>
      <c r="T346" s="1612" t="s">
        <v>1984</v>
      </c>
      <c r="U346" s="3950">
        <f>MAX(U347:V350)</f>
        <v>10</v>
      </c>
      <c r="V346" s="3951"/>
      <c r="W346" s="2564"/>
      <c r="X346" s="2442">
        <f>MAX(X347:X350)</f>
        <v>0</v>
      </c>
      <c r="AD346" s="1544"/>
      <c r="AE346" s="1544"/>
      <c r="AF346" s="1544"/>
      <c r="AG346" s="1544"/>
      <c r="AH346" s="1544"/>
      <c r="AI346" s="1544"/>
      <c r="AJ346" s="1544"/>
      <c r="AK346" s="1544"/>
      <c r="AL346" s="1544"/>
      <c r="AM346" s="1544"/>
      <c r="AY346" s="1790">
        <v>381</v>
      </c>
    </row>
    <row r="347" spans="1:51" s="1515" customFormat="1" ht="16.05" customHeight="1">
      <c r="A347" s="1517"/>
      <c r="B347" s="1523"/>
      <c r="E347" s="3856" t="s">
        <v>1925</v>
      </c>
      <c r="F347" s="3857"/>
      <c r="G347" s="3857"/>
      <c r="H347" s="3857"/>
      <c r="I347" s="3857"/>
      <c r="J347" s="3857"/>
      <c r="K347" s="3857"/>
      <c r="L347" s="3857"/>
      <c r="M347" s="3857"/>
      <c r="N347" s="3857"/>
      <c r="O347" s="3857"/>
      <c r="U347" s="3952">
        <f>AA183</f>
        <v>0</v>
      </c>
      <c r="V347" s="3952"/>
      <c r="W347" s="2564"/>
      <c r="X347" s="2433">
        <f>AB183</f>
        <v>0</v>
      </c>
      <c r="AD347" s="1544"/>
      <c r="AE347" s="1544"/>
      <c r="AF347" s="1544"/>
      <c r="AG347" s="1544"/>
      <c r="AH347" s="1544"/>
      <c r="AI347" s="1544"/>
      <c r="AJ347" s="1544"/>
      <c r="AK347" s="1544"/>
      <c r="AL347" s="1544"/>
      <c r="AM347" s="1544"/>
      <c r="AY347" s="1791">
        <v>382</v>
      </c>
    </row>
    <row r="348" spans="1:51" s="1515" customFormat="1" ht="16.05" customHeight="1">
      <c r="A348" s="1517"/>
      <c r="B348" s="1523"/>
      <c r="E348" s="2432" t="s">
        <v>1926</v>
      </c>
      <c r="F348" s="1636"/>
      <c r="G348" s="1636"/>
      <c r="H348" s="1636"/>
      <c r="U348" s="3948">
        <f>MAX($V$219,$AA$215)</f>
        <v>10</v>
      </c>
      <c r="V348" s="3948"/>
      <c r="W348" s="2564"/>
      <c r="X348" s="2433">
        <f>MAX($X$219,$AB$215)</f>
        <v>0</v>
      </c>
      <c r="AD348" s="1544"/>
      <c r="AE348" s="1544"/>
      <c r="AF348" s="1544"/>
      <c r="AG348" s="1544"/>
      <c r="AH348" s="1544"/>
      <c r="AI348" s="1544"/>
      <c r="AJ348" s="1544"/>
      <c r="AK348" s="1544"/>
      <c r="AL348" s="1544"/>
      <c r="AM348" s="1544"/>
      <c r="AY348" s="1791">
        <v>383</v>
      </c>
    </row>
    <row r="349" spans="1:51" s="1515" customFormat="1" ht="16.05" customHeight="1">
      <c r="A349" s="1517"/>
      <c r="B349" s="1523"/>
      <c r="E349" s="2432" t="s">
        <v>1985</v>
      </c>
      <c r="F349" s="1636"/>
      <c r="G349" s="1636"/>
      <c r="H349" s="1636"/>
      <c r="I349" s="1636"/>
      <c r="U349" s="3948">
        <f>IF(OR(AA248="Yes",AA249="Yes"),AA247,0)</f>
        <v>0</v>
      </c>
      <c r="V349" s="3948"/>
      <c r="W349" s="2564"/>
      <c r="X349" s="2433">
        <f>IF(OR(AB248="Yes",AB249="Yes"),Y247,0)</f>
        <v>0</v>
      </c>
      <c r="AD349" s="1544"/>
      <c r="AE349" s="1544"/>
      <c r="AF349" s="1544"/>
      <c r="AG349" s="1544"/>
      <c r="AH349" s="1544"/>
      <c r="AI349" s="1544"/>
      <c r="AJ349" s="1544"/>
      <c r="AK349" s="1544"/>
      <c r="AL349" s="1544"/>
      <c r="AM349" s="1544"/>
      <c r="AY349" s="1791">
        <v>384</v>
      </c>
    </row>
    <row r="350" spans="1:51" s="1515" customFormat="1" ht="16.05" customHeight="1">
      <c r="A350" s="1517"/>
      <c r="B350" s="1523"/>
      <c r="E350" s="2436" t="s">
        <v>1986</v>
      </c>
      <c r="F350" s="2437"/>
      <c r="G350" s="2437"/>
      <c r="H350" s="2437"/>
      <c r="I350" s="2437"/>
      <c r="J350" s="2438"/>
      <c r="K350" s="2438"/>
      <c r="L350" s="2438"/>
      <c r="M350" s="2438"/>
      <c r="N350" s="2438"/>
      <c r="O350" s="2438"/>
      <c r="P350" s="2438"/>
      <c r="Q350" s="2438"/>
      <c r="R350" s="2438"/>
      <c r="S350" s="2438"/>
      <c r="T350" s="2439"/>
      <c r="U350" s="3949">
        <f>IF('Part I-Project Identification'!F12 ="9% Credits", AA233, 0)</f>
        <v>0</v>
      </c>
      <c r="V350" s="3949"/>
      <c r="W350" s="2565"/>
      <c r="X350" s="2467">
        <f>IF('Part I-Project Identification'!F12 ="9% Credits", AB233, 0)</f>
        <v>0</v>
      </c>
      <c r="AD350" s="1544"/>
      <c r="AE350" s="1544"/>
      <c r="AF350" s="1544"/>
      <c r="AG350" s="1544"/>
      <c r="AH350" s="1544"/>
      <c r="AI350" s="1544"/>
      <c r="AJ350" s="1544"/>
      <c r="AK350" s="1544"/>
      <c r="AL350" s="1544"/>
      <c r="AM350" s="1544"/>
      <c r="AY350" s="1791"/>
    </row>
    <row r="351" spans="1:51" s="1515" customFormat="1" ht="16.05" customHeight="1">
      <c r="A351" s="1517" t="s">
        <v>230</v>
      </c>
      <c r="B351" s="1523" t="s">
        <v>1987</v>
      </c>
      <c r="E351" s="1535"/>
      <c r="H351" s="1545"/>
      <c r="T351" s="2459" t="str">
        <f>IF(OR($AA351&lt;=$Y351,$AA351=0,$AA351=""),"","*CHECK!*")</f>
        <v/>
      </c>
      <c r="U351" s="1549"/>
      <c r="V351" s="1549"/>
      <c r="W351" s="1549"/>
      <c r="X351" s="1547" t="s">
        <v>1743</v>
      </c>
      <c r="Y351" s="1517">
        <v>22</v>
      </c>
      <c r="Z351" s="2557"/>
      <c r="AA351" s="2779">
        <f>IF(AND($C$16="4%",$M$11="Preservation"),IF(AA352+AA353+AA354+AA366&gt;$Y351,"Check",AA352+AA353+AA354+AA366),IF(AND($C$16="9%",$M$11="Preservation"),IF((AA352+AA353)&gt;($Z352+$Z353),"Check",AA352+AA353),0))</f>
        <v>0</v>
      </c>
      <c r="AB351" s="2779">
        <f>IF(AND($C$16="4%",$M$11="Preservation"),IF(AB352+AB353+AB354+AB366&gt;$Y351,"Check",AB352+AB353+AB354+AB366),IF(AND($C$16="9%",$M$11="Preservation"),IF((AB352+AB353)&gt;($Z352+$Z353),"Check",AB352+AB353),0))</f>
        <v>0</v>
      </c>
      <c r="AC351" s="1544" t="s">
        <v>1744</v>
      </c>
      <c r="AD351" s="2554"/>
      <c r="AY351" s="1791">
        <v>385</v>
      </c>
    </row>
    <row r="352" spans="1:51" s="1515" customFormat="1" ht="16.05" customHeight="1">
      <c r="A352" s="1517"/>
      <c r="B352" s="1639" t="s">
        <v>201</v>
      </c>
      <c r="C352" s="2562" t="s">
        <v>1988</v>
      </c>
      <c r="D352" s="2562"/>
      <c r="H352" s="3857" t="s">
        <v>1989</v>
      </c>
      <c r="I352" s="3857"/>
      <c r="J352" s="3857"/>
      <c r="K352" s="3857"/>
      <c r="L352" s="3857"/>
      <c r="M352" s="3857"/>
      <c r="N352" s="3857"/>
      <c r="O352" s="3857"/>
      <c r="P352" s="3857"/>
      <c r="Q352" s="3857"/>
      <c r="R352" s="3857"/>
      <c r="S352" s="3857"/>
      <c r="T352" s="4047"/>
      <c r="U352" s="4045"/>
      <c r="V352" s="4045"/>
      <c r="W352" s="2458"/>
      <c r="Y352" s="1588" t="s">
        <v>1743</v>
      </c>
      <c r="Z352" s="1591">
        <v>3</v>
      </c>
      <c r="AA352" s="2793"/>
      <c r="AB352" s="2794"/>
      <c r="AC352" s="2554"/>
      <c r="AH352" s="1541"/>
      <c r="AY352" s="1790">
        <v>386</v>
      </c>
    </row>
    <row r="353" spans="1:51" s="1515" customFormat="1" ht="15" customHeight="1">
      <c r="A353" s="1517"/>
      <c r="B353" s="1550" t="s">
        <v>209</v>
      </c>
      <c r="C353" s="1557" t="s">
        <v>1990</v>
      </c>
      <c r="D353" s="1557"/>
      <c r="E353" s="1557"/>
      <c r="F353" s="1557"/>
      <c r="H353" s="3857" t="s">
        <v>1991</v>
      </c>
      <c r="I353" s="3857"/>
      <c r="J353" s="3857"/>
      <c r="K353" s="3857"/>
      <c r="L353" s="3857"/>
      <c r="M353" s="3857"/>
      <c r="N353" s="3857"/>
      <c r="O353" s="3857"/>
      <c r="P353" s="3857"/>
      <c r="Q353" s="3857"/>
      <c r="R353" s="3857"/>
      <c r="S353" s="3857"/>
      <c r="T353" s="4047"/>
      <c r="U353" s="4046"/>
      <c r="V353" s="4046"/>
      <c r="W353" s="2422"/>
      <c r="Y353" s="1588" t="s">
        <v>1743</v>
      </c>
      <c r="Z353" s="1591">
        <v>3</v>
      </c>
      <c r="AA353" s="1448"/>
      <c r="AB353" s="1609"/>
      <c r="AC353" s="1547"/>
      <c r="AH353" s="1541"/>
      <c r="AY353" s="1791">
        <v>387</v>
      </c>
    </row>
    <row r="354" spans="1:51" ht="16.05" customHeight="1">
      <c r="B354" s="1550" t="s">
        <v>213</v>
      </c>
      <c r="C354" s="1515" t="s">
        <v>1992</v>
      </c>
      <c r="D354" s="1515"/>
      <c r="H354" s="1605" t="s">
        <v>1993</v>
      </c>
      <c r="T354" s="2460" t="str">
        <f>IF(OR($AA354="",AND($AA354&gt;=0,$AA354&lt;=$Z354,$C$16="4%"),$C$16="4%"),"","Ineligible!")</f>
        <v/>
      </c>
      <c r="U354" s="1665"/>
      <c r="V354" s="1665"/>
      <c r="W354" s="1665"/>
      <c r="Y354" s="1588" t="s">
        <v>1743</v>
      </c>
      <c r="Z354" s="1591">
        <v>10</v>
      </c>
      <c r="AA354" s="1481"/>
      <c r="AB354" s="1666"/>
      <c r="AC354" s="1549" t="str">
        <f>IF(OR($AA354&lt;=$Z354,$AA354=0,$AA354=""),"","*CHECK!*")</f>
        <v/>
      </c>
      <c r="AD354" s="2554"/>
      <c r="AY354" s="1790">
        <v>388</v>
      </c>
    </row>
    <row r="355" spans="1:51" ht="16.05" customHeight="1">
      <c r="A355" s="1517"/>
      <c r="B355" s="1514" t="s">
        <v>1994</v>
      </c>
      <c r="D355" s="1514" t="s">
        <v>1995</v>
      </c>
      <c r="F355" s="1515"/>
      <c r="G355" s="1515"/>
      <c r="H355" s="1515" t="s">
        <v>236</v>
      </c>
      <c r="I355" s="1515"/>
      <c r="J355" s="1515"/>
      <c r="L355" s="1563"/>
      <c r="M355" s="1563"/>
      <c r="N355" s="1563"/>
      <c r="O355" s="1563"/>
      <c r="P355" s="1563"/>
      <c r="Q355" s="1563"/>
      <c r="R355" s="1563"/>
      <c r="S355" s="1563"/>
      <c r="T355" s="1563"/>
      <c r="U355" s="1563" t="s">
        <v>48</v>
      </c>
      <c r="V355" s="2557"/>
      <c r="W355" s="2557"/>
      <c r="X355" s="1531" t="s">
        <v>1951</v>
      </c>
      <c r="Y355" s="3917" t="s">
        <v>1996</v>
      </c>
      <c r="Z355" s="3917"/>
      <c r="AA355" s="3917"/>
      <c r="AB355" s="3917"/>
      <c r="AC355" s="1549"/>
      <c r="AY355" s="1790">
        <v>389</v>
      </c>
    </row>
    <row r="356" spans="1:51" ht="15" customHeight="1">
      <c r="A356" s="1551" t="s">
        <v>203</v>
      </c>
      <c r="B356" s="4030"/>
      <c r="C356" s="4030"/>
      <c r="D356" s="4031"/>
      <c r="E356" s="4032"/>
      <c r="F356" s="4032"/>
      <c r="G356" s="4033"/>
      <c r="H356" s="4031"/>
      <c r="I356" s="4032"/>
      <c r="J356" s="4032"/>
      <c r="K356" s="4032"/>
      <c r="L356" s="4032"/>
      <c r="M356" s="4032"/>
      <c r="N356" s="4032"/>
      <c r="O356" s="4032"/>
      <c r="P356" s="4032"/>
      <c r="Q356" s="4032"/>
      <c r="R356" s="4032"/>
      <c r="S356" s="4032"/>
      <c r="T356" s="4033"/>
      <c r="U356" s="4031"/>
      <c r="V356" s="4032"/>
      <c r="W356" s="4033"/>
      <c r="X356" s="2821"/>
      <c r="Y356" s="4031"/>
      <c r="Z356" s="4032"/>
      <c r="AA356" s="4032"/>
      <c r="AB356" s="4033"/>
      <c r="AC356" s="1549"/>
      <c r="AY356" s="1790">
        <v>390</v>
      </c>
    </row>
    <row r="357" spans="1:51" ht="15" customHeight="1">
      <c r="A357" s="1551" t="s">
        <v>206</v>
      </c>
      <c r="B357" s="4023"/>
      <c r="C357" s="4023"/>
      <c r="D357" s="4024"/>
      <c r="E357" s="4025"/>
      <c r="F357" s="4025"/>
      <c r="G357" s="4026"/>
      <c r="H357" s="4024"/>
      <c r="I357" s="4025"/>
      <c r="J357" s="4025"/>
      <c r="K357" s="4025"/>
      <c r="L357" s="4025"/>
      <c r="M357" s="4025"/>
      <c r="N357" s="4025"/>
      <c r="O357" s="4025"/>
      <c r="P357" s="4025"/>
      <c r="Q357" s="4025"/>
      <c r="R357" s="4025"/>
      <c r="S357" s="4025"/>
      <c r="T357" s="4026"/>
      <c r="U357" s="4024"/>
      <c r="V357" s="4025"/>
      <c r="W357" s="4026"/>
      <c r="X357" s="1479"/>
      <c r="Y357" s="4024"/>
      <c r="Z357" s="4025"/>
      <c r="AA357" s="4025"/>
      <c r="AB357" s="4026"/>
      <c r="AC357" s="1549"/>
      <c r="AY357" s="1790">
        <v>391</v>
      </c>
    </row>
    <row r="358" spans="1:51" ht="15" customHeight="1">
      <c r="A358" s="1551" t="s">
        <v>208</v>
      </c>
      <c r="B358" s="4023"/>
      <c r="C358" s="4023"/>
      <c r="D358" s="4024"/>
      <c r="E358" s="4025"/>
      <c r="F358" s="4025"/>
      <c r="G358" s="4026"/>
      <c r="H358" s="4027"/>
      <c r="I358" s="4028"/>
      <c r="J358" s="4028"/>
      <c r="K358" s="4028"/>
      <c r="L358" s="4028"/>
      <c r="M358" s="4028"/>
      <c r="N358" s="4028"/>
      <c r="O358" s="4028"/>
      <c r="P358" s="4028"/>
      <c r="Q358" s="4028"/>
      <c r="R358" s="4028"/>
      <c r="S358" s="4028"/>
      <c r="T358" s="4029"/>
      <c r="U358" s="4024"/>
      <c r="V358" s="4025"/>
      <c r="W358" s="4026"/>
      <c r="X358" s="1479"/>
      <c r="Y358" s="4024"/>
      <c r="Z358" s="4025"/>
      <c r="AA358" s="4025"/>
      <c r="AB358" s="4026"/>
      <c r="AC358" s="1549"/>
      <c r="AY358" s="1791">
        <v>392</v>
      </c>
    </row>
    <row r="359" spans="1:51" ht="15" customHeight="1">
      <c r="A359" s="1551" t="s">
        <v>1997</v>
      </c>
      <c r="B359" s="4023"/>
      <c r="C359" s="4023"/>
      <c r="D359" s="4024"/>
      <c r="E359" s="4025"/>
      <c r="F359" s="4025"/>
      <c r="G359" s="4026"/>
      <c r="H359" s="4024"/>
      <c r="I359" s="4025"/>
      <c r="J359" s="4025"/>
      <c r="K359" s="4025"/>
      <c r="L359" s="4025"/>
      <c r="M359" s="4025"/>
      <c r="N359" s="4025"/>
      <c r="O359" s="4025"/>
      <c r="P359" s="4025"/>
      <c r="Q359" s="4025"/>
      <c r="R359" s="4025"/>
      <c r="S359" s="4025"/>
      <c r="T359" s="4026"/>
      <c r="U359" s="4024"/>
      <c r="V359" s="4025"/>
      <c r="W359" s="4026"/>
      <c r="X359" s="1479"/>
      <c r="Y359" s="4024"/>
      <c r="Z359" s="4025"/>
      <c r="AA359" s="4025"/>
      <c r="AB359" s="4026"/>
      <c r="AC359" s="1549"/>
      <c r="AY359" s="1791">
        <v>393</v>
      </c>
    </row>
    <row r="360" spans="1:51" ht="15" customHeight="1">
      <c r="A360" s="1551" t="s">
        <v>1998</v>
      </c>
      <c r="B360" s="4023"/>
      <c r="C360" s="4023"/>
      <c r="D360" s="4024"/>
      <c r="E360" s="4025"/>
      <c r="F360" s="4025"/>
      <c r="G360" s="4026"/>
      <c r="H360" s="4024"/>
      <c r="I360" s="4025"/>
      <c r="J360" s="4025"/>
      <c r="K360" s="4025"/>
      <c r="L360" s="4025"/>
      <c r="M360" s="4025"/>
      <c r="N360" s="4025"/>
      <c r="O360" s="4025"/>
      <c r="P360" s="4025"/>
      <c r="Q360" s="4025"/>
      <c r="R360" s="4025"/>
      <c r="S360" s="4025"/>
      <c r="T360" s="4026"/>
      <c r="U360" s="4024"/>
      <c r="V360" s="4025"/>
      <c r="W360" s="4026"/>
      <c r="X360" s="1479"/>
      <c r="Y360" s="4024"/>
      <c r="Z360" s="4025"/>
      <c r="AA360" s="4025"/>
      <c r="AB360" s="4026"/>
      <c r="AC360" s="1549"/>
      <c r="AY360" s="1791">
        <v>394</v>
      </c>
    </row>
    <row r="361" spans="1:51" ht="15" customHeight="1">
      <c r="A361" s="1551" t="s">
        <v>1999</v>
      </c>
      <c r="B361" s="4023"/>
      <c r="C361" s="4023"/>
      <c r="D361" s="4024"/>
      <c r="E361" s="4025"/>
      <c r="F361" s="4025"/>
      <c r="G361" s="4026"/>
      <c r="H361" s="4024"/>
      <c r="I361" s="4025"/>
      <c r="J361" s="4025"/>
      <c r="K361" s="4025"/>
      <c r="L361" s="4025"/>
      <c r="M361" s="4025"/>
      <c r="N361" s="4025"/>
      <c r="O361" s="4025"/>
      <c r="P361" s="4025"/>
      <c r="Q361" s="4025"/>
      <c r="R361" s="4025"/>
      <c r="S361" s="4025"/>
      <c r="T361" s="4026"/>
      <c r="U361" s="4024"/>
      <c r="V361" s="4025"/>
      <c r="W361" s="4026"/>
      <c r="X361" s="1479"/>
      <c r="Y361" s="4024"/>
      <c r="Z361" s="4025"/>
      <c r="AA361" s="4025"/>
      <c r="AB361" s="4026"/>
      <c r="AC361" s="1549"/>
      <c r="AY361" s="1791">
        <v>395</v>
      </c>
    </row>
    <row r="362" spans="1:51" ht="15" customHeight="1">
      <c r="A362" s="1551" t="s">
        <v>2000</v>
      </c>
      <c r="B362" s="4023"/>
      <c r="C362" s="4023"/>
      <c r="D362" s="4024"/>
      <c r="E362" s="4025"/>
      <c r="F362" s="4025"/>
      <c r="G362" s="4026"/>
      <c r="H362" s="4024"/>
      <c r="I362" s="4025"/>
      <c r="J362" s="4025"/>
      <c r="K362" s="4025"/>
      <c r="L362" s="4025"/>
      <c r="M362" s="4025"/>
      <c r="N362" s="4025"/>
      <c r="O362" s="4025"/>
      <c r="P362" s="4025"/>
      <c r="Q362" s="4025"/>
      <c r="R362" s="4025"/>
      <c r="S362" s="4025"/>
      <c r="T362" s="4026"/>
      <c r="U362" s="4024"/>
      <c r="V362" s="4025"/>
      <c r="W362" s="4026"/>
      <c r="X362" s="1479"/>
      <c r="Y362" s="4024"/>
      <c r="Z362" s="4025"/>
      <c r="AA362" s="4025"/>
      <c r="AB362" s="4026"/>
      <c r="AC362" s="1549"/>
      <c r="AY362" s="1790">
        <v>396</v>
      </c>
    </row>
    <row r="363" spans="1:51" ht="15" customHeight="1">
      <c r="A363" s="1551" t="s">
        <v>2001</v>
      </c>
      <c r="B363" s="4023"/>
      <c r="C363" s="4023"/>
      <c r="D363" s="4024"/>
      <c r="E363" s="4025"/>
      <c r="F363" s="4025"/>
      <c r="G363" s="4026"/>
      <c r="H363" s="4024"/>
      <c r="I363" s="4025"/>
      <c r="J363" s="4025"/>
      <c r="K363" s="4025"/>
      <c r="L363" s="4025"/>
      <c r="M363" s="4025"/>
      <c r="N363" s="4025"/>
      <c r="O363" s="4025"/>
      <c r="P363" s="4025"/>
      <c r="Q363" s="4025"/>
      <c r="R363" s="4025"/>
      <c r="S363" s="4025"/>
      <c r="T363" s="4026"/>
      <c r="U363" s="4024"/>
      <c r="V363" s="4025"/>
      <c r="W363" s="4026"/>
      <c r="X363" s="1479"/>
      <c r="Y363" s="4024"/>
      <c r="Z363" s="4025"/>
      <c r="AA363" s="4025"/>
      <c r="AB363" s="4026"/>
      <c r="AC363" s="1549"/>
      <c r="AY363" s="1791">
        <v>397</v>
      </c>
    </row>
    <row r="364" spans="1:51" ht="15" customHeight="1">
      <c r="A364" s="1551" t="s">
        <v>2002</v>
      </c>
      <c r="B364" s="4023"/>
      <c r="C364" s="4023"/>
      <c r="D364" s="4024"/>
      <c r="E364" s="4025"/>
      <c r="F364" s="4025"/>
      <c r="G364" s="4026"/>
      <c r="H364" s="4024"/>
      <c r="I364" s="4025"/>
      <c r="J364" s="4025"/>
      <c r="K364" s="4025"/>
      <c r="L364" s="4025"/>
      <c r="M364" s="4025"/>
      <c r="N364" s="4025"/>
      <c r="O364" s="4025"/>
      <c r="P364" s="4025"/>
      <c r="Q364" s="4025"/>
      <c r="R364" s="4025"/>
      <c r="S364" s="4025"/>
      <c r="T364" s="4026"/>
      <c r="U364" s="4024"/>
      <c r="V364" s="4025"/>
      <c r="W364" s="4026"/>
      <c r="X364" s="1479"/>
      <c r="Y364" s="4024"/>
      <c r="Z364" s="4025"/>
      <c r="AA364" s="4025"/>
      <c r="AB364" s="4026"/>
      <c r="AY364" s="1790">
        <v>398</v>
      </c>
    </row>
    <row r="365" spans="1:51" ht="15" customHeight="1">
      <c r="A365" s="1551" t="s">
        <v>2003</v>
      </c>
      <c r="B365" s="4012"/>
      <c r="C365" s="4012"/>
      <c r="D365" s="4013"/>
      <c r="E365" s="4014"/>
      <c r="F365" s="4014"/>
      <c r="G365" s="4015"/>
      <c r="H365" s="4013"/>
      <c r="I365" s="4014"/>
      <c r="J365" s="4014"/>
      <c r="K365" s="4014"/>
      <c r="L365" s="4014"/>
      <c r="M365" s="4014"/>
      <c r="N365" s="4014"/>
      <c r="O365" s="4014"/>
      <c r="P365" s="4014"/>
      <c r="Q365" s="4014"/>
      <c r="R365" s="4014"/>
      <c r="S365" s="4014"/>
      <c r="T365" s="4015"/>
      <c r="U365" s="4013"/>
      <c r="V365" s="4016"/>
      <c r="W365" s="4017"/>
      <c r="X365" s="1480"/>
      <c r="Y365" s="4013"/>
      <c r="Z365" s="4014"/>
      <c r="AA365" s="4014"/>
      <c r="AB365" s="4015"/>
      <c r="AC365" s="1549"/>
      <c r="AY365" s="1790">
        <v>399</v>
      </c>
    </row>
    <row r="366" spans="1:51" s="1557" customFormat="1" ht="16.05" customHeight="1">
      <c r="A366" s="2555"/>
      <c r="B366" s="1550" t="s">
        <v>253</v>
      </c>
      <c r="C366" s="1557" t="s">
        <v>2004</v>
      </c>
      <c r="E366" s="1620"/>
      <c r="F366" s="4021" t="s">
        <v>1993</v>
      </c>
      <c r="G366" s="4021"/>
      <c r="H366" s="4021"/>
      <c r="I366" s="4021"/>
      <c r="J366" s="4021"/>
      <c r="K366" s="4021"/>
      <c r="L366" s="4021"/>
      <c r="M366" s="1612"/>
      <c r="N366" s="1612"/>
      <c r="P366" s="1612"/>
      <c r="Q366" s="4018" t="s">
        <v>2005</v>
      </c>
      <c r="R366" s="4018"/>
      <c r="S366" s="4018"/>
      <c r="T366" s="4018"/>
      <c r="U366" s="4018"/>
      <c r="V366" s="4019"/>
      <c r="W366" s="4020"/>
      <c r="X366" s="1665" t="str">
        <f>IF(OR($AA366="",AND($AA366&gt;=0,$AA366&lt;=$Z366,$C$16="4%"),$C$16="4%"),"","Ineligible!")</f>
        <v/>
      </c>
      <c r="Y366" s="1588" t="s">
        <v>1743</v>
      </c>
      <c r="Z366" s="2557">
        <v>6</v>
      </c>
      <c r="AA366" s="1481"/>
      <c r="AB366" s="1666"/>
      <c r="AC366" s="1549" t="str">
        <f>IF(OR($AA366&lt;=$Z366,$AA366=0,$AA366=""),"","*CHECK!*")</f>
        <v/>
      </c>
      <c r="AY366" s="1790">
        <v>400</v>
      </c>
    </row>
    <row r="367" spans="1:51" ht="16.05" customHeight="1">
      <c r="A367" s="1515"/>
      <c r="B367" s="4022" t="s">
        <v>1792</v>
      </c>
      <c r="C367" s="4022"/>
      <c r="D367" s="4022"/>
      <c r="E367" s="4022"/>
      <c r="F367" s="4022"/>
      <c r="G367" s="4022"/>
      <c r="H367" s="4022"/>
      <c r="I367" s="4022"/>
      <c r="J367" s="4022"/>
      <c r="K367" s="1515"/>
      <c r="L367" s="1515"/>
      <c r="M367" s="1515"/>
      <c r="N367" s="1515"/>
      <c r="O367" s="1515"/>
      <c r="P367" s="1515"/>
      <c r="Q367" s="1515"/>
      <c r="R367" s="1515"/>
      <c r="S367" s="1515"/>
      <c r="T367" s="1515"/>
      <c r="U367" s="1515"/>
      <c r="V367" s="1515"/>
      <c r="W367" s="1515"/>
      <c r="Y367" s="2557"/>
      <c r="AA367" s="1525"/>
      <c r="AY367" s="1790">
        <v>401</v>
      </c>
    </row>
    <row r="368" spans="1:51" ht="13.8">
      <c r="A368" s="3844" t="s">
        <v>7729</v>
      </c>
      <c r="B368" s="3845"/>
      <c r="C368" s="3845"/>
      <c r="D368" s="3845"/>
      <c r="E368" s="3845"/>
      <c r="F368" s="3845"/>
      <c r="G368" s="3845"/>
      <c r="H368" s="3845"/>
      <c r="I368" s="3845"/>
      <c r="J368" s="3845"/>
      <c r="K368" s="3845"/>
      <c r="L368" s="3845"/>
      <c r="M368" s="3845"/>
      <c r="N368" s="3845"/>
      <c r="O368" s="3845"/>
      <c r="P368" s="3845"/>
      <c r="Q368" s="3845"/>
      <c r="R368" s="3845"/>
      <c r="S368" s="3845"/>
      <c r="T368" s="3845"/>
      <c r="U368" s="3845"/>
      <c r="V368" s="3845"/>
      <c r="W368" s="3845"/>
      <c r="X368" s="3845"/>
      <c r="Y368" s="3845"/>
      <c r="Z368" s="3845"/>
      <c r="AA368" s="3845"/>
      <c r="AB368" s="3846"/>
      <c r="AC368" s="1574"/>
      <c r="AD368" s="1574"/>
      <c r="AY368" s="1790">
        <v>402</v>
      </c>
    </row>
    <row r="369" spans="1:51" s="1515" customFormat="1" ht="16.05" customHeight="1">
      <c r="A369" s="1533"/>
      <c r="B369" s="1533" t="s">
        <v>1453</v>
      </c>
      <c r="E369" s="1533"/>
      <c r="F369" s="2574"/>
      <c r="G369" s="2574"/>
      <c r="H369" s="2574"/>
      <c r="I369" s="2574"/>
      <c r="J369" s="2574"/>
      <c r="K369" s="2574"/>
      <c r="L369" s="2574"/>
      <c r="M369" s="2574"/>
      <c r="N369" s="2574"/>
      <c r="O369" s="2574"/>
      <c r="P369" s="2574"/>
      <c r="Q369" s="2574"/>
      <c r="R369" s="2574"/>
      <c r="S369" s="2574"/>
      <c r="T369" s="2574"/>
      <c r="U369" s="2574"/>
      <c r="V369" s="2574"/>
      <c r="W369" s="2574"/>
      <c r="X369" s="2574"/>
      <c r="Y369" s="2574"/>
      <c r="Z369" s="2558"/>
      <c r="AA369" s="2575"/>
      <c r="AB369" s="1517"/>
      <c r="AY369" s="1790">
        <v>403</v>
      </c>
    </row>
    <row r="370" spans="1:51" ht="30" customHeight="1">
      <c r="A370" s="3847"/>
      <c r="B370" s="3848"/>
      <c r="C370" s="3848"/>
      <c r="D370" s="3848"/>
      <c r="E370" s="3848"/>
      <c r="F370" s="3848"/>
      <c r="G370" s="3848"/>
      <c r="H370" s="3848"/>
      <c r="I370" s="3848"/>
      <c r="J370" s="3848"/>
      <c r="K370" s="3848"/>
      <c r="L370" s="3848"/>
      <c r="M370" s="3848"/>
      <c r="N370" s="3848"/>
      <c r="O370" s="3848"/>
      <c r="P370" s="3848"/>
      <c r="Q370" s="3848"/>
      <c r="R370" s="3848"/>
      <c r="S370" s="3848"/>
      <c r="T370" s="3848"/>
      <c r="U370" s="3848"/>
      <c r="V370" s="3848"/>
      <c r="W370" s="3848"/>
      <c r="X370" s="3848"/>
      <c r="Y370" s="3848"/>
      <c r="Z370" s="3848"/>
      <c r="AA370" s="3848"/>
      <c r="AB370" s="3849"/>
      <c r="AC370" s="1574"/>
      <c r="AD370" s="1574"/>
      <c r="AY370" s="1790">
        <v>404</v>
      </c>
    </row>
    <row r="371" spans="1:51" ht="10.5" customHeight="1">
      <c r="A371" s="1515"/>
      <c r="B371" s="1515"/>
      <c r="C371" s="2559"/>
      <c r="D371" s="2559"/>
      <c r="E371" s="2559"/>
      <c r="F371" s="2559"/>
      <c r="G371" s="2559"/>
      <c r="H371" s="2559"/>
      <c r="I371" s="2559"/>
      <c r="J371" s="2559"/>
      <c r="K371" s="2559"/>
      <c r="L371" s="2559"/>
      <c r="M371" s="2559"/>
      <c r="N371" s="2559"/>
      <c r="O371" s="2559"/>
      <c r="P371" s="2559"/>
      <c r="Q371" s="2559"/>
      <c r="R371" s="2559"/>
      <c r="S371" s="2559"/>
      <c r="T371" s="2559"/>
      <c r="U371" s="2559"/>
      <c r="V371" s="2559"/>
      <c r="W371" s="2559"/>
      <c r="X371" s="2559"/>
      <c r="Y371" s="2559"/>
      <c r="Z371" s="1565"/>
      <c r="AA371" s="1566"/>
      <c r="AB371" s="1517"/>
      <c r="AC371" s="4002" t="s">
        <v>2006</v>
      </c>
      <c r="AD371" s="4003"/>
      <c r="AE371" s="4003"/>
      <c r="AF371" s="4003"/>
      <c r="AG371" s="4003"/>
      <c r="AH371" s="4003"/>
      <c r="AI371" s="4003"/>
      <c r="AJ371" s="4003"/>
      <c r="AK371" s="4003"/>
      <c r="AL371" s="4003"/>
      <c r="AM371" s="4003"/>
      <c r="AN371" s="4003"/>
      <c r="AO371" s="4003"/>
      <c r="AP371" s="4003"/>
      <c r="AQ371" s="4003"/>
      <c r="AR371" s="4003"/>
      <c r="AY371" s="1791">
        <v>405</v>
      </c>
    </row>
    <row r="372" spans="1:51" ht="10.5" customHeight="1">
      <c r="A372" s="1515"/>
      <c r="B372" s="1515"/>
      <c r="C372" s="2559"/>
      <c r="D372" s="2559"/>
      <c r="E372" s="2559"/>
      <c r="F372" s="2559"/>
      <c r="G372" s="2559"/>
      <c r="H372" s="2559"/>
      <c r="I372" s="2559"/>
      <c r="J372" s="2559"/>
      <c r="K372" s="2559"/>
      <c r="L372" s="2559"/>
      <c r="M372" s="2559"/>
      <c r="N372" s="2559"/>
      <c r="O372" s="2559"/>
      <c r="P372" s="2559"/>
      <c r="Q372" s="2559"/>
      <c r="R372" s="2559"/>
      <c r="S372" s="2559"/>
      <c r="T372" s="2559"/>
      <c r="U372" s="2559"/>
      <c r="V372" s="2559"/>
      <c r="W372" s="2559"/>
      <c r="X372" s="2559"/>
      <c r="Y372" s="2559"/>
      <c r="Z372" s="1565"/>
      <c r="AA372" s="1566"/>
      <c r="AB372" s="1517"/>
      <c r="AC372" s="4002"/>
      <c r="AD372" s="4003"/>
      <c r="AE372" s="4003"/>
      <c r="AF372" s="4003"/>
      <c r="AG372" s="4003"/>
      <c r="AH372" s="4003"/>
      <c r="AI372" s="4003"/>
      <c r="AJ372" s="4003"/>
      <c r="AK372" s="4003"/>
      <c r="AL372" s="4003"/>
      <c r="AM372" s="4003"/>
      <c r="AN372" s="4003"/>
      <c r="AO372" s="4003"/>
      <c r="AP372" s="4003"/>
      <c r="AQ372" s="4003"/>
      <c r="AR372" s="4003"/>
      <c r="AY372" s="1791">
        <v>406</v>
      </c>
    </row>
    <row r="373" spans="1:51" ht="16.05" customHeight="1" thickBot="1">
      <c r="AC373" s="4002"/>
      <c r="AD373" s="4003"/>
      <c r="AE373" s="4003"/>
      <c r="AF373" s="4003"/>
      <c r="AG373" s="4003"/>
      <c r="AH373" s="4003"/>
      <c r="AI373" s="4003"/>
      <c r="AJ373" s="4003"/>
      <c r="AK373" s="4003"/>
      <c r="AL373" s="4003"/>
      <c r="AM373" s="4003"/>
      <c r="AN373" s="4003"/>
      <c r="AO373" s="4003"/>
      <c r="AP373" s="4003"/>
      <c r="AQ373" s="4003"/>
      <c r="AR373" s="4003"/>
      <c r="AY373" s="1791">
        <v>407</v>
      </c>
    </row>
    <row r="374" spans="1:51" s="1515" customFormat="1" ht="21" customHeight="1">
      <c r="A374" s="1523" t="s">
        <v>2007</v>
      </c>
      <c r="B374" s="1514"/>
      <c r="E374" s="1514"/>
      <c r="F374" s="1514"/>
      <c r="G374" s="1514"/>
      <c r="Y374" s="1462"/>
      <c r="Z374" s="1526"/>
      <c r="AA374" s="1527">
        <f>IF(AND($M$11="New Affordability",$C$16="9%"),$BH$416,IF(AND($M$11="New Affordability",$C$16="4%"),$BI$416,IF(AND($M$11="Preservation",$C$16="9%"),$BJ$416,IF(AND($M$11="Preservation",$C$16="4%"),$BK$416,0))))</f>
        <v>73</v>
      </c>
      <c r="AB374" s="1527">
        <f>IF(AND($M$11="New Affordability",$C$16="9%"),$BL$416,IF(AND($M$11="New Affordability",$C$16="4%"),$BM$416,IF(AND($M$11="Preservation",$C$16="9%"),$BN$416,IF(AND($M$11="Preservation",$C$16="4%"),$BO$416,0))))</f>
        <v>12</v>
      </c>
      <c r="AC374" s="4003"/>
      <c r="AD374" s="4003"/>
      <c r="AE374" s="4003"/>
      <c r="AF374" s="4003"/>
      <c r="AG374" s="4003"/>
      <c r="AH374" s="4003"/>
      <c r="AI374" s="4003"/>
      <c r="AJ374" s="4003"/>
      <c r="AK374" s="4003"/>
      <c r="AL374" s="4003"/>
      <c r="AM374" s="4003"/>
      <c r="AN374" s="4003"/>
      <c r="AO374" s="4003"/>
      <c r="AP374" s="4003"/>
      <c r="AQ374" s="4003"/>
      <c r="AR374" s="4003"/>
      <c r="AY374" s="1791">
        <v>408</v>
      </c>
    </row>
    <row r="375" spans="1:51" ht="9" customHeight="1">
      <c r="A375" s="1515"/>
      <c r="C375" s="2559"/>
      <c r="D375" s="2559"/>
      <c r="E375" s="2559"/>
      <c r="F375" s="2559"/>
      <c r="G375" s="2559"/>
      <c r="H375" s="2559"/>
      <c r="I375" s="2559"/>
      <c r="J375" s="2559"/>
      <c r="K375" s="2559"/>
      <c r="L375" s="2559"/>
      <c r="M375" s="2559"/>
      <c r="N375" s="2559"/>
      <c r="O375" s="2559"/>
      <c r="P375" s="2559"/>
      <c r="Q375" s="2559"/>
      <c r="R375" s="2559"/>
      <c r="S375" s="2559"/>
      <c r="T375" s="2559"/>
      <c r="U375" s="2559"/>
      <c r="V375" s="2559"/>
      <c r="W375" s="2559"/>
      <c r="X375" s="2559"/>
      <c r="Y375" s="2559"/>
      <c r="Z375" s="2559"/>
      <c r="AA375" s="2559"/>
      <c r="AB375" s="2559"/>
      <c r="AC375" s="4002"/>
      <c r="AD375" s="4003"/>
      <c r="AE375" s="4003"/>
      <c r="AF375" s="4003"/>
      <c r="AG375" s="4003"/>
      <c r="AH375" s="4003"/>
      <c r="AI375" s="4003"/>
      <c r="AJ375" s="4003"/>
      <c r="AK375" s="4003"/>
      <c r="AL375" s="4003"/>
      <c r="AM375" s="4003"/>
      <c r="AN375" s="4003"/>
      <c r="AO375" s="4003"/>
      <c r="AP375" s="4003"/>
      <c r="AQ375" s="4003"/>
      <c r="AR375" s="4003"/>
      <c r="AY375" s="1790">
        <v>409</v>
      </c>
    </row>
    <row r="376" spans="1:51" ht="9" customHeight="1">
      <c r="G376" s="2562"/>
      <c r="H376" s="2562"/>
      <c r="I376" s="1517"/>
      <c r="J376" s="1517"/>
      <c r="Z376" s="1517"/>
      <c r="AA376" s="1517"/>
      <c r="AB376" s="1525"/>
      <c r="AC376" s="4002"/>
      <c r="AD376" s="4003"/>
      <c r="AE376" s="4003"/>
      <c r="AF376" s="4003"/>
      <c r="AG376" s="4003"/>
      <c r="AH376" s="4003"/>
      <c r="AI376" s="4003"/>
      <c r="AJ376" s="4003"/>
      <c r="AK376" s="4003"/>
      <c r="AL376" s="4003"/>
      <c r="AM376" s="4003"/>
      <c r="AN376" s="4003"/>
      <c r="AO376" s="4003"/>
      <c r="AP376" s="4003"/>
      <c r="AQ376" s="4003"/>
      <c r="AR376" s="4003"/>
      <c r="AY376" s="1791">
        <v>410</v>
      </c>
    </row>
    <row r="377" spans="1:51" ht="45" customHeight="1">
      <c r="A377" s="4004" t="s">
        <v>2008</v>
      </c>
      <c r="B377" s="4004"/>
      <c r="C377" s="4004"/>
      <c r="D377" s="4004"/>
      <c r="E377" s="4004"/>
      <c r="F377" s="4004"/>
      <c r="G377" s="4004"/>
      <c r="H377" s="4004"/>
      <c r="I377" s="4004"/>
      <c r="J377" s="4004"/>
      <c r="K377" s="4004"/>
      <c r="L377" s="4004"/>
      <c r="M377" s="4004"/>
      <c r="N377" s="4004"/>
      <c r="O377" s="4004"/>
      <c r="P377" s="4004"/>
      <c r="Q377" s="4004"/>
      <c r="R377" s="4004"/>
      <c r="S377" s="4004"/>
      <c r="T377" s="4004"/>
      <c r="U377" s="4004"/>
      <c r="V377" s="4004"/>
      <c r="W377" s="4004"/>
      <c r="X377" s="4004"/>
      <c r="Y377" s="4004"/>
      <c r="Z377" s="4004"/>
      <c r="AA377" s="4004"/>
      <c r="AB377" s="4004"/>
      <c r="AC377" s="4002"/>
      <c r="AD377" s="4003"/>
      <c r="AE377" s="4003"/>
      <c r="AF377" s="4003"/>
      <c r="AG377" s="4003"/>
      <c r="AH377" s="4003"/>
      <c r="AI377" s="4003"/>
      <c r="AJ377" s="4003"/>
      <c r="AK377" s="4003"/>
      <c r="AL377" s="4003"/>
      <c r="AM377" s="4003"/>
      <c r="AN377" s="4003"/>
      <c r="AO377" s="4003"/>
      <c r="AP377" s="4003"/>
      <c r="AQ377" s="4003"/>
      <c r="AR377" s="4003"/>
      <c r="AY377" s="1790">
        <v>411</v>
      </c>
    </row>
    <row r="378" spans="1:51" ht="409.5" customHeight="1">
      <c r="A378" s="3844"/>
      <c r="B378" s="3845"/>
      <c r="C378" s="3845"/>
      <c r="D378" s="3845"/>
      <c r="E378" s="3845"/>
      <c r="F378" s="3845"/>
      <c r="G378" s="3845"/>
      <c r="H378" s="3845"/>
      <c r="I378" s="3845"/>
      <c r="J378" s="3845"/>
      <c r="K378" s="3845"/>
      <c r="L378" s="3845"/>
      <c r="M378" s="3845"/>
      <c r="N378" s="3845"/>
      <c r="O378" s="3845"/>
      <c r="P378" s="3845"/>
      <c r="Q378" s="3845"/>
      <c r="R378" s="3845"/>
      <c r="S378" s="3845"/>
      <c r="T378" s="3845"/>
      <c r="U378" s="3845"/>
      <c r="V378" s="3845"/>
      <c r="W378" s="3845"/>
      <c r="X378" s="3845"/>
      <c r="Y378" s="3845"/>
      <c r="Z378" s="3845"/>
      <c r="AA378" s="3845"/>
      <c r="AB378" s="3846"/>
      <c r="AC378" s="1529"/>
      <c r="AD378" s="1529"/>
      <c r="AE378" s="1529"/>
      <c r="AF378" s="1529"/>
      <c r="AG378" s="1529"/>
      <c r="AH378" s="1529"/>
      <c r="AI378" s="1529"/>
      <c r="AJ378" s="1529"/>
      <c r="AK378" s="1529"/>
      <c r="AY378" s="1790">
        <v>412</v>
      </c>
    </row>
    <row r="379" spans="1:51" ht="13.8">
      <c r="B379" s="1463"/>
      <c r="C379" s="1463" t="s">
        <v>1698</v>
      </c>
      <c r="D379" s="1463"/>
      <c r="E379" s="1463"/>
      <c r="F379" s="1463"/>
      <c r="G379" s="1463"/>
      <c r="H379" s="1463"/>
      <c r="I379" s="1463"/>
      <c r="J379" s="1463"/>
      <c r="K379" s="1464" t="s">
        <v>1621</v>
      </c>
      <c r="L379" s="1464"/>
      <c r="M379" s="1464"/>
      <c r="N379" s="1464"/>
      <c r="O379" s="1464"/>
      <c r="P379" s="1464"/>
      <c r="Q379" s="1464"/>
      <c r="R379" s="1464"/>
      <c r="S379" s="1464"/>
      <c r="T379" s="1463"/>
      <c r="U379" s="1463"/>
      <c r="V379" s="1463"/>
      <c r="W379" s="1463"/>
      <c r="X379" s="1463"/>
      <c r="Y379" s="1463"/>
      <c r="Z379" s="2568"/>
      <c r="AA379" s="2569"/>
      <c r="AB379" s="2569"/>
      <c r="AC379" s="1475"/>
      <c r="AD379" s="1475"/>
      <c r="AE379" s="1475"/>
      <c r="AF379" s="2563"/>
      <c r="AG379" s="2563"/>
      <c r="AH379" s="2563"/>
      <c r="AI379" s="2563"/>
      <c r="AJ379" s="2563"/>
      <c r="AK379" s="2563"/>
    </row>
    <row r="380" spans="1:51" ht="13.8">
      <c r="B380" s="1463"/>
      <c r="C380" s="1463" t="s">
        <v>2009</v>
      </c>
      <c r="D380" s="1463"/>
      <c r="E380" s="1463"/>
      <c r="F380" s="1463"/>
      <c r="G380" s="1463"/>
      <c r="H380" s="1463"/>
      <c r="I380" s="1463"/>
      <c r="J380" s="1463"/>
      <c r="K380" s="1464" t="s">
        <v>1644</v>
      </c>
      <c r="L380" s="1464"/>
      <c r="M380" s="1464"/>
      <c r="N380" s="1464"/>
      <c r="O380" s="1464"/>
      <c r="P380" s="1464"/>
      <c r="Q380" s="1464"/>
      <c r="R380" s="1464"/>
      <c r="S380" s="1464"/>
      <c r="T380" s="1463"/>
      <c r="U380" s="1463"/>
      <c r="V380" s="1463"/>
      <c r="W380" s="1463"/>
      <c r="X380" s="1463"/>
      <c r="Y380" s="1463"/>
      <c r="Z380" s="2568"/>
      <c r="AA380" s="2569"/>
      <c r="AB380" s="2569"/>
      <c r="AC380" s="1463"/>
      <c r="AD380" s="1463"/>
      <c r="AE380" s="1463"/>
    </row>
    <row r="381" spans="1:51" ht="13.8">
      <c r="B381" s="1463"/>
      <c r="C381" s="1463" t="s">
        <v>2010</v>
      </c>
      <c r="D381" s="1463"/>
      <c r="E381" s="1463"/>
      <c r="F381" s="1463"/>
      <c r="G381" s="1463"/>
      <c r="H381" s="1463"/>
      <c r="I381" s="1463"/>
      <c r="J381" s="1463"/>
      <c r="K381" s="1464" t="s">
        <v>2011</v>
      </c>
      <c r="L381" s="1464"/>
      <c r="M381" s="1464"/>
      <c r="N381" s="1464"/>
      <c r="O381" s="1464"/>
      <c r="P381" s="1464"/>
      <c r="Q381" s="1464"/>
      <c r="R381" s="1464"/>
      <c r="S381" s="1464"/>
      <c r="T381" s="1463"/>
      <c r="U381" s="1463"/>
      <c r="V381" s="1463"/>
      <c r="W381" s="1463"/>
      <c r="X381" s="1463"/>
      <c r="Y381" s="1463"/>
      <c r="Z381" s="2568"/>
      <c r="AA381" s="2569"/>
      <c r="AB381" s="2569"/>
      <c r="AC381" s="1463"/>
      <c r="AD381" s="1463"/>
      <c r="AE381" s="1463"/>
    </row>
    <row r="382" spans="1:51" ht="13.8">
      <c r="B382" s="1463"/>
      <c r="C382" s="1463" t="s">
        <v>2012</v>
      </c>
      <c r="D382" s="1463"/>
      <c r="E382" s="1463"/>
      <c r="F382" s="1463"/>
      <c r="G382" s="1463"/>
      <c r="H382" s="1463"/>
      <c r="I382" s="1463"/>
      <c r="J382" s="1463"/>
      <c r="K382" s="1464" t="s">
        <v>2013</v>
      </c>
      <c r="L382" s="1464"/>
      <c r="M382" s="1464"/>
      <c r="N382" s="1464"/>
      <c r="O382" s="1464"/>
      <c r="P382" s="1464"/>
      <c r="Q382" s="1464"/>
      <c r="R382" s="1464"/>
      <c r="S382" s="1464"/>
      <c r="T382" s="1463"/>
      <c r="U382" s="1463"/>
      <c r="V382" s="1463"/>
      <c r="W382" s="1463"/>
      <c r="X382" s="1463"/>
      <c r="Y382" s="1463"/>
      <c r="Z382" s="2568"/>
      <c r="AA382" s="2569"/>
      <c r="AB382" s="2569"/>
      <c r="AC382" s="1463"/>
      <c r="AD382" s="1463"/>
      <c r="AE382" s="1463"/>
    </row>
    <row r="383" spans="1:51" ht="13.8">
      <c r="B383" s="1463"/>
      <c r="C383" s="1463"/>
      <c r="D383" s="1463"/>
      <c r="E383" s="1463"/>
      <c r="F383" s="1463"/>
      <c r="G383" s="1463"/>
      <c r="H383" s="1463"/>
      <c r="I383" s="1463"/>
      <c r="J383" s="1463"/>
      <c r="K383" s="1464" t="s">
        <v>1699</v>
      </c>
      <c r="L383" s="1464"/>
      <c r="M383" s="1464"/>
      <c r="N383" s="1464"/>
      <c r="O383" s="1464"/>
      <c r="P383" s="1464"/>
      <c r="Q383" s="1464"/>
      <c r="R383" s="1464"/>
      <c r="S383" s="1464"/>
      <c r="T383" s="1463"/>
      <c r="U383" s="1463"/>
      <c r="V383" s="1463"/>
      <c r="W383" s="1463"/>
      <c r="X383" s="1463"/>
      <c r="Y383" s="1463"/>
      <c r="Z383" s="2568"/>
      <c r="AA383" s="2569"/>
      <c r="AB383" s="2569"/>
      <c r="AC383" s="1463"/>
      <c r="AD383" s="1463"/>
      <c r="AE383" s="1463"/>
    </row>
    <row r="384" spans="1:51" ht="13.8">
      <c r="B384" s="1463"/>
      <c r="C384" s="1463" t="s">
        <v>721</v>
      </c>
      <c r="D384" s="1463"/>
      <c r="E384" s="1463"/>
      <c r="F384" s="1463"/>
      <c r="G384" s="1463"/>
      <c r="H384" s="1463"/>
      <c r="I384" s="1463"/>
      <c r="J384" s="1463"/>
      <c r="K384" s="1464" t="s">
        <v>2014</v>
      </c>
      <c r="L384" s="1464"/>
      <c r="M384" s="1464"/>
      <c r="N384" s="1464"/>
      <c r="O384" s="1464"/>
      <c r="P384" s="1464"/>
      <c r="Q384" s="1464"/>
      <c r="R384" s="1464"/>
      <c r="S384" s="1464"/>
      <c r="T384" s="1463"/>
      <c r="U384" s="1463"/>
      <c r="V384" s="1463"/>
      <c r="W384" s="1463"/>
      <c r="X384" s="1463"/>
      <c r="Y384" s="1463"/>
      <c r="Z384" s="2568"/>
      <c r="AA384" s="2569"/>
      <c r="AB384" s="1572"/>
      <c r="AC384" s="2457"/>
      <c r="AD384" s="2457"/>
      <c r="AE384" s="2457"/>
      <c r="AF384" s="2457"/>
      <c r="AG384" s="2457"/>
      <c r="AH384" s="2457"/>
      <c r="AI384" s="2457"/>
      <c r="AJ384" s="2457"/>
      <c r="AK384" s="2457"/>
      <c r="AL384" s="2457"/>
      <c r="AM384" s="2457"/>
      <c r="AN384" s="2457"/>
      <c r="AO384" s="2457"/>
      <c r="AP384" s="2457"/>
      <c r="AQ384" s="2457"/>
      <c r="AR384" s="2457"/>
      <c r="AS384" s="2457"/>
      <c r="AT384" s="2457"/>
    </row>
    <row r="385" spans="2:70" ht="13.8">
      <c r="B385" s="1463"/>
      <c r="C385" s="1465" t="s">
        <v>1617</v>
      </c>
      <c r="D385" s="1465"/>
      <c r="E385" s="1463"/>
      <c r="F385" s="1463"/>
      <c r="G385" s="1463"/>
      <c r="H385" s="1463"/>
      <c r="I385" s="1463"/>
      <c r="J385" s="1463"/>
      <c r="K385" s="1464" t="s">
        <v>2015</v>
      </c>
      <c r="L385" s="1464"/>
      <c r="M385" s="1464"/>
      <c r="N385" s="1464"/>
      <c r="O385" s="1464"/>
      <c r="P385" s="1464"/>
      <c r="Q385" s="1464"/>
      <c r="R385" s="1464"/>
      <c r="S385" s="1464"/>
      <c r="T385" s="1463"/>
      <c r="U385" s="1463"/>
      <c r="V385" s="1463"/>
      <c r="W385" s="1463"/>
      <c r="X385" s="1463"/>
      <c r="Y385" s="1463"/>
      <c r="Z385" s="2568"/>
      <c r="AA385" s="2569"/>
      <c r="AB385" s="1572"/>
      <c r="AC385" s="2457"/>
      <c r="AD385" s="2457"/>
      <c r="AE385" s="2457"/>
      <c r="AF385" s="2457"/>
      <c r="AG385" s="2457"/>
      <c r="AH385" s="2457"/>
      <c r="AI385" s="2457"/>
      <c r="AJ385" s="2457"/>
      <c r="AK385" s="2457"/>
      <c r="AL385" s="2457"/>
      <c r="AM385" s="2457"/>
      <c r="AN385" s="2457"/>
      <c r="AO385" s="2457"/>
      <c r="AP385" s="2457"/>
      <c r="AQ385" s="2457"/>
      <c r="AR385" s="2457"/>
      <c r="AS385" s="2457"/>
      <c r="AT385" s="2457"/>
      <c r="BE385" s="1518"/>
      <c r="BF385" s="1518"/>
      <c r="BG385" s="1515"/>
      <c r="BH385" s="4005" t="s">
        <v>2016</v>
      </c>
      <c r="BI385" s="4005"/>
      <c r="BJ385" s="4005"/>
      <c r="BK385" s="4005"/>
      <c r="BL385" s="4005"/>
      <c r="BM385" s="4005"/>
      <c r="BN385" s="4005"/>
      <c r="BO385" s="4005"/>
      <c r="BP385" s="1515"/>
      <c r="BQ385" s="1515"/>
      <c r="BR385" s="1515"/>
    </row>
    <row r="386" spans="2:70" ht="13.8">
      <c r="B386" s="1463"/>
      <c r="C386" s="1465" t="s">
        <v>1620</v>
      </c>
      <c r="D386" s="1465"/>
      <c r="E386" s="1463"/>
      <c r="F386" s="1463"/>
      <c r="G386" s="1463"/>
      <c r="H386" s="1463"/>
      <c r="I386" s="1463"/>
      <c r="J386" s="1463"/>
      <c r="K386" s="1464" t="s">
        <v>1630</v>
      </c>
      <c r="L386" s="1464"/>
      <c r="M386" s="1464"/>
      <c r="N386" s="1464"/>
      <c r="O386" s="1464"/>
      <c r="P386" s="1464"/>
      <c r="Q386" s="1464"/>
      <c r="R386" s="1464"/>
      <c r="S386" s="1464"/>
      <c r="T386" s="1463"/>
      <c r="U386" s="1463"/>
      <c r="V386" s="1463"/>
      <c r="W386" s="1463"/>
      <c r="X386" s="1463"/>
      <c r="Y386" s="1463"/>
      <c r="Z386" s="2568"/>
      <c r="AA386" s="2569"/>
      <c r="AB386" s="1572"/>
      <c r="AC386" s="2457"/>
      <c r="AD386" s="2457"/>
      <c r="AE386" s="2457"/>
      <c r="AF386" s="2457"/>
      <c r="AG386" s="2457"/>
      <c r="AH386" s="2457"/>
      <c r="AI386" s="2457"/>
      <c r="AJ386" s="2457"/>
      <c r="AK386" s="2457"/>
      <c r="AL386" s="1463"/>
      <c r="AM386" s="1463"/>
      <c r="AN386" s="1463"/>
      <c r="AO386" s="1463"/>
      <c r="AP386" s="1463"/>
      <c r="AQ386" s="1463"/>
      <c r="AR386" s="1463"/>
      <c r="AS386" s="1463"/>
      <c r="AT386" s="1463"/>
      <c r="AU386" s="1463"/>
      <c r="AV386" s="1463"/>
      <c r="AW386" s="1463"/>
      <c r="AX386" s="1463"/>
      <c r="AY386" s="2568"/>
      <c r="AZ386" s="1463"/>
      <c r="BB386" s="1518"/>
      <c r="BC386" s="1518"/>
      <c r="BD386" s="1515"/>
      <c r="BE386" s="1515"/>
      <c r="BF386" s="1515"/>
      <c r="BG386" s="1515"/>
      <c r="BH386" s="4006" t="s">
        <v>2017</v>
      </c>
      <c r="BI386" s="4007"/>
      <c r="BJ386" s="4007"/>
      <c r="BK386" s="4008"/>
      <c r="BL386" s="4009" t="s">
        <v>2018</v>
      </c>
      <c r="BM386" s="4010"/>
      <c r="BN386" s="4010"/>
      <c r="BO386" s="4011"/>
    </row>
    <row r="387" spans="2:70" ht="13.8">
      <c r="B387" s="1463"/>
      <c r="C387" s="1465" t="s">
        <v>1623</v>
      </c>
      <c r="D387" s="1465"/>
      <c r="E387" s="1463"/>
      <c r="F387" s="1463"/>
      <c r="G387" s="1463"/>
      <c r="H387" s="1463"/>
      <c r="I387" s="1463"/>
      <c r="J387" s="1463"/>
      <c r="K387" s="1464" t="s">
        <v>1615</v>
      </c>
      <c r="L387" s="1464"/>
      <c r="M387" s="1464"/>
      <c r="N387" s="1464"/>
      <c r="O387" s="1464"/>
      <c r="P387" s="1464"/>
      <c r="Q387" s="1464"/>
      <c r="R387" s="1464"/>
      <c r="S387" s="1464"/>
      <c r="T387" s="1463"/>
      <c r="U387" s="1463"/>
      <c r="V387" s="1463"/>
      <c r="W387" s="1463"/>
      <c r="X387" s="1463"/>
      <c r="Y387" s="1463"/>
      <c r="Z387" s="2568"/>
      <c r="AA387" s="2569"/>
      <c r="AB387" s="1572"/>
      <c r="AC387" s="2457"/>
      <c r="AD387" s="2457"/>
      <c r="AE387" s="2457"/>
      <c r="AF387" s="2457"/>
      <c r="AG387" s="2457"/>
      <c r="AH387" s="2457"/>
      <c r="AI387" s="2457"/>
      <c r="AJ387" s="2457"/>
      <c r="AK387" s="2457"/>
      <c r="AL387" s="1463"/>
      <c r="AM387" s="1730" t="s">
        <v>25</v>
      </c>
      <c r="AN387" s="1731" t="s">
        <v>1728</v>
      </c>
      <c r="AO387" s="1463"/>
      <c r="AP387" s="1463"/>
      <c r="AQ387" s="1463"/>
      <c r="AR387" s="1463"/>
      <c r="AS387" s="1463"/>
      <c r="AT387" s="1463"/>
      <c r="AU387" s="1463"/>
      <c r="AV387" s="1463"/>
      <c r="AW387" s="1463"/>
      <c r="AX387" s="1463"/>
      <c r="AY387" s="2568"/>
      <c r="AZ387" s="1463"/>
      <c r="BH387" s="1667"/>
      <c r="BI387" s="1667"/>
      <c r="BJ387" s="1667"/>
      <c r="BK387" s="1667"/>
      <c r="BL387" s="1667"/>
      <c r="BM387" s="1667"/>
      <c r="BN387" s="1667"/>
      <c r="BO387" s="1667"/>
    </row>
    <row r="388" spans="2:70" ht="15" customHeight="1">
      <c r="B388" s="1463"/>
      <c r="C388" s="1465" t="s">
        <v>1626</v>
      </c>
      <c r="D388" s="1465"/>
      <c r="E388" s="1463"/>
      <c r="F388" s="1463"/>
      <c r="G388" s="1463"/>
      <c r="H388" s="1463"/>
      <c r="I388" s="1463"/>
      <c r="J388" s="1463"/>
      <c r="K388" s="1464" t="s">
        <v>1627</v>
      </c>
      <c r="L388" s="1464"/>
      <c r="M388" s="1464"/>
      <c r="N388" s="1464"/>
      <c r="O388" s="1464"/>
      <c r="P388" s="1464"/>
      <c r="Q388" s="1464"/>
      <c r="R388" s="1464"/>
      <c r="S388" s="1464"/>
      <c r="T388" s="1463"/>
      <c r="U388" s="1463"/>
      <c r="V388" s="1463"/>
      <c r="W388" s="1463"/>
      <c r="X388" s="1463"/>
      <c r="Y388" s="1463"/>
      <c r="Z388" s="2568"/>
      <c r="AA388" s="2569"/>
      <c r="AB388" s="1572"/>
      <c r="AC388" s="2457"/>
      <c r="AD388" s="2457"/>
      <c r="AE388" s="2457"/>
      <c r="AF388" s="2457"/>
      <c r="AG388" s="2457"/>
      <c r="AH388" s="2457"/>
      <c r="AI388" s="2457"/>
      <c r="AJ388" s="2457"/>
      <c r="AK388" s="2457"/>
      <c r="AL388" s="1463"/>
      <c r="AM388" s="1463"/>
      <c r="AN388" s="1463"/>
      <c r="AO388" s="1446"/>
      <c r="AP388" s="1463"/>
      <c r="AQ388" s="1463"/>
      <c r="AR388" s="1463"/>
      <c r="AS388" s="3995" t="s">
        <v>1255</v>
      </c>
      <c r="AT388" s="3995"/>
      <c r="AU388" s="3995" t="s">
        <v>2019</v>
      </c>
      <c r="AV388" s="3995"/>
      <c r="AW388" s="3998" t="s">
        <v>2020</v>
      </c>
      <c r="AX388" s="3998"/>
      <c r="AY388" s="3998"/>
      <c r="AZ388" s="3998"/>
      <c r="BB388" s="1536"/>
      <c r="BC388" s="1535" t="s">
        <v>1728</v>
      </c>
      <c r="BD388" s="1536"/>
      <c r="BE388" s="1536"/>
      <c r="BF388" s="1536"/>
      <c r="BH388" s="3999" t="s">
        <v>1255</v>
      </c>
      <c r="BI388" s="4000"/>
      <c r="BJ388" s="3999" t="s">
        <v>2019</v>
      </c>
      <c r="BK388" s="4000"/>
      <c r="BL388" s="4001" t="s">
        <v>1255</v>
      </c>
      <c r="BM388" s="4001"/>
      <c r="BN388" s="3993" t="s">
        <v>2019</v>
      </c>
      <c r="BO388" s="3994"/>
    </row>
    <row r="389" spans="2:70" ht="28.8">
      <c r="B389" s="1463"/>
      <c r="C389" s="1465" t="s">
        <v>1629</v>
      </c>
      <c r="D389" s="1465"/>
      <c r="E389" s="1463"/>
      <c r="F389" s="1463"/>
      <c r="G389" s="1463"/>
      <c r="H389" s="1463"/>
      <c r="I389" s="1463"/>
      <c r="J389" s="1463"/>
      <c r="K389" s="1464" t="s">
        <v>2021</v>
      </c>
      <c r="L389" s="1464"/>
      <c r="M389" s="1464"/>
      <c r="N389" s="1464"/>
      <c r="O389" s="1464"/>
      <c r="P389" s="1464"/>
      <c r="Q389" s="1464"/>
      <c r="R389" s="1464"/>
      <c r="S389" s="1464"/>
      <c r="T389" s="1463"/>
      <c r="U389" s="1463"/>
      <c r="V389" s="1463"/>
      <c r="W389" s="1463"/>
      <c r="X389" s="1463"/>
      <c r="Y389" s="1463"/>
      <c r="Z389" s="2568"/>
      <c r="AA389" s="2569"/>
      <c r="AB389" s="1572"/>
      <c r="AC389" s="2457"/>
      <c r="AD389" s="2457"/>
      <c r="AE389" s="2457"/>
      <c r="AF389" s="2457"/>
      <c r="AG389" s="2457"/>
      <c r="AH389" s="2457"/>
      <c r="AI389" s="2457"/>
      <c r="AJ389" s="2457"/>
      <c r="AK389" s="2457"/>
      <c r="AL389" s="1463"/>
      <c r="AM389" s="1463"/>
      <c r="AN389" s="1446"/>
      <c r="AO389" s="1463"/>
      <c r="AP389" s="1463"/>
      <c r="AQ389" s="1463"/>
      <c r="AR389" s="1463"/>
      <c r="AS389" s="1732">
        <v>0.09</v>
      </c>
      <c r="AT389" s="1732" t="s">
        <v>2022</v>
      </c>
      <c r="AU389" s="1732">
        <v>0.09</v>
      </c>
      <c r="AV389" s="1732" t="s">
        <v>2022</v>
      </c>
      <c r="AW389" s="3995" t="str">
        <f>'Part I-Project Identification'!F12</f>
        <v>9% Credits</v>
      </c>
      <c r="AX389" s="3995"/>
      <c r="AY389" s="3995"/>
      <c r="AZ389" s="3995"/>
      <c r="BC389" s="1515"/>
      <c r="BH389" s="1668">
        <v>0.09</v>
      </c>
      <c r="BI389" s="1668" t="s">
        <v>2022</v>
      </c>
      <c r="BJ389" s="1668">
        <v>0.09</v>
      </c>
      <c r="BK389" s="1668" t="s">
        <v>2022</v>
      </c>
      <c r="BL389" s="1669">
        <v>0.09</v>
      </c>
      <c r="BM389" s="1669" t="s">
        <v>2022</v>
      </c>
      <c r="BN389" s="1669">
        <v>0.09</v>
      </c>
      <c r="BO389" s="1669" t="s">
        <v>2022</v>
      </c>
    </row>
    <row r="390" spans="2:70" ht="13.8">
      <c r="B390" s="1463"/>
      <c r="C390" s="1465" t="s">
        <v>1632</v>
      </c>
      <c r="D390" s="1465"/>
      <c r="E390" s="1463"/>
      <c r="F390" s="1463"/>
      <c r="G390" s="1463"/>
      <c r="H390" s="1463"/>
      <c r="I390" s="1463"/>
      <c r="J390" s="1463"/>
      <c r="K390" s="1464" t="s">
        <v>1642</v>
      </c>
      <c r="L390" s="1464"/>
      <c r="M390" s="1464"/>
      <c r="N390" s="1464"/>
      <c r="O390" s="1464"/>
      <c r="P390" s="1464"/>
      <c r="Q390" s="1464"/>
      <c r="R390" s="1464"/>
      <c r="S390" s="1464"/>
      <c r="T390" s="1463"/>
      <c r="U390" s="1463"/>
      <c r="V390" s="1463"/>
      <c r="W390" s="1463"/>
      <c r="X390" s="1463"/>
      <c r="Y390" s="1463"/>
      <c r="Z390" s="2568"/>
      <c r="AA390" s="2569"/>
      <c r="AB390" s="1572"/>
      <c r="AC390" s="2457"/>
      <c r="AD390" s="2457"/>
      <c r="AE390" s="2457"/>
      <c r="AF390" s="2457"/>
      <c r="AG390" s="2457"/>
      <c r="AH390" s="2457"/>
      <c r="AI390" s="2457"/>
      <c r="AJ390" s="2457"/>
      <c r="AK390" s="2457"/>
      <c r="AL390" s="1463"/>
      <c r="AM390" s="1733"/>
      <c r="AN390" s="1446"/>
      <c r="AO390" s="1463"/>
      <c r="AP390" s="1463"/>
      <c r="AQ390" s="1463"/>
      <c r="AR390" s="1463"/>
      <c r="AS390" s="1734"/>
      <c r="AT390" s="1734"/>
      <c r="AU390" s="1734"/>
      <c r="AV390" s="1734"/>
      <c r="AW390" s="1463"/>
      <c r="AX390" s="1463"/>
      <c r="AY390" s="2568"/>
      <c r="AZ390" s="1463"/>
      <c r="BB390" s="1547"/>
      <c r="BC390" s="1655"/>
      <c r="BD390" s="1655"/>
      <c r="BE390" s="1655"/>
      <c r="BF390" s="1655"/>
      <c r="BG390" s="1655"/>
      <c r="BH390" s="1671"/>
      <c r="BI390" s="1672"/>
      <c r="BJ390" s="2822"/>
      <c r="BK390" s="1673"/>
      <c r="BL390" s="2823"/>
      <c r="BM390" s="2824"/>
      <c r="BN390" s="2825"/>
      <c r="BO390" s="2824"/>
    </row>
    <row r="391" spans="2:70" ht="13.8">
      <c r="B391" s="1463"/>
      <c r="C391" s="1465" t="s">
        <v>1635</v>
      </c>
      <c r="D391" s="1465"/>
      <c r="E391" s="1463"/>
      <c r="F391" s="1463"/>
      <c r="G391" s="1463"/>
      <c r="H391" s="1463"/>
      <c r="I391" s="1463"/>
      <c r="J391" s="1463"/>
      <c r="K391" s="1464" t="s">
        <v>2023</v>
      </c>
      <c r="L391" s="1464"/>
      <c r="M391" s="1464"/>
      <c r="N391" s="1464"/>
      <c r="O391" s="1464"/>
      <c r="P391" s="1464"/>
      <c r="Q391" s="1464"/>
      <c r="R391" s="1464"/>
      <c r="S391" s="1464"/>
      <c r="T391" s="1463"/>
      <c r="U391" s="1463"/>
      <c r="V391" s="1463"/>
      <c r="W391" s="1463"/>
      <c r="X391" s="1463"/>
      <c r="Y391" s="1463"/>
      <c r="Z391" s="2568"/>
      <c r="AA391" s="2569"/>
      <c r="AB391" s="1572"/>
      <c r="AC391" s="2457"/>
      <c r="AD391" s="2457"/>
      <c r="AE391" s="2457"/>
      <c r="AF391" s="2457"/>
      <c r="AG391" s="2457"/>
      <c r="AH391" s="2457"/>
      <c r="AI391" s="2457"/>
      <c r="AJ391" s="2457"/>
      <c r="AK391" s="2457"/>
      <c r="AL391" s="1463"/>
      <c r="AM391" s="1733" t="s">
        <v>32</v>
      </c>
      <c r="AN391" s="1446" t="s">
        <v>2024</v>
      </c>
      <c r="AO391" s="1463"/>
      <c r="AP391" s="1463"/>
      <c r="AQ391" s="1463"/>
      <c r="AR391" s="1463"/>
      <c r="AS391" s="1734">
        <f>$Y$23</f>
        <v>6</v>
      </c>
      <c r="AT391" s="1734">
        <f>$Y$23</f>
        <v>6</v>
      </c>
      <c r="AU391" s="1734">
        <f>$Y$23</f>
        <v>6</v>
      </c>
      <c r="AV391" s="1734">
        <f>$Y$23</f>
        <v>6</v>
      </c>
      <c r="AW391" s="1463"/>
      <c r="AX391" s="1463"/>
      <c r="AY391" s="2568"/>
      <c r="AZ391" s="1463"/>
      <c r="BB391" s="1547" t="s">
        <v>32</v>
      </c>
      <c r="BC391" s="1674" t="s">
        <v>2024</v>
      </c>
      <c r="BD391" s="1670"/>
      <c r="BE391" s="1670"/>
      <c r="BF391" s="1670"/>
      <c r="BG391" s="1670"/>
      <c r="BH391" s="1671">
        <f>$AA$23</f>
        <v>6</v>
      </c>
      <c r="BI391" s="1672">
        <f>$AA$23</f>
        <v>6</v>
      </c>
      <c r="BJ391" s="1675">
        <f>$AA$23</f>
        <v>6</v>
      </c>
      <c r="BK391" s="1676">
        <f>$AA$23</f>
        <v>6</v>
      </c>
      <c r="BL391" s="1677">
        <f>$AB$23</f>
        <v>0</v>
      </c>
      <c r="BM391" s="1678">
        <f>$AB$23</f>
        <v>0</v>
      </c>
      <c r="BN391" s="1679">
        <f>$AB$23</f>
        <v>0</v>
      </c>
      <c r="BO391" s="1678">
        <f>$AB$23</f>
        <v>0</v>
      </c>
    </row>
    <row r="392" spans="2:70" ht="13.8">
      <c r="B392" s="1463"/>
      <c r="C392" s="1465" t="s">
        <v>1638</v>
      </c>
      <c r="D392" s="1465"/>
      <c r="E392" s="1463"/>
      <c r="F392" s="1463"/>
      <c r="G392" s="1463"/>
      <c r="H392" s="1463"/>
      <c r="I392" s="1463"/>
      <c r="J392" s="1463"/>
      <c r="K392" s="1464" t="s">
        <v>2025</v>
      </c>
      <c r="L392" s="1464"/>
      <c r="M392" s="1464"/>
      <c r="N392" s="1464"/>
      <c r="O392" s="1464"/>
      <c r="P392" s="1464"/>
      <c r="Q392" s="1464"/>
      <c r="R392" s="1464"/>
      <c r="S392" s="1464"/>
      <c r="T392" s="1463"/>
      <c r="U392" s="1463"/>
      <c r="V392" s="1463"/>
      <c r="W392" s="1463"/>
      <c r="X392" s="1463"/>
      <c r="Y392" s="1463"/>
      <c r="Z392" s="2568"/>
      <c r="AA392" s="2569"/>
      <c r="AB392" s="1572"/>
      <c r="AC392" s="2457"/>
      <c r="AD392" s="2457"/>
      <c r="AE392" s="2457"/>
      <c r="AF392" s="2457"/>
      <c r="AG392" s="2457"/>
      <c r="AH392" s="2457"/>
      <c r="AI392" s="2457"/>
      <c r="AJ392" s="2457"/>
      <c r="AK392" s="2457"/>
      <c r="AL392" s="1463"/>
      <c r="AM392" s="1733" t="s">
        <v>44</v>
      </c>
      <c r="AN392" s="1446" t="s">
        <v>2026</v>
      </c>
      <c r="AO392" s="1463"/>
      <c r="AP392" s="1463"/>
      <c r="AQ392" s="1463"/>
      <c r="AR392" s="1463"/>
      <c r="AS392" s="1734">
        <v>0</v>
      </c>
      <c r="AT392" s="1734">
        <v>0</v>
      </c>
      <c r="AU392" s="1734">
        <v>0</v>
      </c>
      <c r="AV392" s="1734">
        <v>0</v>
      </c>
      <c r="AW392" s="1445" t="s">
        <v>2027</v>
      </c>
      <c r="AX392" s="1463"/>
      <c r="AY392" s="2568"/>
      <c r="AZ392" s="2567" t="str">
        <f>IF(OR($AW$389="9% Credit Competitive Round only", $AW$389="9% Credit &amp; HOME"),"9%",IF(OR($AW$389="4% Credit/TE Bond", $AW$389="4% Credit/TE Bond &amp; HOME", $AW$389="4% Credit/TE Bond &amp; HOME NOFA", $AW$389="4% Credit &amp; NHTF", $AW$389="4% Credit &amp; NHTF &amp; HOME"),"4%",""))</f>
        <v/>
      </c>
      <c r="BB392" s="1547" t="s">
        <v>44</v>
      </c>
      <c r="BC392" s="1674" t="s">
        <v>2026</v>
      </c>
      <c r="BD392" s="1680"/>
      <c r="BE392" s="1680"/>
      <c r="BF392" s="1680"/>
      <c r="BG392" s="1680"/>
      <c r="BH392" s="1675">
        <v>0</v>
      </c>
      <c r="BI392" s="1681">
        <v>0</v>
      </c>
      <c r="BJ392" s="1675">
        <v>0</v>
      </c>
      <c r="BK392" s="1676">
        <v>0</v>
      </c>
      <c r="BL392" s="1677">
        <v>0</v>
      </c>
      <c r="BM392" s="1678">
        <v>0</v>
      </c>
      <c r="BN392" s="1679">
        <v>0</v>
      </c>
      <c r="BO392" s="1678">
        <v>0</v>
      </c>
    </row>
    <row r="393" spans="2:70" ht="13.8">
      <c r="B393" s="1463"/>
      <c r="C393" s="1465" t="s">
        <v>1641</v>
      </c>
      <c r="D393" s="1465"/>
      <c r="E393" s="1463"/>
      <c r="F393" s="1463"/>
      <c r="G393" s="1463"/>
      <c r="H393" s="1463"/>
      <c r="I393" s="1463"/>
      <c r="J393" s="1463"/>
      <c r="K393" s="1463"/>
      <c r="L393" s="1463"/>
      <c r="M393" s="1463"/>
      <c r="N393" s="1463"/>
      <c r="O393" s="1463"/>
      <c r="P393" s="1463"/>
      <c r="Q393" s="1463"/>
      <c r="R393" s="1463"/>
      <c r="S393" s="1463"/>
      <c r="T393" s="1463"/>
      <c r="U393" s="1463"/>
      <c r="V393" s="1463"/>
      <c r="W393" s="1463"/>
      <c r="X393" s="1463"/>
      <c r="Y393" s="1463"/>
      <c r="Z393" s="2568"/>
      <c r="AA393" s="2569"/>
      <c r="AB393" s="1572"/>
      <c r="AC393" s="2457"/>
      <c r="AD393" s="2457"/>
      <c r="AE393" s="2457"/>
      <c r="AF393" s="2457"/>
      <c r="AG393" s="2457"/>
      <c r="AH393" s="2457"/>
      <c r="AI393" s="2457"/>
      <c r="AJ393" s="2457"/>
      <c r="AK393" s="2457"/>
      <c r="AL393" s="1463"/>
      <c r="AM393" s="1733" t="s">
        <v>58</v>
      </c>
      <c r="AN393" s="1446" t="s">
        <v>2028</v>
      </c>
      <c r="AO393" s="1463"/>
      <c r="AP393" s="1463"/>
      <c r="AQ393" s="1463"/>
      <c r="AR393" s="1463"/>
      <c r="AS393" s="1735">
        <f>$Y$38</f>
        <v>5</v>
      </c>
      <c r="AT393" s="1734">
        <f>$Y$38</f>
        <v>5</v>
      </c>
      <c r="AU393" s="1734">
        <f>$Y$38</f>
        <v>5</v>
      </c>
      <c r="AV393" s="1734">
        <f>$Y$38</f>
        <v>5</v>
      </c>
      <c r="AW393" s="1463"/>
      <c r="AX393" s="1463"/>
      <c r="AY393" s="2568"/>
      <c r="AZ393" s="1463"/>
      <c r="BB393" s="1547" t="s">
        <v>58</v>
      </c>
      <c r="BC393" s="1674" t="s">
        <v>2028</v>
      </c>
      <c r="BD393" s="1680"/>
      <c r="BE393" s="1680"/>
      <c r="BF393" s="1680"/>
      <c r="BG393" s="1680"/>
      <c r="BH393" s="1682">
        <f>$AA$38</f>
        <v>2</v>
      </c>
      <c r="BI393" s="1683">
        <f>$AA$38</f>
        <v>2</v>
      </c>
      <c r="BJ393" s="1684">
        <f>$AA$38</f>
        <v>2</v>
      </c>
      <c r="BK393" s="1685">
        <f>$AA$38</f>
        <v>2</v>
      </c>
      <c r="BL393" s="1686">
        <f>$AB$38</f>
        <v>0</v>
      </c>
      <c r="BM393" s="1687">
        <f>$AB$38</f>
        <v>0</v>
      </c>
      <c r="BN393" s="1688">
        <f>$AB$38</f>
        <v>0</v>
      </c>
      <c r="BO393" s="1689">
        <f>$AB$38</f>
        <v>0</v>
      </c>
    </row>
    <row r="394" spans="2:70" ht="13.8">
      <c r="B394" s="1463"/>
      <c r="C394" s="1465" t="s">
        <v>1643</v>
      </c>
      <c r="D394" s="1465"/>
      <c r="E394" s="1463"/>
      <c r="F394" s="1463"/>
      <c r="G394" s="1463"/>
      <c r="H394" s="1463"/>
      <c r="I394" s="1463"/>
      <c r="J394" s="1463"/>
      <c r="K394" s="1466" t="s">
        <v>2029</v>
      </c>
      <c r="L394" s="1466"/>
      <c r="M394" s="1466"/>
      <c r="N394" s="1466"/>
      <c r="O394" s="1466"/>
      <c r="P394" s="1466"/>
      <c r="Q394" s="1466"/>
      <c r="R394" s="1466"/>
      <c r="S394" s="1466"/>
      <c r="T394" s="1463"/>
      <c r="U394" s="1463"/>
      <c r="V394" s="1463"/>
      <c r="W394" s="1463"/>
      <c r="X394" s="1463"/>
      <c r="Y394" s="1463"/>
      <c r="Z394" s="2568"/>
      <c r="AA394" s="1466" t="s">
        <v>2030</v>
      </c>
      <c r="AB394" s="1572"/>
      <c r="AC394" s="2457"/>
      <c r="AD394" s="2457"/>
      <c r="AE394" s="2457"/>
      <c r="AF394" s="2457"/>
      <c r="AG394" s="2457"/>
      <c r="AH394" s="2457"/>
      <c r="AI394" s="2457"/>
      <c r="AJ394" s="2457"/>
      <c r="AK394" s="2457"/>
      <c r="AL394" s="1463"/>
      <c r="AM394" s="1733" t="s">
        <v>67</v>
      </c>
      <c r="AN394" s="1446" t="s">
        <v>2031</v>
      </c>
      <c r="AO394" s="1463"/>
      <c r="AP394" s="1463"/>
      <c r="AQ394" s="1463"/>
      <c r="AR394" s="1463"/>
      <c r="AS394" s="1734">
        <f>$Y$71</f>
        <v>10</v>
      </c>
      <c r="AT394" s="1734">
        <f>$Y$71</f>
        <v>10</v>
      </c>
      <c r="AU394" s="1734">
        <f>$Y$71</f>
        <v>10</v>
      </c>
      <c r="AV394" s="1734">
        <f>$Y$71</f>
        <v>10</v>
      </c>
      <c r="AW394" s="1463"/>
      <c r="AX394" s="1463"/>
      <c r="AY394" s="2568"/>
      <c r="AZ394" s="1463"/>
      <c r="BB394" s="1547" t="s">
        <v>67</v>
      </c>
      <c r="BC394" s="1674" t="s">
        <v>2031</v>
      </c>
      <c r="BD394" s="1680"/>
      <c r="BE394" s="1680"/>
      <c r="BF394" s="1680"/>
      <c r="BG394" s="1680"/>
      <c r="BH394" s="1675">
        <f>$AA$71</f>
        <v>10</v>
      </c>
      <c r="BI394" s="1681">
        <f>$AA$71</f>
        <v>10</v>
      </c>
      <c r="BJ394" s="1675">
        <f>$AA$71</f>
        <v>10</v>
      </c>
      <c r="BK394" s="1676">
        <f>$AA$71</f>
        <v>10</v>
      </c>
      <c r="BL394" s="1677">
        <f>$AB$71</f>
        <v>10</v>
      </c>
      <c r="BM394" s="1678">
        <f>$AB$71</f>
        <v>10</v>
      </c>
      <c r="BN394" s="1688">
        <f>$AB$71</f>
        <v>10</v>
      </c>
      <c r="BO394" s="1689">
        <f>$AB$71</f>
        <v>10</v>
      </c>
    </row>
    <row r="395" spans="2:70" ht="13.8">
      <c r="B395" s="1463"/>
      <c r="C395" s="1465" t="s">
        <v>1645</v>
      </c>
      <c r="D395" s="1465"/>
      <c r="E395" s="1463"/>
      <c r="F395" s="1463"/>
      <c r="G395" s="1463"/>
      <c r="H395" s="1463"/>
      <c r="I395" s="1463"/>
      <c r="J395" s="1463"/>
      <c r="K395" s="1464" t="s">
        <v>2032</v>
      </c>
      <c r="L395" s="1464"/>
      <c r="M395" s="1464"/>
      <c r="N395" s="1464"/>
      <c r="O395" s="1464"/>
      <c r="P395" s="1464"/>
      <c r="Q395" s="1464"/>
      <c r="R395" s="1464"/>
      <c r="S395" s="1464"/>
      <c r="T395" s="1463"/>
      <c r="U395" s="1463"/>
      <c r="V395" s="1463"/>
      <c r="W395" s="1463"/>
      <c r="X395" s="1463"/>
      <c r="Y395" s="1463"/>
      <c r="Z395" s="2568"/>
      <c r="AA395" s="2569"/>
      <c r="AB395" s="1572"/>
      <c r="AC395" s="2457"/>
      <c r="AD395" s="2457"/>
      <c r="AE395" s="2457"/>
      <c r="AF395" s="2457"/>
      <c r="AG395" s="2457"/>
      <c r="AH395" s="2457"/>
      <c r="AI395" s="2457"/>
      <c r="AJ395" s="2457"/>
      <c r="AK395" s="2457"/>
      <c r="AL395" s="1463"/>
      <c r="AM395" s="1733" t="s">
        <v>69</v>
      </c>
      <c r="AN395" s="1446" t="s">
        <v>2033</v>
      </c>
      <c r="AO395" s="1463"/>
      <c r="AP395" s="1463"/>
      <c r="AQ395" s="1463"/>
      <c r="AR395" s="1463"/>
      <c r="AS395" s="1734">
        <f>$Y$81</f>
        <v>5</v>
      </c>
      <c r="AT395" s="1734">
        <f>$Y$81</f>
        <v>5</v>
      </c>
      <c r="AU395" s="1734">
        <f>$Y$81</f>
        <v>5</v>
      </c>
      <c r="AV395" s="1734">
        <f>$Y$81</f>
        <v>5</v>
      </c>
      <c r="AW395" s="3996" t="s">
        <v>2034</v>
      </c>
      <c r="AX395" s="3996"/>
      <c r="AY395" s="3996"/>
      <c r="AZ395" s="3996"/>
      <c r="BB395" s="1547" t="s">
        <v>69</v>
      </c>
      <c r="BC395" s="1674" t="s">
        <v>2033</v>
      </c>
      <c r="BD395" s="1680"/>
      <c r="BE395" s="1680"/>
      <c r="BF395" s="1680"/>
      <c r="BG395" s="1680"/>
      <c r="BH395" s="1675">
        <f>$AA$81</f>
        <v>4</v>
      </c>
      <c r="BI395" s="1690">
        <f>$AA$81</f>
        <v>4</v>
      </c>
      <c r="BJ395" s="1684">
        <f>$AA$81</f>
        <v>4</v>
      </c>
      <c r="BK395" s="1685">
        <f>$AA$81</f>
        <v>4</v>
      </c>
      <c r="BL395" s="1677">
        <f>$AB$81</f>
        <v>2</v>
      </c>
      <c r="BM395" s="1689">
        <f>$AB$81</f>
        <v>2</v>
      </c>
      <c r="BN395" s="1688">
        <f>$AB$81</f>
        <v>2</v>
      </c>
      <c r="BO395" s="1689">
        <f>$AB$81</f>
        <v>2</v>
      </c>
    </row>
    <row r="396" spans="2:70" ht="13.8">
      <c r="B396" s="1463"/>
      <c r="C396" s="1465" t="s">
        <v>1648</v>
      </c>
      <c r="D396" s="1465"/>
      <c r="E396" s="1463"/>
      <c r="F396" s="1463"/>
      <c r="G396" s="1463"/>
      <c r="H396" s="1463"/>
      <c r="I396" s="1463"/>
      <c r="J396" s="1463"/>
      <c r="K396" s="1463" t="s">
        <v>2035</v>
      </c>
      <c r="L396" s="1463"/>
      <c r="M396" s="1463"/>
      <c r="N396" s="1463"/>
      <c r="O396" s="1463"/>
      <c r="P396" s="1463"/>
      <c r="Q396" s="1463"/>
      <c r="R396" s="1463"/>
      <c r="S396" s="1463"/>
      <c r="T396" s="1463"/>
      <c r="U396" s="1463"/>
      <c r="V396" s="1463"/>
      <c r="W396" s="1463"/>
      <c r="X396" s="1463"/>
      <c r="Y396" s="1463"/>
      <c r="Z396" s="2568"/>
      <c r="AA396" s="2569">
        <v>2</v>
      </c>
      <c r="AB396" s="1572"/>
      <c r="AC396" s="2457"/>
      <c r="AD396" s="2457"/>
      <c r="AE396" s="2457"/>
      <c r="AF396" s="2457"/>
      <c r="AG396" s="2457"/>
      <c r="AH396" s="2457"/>
      <c r="AI396" s="2457"/>
      <c r="AJ396" s="2457"/>
      <c r="AK396" s="2457"/>
      <c r="AL396" s="1463"/>
      <c r="AM396" s="1733" t="s">
        <v>1482</v>
      </c>
      <c r="AN396" s="1463" t="s">
        <v>2036</v>
      </c>
      <c r="AO396" s="1463"/>
      <c r="AP396" s="1463"/>
      <c r="AQ396" s="1463"/>
      <c r="AR396" s="1463"/>
      <c r="AS396" s="1734">
        <f>$Y$98</f>
        <v>15</v>
      </c>
      <c r="AT396" s="1734">
        <f>$Y$98</f>
        <v>15</v>
      </c>
      <c r="AU396" s="1734">
        <f>$Y$98</f>
        <v>15</v>
      </c>
      <c r="AV396" s="1734">
        <f>$Y$98</f>
        <v>15</v>
      </c>
      <c r="AW396" s="3996"/>
      <c r="AX396" s="3996"/>
      <c r="AY396" s="3996"/>
      <c r="AZ396" s="3996"/>
      <c r="BB396" s="1547" t="s">
        <v>1482</v>
      </c>
      <c r="BC396" s="1674" t="s">
        <v>2036</v>
      </c>
      <c r="BD396" s="1680"/>
      <c r="BE396" s="1680"/>
      <c r="BF396" s="1680"/>
      <c r="BG396" s="1680"/>
      <c r="BH396" s="1675">
        <f>$AA$98</f>
        <v>15</v>
      </c>
      <c r="BI396" s="1681">
        <f>$AA$98</f>
        <v>15</v>
      </c>
      <c r="BJ396" s="1675">
        <f>$AA$98</f>
        <v>15</v>
      </c>
      <c r="BK396" s="1676">
        <f>$AA$98</f>
        <v>15</v>
      </c>
      <c r="BL396" s="1677">
        <f>$AB$98</f>
        <v>0</v>
      </c>
      <c r="BM396" s="1678">
        <f>$AB$98</f>
        <v>0</v>
      </c>
      <c r="BN396" s="1688">
        <f>$AB$98</f>
        <v>0</v>
      </c>
      <c r="BO396" s="1689">
        <f>$AB$98</f>
        <v>0</v>
      </c>
    </row>
    <row r="397" spans="2:70" ht="13.8">
      <c r="B397" s="1463"/>
      <c r="C397" s="1463"/>
      <c r="D397" s="1463"/>
      <c r="E397" s="1463"/>
      <c r="F397" s="1463"/>
      <c r="G397" s="1463"/>
      <c r="H397" s="1463"/>
      <c r="I397" s="1463"/>
      <c r="J397" s="1463"/>
      <c r="K397" s="1463" t="s">
        <v>2037</v>
      </c>
      <c r="L397" s="1463"/>
      <c r="M397" s="1463"/>
      <c r="N397" s="1463"/>
      <c r="O397" s="1463"/>
      <c r="P397" s="1463"/>
      <c r="Q397" s="1463"/>
      <c r="R397" s="1463"/>
      <c r="S397" s="1463"/>
      <c r="T397" s="1463"/>
      <c r="U397" s="1463"/>
      <c r="V397" s="1463"/>
      <c r="W397" s="1463"/>
      <c r="X397" s="1463"/>
      <c r="Y397" s="1463"/>
      <c r="Z397" s="2568"/>
      <c r="AA397" s="2569">
        <v>2</v>
      </c>
      <c r="AB397" s="2569"/>
      <c r="AC397" s="1463"/>
      <c r="AD397" s="1463"/>
      <c r="AE397" s="1463"/>
      <c r="AL397" s="1463"/>
      <c r="AM397" s="1733" t="s">
        <v>1486</v>
      </c>
      <c r="AN397" s="1446" t="s">
        <v>2038</v>
      </c>
      <c r="AO397" s="1463"/>
      <c r="AP397" s="1463"/>
      <c r="AQ397" s="1463"/>
      <c r="AR397" s="1463"/>
      <c r="AS397" s="1734">
        <f>$Y$119</f>
        <v>3</v>
      </c>
      <c r="AT397" s="1734">
        <f>$Y$119</f>
        <v>3</v>
      </c>
      <c r="AU397" s="1734">
        <f>$Y$119</f>
        <v>3</v>
      </c>
      <c r="AV397" s="1734">
        <f>$Y$119</f>
        <v>3</v>
      </c>
      <c r="AW397" s="1446" t="s">
        <v>2039</v>
      </c>
      <c r="AX397" s="1446"/>
      <c r="AY397" s="1454"/>
      <c r="AZ397" s="1454"/>
      <c r="BB397" s="1547" t="s">
        <v>1486</v>
      </c>
      <c r="BC397" s="1674" t="s">
        <v>2038</v>
      </c>
      <c r="BD397" s="1680"/>
      <c r="BE397" s="1680"/>
      <c r="BF397" s="1680"/>
      <c r="BG397" s="1680"/>
      <c r="BH397" s="1675">
        <f>$AA$119</f>
        <v>2</v>
      </c>
      <c r="BI397" s="1690">
        <f>$AA$119</f>
        <v>2</v>
      </c>
      <c r="BJ397" s="1684">
        <f>$AA$119</f>
        <v>2</v>
      </c>
      <c r="BK397" s="1685">
        <f>$AA$119</f>
        <v>2</v>
      </c>
      <c r="BL397" s="1677">
        <f>$AB$119</f>
        <v>0</v>
      </c>
      <c r="BM397" s="1689">
        <f>$AB$119</f>
        <v>0</v>
      </c>
      <c r="BN397" s="1688">
        <f>$AB$119</f>
        <v>0</v>
      </c>
      <c r="BO397" s="1689">
        <f>$AB$119</f>
        <v>0</v>
      </c>
    </row>
    <row r="398" spans="2:70" ht="13.8">
      <c r="B398" s="1463"/>
      <c r="C398" s="1463"/>
      <c r="D398" s="1463"/>
      <c r="E398" s="1463"/>
      <c r="F398" s="1463"/>
      <c r="G398" s="1463"/>
      <c r="H398" s="3997" t="s">
        <v>2040</v>
      </c>
      <c r="I398" s="3997"/>
      <c r="J398" s="3997"/>
      <c r="K398" s="1463" t="s">
        <v>2041</v>
      </c>
      <c r="L398" s="1463"/>
      <c r="M398" s="1463"/>
      <c r="N398" s="1463"/>
      <c r="O398" s="1463"/>
      <c r="P398" s="1463"/>
      <c r="Q398" s="1463"/>
      <c r="R398" s="1463"/>
      <c r="S398" s="1463"/>
      <c r="T398" s="1463"/>
      <c r="U398" s="1463"/>
      <c r="V398" s="1463"/>
      <c r="W398" s="1463"/>
      <c r="X398" s="1463"/>
      <c r="Y398" s="1463"/>
      <c r="Z398" s="2568"/>
      <c r="AA398" s="2569">
        <v>2</v>
      </c>
      <c r="AB398" s="2569"/>
      <c r="AC398" s="1463"/>
      <c r="AD398" s="1463"/>
      <c r="AE398" s="1463"/>
      <c r="AL398" s="1463"/>
      <c r="AM398" s="1733" t="s">
        <v>1488</v>
      </c>
      <c r="AN398" s="1446" t="s">
        <v>2042</v>
      </c>
      <c r="AO398" s="1463"/>
      <c r="AP398" s="1463"/>
      <c r="AQ398" s="1463"/>
      <c r="AR398" s="1463"/>
      <c r="AS398" s="1734">
        <f>$Y$128</f>
        <v>2</v>
      </c>
      <c r="AT398" s="1734">
        <f>$Y$128</f>
        <v>2</v>
      </c>
      <c r="AU398" s="1734">
        <f>$Y$128</f>
        <v>2</v>
      </c>
      <c r="AV398" s="1734">
        <f>$Y$128</f>
        <v>2</v>
      </c>
      <c r="AW398" s="1446" t="s">
        <v>2043</v>
      </c>
      <c r="AX398" s="1446"/>
      <c r="AY398" s="1454"/>
      <c r="AZ398" s="1454"/>
      <c r="BB398" s="1547" t="s">
        <v>1488</v>
      </c>
      <c r="BC398" s="1674" t="s">
        <v>2042</v>
      </c>
      <c r="BD398" s="1680"/>
      <c r="BE398" s="1680"/>
      <c r="BF398" s="1680"/>
      <c r="BG398" s="1680"/>
      <c r="BH398" s="1675">
        <f>$AA$128</f>
        <v>2</v>
      </c>
      <c r="BI398" s="1681">
        <f>$AA$128</f>
        <v>2</v>
      </c>
      <c r="BJ398" s="1684">
        <f>$AA$128</f>
        <v>2</v>
      </c>
      <c r="BK398" s="1685">
        <f>$AA$128</f>
        <v>2</v>
      </c>
      <c r="BL398" s="1677">
        <f>$AB$128</f>
        <v>0</v>
      </c>
      <c r="BM398" s="1678">
        <f>$AB$128</f>
        <v>0</v>
      </c>
      <c r="BN398" s="1688">
        <f>$AB$128</f>
        <v>0</v>
      </c>
      <c r="BO398" s="1689">
        <f>$AB$128</f>
        <v>0</v>
      </c>
    </row>
    <row r="399" spans="2:70" ht="13.8">
      <c r="B399" s="1463"/>
      <c r="C399" s="1463"/>
      <c r="D399" s="1463"/>
      <c r="E399" s="1463"/>
      <c r="F399" s="1463"/>
      <c r="G399" s="1463"/>
      <c r="H399" s="1467" t="s">
        <v>2044</v>
      </c>
      <c r="I399" s="1463" t="s">
        <v>2045</v>
      </c>
      <c r="J399" s="1467" t="s">
        <v>2046</v>
      </c>
      <c r="K399" s="1463" t="s">
        <v>2047</v>
      </c>
      <c r="L399" s="1463"/>
      <c r="M399" s="1463"/>
      <c r="N399" s="1463"/>
      <c r="O399" s="1463"/>
      <c r="P399" s="1463"/>
      <c r="Q399" s="1463"/>
      <c r="R399" s="1463"/>
      <c r="S399" s="1463"/>
      <c r="T399" s="1463"/>
      <c r="U399" s="1463"/>
      <c r="V399" s="1463"/>
      <c r="W399" s="1463"/>
      <c r="X399" s="1467"/>
      <c r="Y399" s="1463"/>
      <c r="Z399" s="2568"/>
      <c r="AA399" s="2569">
        <v>2</v>
      </c>
      <c r="AB399" s="2569"/>
      <c r="AC399" s="1463"/>
      <c r="AD399" s="1463"/>
      <c r="AE399" s="1463"/>
      <c r="AL399" s="1463"/>
      <c r="AM399" s="1733" t="s">
        <v>1490</v>
      </c>
      <c r="AN399" s="1446" t="s">
        <v>1980</v>
      </c>
      <c r="AO399" s="1463"/>
      <c r="AP399" s="1463"/>
      <c r="AQ399" s="1463"/>
      <c r="AR399" s="1463"/>
      <c r="AS399" s="1734">
        <f>$Y$136</f>
        <v>20</v>
      </c>
      <c r="AT399" s="1734">
        <f>$Y$136</f>
        <v>20</v>
      </c>
      <c r="AU399" s="1734"/>
      <c r="AV399" s="1734"/>
      <c r="AW399" s="1446" t="s">
        <v>2048</v>
      </c>
      <c r="AX399" s="1446"/>
      <c r="AY399" s="1454"/>
      <c r="AZ399" s="1454"/>
      <c r="BB399" s="1547" t="s">
        <v>1490</v>
      </c>
      <c r="BC399" s="1674" t="s">
        <v>1980</v>
      </c>
      <c r="BD399" s="1680"/>
      <c r="BE399" s="1680"/>
      <c r="BF399" s="1680"/>
      <c r="BG399" s="1680"/>
      <c r="BH399" s="1682">
        <f>$AA$136</f>
        <v>0</v>
      </c>
      <c r="BI399" s="1683">
        <f>$AA$136</f>
        <v>0</v>
      </c>
      <c r="BJ399" s="1691"/>
      <c r="BK399" s="1692"/>
      <c r="BL399" s="1686">
        <f>$AB$136</f>
        <v>0</v>
      </c>
      <c r="BM399" s="1687">
        <f>$AB$136</f>
        <v>0</v>
      </c>
      <c r="BN399" s="1693"/>
      <c r="BO399" s="1694"/>
    </row>
    <row r="400" spans="2:70" ht="13.8">
      <c r="B400" s="1463"/>
      <c r="C400" s="1468"/>
      <c r="D400" s="1468"/>
      <c r="E400" s="1463"/>
      <c r="F400" s="1463"/>
      <c r="G400" s="1463"/>
      <c r="H400" s="1469" t="s">
        <v>2049</v>
      </c>
      <c r="I400" s="1463"/>
      <c r="J400" s="1469"/>
      <c r="K400" s="1463" t="s">
        <v>2050</v>
      </c>
      <c r="L400" s="1463"/>
      <c r="M400" s="1463"/>
      <c r="N400" s="1463"/>
      <c r="O400" s="1463"/>
      <c r="P400" s="1463"/>
      <c r="Q400" s="1463"/>
      <c r="R400" s="1463"/>
      <c r="S400" s="1463"/>
      <c r="T400" s="1463"/>
      <c r="U400" s="1463"/>
      <c r="V400" s="1463"/>
      <c r="W400" s="1463"/>
      <c r="X400" s="1469"/>
      <c r="Y400" s="1463"/>
      <c r="Z400" s="2568"/>
      <c r="AA400" s="2569">
        <v>2</v>
      </c>
      <c r="AB400" s="2569"/>
      <c r="AC400" s="1463"/>
      <c r="AD400" s="1463"/>
      <c r="AE400" s="1463"/>
      <c r="AL400" s="1463"/>
      <c r="AM400" s="1733" t="s">
        <v>1496</v>
      </c>
      <c r="AN400" s="1446" t="s">
        <v>1981</v>
      </c>
      <c r="AO400" s="1463"/>
      <c r="AP400" s="1463"/>
      <c r="AQ400" s="1463"/>
      <c r="AR400" s="1463"/>
      <c r="AS400" s="1736">
        <f>$Y$145</f>
        <v>6</v>
      </c>
      <c r="AT400" s="1736">
        <f>$Y$145</f>
        <v>6</v>
      </c>
      <c r="AU400" s="1736"/>
      <c r="AV400" s="1736"/>
      <c r="AW400" s="1446" t="s">
        <v>2051</v>
      </c>
      <c r="AX400" s="1446"/>
      <c r="AY400" s="1454" t="s">
        <v>2052</v>
      </c>
      <c r="AZ400" s="1454" t="str">
        <f>IF('Part VII-Threshold Criteria'!$P$234="Agree","Yes","")</f>
        <v/>
      </c>
      <c r="BB400" s="1547" t="s">
        <v>1496</v>
      </c>
      <c r="BC400" s="1674" t="s">
        <v>1981</v>
      </c>
      <c r="BD400" s="1680"/>
      <c r="BE400" s="1680"/>
      <c r="BF400" s="1680"/>
      <c r="BG400" s="1680"/>
      <c r="BH400" s="1682">
        <f>$AA$145</f>
        <v>0</v>
      </c>
      <c r="BI400" s="1683">
        <f>$AA$145</f>
        <v>0</v>
      </c>
      <c r="BJ400" s="1691"/>
      <c r="BK400" s="1692"/>
      <c r="BL400" s="1686">
        <f>$AB$145</f>
        <v>0</v>
      </c>
      <c r="BM400" s="1687">
        <f>$AB$145</f>
        <v>0</v>
      </c>
      <c r="BN400" s="1693"/>
      <c r="BO400" s="1694"/>
    </row>
    <row r="401" spans="1:67" ht="13.8">
      <c r="B401" s="1463"/>
      <c r="C401" s="1468"/>
      <c r="D401" s="1468"/>
      <c r="E401" s="1463"/>
      <c r="F401" s="1463"/>
      <c r="G401" s="1463"/>
      <c r="H401" s="1469" t="s">
        <v>2053</v>
      </c>
      <c r="I401" s="2568" t="s">
        <v>2054</v>
      </c>
      <c r="J401" s="1467" t="s">
        <v>1129</v>
      </c>
      <c r="K401" s="1463" t="s">
        <v>2055</v>
      </c>
      <c r="L401" s="1463"/>
      <c r="M401" s="1463"/>
      <c r="N401" s="1463"/>
      <c r="O401" s="1463"/>
      <c r="P401" s="1463"/>
      <c r="Q401" s="1463"/>
      <c r="R401" s="1463"/>
      <c r="S401" s="1463"/>
      <c r="T401" s="1463"/>
      <c r="U401" s="1463"/>
      <c r="V401" s="1463"/>
      <c r="W401" s="1463"/>
      <c r="X401" s="1468"/>
      <c r="Y401" s="1463"/>
      <c r="Z401" s="2568"/>
      <c r="AA401" s="2569">
        <v>1</v>
      </c>
      <c r="AB401" s="2569"/>
      <c r="AC401" s="1463"/>
      <c r="AD401" s="1463"/>
      <c r="AE401" s="1463"/>
      <c r="AL401" s="1463"/>
      <c r="AM401" s="1733" t="s">
        <v>1501</v>
      </c>
      <c r="AN401" s="1446" t="s">
        <v>1982</v>
      </c>
      <c r="AO401" s="1463"/>
      <c r="AP401" s="1463"/>
      <c r="AQ401" s="1463"/>
      <c r="AR401" s="1463"/>
      <c r="AS401" s="1734">
        <f>$Y$166</f>
        <v>3</v>
      </c>
      <c r="AT401" s="1734">
        <f>$Y$166</f>
        <v>3</v>
      </c>
      <c r="AU401" s="1734"/>
      <c r="AV401" s="1734"/>
      <c r="AW401" s="1463"/>
      <c r="AX401" s="1446"/>
      <c r="AY401" s="1454" t="s">
        <v>2056</v>
      </c>
      <c r="AZ401" s="1454" t="str">
        <f>IF('Part VII-Threshold Criteria'!$P$237="Agree","Yes","")</f>
        <v/>
      </c>
      <c r="BB401" s="1547" t="s">
        <v>1501</v>
      </c>
      <c r="BC401" s="1674" t="s">
        <v>1982</v>
      </c>
      <c r="BD401" s="1680"/>
      <c r="BE401" s="1680"/>
      <c r="BF401" s="1680"/>
      <c r="BG401" s="1680"/>
      <c r="BH401" s="1682">
        <f>$AA$166</f>
        <v>1</v>
      </c>
      <c r="BI401" s="1683">
        <f>$AA$166</f>
        <v>1</v>
      </c>
      <c r="BJ401" s="1691"/>
      <c r="BK401" s="1692"/>
      <c r="BL401" s="1686">
        <f>$AB$166</f>
        <v>0</v>
      </c>
      <c r="BM401" s="1687">
        <f>$AB$166</f>
        <v>0</v>
      </c>
      <c r="BN401" s="1693"/>
      <c r="BO401" s="1694"/>
    </row>
    <row r="402" spans="1:67" ht="13.8">
      <c r="B402" s="1463"/>
      <c r="C402" s="1468"/>
      <c r="D402" s="1468"/>
      <c r="E402" s="1463"/>
      <c r="F402" s="1463"/>
      <c r="G402" s="1463"/>
      <c r="H402" s="1469" t="s">
        <v>2057</v>
      </c>
      <c r="I402" s="2568">
        <v>2020</v>
      </c>
      <c r="J402" s="2568" t="s">
        <v>2058</v>
      </c>
      <c r="K402" s="1463" t="s">
        <v>2059</v>
      </c>
      <c r="L402" s="1463"/>
      <c r="M402" s="1463"/>
      <c r="N402" s="1463"/>
      <c r="O402" s="1463"/>
      <c r="P402" s="1463"/>
      <c r="Q402" s="1463"/>
      <c r="R402" s="1463"/>
      <c r="S402" s="1463"/>
      <c r="T402" s="1463"/>
      <c r="U402" s="1463"/>
      <c r="V402" s="1463"/>
      <c r="W402" s="1463"/>
      <c r="X402" s="1468"/>
      <c r="Y402" s="1463"/>
      <c r="Z402" s="2568"/>
      <c r="AA402" s="2569">
        <v>1</v>
      </c>
      <c r="AB402" s="2569"/>
      <c r="AC402" s="1463"/>
      <c r="AD402" s="1463"/>
      <c r="AE402" s="1463"/>
      <c r="AL402" s="1463"/>
      <c r="AM402" s="1733" t="s">
        <v>1522</v>
      </c>
      <c r="AN402" s="1446" t="s">
        <v>1925</v>
      </c>
      <c r="AO402" s="1463"/>
      <c r="AP402" s="1463"/>
      <c r="AQ402" s="1463"/>
      <c r="AR402" s="1463"/>
      <c r="AS402" s="1734">
        <f>$Y$183</f>
        <v>10</v>
      </c>
      <c r="AT402" s="1734">
        <f>$Y$183</f>
        <v>10</v>
      </c>
      <c r="AU402" s="1734"/>
      <c r="AV402" s="1734"/>
      <c r="AW402" s="1446"/>
      <c r="AX402" s="1446"/>
      <c r="AY402" s="1454" t="s">
        <v>2060</v>
      </c>
      <c r="AZ402" s="1454" t="str">
        <f>IF('Part VII-Threshold Criteria'!$P$238="Agree","Yes","")</f>
        <v>Yes</v>
      </c>
      <c r="BB402" s="1547" t="s">
        <v>1522</v>
      </c>
      <c r="BC402" s="1674" t="s">
        <v>1925</v>
      </c>
      <c r="BD402" s="1680"/>
      <c r="BE402" s="1680"/>
      <c r="BF402" s="1680"/>
      <c r="BG402" s="1680"/>
      <c r="BH402" s="1682">
        <f>$AA$183</f>
        <v>0</v>
      </c>
      <c r="BI402" s="1683">
        <f>$AA$183</f>
        <v>0</v>
      </c>
      <c r="BJ402" s="1691"/>
      <c r="BK402" s="1692"/>
      <c r="BL402" s="1686">
        <f>$AB$183</f>
        <v>0</v>
      </c>
      <c r="BM402" s="1687">
        <f>$AB$183</f>
        <v>0</v>
      </c>
      <c r="BN402" s="1693"/>
      <c r="BO402" s="1694"/>
    </row>
    <row r="403" spans="1:67" ht="13.8">
      <c r="B403" s="1463"/>
      <c r="C403" s="1468"/>
      <c r="D403" s="1468"/>
      <c r="E403" s="1463"/>
      <c r="F403" s="1463"/>
      <c r="G403" s="1463"/>
      <c r="H403" s="1469" t="s">
        <v>2061</v>
      </c>
      <c r="I403" s="2568" t="s">
        <v>2062</v>
      </c>
      <c r="J403" s="1467" t="s">
        <v>1129</v>
      </c>
      <c r="K403" s="1463" t="s">
        <v>2063</v>
      </c>
      <c r="L403" s="1463"/>
      <c r="M403" s="1463"/>
      <c r="N403" s="1463"/>
      <c r="O403" s="1463"/>
      <c r="P403" s="1463"/>
      <c r="Q403" s="1463"/>
      <c r="R403" s="1463"/>
      <c r="S403" s="1463"/>
      <c r="T403" s="1463"/>
      <c r="U403" s="1463"/>
      <c r="V403" s="1463"/>
      <c r="W403" s="1463"/>
      <c r="X403" s="1468"/>
      <c r="Y403" s="1463"/>
      <c r="Z403" s="2568"/>
      <c r="AA403" s="2569">
        <v>1</v>
      </c>
      <c r="AB403" s="2569"/>
      <c r="AC403" s="1463"/>
      <c r="AD403" s="1463"/>
      <c r="AE403" s="1463"/>
      <c r="AL403" s="1463"/>
      <c r="AM403" s="1733" t="s">
        <v>1520</v>
      </c>
      <c r="AN403" s="1446" t="s">
        <v>1926</v>
      </c>
      <c r="AO403" s="1463"/>
      <c r="AP403" s="1463"/>
      <c r="AQ403" s="1463"/>
      <c r="AR403" s="1463"/>
      <c r="AS403" s="1734">
        <f>$Y$215</f>
        <v>10</v>
      </c>
      <c r="AT403" s="1734">
        <f>$Y$215</f>
        <v>10</v>
      </c>
      <c r="AU403" s="1734"/>
      <c r="AV403" s="1734"/>
      <c r="AW403" s="1446"/>
      <c r="AX403" s="1446"/>
      <c r="AY403" s="1454" t="s">
        <v>2064</v>
      </c>
      <c r="AZ403" s="1454" t="str">
        <f>IF('Part VII-Threshold Criteria'!$P$239="Agree","Yes","")</f>
        <v/>
      </c>
      <c r="BB403" s="1547" t="s">
        <v>1520</v>
      </c>
      <c r="BC403" s="1674" t="s">
        <v>1926</v>
      </c>
      <c r="BD403" s="1680"/>
      <c r="BE403" s="1680"/>
      <c r="BF403" s="1680"/>
      <c r="BG403" s="1680"/>
      <c r="BH403" s="1675">
        <f>$AA$215</f>
        <v>0</v>
      </c>
      <c r="BI403" s="1681">
        <f>$AA$215</f>
        <v>0</v>
      </c>
      <c r="BJ403" s="1695"/>
      <c r="BK403" s="1696"/>
      <c r="BL403" s="1677">
        <f>$AB$215</f>
        <v>0</v>
      </c>
      <c r="BM403" s="1678">
        <f>$AB$215</f>
        <v>0</v>
      </c>
      <c r="BN403" s="1697"/>
      <c r="BO403" s="1698"/>
    </row>
    <row r="404" spans="1:67" ht="13.8">
      <c r="B404" s="1463"/>
      <c r="C404" s="1468"/>
      <c r="D404" s="1468"/>
      <c r="E404" s="1463"/>
      <c r="F404" s="1463"/>
      <c r="G404" s="1463"/>
      <c r="H404" s="1469" t="s">
        <v>2065</v>
      </c>
      <c r="I404" s="2568">
        <v>2020</v>
      </c>
      <c r="J404" s="2568" t="s">
        <v>2058</v>
      </c>
      <c r="K404" s="1463" t="s">
        <v>2066</v>
      </c>
      <c r="L404" s="1463"/>
      <c r="M404" s="1463"/>
      <c r="N404" s="1463"/>
      <c r="O404" s="1463"/>
      <c r="P404" s="1463"/>
      <c r="Q404" s="1463"/>
      <c r="R404" s="1463"/>
      <c r="S404" s="1463"/>
      <c r="T404" s="1463"/>
      <c r="U404" s="1463"/>
      <c r="V404" s="1463"/>
      <c r="W404" s="1463"/>
      <c r="X404" s="1468"/>
      <c r="Y404" s="1463"/>
      <c r="Z404" s="2568"/>
      <c r="AA404" s="2569">
        <v>1</v>
      </c>
      <c r="AB404" s="2569"/>
      <c r="AC404" s="1463"/>
      <c r="AD404" s="1463"/>
      <c r="AE404" s="1463"/>
      <c r="AL404" s="1463"/>
      <c r="AM404" s="1733" t="s">
        <v>1522</v>
      </c>
      <c r="AN404" s="1446" t="s">
        <v>1985</v>
      </c>
      <c r="AO404" s="1463"/>
      <c r="AP404" s="1463"/>
      <c r="AQ404" s="1463"/>
      <c r="AR404" s="1463"/>
      <c r="AS404" s="1734">
        <f>$Y$247</f>
        <v>13</v>
      </c>
      <c r="AT404" s="1734">
        <f>$Y$247</f>
        <v>13</v>
      </c>
      <c r="AU404" s="1734"/>
      <c r="AV404" s="1734"/>
      <c r="AW404" s="1446" t="s">
        <v>2067</v>
      </c>
      <c r="AX404" s="1446"/>
      <c r="AY404" s="1454"/>
      <c r="AZ404" s="1454"/>
      <c r="BB404" s="1547" t="s">
        <v>1522</v>
      </c>
      <c r="BC404" s="1674" t="s">
        <v>1985</v>
      </c>
      <c r="BD404" s="1680"/>
      <c r="BE404" s="1680"/>
      <c r="BF404" s="1680"/>
      <c r="BG404" s="1680"/>
      <c r="BH404" s="1675">
        <f>$AA$247</f>
        <v>0</v>
      </c>
      <c r="BI404" s="1681">
        <f>$AA$247</f>
        <v>0</v>
      </c>
      <c r="BJ404" s="1695"/>
      <c r="BK404" s="1696"/>
      <c r="BL404" s="1677">
        <f>$AB$247</f>
        <v>0</v>
      </c>
      <c r="BM404" s="1678">
        <f>$AB$247</f>
        <v>0</v>
      </c>
      <c r="BN404" s="1697"/>
      <c r="BO404" s="1698"/>
    </row>
    <row r="405" spans="1:67" ht="13.8">
      <c r="B405" s="1463"/>
      <c r="C405" s="1468"/>
      <c r="D405" s="1468"/>
      <c r="E405" s="1463"/>
      <c r="F405" s="1463"/>
      <c r="G405" s="1463"/>
      <c r="H405" s="1469" t="s">
        <v>2068</v>
      </c>
      <c r="I405" s="2568">
        <v>2019</v>
      </c>
      <c r="J405" s="2568" t="s">
        <v>2058</v>
      </c>
      <c r="K405" s="1463" t="s">
        <v>2069</v>
      </c>
      <c r="L405" s="1463"/>
      <c r="M405" s="1463"/>
      <c r="N405" s="1463"/>
      <c r="O405" s="1463"/>
      <c r="P405" s="1463"/>
      <c r="Q405" s="1463"/>
      <c r="R405" s="1463"/>
      <c r="S405" s="1463"/>
      <c r="T405" s="1463"/>
      <c r="U405" s="1463"/>
      <c r="V405" s="1463"/>
      <c r="W405" s="1463"/>
      <c r="X405" s="1468"/>
      <c r="Y405" s="1463"/>
      <c r="Z405" s="2568"/>
      <c r="AA405" s="2569">
        <v>1</v>
      </c>
      <c r="AB405" s="2569"/>
      <c r="AC405" s="1463"/>
      <c r="AD405" s="1463"/>
      <c r="AE405" s="1463"/>
      <c r="AL405" s="1463"/>
      <c r="AM405" s="1733" t="s">
        <v>1528</v>
      </c>
      <c r="AN405" s="1446" t="s">
        <v>2070</v>
      </c>
      <c r="AO405" s="1463"/>
      <c r="AP405" s="1463"/>
      <c r="AQ405" s="1463"/>
      <c r="AR405" s="1463"/>
      <c r="AS405" s="1734">
        <f>$Y$256</f>
        <v>3</v>
      </c>
      <c r="AT405" s="1734">
        <f>$Y$256</f>
        <v>3</v>
      </c>
      <c r="AU405" s="1734"/>
      <c r="AV405" s="1734"/>
      <c r="AW405" s="1446" t="s">
        <v>2071</v>
      </c>
      <c r="AX405" s="1446"/>
      <c r="AY405" s="1454"/>
      <c r="AZ405" s="1454"/>
      <c r="BB405" s="1547" t="s">
        <v>1528</v>
      </c>
      <c r="BC405" s="1674" t="s">
        <v>2070</v>
      </c>
      <c r="BD405" s="1680"/>
      <c r="BE405" s="1680"/>
      <c r="BF405" s="1680"/>
      <c r="BG405" s="1680"/>
      <c r="BH405" s="1675">
        <f>$AA$256</f>
        <v>0</v>
      </c>
      <c r="BI405" s="1681">
        <f>$AA$256</f>
        <v>0</v>
      </c>
      <c r="BJ405" s="1695"/>
      <c r="BK405" s="1696"/>
      <c r="BL405" s="1677">
        <f>$AB$256</f>
        <v>0</v>
      </c>
      <c r="BM405" s="1678">
        <f>$AB$256</f>
        <v>0</v>
      </c>
      <c r="BN405" s="1697"/>
      <c r="BO405" s="1698"/>
    </row>
    <row r="406" spans="1:67" ht="13.8">
      <c r="B406" s="1463"/>
      <c r="C406" s="1468"/>
      <c r="D406" s="1468"/>
      <c r="E406" s="1463"/>
      <c r="F406" s="1463"/>
      <c r="G406" s="1463"/>
      <c r="H406" s="1469" t="s">
        <v>2072</v>
      </c>
      <c r="I406" s="2568" t="s">
        <v>2062</v>
      </c>
      <c r="J406" s="1467" t="s">
        <v>1129</v>
      </c>
      <c r="K406" s="1463" t="s">
        <v>2073</v>
      </c>
      <c r="L406" s="1463"/>
      <c r="M406" s="1463"/>
      <c r="N406" s="1463"/>
      <c r="O406" s="1463"/>
      <c r="P406" s="1463"/>
      <c r="Q406" s="1463"/>
      <c r="R406" s="1463"/>
      <c r="S406" s="1463"/>
      <c r="T406" s="1463"/>
      <c r="U406" s="1463"/>
      <c r="V406" s="1463"/>
      <c r="W406" s="1463"/>
      <c r="X406" s="1468"/>
      <c r="Y406" s="1463"/>
      <c r="Z406" s="2568"/>
      <c r="AA406" s="2569">
        <v>1</v>
      </c>
      <c r="AB406" s="2569"/>
      <c r="AC406" s="1463"/>
      <c r="AD406" s="1463"/>
      <c r="AE406" s="1463"/>
      <c r="AL406" s="1463"/>
      <c r="AM406" s="1733" t="s">
        <v>1548</v>
      </c>
      <c r="AN406" s="1446" t="s">
        <v>2074</v>
      </c>
      <c r="AO406" s="1463"/>
      <c r="AP406" s="1463"/>
      <c r="AQ406" s="1463"/>
      <c r="AR406" s="1463"/>
      <c r="AS406" s="1734">
        <f>$Y$268</f>
        <v>5</v>
      </c>
      <c r="AT406" s="1734"/>
      <c r="AU406" s="1734"/>
      <c r="AV406" s="1734"/>
      <c r="AW406" s="1446" t="s">
        <v>2075</v>
      </c>
      <c r="AX406" s="1446"/>
      <c r="AY406" s="1454"/>
      <c r="AZ406" s="2567" t="str">
        <f>'Part II-Sources of Funds'!$L$16</f>
        <v>No</v>
      </c>
      <c r="BB406" s="1547" t="s">
        <v>1548</v>
      </c>
      <c r="BC406" s="1674" t="s">
        <v>2074</v>
      </c>
      <c r="BD406" s="1680"/>
      <c r="BE406" s="1680"/>
      <c r="BF406" s="1680"/>
      <c r="BG406" s="1680"/>
      <c r="BH406" s="1675">
        <f>$AA$268</f>
        <v>0</v>
      </c>
      <c r="BI406" s="1699"/>
      <c r="BJ406" s="1700"/>
      <c r="BK406" s="1696"/>
      <c r="BL406" s="1677">
        <f>$AB$268</f>
        <v>0</v>
      </c>
      <c r="BM406" s="1701"/>
      <c r="BN406" s="1702"/>
      <c r="BO406" s="1698"/>
    </row>
    <row r="407" spans="1:67" ht="13.8">
      <c r="B407" s="1463"/>
      <c r="C407" s="1468"/>
      <c r="D407" s="1468"/>
      <c r="E407" s="1463"/>
      <c r="F407" s="1463"/>
      <c r="G407" s="1463"/>
      <c r="H407" s="1469" t="s">
        <v>2076</v>
      </c>
      <c r="I407" s="2568">
        <v>2020</v>
      </c>
      <c r="J407" s="2568" t="s">
        <v>2058</v>
      </c>
      <c r="K407" s="1463" t="s">
        <v>2077</v>
      </c>
      <c r="L407" s="1463"/>
      <c r="M407" s="1463"/>
      <c r="N407" s="1463"/>
      <c r="O407" s="1463"/>
      <c r="P407" s="1463"/>
      <c r="Q407" s="1463"/>
      <c r="R407" s="1463"/>
      <c r="S407" s="1463"/>
      <c r="T407" s="1463"/>
      <c r="U407" s="1463"/>
      <c r="V407" s="1463"/>
      <c r="W407" s="1463"/>
      <c r="X407" s="1468"/>
      <c r="Y407" s="1463"/>
      <c r="Z407" s="2568"/>
      <c r="AA407" s="2569">
        <v>1</v>
      </c>
      <c r="AB407" s="2569"/>
      <c r="AC407" s="1463"/>
      <c r="AD407" s="1463"/>
      <c r="AE407" s="1463"/>
      <c r="AL407" s="1463"/>
      <c r="AM407" s="1733" t="s">
        <v>1557</v>
      </c>
      <c r="AN407" s="1463" t="s">
        <v>2078</v>
      </c>
      <c r="AO407" s="1463"/>
      <c r="AP407" s="1463"/>
      <c r="AQ407" s="1463"/>
      <c r="AR407" s="1463"/>
      <c r="AS407" s="1734">
        <f>$Y$233</f>
        <v>10</v>
      </c>
      <c r="AT407" s="1734"/>
      <c r="AU407" s="1734"/>
      <c r="AV407" s="1734"/>
      <c r="AW407" s="1463"/>
      <c r="AX407" s="1463"/>
      <c r="AY407" s="2568"/>
      <c r="AZ407" s="1463"/>
      <c r="BB407" s="1547" t="s">
        <v>1557</v>
      </c>
      <c r="BC407" s="1674" t="s">
        <v>2078</v>
      </c>
      <c r="BD407" s="1680"/>
      <c r="BE407" s="1680"/>
      <c r="BF407" s="1680"/>
      <c r="BG407" s="1680"/>
      <c r="BH407" s="1675">
        <f>$AA$233</f>
        <v>0</v>
      </c>
      <c r="BI407" s="1699"/>
      <c r="BJ407" s="1700"/>
      <c r="BK407" s="1696"/>
      <c r="BL407" s="1677">
        <f>$AB$233</f>
        <v>0</v>
      </c>
      <c r="BM407" s="1701"/>
      <c r="BN407" s="1702"/>
      <c r="BO407" s="1698"/>
    </row>
    <row r="408" spans="1:67" ht="13.8">
      <c r="B408" s="1463"/>
      <c r="C408" s="1468"/>
      <c r="D408" s="1468"/>
      <c r="E408" s="1463"/>
      <c r="F408" s="1463"/>
      <c r="G408" s="1463"/>
      <c r="H408" s="1469" t="s">
        <v>2079</v>
      </c>
      <c r="I408" s="2568" t="s">
        <v>2054</v>
      </c>
      <c r="J408" s="1467" t="s">
        <v>1129</v>
      </c>
      <c r="K408" s="1463" t="s">
        <v>2080</v>
      </c>
      <c r="L408" s="1463"/>
      <c r="M408" s="1463"/>
      <c r="N408" s="1463"/>
      <c r="O408" s="1463"/>
      <c r="P408" s="1463"/>
      <c r="Q408" s="1463"/>
      <c r="R408" s="1463"/>
      <c r="S408" s="1463"/>
      <c r="T408" s="1463"/>
      <c r="U408" s="1463"/>
      <c r="V408" s="1463"/>
      <c r="W408" s="1463"/>
      <c r="X408" s="1468"/>
      <c r="Y408" s="1463"/>
      <c r="Z408" s="2568"/>
      <c r="AA408" s="2569">
        <v>1</v>
      </c>
      <c r="AB408" s="2569"/>
      <c r="AC408" s="1463"/>
      <c r="AD408" s="1463"/>
      <c r="AE408" s="1463"/>
      <c r="AL408" s="1463"/>
      <c r="AM408" s="1733" t="s">
        <v>1565</v>
      </c>
      <c r="AN408" s="1463" t="s">
        <v>2081</v>
      </c>
      <c r="AO408" s="1463"/>
      <c r="AP408" s="1463"/>
      <c r="AQ408" s="1463"/>
      <c r="AR408" s="1463"/>
      <c r="AS408" s="1734">
        <f>$Y$283</f>
        <v>1</v>
      </c>
      <c r="AT408" s="1734"/>
      <c r="AU408" s="1734"/>
      <c r="AV408" s="1734"/>
      <c r="AW408" s="1463"/>
      <c r="AX408" s="1463"/>
      <c r="AY408" s="2568"/>
      <c r="AZ408" s="1463"/>
      <c r="BB408" s="1547" t="s">
        <v>1565</v>
      </c>
      <c r="BC408" s="1674" t="s">
        <v>2081</v>
      </c>
      <c r="BD408" s="1680"/>
      <c r="BE408" s="1680"/>
      <c r="BF408" s="1680"/>
      <c r="BG408" s="1680"/>
      <c r="BH408" s="1675">
        <f>$AA$283</f>
        <v>0</v>
      </c>
      <c r="BI408" s="1703"/>
      <c r="BJ408" s="1695"/>
      <c r="BK408" s="1696"/>
      <c r="BL408" s="1677">
        <f>$AB$283</f>
        <v>0</v>
      </c>
      <c r="BM408" s="1698"/>
      <c r="BN408" s="1697"/>
      <c r="BO408" s="1698"/>
    </row>
    <row r="409" spans="1:67" ht="13.8">
      <c r="A409" s="1463"/>
      <c r="B409" s="1463"/>
      <c r="C409" s="1463"/>
      <c r="D409" s="1463"/>
      <c r="E409" s="1463"/>
      <c r="F409" s="1463"/>
      <c r="G409" s="1463"/>
      <c r="H409" s="1469" t="s">
        <v>2082</v>
      </c>
      <c r="I409" s="2568" t="s">
        <v>2054</v>
      </c>
      <c r="J409" s="1467" t="s">
        <v>1129</v>
      </c>
      <c r="K409" s="1463" t="s">
        <v>2083</v>
      </c>
      <c r="L409" s="1463"/>
      <c r="M409" s="1463"/>
      <c r="N409" s="1463"/>
      <c r="O409" s="1463"/>
      <c r="P409" s="1463"/>
      <c r="Q409" s="1463"/>
      <c r="R409" s="1463"/>
      <c r="S409" s="1463"/>
      <c r="T409" s="1463"/>
      <c r="U409" s="1463"/>
      <c r="V409" s="1463"/>
      <c r="W409" s="1463"/>
      <c r="X409" s="1468"/>
      <c r="Y409" s="1463"/>
      <c r="Z409" s="2568"/>
      <c r="AA409" s="2569">
        <v>1</v>
      </c>
      <c r="AB409" s="2569"/>
      <c r="AC409" s="1463"/>
      <c r="AD409" s="1463"/>
      <c r="AE409" s="1463"/>
      <c r="AL409" s="1463"/>
      <c r="AM409" s="1733" t="s">
        <v>1577</v>
      </c>
      <c r="AN409" s="1446" t="s">
        <v>2084</v>
      </c>
      <c r="AO409" s="1463"/>
      <c r="AP409" s="1463"/>
      <c r="AQ409" s="1463"/>
      <c r="AR409" s="1463"/>
      <c r="AS409" s="1734">
        <f>$Y$297</f>
        <v>1</v>
      </c>
      <c r="AT409" s="1734"/>
      <c r="AU409" s="1734"/>
      <c r="AV409" s="1734"/>
      <c r="AW409" s="1463"/>
      <c r="AX409" s="1463"/>
      <c r="AY409" s="2568"/>
      <c r="AZ409" s="1463"/>
      <c r="BB409" s="1547" t="s">
        <v>1577</v>
      </c>
      <c r="BC409" s="1674" t="s">
        <v>2084</v>
      </c>
      <c r="BD409" s="1680"/>
      <c r="BE409" s="1680"/>
      <c r="BF409" s="1680"/>
      <c r="BG409" s="1680"/>
      <c r="BH409" s="1675">
        <f>$AA$297</f>
        <v>0</v>
      </c>
      <c r="BI409" s="1703"/>
      <c r="BJ409" s="1695"/>
      <c r="BK409" s="1696"/>
      <c r="BL409" s="1677">
        <f>$AB$297</f>
        <v>0</v>
      </c>
      <c r="BM409" s="1698"/>
      <c r="BN409" s="1697"/>
      <c r="BO409" s="1698"/>
    </row>
    <row r="410" spans="1:67" ht="13.8">
      <c r="A410" s="1463"/>
      <c r="B410" s="1463"/>
      <c r="C410" s="1463"/>
      <c r="D410" s="1463"/>
      <c r="E410" s="1463"/>
      <c r="F410" s="1463"/>
      <c r="G410" s="1463"/>
      <c r="H410" s="1469" t="s">
        <v>2085</v>
      </c>
      <c r="I410" s="2568">
        <v>2019</v>
      </c>
      <c r="J410" s="2568" t="s">
        <v>2058</v>
      </c>
      <c r="K410" s="1463" t="s">
        <v>2086</v>
      </c>
      <c r="L410" s="1463"/>
      <c r="M410" s="1463"/>
      <c r="N410" s="1463"/>
      <c r="O410" s="1463"/>
      <c r="P410" s="1463"/>
      <c r="Q410" s="1463"/>
      <c r="R410" s="1463"/>
      <c r="S410" s="1463"/>
      <c r="T410" s="1463"/>
      <c r="U410" s="1463"/>
      <c r="V410" s="1463"/>
      <c r="W410" s="1463"/>
      <c r="X410" s="1468"/>
      <c r="Y410" s="1463"/>
      <c r="Z410" s="2568"/>
      <c r="AA410" s="2569">
        <v>1</v>
      </c>
      <c r="AB410" s="2569"/>
      <c r="AC410" s="1463"/>
      <c r="AD410" s="1463"/>
      <c r="AE410" s="1463"/>
      <c r="AL410" s="1463"/>
      <c r="AM410" s="1733" t="s">
        <v>1582</v>
      </c>
      <c r="AN410" s="1446" t="s">
        <v>2087</v>
      </c>
      <c r="AO410" s="1463"/>
      <c r="AP410" s="1463"/>
      <c r="AQ410" s="1463"/>
      <c r="AR410" s="1463"/>
      <c r="AS410" s="1734">
        <f>$Y$305</f>
        <v>2</v>
      </c>
      <c r="AT410" s="1734"/>
      <c r="AU410" s="1734"/>
      <c r="AV410" s="1734"/>
      <c r="AW410" s="1463"/>
      <c r="AX410" s="1463"/>
      <c r="AY410" s="2568"/>
      <c r="AZ410" s="1463"/>
      <c r="BB410" s="1547" t="s">
        <v>1582</v>
      </c>
      <c r="BC410" s="1674" t="s">
        <v>2087</v>
      </c>
      <c r="BD410" s="1680"/>
      <c r="BE410" s="1680"/>
      <c r="BF410" s="1680"/>
      <c r="BG410" s="1680"/>
      <c r="BH410" s="1675">
        <f>$AA$305</f>
        <v>0</v>
      </c>
      <c r="BI410" s="1703"/>
      <c r="BJ410" s="1695"/>
      <c r="BK410" s="1696"/>
      <c r="BL410" s="1677">
        <f>$AB$305</f>
        <v>0</v>
      </c>
      <c r="BM410" s="1698"/>
      <c r="BN410" s="1697"/>
      <c r="BO410" s="1698"/>
    </row>
    <row r="411" spans="1:67" ht="13.8">
      <c r="A411" s="1463" t="s">
        <v>2088</v>
      </c>
      <c r="B411" s="1463"/>
      <c r="C411" s="1463"/>
      <c r="D411" s="1463"/>
      <c r="E411" s="1463"/>
      <c r="F411" s="1463"/>
      <c r="G411" s="1463"/>
      <c r="H411" s="1469" t="s">
        <v>2089</v>
      </c>
      <c r="I411" s="2568" t="s">
        <v>2054</v>
      </c>
      <c r="J411" s="1467" t="s">
        <v>1129</v>
      </c>
      <c r="K411" s="1463" t="s">
        <v>2090</v>
      </c>
      <c r="L411" s="1463"/>
      <c r="M411" s="1463"/>
      <c r="N411" s="1463"/>
      <c r="O411" s="1463"/>
      <c r="P411" s="1463"/>
      <c r="Q411" s="1463"/>
      <c r="R411" s="1463"/>
      <c r="S411" s="1463"/>
      <c r="T411" s="1463"/>
      <c r="U411" s="1463"/>
      <c r="V411" s="1463"/>
      <c r="W411" s="1463"/>
      <c r="X411" s="1468"/>
      <c r="Y411" s="1463"/>
      <c r="Z411" s="2568"/>
      <c r="AA411" s="2569">
        <v>1</v>
      </c>
      <c r="AB411" s="2569"/>
      <c r="AC411" s="1463"/>
      <c r="AD411" s="1463"/>
      <c r="AE411" s="1463"/>
      <c r="AL411" s="1463"/>
      <c r="AM411" s="1733" t="s">
        <v>1587</v>
      </c>
      <c r="AN411" s="1446" t="s">
        <v>2091</v>
      </c>
      <c r="AO411" s="1463"/>
      <c r="AP411" s="1463"/>
      <c r="AQ411" s="1463"/>
      <c r="AR411" s="1463"/>
      <c r="AS411" s="1734">
        <f>$Y$316</f>
        <v>2</v>
      </c>
      <c r="AT411" s="1734"/>
      <c r="AU411" s="1735">
        <f>$Y$316</f>
        <v>2</v>
      </c>
      <c r="AV411" s="1734"/>
      <c r="AW411" s="1463"/>
      <c r="AX411" s="1463"/>
      <c r="AY411" s="2568"/>
      <c r="AZ411" s="1463"/>
      <c r="BB411" s="1547" t="s">
        <v>1587</v>
      </c>
      <c r="BC411" s="1674" t="s">
        <v>2091</v>
      </c>
      <c r="BD411" s="1680"/>
      <c r="BE411" s="1680"/>
      <c r="BF411" s="1680"/>
      <c r="BG411" s="1680"/>
      <c r="BH411" s="1675">
        <f>$AA$316</f>
        <v>2</v>
      </c>
      <c r="BI411" s="1703"/>
      <c r="BJ411" s="1675">
        <f>$AA$316</f>
        <v>2</v>
      </c>
      <c r="BK411" s="1696"/>
      <c r="BL411" s="1677">
        <f>$AB$316</f>
        <v>0</v>
      </c>
      <c r="BM411" s="1698"/>
      <c r="BN411" s="1679">
        <f>$AB$316</f>
        <v>0</v>
      </c>
      <c r="BO411" s="1698"/>
    </row>
    <row r="412" spans="1:67" ht="13.8">
      <c r="A412" s="1463" t="s">
        <v>2092</v>
      </c>
      <c r="B412" s="1463"/>
      <c r="C412" s="1463"/>
      <c r="D412" s="1463"/>
      <c r="E412" s="1463"/>
      <c r="F412" s="1463"/>
      <c r="G412" s="1463"/>
      <c r="H412" s="1469" t="s">
        <v>2093</v>
      </c>
      <c r="I412" s="2568">
        <v>2019</v>
      </c>
      <c r="J412" s="2568" t="s">
        <v>2058</v>
      </c>
      <c r="K412" s="1463" t="s">
        <v>2094</v>
      </c>
      <c r="L412" s="1463"/>
      <c r="M412" s="1463"/>
      <c r="N412" s="1463"/>
      <c r="O412" s="1463"/>
      <c r="P412" s="1463"/>
      <c r="Q412" s="1463"/>
      <c r="R412" s="1463"/>
      <c r="S412" s="1463"/>
      <c r="T412" s="1463"/>
      <c r="U412" s="1463"/>
      <c r="V412" s="1463"/>
      <c r="W412" s="1463"/>
      <c r="X412" s="1468"/>
      <c r="Y412" s="1463"/>
      <c r="Z412" s="2568"/>
      <c r="AA412" s="2569">
        <v>1</v>
      </c>
      <c r="AB412" s="2569"/>
      <c r="AC412" s="1463"/>
      <c r="AD412" s="1463"/>
      <c r="AE412" s="1463"/>
      <c r="AL412" s="1463"/>
      <c r="AM412" s="1733" t="s">
        <v>1593</v>
      </c>
      <c r="AN412" s="1446" t="s">
        <v>2095</v>
      </c>
      <c r="AO412" s="1463"/>
      <c r="AP412" s="1463"/>
      <c r="AQ412" s="1463"/>
      <c r="AR412" s="1463"/>
      <c r="AS412" s="1734">
        <f>$Y$325</f>
        <v>2.5</v>
      </c>
      <c r="AT412" s="1734"/>
      <c r="AU412" s="1735">
        <f>$Y$325</f>
        <v>2.5</v>
      </c>
      <c r="AV412" s="1734"/>
      <c r="AW412" s="1463"/>
      <c r="AX412" s="1463"/>
      <c r="AY412" s="2568"/>
      <c r="AZ412" s="1463"/>
      <c r="BB412" s="1547" t="s">
        <v>1593</v>
      </c>
      <c r="BC412" s="1674" t="s">
        <v>2095</v>
      </c>
      <c r="BD412" s="1680"/>
      <c r="BE412" s="1680"/>
      <c r="BF412" s="1680"/>
      <c r="BG412" s="1680"/>
      <c r="BH412" s="1675">
        <f>$AA$325</f>
        <v>2</v>
      </c>
      <c r="BI412" s="1703"/>
      <c r="BJ412" s="1675">
        <f>$AA$325</f>
        <v>2</v>
      </c>
      <c r="BK412" s="1696"/>
      <c r="BL412" s="1677">
        <f>$AB$325</f>
        <v>0</v>
      </c>
      <c r="BM412" s="1698"/>
      <c r="BN412" s="1679">
        <f>$AB$325</f>
        <v>0</v>
      </c>
      <c r="BO412" s="1698"/>
    </row>
    <row r="413" spans="1:67" ht="13.8">
      <c r="A413" s="1468" t="s">
        <v>2096</v>
      </c>
      <c r="B413" s="1463"/>
      <c r="C413" s="1463"/>
      <c r="D413" s="1463"/>
      <c r="E413" s="1468"/>
      <c r="F413" s="1468">
        <v>3</v>
      </c>
      <c r="G413" s="1463"/>
      <c r="H413" s="1469" t="s">
        <v>2097</v>
      </c>
      <c r="I413" s="2568">
        <v>2019</v>
      </c>
      <c r="J413" s="2568" t="s">
        <v>2058</v>
      </c>
      <c r="K413" s="1463"/>
      <c r="L413" s="1463"/>
      <c r="M413" s="1463"/>
      <c r="N413" s="1463"/>
      <c r="O413" s="1463"/>
      <c r="P413" s="1463"/>
      <c r="Q413" s="1463"/>
      <c r="R413" s="1463"/>
      <c r="S413" s="1463"/>
      <c r="T413" s="1463"/>
      <c r="U413" s="1463"/>
      <c r="V413" s="1463"/>
      <c r="W413" s="1463"/>
      <c r="X413" s="1468"/>
      <c r="Y413" s="1463"/>
      <c r="Z413" s="2568"/>
      <c r="AA413" s="2569"/>
      <c r="AB413" s="2569"/>
      <c r="AC413" s="1463"/>
      <c r="AD413" s="1463"/>
      <c r="AE413" s="1463"/>
      <c r="AL413" s="1463"/>
      <c r="AM413" s="1733" t="s">
        <v>1597</v>
      </c>
      <c r="AN413" s="1463" t="s">
        <v>2098</v>
      </c>
      <c r="AO413" s="1463"/>
      <c r="AP413" s="1463"/>
      <c r="AQ413" s="1463"/>
      <c r="AR413" s="1463"/>
      <c r="AS413" s="1734"/>
      <c r="AT413" s="1734"/>
      <c r="AU413" s="1734">
        <f>$Y$334</f>
        <v>0</v>
      </c>
      <c r="AV413" s="1734">
        <f>$Y$334</f>
        <v>0</v>
      </c>
      <c r="AW413" s="1463"/>
      <c r="AX413" s="1463"/>
      <c r="AY413" s="2568"/>
      <c r="AZ413" s="1463"/>
      <c r="BB413" s="1547" t="s">
        <v>1597</v>
      </c>
      <c r="BC413" s="1674" t="s">
        <v>2098</v>
      </c>
      <c r="BD413" s="1680"/>
      <c r="BE413" s="1680"/>
      <c r="BF413" s="1680"/>
      <c r="BG413" s="1680"/>
      <c r="BH413" s="1700"/>
      <c r="BI413" s="1699"/>
      <c r="BJ413" s="1675">
        <f>$AA$334</f>
        <v>28</v>
      </c>
      <c r="BK413" s="1676">
        <f>$AA$334</f>
        <v>28</v>
      </c>
      <c r="BL413" s="1704"/>
      <c r="BM413" s="1701"/>
      <c r="BN413" s="1679">
        <f>$AB$334</f>
        <v>0</v>
      </c>
      <c r="BO413" s="1678">
        <f>$AB$334</f>
        <v>0</v>
      </c>
    </row>
    <row r="414" spans="1:67" ht="13.8">
      <c r="A414" s="1468" t="s">
        <v>2099</v>
      </c>
      <c r="B414" s="1463"/>
      <c r="C414" s="1463"/>
      <c r="D414" s="1463"/>
      <c r="E414" s="1468"/>
      <c r="F414" s="1468">
        <v>2</v>
      </c>
      <c r="G414" s="1463"/>
      <c r="H414" s="1469" t="s">
        <v>135</v>
      </c>
      <c r="I414" s="2568">
        <v>2019</v>
      </c>
      <c r="J414" s="2568" t="s">
        <v>2058</v>
      </c>
      <c r="K414" s="1463"/>
      <c r="L414" s="1463"/>
      <c r="M414" s="1463"/>
      <c r="N414" s="1463"/>
      <c r="O414" s="1463"/>
      <c r="P414" s="1463"/>
      <c r="Q414" s="1463"/>
      <c r="R414" s="1463"/>
      <c r="S414" s="1463"/>
      <c r="T414" s="1463"/>
      <c r="U414" s="1463"/>
      <c r="V414" s="1463"/>
      <c r="W414" s="1463"/>
      <c r="X414" s="1468"/>
      <c r="Y414" s="1463"/>
      <c r="Z414" s="2568"/>
      <c r="AA414" s="2569"/>
      <c r="AB414" s="2569"/>
      <c r="AC414" s="1463"/>
      <c r="AD414" s="1463"/>
      <c r="AE414" s="1463"/>
      <c r="AL414" s="1463"/>
      <c r="AM414" s="1733"/>
      <c r="AN414" s="1446"/>
      <c r="AO414" s="1463"/>
      <c r="AP414" s="1463"/>
      <c r="AQ414" s="1463"/>
      <c r="AR414" s="1463"/>
      <c r="AS414" s="1734"/>
      <c r="AT414" s="1734"/>
      <c r="AU414" s="1734"/>
      <c r="AV414" s="1734"/>
      <c r="AW414" s="1463"/>
      <c r="AX414" s="1463"/>
      <c r="AY414" s="2568"/>
      <c r="AZ414" s="1463"/>
      <c r="BB414" s="1547"/>
      <c r="BC414" s="1705"/>
      <c r="BD414" s="1706"/>
      <c r="BE414" s="1706"/>
      <c r="BF414" s="1706"/>
      <c r="BG414" s="1706"/>
      <c r="BH414" s="1707"/>
      <c r="BI414" s="1708"/>
      <c r="BJ414" s="1709"/>
      <c r="BK414" s="1710"/>
      <c r="BL414" s="1711"/>
      <c r="BM414" s="1712"/>
      <c r="BN414" s="1713"/>
      <c r="BO414" s="1712"/>
    </row>
    <row r="415" spans="1:67" ht="13.8">
      <c r="A415" s="1468" t="s">
        <v>2100</v>
      </c>
      <c r="B415" s="1463"/>
      <c r="C415" s="1463"/>
      <c r="D415" s="1463"/>
      <c r="E415" s="1468"/>
      <c r="F415" s="1468">
        <v>10</v>
      </c>
      <c r="G415" s="1463"/>
      <c r="H415" s="1469" t="s">
        <v>2101</v>
      </c>
      <c r="I415" s="2568">
        <v>2019</v>
      </c>
      <c r="J415" s="2568" t="s">
        <v>2058</v>
      </c>
      <c r="K415" s="1470" t="s">
        <v>2102</v>
      </c>
      <c r="L415" s="1470"/>
      <c r="M415" s="1470"/>
      <c r="N415" s="1470"/>
      <c r="O415" s="1470"/>
      <c r="P415" s="1470"/>
      <c r="Q415" s="1470"/>
      <c r="R415" s="1470"/>
      <c r="S415" s="1470"/>
      <c r="T415" s="1463"/>
      <c r="U415" s="1463"/>
      <c r="V415" s="1463"/>
      <c r="W415" s="1463"/>
      <c r="X415" s="1468"/>
      <c r="Y415" s="1463"/>
      <c r="Z415" s="2568"/>
      <c r="AA415" s="2569"/>
      <c r="AB415" s="2569"/>
      <c r="AC415" s="1463"/>
      <c r="AD415" s="1463"/>
      <c r="AE415" s="1463"/>
      <c r="AL415" s="1463"/>
      <c r="AM415" s="1446"/>
      <c r="AN415" s="1737"/>
      <c r="AO415" s="1446"/>
      <c r="AP415" s="1446"/>
      <c r="AQ415" s="1446"/>
      <c r="AR415" s="1446"/>
      <c r="AS415" s="1446"/>
      <c r="AT415" s="1446"/>
      <c r="AU415" s="1446"/>
      <c r="AV415" s="1446"/>
      <c r="AW415" s="1463"/>
      <c r="AX415" s="1463"/>
      <c r="AY415" s="2568"/>
      <c r="AZ415" s="1463"/>
      <c r="BB415" s="1515"/>
      <c r="BC415" s="1515"/>
      <c r="BD415" s="1515"/>
      <c r="BE415" s="1515"/>
      <c r="BF415" s="1515"/>
      <c r="BG415" s="1515"/>
      <c r="BH415" s="1714"/>
      <c r="BI415" s="1714"/>
      <c r="BJ415" s="1714"/>
      <c r="BK415" s="1714"/>
      <c r="BL415" s="1715"/>
      <c r="BM415" s="1715"/>
      <c r="BN415" s="1715"/>
      <c r="BO415" s="1715"/>
    </row>
    <row r="416" spans="1:67" ht="13.8">
      <c r="A416" s="1468" t="s">
        <v>2103</v>
      </c>
      <c r="B416" s="1463"/>
      <c r="C416" s="1463"/>
      <c r="D416" s="1463"/>
      <c r="E416" s="1468"/>
      <c r="F416" s="1468"/>
      <c r="G416" s="1463"/>
      <c r="H416" s="1469" t="s">
        <v>2104</v>
      </c>
      <c r="I416" s="2568">
        <v>2019</v>
      </c>
      <c r="J416" s="2568" t="s">
        <v>2058</v>
      </c>
      <c r="K416" s="1463" t="s">
        <v>1527</v>
      </c>
      <c r="L416" s="1463"/>
      <c r="M416" s="1463"/>
      <c r="N416" s="1463"/>
      <c r="O416" s="1463"/>
      <c r="P416" s="1463"/>
      <c r="Q416" s="1463"/>
      <c r="R416" s="1463"/>
      <c r="S416" s="1463"/>
      <c r="T416" s="1463"/>
      <c r="U416" s="1463"/>
      <c r="V416" s="1463"/>
      <c r="W416" s="1463"/>
      <c r="X416" s="1468"/>
      <c r="Y416" s="1463"/>
      <c r="Z416" s="2568"/>
      <c r="AA416" s="2569"/>
      <c r="AB416" s="2569"/>
      <c r="AC416" s="1463"/>
      <c r="AD416" s="1463"/>
      <c r="AE416" s="1463"/>
      <c r="AL416" s="1463"/>
      <c r="AM416" s="1446"/>
      <c r="AN416" s="1737"/>
      <c r="AO416" s="1446"/>
      <c r="AP416" s="1445" t="s">
        <v>2105</v>
      </c>
      <c r="AQ416" s="1446"/>
      <c r="AR416" s="1446"/>
      <c r="AS416" s="1738"/>
      <c r="AT416" s="1739">
        <f>IF(AND($C$16="4%",($D$12-$C$12)&gt;0),(SUM(AT390:AT414)-($D$12-$C$12)),SUM(AT390:AT414))</f>
        <v>111</v>
      </c>
      <c r="AU416" s="1739">
        <f>IF(AND($C$16="4%",($D$12-$C$12)&gt;0),(SUM(AU390:AU414)-($D$12-$C$12)),SUM(AU390:AU414))</f>
        <v>50.5</v>
      </c>
      <c r="AV416" s="1739">
        <f>SUM(AV391:AV414)</f>
        <v>46</v>
      </c>
      <c r="AW416" s="1454"/>
      <c r="AX416" s="2568"/>
      <c r="AY416" s="1462"/>
      <c r="AZ416" s="2567"/>
      <c r="BB416" s="1515"/>
      <c r="BC416" s="1515"/>
      <c r="BD416" s="1515"/>
      <c r="BE416" s="1515"/>
      <c r="BF416" s="1515"/>
      <c r="BG416" s="1515"/>
      <c r="BH416" s="1716">
        <f>SUM(BH390:BH414)</f>
        <v>46</v>
      </c>
      <c r="BI416" s="1716">
        <f>IF(AND($C$16="4%",($D$12-$C$12)&gt;0),(SUM(BI390:BI414)-($D$12-$C$12)),SUM(BI390:BI414))</f>
        <v>42</v>
      </c>
      <c r="BJ416" s="1716">
        <f>IF(AND($C$16="4%",($D$12-$C$12)&gt;0),(SUM(BJ390:BJ414)-($D$12-$C$12)),SUM(BJ390:BJ414))</f>
        <v>73</v>
      </c>
      <c r="BK416" s="1716">
        <f>SUM(BK390:BK414)</f>
        <v>69</v>
      </c>
      <c r="BL416" s="1717">
        <f>SUM(BL390:BL414)</f>
        <v>12</v>
      </c>
      <c r="BM416" s="1717">
        <f>IF(AND($C$16="4%",($E$12-$C$12)&gt;0),(SUM(BM390:BM414)-($E$12-$C$12)),SUM(BM390:BM414))</f>
        <v>12</v>
      </c>
      <c r="BN416" s="1717">
        <f>IF(AND($C$16="4%",($E$12-$C$12)&gt;0),(SUM(BN390:BN414)-($E$12-$C$12)),SUM(BN390:BN414))</f>
        <v>12</v>
      </c>
      <c r="BO416" s="1717">
        <f>SUM(BO390:BO414)</f>
        <v>12</v>
      </c>
    </row>
    <row r="417" spans="2:52" ht="13.8">
      <c r="B417" s="1463"/>
      <c r="C417" s="1468"/>
      <c r="D417" s="1468"/>
      <c r="E417" s="1463"/>
      <c r="F417" s="1463"/>
      <c r="G417" s="1463"/>
      <c r="H417" s="1469" t="s">
        <v>2106</v>
      </c>
      <c r="I417" s="2568">
        <v>2020</v>
      </c>
      <c r="J417" s="2568" t="s">
        <v>2058</v>
      </c>
      <c r="K417" s="1463" t="s">
        <v>2107</v>
      </c>
      <c r="L417" s="1463"/>
      <c r="M417" s="1463"/>
      <c r="N417" s="1463"/>
      <c r="O417" s="1463"/>
      <c r="P417" s="1463"/>
      <c r="Q417" s="1463"/>
      <c r="R417" s="1463"/>
      <c r="S417" s="1463"/>
      <c r="T417" s="1463"/>
      <c r="U417" s="1463"/>
      <c r="V417" s="1463"/>
      <c r="W417" s="1463"/>
      <c r="X417" s="1468"/>
      <c r="Y417" s="1463"/>
      <c r="Z417" s="2568"/>
      <c r="AA417" s="2569"/>
      <c r="AB417" s="2569"/>
      <c r="AC417" s="1463"/>
      <c r="AD417" s="1463"/>
      <c r="AE417" s="1463"/>
      <c r="AL417" s="1463"/>
      <c r="AM417" s="1463"/>
      <c r="AN417" s="1463"/>
      <c r="AO417" s="1463"/>
      <c r="AP417" s="1463"/>
      <c r="AQ417" s="1463"/>
      <c r="AR417" s="1463"/>
      <c r="AS417" s="1463"/>
      <c r="AT417" s="1463"/>
      <c r="AU417" s="1463"/>
      <c r="AV417" s="1463"/>
      <c r="AW417" s="1454"/>
      <c r="AX417" s="2568"/>
      <c r="AY417" s="1462"/>
      <c r="AZ417" s="2567"/>
    </row>
    <row r="418" spans="2:52" ht="13.8">
      <c r="B418" s="1463"/>
      <c r="C418" s="1468"/>
      <c r="D418" s="1468"/>
      <c r="E418" s="1463"/>
      <c r="F418" s="1463"/>
      <c r="G418" s="1463"/>
      <c r="H418" s="1469" t="s">
        <v>2108</v>
      </c>
      <c r="I418" s="2568">
        <v>2020</v>
      </c>
      <c r="J418" s="2568" t="s">
        <v>2058</v>
      </c>
      <c r="K418" s="1463" t="s">
        <v>1709</v>
      </c>
      <c r="L418" s="1463"/>
      <c r="M418" s="1463"/>
      <c r="N418" s="1463"/>
      <c r="O418" s="1463"/>
      <c r="P418" s="1463"/>
      <c r="Q418" s="1463"/>
      <c r="R418" s="1463"/>
      <c r="S418" s="1463"/>
      <c r="T418" s="1463"/>
      <c r="U418" s="1463"/>
      <c r="V418" s="1463"/>
      <c r="W418" s="1463"/>
      <c r="X418" s="1468"/>
      <c r="Y418" s="1463"/>
      <c r="Z418" s="2568"/>
      <c r="AA418" s="2569"/>
      <c r="AB418" s="2569"/>
      <c r="AC418" s="1463"/>
      <c r="AD418" s="1463"/>
      <c r="AE418" s="1463"/>
      <c r="AL418" s="1463"/>
      <c r="AM418" s="1463"/>
      <c r="AN418" s="1463"/>
      <c r="AO418" s="1463"/>
      <c r="AP418" s="1463"/>
      <c r="AQ418" s="1463"/>
      <c r="AR418" s="1463"/>
      <c r="AS418" s="1463"/>
      <c r="AT418" s="1463"/>
      <c r="AU418" s="1463"/>
      <c r="AV418" s="1463"/>
      <c r="AW418" s="1463"/>
      <c r="AX418" s="1463"/>
      <c r="AY418" s="2568"/>
      <c r="AZ418" s="1463"/>
    </row>
    <row r="419" spans="2:52" ht="13.8">
      <c r="B419" s="1463"/>
      <c r="C419" s="1468"/>
      <c r="D419" s="1468"/>
      <c r="E419" s="1463"/>
      <c r="F419" s="1463"/>
      <c r="G419" s="1463"/>
      <c r="H419" s="1469" t="s">
        <v>2109</v>
      </c>
      <c r="I419" s="2568" t="s">
        <v>2054</v>
      </c>
      <c r="J419" s="1467" t="s">
        <v>1129</v>
      </c>
      <c r="K419" s="1463" t="s">
        <v>2110</v>
      </c>
      <c r="L419" s="1463"/>
      <c r="M419" s="1463"/>
      <c r="N419" s="1463"/>
      <c r="O419" s="1463"/>
      <c r="P419" s="1463"/>
      <c r="Q419" s="1463"/>
      <c r="R419" s="1463"/>
      <c r="S419" s="1463"/>
      <c r="T419" s="1463"/>
      <c r="U419" s="1463"/>
      <c r="V419" s="1463"/>
      <c r="W419" s="1463"/>
      <c r="X419" s="1468"/>
      <c r="Y419" s="1463"/>
      <c r="Z419" s="2568"/>
      <c r="AA419" s="2569"/>
      <c r="AB419" s="2569"/>
      <c r="AC419" s="1463"/>
      <c r="AD419" s="1463"/>
      <c r="AE419" s="1463"/>
      <c r="AL419" s="1463"/>
      <c r="AM419" s="1463"/>
      <c r="AN419" s="1463"/>
      <c r="AO419" s="1463"/>
      <c r="AP419" s="1463"/>
      <c r="AQ419" s="1463"/>
      <c r="AR419" s="1463"/>
      <c r="AS419" s="1463"/>
      <c r="AT419" s="1463"/>
      <c r="AU419" s="1463"/>
      <c r="AV419" s="1463"/>
      <c r="AW419" s="1463"/>
      <c r="AX419" s="1463"/>
      <c r="AY419" s="2568"/>
      <c r="AZ419" s="1463"/>
    </row>
    <row r="420" spans="2:52" ht="13.8">
      <c r="B420" s="1463"/>
      <c r="C420" s="1468"/>
      <c r="D420" s="1468"/>
      <c r="E420" s="1463"/>
      <c r="F420" s="1463"/>
      <c r="G420" s="1463"/>
      <c r="H420" s="1469" t="s">
        <v>2111</v>
      </c>
      <c r="I420" s="2568">
        <v>2019</v>
      </c>
      <c r="J420" s="2568" t="s">
        <v>2058</v>
      </c>
      <c r="K420" s="1463" t="s">
        <v>1711</v>
      </c>
      <c r="L420" s="1463"/>
      <c r="M420" s="1463"/>
      <c r="N420" s="1463"/>
      <c r="O420" s="1463"/>
      <c r="P420" s="1463"/>
      <c r="Q420" s="1463"/>
      <c r="R420" s="1463"/>
      <c r="S420" s="1463"/>
      <c r="T420" s="1463"/>
      <c r="U420" s="1463"/>
      <c r="V420" s="1463"/>
      <c r="W420" s="1463"/>
      <c r="X420" s="1468"/>
      <c r="Y420" s="1463"/>
      <c r="Z420" s="2568"/>
      <c r="AA420" s="2569"/>
      <c r="AB420" s="2569"/>
      <c r="AC420" s="1463"/>
      <c r="AD420" s="1463"/>
      <c r="AE420" s="1463"/>
    </row>
    <row r="421" spans="2:52" ht="13.8">
      <c r="B421" s="1463"/>
      <c r="C421" s="1463"/>
      <c r="D421" s="1463"/>
      <c r="E421" s="1463"/>
      <c r="F421" s="1463"/>
      <c r="G421" s="1463"/>
      <c r="H421" s="1469" t="s">
        <v>2112</v>
      </c>
      <c r="I421" s="2568">
        <v>2019</v>
      </c>
      <c r="J421" s="2568" t="s">
        <v>2058</v>
      </c>
      <c r="K421" s="1463" t="s">
        <v>2113</v>
      </c>
      <c r="L421" s="1463"/>
      <c r="M421" s="1463"/>
      <c r="N421" s="1463"/>
      <c r="O421" s="1463"/>
      <c r="P421" s="1463"/>
      <c r="Q421" s="1463"/>
      <c r="R421" s="1463"/>
      <c r="S421" s="1463"/>
      <c r="T421" s="1463"/>
      <c r="U421" s="1463"/>
      <c r="V421" s="1463"/>
      <c r="W421" s="1463"/>
      <c r="X421" s="1468"/>
      <c r="Y421" s="1463"/>
      <c r="Z421" s="2568"/>
      <c r="AA421" s="2569"/>
      <c r="AB421" s="2569"/>
      <c r="AC421" s="1463"/>
      <c r="AD421" s="1463"/>
      <c r="AE421" s="1463"/>
    </row>
    <row r="422" spans="2:52" ht="13.8">
      <c r="B422" s="1463"/>
      <c r="C422" s="1463"/>
      <c r="D422" s="1463"/>
      <c r="E422" s="1463"/>
      <c r="F422" s="1463"/>
      <c r="G422" s="1463"/>
      <c r="H422" s="1469" t="s">
        <v>2114</v>
      </c>
      <c r="I422" s="2568">
        <v>2019</v>
      </c>
      <c r="J422" s="2568" t="s">
        <v>2058</v>
      </c>
      <c r="K422" s="1463" t="s">
        <v>1713</v>
      </c>
      <c r="L422" s="1463"/>
      <c r="M422" s="1463"/>
      <c r="N422" s="1463"/>
      <c r="O422" s="1463"/>
      <c r="P422" s="1463"/>
      <c r="Q422" s="1463"/>
      <c r="R422" s="1463"/>
      <c r="S422" s="1463"/>
      <c r="T422" s="1463"/>
      <c r="U422" s="1463"/>
      <c r="V422" s="1463"/>
      <c r="W422" s="1463"/>
      <c r="X422" s="1463"/>
      <c r="Y422" s="1463"/>
      <c r="Z422" s="2568"/>
      <c r="AA422" s="2569"/>
      <c r="AB422" s="2569"/>
      <c r="AC422" s="1463"/>
      <c r="AD422" s="1463"/>
      <c r="AE422" s="1463"/>
      <c r="AN422" s="1642" t="s">
        <v>1924</v>
      </c>
      <c r="AO422" s="1643"/>
      <c r="AP422" s="1643"/>
      <c r="AQ422" s="1644"/>
      <c r="AR422" s="1644"/>
      <c r="AS422" s="1644"/>
      <c r="AT422" s="1644"/>
      <c r="AU422" s="1645" t="s">
        <v>1730</v>
      </c>
      <c r="AV422" s="1646" t="s">
        <v>1724</v>
      </c>
      <c r="AW422" s="1647"/>
    </row>
    <row r="423" spans="2:52" ht="13.8">
      <c r="B423" s="1463"/>
      <c r="C423" s="1463"/>
      <c r="D423" s="1463"/>
      <c r="E423" s="1463"/>
      <c r="F423" s="1463"/>
      <c r="G423" s="1463"/>
      <c r="H423" s="1469" t="s">
        <v>2115</v>
      </c>
      <c r="I423" s="2568" t="s">
        <v>2054</v>
      </c>
      <c r="J423" s="1467" t="s">
        <v>1129</v>
      </c>
      <c r="K423" s="1463" t="s">
        <v>2116</v>
      </c>
      <c r="L423" s="1463"/>
      <c r="M423" s="1463"/>
      <c r="N423" s="1463"/>
      <c r="O423" s="1463"/>
      <c r="P423" s="1463"/>
      <c r="Q423" s="1463"/>
      <c r="R423" s="1463"/>
      <c r="S423" s="1463"/>
      <c r="T423" s="1463"/>
      <c r="U423" s="1463"/>
      <c r="V423" s="1463"/>
      <c r="W423" s="1463"/>
      <c r="X423" s="1468"/>
      <c r="Y423" s="1463"/>
      <c r="Z423" s="2568"/>
      <c r="AA423" s="2569"/>
      <c r="AB423" s="2569"/>
      <c r="AC423" s="1463"/>
      <c r="AD423" s="1463"/>
      <c r="AE423" s="1463"/>
      <c r="AN423" s="1648"/>
      <c r="AO423" s="1515" t="s">
        <v>1925</v>
      </c>
      <c r="AP423" s="1535"/>
      <c r="AQ423" s="1515"/>
      <c r="AR423" s="1515"/>
      <c r="AS423" s="1515"/>
      <c r="AT423" s="1515"/>
      <c r="AU423" s="2564">
        <f>$AA$183</f>
        <v>0</v>
      </c>
      <c r="AV423" s="1649">
        <f>$AB$183</f>
        <v>0</v>
      </c>
      <c r="AW423" s="1650"/>
    </row>
    <row r="424" spans="2:52" ht="13.8">
      <c r="B424" s="1463"/>
      <c r="C424" s="1463"/>
      <c r="D424" s="1463"/>
      <c r="E424" s="1463"/>
      <c r="F424" s="1463"/>
      <c r="G424" s="1463"/>
      <c r="H424" s="1469" t="s">
        <v>2117</v>
      </c>
      <c r="I424" s="2568">
        <v>2020</v>
      </c>
      <c r="J424" s="2568" t="s">
        <v>2058</v>
      </c>
      <c r="K424" s="1463" t="s">
        <v>1715</v>
      </c>
      <c r="L424" s="1463"/>
      <c r="M424" s="1463"/>
      <c r="N424" s="1463"/>
      <c r="O424" s="1463"/>
      <c r="P424" s="1463"/>
      <c r="Q424" s="1463"/>
      <c r="R424" s="1463"/>
      <c r="S424" s="1463"/>
      <c r="T424" s="1463"/>
      <c r="U424" s="1463"/>
      <c r="V424" s="1463"/>
      <c r="W424" s="1463"/>
      <c r="X424" s="1468"/>
      <c r="Y424" s="1463"/>
      <c r="Z424" s="1463"/>
      <c r="AA424" s="1463"/>
      <c r="AB424" s="1463"/>
      <c r="AC424" s="1463"/>
      <c r="AD424" s="1463"/>
      <c r="AE424" s="1463"/>
      <c r="AN424" s="1648"/>
      <c r="AO424" s="1515" t="s">
        <v>1926</v>
      </c>
      <c r="AP424" s="1535"/>
      <c r="AQ424" s="1515"/>
      <c r="AR424" s="1515"/>
      <c r="AS424" s="1515"/>
      <c r="AT424" s="1515"/>
      <c r="AU424" s="1651">
        <f>$AA$215</f>
        <v>0</v>
      </c>
      <c r="AV424" s="1652">
        <f>$AB$215</f>
        <v>0</v>
      </c>
      <c r="AW424" s="1650"/>
    </row>
    <row r="425" spans="2:52" ht="13.8">
      <c r="B425" s="1463"/>
      <c r="C425" s="1463"/>
      <c r="D425" s="1463"/>
      <c r="E425" s="1463"/>
      <c r="F425" s="1463"/>
      <c r="G425" s="1463"/>
      <c r="H425" s="1469" t="s">
        <v>2118</v>
      </c>
      <c r="I425" s="2568">
        <v>2020</v>
      </c>
      <c r="J425" s="2568" t="s">
        <v>2058</v>
      </c>
      <c r="K425" s="1463" t="s">
        <v>2119</v>
      </c>
      <c r="L425" s="1463"/>
      <c r="M425" s="1463"/>
      <c r="N425" s="1463"/>
      <c r="O425" s="1463"/>
      <c r="P425" s="1463"/>
      <c r="Q425" s="1463"/>
      <c r="R425" s="1463"/>
      <c r="S425" s="1463"/>
      <c r="T425" s="1463"/>
      <c r="U425" s="1463"/>
      <c r="V425" s="1463"/>
      <c r="W425" s="1463"/>
      <c r="X425" s="1463"/>
      <c r="Y425" s="1463"/>
      <c r="Z425" s="1463"/>
      <c r="AA425" s="1463"/>
      <c r="AB425" s="1463"/>
      <c r="AC425" s="1463"/>
      <c r="AD425" s="1463"/>
      <c r="AE425" s="1463"/>
      <c r="AN425" s="1648"/>
      <c r="AO425" s="1515" t="s">
        <v>1985</v>
      </c>
      <c r="AP425" s="1535"/>
      <c r="AQ425" s="1515"/>
      <c r="AR425" s="1515"/>
      <c r="AS425" s="1515"/>
      <c r="AT425" s="1515"/>
      <c r="AU425" s="1651">
        <f>$AA$247</f>
        <v>0</v>
      </c>
      <c r="AV425" s="1652">
        <f>$AB$247</f>
        <v>0</v>
      </c>
      <c r="AW425" s="1650"/>
    </row>
    <row r="426" spans="2:52" ht="13.8">
      <c r="B426" s="1463"/>
      <c r="C426" s="1463"/>
      <c r="D426" s="1463"/>
      <c r="E426" s="1471"/>
      <c r="F426" s="1463"/>
      <c r="G426" s="1463"/>
      <c r="H426" s="1469" t="s">
        <v>2120</v>
      </c>
      <c r="I426" s="2568" t="s">
        <v>2054</v>
      </c>
      <c r="J426" s="1467" t="s">
        <v>1129</v>
      </c>
      <c r="K426" s="1463" t="s">
        <v>2121</v>
      </c>
      <c r="L426" s="1463"/>
      <c r="M426" s="1463"/>
      <c r="N426" s="1463"/>
      <c r="O426" s="1463"/>
      <c r="P426" s="1463"/>
      <c r="Q426" s="1463"/>
      <c r="R426" s="1463"/>
      <c r="S426" s="1463"/>
      <c r="T426" s="1463"/>
      <c r="U426" s="1463"/>
      <c r="V426" s="1463"/>
      <c r="W426" s="1463"/>
      <c r="X426" s="1468"/>
      <c r="Y426" s="1463"/>
      <c r="Z426" s="1463"/>
      <c r="AA426" s="1463"/>
      <c r="AB426" s="1463"/>
      <c r="AC426" s="1463"/>
      <c r="AD426" s="1463"/>
      <c r="AE426" s="1463"/>
      <c r="AN426" s="1648"/>
      <c r="AO426" s="1515" t="s">
        <v>2078</v>
      </c>
      <c r="AP426" s="1535"/>
      <c r="AQ426" s="1515"/>
      <c r="AR426" s="1515"/>
      <c r="AS426" s="1515"/>
      <c r="AT426" s="1515"/>
      <c r="AU426" s="1651">
        <f>$AA$233</f>
        <v>0</v>
      </c>
      <c r="AV426" s="1652">
        <f>$AB$233</f>
        <v>0</v>
      </c>
      <c r="AW426" s="1650"/>
    </row>
    <row r="427" spans="2:52" ht="13.8">
      <c r="B427" s="1463"/>
      <c r="C427" s="1463"/>
      <c r="D427" s="1463"/>
      <c r="E427" s="1471"/>
      <c r="F427" s="1463"/>
      <c r="G427" s="1463"/>
      <c r="H427" s="1469" t="s">
        <v>2122</v>
      </c>
      <c r="I427" s="2568" t="s">
        <v>2054</v>
      </c>
      <c r="J427" s="1467" t="s">
        <v>1129</v>
      </c>
      <c r="K427" s="1463" t="s">
        <v>2123</v>
      </c>
      <c r="L427" s="1463"/>
      <c r="M427" s="1463"/>
      <c r="N427" s="1463"/>
      <c r="O427" s="1463"/>
      <c r="P427" s="1463"/>
      <c r="Q427" s="1463"/>
      <c r="R427" s="1463"/>
      <c r="S427" s="1463"/>
      <c r="T427" s="1463"/>
      <c r="U427" s="1463"/>
      <c r="V427" s="1463"/>
      <c r="W427" s="1463"/>
      <c r="X427" s="1468"/>
      <c r="Y427" s="1463"/>
      <c r="Z427" s="1463"/>
      <c r="AA427" s="1463"/>
      <c r="AB427" s="1463"/>
      <c r="AC427" s="1463"/>
      <c r="AD427" s="1463"/>
      <c r="AE427" s="1463"/>
      <c r="AN427" s="1653"/>
      <c r="AO427" s="1654"/>
      <c r="AP427" s="1654"/>
      <c r="AQ427" s="1655"/>
      <c r="AR427" s="1655"/>
      <c r="AS427" s="1655"/>
      <c r="AT427" s="1655"/>
      <c r="AU427" s="1655"/>
      <c r="AV427" s="1655"/>
      <c r="AW427" s="1656"/>
    </row>
    <row r="428" spans="2:52" ht="13.8">
      <c r="B428" s="1463"/>
      <c r="C428" s="1463"/>
      <c r="D428" s="1463"/>
      <c r="E428" s="1463"/>
      <c r="F428" s="1463"/>
      <c r="G428" s="1463"/>
      <c r="H428" s="1469" t="s">
        <v>2124</v>
      </c>
      <c r="I428" s="2568">
        <v>2020</v>
      </c>
      <c r="J428" s="2568" t="s">
        <v>2058</v>
      </c>
      <c r="K428" s="1463" t="s">
        <v>2125</v>
      </c>
      <c r="L428" s="1463"/>
      <c r="M428" s="1463"/>
      <c r="N428" s="1463"/>
      <c r="O428" s="1463"/>
      <c r="P428" s="1463"/>
      <c r="Q428" s="1463"/>
      <c r="R428" s="1463"/>
      <c r="S428" s="1463"/>
      <c r="T428" s="1463"/>
      <c r="U428" s="1463"/>
      <c r="V428" s="1463"/>
      <c r="W428" s="1463"/>
      <c r="X428" s="1468"/>
      <c r="Y428" s="1463"/>
      <c r="Z428" s="1463"/>
      <c r="AA428" s="1463"/>
      <c r="AB428" s="1463"/>
      <c r="AC428" s="1463"/>
      <c r="AD428" s="1463"/>
      <c r="AE428" s="1463"/>
    </row>
    <row r="429" spans="2:52" ht="13.8">
      <c r="B429" s="1463"/>
      <c r="C429" s="1463"/>
      <c r="D429" s="1463"/>
      <c r="E429" s="1463"/>
      <c r="F429" s="1463"/>
      <c r="G429" s="1463"/>
      <c r="H429" s="1469" t="s">
        <v>2126</v>
      </c>
      <c r="I429" s="2568">
        <v>2019</v>
      </c>
      <c r="J429" s="2568" t="s">
        <v>2058</v>
      </c>
      <c r="K429" s="1463" t="s">
        <v>2127</v>
      </c>
      <c r="L429" s="1463"/>
      <c r="M429" s="1463"/>
      <c r="N429" s="1463"/>
      <c r="O429" s="1463"/>
      <c r="P429" s="1463"/>
      <c r="Q429" s="1463"/>
      <c r="R429" s="1463"/>
      <c r="S429" s="1463"/>
      <c r="T429" s="1463"/>
      <c r="U429" s="1463"/>
      <c r="V429" s="1463"/>
      <c r="W429" s="1463"/>
      <c r="X429" s="1463"/>
      <c r="Y429" s="1463"/>
      <c r="Z429" s="1463"/>
      <c r="AA429" s="1463"/>
      <c r="AB429" s="1463"/>
      <c r="AC429" s="1463"/>
      <c r="AD429" s="1463"/>
      <c r="AE429" s="1463"/>
    </row>
    <row r="430" spans="2:52" ht="13.8">
      <c r="B430" s="1463"/>
      <c r="C430" s="1463"/>
      <c r="D430" s="1463"/>
      <c r="E430" s="1463"/>
      <c r="F430" s="1463"/>
      <c r="G430" s="1463"/>
      <c r="H430" s="1469" t="s">
        <v>2128</v>
      </c>
      <c r="I430" s="2568">
        <v>2019</v>
      </c>
      <c r="J430" s="2568" t="s">
        <v>2058</v>
      </c>
      <c r="K430" s="1463" t="s">
        <v>2129</v>
      </c>
      <c r="L430" s="1463"/>
      <c r="M430" s="1463"/>
      <c r="N430" s="1463"/>
      <c r="O430" s="1463"/>
      <c r="P430" s="1463"/>
      <c r="Q430" s="1463"/>
      <c r="R430" s="1463"/>
      <c r="S430" s="1463"/>
      <c r="T430" s="1463"/>
      <c r="U430" s="1463"/>
      <c r="V430" s="1463"/>
      <c r="W430" s="1463"/>
      <c r="X430" s="1468"/>
      <c r="Y430" s="1463"/>
      <c r="Z430" s="1463"/>
      <c r="AA430" s="1463"/>
      <c r="AB430" s="1463"/>
      <c r="AC430" s="1463"/>
      <c r="AD430" s="1463"/>
      <c r="AE430" s="1463"/>
    </row>
    <row r="431" spans="2:52" ht="13.8">
      <c r="B431" s="1463"/>
      <c r="C431" s="1463"/>
      <c r="D431" s="1463"/>
      <c r="E431" s="1463"/>
      <c r="F431" s="1463"/>
      <c r="G431" s="1463"/>
      <c r="H431" s="1469" t="s">
        <v>2130</v>
      </c>
      <c r="I431" s="2568">
        <v>2020</v>
      </c>
      <c r="J431" s="2568" t="s">
        <v>2058</v>
      </c>
      <c r="K431" s="1463" t="s">
        <v>2131</v>
      </c>
      <c r="L431" s="1463"/>
      <c r="M431" s="1463"/>
      <c r="N431" s="1463"/>
      <c r="O431" s="1463"/>
      <c r="P431" s="1463"/>
      <c r="Q431" s="1463"/>
      <c r="R431" s="1463"/>
      <c r="S431" s="1463"/>
      <c r="T431" s="1463"/>
      <c r="U431" s="1463"/>
      <c r="V431" s="1463"/>
      <c r="W431" s="1463"/>
      <c r="X431" s="1468"/>
      <c r="Y431" s="1463"/>
      <c r="Z431" s="1463"/>
      <c r="AA431" s="1463"/>
      <c r="AB431" s="1463"/>
      <c r="AC431" s="1463"/>
      <c r="AD431" s="1463"/>
      <c r="AE431" s="1463"/>
    </row>
    <row r="432" spans="2:52" ht="13.8">
      <c r="B432" s="1463"/>
      <c r="C432" s="1471"/>
      <c r="D432" s="1471"/>
      <c r="E432" s="1463"/>
      <c r="F432" s="1463"/>
      <c r="G432" s="1463"/>
      <c r="H432" s="1469" t="s">
        <v>2132</v>
      </c>
      <c r="I432" s="2568">
        <v>2020</v>
      </c>
      <c r="J432" s="2568" t="s">
        <v>2058</v>
      </c>
      <c r="K432" s="1463" t="s">
        <v>2133</v>
      </c>
      <c r="L432" s="1463"/>
      <c r="M432" s="1463"/>
      <c r="N432" s="1463"/>
      <c r="O432" s="1463"/>
      <c r="P432" s="1463"/>
      <c r="Q432" s="1463"/>
      <c r="R432" s="1463"/>
      <c r="S432" s="1463"/>
      <c r="T432" s="1463"/>
      <c r="U432" s="1463"/>
      <c r="V432" s="1463"/>
      <c r="W432" s="1463"/>
      <c r="X432" s="1468"/>
      <c r="Y432" s="1463"/>
      <c r="Z432" s="1463"/>
      <c r="AA432" s="1463"/>
      <c r="AB432" s="1463"/>
      <c r="AC432" s="1463"/>
      <c r="AD432" s="1463"/>
      <c r="AE432" s="1463"/>
    </row>
    <row r="433" spans="2:31" ht="13.8">
      <c r="B433" s="1463"/>
      <c r="C433" s="1471"/>
      <c r="D433" s="1471"/>
      <c r="E433" s="1463"/>
      <c r="F433" s="1463"/>
      <c r="G433" s="1463"/>
      <c r="H433" s="1469" t="s">
        <v>2134</v>
      </c>
      <c r="I433" s="2568" t="s">
        <v>2054</v>
      </c>
      <c r="J433" s="1467" t="s">
        <v>1129</v>
      </c>
      <c r="K433" s="1463"/>
      <c r="L433" s="1463"/>
      <c r="M433" s="1463"/>
      <c r="N433" s="1463"/>
      <c r="O433" s="1463"/>
      <c r="P433" s="1463"/>
      <c r="Q433" s="1463"/>
      <c r="R433" s="1463"/>
      <c r="S433" s="1463"/>
      <c r="T433" s="1463"/>
      <c r="U433" s="1463"/>
      <c r="V433" s="1463"/>
      <c r="W433" s="1463"/>
      <c r="X433" s="1468"/>
      <c r="Y433" s="1463"/>
      <c r="Z433" s="1463"/>
      <c r="AA433" s="1463"/>
      <c r="AB433" s="1463"/>
      <c r="AC433" s="1463"/>
      <c r="AD433" s="1463"/>
      <c r="AE433" s="1463"/>
    </row>
    <row r="434" spans="2:31" ht="13.8">
      <c r="B434" s="1463"/>
      <c r="C434" s="1471"/>
      <c r="D434" s="1471"/>
      <c r="E434" s="1463"/>
      <c r="F434" s="1463"/>
      <c r="G434" s="1463"/>
      <c r="H434" s="1469" t="s">
        <v>2135</v>
      </c>
      <c r="I434" s="2568" t="s">
        <v>2054</v>
      </c>
      <c r="J434" s="1467" t="s">
        <v>1129</v>
      </c>
      <c r="K434" s="1463"/>
      <c r="L434" s="1463"/>
      <c r="M434" s="1463"/>
      <c r="N434" s="1463"/>
      <c r="O434" s="1463"/>
      <c r="P434" s="1463"/>
      <c r="Q434" s="1463"/>
      <c r="R434" s="1463"/>
      <c r="S434" s="1463"/>
      <c r="T434" s="1463"/>
      <c r="U434" s="1463"/>
      <c r="V434" s="1463"/>
      <c r="W434" s="1463"/>
      <c r="X434" s="1468"/>
      <c r="Y434" s="1463"/>
      <c r="Z434" s="1463"/>
      <c r="AA434" s="1463"/>
      <c r="AB434" s="1463"/>
      <c r="AC434" s="1463"/>
      <c r="AD434" s="1463"/>
      <c r="AE434" s="1463"/>
    </row>
    <row r="435" spans="2:31" ht="13.8">
      <c r="B435" s="1463"/>
      <c r="C435" s="1471"/>
      <c r="D435" s="1471"/>
      <c r="E435" s="1463"/>
      <c r="F435" s="1463"/>
      <c r="G435" s="1463"/>
      <c r="H435" s="1469" t="s">
        <v>2136</v>
      </c>
      <c r="I435" s="2568" t="s">
        <v>2054</v>
      </c>
      <c r="J435" s="1467" t="s">
        <v>1129</v>
      </c>
      <c r="K435" s="1463"/>
      <c r="L435" s="1463"/>
      <c r="M435" s="1463"/>
      <c r="N435" s="1463"/>
      <c r="O435" s="1463"/>
      <c r="P435" s="1463"/>
      <c r="Q435" s="1463"/>
      <c r="R435" s="1463"/>
      <c r="S435" s="1463"/>
      <c r="T435" s="1463"/>
      <c r="U435" s="1463"/>
      <c r="V435" s="1463"/>
      <c r="W435" s="1463"/>
      <c r="X435" s="1468"/>
      <c r="Y435" s="1463"/>
      <c r="Z435" s="1463"/>
      <c r="AA435" s="1463"/>
      <c r="AB435" s="1463"/>
      <c r="AC435" s="1463"/>
      <c r="AD435" s="1463"/>
      <c r="AE435" s="1463"/>
    </row>
    <row r="436" spans="2:31" ht="13.8">
      <c r="B436" s="1463"/>
      <c r="C436" s="1471"/>
      <c r="D436" s="1471"/>
      <c r="E436" s="1463"/>
      <c r="F436" s="1463"/>
      <c r="G436" s="1463"/>
      <c r="H436" s="1469" t="s">
        <v>2137</v>
      </c>
      <c r="I436" s="2568" t="s">
        <v>2054</v>
      </c>
      <c r="J436" s="1467" t="s">
        <v>1129</v>
      </c>
      <c r="K436" s="1463"/>
      <c r="L436" s="1463"/>
      <c r="M436" s="1463"/>
      <c r="N436" s="1463"/>
      <c r="O436" s="1463"/>
      <c r="P436" s="1463"/>
      <c r="Q436" s="1463"/>
      <c r="R436" s="1463"/>
      <c r="S436" s="1463"/>
      <c r="T436" s="1463"/>
      <c r="U436" s="1463"/>
      <c r="V436" s="1463"/>
      <c r="W436" s="1463"/>
      <c r="X436" s="1468"/>
      <c r="Y436" s="1463"/>
      <c r="Z436" s="1463"/>
      <c r="AA436" s="1463"/>
      <c r="AB436" s="1463"/>
      <c r="AC436" s="1463"/>
      <c r="AD436" s="1463"/>
      <c r="AE436" s="1463"/>
    </row>
    <row r="437" spans="2:31" ht="13.8">
      <c r="B437" s="1463"/>
      <c r="C437" s="1471"/>
      <c r="D437" s="1471"/>
      <c r="E437" s="1463"/>
      <c r="F437" s="1463"/>
      <c r="G437" s="1463"/>
      <c r="H437" s="1469" t="s">
        <v>2138</v>
      </c>
      <c r="I437" s="2568">
        <v>2020</v>
      </c>
      <c r="J437" s="2568" t="s">
        <v>2058</v>
      </c>
      <c r="K437" s="1463"/>
      <c r="L437" s="1463"/>
      <c r="M437" s="1463"/>
      <c r="N437" s="1463"/>
      <c r="O437" s="1463"/>
      <c r="P437" s="1463"/>
      <c r="Q437" s="1463"/>
      <c r="R437" s="1463"/>
      <c r="S437" s="1463"/>
      <c r="T437" s="1463"/>
      <c r="U437" s="1463"/>
      <c r="V437" s="1463"/>
      <c r="W437" s="1463"/>
      <c r="X437" s="1468"/>
      <c r="Y437" s="1463"/>
      <c r="Z437" s="1463"/>
      <c r="AA437" s="1463"/>
      <c r="AB437" s="1463"/>
      <c r="AC437" s="1463"/>
      <c r="AD437" s="1463"/>
      <c r="AE437" s="1463"/>
    </row>
    <row r="438" spans="2:31" ht="13.8">
      <c r="B438" s="1463"/>
      <c r="C438" s="1471"/>
      <c r="D438" s="1471"/>
      <c r="E438" s="1463"/>
      <c r="F438" s="1463"/>
      <c r="G438" s="1463"/>
      <c r="H438" s="1469" t="s">
        <v>2139</v>
      </c>
      <c r="I438" s="2568">
        <v>2020</v>
      </c>
      <c r="J438" s="2568" t="s">
        <v>2058</v>
      </c>
      <c r="K438" s="1463"/>
      <c r="L438" s="1463"/>
      <c r="M438" s="1463"/>
      <c r="N438" s="1463"/>
      <c r="O438" s="1463"/>
      <c r="P438" s="1463"/>
      <c r="Q438" s="1463"/>
      <c r="R438" s="1463"/>
      <c r="S438" s="1463"/>
      <c r="T438" s="1463"/>
      <c r="U438" s="1463"/>
      <c r="V438" s="1463"/>
      <c r="W438" s="1463"/>
      <c r="X438" s="1463"/>
      <c r="Y438" s="1463"/>
      <c r="Z438" s="1463"/>
      <c r="AA438" s="1463"/>
      <c r="AB438" s="1463"/>
      <c r="AC438" s="1463"/>
      <c r="AD438" s="1463"/>
      <c r="AE438" s="1463"/>
    </row>
    <row r="439" spans="2:31" ht="13.8">
      <c r="B439" s="1463"/>
      <c r="C439" s="1463"/>
      <c r="D439" s="1463"/>
      <c r="E439" s="1463"/>
      <c r="F439" s="1463"/>
      <c r="G439" s="1463"/>
      <c r="H439" s="1469" t="s">
        <v>2140</v>
      </c>
      <c r="I439" s="2568">
        <v>2019</v>
      </c>
      <c r="J439" s="2568" t="s">
        <v>2058</v>
      </c>
      <c r="K439" s="1463"/>
      <c r="L439" s="1463"/>
      <c r="M439" s="1463"/>
      <c r="N439" s="1463"/>
      <c r="O439" s="1463"/>
      <c r="P439" s="1463"/>
      <c r="Q439" s="1463"/>
      <c r="R439" s="1463"/>
      <c r="S439" s="1463"/>
      <c r="T439" s="1463"/>
      <c r="U439" s="1463"/>
      <c r="V439" s="1463"/>
      <c r="W439" s="1463"/>
      <c r="X439" s="1463"/>
      <c r="Y439" s="1463"/>
      <c r="Z439" s="1463"/>
      <c r="AA439" s="1463"/>
      <c r="AB439" s="1463"/>
      <c r="AC439" s="1463"/>
      <c r="AD439" s="1463"/>
      <c r="AE439" s="1463"/>
    </row>
    <row r="440" spans="2:31" ht="13.8">
      <c r="B440" s="1463"/>
      <c r="C440" s="1463"/>
      <c r="D440" s="1463"/>
      <c r="E440" s="1463"/>
      <c r="F440" s="1463"/>
      <c r="G440" s="1463"/>
      <c r="H440" s="1469" t="s">
        <v>2141</v>
      </c>
      <c r="I440" s="1463"/>
      <c r="J440" s="1463"/>
      <c r="K440" s="1463"/>
      <c r="L440" s="1463"/>
      <c r="M440" s="1463"/>
      <c r="N440" s="1463"/>
      <c r="O440" s="1463"/>
      <c r="P440" s="1463"/>
      <c r="Q440" s="1463"/>
      <c r="R440" s="1463"/>
      <c r="S440" s="1463"/>
      <c r="T440" s="1463"/>
      <c r="U440" s="1463"/>
      <c r="V440" s="1463"/>
      <c r="W440" s="1463"/>
      <c r="X440" s="1463"/>
      <c r="Y440" s="1463"/>
      <c r="Z440" s="2568"/>
      <c r="AA440" s="2569"/>
      <c r="AB440" s="2569"/>
      <c r="AC440" s="1463"/>
      <c r="AD440" s="1463"/>
      <c r="AE440" s="1463"/>
    </row>
    <row r="441" spans="2:31" ht="13.8">
      <c r="B441" s="1463"/>
      <c r="C441" s="1463"/>
      <c r="D441" s="1463"/>
      <c r="E441" s="1463"/>
      <c r="F441" s="1463"/>
      <c r="G441" s="1463"/>
      <c r="H441" s="1469" t="s">
        <v>2142</v>
      </c>
      <c r="I441" s="2568">
        <v>2019</v>
      </c>
      <c r="J441" s="2568" t="s">
        <v>2058</v>
      </c>
      <c r="K441" s="1463"/>
      <c r="L441" s="1463"/>
      <c r="M441" s="1463"/>
      <c r="N441" s="1463"/>
      <c r="O441" s="1463"/>
      <c r="P441" s="1463"/>
      <c r="Q441" s="1463"/>
      <c r="R441" s="1463"/>
      <c r="S441" s="1463"/>
      <c r="T441" s="1463"/>
      <c r="U441" s="1463"/>
      <c r="V441" s="1463"/>
      <c r="W441" s="1463"/>
      <c r="X441" s="1463"/>
      <c r="Y441" s="1463"/>
      <c r="Z441" s="2568"/>
      <c r="AA441" s="2569"/>
      <c r="AB441" s="2569"/>
      <c r="AC441" s="1463"/>
      <c r="AD441" s="1463"/>
      <c r="AE441" s="1463"/>
    </row>
    <row r="442" spans="2:31" ht="13.8">
      <c r="B442" s="1463"/>
      <c r="C442" s="1463"/>
      <c r="D442" s="1463"/>
      <c r="E442" s="1463"/>
      <c r="F442" s="1463"/>
      <c r="G442" s="1463"/>
      <c r="H442" s="1469" t="s">
        <v>2143</v>
      </c>
      <c r="I442" s="2568">
        <v>2020</v>
      </c>
      <c r="J442" s="2568" t="s">
        <v>2058</v>
      </c>
      <c r="K442" s="1463"/>
      <c r="L442" s="1463"/>
      <c r="M442" s="1463"/>
      <c r="N442" s="1463"/>
      <c r="O442" s="1463"/>
      <c r="P442" s="1463"/>
      <c r="Q442" s="1463"/>
      <c r="R442" s="1463"/>
      <c r="S442" s="1463"/>
      <c r="T442" s="1463"/>
      <c r="U442" s="1463"/>
      <c r="V442" s="1463"/>
      <c r="W442" s="1463"/>
      <c r="X442" s="1463"/>
      <c r="Y442" s="1463"/>
      <c r="Z442" s="2568"/>
      <c r="AA442" s="2569"/>
      <c r="AB442" s="2569"/>
      <c r="AC442" s="1463"/>
      <c r="AD442" s="1463"/>
      <c r="AE442" s="1463"/>
    </row>
    <row r="443" spans="2:31" ht="13.8">
      <c r="B443" s="1463"/>
      <c r="C443" s="1463"/>
      <c r="D443" s="1463"/>
      <c r="E443" s="1463"/>
      <c r="F443" s="1463"/>
      <c r="G443" s="1463"/>
      <c r="H443" s="1469" t="s">
        <v>2144</v>
      </c>
      <c r="I443" s="2568">
        <v>2020</v>
      </c>
      <c r="J443" s="2568" t="s">
        <v>2058</v>
      </c>
      <c r="K443" s="1463"/>
      <c r="L443" s="1463"/>
      <c r="M443" s="1463"/>
      <c r="N443" s="1463"/>
      <c r="O443" s="1463"/>
      <c r="P443" s="1463"/>
      <c r="Q443" s="1463"/>
      <c r="R443" s="1463"/>
      <c r="S443" s="1463"/>
      <c r="T443" s="1463"/>
      <c r="U443" s="1463"/>
      <c r="V443" s="1463"/>
      <c r="W443" s="1463"/>
      <c r="X443" s="1463"/>
      <c r="Y443" s="1463"/>
      <c r="Z443" s="2568"/>
      <c r="AA443" s="2569"/>
      <c r="AB443" s="2569"/>
      <c r="AC443" s="1463"/>
      <c r="AD443" s="1463"/>
      <c r="AE443" s="1463"/>
    </row>
    <row r="444" spans="2:31" ht="13.8">
      <c r="B444" s="1463"/>
      <c r="C444" s="1463"/>
      <c r="D444" s="1463"/>
      <c r="E444" s="1463"/>
      <c r="F444" s="1463"/>
      <c r="G444" s="1463"/>
      <c r="H444" s="1469" t="s">
        <v>2145</v>
      </c>
      <c r="I444" s="2568">
        <v>2020</v>
      </c>
      <c r="J444" s="2568" t="s">
        <v>2058</v>
      </c>
      <c r="K444" s="1463"/>
      <c r="L444" s="1463"/>
      <c r="M444" s="1463"/>
      <c r="N444" s="1463"/>
      <c r="O444" s="1463"/>
      <c r="P444" s="1463"/>
      <c r="Q444" s="1463"/>
      <c r="R444" s="1463"/>
      <c r="S444" s="1463"/>
      <c r="T444" s="1463"/>
      <c r="U444" s="1463"/>
      <c r="V444" s="1463"/>
      <c r="W444" s="1463"/>
      <c r="X444" s="1463"/>
      <c r="Y444" s="1463"/>
      <c r="Z444" s="2568"/>
      <c r="AA444" s="2569"/>
      <c r="AB444" s="2569"/>
      <c r="AC444" s="1463"/>
      <c r="AD444" s="1463"/>
      <c r="AE444" s="1463"/>
    </row>
    <row r="445" spans="2:31" ht="13.8">
      <c r="B445" s="1463"/>
      <c r="C445" s="1463"/>
      <c r="D445" s="1463"/>
      <c r="E445" s="1463"/>
      <c r="F445" s="1463"/>
      <c r="G445" s="1463"/>
      <c r="H445" s="1469" t="s">
        <v>2146</v>
      </c>
      <c r="I445" s="2568">
        <v>2019</v>
      </c>
      <c r="J445" s="2568" t="s">
        <v>2058</v>
      </c>
      <c r="K445" s="1463"/>
      <c r="L445" s="1463"/>
      <c r="M445" s="1463"/>
      <c r="N445" s="1463"/>
      <c r="O445" s="1463"/>
      <c r="P445" s="1463"/>
      <c r="Q445" s="1463"/>
      <c r="R445" s="1463"/>
      <c r="S445" s="1463"/>
      <c r="T445" s="1463"/>
      <c r="U445" s="1463"/>
      <c r="V445" s="1463"/>
      <c r="W445" s="1463"/>
      <c r="X445" s="1463"/>
      <c r="Y445" s="1463"/>
      <c r="Z445" s="2568"/>
      <c r="AA445" s="2569"/>
      <c r="AB445" s="2569"/>
      <c r="AC445" s="1463"/>
      <c r="AD445" s="1463"/>
      <c r="AE445" s="1463"/>
    </row>
    <row r="446" spans="2:31" ht="13.8">
      <c r="B446" s="1463"/>
      <c r="C446" s="1463"/>
      <c r="D446" s="1463"/>
      <c r="E446" s="1463"/>
      <c r="F446" s="1463"/>
      <c r="G446" s="1463"/>
      <c r="H446" s="1469" t="s">
        <v>2147</v>
      </c>
      <c r="I446" s="2568">
        <v>2020</v>
      </c>
      <c r="J446" s="2568" t="s">
        <v>2058</v>
      </c>
      <c r="K446" s="1463"/>
      <c r="L446" s="1463"/>
      <c r="M446" s="1463"/>
      <c r="N446" s="1463"/>
      <c r="O446" s="1463"/>
      <c r="P446" s="1463"/>
      <c r="Q446" s="1463"/>
      <c r="R446" s="1463"/>
      <c r="S446" s="1463"/>
      <c r="T446" s="1463"/>
      <c r="U446" s="1463"/>
      <c r="V446" s="1463"/>
      <c r="W446" s="1463"/>
      <c r="X446" s="1463"/>
      <c r="Y446" s="1463"/>
      <c r="Z446" s="2568"/>
      <c r="AA446" s="2569"/>
      <c r="AB446" s="2569"/>
      <c r="AC446" s="1463"/>
      <c r="AD446" s="1463"/>
      <c r="AE446" s="1463"/>
    </row>
    <row r="447" spans="2:31" ht="13.8">
      <c r="B447" s="1463"/>
      <c r="C447" s="1463"/>
      <c r="D447" s="1463"/>
      <c r="E447" s="1463"/>
      <c r="F447" s="1463"/>
      <c r="G447" s="1463"/>
      <c r="H447" s="1469" t="s">
        <v>2148</v>
      </c>
      <c r="I447" s="2568">
        <v>2020</v>
      </c>
      <c r="J447" s="2568" t="s">
        <v>2058</v>
      </c>
      <c r="K447" s="1463"/>
      <c r="L447" s="1463"/>
      <c r="M447" s="1463"/>
      <c r="N447" s="1463"/>
      <c r="O447" s="1463"/>
      <c r="P447" s="1463"/>
      <c r="Q447" s="1463"/>
      <c r="R447" s="1463"/>
      <c r="S447" s="1463"/>
      <c r="T447" s="1463"/>
      <c r="U447" s="1463"/>
      <c r="V447" s="1463"/>
      <c r="W447" s="1463"/>
      <c r="X447" s="1463"/>
      <c r="Y447" s="1463"/>
      <c r="Z447" s="2568"/>
      <c r="AA447" s="2569"/>
      <c r="AB447" s="2569"/>
      <c r="AC447" s="1463"/>
      <c r="AD447" s="1463"/>
      <c r="AE447" s="1463"/>
    </row>
    <row r="448" spans="2:31" ht="13.8">
      <c r="B448" s="1463"/>
      <c r="C448" s="1463"/>
      <c r="D448" s="1463"/>
      <c r="E448" s="1463"/>
      <c r="F448" s="1463"/>
      <c r="G448" s="1463"/>
      <c r="H448" s="1469" t="s">
        <v>2149</v>
      </c>
      <c r="I448" s="2568" t="s">
        <v>2054</v>
      </c>
      <c r="J448" s="1467" t="s">
        <v>1129</v>
      </c>
      <c r="K448" s="1463"/>
      <c r="L448" s="1463"/>
      <c r="M448" s="1463"/>
      <c r="N448" s="1463"/>
      <c r="O448" s="1463"/>
      <c r="P448" s="1463"/>
      <c r="Q448" s="1463"/>
      <c r="R448" s="1463"/>
      <c r="S448" s="1463"/>
      <c r="T448" s="1463"/>
      <c r="U448" s="1463"/>
      <c r="V448" s="1463"/>
      <c r="W448" s="1463"/>
      <c r="X448" s="1463"/>
      <c r="Y448" s="1463"/>
      <c r="Z448" s="2568"/>
      <c r="AA448" s="2569"/>
      <c r="AB448" s="2569"/>
      <c r="AC448" s="1463"/>
      <c r="AD448" s="1463"/>
      <c r="AE448" s="1463"/>
    </row>
    <row r="449" spans="2:31" ht="30" customHeight="1">
      <c r="B449" s="1463"/>
      <c r="C449" s="1463"/>
      <c r="D449" s="1463"/>
      <c r="E449" s="1463"/>
      <c r="F449" s="1463"/>
      <c r="G449" s="1463"/>
      <c r="H449" s="1469"/>
      <c r="I449" s="1463"/>
      <c r="J449" s="1463"/>
      <c r="K449" s="1463"/>
      <c r="L449" s="1463"/>
      <c r="M449" s="1463"/>
      <c r="N449" s="1463"/>
      <c r="O449" s="1463"/>
      <c r="P449" s="1463"/>
      <c r="Q449" s="1463"/>
      <c r="R449" s="1463"/>
      <c r="S449" s="1463"/>
      <c r="T449" s="1463"/>
      <c r="U449" s="1463"/>
      <c r="V449" s="1463"/>
      <c r="W449" s="1463"/>
      <c r="X449" s="1463"/>
      <c r="Y449" s="1463"/>
      <c r="Z449" s="1463"/>
      <c r="AA449" s="1463"/>
      <c r="AB449" s="1463"/>
      <c r="AC449" s="1463"/>
      <c r="AD449" s="1463"/>
      <c r="AE449" s="1463"/>
    </row>
    <row r="450" spans="2:31" ht="13.8">
      <c r="B450" s="1463"/>
      <c r="C450" s="1463"/>
      <c r="D450" s="1463"/>
      <c r="E450" s="1463"/>
      <c r="F450" s="1463"/>
      <c r="G450" s="1463"/>
      <c r="H450" s="1463"/>
      <c r="I450" s="1463"/>
      <c r="J450" s="1463"/>
      <c r="K450" s="1463"/>
      <c r="L450" s="1463"/>
      <c r="M450" s="1463"/>
      <c r="N450" s="1463"/>
      <c r="O450" s="1463"/>
      <c r="P450" s="1463"/>
      <c r="Q450" s="1463"/>
      <c r="R450" s="1463"/>
      <c r="S450" s="1463"/>
      <c r="T450" s="1463"/>
      <c r="U450" s="1463"/>
      <c r="V450" s="1463"/>
      <c r="W450" s="1463"/>
      <c r="X450" s="1463"/>
      <c r="Y450" s="1463"/>
      <c r="Z450" s="2568"/>
      <c r="AA450" s="2569"/>
      <c r="AB450" s="2569"/>
      <c r="AC450" s="1463"/>
      <c r="AD450" s="1463"/>
      <c r="AE450" s="1463"/>
    </row>
    <row r="451" spans="2:31" ht="13.8">
      <c r="B451" s="1463"/>
      <c r="C451" s="1463"/>
      <c r="D451" s="1463"/>
      <c r="E451" s="1463"/>
      <c r="F451" s="1463"/>
      <c r="G451" s="1463"/>
      <c r="H451" s="1463"/>
      <c r="I451" s="1463"/>
      <c r="J451" s="1463"/>
      <c r="K451" s="1463"/>
      <c r="L451" s="1463"/>
      <c r="M451" s="1463"/>
      <c r="N451" s="1463"/>
      <c r="O451" s="1463"/>
      <c r="P451" s="1463"/>
      <c r="Q451" s="1463"/>
      <c r="R451" s="1463"/>
      <c r="S451" s="1463"/>
      <c r="T451" s="1463"/>
      <c r="U451" s="1463"/>
      <c r="V451" s="1463"/>
      <c r="W451" s="1463"/>
      <c r="X451" s="1463"/>
      <c r="Y451" s="1463"/>
      <c r="Z451" s="2568"/>
      <c r="AA451" s="2569"/>
      <c r="AB451" s="2569"/>
      <c r="AC451" s="1463"/>
      <c r="AD451" s="1463"/>
      <c r="AE451" s="1463"/>
    </row>
    <row r="452" spans="2:31" ht="13.8">
      <c r="B452" s="1463"/>
      <c r="C452" s="1463"/>
      <c r="D452" s="1463"/>
      <c r="E452" s="1463"/>
      <c r="F452" s="1463"/>
      <c r="G452" s="1463"/>
      <c r="H452" s="1463"/>
      <c r="I452" s="1463"/>
      <c r="J452" s="1463"/>
      <c r="K452" s="1463"/>
      <c r="L452" s="1463"/>
      <c r="M452" s="1463"/>
      <c r="N452" s="1463"/>
      <c r="O452" s="1463"/>
      <c r="P452" s="1463"/>
      <c r="Q452" s="1463"/>
      <c r="R452" s="1463"/>
      <c r="S452" s="1463"/>
      <c r="T452" s="1463"/>
      <c r="U452" s="1463"/>
      <c r="V452" s="1463"/>
      <c r="W452" s="1463"/>
      <c r="X452" s="1463"/>
      <c r="Y452" s="1463"/>
      <c r="Z452" s="2568"/>
      <c r="AA452" s="2569"/>
      <c r="AB452" s="2569"/>
      <c r="AC452" s="1463"/>
      <c r="AD452" s="1463"/>
      <c r="AE452" s="1463"/>
    </row>
    <row r="582" spans="26:28" ht="13.8">
      <c r="Z582" s="1514"/>
      <c r="AA582" s="1514"/>
      <c r="AB582" s="1514"/>
    </row>
    <row r="583" spans="26:28" ht="13.8">
      <c r="Z583" s="1514"/>
      <c r="AA583" s="1514"/>
      <c r="AB583" s="1514"/>
    </row>
    <row r="584" spans="26:28" ht="13.8">
      <c r="Z584" s="1514"/>
      <c r="AA584" s="1514"/>
      <c r="AB584" s="1514"/>
    </row>
    <row r="585" spans="26:28" ht="13.8">
      <c r="Z585" s="1514"/>
      <c r="AA585" s="1514"/>
      <c r="AB585" s="1514"/>
    </row>
    <row r="586" spans="26:28" ht="13.8">
      <c r="Z586" s="1514"/>
      <c r="AA586" s="1514"/>
      <c r="AB586" s="1514"/>
    </row>
    <row r="587" spans="26:28" ht="13.8">
      <c r="Z587" s="1514"/>
      <c r="AA587" s="1514"/>
      <c r="AB587" s="1514"/>
    </row>
    <row r="588" spans="26:28" ht="13.8">
      <c r="Z588" s="1514"/>
      <c r="AA588" s="1514"/>
      <c r="AB588" s="1514"/>
    </row>
    <row r="589" spans="26:28" ht="13.8">
      <c r="Z589" s="1514"/>
      <c r="AA589" s="1514"/>
      <c r="AB589" s="1514"/>
    </row>
    <row r="590" spans="26:28" ht="13.8">
      <c r="Z590" s="1514"/>
      <c r="AA590" s="1514"/>
      <c r="AB590" s="1514"/>
    </row>
    <row r="591" spans="26:28" ht="13.8">
      <c r="Z591" s="1514"/>
      <c r="AA591" s="1514"/>
      <c r="AB591" s="1514"/>
    </row>
    <row r="592" spans="26:28" ht="13.8">
      <c r="Z592" s="1514"/>
      <c r="AA592" s="1514"/>
      <c r="AB592" s="1514"/>
    </row>
    <row r="593" spans="26:28" ht="13.8">
      <c r="Z593" s="1514"/>
      <c r="AA593" s="1514"/>
      <c r="AB593" s="1514"/>
    </row>
    <row r="594" spans="26:28" ht="13.8">
      <c r="Z594" s="1514"/>
      <c r="AA594" s="1514"/>
      <c r="AB594" s="1514"/>
    </row>
    <row r="595" spans="26:28" ht="13.8">
      <c r="Z595" s="1514"/>
      <c r="AA595" s="1514"/>
      <c r="AB595" s="1514"/>
    </row>
    <row r="596" spans="26:28" ht="13.8">
      <c r="Z596" s="1514"/>
      <c r="AA596" s="1514"/>
      <c r="AB596" s="1514"/>
    </row>
    <row r="597" spans="26:28" ht="13.8">
      <c r="Z597" s="1514"/>
      <c r="AA597" s="1514"/>
      <c r="AB597" s="1514"/>
    </row>
    <row r="598" spans="26:28" ht="13.8">
      <c r="Z598" s="1514"/>
      <c r="AA598" s="1514"/>
      <c r="AB598" s="1514"/>
    </row>
    <row r="599" spans="26:28" ht="13.8">
      <c r="Z599" s="1514"/>
      <c r="AA599" s="1514"/>
      <c r="AB599" s="1514"/>
    </row>
    <row r="600" spans="26:28" ht="13.8">
      <c r="Z600" s="1514"/>
      <c r="AA600" s="1514"/>
      <c r="AB600" s="1514"/>
    </row>
    <row r="601" spans="26:28" ht="13.8">
      <c r="Z601" s="1514"/>
      <c r="AA601" s="1514"/>
      <c r="AB601" s="1514"/>
    </row>
    <row r="602" spans="26:28" ht="13.8">
      <c r="Z602" s="1514"/>
      <c r="AA602" s="1514"/>
      <c r="AB602" s="1514"/>
    </row>
    <row r="603" spans="26:28" ht="13.8">
      <c r="Z603" s="1514"/>
      <c r="AA603" s="1514"/>
      <c r="AB603" s="1514"/>
    </row>
    <row r="604" spans="26:28" ht="13.8">
      <c r="Z604" s="1514"/>
      <c r="AA604" s="1514"/>
      <c r="AB604" s="1514"/>
    </row>
    <row r="605" spans="26:28" ht="13.8">
      <c r="Z605" s="1514"/>
      <c r="AA605" s="1514"/>
      <c r="AB605" s="1514"/>
    </row>
    <row r="606" spans="26:28" ht="13.8">
      <c r="Z606" s="1514"/>
      <c r="AA606" s="1514"/>
      <c r="AB606" s="1514"/>
    </row>
    <row r="607" spans="26:28" ht="13.8">
      <c r="Z607" s="1514"/>
      <c r="AA607" s="1514"/>
      <c r="AB607" s="1514"/>
    </row>
    <row r="608" spans="26:28" ht="13.8">
      <c r="Z608" s="1514"/>
      <c r="AA608" s="1514"/>
      <c r="AB608" s="1514"/>
    </row>
    <row r="609" spans="26:28" ht="13.8">
      <c r="Z609" s="1514"/>
      <c r="AA609" s="1514"/>
      <c r="AB609" s="1514"/>
    </row>
    <row r="610" spans="26:28" ht="13.8">
      <c r="Z610" s="1514"/>
      <c r="AA610" s="1514"/>
      <c r="AB610" s="1514"/>
    </row>
    <row r="611" spans="26:28" ht="13.8">
      <c r="Z611" s="1514"/>
      <c r="AA611" s="1514"/>
      <c r="AB611" s="1514"/>
    </row>
    <row r="612" spans="26:28" ht="13.8">
      <c r="Z612" s="1514"/>
      <c r="AA612" s="1514"/>
      <c r="AB612" s="1514"/>
    </row>
    <row r="613" spans="26:28" ht="13.8">
      <c r="Z613" s="1514"/>
      <c r="AA613" s="1514"/>
      <c r="AB613" s="1514"/>
    </row>
    <row r="614" spans="26:28" ht="13.8">
      <c r="Z614" s="1514"/>
      <c r="AA614" s="1514"/>
      <c r="AB614" s="1514"/>
    </row>
    <row r="615" spans="26:28" ht="13.8">
      <c r="Z615" s="1514"/>
      <c r="AA615" s="1514"/>
      <c r="AB615" s="1514"/>
    </row>
    <row r="616" spans="26:28" ht="13.8">
      <c r="Z616" s="1514"/>
      <c r="AA616" s="1514"/>
      <c r="AB616" s="1514"/>
    </row>
    <row r="617" spans="26:28" ht="13.8">
      <c r="Z617" s="1514"/>
      <c r="AA617" s="1514"/>
      <c r="AB617" s="1514"/>
    </row>
    <row r="618" spans="26:28" ht="13.8">
      <c r="Z618" s="1514"/>
      <c r="AA618" s="1514"/>
      <c r="AB618" s="1514"/>
    </row>
    <row r="619" spans="26:28" ht="13.8">
      <c r="Z619" s="1514"/>
      <c r="AA619" s="1514"/>
      <c r="AB619" s="1514"/>
    </row>
    <row r="620" spans="26:28" ht="13.8">
      <c r="Z620" s="1514"/>
      <c r="AA620" s="1514"/>
      <c r="AB620" s="1514"/>
    </row>
    <row r="621" spans="26:28" ht="13.8">
      <c r="Z621" s="1514"/>
      <c r="AA621" s="1514"/>
      <c r="AB621" s="1514"/>
    </row>
    <row r="622" spans="26:28" ht="13.8">
      <c r="Z622" s="1514"/>
      <c r="AA622" s="1514"/>
      <c r="AB622" s="1514"/>
    </row>
    <row r="623" spans="26:28" ht="13.8">
      <c r="Z623" s="1514"/>
      <c r="AA623" s="1514"/>
      <c r="AB623" s="1514"/>
    </row>
    <row r="624" spans="26:28" ht="13.8">
      <c r="Z624" s="1514"/>
      <c r="AA624" s="1514"/>
      <c r="AB624" s="1514"/>
    </row>
    <row r="625" spans="26:28" ht="13.8">
      <c r="Z625" s="1514"/>
      <c r="AA625" s="1514"/>
      <c r="AB625" s="1514"/>
    </row>
    <row r="626" spans="26:28" ht="13.8">
      <c r="Z626" s="1514"/>
      <c r="AA626" s="1514"/>
      <c r="AB626" s="1514"/>
    </row>
    <row r="627" spans="26:28" ht="13.8">
      <c r="Z627" s="1514"/>
      <c r="AA627" s="1514"/>
      <c r="AB627" s="1514"/>
    </row>
    <row r="628" spans="26:28" ht="13.8">
      <c r="Z628" s="1514"/>
      <c r="AA628" s="1514"/>
      <c r="AB628" s="1514"/>
    </row>
    <row r="629" spans="26:28" ht="13.8">
      <c r="Z629" s="1514"/>
      <c r="AA629" s="1514"/>
      <c r="AB629" s="1514"/>
    </row>
    <row r="630" spans="26:28" ht="13.8">
      <c r="Z630" s="1514"/>
      <c r="AA630" s="1514"/>
      <c r="AB630" s="1514"/>
    </row>
    <row r="631" spans="26:28" ht="13.8">
      <c r="Z631" s="1514"/>
      <c r="AA631" s="1514"/>
      <c r="AB631" s="1514"/>
    </row>
    <row r="632" spans="26:28" ht="13.8">
      <c r="Z632" s="1514"/>
      <c r="AA632" s="1514"/>
      <c r="AB632" s="1514"/>
    </row>
    <row r="633" spans="26:28" ht="13.8">
      <c r="Z633" s="1514"/>
      <c r="AA633" s="1514"/>
      <c r="AB633" s="1514"/>
    </row>
    <row r="634" spans="26:28" ht="13.8">
      <c r="Z634" s="1514"/>
      <c r="AA634" s="1514"/>
      <c r="AB634" s="1514"/>
    </row>
    <row r="635" spans="26:28" ht="13.8">
      <c r="Z635" s="1514"/>
      <c r="AA635" s="1514"/>
      <c r="AB635" s="1514"/>
    </row>
    <row r="636" spans="26:28" ht="13.8">
      <c r="Z636" s="1514"/>
      <c r="AA636" s="1514"/>
      <c r="AB636" s="1514"/>
    </row>
    <row r="637" spans="26:28" ht="13.8">
      <c r="Z637" s="1514"/>
      <c r="AA637" s="1514"/>
      <c r="AB637" s="1514"/>
    </row>
    <row r="638" spans="26:28" ht="13.8">
      <c r="Z638" s="1514"/>
      <c r="AA638" s="1514"/>
      <c r="AB638" s="1514"/>
    </row>
    <row r="639" spans="26:28" ht="13.8">
      <c r="Z639" s="1514"/>
      <c r="AA639" s="1514"/>
      <c r="AB639" s="1514"/>
    </row>
    <row r="640" spans="26:28" ht="13.8">
      <c r="Z640" s="1514"/>
      <c r="AA640" s="1514"/>
      <c r="AB640" s="1514"/>
    </row>
    <row r="641" spans="26:28" ht="13.8">
      <c r="Z641" s="1514"/>
      <c r="AA641" s="1514"/>
      <c r="AB641" s="1514"/>
    </row>
    <row r="642" spans="26:28" ht="13.8">
      <c r="Z642" s="1514"/>
      <c r="AA642" s="1514"/>
      <c r="AB642" s="1514"/>
    </row>
    <row r="643" spans="26:28" ht="13.8">
      <c r="Z643" s="1514"/>
      <c r="AA643" s="1514"/>
      <c r="AB643" s="1514"/>
    </row>
    <row r="644" spans="26:28" ht="13.8">
      <c r="Z644" s="1514"/>
      <c r="AA644" s="1514"/>
      <c r="AB644" s="1514"/>
    </row>
    <row r="645" spans="26:28" ht="13.8">
      <c r="Z645" s="1514"/>
      <c r="AA645" s="1514"/>
      <c r="AB645" s="1514"/>
    </row>
    <row r="646" spans="26:28" ht="13.8">
      <c r="Z646" s="1514"/>
      <c r="AA646" s="1514"/>
      <c r="AB646" s="1514"/>
    </row>
    <row r="647" spans="26:28" ht="13.8">
      <c r="Z647" s="1514"/>
      <c r="AA647" s="1514"/>
      <c r="AB647" s="1514"/>
    </row>
    <row r="648" spans="26:28" ht="13.8">
      <c r="Z648" s="1514"/>
      <c r="AA648" s="1514"/>
      <c r="AB648" s="1514"/>
    </row>
    <row r="649" spans="26:28" ht="13.8">
      <c r="Z649" s="1514"/>
      <c r="AA649" s="1514"/>
      <c r="AB649" s="1514"/>
    </row>
    <row r="650" spans="26:28" ht="13.8">
      <c r="Z650" s="1514"/>
      <c r="AA650" s="1514"/>
      <c r="AB650" s="1514"/>
    </row>
    <row r="651" spans="26:28" ht="13.8">
      <c r="Z651" s="1514"/>
      <c r="AA651" s="1514"/>
      <c r="AB651" s="1514"/>
    </row>
    <row r="652" spans="26:28" ht="13.8">
      <c r="Z652" s="1514"/>
      <c r="AA652" s="1514"/>
      <c r="AB652" s="1514"/>
    </row>
    <row r="653" spans="26:28" ht="13.8">
      <c r="Z653" s="1514"/>
      <c r="AA653" s="1514"/>
      <c r="AB653" s="1514"/>
    </row>
    <row r="654" spans="26:28" ht="13.8">
      <c r="Z654" s="1514"/>
      <c r="AA654" s="1514"/>
      <c r="AB654" s="1514"/>
    </row>
    <row r="655" spans="26:28" ht="13.8">
      <c r="Z655" s="1514"/>
      <c r="AA655" s="1514"/>
      <c r="AB655" s="1514"/>
    </row>
    <row r="656" spans="26:28" ht="13.8">
      <c r="Z656" s="1514"/>
      <c r="AA656" s="1514"/>
      <c r="AB656" s="1514"/>
    </row>
    <row r="657" spans="26:28" ht="13.8">
      <c r="Z657" s="1514"/>
      <c r="AA657" s="1514"/>
      <c r="AB657" s="1514"/>
    </row>
    <row r="658" spans="26:28" ht="13.8">
      <c r="Z658" s="1514"/>
      <c r="AA658" s="1514"/>
      <c r="AB658" s="1514"/>
    </row>
    <row r="659" spans="26:28" ht="13.8">
      <c r="Z659" s="1514"/>
      <c r="AA659" s="1514"/>
      <c r="AB659" s="1514"/>
    </row>
    <row r="660" spans="26:28" ht="13.8">
      <c r="Z660" s="1514"/>
      <c r="AA660" s="1514"/>
      <c r="AB660" s="1514"/>
    </row>
    <row r="661" spans="26:28" ht="13.8">
      <c r="Z661" s="1514"/>
      <c r="AA661" s="1514"/>
      <c r="AB661" s="1514"/>
    </row>
    <row r="662" spans="26:28" ht="13.8">
      <c r="Z662" s="1514"/>
      <c r="AA662" s="1514"/>
      <c r="AB662" s="1514"/>
    </row>
    <row r="663" spans="26:28" ht="13.8">
      <c r="Z663" s="1514"/>
      <c r="AA663" s="1514"/>
      <c r="AB663" s="1514"/>
    </row>
    <row r="664" spans="26:28" ht="13.8">
      <c r="Z664" s="1514"/>
      <c r="AA664" s="1514"/>
      <c r="AB664" s="1514"/>
    </row>
    <row r="665" spans="26:28" ht="13.8">
      <c r="Z665" s="1514"/>
      <c r="AA665" s="1514"/>
      <c r="AB665" s="1514"/>
    </row>
    <row r="666" spans="26:28" ht="13.8">
      <c r="Z666" s="1514"/>
      <c r="AA666" s="1514"/>
      <c r="AB666" s="1514"/>
    </row>
    <row r="667" spans="26:28" ht="13.8">
      <c r="Z667" s="1514"/>
      <c r="AA667" s="1514"/>
      <c r="AB667" s="1514"/>
    </row>
    <row r="668" spans="26:28" ht="13.8">
      <c r="Z668" s="1514"/>
      <c r="AA668" s="1514"/>
      <c r="AB668" s="1514"/>
    </row>
    <row r="669" spans="26:28" ht="13.8">
      <c r="Z669" s="1514"/>
      <c r="AA669" s="1514"/>
      <c r="AB669" s="1514"/>
    </row>
    <row r="670" spans="26:28" ht="13.8">
      <c r="Z670" s="1514"/>
      <c r="AA670" s="1514"/>
      <c r="AB670" s="1514"/>
    </row>
    <row r="671" spans="26:28" ht="13.8">
      <c r="Z671" s="1514"/>
      <c r="AA671" s="1514"/>
      <c r="AB671" s="1514"/>
    </row>
    <row r="672" spans="26:28" ht="13.8">
      <c r="Z672" s="1514"/>
      <c r="AA672" s="1514"/>
      <c r="AB672" s="1514"/>
    </row>
    <row r="673" spans="26:28" ht="13.8">
      <c r="Z673" s="1514"/>
      <c r="AA673" s="1514"/>
      <c r="AB673" s="1514"/>
    </row>
    <row r="674" spans="26:28" ht="13.8">
      <c r="Z674" s="1514"/>
      <c r="AA674" s="1514"/>
      <c r="AB674" s="1514"/>
    </row>
    <row r="675" spans="26:28" ht="13.8">
      <c r="Z675" s="1514"/>
      <c r="AA675" s="1514"/>
      <c r="AB675" s="1514"/>
    </row>
    <row r="676" spans="26:28" ht="13.8">
      <c r="Z676" s="1514"/>
      <c r="AA676" s="1514"/>
      <c r="AB676" s="1514"/>
    </row>
    <row r="677" spans="26:28" ht="13.8">
      <c r="Z677" s="1514"/>
      <c r="AA677" s="1514"/>
      <c r="AB677" s="1514"/>
    </row>
    <row r="678" spans="26:28" ht="13.8">
      <c r="Z678" s="1514"/>
      <c r="AA678" s="1514"/>
      <c r="AB678" s="1514"/>
    </row>
    <row r="679" spans="26:28" ht="13.8">
      <c r="Z679" s="1514"/>
      <c r="AA679" s="1514"/>
      <c r="AB679" s="1514"/>
    </row>
    <row r="680" spans="26:28" ht="13.8">
      <c r="Z680" s="1514"/>
      <c r="AA680" s="1514"/>
      <c r="AB680" s="1514"/>
    </row>
    <row r="681" spans="26:28" ht="13.8">
      <c r="Z681" s="1514"/>
      <c r="AA681" s="1514"/>
      <c r="AB681" s="1514"/>
    </row>
    <row r="682" spans="26:28" ht="13.8">
      <c r="Z682" s="1514"/>
      <c r="AA682" s="1514"/>
      <c r="AB682" s="1514"/>
    </row>
    <row r="683" spans="26:28" ht="13.8">
      <c r="Z683" s="1514"/>
      <c r="AA683" s="1514"/>
      <c r="AB683" s="1514"/>
    </row>
    <row r="684" spans="26:28" ht="13.8">
      <c r="Z684" s="1514"/>
      <c r="AA684" s="1514"/>
      <c r="AB684" s="1514"/>
    </row>
    <row r="685" spans="26:28" ht="13.8">
      <c r="Z685" s="1514"/>
      <c r="AA685" s="1514"/>
      <c r="AB685" s="1514"/>
    </row>
    <row r="686" spans="26:28" ht="13.8">
      <c r="Z686" s="1514"/>
      <c r="AA686" s="1514"/>
      <c r="AB686" s="1514"/>
    </row>
    <row r="687" spans="26:28" ht="13.8">
      <c r="Z687" s="1514"/>
      <c r="AA687" s="1514"/>
      <c r="AB687" s="1514"/>
    </row>
    <row r="688" spans="26:28" ht="13.8">
      <c r="Z688" s="1514"/>
      <c r="AA688" s="1514"/>
      <c r="AB688" s="1514"/>
    </row>
    <row r="689" spans="26:28" ht="13.8">
      <c r="Z689" s="1514"/>
      <c r="AA689" s="1514"/>
      <c r="AB689" s="1514"/>
    </row>
    <row r="690" spans="26:28" ht="13.8">
      <c r="Z690" s="1514"/>
      <c r="AA690" s="1514"/>
      <c r="AB690" s="1514"/>
    </row>
    <row r="691" spans="26:28" ht="13.8">
      <c r="Z691" s="1514"/>
      <c r="AA691" s="1514"/>
      <c r="AB691" s="1514"/>
    </row>
    <row r="692" spans="26:28" ht="13.8">
      <c r="Z692" s="1514"/>
      <c r="AA692" s="1514"/>
      <c r="AB692" s="1514"/>
    </row>
    <row r="693" spans="26:28" ht="13.8">
      <c r="Z693" s="1514"/>
      <c r="AA693" s="1514"/>
      <c r="AB693" s="1514"/>
    </row>
    <row r="694" spans="26:28" ht="13.8">
      <c r="Z694" s="1514"/>
      <c r="AA694" s="1514"/>
      <c r="AB694" s="1514"/>
    </row>
    <row r="695" spans="26:28" ht="13.8">
      <c r="Z695" s="1514"/>
      <c r="AA695" s="1514"/>
      <c r="AB695" s="1514"/>
    </row>
    <row r="696" spans="26:28" ht="13.8">
      <c r="Z696" s="1514"/>
      <c r="AA696" s="1514"/>
      <c r="AB696" s="1514"/>
    </row>
    <row r="697" spans="26:28" ht="13.8">
      <c r="Z697" s="1514"/>
      <c r="AA697" s="1514"/>
      <c r="AB697" s="1514"/>
    </row>
    <row r="698" spans="26:28" ht="13.8">
      <c r="Z698" s="1514"/>
      <c r="AA698" s="1514"/>
      <c r="AB698" s="1514"/>
    </row>
    <row r="699" spans="26:28" ht="13.8">
      <c r="Z699" s="1514"/>
      <c r="AA699" s="1514"/>
      <c r="AB699" s="1514"/>
    </row>
    <row r="700" spans="26:28" ht="13.8">
      <c r="Z700" s="1514"/>
      <c r="AA700" s="1514"/>
      <c r="AB700" s="1514"/>
    </row>
    <row r="701" spans="26:28" ht="13.8">
      <c r="Z701" s="1514"/>
      <c r="AA701" s="1514"/>
      <c r="AB701" s="1514"/>
    </row>
    <row r="702" spans="26:28" ht="13.8">
      <c r="Z702" s="1514"/>
      <c r="AA702" s="1514"/>
      <c r="AB702" s="1514"/>
    </row>
    <row r="703" spans="26:28" ht="13.8">
      <c r="Z703" s="1514"/>
      <c r="AA703" s="1514"/>
      <c r="AB703" s="1514"/>
    </row>
    <row r="704" spans="26:28" ht="13.8">
      <c r="Z704" s="1514"/>
      <c r="AA704" s="1514"/>
      <c r="AB704" s="1514"/>
    </row>
    <row r="705" spans="26:28" ht="13.8">
      <c r="Z705" s="1514"/>
      <c r="AA705" s="1514"/>
      <c r="AB705" s="1514"/>
    </row>
    <row r="706" spans="26:28" ht="13.8">
      <c r="Z706" s="1514"/>
      <c r="AA706" s="1514"/>
      <c r="AB706" s="1514"/>
    </row>
    <row r="707" spans="26:28" ht="13.8">
      <c r="Z707" s="1514"/>
      <c r="AA707" s="1514"/>
      <c r="AB707" s="1514"/>
    </row>
    <row r="708" spans="26:28" ht="13.8">
      <c r="Z708" s="1514"/>
      <c r="AA708" s="1514"/>
      <c r="AB708" s="1514"/>
    </row>
    <row r="709" spans="26:28" ht="13.8">
      <c r="Z709" s="1514"/>
      <c r="AA709" s="1514"/>
      <c r="AB709" s="1514"/>
    </row>
    <row r="710" spans="26:28" ht="13.8">
      <c r="Z710" s="1514"/>
      <c r="AA710" s="1514"/>
      <c r="AB710" s="1514"/>
    </row>
    <row r="711" spans="26:28" ht="13.8">
      <c r="Z711" s="1514"/>
      <c r="AA711" s="1514"/>
      <c r="AB711" s="1514"/>
    </row>
    <row r="712" spans="26:28" ht="13.8">
      <c r="Z712" s="1514"/>
      <c r="AA712" s="1514"/>
      <c r="AB712" s="1514"/>
    </row>
    <row r="713" spans="26:28" ht="13.8">
      <c r="Z713" s="1514"/>
      <c r="AA713" s="1514"/>
      <c r="AB713" s="1514"/>
    </row>
    <row r="714" spans="26:28" ht="13.8">
      <c r="Z714" s="1514"/>
      <c r="AA714" s="1514"/>
      <c r="AB714" s="1514"/>
    </row>
    <row r="715" spans="26:28" ht="13.8">
      <c r="Z715" s="1514"/>
      <c r="AA715" s="1514"/>
      <c r="AB715" s="1514"/>
    </row>
    <row r="716" spans="26:28" ht="13.8">
      <c r="Z716" s="1514"/>
      <c r="AA716" s="1514"/>
      <c r="AB716" s="1514"/>
    </row>
    <row r="717" spans="26:28" ht="13.8">
      <c r="Z717" s="1514"/>
      <c r="AA717" s="1514"/>
      <c r="AB717" s="1514"/>
    </row>
    <row r="718" spans="26:28" ht="13.8">
      <c r="Z718" s="1514"/>
      <c r="AA718" s="1514"/>
      <c r="AB718" s="1514"/>
    </row>
    <row r="719" spans="26:28" ht="13.8">
      <c r="Z719" s="1514"/>
      <c r="AA719" s="1514"/>
      <c r="AB719" s="1514"/>
    </row>
    <row r="720" spans="26:28" ht="13.8">
      <c r="Z720" s="1514"/>
      <c r="AA720" s="1514"/>
      <c r="AB720" s="1514"/>
    </row>
    <row r="721" spans="26:28" ht="13.8">
      <c r="Z721" s="1514"/>
      <c r="AA721" s="1514"/>
      <c r="AB721" s="1514"/>
    </row>
    <row r="722" spans="26:28" ht="13.8">
      <c r="Z722" s="1514"/>
      <c r="AA722" s="1514"/>
      <c r="AB722" s="1514"/>
    </row>
    <row r="723" spans="26:28" ht="13.8">
      <c r="Z723" s="1514"/>
      <c r="AA723" s="1514"/>
      <c r="AB723" s="1514"/>
    </row>
    <row r="724" spans="26:28" ht="13.8">
      <c r="Z724" s="1514"/>
      <c r="AA724" s="1514"/>
      <c r="AB724" s="1514"/>
    </row>
    <row r="725" spans="26:28" ht="13.8">
      <c r="Z725" s="1514"/>
      <c r="AA725" s="1514"/>
      <c r="AB725" s="1514"/>
    </row>
    <row r="726" spans="26:28" ht="13.8">
      <c r="Z726" s="1514"/>
      <c r="AA726" s="1514"/>
      <c r="AB726" s="1514"/>
    </row>
    <row r="727" spans="26:28" ht="13.8">
      <c r="Z727" s="1514"/>
      <c r="AA727" s="1514"/>
      <c r="AB727" s="1514"/>
    </row>
    <row r="728" spans="26:28" ht="13.8">
      <c r="Z728" s="1514"/>
      <c r="AA728" s="1514"/>
      <c r="AB728" s="1514"/>
    </row>
    <row r="729" spans="26:28" ht="13.8">
      <c r="Z729" s="1514"/>
      <c r="AA729" s="1514"/>
      <c r="AB729" s="1514"/>
    </row>
    <row r="730" spans="26:28" ht="13.8">
      <c r="Z730" s="1514"/>
      <c r="AA730" s="1514"/>
      <c r="AB730" s="1514"/>
    </row>
    <row r="731" spans="26:28" ht="13.8">
      <c r="Z731" s="1514"/>
      <c r="AA731" s="1514"/>
      <c r="AB731" s="1514"/>
    </row>
    <row r="732" spans="26:28" ht="13.8">
      <c r="Z732" s="1514"/>
      <c r="AA732" s="1514"/>
      <c r="AB732" s="1514"/>
    </row>
    <row r="733" spans="26:28" ht="13.8">
      <c r="Z733" s="1514"/>
      <c r="AA733" s="1514"/>
      <c r="AB733" s="1514"/>
    </row>
    <row r="734" spans="26:28" ht="13.8">
      <c r="Z734" s="1514"/>
      <c r="AA734" s="1514"/>
      <c r="AB734" s="1514"/>
    </row>
    <row r="735" spans="26:28" ht="13.8">
      <c r="Z735" s="1514"/>
      <c r="AA735" s="1514"/>
      <c r="AB735" s="1514"/>
    </row>
    <row r="736" spans="26:28" ht="13.8">
      <c r="Z736" s="1514"/>
      <c r="AA736" s="1514"/>
      <c r="AB736" s="1514"/>
    </row>
    <row r="737" spans="26:28" ht="13.8">
      <c r="Z737" s="1514"/>
      <c r="AA737" s="1514"/>
      <c r="AB737" s="1514"/>
    </row>
    <row r="738" spans="26:28" ht="13.8">
      <c r="Z738" s="1514"/>
      <c r="AA738" s="1514"/>
      <c r="AB738" s="1514"/>
    </row>
    <row r="739" spans="26:28" ht="13.8">
      <c r="Z739" s="1514"/>
      <c r="AA739" s="1514"/>
      <c r="AB739" s="1514"/>
    </row>
    <row r="740" spans="26:28" ht="13.8">
      <c r="Z740" s="1514"/>
      <c r="AA740" s="1514"/>
      <c r="AB740" s="1514"/>
    </row>
    <row r="741" spans="26:28" ht="13.8">
      <c r="Z741" s="1514"/>
      <c r="AA741" s="1514"/>
      <c r="AB741" s="1514"/>
    </row>
    <row r="742" spans="26:28" ht="13.8">
      <c r="Z742" s="1514"/>
      <c r="AA742" s="1514"/>
      <c r="AB742" s="1514"/>
    </row>
    <row r="743" spans="26:28" ht="13.8">
      <c r="Z743" s="1514"/>
      <c r="AA743" s="1514"/>
      <c r="AB743" s="1514"/>
    </row>
    <row r="744" spans="26:28" ht="13.8">
      <c r="Z744" s="1514"/>
      <c r="AA744" s="1514"/>
      <c r="AB744" s="1514"/>
    </row>
    <row r="745" spans="26:28" ht="13.8">
      <c r="Z745" s="1514"/>
      <c r="AA745" s="1514"/>
      <c r="AB745" s="1514"/>
    </row>
    <row r="746" spans="26:28" ht="13.8">
      <c r="Z746" s="1514"/>
      <c r="AA746" s="1514"/>
      <c r="AB746" s="1514"/>
    </row>
    <row r="747" spans="26:28" ht="13.8">
      <c r="Z747" s="1514"/>
      <c r="AA747" s="1514"/>
      <c r="AB747" s="1514"/>
    </row>
    <row r="748" spans="26:28" ht="13.8">
      <c r="Z748" s="1514"/>
      <c r="AA748" s="1514"/>
      <c r="AB748" s="1514"/>
    </row>
    <row r="749" spans="26:28" ht="13.8">
      <c r="Z749" s="1514"/>
      <c r="AA749" s="1514"/>
      <c r="AB749" s="1514"/>
    </row>
    <row r="750" spans="26:28" ht="13.8">
      <c r="Z750" s="1514"/>
      <c r="AA750" s="1514"/>
      <c r="AB750" s="1514"/>
    </row>
    <row r="751" spans="26:28" ht="13.8">
      <c r="Z751" s="1514"/>
      <c r="AA751" s="1514"/>
      <c r="AB751" s="1514"/>
    </row>
    <row r="752" spans="26:28" ht="13.8">
      <c r="Z752" s="1514"/>
      <c r="AA752" s="1514"/>
      <c r="AB752" s="1514"/>
    </row>
    <row r="753" spans="26:28" ht="13.8">
      <c r="Z753" s="1514"/>
      <c r="AA753" s="1514"/>
      <c r="AB753" s="1514"/>
    </row>
    <row r="754" spans="26:28" ht="13.8">
      <c r="Z754" s="1514"/>
      <c r="AA754" s="1514"/>
      <c r="AB754" s="1514"/>
    </row>
    <row r="755" spans="26:28" ht="13.8">
      <c r="Z755" s="1514"/>
      <c r="AA755" s="1514"/>
      <c r="AB755" s="1514"/>
    </row>
    <row r="756" spans="26:28" ht="13.8">
      <c r="Z756" s="1514"/>
      <c r="AA756" s="1514"/>
      <c r="AB756" s="1514"/>
    </row>
    <row r="757" spans="26:28" ht="13.8">
      <c r="Z757" s="1514"/>
      <c r="AA757" s="1514"/>
      <c r="AB757" s="1514"/>
    </row>
    <row r="758" spans="26:28" ht="13.8">
      <c r="Z758" s="1514"/>
      <c r="AA758" s="1514"/>
      <c r="AB758" s="1514"/>
    </row>
    <row r="759" spans="26:28" ht="13.8">
      <c r="Z759" s="1514"/>
      <c r="AA759" s="1514"/>
      <c r="AB759" s="1514"/>
    </row>
    <row r="760" spans="26:28" ht="13.8">
      <c r="Z760" s="1514"/>
      <c r="AA760" s="1514"/>
      <c r="AB760" s="1514"/>
    </row>
    <row r="761" spans="26:28" ht="13.8">
      <c r="Z761" s="1514"/>
      <c r="AA761" s="1514"/>
      <c r="AB761" s="1514"/>
    </row>
    <row r="762" spans="26:28" ht="13.8">
      <c r="Z762" s="1514"/>
      <c r="AA762" s="1514"/>
      <c r="AB762" s="1514"/>
    </row>
    <row r="763" spans="26:28" ht="13.8">
      <c r="Z763" s="1514"/>
      <c r="AA763" s="1514"/>
      <c r="AB763" s="1514"/>
    </row>
    <row r="764" spans="26:28" ht="13.8">
      <c r="Z764" s="1514"/>
      <c r="AA764" s="1514"/>
      <c r="AB764" s="1514"/>
    </row>
    <row r="765" spans="26:28" ht="13.8">
      <c r="Z765" s="1514"/>
      <c r="AA765" s="1514"/>
      <c r="AB765" s="1514"/>
    </row>
    <row r="766" spans="26:28" ht="13.8">
      <c r="Z766" s="1514"/>
      <c r="AA766" s="1514"/>
      <c r="AB766" s="1514"/>
    </row>
    <row r="767" spans="26:28" ht="13.8">
      <c r="Z767" s="1514"/>
      <c r="AA767" s="1514"/>
      <c r="AB767" s="1514"/>
    </row>
    <row r="768" spans="26:28" ht="13.8">
      <c r="Z768" s="1514"/>
      <c r="AA768" s="1514"/>
      <c r="AB768" s="1514"/>
    </row>
    <row r="769" spans="26:28" ht="13.8">
      <c r="Z769" s="1514"/>
      <c r="AA769" s="1514"/>
      <c r="AB769" s="1514"/>
    </row>
    <row r="770" spans="26:28" ht="13.8">
      <c r="Z770" s="1514"/>
      <c r="AA770" s="1514"/>
      <c r="AB770" s="1514"/>
    </row>
  </sheetData>
  <sheetProtection algorithmName="SHA-512" hashValue="3KRFdd7nwx44XEzjGpeyDX8do/Fm0yYcbVBSEpnrI4L2GHMN+kqX7rjRMqqVUxM1YCKsM43axLBLWAxUUOa1ug==" saltValue="zlppH5FN7tQzm87d4FWYgg==" spinCount="100000" sheet="1" objects="1" scenarios="1" formatRows="0"/>
  <mergeCells count="381">
    <mergeCell ref="AC6:AQ6"/>
    <mergeCell ref="AD58:AG58"/>
    <mergeCell ref="AD57:AG57"/>
    <mergeCell ref="AD56:AG56"/>
    <mergeCell ref="AD55:AG55"/>
    <mergeCell ref="E150:F150"/>
    <mergeCell ref="T150:AB150"/>
    <mergeCell ref="G150:S150"/>
    <mergeCell ref="B150:D150"/>
    <mergeCell ref="B29:X29"/>
    <mergeCell ref="C33:X33"/>
    <mergeCell ref="A35:AB35"/>
    <mergeCell ref="C15:E15"/>
    <mergeCell ref="C16:E16"/>
    <mergeCell ref="B27:X27"/>
    <mergeCell ref="B25:T25"/>
    <mergeCell ref="D21:Z21"/>
    <mergeCell ref="G15:L16"/>
    <mergeCell ref="M15:Z15"/>
    <mergeCell ref="M16:Z16"/>
    <mergeCell ref="T32:Z32"/>
    <mergeCell ref="C30:U30"/>
    <mergeCell ref="Y44:AB44"/>
    <mergeCell ref="B40:X40"/>
    <mergeCell ref="Y41:AB41"/>
    <mergeCell ref="Y42:AB42"/>
    <mergeCell ref="Y43:AB43"/>
    <mergeCell ref="T41:W41"/>
    <mergeCell ref="T42:W42"/>
    <mergeCell ref="A1:AB1"/>
    <mergeCell ref="A3:X4"/>
    <mergeCell ref="B6:G6"/>
    <mergeCell ref="C12:C13"/>
    <mergeCell ref="A10:B13"/>
    <mergeCell ref="X12:Z13"/>
    <mergeCell ref="X11:Z11"/>
    <mergeCell ref="D12:D13"/>
    <mergeCell ref="E12:E13"/>
    <mergeCell ref="C10:E10"/>
    <mergeCell ref="U11:W13"/>
    <mergeCell ref="M12:T13"/>
    <mergeCell ref="M11:T11"/>
    <mergeCell ref="G11:L13"/>
    <mergeCell ref="T43:W43"/>
    <mergeCell ref="G18:L19"/>
    <mergeCell ref="M18:Z18"/>
    <mergeCell ref="M19:Z19"/>
    <mergeCell ref="T44:W44"/>
    <mergeCell ref="Y48:AB48"/>
    <mergeCell ref="Y49:AB49"/>
    <mergeCell ref="Y50:AB50"/>
    <mergeCell ref="Y45:AB45"/>
    <mergeCell ref="Y46:AB46"/>
    <mergeCell ref="Y47:AB47"/>
    <mergeCell ref="T45:W45"/>
    <mergeCell ref="T46:W46"/>
    <mergeCell ref="T47:W47"/>
    <mergeCell ref="T48:W48"/>
    <mergeCell ref="T49:W49"/>
    <mergeCell ref="T50:W50"/>
    <mergeCell ref="Y53:AB53"/>
    <mergeCell ref="AH53:AM53"/>
    <mergeCell ref="Y56:AB56"/>
    <mergeCell ref="Y51:AB51"/>
    <mergeCell ref="Y52:AB52"/>
    <mergeCell ref="T51:W51"/>
    <mergeCell ref="T52:W52"/>
    <mergeCell ref="T53:W53"/>
    <mergeCell ref="T55:W55"/>
    <mergeCell ref="T56:W56"/>
    <mergeCell ref="Y57:AB57"/>
    <mergeCell ref="AH57:AI57"/>
    <mergeCell ref="AJ57:AK57"/>
    <mergeCell ref="AL57:AM57"/>
    <mergeCell ref="Y58:AB58"/>
    <mergeCell ref="AH58:AI58"/>
    <mergeCell ref="AJ58:AK58"/>
    <mergeCell ref="AL58:AM58"/>
    <mergeCell ref="T57:W57"/>
    <mergeCell ref="T58:W58"/>
    <mergeCell ref="A114:AB114"/>
    <mergeCell ref="A116:AB116"/>
    <mergeCell ref="A125:AB125"/>
    <mergeCell ref="A131:AB131"/>
    <mergeCell ref="A66:AB66"/>
    <mergeCell ref="A68:AB68"/>
    <mergeCell ref="A78:AB78"/>
    <mergeCell ref="B83:X83"/>
    <mergeCell ref="A93:AB93"/>
    <mergeCell ref="C87:X87"/>
    <mergeCell ref="T109:U109"/>
    <mergeCell ref="T110:U110"/>
    <mergeCell ref="T111:U111"/>
    <mergeCell ref="T112:U112"/>
    <mergeCell ref="I118:W119"/>
    <mergeCell ref="V123:W123"/>
    <mergeCell ref="V121:W121"/>
    <mergeCell ref="C122:M122"/>
    <mergeCell ref="G149:H149"/>
    <mergeCell ref="X149:Y149"/>
    <mergeCell ref="A133:AB133"/>
    <mergeCell ref="A140:AB140"/>
    <mergeCell ref="A142:AB142"/>
    <mergeCell ref="AA147:AB148"/>
    <mergeCell ref="G148:H148"/>
    <mergeCell ref="X148:Y148"/>
    <mergeCell ref="U148:W148"/>
    <mergeCell ref="U149:W149"/>
    <mergeCell ref="Q148:T148"/>
    <mergeCell ref="Q149:T149"/>
    <mergeCell ref="I148:P148"/>
    <mergeCell ref="I149:P149"/>
    <mergeCell ref="AD215:AG215"/>
    <mergeCell ref="AD233:AG233"/>
    <mergeCell ref="AD247:AG247"/>
    <mergeCell ref="A263:AB263"/>
    <mergeCell ref="A265:AB265"/>
    <mergeCell ref="Y260:AB260"/>
    <mergeCell ref="A251:AB251"/>
    <mergeCell ref="A253:AB253"/>
    <mergeCell ref="S257:U258"/>
    <mergeCell ref="K258:R258"/>
    <mergeCell ref="F258:J258"/>
    <mergeCell ref="F259:J259"/>
    <mergeCell ref="S221:AB221"/>
    <mergeCell ref="M221:R221"/>
    <mergeCell ref="E221:L221"/>
    <mergeCell ref="A228:AB228"/>
    <mergeCell ref="Y225:AB225"/>
    <mergeCell ref="Y226:AB226"/>
    <mergeCell ref="Y222:AB222"/>
    <mergeCell ref="B221:C221"/>
    <mergeCell ref="K260:R260"/>
    <mergeCell ref="F260:J260"/>
    <mergeCell ref="S259:U259"/>
    <mergeCell ref="S260:U260"/>
    <mergeCell ref="AD154:AD156"/>
    <mergeCell ref="AD157:AD159"/>
    <mergeCell ref="C159:T159"/>
    <mergeCell ref="AD183:AG183"/>
    <mergeCell ref="E172:F172"/>
    <mergeCell ref="E174:F174"/>
    <mergeCell ref="E175:F175"/>
    <mergeCell ref="E176:F176"/>
    <mergeCell ref="A178:AB178"/>
    <mergeCell ref="A180:AB180"/>
    <mergeCell ref="Z174:AA174"/>
    <mergeCell ref="Z175:AA175"/>
    <mergeCell ref="Z176:AA176"/>
    <mergeCell ref="Z173:AA173"/>
    <mergeCell ref="E173:F173"/>
    <mergeCell ref="A173:B173"/>
    <mergeCell ref="A174:B174"/>
    <mergeCell ref="A175:B175"/>
    <mergeCell ref="A176:B176"/>
    <mergeCell ref="AA287:AB287"/>
    <mergeCell ref="X288:Y288"/>
    <mergeCell ref="AA288:AB288"/>
    <mergeCell ref="C287:E287"/>
    <mergeCell ref="C288:E288"/>
    <mergeCell ref="C289:E289"/>
    <mergeCell ref="C290:E290"/>
    <mergeCell ref="F287:S287"/>
    <mergeCell ref="V287:W287"/>
    <mergeCell ref="F289:S289"/>
    <mergeCell ref="F290:S290"/>
    <mergeCell ref="T290:U290"/>
    <mergeCell ref="X287:Y287"/>
    <mergeCell ref="T289:U289"/>
    <mergeCell ref="F288:S288"/>
    <mergeCell ref="Y355:AB355"/>
    <mergeCell ref="B356:C356"/>
    <mergeCell ref="Y356:AB356"/>
    <mergeCell ref="A311:AB311"/>
    <mergeCell ref="A313:AB313"/>
    <mergeCell ref="A320:AB320"/>
    <mergeCell ref="A322:AB322"/>
    <mergeCell ref="J326:X326"/>
    <mergeCell ref="H337:T338"/>
    <mergeCell ref="U339:W340"/>
    <mergeCell ref="H339:T340"/>
    <mergeCell ref="B338:F338"/>
    <mergeCell ref="D356:G356"/>
    <mergeCell ref="U356:W356"/>
    <mergeCell ref="H356:T356"/>
    <mergeCell ref="U352:V352"/>
    <mergeCell ref="U353:V353"/>
    <mergeCell ref="H352:T352"/>
    <mergeCell ref="H353:T353"/>
    <mergeCell ref="U350:V350"/>
    <mergeCell ref="E342:T342"/>
    <mergeCell ref="B340:E340"/>
    <mergeCell ref="B341:E341"/>
    <mergeCell ref="U348:V348"/>
    <mergeCell ref="B357:C357"/>
    <mergeCell ref="Y357:AB357"/>
    <mergeCell ref="B358:C358"/>
    <mergeCell ref="Y358:AB358"/>
    <mergeCell ref="D357:G357"/>
    <mergeCell ref="D358:G358"/>
    <mergeCell ref="U357:W357"/>
    <mergeCell ref="U358:W358"/>
    <mergeCell ref="H357:T357"/>
    <mergeCell ref="H358:T358"/>
    <mergeCell ref="B359:C359"/>
    <mergeCell ref="Y359:AB359"/>
    <mergeCell ref="B360:C360"/>
    <mergeCell ref="Y360:AB360"/>
    <mergeCell ref="D359:G359"/>
    <mergeCell ref="D360:G360"/>
    <mergeCell ref="U359:W359"/>
    <mergeCell ref="U360:W360"/>
    <mergeCell ref="H359:T359"/>
    <mergeCell ref="H360:T360"/>
    <mergeCell ref="B361:C361"/>
    <mergeCell ref="Y361:AB361"/>
    <mergeCell ref="B362:C362"/>
    <mergeCell ref="Y362:AB362"/>
    <mergeCell ref="D361:G361"/>
    <mergeCell ref="D362:G362"/>
    <mergeCell ref="U361:W361"/>
    <mergeCell ref="U362:W362"/>
    <mergeCell ref="H361:T361"/>
    <mergeCell ref="H362:T362"/>
    <mergeCell ref="B363:C363"/>
    <mergeCell ref="Y363:AB363"/>
    <mergeCell ref="B364:C364"/>
    <mergeCell ref="Y364:AB364"/>
    <mergeCell ref="D363:G363"/>
    <mergeCell ref="D364:G364"/>
    <mergeCell ref="U363:W363"/>
    <mergeCell ref="U364:W364"/>
    <mergeCell ref="H363:T363"/>
    <mergeCell ref="H364:T364"/>
    <mergeCell ref="A370:AB370"/>
    <mergeCell ref="AC371:AR377"/>
    <mergeCell ref="A377:AB377"/>
    <mergeCell ref="A378:AB378"/>
    <mergeCell ref="BH385:BO385"/>
    <mergeCell ref="BH386:BK386"/>
    <mergeCell ref="BL386:BO386"/>
    <mergeCell ref="B365:C365"/>
    <mergeCell ref="Y365:AB365"/>
    <mergeCell ref="A368:AB368"/>
    <mergeCell ref="D365:G365"/>
    <mergeCell ref="U365:W365"/>
    <mergeCell ref="H365:T365"/>
    <mergeCell ref="Q366:U366"/>
    <mergeCell ref="V366:W366"/>
    <mergeCell ref="F366:L366"/>
    <mergeCell ref="B367:J367"/>
    <mergeCell ref="BN388:BO388"/>
    <mergeCell ref="AW389:AZ389"/>
    <mergeCell ref="AW395:AZ396"/>
    <mergeCell ref="H398:J398"/>
    <mergeCell ref="AS388:AT388"/>
    <mergeCell ref="AU388:AV388"/>
    <mergeCell ref="AW388:AZ388"/>
    <mergeCell ref="BH388:BI388"/>
    <mergeCell ref="BJ388:BK388"/>
    <mergeCell ref="BL388:BM388"/>
    <mergeCell ref="Z185:AB185"/>
    <mergeCell ref="Z186:AB186"/>
    <mergeCell ref="Z189:AB189"/>
    <mergeCell ref="A210:AB210"/>
    <mergeCell ref="Z187:AB187"/>
    <mergeCell ref="Z188:AB188"/>
    <mergeCell ref="Y223:AB223"/>
    <mergeCell ref="Y224:AB224"/>
    <mergeCell ref="A212:AB212"/>
    <mergeCell ref="U349:V349"/>
    <mergeCell ref="U345:V345"/>
    <mergeCell ref="U344:V344"/>
    <mergeCell ref="U346:V346"/>
    <mergeCell ref="U347:V347"/>
    <mergeCell ref="X289:Y289"/>
    <mergeCell ref="AA289:AB289"/>
    <mergeCell ref="V216:W216"/>
    <mergeCell ref="V217:W217"/>
    <mergeCell ref="V218:W218"/>
    <mergeCell ref="V219:W219"/>
    <mergeCell ref="V222:X222"/>
    <mergeCell ref="S222:U222"/>
    <mergeCell ref="V223:X223"/>
    <mergeCell ref="V226:X226"/>
    <mergeCell ref="V225:X225"/>
    <mergeCell ref="V224:X224"/>
    <mergeCell ref="A230:AB230"/>
    <mergeCell ref="X290:Y290"/>
    <mergeCell ref="AA290:AB290"/>
    <mergeCell ref="E222:F222"/>
    <mergeCell ref="G226:L226"/>
    <mergeCell ref="U343:V343"/>
    <mergeCell ref="U342:V342"/>
    <mergeCell ref="C62:F62"/>
    <mergeCell ref="T99:U99"/>
    <mergeCell ref="T102:U102"/>
    <mergeCell ref="T103:U103"/>
    <mergeCell ref="T108:U108"/>
    <mergeCell ref="T104:U104"/>
    <mergeCell ref="T105:U105"/>
    <mergeCell ref="T106:U106"/>
    <mergeCell ref="B86:O86"/>
    <mergeCell ref="C63:X63"/>
    <mergeCell ref="C64:X64"/>
    <mergeCell ref="A95:AB95"/>
    <mergeCell ref="U85:V85"/>
    <mergeCell ref="U86:V86"/>
    <mergeCell ref="T84:V84"/>
    <mergeCell ref="T151:AB151"/>
    <mergeCell ref="B151:D151"/>
    <mergeCell ref="E151:F151"/>
    <mergeCell ref="G151:S151"/>
    <mergeCell ref="U169:W169"/>
    <mergeCell ref="G169:S169"/>
    <mergeCell ref="Z168:AA170"/>
    <mergeCell ref="A171:B171"/>
    <mergeCell ref="A172:B172"/>
    <mergeCell ref="E171:F171"/>
    <mergeCell ref="A161:AB161"/>
    <mergeCell ref="A163:AB163"/>
    <mergeCell ref="X168:Y170"/>
    <mergeCell ref="C154:T154"/>
    <mergeCell ref="T168:T170"/>
    <mergeCell ref="K259:R259"/>
    <mergeCell ref="A329:AB329"/>
    <mergeCell ref="A331:AB331"/>
    <mergeCell ref="A292:AB292"/>
    <mergeCell ref="A294:AB294"/>
    <mergeCell ref="A302:AB302"/>
    <mergeCell ref="H306:X306"/>
    <mergeCell ref="B308:AB308"/>
    <mergeCell ref="Z171:AA171"/>
    <mergeCell ref="Z172:AA172"/>
    <mergeCell ref="T288:U288"/>
    <mergeCell ref="Y236:AB236"/>
    <mergeCell ref="A242:AB242"/>
    <mergeCell ref="A244:AB244"/>
    <mergeCell ref="X285:Y286"/>
    <mergeCell ref="AA285:AB286"/>
    <mergeCell ref="M222:R222"/>
    <mergeCell ref="M223:R223"/>
    <mergeCell ref="M224:R224"/>
    <mergeCell ref="M225:R225"/>
    <mergeCell ref="M226:R226"/>
    <mergeCell ref="S223:U223"/>
    <mergeCell ref="S224:U224"/>
    <mergeCell ref="S225:U225"/>
    <mergeCell ref="S226:U226"/>
    <mergeCell ref="E223:F223"/>
    <mergeCell ref="G222:L222"/>
    <mergeCell ref="G223:L223"/>
    <mergeCell ref="G224:L224"/>
    <mergeCell ref="E225:F225"/>
    <mergeCell ref="E224:F224"/>
    <mergeCell ref="E226:F226"/>
    <mergeCell ref="G225:L225"/>
    <mergeCell ref="A278:AB278"/>
    <mergeCell ref="A280:AB280"/>
    <mergeCell ref="X171:Y171"/>
    <mergeCell ref="X172:Y172"/>
    <mergeCell ref="X173:Y173"/>
    <mergeCell ref="X174:Y174"/>
    <mergeCell ref="X175:Y175"/>
    <mergeCell ref="X176:Y176"/>
    <mergeCell ref="E347:O347"/>
    <mergeCell ref="U233:W233"/>
    <mergeCell ref="F247:T247"/>
    <mergeCell ref="B248:G248"/>
    <mergeCell ref="H299:S299"/>
    <mergeCell ref="O298:S298"/>
    <mergeCell ref="H298:N298"/>
    <mergeCell ref="B317:D317"/>
    <mergeCell ref="B318:D318"/>
    <mergeCell ref="E318:S318"/>
    <mergeCell ref="T317:X317"/>
    <mergeCell ref="T318:X318"/>
    <mergeCell ref="V288:W288"/>
    <mergeCell ref="V289:W289"/>
    <mergeCell ref="V290:W290"/>
    <mergeCell ref="T287:U287"/>
  </mergeCells>
  <conditionalFormatting sqref="L120 N120:S120 V120">
    <cfRule type="containsText" dxfId="81" priority="76" operator="containsText" text="&lt;&lt; Select Election or Income Averaging &gt;&gt;">
      <formula>NOT(ISERROR(SEARCH("&lt;&lt; Select Election or Income Averaging &gt;&gt;",L120)))</formula>
    </cfRule>
  </conditionalFormatting>
  <conditionalFormatting sqref="L283:R283 T283">
    <cfRule type="cellIs" dxfId="80" priority="31" stopIfTrue="1" operator="equal">
      <formula>"* * Check Score! * *"</formula>
    </cfRule>
  </conditionalFormatting>
  <conditionalFormatting sqref="X25:X26 X355:X365">
    <cfRule type="cellIs" dxfId="79" priority="83" stopIfTrue="1" operator="equal">
      <formula>"* * Check Score! * *"</formula>
    </cfRule>
  </conditionalFormatting>
  <conditionalFormatting sqref="X28">
    <cfRule type="cellIs" dxfId="78" priority="80" stopIfTrue="1" operator="equal">
      <formula>"* * Check Score! * *"</formula>
    </cfRule>
  </conditionalFormatting>
  <conditionalFormatting sqref="X39">
    <cfRule type="cellIs" dxfId="77" priority="82" stopIfTrue="1" operator="equal">
      <formula>"* * Check Score! * *"</formula>
    </cfRule>
  </conditionalFormatting>
  <conditionalFormatting sqref="X60:X62">
    <cfRule type="cellIs" dxfId="76" priority="71" stopIfTrue="1" operator="equal">
      <formula>"* * Check Score! * *"</formula>
    </cfRule>
  </conditionalFormatting>
  <conditionalFormatting sqref="X101">
    <cfRule type="cellIs" dxfId="75" priority="70" stopIfTrue="1" operator="equal">
      <formula>"* * Check Score! * *"</formula>
    </cfRule>
  </conditionalFormatting>
  <conditionalFormatting sqref="X104:X106">
    <cfRule type="cellIs" dxfId="74" priority="67" stopIfTrue="1" operator="equal">
      <formula>"* * Check Score! * *"</formula>
    </cfRule>
  </conditionalFormatting>
  <conditionalFormatting sqref="X108:X112">
    <cfRule type="cellIs" dxfId="73" priority="68" stopIfTrue="1" operator="equal">
      <formula>"* * Check Score! * *"</formula>
    </cfRule>
  </conditionalFormatting>
  <conditionalFormatting sqref="X121:X122">
    <cfRule type="cellIs" dxfId="72" priority="63" stopIfTrue="1" operator="equal">
      <formula>"* * Check Score! * *"</formula>
    </cfRule>
  </conditionalFormatting>
  <conditionalFormatting sqref="X137">
    <cfRule type="cellIs" dxfId="71" priority="4" stopIfTrue="1" operator="equal">
      <formula>"* * Check Score! * *"</formula>
    </cfRule>
  </conditionalFormatting>
  <conditionalFormatting sqref="X153:X154">
    <cfRule type="cellIs" dxfId="70" priority="11" stopIfTrue="1" operator="equal">
      <formula>"* * Check Score! * *"</formula>
    </cfRule>
  </conditionalFormatting>
  <conditionalFormatting sqref="X157:X159">
    <cfRule type="cellIs" dxfId="69" priority="57" stopIfTrue="1" operator="equal">
      <formula>"* * Check Score! * *"</formula>
    </cfRule>
  </conditionalFormatting>
  <conditionalFormatting sqref="X191:X192">
    <cfRule type="cellIs" dxfId="68" priority="55" stopIfTrue="1" operator="equal">
      <formula>"* * Check Score! * *"</formula>
    </cfRule>
  </conditionalFormatting>
  <conditionalFormatting sqref="X198">
    <cfRule type="cellIs" dxfId="67" priority="53" stopIfTrue="1" operator="equal">
      <formula>"* * Check Score! * *"</formula>
    </cfRule>
  </conditionalFormatting>
  <conditionalFormatting sqref="X202:X204">
    <cfRule type="cellIs" dxfId="66" priority="48" stopIfTrue="1" operator="equal">
      <formula>"* * Check Score! * *"</formula>
    </cfRule>
  </conditionalFormatting>
  <conditionalFormatting sqref="X215">
    <cfRule type="cellIs" dxfId="65" priority="47" stopIfTrue="1" operator="equal">
      <formula>"* * Check Score! * *"</formula>
    </cfRule>
  </conditionalFormatting>
  <conditionalFormatting sqref="X239:X240">
    <cfRule type="cellIs" dxfId="64" priority="32" stopIfTrue="1" operator="equal">
      <formula>"* * Check Score! * *"</formula>
    </cfRule>
  </conditionalFormatting>
  <conditionalFormatting sqref="X298:X299">
    <cfRule type="cellIs" dxfId="63" priority="29" stopIfTrue="1" operator="equal">
      <formula>"* * Check Score! * *"</formula>
    </cfRule>
  </conditionalFormatting>
  <conditionalFormatting sqref="X307">
    <cfRule type="cellIs" dxfId="62" priority="28" stopIfTrue="1" operator="equal">
      <formula>"* * Check Score! * *"</formula>
    </cfRule>
  </conditionalFormatting>
  <conditionalFormatting sqref="X309">
    <cfRule type="cellIs" dxfId="61" priority="27" stopIfTrue="1" operator="equal">
      <formula>"* * Check Score! * *"</formula>
    </cfRule>
  </conditionalFormatting>
  <conditionalFormatting sqref="Z325:Z326">
    <cfRule type="cellIs" dxfId="60" priority="86" stopIfTrue="1" operator="equal">
      <formula>"* * Check Score! * *"</formula>
    </cfRule>
  </conditionalFormatting>
  <conditionalFormatting sqref="AA121:AA123">
    <cfRule type="cellIs" dxfId="59" priority="73" operator="notEqual">
      <formula>$Y121</formula>
    </cfRule>
  </conditionalFormatting>
  <conditionalFormatting sqref="AA137:AA138">
    <cfRule type="cellIs" priority="85" operator="notEqual">
      <formula>$Y137</formula>
    </cfRule>
  </conditionalFormatting>
  <conditionalFormatting sqref="AA154">
    <cfRule type="cellIs" dxfId="58" priority="79" operator="notEqual">
      <formula>$Y154</formula>
    </cfRule>
  </conditionalFormatting>
  <conditionalFormatting sqref="AA157">
    <cfRule type="cellIs" dxfId="57" priority="87" operator="notEqual">
      <formula>$Y157</formula>
    </cfRule>
  </conditionalFormatting>
  <conditionalFormatting sqref="AA158:AA159 AA191:AA192 AA195:AA198 AA239 AA271 AA274">
    <cfRule type="cellIs" dxfId="56" priority="78" operator="notEqual">
      <formula>$Y158</formula>
    </cfRule>
  </conditionalFormatting>
  <conditionalFormatting sqref="AA200">
    <cfRule type="cellIs" dxfId="55" priority="10" operator="notEqual">
      <formula>$Y200</formula>
    </cfRule>
  </conditionalFormatting>
  <conditionalFormatting sqref="AA202:AA205">
    <cfRule type="cellIs" dxfId="54" priority="52" operator="notEqual">
      <formula>$Y202</formula>
    </cfRule>
  </conditionalFormatting>
  <conditionalFormatting sqref="AA207:AA208">
    <cfRule type="cellIs" dxfId="53" priority="6" operator="notEqual">
      <formula>$Y207</formula>
    </cfRule>
  </conditionalFormatting>
  <conditionalFormatting sqref="AA298:AA299">
    <cfRule type="cellIs" dxfId="52" priority="24" operator="notEqual">
      <formula>$Y298</formula>
    </cfRule>
  </conditionalFormatting>
  <conditionalFormatting sqref="AA307">
    <cfRule type="cellIs" dxfId="51" priority="22" operator="notEqual">
      <formula>$Y307</formula>
    </cfRule>
  </conditionalFormatting>
  <conditionalFormatting sqref="AA309">
    <cfRule type="cellIs" dxfId="50" priority="20" operator="notEqual">
      <formula>$Y309</formula>
    </cfRule>
  </conditionalFormatting>
  <conditionalFormatting sqref="AA317:AA318">
    <cfRule type="cellIs" dxfId="49" priority="16" operator="notEqual">
      <formula>$Y317</formula>
    </cfRule>
  </conditionalFormatting>
  <conditionalFormatting sqref="AA326:AA327">
    <cfRule type="cellIs" dxfId="48" priority="2" operator="notEqual">
      <formula>$Y326</formula>
    </cfRule>
  </conditionalFormatting>
  <conditionalFormatting sqref="AA119:AB119">
    <cfRule type="containsText" dxfId="47" priority="75" operator="containsText" text="AorB?">
      <formula>NOT(ISERROR(SEARCH("AorB?",AA119)))</formula>
    </cfRule>
  </conditionalFormatting>
  <conditionalFormatting sqref="AA283:AB283">
    <cfRule type="cellIs" dxfId="46" priority="46" operator="greaterThan">
      <formula>Y283</formula>
    </cfRule>
  </conditionalFormatting>
  <conditionalFormatting sqref="AB191:AB192 AB195:AB198 AB239 AB271:AB272 AB274">
    <cfRule type="cellIs" dxfId="45" priority="74" operator="notEqual">
      <formula>$Y191</formula>
    </cfRule>
  </conditionalFormatting>
  <conditionalFormatting sqref="AB200">
    <cfRule type="cellIs" dxfId="44" priority="9" operator="notEqual">
      <formula>$Y200</formula>
    </cfRule>
  </conditionalFormatting>
  <conditionalFormatting sqref="AB202:AB205">
    <cfRule type="cellIs" dxfId="43" priority="51" operator="notEqual">
      <formula>$Y202</formula>
    </cfRule>
  </conditionalFormatting>
  <conditionalFormatting sqref="AB207:AB208">
    <cfRule type="cellIs" dxfId="42" priority="5" operator="notEqual">
      <formula>$Y207</formula>
    </cfRule>
  </conditionalFormatting>
  <conditionalFormatting sqref="AB298:AB299">
    <cfRule type="cellIs" dxfId="41" priority="23" operator="notEqual">
      <formula>$Y298</formula>
    </cfRule>
  </conditionalFormatting>
  <conditionalFormatting sqref="AB307">
    <cfRule type="cellIs" dxfId="40" priority="21" operator="notEqual">
      <formula>$Y307</formula>
    </cfRule>
  </conditionalFormatting>
  <conditionalFormatting sqref="AB309">
    <cfRule type="cellIs" dxfId="39" priority="19" operator="notEqual">
      <formula>$Y309</formula>
    </cfRule>
  </conditionalFormatting>
  <conditionalFormatting sqref="AB317:AB318">
    <cfRule type="cellIs" dxfId="38" priority="15" operator="notEqual">
      <formula>$Y317</formula>
    </cfRule>
  </conditionalFormatting>
  <conditionalFormatting sqref="AB326:AB327">
    <cfRule type="cellIs" dxfId="37" priority="1" operator="notEqual">
      <formula>$Y326</formula>
    </cfRule>
  </conditionalFormatting>
  <conditionalFormatting sqref="AD317:AD318">
    <cfRule type="cellIs" dxfId="36" priority="12" stopIfTrue="1" operator="equal">
      <formula>"* * Check Score! * *"</formula>
    </cfRule>
  </conditionalFormatting>
  <dataValidations count="38">
    <dataValidation type="list" allowBlank="1" showInputMessage="1" showErrorMessage="1" sqref="AA339:AB340" xr:uid="{D0CEBA39-A618-4AEB-B349-59DAD1DC2CAD}">
      <formula1>"0, 2, 4"</formula1>
    </dataValidation>
    <dataValidation type="list" allowBlank="1" showInputMessage="1" showErrorMessage="1" sqref="AA352:AB352" xr:uid="{82E0CD3E-3804-4A0E-9D6D-8A5916CAAA3B}">
      <formula1>"0, 1, 2, 3"</formula1>
    </dataValidation>
    <dataValidation type="list" allowBlank="1" showInputMessage="1" showErrorMessage="1" sqref="AA353:AB353" xr:uid="{5EC49BE0-A3E4-466C-B364-C21871D1668D}">
      <formula1>"0, 2, 3"</formula1>
    </dataValidation>
    <dataValidation type="list" allowBlank="1" showInputMessage="1" showErrorMessage="1" errorTitle="Incorrect score entered!" error="Numerical score entered falls outside specified allowable score range." sqref="AA354:AB354" xr:uid="{315C06CC-C05A-409B-A3A4-0B8C9F0CC781}">
      <formula1>"0,1,2,3,4,5,6,7,8,9,10"</formula1>
    </dataValidation>
    <dataValidation type="list" allowBlank="1" showInputMessage="1" showErrorMessage="1" sqref="AA366:AB366" xr:uid="{82B5EBA4-CA9E-48B5-9070-16C927DEFA5A}">
      <formula1>"0, 2, 4, 5, 6"</formula1>
    </dataValidation>
    <dataValidation type="list" allowBlank="1" showInputMessage="1" showErrorMessage="1" sqref="AA195:AB197 AA200:AB200" xr:uid="{ABDA68F8-E6F0-4870-B980-716242FF355B}">
      <formula1>"Yes, No, n/a"</formula1>
    </dataValidation>
    <dataValidation type="list" allowBlank="1" showInputMessage="1" showErrorMessage="1" sqref="AB336:AB337" xr:uid="{28CBE168-E4ED-4E56-AA05-AD8275D6EE8B}">
      <formula1>"0, 2, 4, 6"</formula1>
    </dataValidation>
    <dataValidation type="list" allowBlank="1" showInputMessage="1" showErrorMessage="1" sqref="AA157:AB157" xr:uid="{DAA8F59C-3290-4DF7-B450-0D972843B346}">
      <formula1>"1,2,3"</formula1>
    </dataValidation>
    <dataValidation type="list" allowBlank="1" showInputMessage="1" showErrorMessage="1" sqref="AA155:AB155" xr:uid="{DFCBBDD9-4E9F-47B1-A930-E31521FF1B4B}">
      <formula1>"4, 4.5, 5"</formula1>
    </dataValidation>
    <dataValidation type="list" allowBlank="1" showInputMessage="1" showErrorMessage="1" sqref="AA336" xr:uid="{C8FEE894-23A3-4644-B434-ACC3F88C5ABF}">
      <formula1>"2, 4, 6"</formula1>
    </dataValidation>
    <dataValidation type="whole" operator="equal" allowBlank="1" showInputMessage="1" showErrorMessage="1" sqref="AB159" xr:uid="{5E4851F1-0AF2-4C4F-8E32-BBFB7A8C2143}">
      <formula1>$Y159</formula1>
    </dataValidation>
    <dataValidation type="decimal" operator="lessThanOrEqual" allowBlank="1" showInputMessage="1" showErrorMessage="1" sqref="AA137:AB137 AA166:AB167 AA154:AB154 AA283:AB283 AA334:AB334 AA325:AB325" xr:uid="{FD59FDB0-AD5F-4853-8805-0173D61069DF}">
      <formula1>$Y137</formula1>
    </dataValidation>
    <dataValidation type="whole" operator="equal" allowBlank="1" showErrorMessage="1" errorTitle="Incorrect Point Value Entered" error="Please re-check the point value for this criterion." sqref="AA121:AA123" xr:uid="{505729D8-9226-440B-A07A-175EF30963FB}">
      <formula1>$Y121</formula1>
    </dataValidation>
    <dataValidation type="whole" operator="lessThanOrEqual" allowBlank="1" showInputMessage="1" showErrorMessage="1" sqref="AB121" xr:uid="{4FAE18F2-28C3-4031-BBEF-0EECA9905C9A}">
      <formula1>$Y121</formula1>
    </dataValidation>
    <dataValidation type="list" allowBlank="1" showInputMessage="1" showErrorMessage="1" sqref="AZ404:AZ405 AA338:AB338 AZ397:AZ399 AB117 AB134 AB300:AB304 AB371:AB372 AB284 AB241:AB244 AB257 AB277:AB280 AB93:AB97 AB248:AB253 AB291:AB296 AB308 AB310:AB316 AB319:AB324 AA272:AB272 AB77:AB78 AB227:AB230 AB89:AB90 AB261:AB265 AB217:AB220 AB328:AB333" xr:uid="{956578E7-B0D0-4090-99AC-94428554516A}">
      <formula1>"Yes, No"</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390:D395 C385:D386" xr:uid="{3A8D8A25-2EFE-42EA-AC47-FC166052823C}"/>
    <dataValidation type="list" allowBlank="1" showInputMessage="1" showErrorMessage="1" sqref="AA25:AB25 AA338:AB338 AA63:AB64 AA248:AB249 AA27:AB27 AA40:AB40 AA87:AB87 AA257:AB257 AA129:AB129 AA33:AB33 AB102:AB103 AA30:AB31 X171:X176 Z171:Z176" xr:uid="{A1346147-335F-4E8A-A4D6-577B3E75228B}">
      <formula1>"Yes, No, N/a"</formula1>
    </dataValidation>
    <dataValidation type="list" allowBlank="1" showInputMessage="1" showErrorMessage="1" sqref="H306:X306" xr:uid="{29CBC824-2B55-40B1-A778-EDED453285BE}">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operator="equal" allowBlank="1" showInputMessage="1" showErrorMessage="1" sqref="AB158" xr:uid="{424EF7AD-E116-460B-BC78-8A3CBB12399F}">
      <formula1>"0,1"</formula1>
    </dataValidation>
    <dataValidation type="list" allowBlank="1" showInputMessage="1" showErrorMessage="1" sqref="AA271:AB271" xr:uid="{3400F59D-D645-4B77-B416-14C12A9333D1}">
      <formula1>"15,6,4,3,2"</formula1>
    </dataValidation>
    <dataValidation type="list" allowBlank="1" showInputMessage="1" showErrorMessage="1" sqref="X11:X12" xr:uid="{CDDF6299-BFDC-4901-9665-380B583556BE}">
      <formula1>"&lt;&lt; Select Pool &gt;&gt;, Rural, Other Metro, Atlanta Metro"</formula1>
    </dataValidation>
    <dataValidation type="whole" allowBlank="1" showInputMessage="1" showErrorMessage="1" sqref="AA341:AB341" xr:uid="{72F09B6E-7FA5-4F4B-AC4B-8C9491C68520}">
      <formula1>0</formula1>
      <formula2>20</formula2>
    </dataValidation>
    <dataValidation type="list" allowBlank="1" showInputMessage="1" showErrorMessage="1" sqref="AA91:AB91" xr:uid="{7DD59221-5F32-432A-8192-C7315BBDD6E8}">
      <formula1>"0, 2"</formula1>
    </dataValidation>
    <dataValidation type="list" allowBlank="1" showInputMessage="1" showErrorMessage="1" sqref="AA76:AB76" xr:uid="{E2BCDEBF-27F1-41FD-A1F6-6F5364CFE293}">
      <formula1>"0, 1, 2, 3, 4, 5"</formula1>
    </dataValidation>
    <dataValidation type="list" allowBlank="1" showInputMessage="1" showErrorMessage="1" sqref="AA74:AB74" xr:uid="{B7E26D52-31A0-4E4E-A276-BC933501A34B}">
      <formula1>"0, 5, 10, 15, 20, 25, 30, 35, 40, 45, 50"</formula1>
    </dataValidation>
    <dataValidation type="list" allowBlank="1" showInputMessage="1" showErrorMessage="1" sqref="AA75:AB75" xr:uid="{15A37AD1-9D99-417E-8A2A-B3318136FF60}">
      <formula1>"0, 2, 4, 6, 8, 10, 12, 14, 16, 18, 20, 22, 24, 26, 28, 30, 32, 34, 36, 38, 40, 42, 44, 46, 48, 50"</formula1>
    </dataValidation>
    <dataValidation type="list" allowBlank="1" showInputMessage="1" showErrorMessage="1" sqref="AA274:AB274" xr:uid="{8D570A42-E80E-4D97-B851-309A56FBA6ED}">
      <formula1>"15,5"</formula1>
    </dataValidation>
    <dataValidation type="list" allowBlank="1" showInputMessage="1" showErrorMessage="1" sqref="AA326:AB326" xr:uid="{BC8C038F-7771-47CB-951E-250BE043F03E}">
      <formula1>"2,0"</formula1>
    </dataValidation>
    <dataValidation type="list" allowBlank="1" showInputMessage="1" showErrorMessage="1" sqref="AA327:AB327" xr:uid="{73319688-D35A-421C-8959-9CEF70B466FB}">
      <formula1>"2.5,0"</formula1>
    </dataValidation>
    <dataValidation type="list" allowBlank="1" showInputMessage="1" showErrorMessage="1" sqref="S222:S226 V222:V226" xr:uid="{2685C957-31C8-4BD6-AA2A-BCB47E0C2D9F}">
      <formula1>"WITHIN Census Tract, NEAR Census Tract"</formula1>
    </dataValidation>
    <dataValidation type="list" allowBlank="1" showInputMessage="1" showErrorMessage="1" sqref="M11:M12" xr:uid="{AEECF760-3C33-4D59-A609-AE383E7DCE03}">
      <formula1>"&lt;&lt; Select Activity Type &gt;&gt;, New Affordability, Preservation"</formula1>
    </dataValidation>
    <dataValidation type="list" allowBlank="1" showInputMessage="1" showErrorMessage="1" sqref="M18:M19" xr:uid="{B0156C79-38C8-4A27-8EC4-7A341742341D}">
      <formula1>"&lt;&lt; Select Set Aside &gt;&gt;,9% USDA,9% Housing Tax Credit,9% HUD Rental Assistance,9% HUD RAD,4% Preservation,4% USDA Portfolio"</formula1>
    </dataValidation>
    <dataValidation type="list" allowBlank="1" showInputMessage="1" showErrorMessage="1" sqref="L112:T112 L103:T105" xr:uid="{0A3A461C-37EE-4D7C-B99F-AD3AD292EF7D}">
      <formula1>"Submitted,N/A"</formula1>
    </dataValidation>
    <dataValidation type="list" allowBlank="1" showInputMessage="1" showErrorMessage="1" sqref="L108:T111 L106:T106 L102:T102" xr:uid="{A2ABBA8A-1841-4BC6-8F0F-CC28BDA12B62}">
      <formula1>"Submitted"</formula1>
    </dataValidation>
    <dataValidation type="list" allowBlank="1" showInputMessage="1" showErrorMessage="1" sqref="K99 M99:T99" xr:uid="{83A4A365-701E-49B2-A898-61168EB3AEF5}">
      <formula1>"Submitted,N/A-9%"</formula1>
    </dataValidation>
    <dataValidation type="list" allowBlank="1" showInputMessage="1" showErrorMessage="1" sqref="E222:E226 G222:G226" xr:uid="{B5C3F328-0EA6-47CC-BB5F-43294E6DF595}">
      <formula1>"Yes,No"</formula1>
    </dataValidation>
    <dataValidation type="list" allowBlank="1" showInputMessage="1" showErrorMessage="1" sqref="M15:Z16" xr:uid="{2D8FDE32-2AAF-4FBD-A069-A21D5AC61656}">
      <formula1>"&lt;&lt; Select Scoring Track &gt;&gt;,Stable Communities, Revitalization/Redevelopment Plans, Community Designations, Housing Needs Characteristics + Stable Communities Characteristics, Housing Needs Characteristics + Revitalization Characteristics"</formula1>
    </dataValidation>
    <dataValidation allowBlank="1" showInputMessage="1" showErrorMessage="1" sqref="M225:R225 M226:R226 M222:R224" xr:uid="{89DB3AB0-EBA8-40EC-8A6E-36D88BDA4074}"/>
  </dataValidations>
  <printOptions horizontalCentered="1"/>
  <pageMargins left="0.25" right="0.25" top="0.7" bottom="0.4" header="0.5" footer="0.3"/>
  <pageSetup scale="81" fitToWidth="0"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0" manualBreakCount="10">
    <brk id="36" max="16383" man="1"/>
    <brk id="53" max="16383" man="1"/>
    <brk id="87" max="16383" man="1"/>
    <brk id="126" max="16383" man="1"/>
    <brk id="159" max="16383" man="1"/>
    <brk id="181" max="16383" man="1"/>
    <brk id="245" max="16383" man="1"/>
    <brk id="314" max="16383" man="1"/>
    <brk id="350" max="16383" man="1"/>
    <brk id="376"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36C79456-BD77-4FBE-807A-9B08E58B341A}">
          <x14:formula1>
            <xm:f>'Quality Edu School List'!$D$2:$D$2254</xm:f>
          </x14:formula1>
          <xm:sqref>E171:F176</xm:sqref>
        </x14:dataValidation>
        <x14:dataValidation type="list" allowBlank="1" showInputMessage="1" showErrorMessage="1" xr:uid="{C845DD46-BE74-4DFF-813B-AE0B29EDE057}">
          <x14:formula1>
            <xm:f>'Quality Edu School List'!$B$2:$B$2254</xm:f>
          </x14:formula1>
          <xm:sqref>D171:D176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7662-F512-4FDF-9014-4FBA492FE328}">
  <sheetPr codeName="Sheet27"/>
  <dimension ref="A1:V26"/>
  <sheetViews>
    <sheetView topLeftCell="A8" workbookViewId="0">
      <selection activeCell="X3" sqref="X3"/>
    </sheetView>
  </sheetViews>
  <sheetFormatPr defaultRowHeight="13.2"/>
  <cols>
    <col min="1" max="1" width="40.77734375" customWidth="1"/>
    <col min="2" max="2" width="10.77734375" style="34" bestFit="1" customWidth="1"/>
    <col min="3" max="3" width="10.77734375" style="34" customWidth="1"/>
    <col min="4" max="4" width="10.77734375" style="34" bestFit="1" customWidth="1"/>
    <col min="5" max="5" width="10.77734375" style="34" customWidth="1"/>
    <col min="6" max="6" width="16.5546875" style="34" bestFit="1" customWidth="1"/>
    <col min="7" max="12" width="8.77734375" style="34"/>
  </cols>
  <sheetData>
    <row r="1" spans="1:12" ht="15" thickBot="1">
      <c r="A1" s="2301"/>
      <c r="B1" s="4211" t="s">
        <v>1255</v>
      </c>
      <c r="C1" s="4212"/>
      <c r="D1" s="4211" t="s">
        <v>2019</v>
      </c>
      <c r="E1" s="4213"/>
      <c r="F1" s="9"/>
      <c r="G1" s="2308" t="s">
        <v>2150</v>
      </c>
      <c r="H1" s="9"/>
      <c r="I1" s="9"/>
      <c r="J1" s="9"/>
      <c r="K1" s="3700" t="s">
        <v>2151</v>
      </c>
      <c r="L1" s="3700"/>
    </row>
    <row r="2" spans="1:12" ht="14.4">
      <c r="A2" s="2302"/>
      <c r="B2" s="2303">
        <v>0.09</v>
      </c>
      <c r="C2" s="2304" t="s">
        <v>2152</v>
      </c>
      <c r="D2" s="2303">
        <v>0.09</v>
      </c>
      <c r="E2" s="2305" t="s">
        <v>2152</v>
      </c>
      <c r="F2" s="58" t="s">
        <v>2153</v>
      </c>
      <c r="G2" s="58" t="s">
        <v>2154</v>
      </c>
      <c r="H2" s="58" t="s">
        <v>2155</v>
      </c>
      <c r="I2" s="58" t="s">
        <v>2156</v>
      </c>
      <c r="J2" s="58" t="s">
        <v>2157</v>
      </c>
      <c r="K2" s="58" t="s">
        <v>2158</v>
      </c>
      <c r="L2" s="58" t="s">
        <v>2159</v>
      </c>
    </row>
    <row r="3" spans="1:12" ht="14.4">
      <c r="A3" s="2306" t="s">
        <v>2024</v>
      </c>
      <c r="B3" s="34">
        <v>6</v>
      </c>
      <c r="C3" s="34">
        <v>6</v>
      </c>
      <c r="D3" s="34">
        <v>6</v>
      </c>
      <c r="E3" s="34">
        <v>6</v>
      </c>
      <c r="F3" s="34">
        <v>6</v>
      </c>
      <c r="G3" s="34">
        <v>6</v>
      </c>
      <c r="H3" s="34">
        <v>6</v>
      </c>
      <c r="I3" s="34">
        <v>6</v>
      </c>
      <c r="J3" s="34">
        <v>6</v>
      </c>
      <c r="K3" s="34">
        <v>6</v>
      </c>
    </row>
    <row r="4" spans="1:12" ht="14.4">
      <c r="A4" s="2306" t="s">
        <v>2028</v>
      </c>
      <c r="B4" s="34">
        <v>5</v>
      </c>
      <c r="C4" s="34">
        <v>5</v>
      </c>
      <c r="D4" s="34">
        <v>5</v>
      </c>
      <c r="E4" s="34">
        <v>5</v>
      </c>
      <c r="F4" s="34">
        <v>5</v>
      </c>
      <c r="G4" s="34">
        <v>5</v>
      </c>
      <c r="H4" s="34">
        <v>5</v>
      </c>
      <c r="I4" s="34">
        <v>5</v>
      </c>
      <c r="J4" s="34">
        <v>5</v>
      </c>
      <c r="K4" s="34">
        <v>5</v>
      </c>
    </row>
    <row r="5" spans="1:12" ht="14.4">
      <c r="A5" s="2307" t="s">
        <v>2031</v>
      </c>
      <c r="B5" s="34">
        <v>10</v>
      </c>
      <c r="C5" s="34">
        <v>10</v>
      </c>
      <c r="D5" s="34">
        <v>10</v>
      </c>
      <c r="E5" s="34">
        <v>10</v>
      </c>
      <c r="F5" s="34">
        <v>10</v>
      </c>
      <c r="G5" s="34">
        <v>10</v>
      </c>
      <c r="H5" s="34">
        <v>10</v>
      </c>
      <c r="I5" s="34">
        <v>10</v>
      </c>
      <c r="J5" s="34">
        <v>10</v>
      </c>
      <c r="K5" s="34">
        <v>10</v>
      </c>
    </row>
    <row r="6" spans="1:12" ht="14.4">
      <c r="A6" s="2306" t="s">
        <v>2033</v>
      </c>
      <c r="B6" s="34">
        <v>5</v>
      </c>
      <c r="C6" s="34">
        <v>5</v>
      </c>
      <c r="D6" s="34">
        <v>5</v>
      </c>
      <c r="E6" s="34">
        <v>5</v>
      </c>
      <c r="F6" s="34">
        <v>5</v>
      </c>
      <c r="G6" s="34">
        <v>5</v>
      </c>
      <c r="H6" s="34">
        <v>5</v>
      </c>
      <c r="I6" s="34">
        <v>5</v>
      </c>
      <c r="J6" s="34">
        <v>5</v>
      </c>
      <c r="K6" s="2310"/>
    </row>
    <row r="7" spans="1:12" ht="14.4">
      <c r="A7" s="2307" t="s">
        <v>2036</v>
      </c>
      <c r="B7" s="34">
        <v>15</v>
      </c>
      <c r="C7" s="34">
        <v>15</v>
      </c>
      <c r="D7" s="34">
        <v>15</v>
      </c>
      <c r="E7" s="34">
        <v>15</v>
      </c>
      <c r="F7" s="34">
        <v>15</v>
      </c>
      <c r="G7" s="34">
        <v>15</v>
      </c>
      <c r="H7" s="34">
        <v>15</v>
      </c>
      <c r="I7" s="34">
        <v>15</v>
      </c>
      <c r="J7" s="34">
        <v>15</v>
      </c>
      <c r="K7" s="34">
        <v>15</v>
      </c>
    </row>
    <row r="8" spans="1:12" ht="29.4" thickBot="1">
      <c r="A8" s="2306" t="s">
        <v>2160</v>
      </c>
      <c r="B8" s="34">
        <v>3</v>
      </c>
      <c r="C8" s="34">
        <v>3</v>
      </c>
      <c r="D8" s="34">
        <v>3</v>
      </c>
      <c r="E8" s="34">
        <v>3</v>
      </c>
      <c r="F8" s="34">
        <v>3</v>
      </c>
      <c r="G8" s="34">
        <v>3</v>
      </c>
      <c r="H8" s="34">
        <v>3</v>
      </c>
      <c r="I8" s="34">
        <v>3</v>
      </c>
      <c r="J8" s="34">
        <v>3</v>
      </c>
      <c r="K8" s="34">
        <v>3</v>
      </c>
    </row>
    <row r="9" spans="1:12" ht="15" thickBot="1">
      <c r="A9" s="2307" t="s">
        <v>2042</v>
      </c>
      <c r="B9" s="34">
        <v>2</v>
      </c>
      <c r="C9" s="34">
        <v>2</v>
      </c>
      <c r="D9" s="34">
        <v>2</v>
      </c>
      <c r="E9" s="34">
        <v>2</v>
      </c>
      <c r="F9" s="34">
        <v>2</v>
      </c>
      <c r="G9" s="34">
        <v>2</v>
      </c>
      <c r="H9" s="34">
        <v>2</v>
      </c>
      <c r="I9" s="34">
        <v>2</v>
      </c>
      <c r="J9" s="34">
        <v>2</v>
      </c>
      <c r="K9" s="34">
        <v>2</v>
      </c>
    </row>
    <row r="10" spans="1:12" ht="15" thickBot="1">
      <c r="A10" s="2306" t="s">
        <v>1980</v>
      </c>
      <c r="B10" s="34">
        <v>20</v>
      </c>
      <c r="C10" s="34">
        <v>20</v>
      </c>
      <c r="K10" s="34">
        <v>20</v>
      </c>
    </row>
    <row r="11" spans="1:12" ht="15" thickBot="1">
      <c r="A11" s="2307" t="s">
        <v>1981</v>
      </c>
      <c r="B11" s="34">
        <v>6</v>
      </c>
      <c r="C11" s="34">
        <v>6</v>
      </c>
      <c r="K11" s="34">
        <v>6</v>
      </c>
    </row>
    <row r="12" spans="1:12" ht="15" thickBot="1">
      <c r="A12" s="2306" t="s">
        <v>1982</v>
      </c>
      <c r="B12" s="34">
        <v>3</v>
      </c>
      <c r="C12" s="34">
        <v>3</v>
      </c>
      <c r="K12" s="34">
        <v>3</v>
      </c>
    </row>
    <row r="13" spans="1:12" ht="15" thickBot="1">
      <c r="A13" s="2307" t="s">
        <v>1925</v>
      </c>
      <c r="B13" s="34">
        <v>10</v>
      </c>
      <c r="C13" s="34">
        <v>10</v>
      </c>
      <c r="K13" s="34">
        <v>10</v>
      </c>
    </row>
    <row r="14" spans="1:12" ht="15" thickBot="1">
      <c r="A14" s="2306" t="s">
        <v>1926</v>
      </c>
      <c r="B14" s="34">
        <v>10</v>
      </c>
      <c r="C14" s="34">
        <v>10</v>
      </c>
      <c r="K14" s="34">
        <v>10</v>
      </c>
    </row>
    <row r="15" spans="1:12" ht="15" thickBot="1">
      <c r="A15" s="2307" t="s">
        <v>1985</v>
      </c>
      <c r="B15" s="34">
        <v>13</v>
      </c>
      <c r="C15" s="34">
        <v>13</v>
      </c>
      <c r="K15" s="34">
        <v>13</v>
      </c>
    </row>
    <row r="16" spans="1:12" ht="15" thickBot="1">
      <c r="A16" s="2306" t="s">
        <v>2161</v>
      </c>
      <c r="B16" s="34">
        <v>4</v>
      </c>
      <c r="C16" s="34">
        <v>4</v>
      </c>
      <c r="K16" s="34">
        <v>4</v>
      </c>
    </row>
    <row r="17" spans="1:22" ht="15" thickBot="1">
      <c r="A17" s="2307" t="s">
        <v>2074</v>
      </c>
      <c r="B17" s="34">
        <v>5</v>
      </c>
      <c r="C17" s="34">
        <v>5</v>
      </c>
      <c r="K17" s="34">
        <v>5</v>
      </c>
    </row>
    <row r="18" spans="1:22" ht="14.4">
      <c r="A18" s="2306" t="s">
        <v>2078</v>
      </c>
      <c r="B18" s="34">
        <v>10</v>
      </c>
      <c r="K18" s="34">
        <v>10</v>
      </c>
    </row>
    <row r="19" spans="1:22" ht="15" customHeight="1">
      <c r="A19" s="2307" t="s">
        <v>2081</v>
      </c>
      <c r="B19" s="34">
        <v>1</v>
      </c>
      <c r="C19" s="34">
        <v>1</v>
      </c>
      <c r="K19" s="34">
        <v>1</v>
      </c>
      <c r="M19" s="4214" t="s">
        <v>1534</v>
      </c>
      <c r="N19" s="4215"/>
      <c r="O19" s="4215"/>
      <c r="P19" s="4215"/>
      <c r="Q19" s="4215"/>
      <c r="R19" s="4215"/>
      <c r="S19" s="4215"/>
      <c r="T19" s="4215"/>
      <c r="U19" s="2826"/>
      <c r="V19" s="2827"/>
    </row>
    <row r="20" spans="1:22" ht="14.4">
      <c r="A20" s="2306" t="s">
        <v>2084</v>
      </c>
      <c r="B20" s="34">
        <v>1</v>
      </c>
      <c r="K20" s="34">
        <v>1</v>
      </c>
      <c r="M20" s="2828" t="s">
        <v>1536</v>
      </c>
      <c r="N20" s="2828"/>
      <c r="O20" s="2828"/>
      <c r="P20" s="2828"/>
      <c r="Q20" s="2828"/>
      <c r="R20" s="2828"/>
      <c r="S20" s="2828"/>
      <c r="T20" s="2828"/>
      <c r="U20" s="2828"/>
      <c r="V20" s="2829" t="s">
        <v>1806</v>
      </c>
    </row>
    <row r="21" spans="1:22" ht="14.4">
      <c r="A21" s="2307" t="s">
        <v>2087</v>
      </c>
      <c r="B21" s="34">
        <v>2</v>
      </c>
      <c r="K21" s="34">
        <v>2</v>
      </c>
      <c r="M21" s="1769">
        <f>'Part V-Revenues &amp; Expenses'!R14*'Part VIII Scoring Criteria'!V24</f>
        <v>0</v>
      </c>
      <c r="N21" s="1769"/>
      <c r="O21" s="1769"/>
      <c r="P21" s="1769"/>
      <c r="Q21" s="1769"/>
      <c r="R21" s="1769"/>
      <c r="S21" s="1769"/>
      <c r="T21" s="1769"/>
      <c r="U21" s="1769"/>
      <c r="V21" s="2311" t="e">
        <f>IF('Part I-Project Identification'!#REF!="9% Credits",0.1,IF('Part I-Project Identification'!#REF!="4% Credits/Bonds",0.05,""))</f>
        <v>#REF!</v>
      </c>
    </row>
    <row r="22" spans="1:22" ht="14.4">
      <c r="A22" s="2306" t="s">
        <v>2091</v>
      </c>
      <c r="B22" s="34">
        <v>2</v>
      </c>
      <c r="D22" s="34">
        <v>2</v>
      </c>
      <c r="G22" s="34">
        <v>2</v>
      </c>
      <c r="H22" s="34">
        <v>2</v>
      </c>
      <c r="I22" s="34">
        <v>2</v>
      </c>
      <c r="J22" s="34">
        <v>2</v>
      </c>
      <c r="K22" s="34">
        <v>2</v>
      </c>
    </row>
    <row r="23" spans="1:22" ht="15" thickBot="1">
      <c r="A23" s="2307" t="s">
        <v>2095</v>
      </c>
      <c r="B23" s="34">
        <v>2.5</v>
      </c>
      <c r="D23" s="34">
        <v>2.5</v>
      </c>
      <c r="G23" s="34">
        <v>2</v>
      </c>
      <c r="H23" s="34">
        <v>2</v>
      </c>
      <c r="I23" s="34">
        <v>2</v>
      </c>
      <c r="J23" s="34">
        <v>2</v>
      </c>
      <c r="K23" s="34">
        <v>2</v>
      </c>
    </row>
    <row r="24" spans="1:22" ht="15" thickBot="1">
      <c r="A24" s="2306" t="s">
        <v>2098</v>
      </c>
      <c r="D24" s="34">
        <v>42</v>
      </c>
      <c r="E24" s="34">
        <v>42</v>
      </c>
      <c r="F24" s="34">
        <v>32</v>
      </c>
      <c r="G24" s="34">
        <v>42</v>
      </c>
      <c r="H24" s="34">
        <v>36</v>
      </c>
      <c r="I24" s="34">
        <v>36</v>
      </c>
      <c r="J24" s="34">
        <v>42</v>
      </c>
    </row>
    <row r="26" spans="1:22" s="6" customFormat="1">
      <c r="A26" s="2309" t="s">
        <v>2162</v>
      </c>
      <c r="B26" s="9">
        <f>SUM(B3:B12,MAX(B13:B15,B18),MAX(B16:B17),B19:B24)</f>
        <v>101.5</v>
      </c>
      <c r="C26" s="9">
        <f>SUM(C3:C12,MAX(C13:C15,C18),MAX(C16:C17),C19:C24)</f>
        <v>94</v>
      </c>
      <c r="D26" s="9">
        <f t="shared" ref="D26:J26" si="0">SUM(D3:D24)</f>
        <v>92.5</v>
      </c>
      <c r="E26" s="9">
        <f t="shared" si="0"/>
        <v>88</v>
      </c>
      <c r="F26" s="9">
        <f t="shared" si="0"/>
        <v>78</v>
      </c>
      <c r="G26" s="9">
        <f t="shared" si="0"/>
        <v>92</v>
      </c>
      <c r="H26" s="9">
        <f t="shared" si="0"/>
        <v>86</v>
      </c>
      <c r="I26" s="9">
        <f t="shared" si="0"/>
        <v>86</v>
      </c>
      <c r="J26" s="9">
        <f t="shared" si="0"/>
        <v>92</v>
      </c>
      <c r="K26" s="9">
        <f>SUM(K3:K12,MAX(K13:K15,K18),MAX(K16:K17),K19:K24)</f>
        <v>96</v>
      </c>
      <c r="L26" s="9"/>
    </row>
  </sheetData>
  <mergeCells count="4">
    <mergeCell ref="B1:C1"/>
    <mergeCell ref="D1:E1"/>
    <mergeCell ref="K1:L1"/>
    <mergeCell ref="M19:T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4115-D0D2-4AF1-95FB-6308EBB5DFA2}">
  <sheetPr codeName="Sheet28"/>
  <dimension ref="A1:E2254"/>
  <sheetViews>
    <sheetView topLeftCell="A38" workbookViewId="0">
      <selection activeCell="C13" sqref="C13"/>
    </sheetView>
  </sheetViews>
  <sheetFormatPr defaultRowHeight="13.2"/>
  <cols>
    <col min="1" max="1" width="12.21875" style="2319" customWidth="1"/>
    <col min="2" max="2" width="29.21875" style="2319" customWidth="1"/>
    <col min="3" max="3" width="14.21875" style="2319" customWidth="1"/>
    <col min="4" max="4" width="62" style="2319" customWidth="1"/>
    <col min="5" max="5" width="33.21875" style="2319" customWidth="1"/>
    <col min="6" max="256" width="8.77734375" style="83"/>
    <col min="257" max="257" width="12.21875" style="83" customWidth="1"/>
    <col min="258" max="258" width="29.21875" style="83" customWidth="1"/>
    <col min="259" max="259" width="14.21875" style="83" customWidth="1"/>
    <col min="260" max="260" width="62" style="83" customWidth="1"/>
    <col min="261" max="261" width="33.21875" style="83" customWidth="1"/>
    <col min="262" max="512" width="8.77734375" style="83"/>
    <col min="513" max="513" width="12.21875" style="83" customWidth="1"/>
    <col min="514" max="514" width="29.21875" style="83" customWidth="1"/>
    <col min="515" max="515" width="14.21875" style="83" customWidth="1"/>
    <col min="516" max="516" width="62" style="83" customWidth="1"/>
    <col min="517" max="517" width="33.21875" style="83" customWidth="1"/>
    <col min="518" max="768" width="8.77734375" style="83"/>
    <col min="769" max="769" width="12.21875" style="83" customWidth="1"/>
    <col min="770" max="770" width="29.21875" style="83" customWidth="1"/>
    <col min="771" max="771" width="14.21875" style="83" customWidth="1"/>
    <col min="772" max="772" width="62" style="83" customWidth="1"/>
    <col min="773" max="773" width="33.21875" style="83" customWidth="1"/>
    <col min="774" max="1024" width="8.77734375" style="83"/>
    <col min="1025" max="1025" width="12.21875" style="83" customWidth="1"/>
    <col min="1026" max="1026" width="29.21875" style="83" customWidth="1"/>
    <col min="1027" max="1027" width="14.21875" style="83" customWidth="1"/>
    <col min="1028" max="1028" width="62" style="83" customWidth="1"/>
    <col min="1029" max="1029" width="33.21875" style="83" customWidth="1"/>
    <col min="1030" max="1280" width="8.77734375" style="83"/>
    <col min="1281" max="1281" width="12.21875" style="83" customWidth="1"/>
    <col min="1282" max="1282" width="29.21875" style="83" customWidth="1"/>
    <col min="1283" max="1283" width="14.21875" style="83" customWidth="1"/>
    <col min="1284" max="1284" width="62" style="83" customWidth="1"/>
    <col min="1285" max="1285" width="33.21875" style="83" customWidth="1"/>
    <col min="1286" max="1536" width="8.77734375" style="83"/>
    <col min="1537" max="1537" width="12.21875" style="83" customWidth="1"/>
    <col min="1538" max="1538" width="29.21875" style="83" customWidth="1"/>
    <col min="1539" max="1539" width="14.21875" style="83" customWidth="1"/>
    <col min="1540" max="1540" width="62" style="83" customWidth="1"/>
    <col min="1541" max="1541" width="33.21875" style="83" customWidth="1"/>
    <col min="1542" max="1792" width="8.77734375" style="83"/>
    <col min="1793" max="1793" width="12.21875" style="83" customWidth="1"/>
    <col min="1794" max="1794" width="29.21875" style="83" customWidth="1"/>
    <col min="1795" max="1795" width="14.21875" style="83" customWidth="1"/>
    <col min="1796" max="1796" width="62" style="83" customWidth="1"/>
    <col min="1797" max="1797" width="33.21875" style="83" customWidth="1"/>
    <col min="1798" max="2048" width="8.77734375" style="83"/>
    <col min="2049" max="2049" width="12.21875" style="83" customWidth="1"/>
    <col min="2050" max="2050" width="29.21875" style="83" customWidth="1"/>
    <col min="2051" max="2051" width="14.21875" style="83" customWidth="1"/>
    <col min="2052" max="2052" width="62" style="83" customWidth="1"/>
    <col min="2053" max="2053" width="33.21875" style="83" customWidth="1"/>
    <col min="2054" max="2304" width="8.77734375" style="83"/>
    <col min="2305" max="2305" width="12.21875" style="83" customWidth="1"/>
    <col min="2306" max="2306" width="29.21875" style="83" customWidth="1"/>
    <col min="2307" max="2307" width="14.21875" style="83" customWidth="1"/>
    <col min="2308" max="2308" width="62" style="83" customWidth="1"/>
    <col min="2309" max="2309" width="33.21875" style="83" customWidth="1"/>
    <col min="2310" max="2560" width="8.77734375" style="83"/>
    <col min="2561" max="2561" width="12.21875" style="83" customWidth="1"/>
    <col min="2562" max="2562" width="29.21875" style="83" customWidth="1"/>
    <col min="2563" max="2563" width="14.21875" style="83" customWidth="1"/>
    <col min="2564" max="2564" width="62" style="83" customWidth="1"/>
    <col min="2565" max="2565" width="33.21875" style="83" customWidth="1"/>
    <col min="2566" max="2816" width="8.77734375" style="83"/>
    <col min="2817" max="2817" width="12.21875" style="83" customWidth="1"/>
    <col min="2818" max="2818" width="29.21875" style="83" customWidth="1"/>
    <col min="2819" max="2819" width="14.21875" style="83" customWidth="1"/>
    <col min="2820" max="2820" width="62" style="83" customWidth="1"/>
    <col min="2821" max="2821" width="33.21875" style="83" customWidth="1"/>
    <col min="2822" max="3072" width="8.77734375" style="83"/>
    <col min="3073" max="3073" width="12.21875" style="83" customWidth="1"/>
    <col min="3074" max="3074" width="29.21875" style="83" customWidth="1"/>
    <col min="3075" max="3075" width="14.21875" style="83" customWidth="1"/>
    <col min="3076" max="3076" width="62" style="83" customWidth="1"/>
    <col min="3077" max="3077" width="33.21875" style="83" customWidth="1"/>
    <col min="3078" max="3328" width="8.77734375" style="83"/>
    <col min="3329" max="3329" width="12.21875" style="83" customWidth="1"/>
    <col min="3330" max="3330" width="29.21875" style="83" customWidth="1"/>
    <col min="3331" max="3331" width="14.21875" style="83" customWidth="1"/>
    <col min="3332" max="3332" width="62" style="83" customWidth="1"/>
    <col min="3333" max="3333" width="33.21875" style="83" customWidth="1"/>
    <col min="3334" max="3584" width="8.77734375" style="83"/>
    <col min="3585" max="3585" width="12.21875" style="83" customWidth="1"/>
    <col min="3586" max="3586" width="29.21875" style="83" customWidth="1"/>
    <col min="3587" max="3587" width="14.21875" style="83" customWidth="1"/>
    <col min="3588" max="3588" width="62" style="83" customWidth="1"/>
    <col min="3589" max="3589" width="33.21875" style="83" customWidth="1"/>
    <col min="3590" max="3840" width="8.77734375" style="83"/>
    <col min="3841" max="3841" width="12.21875" style="83" customWidth="1"/>
    <col min="3842" max="3842" width="29.21875" style="83" customWidth="1"/>
    <col min="3843" max="3843" width="14.21875" style="83" customWidth="1"/>
    <col min="3844" max="3844" width="62" style="83" customWidth="1"/>
    <col min="3845" max="3845" width="33.21875" style="83" customWidth="1"/>
    <col min="3846" max="4096" width="8.77734375" style="83"/>
    <col min="4097" max="4097" width="12.21875" style="83" customWidth="1"/>
    <col min="4098" max="4098" width="29.21875" style="83" customWidth="1"/>
    <col min="4099" max="4099" width="14.21875" style="83" customWidth="1"/>
    <col min="4100" max="4100" width="62" style="83" customWidth="1"/>
    <col min="4101" max="4101" width="33.21875" style="83" customWidth="1"/>
    <col min="4102" max="4352" width="8.77734375" style="83"/>
    <col min="4353" max="4353" width="12.21875" style="83" customWidth="1"/>
    <col min="4354" max="4354" width="29.21875" style="83" customWidth="1"/>
    <col min="4355" max="4355" width="14.21875" style="83" customWidth="1"/>
    <col min="4356" max="4356" width="62" style="83" customWidth="1"/>
    <col min="4357" max="4357" width="33.21875" style="83" customWidth="1"/>
    <col min="4358" max="4608" width="8.77734375" style="83"/>
    <col min="4609" max="4609" width="12.21875" style="83" customWidth="1"/>
    <col min="4610" max="4610" width="29.21875" style="83" customWidth="1"/>
    <col min="4611" max="4611" width="14.21875" style="83" customWidth="1"/>
    <col min="4612" max="4612" width="62" style="83" customWidth="1"/>
    <col min="4613" max="4613" width="33.21875" style="83" customWidth="1"/>
    <col min="4614" max="4864" width="8.77734375" style="83"/>
    <col min="4865" max="4865" width="12.21875" style="83" customWidth="1"/>
    <col min="4866" max="4866" width="29.21875" style="83" customWidth="1"/>
    <col min="4867" max="4867" width="14.21875" style="83" customWidth="1"/>
    <col min="4868" max="4868" width="62" style="83" customWidth="1"/>
    <col min="4869" max="4869" width="33.21875" style="83" customWidth="1"/>
    <col min="4870" max="5120" width="8.77734375" style="83"/>
    <col min="5121" max="5121" width="12.21875" style="83" customWidth="1"/>
    <col min="5122" max="5122" width="29.21875" style="83" customWidth="1"/>
    <col min="5123" max="5123" width="14.21875" style="83" customWidth="1"/>
    <col min="5124" max="5124" width="62" style="83" customWidth="1"/>
    <col min="5125" max="5125" width="33.21875" style="83" customWidth="1"/>
    <col min="5126" max="5376" width="8.77734375" style="83"/>
    <col min="5377" max="5377" width="12.21875" style="83" customWidth="1"/>
    <col min="5378" max="5378" width="29.21875" style="83" customWidth="1"/>
    <col min="5379" max="5379" width="14.21875" style="83" customWidth="1"/>
    <col min="5380" max="5380" width="62" style="83" customWidth="1"/>
    <col min="5381" max="5381" width="33.21875" style="83" customWidth="1"/>
    <col min="5382" max="5632" width="8.77734375" style="83"/>
    <col min="5633" max="5633" width="12.21875" style="83" customWidth="1"/>
    <col min="5634" max="5634" width="29.21875" style="83" customWidth="1"/>
    <col min="5635" max="5635" width="14.21875" style="83" customWidth="1"/>
    <col min="5636" max="5636" width="62" style="83" customWidth="1"/>
    <col min="5637" max="5637" width="33.21875" style="83" customWidth="1"/>
    <col min="5638" max="5888" width="8.77734375" style="83"/>
    <col min="5889" max="5889" width="12.21875" style="83" customWidth="1"/>
    <col min="5890" max="5890" width="29.21875" style="83" customWidth="1"/>
    <col min="5891" max="5891" width="14.21875" style="83" customWidth="1"/>
    <col min="5892" max="5892" width="62" style="83" customWidth="1"/>
    <col min="5893" max="5893" width="33.21875" style="83" customWidth="1"/>
    <col min="5894" max="6144" width="8.77734375" style="83"/>
    <col min="6145" max="6145" width="12.21875" style="83" customWidth="1"/>
    <col min="6146" max="6146" width="29.21875" style="83" customWidth="1"/>
    <col min="6147" max="6147" width="14.21875" style="83" customWidth="1"/>
    <col min="6148" max="6148" width="62" style="83" customWidth="1"/>
    <col min="6149" max="6149" width="33.21875" style="83" customWidth="1"/>
    <col min="6150" max="6400" width="8.77734375" style="83"/>
    <col min="6401" max="6401" width="12.21875" style="83" customWidth="1"/>
    <col min="6402" max="6402" width="29.21875" style="83" customWidth="1"/>
    <col min="6403" max="6403" width="14.21875" style="83" customWidth="1"/>
    <col min="6404" max="6404" width="62" style="83" customWidth="1"/>
    <col min="6405" max="6405" width="33.21875" style="83" customWidth="1"/>
    <col min="6406" max="6656" width="8.77734375" style="83"/>
    <col min="6657" max="6657" width="12.21875" style="83" customWidth="1"/>
    <col min="6658" max="6658" width="29.21875" style="83" customWidth="1"/>
    <col min="6659" max="6659" width="14.21875" style="83" customWidth="1"/>
    <col min="6660" max="6660" width="62" style="83" customWidth="1"/>
    <col min="6661" max="6661" width="33.21875" style="83" customWidth="1"/>
    <col min="6662" max="6912" width="8.77734375" style="83"/>
    <col min="6913" max="6913" width="12.21875" style="83" customWidth="1"/>
    <col min="6914" max="6914" width="29.21875" style="83" customWidth="1"/>
    <col min="6915" max="6915" width="14.21875" style="83" customWidth="1"/>
    <col min="6916" max="6916" width="62" style="83" customWidth="1"/>
    <col min="6917" max="6917" width="33.21875" style="83" customWidth="1"/>
    <col min="6918" max="7168" width="8.77734375" style="83"/>
    <col min="7169" max="7169" width="12.21875" style="83" customWidth="1"/>
    <col min="7170" max="7170" width="29.21875" style="83" customWidth="1"/>
    <col min="7171" max="7171" width="14.21875" style="83" customWidth="1"/>
    <col min="7172" max="7172" width="62" style="83" customWidth="1"/>
    <col min="7173" max="7173" width="33.21875" style="83" customWidth="1"/>
    <col min="7174" max="7424" width="8.77734375" style="83"/>
    <col min="7425" max="7425" width="12.21875" style="83" customWidth="1"/>
    <col min="7426" max="7426" width="29.21875" style="83" customWidth="1"/>
    <col min="7427" max="7427" width="14.21875" style="83" customWidth="1"/>
    <col min="7428" max="7428" width="62" style="83" customWidth="1"/>
    <col min="7429" max="7429" width="33.21875" style="83" customWidth="1"/>
    <col min="7430" max="7680" width="8.77734375" style="83"/>
    <col min="7681" max="7681" width="12.21875" style="83" customWidth="1"/>
    <col min="7682" max="7682" width="29.21875" style="83" customWidth="1"/>
    <col min="7683" max="7683" width="14.21875" style="83" customWidth="1"/>
    <col min="7684" max="7684" width="62" style="83" customWidth="1"/>
    <col min="7685" max="7685" width="33.21875" style="83" customWidth="1"/>
    <col min="7686" max="7936" width="8.77734375" style="83"/>
    <col min="7937" max="7937" width="12.21875" style="83" customWidth="1"/>
    <col min="7938" max="7938" width="29.21875" style="83" customWidth="1"/>
    <col min="7939" max="7939" width="14.21875" style="83" customWidth="1"/>
    <col min="7940" max="7940" width="62" style="83" customWidth="1"/>
    <col min="7941" max="7941" width="33.21875" style="83" customWidth="1"/>
    <col min="7942" max="8192" width="8.77734375" style="83"/>
    <col min="8193" max="8193" width="12.21875" style="83" customWidth="1"/>
    <col min="8194" max="8194" width="29.21875" style="83" customWidth="1"/>
    <col min="8195" max="8195" width="14.21875" style="83" customWidth="1"/>
    <col min="8196" max="8196" width="62" style="83" customWidth="1"/>
    <col min="8197" max="8197" width="33.21875" style="83" customWidth="1"/>
    <col min="8198" max="8448" width="8.77734375" style="83"/>
    <col min="8449" max="8449" width="12.21875" style="83" customWidth="1"/>
    <col min="8450" max="8450" width="29.21875" style="83" customWidth="1"/>
    <col min="8451" max="8451" width="14.21875" style="83" customWidth="1"/>
    <col min="8452" max="8452" width="62" style="83" customWidth="1"/>
    <col min="8453" max="8453" width="33.21875" style="83" customWidth="1"/>
    <col min="8454" max="8704" width="8.77734375" style="83"/>
    <col min="8705" max="8705" width="12.21875" style="83" customWidth="1"/>
    <col min="8706" max="8706" width="29.21875" style="83" customWidth="1"/>
    <col min="8707" max="8707" width="14.21875" style="83" customWidth="1"/>
    <col min="8708" max="8708" width="62" style="83" customWidth="1"/>
    <col min="8709" max="8709" width="33.21875" style="83" customWidth="1"/>
    <col min="8710" max="8960" width="8.77734375" style="83"/>
    <col min="8961" max="8961" width="12.21875" style="83" customWidth="1"/>
    <col min="8962" max="8962" width="29.21875" style="83" customWidth="1"/>
    <col min="8963" max="8963" width="14.21875" style="83" customWidth="1"/>
    <col min="8964" max="8964" width="62" style="83" customWidth="1"/>
    <col min="8965" max="8965" width="33.21875" style="83" customWidth="1"/>
    <col min="8966" max="9216" width="8.77734375" style="83"/>
    <col min="9217" max="9217" width="12.21875" style="83" customWidth="1"/>
    <col min="9218" max="9218" width="29.21875" style="83" customWidth="1"/>
    <col min="9219" max="9219" width="14.21875" style="83" customWidth="1"/>
    <col min="9220" max="9220" width="62" style="83" customWidth="1"/>
    <col min="9221" max="9221" width="33.21875" style="83" customWidth="1"/>
    <col min="9222" max="9472" width="8.77734375" style="83"/>
    <col min="9473" max="9473" width="12.21875" style="83" customWidth="1"/>
    <col min="9474" max="9474" width="29.21875" style="83" customWidth="1"/>
    <col min="9475" max="9475" width="14.21875" style="83" customWidth="1"/>
    <col min="9476" max="9476" width="62" style="83" customWidth="1"/>
    <col min="9477" max="9477" width="33.21875" style="83" customWidth="1"/>
    <col min="9478" max="9728" width="8.77734375" style="83"/>
    <col min="9729" max="9729" width="12.21875" style="83" customWidth="1"/>
    <col min="9730" max="9730" width="29.21875" style="83" customWidth="1"/>
    <col min="9731" max="9731" width="14.21875" style="83" customWidth="1"/>
    <col min="9732" max="9732" width="62" style="83" customWidth="1"/>
    <col min="9733" max="9733" width="33.21875" style="83" customWidth="1"/>
    <col min="9734" max="9984" width="8.77734375" style="83"/>
    <col min="9985" max="9985" width="12.21875" style="83" customWidth="1"/>
    <col min="9986" max="9986" width="29.21875" style="83" customWidth="1"/>
    <col min="9987" max="9987" width="14.21875" style="83" customWidth="1"/>
    <col min="9988" max="9988" width="62" style="83" customWidth="1"/>
    <col min="9989" max="9989" width="33.21875" style="83" customWidth="1"/>
    <col min="9990" max="10240" width="8.77734375" style="83"/>
    <col min="10241" max="10241" width="12.21875" style="83" customWidth="1"/>
    <col min="10242" max="10242" width="29.21875" style="83" customWidth="1"/>
    <col min="10243" max="10243" width="14.21875" style="83" customWidth="1"/>
    <col min="10244" max="10244" width="62" style="83" customWidth="1"/>
    <col min="10245" max="10245" width="33.21875" style="83" customWidth="1"/>
    <col min="10246" max="10496" width="8.77734375" style="83"/>
    <col min="10497" max="10497" width="12.21875" style="83" customWidth="1"/>
    <col min="10498" max="10498" width="29.21875" style="83" customWidth="1"/>
    <col min="10499" max="10499" width="14.21875" style="83" customWidth="1"/>
    <col min="10500" max="10500" width="62" style="83" customWidth="1"/>
    <col min="10501" max="10501" width="33.21875" style="83" customWidth="1"/>
    <col min="10502" max="10752" width="8.77734375" style="83"/>
    <col min="10753" max="10753" width="12.21875" style="83" customWidth="1"/>
    <col min="10754" max="10754" width="29.21875" style="83" customWidth="1"/>
    <col min="10755" max="10755" width="14.21875" style="83" customWidth="1"/>
    <col min="10756" max="10756" width="62" style="83" customWidth="1"/>
    <col min="10757" max="10757" width="33.21875" style="83" customWidth="1"/>
    <col min="10758" max="11008" width="8.77734375" style="83"/>
    <col min="11009" max="11009" width="12.21875" style="83" customWidth="1"/>
    <col min="11010" max="11010" width="29.21875" style="83" customWidth="1"/>
    <col min="11011" max="11011" width="14.21875" style="83" customWidth="1"/>
    <col min="11012" max="11012" width="62" style="83" customWidth="1"/>
    <col min="11013" max="11013" width="33.21875" style="83" customWidth="1"/>
    <col min="11014" max="11264" width="8.77734375" style="83"/>
    <col min="11265" max="11265" width="12.21875" style="83" customWidth="1"/>
    <col min="11266" max="11266" width="29.21875" style="83" customWidth="1"/>
    <col min="11267" max="11267" width="14.21875" style="83" customWidth="1"/>
    <col min="11268" max="11268" width="62" style="83" customWidth="1"/>
    <col min="11269" max="11269" width="33.21875" style="83" customWidth="1"/>
    <col min="11270" max="11520" width="8.77734375" style="83"/>
    <col min="11521" max="11521" width="12.21875" style="83" customWidth="1"/>
    <col min="11522" max="11522" width="29.21875" style="83" customWidth="1"/>
    <col min="11523" max="11523" width="14.21875" style="83" customWidth="1"/>
    <col min="11524" max="11524" width="62" style="83" customWidth="1"/>
    <col min="11525" max="11525" width="33.21875" style="83" customWidth="1"/>
    <col min="11526" max="11776" width="8.77734375" style="83"/>
    <col min="11777" max="11777" width="12.21875" style="83" customWidth="1"/>
    <col min="11778" max="11778" width="29.21875" style="83" customWidth="1"/>
    <col min="11779" max="11779" width="14.21875" style="83" customWidth="1"/>
    <col min="11780" max="11780" width="62" style="83" customWidth="1"/>
    <col min="11781" max="11781" width="33.21875" style="83" customWidth="1"/>
    <col min="11782" max="12032" width="8.77734375" style="83"/>
    <col min="12033" max="12033" width="12.21875" style="83" customWidth="1"/>
    <col min="12034" max="12034" width="29.21875" style="83" customWidth="1"/>
    <col min="12035" max="12035" width="14.21875" style="83" customWidth="1"/>
    <col min="12036" max="12036" width="62" style="83" customWidth="1"/>
    <col min="12037" max="12037" width="33.21875" style="83" customWidth="1"/>
    <col min="12038" max="12288" width="8.77734375" style="83"/>
    <col min="12289" max="12289" width="12.21875" style="83" customWidth="1"/>
    <col min="12290" max="12290" width="29.21875" style="83" customWidth="1"/>
    <col min="12291" max="12291" width="14.21875" style="83" customWidth="1"/>
    <col min="12292" max="12292" width="62" style="83" customWidth="1"/>
    <col min="12293" max="12293" width="33.21875" style="83" customWidth="1"/>
    <col min="12294" max="12544" width="8.77734375" style="83"/>
    <col min="12545" max="12545" width="12.21875" style="83" customWidth="1"/>
    <col min="12546" max="12546" width="29.21875" style="83" customWidth="1"/>
    <col min="12547" max="12547" width="14.21875" style="83" customWidth="1"/>
    <col min="12548" max="12548" width="62" style="83" customWidth="1"/>
    <col min="12549" max="12549" width="33.21875" style="83" customWidth="1"/>
    <col min="12550" max="12800" width="8.77734375" style="83"/>
    <col min="12801" max="12801" width="12.21875" style="83" customWidth="1"/>
    <col min="12802" max="12802" width="29.21875" style="83" customWidth="1"/>
    <col min="12803" max="12803" width="14.21875" style="83" customWidth="1"/>
    <col min="12804" max="12804" width="62" style="83" customWidth="1"/>
    <col min="12805" max="12805" width="33.21875" style="83" customWidth="1"/>
    <col min="12806" max="13056" width="8.77734375" style="83"/>
    <col min="13057" max="13057" width="12.21875" style="83" customWidth="1"/>
    <col min="13058" max="13058" width="29.21875" style="83" customWidth="1"/>
    <col min="13059" max="13059" width="14.21875" style="83" customWidth="1"/>
    <col min="13060" max="13060" width="62" style="83" customWidth="1"/>
    <col min="13061" max="13061" width="33.21875" style="83" customWidth="1"/>
    <col min="13062" max="13312" width="8.77734375" style="83"/>
    <col min="13313" max="13313" width="12.21875" style="83" customWidth="1"/>
    <col min="13314" max="13314" width="29.21875" style="83" customWidth="1"/>
    <col min="13315" max="13315" width="14.21875" style="83" customWidth="1"/>
    <col min="13316" max="13316" width="62" style="83" customWidth="1"/>
    <col min="13317" max="13317" width="33.21875" style="83" customWidth="1"/>
    <col min="13318" max="13568" width="8.77734375" style="83"/>
    <col min="13569" max="13569" width="12.21875" style="83" customWidth="1"/>
    <col min="13570" max="13570" width="29.21875" style="83" customWidth="1"/>
    <col min="13571" max="13571" width="14.21875" style="83" customWidth="1"/>
    <col min="13572" max="13572" width="62" style="83" customWidth="1"/>
    <col min="13573" max="13573" width="33.21875" style="83" customWidth="1"/>
    <col min="13574" max="13824" width="8.77734375" style="83"/>
    <col min="13825" max="13825" width="12.21875" style="83" customWidth="1"/>
    <col min="13826" max="13826" width="29.21875" style="83" customWidth="1"/>
    <col min="13827" max="13827" width="14.21875" style="83" customWidth="1"/>
    <col min="13828" max="13828" width="62" style="83" customWidth="1"/>
    <col min="13829" max="13829" width="33.21875" style="83" customWidth="1"/>
    <col min="13830" max="14080" width="8.77734375" style="83"/>
    <col min="14081" max="14081" width="12.21875" style="83" customWidth="1"/>
    <col min="14082" max="14082" width="29.21875" style="83" customWidth="1"/>
    <col min="14083" max="14083" width="14.21875" style="83" customWidth="1"/>
    <col min="14084" max="14084" width="62" style="83" customWidth="1"/>
    <col min="14085" max="14085" width="33.21875" style="83" customWidth="1"/>
    <col min="14086" max="14336" width="8.77734375" style="83"/>
    <col min="14337" max="14337" width="12.21875" style="83" customWidth="1"/>
    <col min="14338" max="14338" width="29.21875" style="83" customWidth="1"/>
    <col min="14339" max="14339" width="14.21875" style="83" customWidth="1"/>
    <col min="14340" max="14340" width="62" style="83" customWidth="1"/>
    <col min="14341" max="14341" width="33.21875" style="83" customWidth="1"/>
    <col min="14342" max="14592" width="8.77734375" style="83"/>
    <col min="14593" max="14593" width="12.21875" style="83" customWidth="1"/>
    <col min="14594" max="14594" width="29.21875" style="83" customWidth="1"/>
    <col min="14595" max="14595" width="14.21875" style="83" customWidth="1"/>
    <col min="14596" max="14596" width="62" style="83" customWidth="1"/>
    <col min="14597" max="14597" width="33.21875" style="83" customWidth="1"/>
    <col min="14598" max="14848" width="8.77734375" style="83"/>
    <col min="14849" max="14849" width="12.21875" style="83" customWidth="1"/>
    <col min="14850" max="14850" width="29.21875" style="83" customWidth="1"/>
    <col min="14851" max="14851" width="14.21875" style="83" customWidth="1"/>
    <col min="14852" max="14852" width="62" style="83" customWidth="1"/>
    <col min="14853" max="14853" width="33.21875" style="83" customWidth="1"/>
    <col min="14854" max="15104" width="8.77734375" style="83"/>
    <col min="15105" max="15105" width="12.21875" style="83" customWidth="1"/>
    <col min="15106" max="15106" width="29.21875" style="83" customWidth="1"/>
    <col min="15107" max="15107" width="14.21875" style="83" customWidth="1"/>
    <col min="15108" max="15108" width="62" style="83" customWidth="1"/>
    <col min="15109" max="15109" width="33.21875" style="83" customWidth="1"/>
    <col min="15110" max="15360" width="8.77734375" style="83"/>
    <col min="15361" max="15361" width="12.21875" style="83" customWidth="1"/>
    <col min="15362" max="15362" width="29.21875" style="83" customWidth="1"/>
    <col min="15363" max="15363" width="14.21875" style="83" customWidth="1"/>
    <col min="15364" max="15364" width="62" style="83" customWidth="1"/>
    <col min="15365" max="15365" width="33.21875" style="83" customWidth="1"/>
    <col min="15366" max="15616" width="8.77734375" style="83"/>
    <col min="15617" max="15617" width="12.21875" style="83" customWidth="1"/>
    <col min="15618" max="15618" width="29.21875" style="83" customWidth="1"/>
    <col min="15619" max="15619" width="14.21875" style="83" customWidth="1"/>
    <col min="15620" max="15620" width="62" style="83" customWidth="1"/>
    <col min="15621" max="15621" width="33.21875" style="83" customWidth="1"/>
    <col min="15622" max="15872" width="8.77734375" style="83"/>
    <col min="15873" max="15873" width="12.21875" style="83" customWidth="1"/>
    <col min="15874" max="15874" width="29.21875" style="83" customWidth="1"/>
    <col min="15875" max="15875" width="14.21875" style="83" customWidth="1"/>
    <col min="15876" max="15876" width="62" style="83" customWidth="1"/>
    <col min="15877" max="15877" width="33.21875" style="83" customWidth="1"/>
    <col min="15878" max="16128" width="8.77734375" style="83"/>
    <col min="16129" max="16129" width="12.21875" style="83" customWidth="1"/>
    <col min="16130" max="16130" width="29.21875" style="83" customWidth="1"/>
    <col min="16131" max="16131" width="14.21875" style="83" customWidth="1"/>
    <col min="16132" max="16132" width="62" style="83" customWidth="1"/>
    <col min="16133" max="16133" width="33.21875" style="83" customWidth="1"/>
    <col min="16134" max="16384" width="8.77734375" style="83"/>
  </cols>
  <sheetData>
    <row r="1" spans="1:5">
      <c r="A1" s="2830" t="s">
        <v>1872</v>
      </c>
      <c r="B1" s="2830" t="s">
        <v>1874</v>
      </c>
      <c r="C1" s="2830" t="s">
        <v>1873</v>
      </c>
      <c r="D1" s="2830" t="s">
        <v>1875</v>
      </c>
      <c r="E1" s="2830" t="s">
        <v>2163</v>
      </c>
    </row>
    <row r="2" spans="1:5">
      <c r="A2" s="2831">
        <v>601</v>
      </c>
      <c r="B2" s="2831" t="s">
        <v>2164</v>
      </c>
      <c r="C2" s="2831">
        <v>1050</v>
      </c>
      <c r="D2" s="2831" t="s">
        <v>2165</v>
      </c>
      <c r="E2" s="2831" t="s">
        <v>2166</v>
      </c>
    </row>
    <row r="3" spans="1:5">
      <c r="A3" s="2831">
        <v>601</v>
      </c>
      <c r="B3" s="2831" t="s">
        <v>2164</v>
      </c>
      <c r="C3" s="2831">
        <v>177</v>
      </c>
      <c r="D3" s="2831" t="s">
        <v>2167</v>
      </c>
      <c r="E3" s="2831" t="s">
        <v>2166</v>
      </c>
    </row>
    <row r="4" spans="1:5">
      <c r="A4" s="2831">
        <v>601</v>
      </c>
      <c r="B4" s="2831" t="s">
        <v>2164</v>
      </c>
      <c r="C4" s="2831">
        <v>103</v>
      </c>
      <c r="D4" s="2831" t="s">
        <v>2168</v>
      </c>
      <c r="E4" s="2831" t="s">
        <v>2169</v>
      </c>
    </row>
    <row r="5" spans="1:5">
      <c r="A5" s="2831">
        <v>601</v>
      </c>
      <c r="B5" s="2831" t="s">
        <v>2164</v>
      </c>
      <c r="C5" s="2831">
        <v>195</v>
      </c>
      <c r="D5" s="2831" t="s">
        <v>2170</v>
      </c>
      <c r="E5" s="2831" t="s">
        <v>2169</v>
      </c>
    </row>
    <row r="6" spans="1:5">
      <c r="A6" s="2831">
        <v>601</v>
      </c>
      <c r="B6" s="2831" t="s">
        <v>2164</v>
      </c>
      <c r="C6" s="2831">
        <v>5050</v>
      </c>
      <c r="D6" s="2831" t="s">
        <v>2171</v>
      </c>
      <c r="E6" s="2831" t="s">
        <v>2166</v>
      </c>
    </row>
    <row r="7" spans="1:5">
      <c r="A7" s="2831">
        <v>602</v>
      </c>
      <c r="B7" s="2831" t="s">
        <v>2172</v>
      </c>
      <c r="C7" s="2831">
        <v>103</v>
      </c>
      <c r="D7" s="2831" t="s">
        <v>2173</v>
      </c>
      <c r="E7" s="2831" t="s">
        <v>2174</v>
      </c>
    </row>
    <row r="8" spans="1:5">
      <c r="A8" s="2831">
        <v>602</v>
      </c>
      <c r="B8" s="2831" t="s">
        <v>2172</v>
      </c>
      <c r="C8" s="2831">
        <v>111</v>
      </c>
      <c r="D8" s="2831" t="s">
        <v>2175</v>
      </c>
      <c r="E8" s="2831" t="s">
        <v>2166</v>
      </c>
    </row>
    <row r="9" spans="1:5">
      <c r="A9" s="2831">
        <v>602</v>
      </c>
      <c r="B9" s="2831" t="s">
        <v>2172</v>
      </c>
      <c r="C9" s="2831">
        <v>190</v>
      </c>
      <c r="D9" s="2831" t="s">
        <v>2176</v>
      </c>
      <c r="E9" s="2831" t="s">
        <v>2174</v>
      </c>
    </row>
    <row r="10" spans="1:5">
      <c r="A10" s="2831">
        <v>602</v>
      </c>
      <c r="B10" s="2831" t="s">
        <v>2172</v>
      </c>
      <c r="C10" s="2831">
        <v>187</v>
      </c>
      <c r="D10" s="2831" t="s">
        <v>2177</v>
      </c>
      <c r="E10" s="2831" t="s">
        <v>2174</v>
      </c>
    </row>
    <row r="11" spans="1:5">
      <c r="A11" s="2831">
        <v>761</v>
      </c>
      <c r="B11" s="2831" t="s">
        <v>2178</v>
      </c>
      <c r="C11" s="2831">
        <v>415</v>
      </c>
      <c r="D11" s="2831" t="s">
        <v>2179</v>
      </c>
      <c r="E11" s="2831" t="s">
        <v>2166</v>
      </c>
    </row>
    <row r="12" spans="1:5">
      <c r="A12" s="2831">
        <v>761</v>
      </c>
      <c r="B12" s="2831" t="s">
        <v>2178</v>
      </c>
      <c r="C12" s="2831">
        <v>505</v>
      </c>
      <c r="D12" s="2831" t="s">
        <v>2180</v>
      </c>
      <c r="E12" s="2831" t="s">
        <v>2166</v>
      </c>
    </row>
    <row r="13" spans="1:5">
      <c r="A13" s="2831">
        <v>761</v>
      </c>
      <c r="B13" s="2831" t="s">
        <v>2178</v>
      </c>
      <c r="C13" s="2831">
        <v>206</v>
      </c>
      <c r="D13" s="2831" t="s">
        <v>2181</v>
      </c>
      <c r="E13" s="2831" t="s">
        <v>2166</v>
      </c>
    </row>
    <row r="14" spans="1:5">
      <c r="A14" s="2831">
        <v>761</v>
      </c>
      <c r="B14" s="2831" t="s">
        <v>2178</v>
      </c>
      <c r="C14" s="2831">
        <v>1411</v>
      </c>
      <c r="D14" s="2831" t="s">
        <v>2182</v>
      </c>
      <c r="E14" s="2831" t="s">
        <v>2166</v>
      </c>
    </row>
    <row r="15" spans="1:5">
      <c r="A15" s="2831">
        <v>761</v>
      </c>
      <c r="B15" s="2831" t="s">
        <v>2178</v>
      </c>
      <c r="C15" s="2831">
        <v>5066</v>
      </c>
      <c r="D15" s="2831" t="s">
        <v>2183</v>
      </c>
      <c r="E15" s="2831" t="s">
        <v>2174</v>
      </c>
    </row>
    <row r="16" spans="1:5">
      <c r="A16" s="2831">
        <v>761</v>
      </c>
      <c r="B16" s="2831" t="s">
        <v>2178</v>
      </c>
      <c r="C16" s="2831">
        <v>604</v>
      </c>
      <c r="D16" s="2831" t="s">
        <v>2184</v>
      </c>
      <c r="E16" s="2831" t="s">
        <v>2174</v>
      </c>
    </row>
    <row r="17" spans="1:5">
      <c r="A17" s="2831">
        <v>761</v>
      </c>
      <c r="B17" s="2831" t="s">
        <v>2178</v>
      </c>
      <c r="C17" s="2831">
        <v>3051</v>
      </c>
      <c r="D17" s="2831" t="s">
        <v>2185</v>
      </c>
      <c r="E17" s="2831" t="s">
        <v>2166</v>
      </c>
    </row>
    <row r="18" spans="1:5">
      <c r="A18" s="2831">
        <v>761</v>
      </c>
      <c r="B18" s="2831" t="s">
        <v>2178</v>
      </c>
      <c r="C18" s="2831">
        <v>182</v>
      </c>
      <c r="D18" s="2831" t="s">
        <v>2186</v>
      </c>
      <c r="E18" s="2831" t="s">
        <v>2174</v>
      </c>
    </row>
    <row r="19" spans="1:5">
      <c r="A19" s="2831">
        <v>761</v>
      </c>
      <c r="B19" s="2831" t="s">
        <v>2178</v>
      </c>
      <c r="C19" s="2831">
        <v>5051</v>
      </c>
      <c r="D19" s="2831" t="s">
        <v>2187</v>
      </c>
      <c r="E19" s="2831" t="s">
        <v>2169</v>
      </c>
    </row>
    <row r="20" spans="1:5">
      <c r="A20" s="2831">
        <v>761</v>
      </c>
      <c r="B20" s="2831" t="s">
        <v>2178</v>
      </c>
      <c r="C20" s="2831">
        <v>303</v>
      </c>
      <c r="D20" s="2831" t="s">
        <v>2188</v>
      </c>
      <c r="E20" s="2831" t="s">
        <v>2174</v>
      </c>
    </row>
    <row r="21" spans="1:5">
      <c r="A21" s="2831">
        <v>761</v>
      </c>
      <c r="B21" s="2831" t="s">
        <v>2178</v>
      </c>
      <c r="C21" s="2831">
        <v>315</v>
      </c>
      <c r="D21" s="2831" t="s">
        <v>2189</v>
      </c>
      <c r="E21" s="2831" t="s">
        <v>2169</v>
      </c>
    </row>
    <row r="22" spans="1:5">
      <c r="A22" s="2831">
        <v>761</v>
      </c>
      <c r="B22" s="2831" t="s">
        <v>2178</v>
      </c>
      <c r="C22" s="2831">
        <v>305</v>
      </c>
      <c r="D22" s="2831" t="s">
        <v>2190</v>
      </c>
      <c r="E22" s="2831" t="s">
        <v>2166</v>
      </c>
    </row>
    <row r="23" spans="1:5">
      <c r="A23" s="2831">
        <v>761</v>
      </c>
      <c r="B23" s="2831" t="s">
        <v>2178</v>
      </c>
      <c r="C23" s="2831">
        <v>1413</v>
      </c>
      <c r="D23" s="2831" t="s">
        <v>2191</v>
      </c>
      <c r="E23" s="2831" t="s">
        <v>2166</v>
      </c>
    </row>
    <row r="24" spans="1:5">
      <c r="A24" s="2831">
        <v>761</v>
      </c>
      <c r="B24" s="2831" t="s">
        <v>2178</v>
      </c>
      <c r="C24" s="2831">
        <v>106</v>
      </c>
      <c r="D24" s="2831" t="s">
        <v>2192</v>
      </c>
      <c r="E24" s="2831" t="s">
        <v>2166</v>
      </c>
    </row>
    <row r="25" spans="1:5">
      <c r="A25" s="2831">
        <v>761</v>
      </c>
      <c r="B25" s="2831" t="s">
        <v>2178</v>
      </c>
      <c r="C25" s="2831">
        <v>196</v>
      </c>
      <c r="D25" s="2831" t="s">
        <v>2193</v>
      </c>
      <c r="E25" s="2831" t="s">
        <v>2174</v>
      </c>
    </row>
    <row r="26" spans="1:5">
      <c r="A26" s="2831">
        <v>761</v>
      </c>
      <c r="B26" s="2831" t="s">
        <v>2178</v>
      </c>
      <c r="C26" s="2831">
        <v>199</v>
      </c>
      <c r="D26" s="2831" t="s">
        <v>2194</v>
      </c>
      <c r="E26" s="2831" t="s">
        <v>2174</v>
      </c>
    </row>
    <row r="27" spans="1:5">
      <c r="A27" s="2831">
        <v>761</v>
      </c>
      <c r="B27" s="2831" t="s">
        <v>2178</v>
      </c>
      <c r="C27" s="2831">
        <v>515</v>
      </c>
      <c r="D27" s="2831" t="s">
        <v>2195</v>
      </c>
      <c r="E27" s="2831" t="s">
        <v>2166</v>
      </c>
    </row>
    <row r="28" spans="1:5">
      <c r="A28" s="2831">
        <v>761</v>
      </c>
      <c r="B28" s="2831" t="s">
        <v>2178</v>
      </c>
      <c r="C28" s="2831">
        <v>2560</v>
      </c>
      <c r="D28" s="2831" t="s">
        <v>2196</v>
      </c>
      <c r="E28" s="2831" t="s">
        <v>2166</v>
      </c>
    </row>
    <row r="29" spans="1:5">
      <c r="A29" s="2831">
        <v>761</v>
      </c>
      <c r="B29" s="2831" t="s">
        <v>2178</v>
      </c>
      <c r="C29" s="2831">
        <v>201</v>
      </c>
      <c r="D29" s="2831" t="s">
        <v>2197</v>
      </c>
      <c r="E29" s="2831" t="s">
        <v>2174</v>
      </c>
    </row>
    <row r="30" spans="1:5">
      <c r="A30" s="2831">
        <v>761</v>
      </c>
      <c r="B30" s="2831" t="s">
        <v>2178</v>
      </c>
      <c r="C30" s="2831">
        <v>4056</v>
      </c>
      <c r="D30" s="2831" t="s">
        <v>2198</v>
      </c>
      <c r="E30" s="2831" t="s">
        <v>2166</v>
      </c>
    </row>
    <row r="31" spans="1:5">
      <c r="A31" s="2831">
        <v>761</v>
      </c>
      <c r="B31" s="2831" t="s">
        <v>2178</v>
      </c>
      <c r="C31" s="2831">
        <v>3057</v>
      </c>
      <c r="D31" s="2831" t="s">
        <v>2199</v>
      </c>
      <c r="E31" s="2831" t="s">
        <v>2166</v>
      </c>
    </row>
    <row r="32" spans="1:5">
      <c r="A32" s="2831">
        <v>761</v>
      </c>
      <c r="B32" s="2831" t="s">
        <v>2178</v>
      </c>
      <c r="C32" s="2831">
        <v>1410</v>
      </c>
      <c r="D32" s="2831" t="s">
        <v>2200</v>
      </c>
      <c r="E32" s="2831" t="s">
        <v>2174</v>
      </c>
    </row>
    <row r="33" spans="1:5">
      <c r="A33" s="2831">
        <v>761</v>
      </c>
      <c r="B33" s="2831" t="s">
        <v>2178</v>
      </c>
      <c r="C33" s="2831">
        <v>173</v>
      </c>
      <c r="D33" s="2831" t="s">
        <v>2201</v>
      </c>
      <c r="E33" s="2831" t="s">
        <v>2166</v>
      </c>
    </row>
    <row r="34" spans="1:5">
      <c r="A34" s="2831">
        <v>761</v>
      </c>
      <c r="B34" s="2831" t="s">
        <v>2178</v>
      </c>
      <c r="C34" s="2831">
        <v>1409</v>
      </c>
      <c r="D34" s="2831" t="s">
        <v>2202</v>
      </c>
      <c r="E34" s="2831" t="s">
        <v>2169</v>
      </c>
    </row>
    <row r="35" spans="1:5">
      <c r="A35" s="2831">
        <v>761</v>
      </c>
      <c r="B35" s="2831" t="s">
        <v>2178</v>
      </c>
      <c r="C35" s="2831">
        <v>1563</v>
      </c>
      <c r="D35" s="2831" t="s">
        <v>2203</v>
      </c>
      <c r="E35" s="2831" t="s">
        <v>2174</v>
      </c>
    </row>
    <row r="36" spans="1:5">
      <c r="A36" s="2831">
        <v>761</v>
      </c>
      <c r="B36" s="2831" t="s">
        <v>2178</v>
      </c>
      <c r="C36" s="2831">
        <v>304</v>
      </c>
      <c r="D36" s="2831" t="s">
        <v>2204</v>
      </c>
      <c r="E36" s="2831" t="s">
        <v>2174</v>
      </c>
    </row>
    <row r="37" spans="1:5">
      <c r="A37" s="2831">
        <v>761</v>
      </c>
      <c r="B37" s="2831" t="s">
        <v>2178</v>
      </c>
      <c r="C37" s="2831">
        <v>1066</v>
      </c>
      <c r="D37" s="2831" t="s">
        <v>2205</v>
      </c>
      <c r="E37" s="2831" t="s">
        <v>2169</v>
      </c>
    </row>
    <row r="38" spans="1:5">
      <c r="A38" s="2831">
        <v>761</v>
      </c>
      <c r="B38" s="2831" t="s">
        <v>2178</v>
      </c>
      <c r="C38" s="2831">
        <v>1063</v>
      </c>
      <c r="D38" s="2831" t="s">
        <v>2206</v>
      </c>
      <c r="E38" s="2831" t="s">
        <v>2169</v>
      </c>
    </row>
    <row r="39" spans="1:5">
      <c r="A39" s="2831">
        <v>761</v>
      </c>
      <c r="B39" s="2831" t="s">
        <v>2178</v>
      </c>
      <c r="C39" s="2831">
        <v>5566</v>
      </c>
      <c r="D39" s="2831" t="s">
        <v>2207</v>
      </c>
      <c r="E39" s="2831" t="s">
        <v>2174</v>
      </c>
    </row>
    <row r="40" spans="1:5">
      <c r="A40" s="2831">
        <v>761</v>
      </c>
      <c r="B40" s="2831" t="s">
        <v>2178</v>
      </c>
      <c r="C40" s="2831">
        <v>105</v>
      </c>
      <c r="D40" s="2831" t="s">
        <v>2208</v>
      </c>
      <c r="E40" s="2831" t="s">
        <v>2174</v>
      </c>
    </row>
    <row r="41" spans="1:5">
      <c r="A41" s="2831">
        <v>761</v>
      </c>
      <c r="B41" s="2831" t="s">
        <v>2178</v>
      </c>
      <c r="C41" s="2831">
        <v>5567</v>
      </c>
      <c r="D41" s="2831" t="s">
        <v>2209</v>
      </c>
      <c r="E41" s="2831" t="s">
        <v>2166</v>
      </c>
    </row>
    <row r="42" spans="1:5">
      <c r="A42" s="2831">
        <v>761</v>
      </c>
      <c r="B42" s="2831" t="s">
        <v>2178</v>
      </c>
      <c r="C42" s="2831">
        <v>4058</v>
      </c>
      <c r="D42" s="2831" t="s">
        <v>2210</v>
      </c>
      <c r="E42" s="2831" t="s">
        <v>2174</v>
      </c>
    </row>
    <row r="43" spans="1:5">
      <c r="A43" s="2831">
        <v>761</v>
      </c>
      <c r="B43" s="2831" t="s">
        <v>2178</v>
      </c>
      <c r="C43" s="2831">
        <v>1560</v>
      </c>
      <c r="D43" s="2831" t="s">
        <v>2211</v>
      </c>
      <c r="E43" s="2831" t="s">
        <v>2166</v>
      </c>
    </row>
    <row r="44" spans="1:5">
      <c r="A44" s="2831">
        <v>761</v>
      </c>
      <c r="B44" s="2831" t="s">
        <v>2178</v>
      </c>
      <c r="C44" s="2831">
        <v>403</v>
      </c>
      <c r="D44" s="2831" t="s">
        <v>2212</v>
      </c>
      <c r="E44" s="2831" t="s">
        <v>2166</v>
      </c>
    </row>
    <row r="45" spans="1:5">
      <c r="A45" s="2831">
        <v>761</v>
      </c>
      <c r="B45" s="2831" t="s">
        <v>2178</v>
      </c>
      <c r="C45" s="2831">
        <v>1421</v>
      </c>
      <c r="D45" s="2831" t="s">
        <v>2213</v>
      </c>
      <c r="E45" s="2831" t="s">
        <v>2174</v>
      </c>
    </row>
    <row r="46" spans="1:5">
      <c r="A46" s="2831">
        <v>761</v>
      </c>
      <c r="B46" s="2831" t="s">
        <v>2178</v>
      </c>
      <c r="C46" s="2831">
        <v>103</v>
      </c>
      <c r="D46" s="2831" t="s">
        <v>2214</v>
      </c>
      <c r="E46" s="2831" t="s">
        <v>2169</v>
      </c>
    </row>
    <row r="47" spans="1:5">
      <c r="A47" s="2831">
        <v>761</v>
      </c>
      <c r="B47" s="2831" t="s">
        <v>2178</v>
      </c>
      <c r="C47" s="2831">
        <v>100</v>
      </c>
      <c r="D47" s="2831" t="s">
        <v>2215</v>
      </c>
      <c r="E47" s="2831" t="s">
        <v>2166</v>
      </c>
    </row>
    <row r="48" spans="1:5">
      <c r="A48" s="2831">
        <v>761</v>
      </c>
      <c r="B48" s="2831" t="s">
        <v>2178</v>
      </c>
      <c r="C48" s="2831">
        <v>2563</v>
      </c>
      <c r="D48" s="2831" t="s">
        <v>2216</v>
      </c>
      <c r="E48" s="2831" t="s">
        <v>2166</v>
      </c>
    </row>
    <row r="49" spans="1:5">
      <c r="A49" s="2831">
        <v>761</v>
      </c>
      <c r="B49" s="2831" t="s">
        <v>2178</v>
      </c>
      <c r="C49" s="2831">
        <v>282</v>
      </c>
      <c r="D49" s="2831" t="s">
        <v>2217</v>
      </c>
      <c r="E49" s="2831" t="s">
        <v>2169</v>
      </c>
    </row>
    <row r="50" spans="1:5">
      <c r="A50" s="2831">
        <v>761</v>
      </c>
      <c r="B50" s="2831" t="s">
        <v>2178</v>
      </c>
      <c r="C50" s="2831">
        <v>1418</v>
      </c>
      <c r="D50" s="2831" t="s">
        <v>2218</v>
      </c>
      <c r="E50" s="2831" t="s">
        <v>2169</v>
      </c>
    </row>
    <row r="51" spans="1:5">
      <c r="A51" s="2831">
        <v>761</v>
      </c>
      <c r="B51" s="2831" t="s">
        <v>2178</v>
      </c>
      <c r="C51" s="2831">
        <v>104</v>
      </c>
      <c r="D51" s="2831" t="s">
        <v>2219</v>
      </c>
      <c r="E51" s="2831" t="s">
        <v>2166</v>
      </c>
    </row>
    <row r="52" spans="1:5">
      <c r="A52" s="2831">
        <v>761</v>
      </c>
      <c r="B52" s="2831" t="s">
        <v>2178</v>
      </c>
      <c r="C52" s="2831">
        <v>5562</v>
      </c>
      <c r="D52" s="2831" t="s">
        <v>2220</v>
      </c>
      <c r="E52" s="2831" t="s">
        <v>2169</v>
      </c>
    </row>
    <row r="53" spans="1:5">
      <c r="A53" s="2831">
        <v>761</v>
      </c>
      <c r="B53" s="2831" t="s">
        <v>2178</v>
      </c>
      <c r="C53" s="2831">
        <v>288</v>
      </c>
      <c r="D53" s="2831" t="s">
        <v>2221</v>
      </c>
      <c r="E53" s="2831" t="s">
        <v>2174</v>
      </c>
    </row>
    <row r="54" spans="1:5">
      <c r="A54" s="2831">
        <v>761</v>
      </c>
      <c r="B54" s="2831" t="s">
        <v>2178</v>
      </c>
      <c r="C54" s="2831">
        <v>1422</v>
      </c>
      <c r="D54" s="2831" t="s">
        <v>2222</v>
      </c>
      <c r="E54" s="2831" t="s">
        <v>2166</v>
      </c>
    </row>
    <row r="55" spans="1:5">
      <c r="A55" s="2831">
        <v>761</v>
      </c>
      <c r="B55" s="2831" t="s">
        <v>2178</v>
      </c>
      <c r="C55" s="2831">
        <v>1419</v>
      </c>
      <c r="D55" s="2831" t="s">
        <v>2223</v>
      </c>
      <c r="E55" s="2831" t="s">
        <v>2169</v>
      </c>
    </row>
    <row r="56" spans="1:5">
      <c r="A56" s="2831">
        <v>761</v>
      </c>
      <c r="B56" s="2831" t="s">
        <v>2178</v>
      </c>
      <c r="C56" s="2831">
        <v>213</v>
      </c>
      <c r="D56" s="2831" t="s">
        <v>2224</v>
      </c>
      <c r="E56" s="2831" t="s">
        <v>2169</v>
      </c>
    </row>
    <row r="57" spans="1:5">
      <c r="A57" s="2831">
        <v>761</v>
      </c>
      <c r="B57" s="2831" t="s">
        <v>2178</v>
      </c>
      <c r="C57" s="2831">
        <v>122</v>
      </c>
      <c r="D57" s="2831" t="s">
        <v>2225</v>
      </c>
      <c r="E57" s="2831" t="s">
        <v>2169</v>
      </c>
    </row>
    <row r="58" spans="1:5">
      <c r="A58" s="2831">
        <v>761</v>
      </c>
      <c r="B58" s="2831" t="s">
        <v>2178</v>
      </c>
      <c r="C58" s="2831">
        <v>214</v>
      </c>
      <c r="D58" s="2831" t="s">
        <v>2226</v>
      </c>
      <c r="E58" s="2831" t="s">
        <v>2169</v>
      </c>
    </row>
    <row r="59" spans="1:5">
      <c r="A59" s="2831">
        <v>761</v>
      </c>
      <c r="B59" s="2831" t="s">
        <v>2178</v>
      </c>
      <c r="C59" s="2831">
        <v>605</v>
      </c>
      <c r="D59" s="2831" t="s">
        <v>2227</v>
      </c>
      <c r="E59" s="2831" t="s">
        <v>2169</v>
      </c>
    </row>
    <row r="60" spans="1:5">
      <c r="A60" s="2831">
        <v>761</v>
      </c>
      <c r="B60" s="2831" t="s">
        <v>2178</v>
      </c>
      <c r="C60" s="2831">
        <v>1417</v>
      </c>
      <c r="D60" s="2831" t="s">
        <v>2228</v>
      </c>
      <c r="E60" s="2831" t="s">
        <v>2166</v>
      </c>
    </row>
    <row r="61" spans="1:5">
      <c r="A61" s="2831">
        <v>761</v>
      </c>
      <c r="B61" s="2831" t="s">
        <v>2178</v>
      </c>
      <c r="C61" s="2831">
        <v>212</v>
      </c>
      <c r="D61" s="2831" t="s">
        <v>2229</v>
      </c>
      <c r="E61" s="2831" t="s">
        <v>2169</v>
      </c>
    </row>
    <row r="62" spans="1:5">
      <c r="A62" s="2831">
        <v>761</v>
      </c>
      <c r="B62" s="2831" t="s">
        <v>2178</v>
      </c>
      <c r="C62" s="2831">
        <v>115</v>
      </c>
      <c r="D62" s="2831" t="s">
        <v>2230</v>
      </c>
      <c r="E62" s="2831" t="s">
        <v>2169</v>
      </c>
    </row>
    <row r="63" spans="1:5">
      <c r="A63" s="2831">
        <v>761</v>
      </c>
      <c r="B63" s="2831" t="s">
        <v>2178</v>
      </c>
      <c r="C63" s="2831">
        <v>215</v>
      </c>
      <c r="D63" s="2831" t="s">
        <v>2231</v>
      </c>
      <c r="E63" s="2831" t="s">
        <v>2169</v>
      </c>
    </row>
    <row r="64" spans="1:5">
      <c r="A64" s="2831">
        <v>761</v>
      </c>
      <c r="B64" s="2831" t="s">
        <v>2178</v>
      </c>
      <c r="C64" s="2831">
        <v>1064</v>
      </c>
      <c r="D64" s="2831" t="s">
        <v>2232</v>
      </c>
      <c r="E64" s="2831" t="s">
        <v>2174</v>
      </c>
    </row>
    <row r="65" spans="1:5">
      <c r="A65" s="2831">
        <v>761</v>
      </c>
      <c r="B65" s="2831" t="s">
        <v>2178</v>
      </c>
      <c r="C65" s="2831">
        <v>4063</v>
      </c>
      <c r="D65" s="2831" t="s">
        <v>2233</v>
      </c>
      <c r="E65" s="2831" t="s">
        <v>2169</v>
      </c>
    </row>
    <row r="66" spans="1:5">
      <c r="A66" s="2831">
        <v>761</v>
      </c>
      <c r="B66" s="2831" t="s">
        <v>2178</v>
      </c>
      <c r="C66" s="2831">
        <v>373</v>
      </c>
      <c r="D66" s="2831" t="s">
        <v>2234</v>
      </c>
      <c r="E66" s="2831" t="s">
        <v>2169</v>
      </c>
    </row>
    <row r="67" spans="1:5">
      <c r="A67" s="2831">
        <v>761</v>
      </c>
      <c r="B67" s="2831" t="s">
        <v>2178</v>
      </c>
      <c r="C67" s="2831">
        <v>2564</v>
      </c>
      <c r="D67" s="2831" t="s">
        <v>2235</v>
      </c>
      <c r="E67" s="2831" t="s">
        <v>2166</v>
      </c>
    </row>
    <row r="68" spans="1:5">
      <c r="A68" s="2831">
        <v>761</v>
      </c>
      <c r="B68" s="2831" t="s">
        <v>2178</v>
      </c>
      <c r="C68" s="2831">
        <v>186</v>
      </c>
      <c r="D68" s="2831" t="s">
        <v>2236</v>
      </c>
      <c r="E68" s="2831" t="s">
        <v>2174</v>
      </c>
    </row>
    <row r="69" spans="1:5">
      <c r="A69" s="2831">
        <v>761</v>
      </c>
      <c r="B69" s="2831" t="s">
        <v>2178</v>
      </c>
      <c r="C69" s="2831">
        <v>1414</v>
      </c>
      <c r="D69" s="2831" t="s">
        <v>2237</v>
      </c>
      <c r="E69" s="2831" t="s">
        <v>2174</v>
      </c>
    </row>
    <row r="70" spans="1:5">
      <c r="A70" s="2831">
        <v>761</v>
      </c>
      <c r="B70" s="2831" t="s">
        <v>2178</v>
      </c>
      <c r="C70" s="2831">
        <v>4560</v>
      </c>
      <c r="D70" s="2831" t="s">
        <v>2238</v>
      </c>
      <c r="E70" s="2831" t="s">
        <v>2174</v>
      </c>
    </row>
    <row r="71" spans="1:5">
      <c r="A71" s="2831">
        <v>761</v>
      </c>
      <c r="B71" s="2831" t="s">
        <v>2178</v>
      </c>
      <c r="C71" s="2831">
        <v>513</v>
      </c>
      <c r="D71" s="2831" t="s">
        <v>2239</v>
      </c>
      <c r="E71" s="2831" t="s">
        <v>2166</v>
      </c>
    </row>
    <row r="72" spans="1:5">
      <c r="A72" s="2831">
        <v>761</v>
      </c>
      <c r="B72" s="2831" t="s">
        <v>2178</v>
      </c>
      <c r="C72" s="2831">
        <v>1664</v>
      </c>
      <c r="D72" s="2831" t="s">
        <v>2240</v>
      </c>
      <c r="E72" s="2831" t="s">
        <v>2169</v>
      </c>
    </row>
    <row r="73" spans="1:5">
      <c r="A73" s="2831">
        <v>761</v>
      </c>
      <c r="B73" s="2831" t="s">
        <v>2178</v>
      </c>
      <c r="C73" s="2831">
        <v>2053</v>
      </c>
      <c r="D73" s="2831" t="s">
        <v>2241</v>
      </c>
      <c r="E73" s="2831" t="s">
        <v>2174</v>
      </c>
    </row>
    <row r="74" spans="1:5">
      <c r="A74" s="2831">
        <v>761</v>
      </c>
      <c r="B74" s="2831" t="s">
        <v>2178</v>
      </c>
      <c r="C74" s="2831">
        <v>192</v>
      </c>
      <c r="D74" s="2831" t="s">
        <v>2242</v>
      </c>
      <c r="E74" s="2831" t="s">
        <v>2166</v>
      </c>
    </row>
    <row r="75" spans="1:5">
      <c r="A75" s="2831">
        <v>761</v>
      </c>
      <c r="B75" s="2831" t="s">
        <v>2178</v>
      </c>
      <c r="C75" s="2831">
        <v>101</v>
      </c>
      <c r="D75" s="2831" t="s">
        <v>2243</v>
      </c>
      <c r="E75" s="2831" t="s">
        <v>2174</v>
      </c>
    </row>
    <row r="76" spans="1:5">
      <c r="A76" s="2831">
        <v>761</v>
      </c>
      <c r="B76" s="2831" t="s">
        <v>2178</v>
      </c>
      <c r="C76" s="2831">
        <v>5558</v>
      </c>
      <c r="D76" s="2831" t="s">
        <v>2244</v>
      </c>
      <c r="E76" s="2831" t="s">
        <v>2174</v>
      </c>
    </row>
    <row r="77" spans="1:5">
      <c r="A77" s="2831">
        <v>761</v>
      </c>
      <c r="B77" s="2831" t="s">
        <v>2178</v>
      </c>
      <c r="C77" s="2831">
        <v>3065</v>
      </c>
      <c r="D77" s="2831" t="s">
        <v>2245</v>
      </c>
      <c r="E77" s="2831" t="s">
        <v>2166</v>
      </c>
    </row>
    <row r="78" spans="1:5">
      <c r="A78" s="2831">
        <v>761</v>
      </c>
      <c r="B78" s="2831" t="s">
        <v>2178</v>
      </c>
      <c r="C78" s="2831">
        <v>3559</v>
      </c>
      <c r="D78" s="2831" t="s">
        <v>2246</v>
      </c>
      <c r="E78" s="2831" t="s">
        <v>2166</v>
      </c>
    </row>
    <row r="79" spans="1:5">
      <c r="A79" s="2831">
        <v>761</v>
      </c>
      <c r="B79" s="2831" t="s">
        <v>2178</v>
      </c>
      <c r="C79" s="2831">
        <v>180</v>
      </c>
      <c r="D79" s="2831" t="s">
        <v>2247</v>
      </c>
      <c r="E79" s="2831" t="s">
        <v>2169</v>
      </c>
    </row>
    <row r="80" spans="1:5">
      <c r="A80" s="2831">
        <v>761</v>
      </c>
      <c r="B80" s="2831" t="s">
        <v>2178</v>
      </c>
      <c r="C80" s="2831">
        <v>1567</v>
      </c>
      <c r="D80" s="2831" t="s">
        <v>2248</v>
      </c>
      <c r="E80" s="2831" t="s">
        <v>2169</v>
      </c>
    </row>
    <row r="81" spans="1:5">
      <c r="A81" s="2831">
        <v>761</v>
      </c>
      <c r="B81" s="2831" t="s">
        <v>2178</v>
      </c>
      <c r="C81" s="2831">
        <v>1412</v>
      </c>
      <c r="D81" s="2831" t="s">
        <v>2249</v>
      </c>
      <c r="E81" s="2831" t="s">
        <v>2166</v>
      </c>
    </row>
    <row r="82" spans="1:5">
      <c r="A82" s="2831">
        <v>761</v>
      </c>
      <c r="B82" s="2831" t="s">
        <v>2178</v>
      </c>
      <c r="C82" s="2831">
        <v>116</v>
      </c>
      <c r="D82" s="2831" t="s">
        <v>2250</v>
      </c>
      <c r="E82" s="2831" t="s">
        <v>2174</v>
      </c>
    </row>
    <row r="83" spans="1:5">
      <c r="A83" s="2831">
        <v>761</v>
      </c>
      <c r="B83" s="2831" t="s">
        <v>2178</v>
      </c>
      <c r="C83" s="2831">
        <v>188</v>
      </c>
      <c r="D83" s="2831" t="s">
        <v>2251</v>
      </c>
      <c r="E83" s="2831" t="s">
        <v>2174</v>
      </c>
    </row>
    <row r="84" spans="1:5">
      <c r="A84" s="2831">
        <v>761</v>
      </c>
      <c r="B84" s="2831" t="s">
        <v>2178</v>
      </c>
      <c r="C84" s="2831">
        <v>296</v>
      </c>
      <c r="D84" s="2831" t="s">
        <v>2252</v>
      </c>
      <c r="E84" s="2831" t="s">
        <v>2174</v>
      </c>
    </row>
    <row r="85" spans="1:5">
      <c r="A85" s="2831">
        <v>761</v>
      </c>
      <c r="B85" s="2831" t="s">
        <v>2178</v>
      </c>
      <c r="C85" s="2831">
        <v>2062</v>
      </c>
      <c r="D85" s="2831" t="s">
        <v>2253</v>
      </c>
      <c r="E85" s="2831" t="s">
        <v>2166</v>
      </c>
    </row>
    <row r="86" spans="1:5">
      <c r="A86" s="2831">
        <v>761</v>
      </c>
      <c r="B86" s="2831" t="s">
        <v>2178</v>
      </c>
      <c r="C86" s="2831">
        <v>123</v>
      </c>
      <c r="D86" s="2831" t="s">
        <v>2254</v>
      </c>
      <c r="E86" s="2831" t="s">
        <v>2169</v>
      </c>
    </row>
    <row r="87" spans="1:5">
      <c r="A87" s="2831">
        <v>761</v>
      </c>
      <c r="B87" s="2831" t="s">
        <v>2178</v>
      </c>
      <c r="C87" s="2831">
        <v>4066</v>
      </c>
      <c r="D87" s="2831" t="s">
        <v>2255</v>
      </c>
      <c r="E87" s="2831" t="s">
        <v>2169</v>
      </c>
    </row>
    <row r="88" spans="1:5">
      <c r="A88" s="2831">
        <v>761</v>
      </c>
      <c r="B88" s="2831" t="s">
        <v>2178</v>
      </c>
      <c r="C88" s="2831">
        <v>1416</v>
      </c>
      <c r="D88" s="2831" t="s">
        <v>2256</v>
      </c>
      <c r="E88" s="2831" t="s">
        <v>2174</v>
      </c>
    </row>
    <row r="89" spans="1:5">
      <c r="A89" s="2831">
        <v>761</v>
      </c>
      <c r="B89" s="2831" t="s">
        <v>2178</v>
      </c>
      <c r="C89" s="2831">
        <v>1424</v>
      </c>
      <c r="D89" s="2831" t="s">
        <v>2257</v>
      </c>
      <c r="E89" s="2831" t="s">
        <v>2174</v>
      </c>
    </row>
    <row r="90" spans="1:5">
      <c r="A90" s="2831">
        <v>761</v>
      </c>
      <c r="B90" s="2831" t="s">
        <v>2178</v>
      </c>
      <c r="C90" s="2831">
        <v>1208</v>
      </c>
      <c r="D90" s="2831" t="s">
        <v>2258</v>
      </c>
      <c r="E90" s="2831" t="s">
        <v>2166</v>
      </c>
    </row>
    <row r="91" spans="1:5">
      <c r="A91" s="2831">
        <v>761</v>
      </c>
      <c r="B91" s="2831" t="s">
        <v>2178</v>
      </c>
      <c r="C91" s="2831">
        <v>2569</v>
      </c>
      <c r="D91" s="2831" t="s">
        <v>2259</v>
      </c>
      <c r="E91" s="2831" t="s">
        <v>2166</v>
      </c>
    </row>
    <row r="92" spans="1:5">
      <c r="A92" s="2831">
        <v>761</v>
      </c>
      <c r="B92" s="2831" t="s">
        <v>2178</v>
      </c>
      <c r="C92" s="2831">
        <v>314</v>
      </c>
      <c r="D92" s="2831" t="s">
        <v>2260</v>
      </c>
      <c r="E92" s="2831" t="s">
        <v>2166</v>
      </c>
    </row>
    <row r="93" spans="1:5">
      <c r="A93" s="2831">
        <v>761</v>
      </c>
      <c r="B93" s="2831" t="s">
        <v>2178</v>
      </c>
      <c r="C93" s="2831">
        <v>3566</v>
      </c>
      <c r="D93" s="2831" t="s">
        <v>2261</v>
      </c>
      <c r="E93" s="2831" t="s">
        <v>2166</v>
      </c>
    </row>
    <row r="94" spans="1:5">
      <c r="A94" s="2831">
        <v>761</v>
      </c>
      <c r="B94" s="2831" t="s">
        <v>2178</v>
      </c>
      <c r="C94" s="2831">
        <v>1053</v>
      </c>
      <c r="D94" s="2831" t="s">
        <v>2262</v>
      </c>
      <c r="E94" s="2831" t="s">
        <v>2174</v>
      </c>
    </row>
    <row r="95" spans="1:5">
      <c r="A95" s="2831">
        <v>761</v>
      </c>
      <c r="B95" s="2831" t="s">
        <v>2178</v>
      </c>
      <c r="C95" s="2831">
        <v>3067</v>
      </c>
      <c r="D95" s="2831" t="s">
        <v>2263</v>
      </c>
      <c r="E95" s="2831" t="s">
        <v>2166</v>
      </c>
    </row>
    <row r="96" spans="1:5">
      <c r="A96" s="2831">
        <v>761</v>
      </c>
      <c r="B96" s="2831" t="s">
        <v>2178</v>
      </c>
      <c r="C96" s="2831">
        <v>1415</v>
      </c>
      <c r="D96" s="2831" t="s">
        <v>2264</v>
      </c>
      <c r="E96" s="2831" t="s">
        <v>2166</v>
      </c>
    </row>
    <row r="97" spans="1:5">
      <c r="A97" s="2831">
        <v>603</v>
      </c>
      <c r="B97" s="2831" t="s">
        <v>2265</v>
      </c>
      <c r="C97" s="2831">
        <v>3050</v>
      </c>
      <c r="D97" s="2831" t="s">
        <v>2266</v>
      </c>
      <c r="E97" s="2831" t="s">
        <v>2174</v>
      </c>
    </row>
    <row r="98" spans="1:5">
      <c r="A98" s="2831">
        <v>603</v>
      </c>
      <c r="B98" s="2831" t="s">
        <v>2265</v>
      </c>
      <c r="C98" s="2831">
        <v>302</v>
      </c>
      <c r="D98" s="2831" t="s">
        <v>2267</v>
      </c>
      <c r="E98" s="2831" t="s">
        <v>2174</v>
      </c>
    </row>
    <row r="99" spans="1:5">
      <c r="A99" s="2831">
        <v>603</v>
      </c>
      <c r="B99" s="2831" t="s">
        <v>2265</v>
      </c>
      <c r="C99" s="2831">
        <v>202</v>
      </c>
      <c r="D99" s="2831" t="s">
        <v>2268</v>
      </c>
      <c r="E99" s="2831" t="s">
        <v>2166</v>
      </c>
    </row>
    <row r="100" spans="1:5">
      <c r="A100" s="2831">
        <v>603</v>
      </c>
      <c r="B100" s="2831" t="s">
        <v>2265</v>
      </c>
      <c r="C100" s="2831">
        <v>102</v>
      </c>
      <c r="D100" s="2831" t="s">
        <v>2269</v>
      </c>
      <c r="E100" s="2831" t="s">
        <v>2174</v>
      </c>
    </row>
    <row r="101" spans="1:5">
      <c r="A101" s="2831">
        <v>604</v>
      </c>
      <c r="B101" s="2831" t="s">
        <v>2270</v>
      </c>
      <c r="C101" s="2831">
        <v>105</v>
      </c>
      <c r="D101" s="2831" t="s">
        <v>2271</v>
      </c>
      <c r="E101" s="2831" t="s">
        <v>2166</v>
      </c>
    </row>
    <row r="102" spans="1:5">
      <c r="A102" s="2831">
        <v>605</v>
      </c>
      <c r="B102" s="2831" t="s">
        <v>2272</v>
      </c>
      <c r="C102" s="2831">
        <v>189</v>
      </c>
      <c r="D102" s="2831" t="s">
        <v>2273</v>
      </c>
      <c r="E102" s="2831" t="s">
        <v>2174</v>
      </c>
    </row>
    <row r="103" spans="1:5">
      <c r="A103" s="2831">
        <v>605</v>
      </c>
      <c r="B103" s="2831" t="s">
        <v>2272</v>
      </c>
      <c r="C103" s="2831">
        <v>300</v>
      </c>
      <c r="D103" s="2831" t="s">
        <v>2274</v>
      </c>
      <c r="E103" s="2831" t="s">
        <v>2174</v>
      </c>
    </row>
    <row r="104" spans="1:5">
      <c r="A104" s="2831">
        <v>605</v>
      </c>
      <c r="B104" s="2831" t="s">
        <v>2272</v>
      </c>
      <c r="C104" s="2831">
        <v>302</v>
      </c>
      <c r="D104" s="2831" t="s">
        <v>2275</v>
      </c>
      <c r="E104" s="2831" t="s">
        <v>2166</v>
      </c>
    </row>
    <row r="105" spans="1:5">
      <c r="A105" s="2831">
        <v>605</v>
      </c>
      <c r="B105" s="2831" t="s">
        <v>2272</v>
      </c>
      <c r="C105" s="2831">
        <v>303</v>
      </c>
      <c r="D105" s="2831" t="s">
        <v>2276</v>
      </c>
      <c r="E105" s="2831" t="s">
        <v>2174</v>
      </c>
    </row>
    <row r="106" spans="1:5">
      <c r="A106" s="2831">
        <v>605</v>
      </c>
      <c r="B106" s="2831" t="s">
        <v>2272</v>
      </c>
      <c r="C106" s="2831">
        <v>301</v>
      </c>
      <c r="D106" s="2831" t="s">
        <v>2277</v>
      </c>
      <c r="E106" s="2831" t="s">
        <v>2166</v>
      </c>
    </row>
    <row r="107" spans="1:5">
      <c r="A107" s="2831">
        <v>605</v>
      </c>
      <c r="B107" s="2831" t="s">
        <v>2272</v>
      </c>
      <c r="C107" s="2831">
        <v>100</v>
      </c>
      <c r="D107" s="2831" t="s">
        <v>2278</v>
      </c>
      <c r="E107" s="2831" t="s">
        <v>2169</v>
      </c>
    </row>
    <row r="108" spans="1:5">
      <c r="A108" s="2831">
        <v>606</v>
      </c>
      <c r="B108" s="2831" t="s">
        <v>2279</v>
      </c>
      <c r="C108" s="2831">
        <v>107</v>
      </c>
      <c r="D108" s="2831" t="s">
        <v>2280</v>
      </c>
      <c r="E108" s="2831" t="s">
        <v>2169</v>
      </c>
    </row>
    <row r="109" spans="1:5">
      <c r="A109" s="2831">
        <v>606</v>
      </c>
      <c r="B109" s="2831" t="s">
        <v>2279</v>
      </c>
      <c r="C109" s="2831">
        <v>199</v>
      </c>
      <c r="D109" s="2831" t="s">
        <v>2281</v>
      </c>
      <c r="E109" s="2831" t="s">
        <v>2169</v>
      </c>
    </row>
    <row r="110" spans="1:5">
      <c r="A110" s="2831">
        <v>606</v>
      </c>
      <c r="B110" s="2831" t="s">
        <v>2279</v>
      </c>
      <c r="C110" s="2831">
        <v>105</v>
      </c>
      <c r="D110" s="2831" t="s">
        <v>2282</v>
      </c>
      <c r="E110" s="2831" t="s">
        <v>2166</v>
      </c>
    </row>
    <row r="111" spans="1:5">
      <c r="A111" s="2831">
        <v>606</v>
      </c>
      <c r="B111" s="2831" t="s">
        <v>2279</v>
      </c>
      <c r="C111" s="2831">
        <v>205</v>
      </c>
      <c r="D111" s="2831" t="s">
        <v>2283</v>
      </c>
      <c r="E111" s="2831" t="s">
        <v>2169</v>
      </c>
    </row>
    <row r="112" spans="1:5">
      <c r="A112" s="2831">
        <v>607</v>
      </c>
      <c r="B112" s="2831" t="s">
        <v>2284</v>
      </c>
      <c r="C112" s="2831">
        <v>101</v>
      </c>
      <c r="D112" s="2831" t="s">
        <v>2285</v>
      </c>
      <c r="E112" s="2831" t="s">
        <v>2174</v>
      </c>
    </row>
    <row r="113" spans="1:5">
      <c r="A113" s="2831">
        <v>607</v>
      </c>
      <c r="B113" s="2831" t="s">
        <v>2284</v>
      </c>
      <c r="C113" s="2831">
        <v>1050</v>
      </c>
      <c r="D113" s="2831" t="s">
        <v>2286</v>
      </c>
      <c r="E113" s="2831" t="s">
        <v>2169</v>
      </c>
    </row>
    <row r="114" spans="1:5">
      <c r="A114" s="2831">
        <v>607</v>
      </c>
      <c r="B114" s="2831" t="s">
        <v>2284</v>
      </c>
      <c r="C114" s="2831">
        <v>301</v>
      </c>
      <c r="D114" s="2831" t="s">
        <v>2287</v>
      </c>
      <c r="E114" s="2831" t="s">
        <v>2169</v>
      </c>
    </row>
    <row r="115" spans="1:5">
      <c r="A115" s="2831">
        <v>607</v>
      </c>
      <c r="B115" s="2831" t="s">
        <v>2284</v>
      </c>
      <c r="C115" s="2831">
        <v>300</v>
      </c>
      <c r="D115" s="2831" t="s">
        <v>2288</v>
      </c>
      <c r="E115" s="2831" t="s">
        <v>2174</v>
      </c>
    </row>
    <row r="116" spans="1:5">
      <c r="A116" s="2831">
        <v>607</v>
      </c>
      <c r="B116" s="2831" t="s">
        <v>2284</v>
      </c>
      <c r="C116" s="2831">
        <v>114</v>
      </c>
      <c r="D116" s="2831" t="s">
        <v>2289</v>
      </c>
      <c r="E116" s="2831" t="s">
        <v>2169</v>
      </c>
    </row>
    <row r="117" spans="1:5">
      <c r="A117" s="2831">
        <v>607</v>
      </c>
      <c r="B117" s="2831" t="s">
        <v>2284</v>
      </c>
      <c r="C117" s="2831">
        <v>205</v>
      </c>
      <c r="D117" s="2831" t="s">
        <v>2290</v>
      </c>
      <c r="E117" s="2831" t="s">
        <v>2166</v>
      </c>
    </row>
    <row r="118" spans="1:5">
      <c r="A118" s="2831">
        <v>607</v>
      </c>
      <c r="B118" s="2831" t="s">
        <v>2284</v>
      </c>
      <c r="C118" s="2831">
        <v>193</v>
      </c>
      <c r="D118" s="2831" t="s">
        <v>2291</v>
      </c>
      <c r="E118" s="2831" t="s">
        <v>2169</v>
      </c>
    </row>
    <row r="119" spans="1:5">
      <c r="A119" s="2831">
        <v>607</v>
      </c>
      <c r="B119" s="2831" t="s">
        <v>2284</v>
      </c>
      <c r="C119" s="2831">
        <v>105</v>
      </c>
      <c r="D119" s="2831" t="s">
        <v>2292</v>
      </c>
      <c r="E119" s="2831" t="s">
        <v>2166</v>
      </c>
    </row>
    <row r="120" spans="1:5">
      <c r="A120" s="2831">
        <v>607</v>
      </c>
      <c r="B120" s="2831" t="s">
        <v>2284</v>
      </c>
      <c r="C120" s="2831">
        <v>106</v>
      </c>
      <c r="D120" s="2831" t="s">
        <v>2293</v>
      </c>
      <c r="E120" s="2831" t="s">
        <v>2166</v>
      </c>
    </row>
    <row r="121" spans="1:5">
      <c r="A121" s="2831">
        <v>607</v>
      </c>
      <c r="B121" s="2831" t="s">
        <v>2284</v>
      </c>
      <c r="C121" s="2831">
        <v>4050</v>
      </c>
      <c r="D121" s="2831" t="s">
        <v>2294</v>
      </c>
      <c r="E121" s="2831" t="s">
        <v>2169</v>
      </c>
    </row>
    <row r="122" spans="1:5">
      <c r="A122" s="2831">
        <v>607</v>
      </c>
      <c r="B122" s="2831" t="s">
        <v>2284</v>
      </c>
      <c r="C122" s="2831">
        <v>189</v>
      </c>
      <c r="D122" s="2831" t="s">
        <v>2295</v>
      </c>
      <c r="E122" s="2831" t="s">
        <v>2166</v>
      </c>
    </row>
    <row r="123" spans="1:5">
      <c r="A123" s="2831">
        <v>607</v>
      </c>
      <c r="B123" s="2831" t="s">
        <v>2284</v>
      </c>
      <c r="C123" s="2831">
        <v>289</v>
      </c>
      <c r="D123" s="2831" t="s">
        <v>2296</v>
      </c>
      <c r="E123" s="2831" t="s">
        <v>2166</v>
      </c>
    </row>
    <row r="124" spans="1:5">
      <c r="A124" s="2831">
        <v>607</v>
      </c>
      <c r="B124" s="2831" t="s">
        <v>2284</v>
      </c>
      <c r="C124" s="2831">
        <v>5050</v>
      </c>
      <c r="D124" s="2831" t="s">
        <v>2297</v>
      </c>
      <c r="E124" s="2831" t="s">
        <v>2169</v>
      </c>
    </row>
    <row r="125" spans="1:5">
      <c r="A125" s="2831">
        <v>607</v>
      </c>
      <c r="B125" s="2831" t="s">
        <v>2284</v>
      </c>
      <c r="C125" s="2831">
        <v>198</v>
      </c>
      <c r="D125" s="2831" t="s">
        <v>2298</v>
      </c>
      <c r="E125" s="2831" t="s">
        <v>2166</v>
      </c>
    </row>
    <row r="126" spans="1:5">
      <c r="A126" s="2831">
        <v>607</v>
      </c>
      <c r="B126" s="2831" t="s">
        <v>2284</v>
      </c>
      <c r="C126" s="2831">
        <v>299</v>
      </c>
      <c r="D126" s="2831" t="s">
        <v>2299</v>
      </c>
      <c r="E126" s="2831" t="s">
        <v>2169</v>
      </c>
    </row>
    <row r="127" spans="1:5">
      <c r="A127" s="2831">
        <v>607</v>
      </c>
      <c r="B127" s="2831" t="s">
        <v>2284</v>
      </c>
      <c r="C127" s="2831">
        <v>3052</v>
      </c>
      <c r="D127" s="2831" t="s">
        <v>2300</v>
      </c>
      <c r="E127" s="2831" t="s">
        <v>2169</v>
      </c>
    </row>
    <row r="128" spans="1:5">
      <c r="A128" s="2831">
        <v>607</v>
      </c>
      <c r="B128" s="2831" t="s">
        <v>2284</v>
      </c>
      <c r="C128" s="2831">
        <v>298</v>
      </c>
      <c r="D128" s="2831" t="s">
        <v>2301</v>
      </c>
      <c r="E128" s="2831" t="s">
        <v>2169</v>
      </c>
    </row>
    <row r="129" spans="1:5">
      <c r="A129" s="2831">
        <v>608</v>
      </c>
      <c r="B129" s="2831" t="s">
        <v>2068</v>
      </c>
      <c r="C129" s="2831">
        <v>177</v>
      </c>
      <c r="D129" s="2831" t="s">
        <v>2302</v>
      </c>
      <c r="E129" s="2831" t="s">
        <v>2169</v>
      </c>
    </row>
    <row r="130" spans="1:5">
      <c r="A130" s="2831">
        <v>608</v>
      </c>
      <c r="B130" s="2831" t="s">
        <v>2068</v>
      </c>
      <c r="C130" s="2831">
        <v>105</v>
      </c>
      <c r="D130" s="2831" t="s">
        <v>2303</v>
      </c>
      <c r="E130" s="2831" t="s">
        <v>2166</v>
      </c>
    </row>
    <row r="131" spans="1:5">
      <c r="A131" s="2831">
        <v>608</v>
      </c>
      <c r="B131" s="2831" t="s">
        <v>2068</v>
      </c>
      <c r="C131" s="2831">
        <v>301</v>
      </c>
      <c r="D131" s="2831" t="s">
        <v>2304</v>
      </c>
      <c r="E131" s="2831" t="s">
        <v>2166</v>
      </c>
    </row>
    <row r="132" spans="1:5">
      <c r="A132" s="2831">
        <v>608</v>
      </c>
      <c r="B132" s="2831" t="s">
        <v>2068</v>
      </c>
      <c r="C132" s="2831">
        <v>196</v>
      </c>
      <c r="D132" s="2831" t="s">
        <v>2305</v>
      </c>
      <c r="E132" s="2831" t="s">
        <v>2174</v>
      </c>
    </row>
    <row r="133" spans="1:5">
      <c r="A133" s="2831">
        <v>608</v>
      </c>
      <c r="B133" s="2831" t="s">
        <v>2068</v>
      </c>
      <c r="C133" s="2831">
        <v>114</v>
      </c>
      <c r="D133" s="2831" t="s">
        <v>2306</v>
      </c>
      <c r="E133" s="2831" t="s">
        <v>2169</v>
      </c>
    </row>
    <row r="134" spans="1:5">
      <c r="A134" s="2831">
        <v>608</v>
      </c>
      <c r="B134" s="2831" t="s">
        <v>2068</v>
      </c>
      <c r="C134" s="2831">
        <v>195</v>
      </c>
      <c r="D134" s="2831" t="s">
        <v>2307</v>
      </c>
      <c r="E134" s="2831" t="s">
        <v>2169</v>
      </c>
    </row>
    <row r="135" spans="1:5">
      <c r="A135" s="2831">
        <v>608</v>
      </c>
      <c r="B135" s="2831" t="s">
        <v>2068</v>
      </c>
      <c r="C135" s="2831">
        <v>104</v>
      </c>
      <c r="D135" s="2831" t="s">
        <v>2308</v>
      </c>
      <c r="E135" s="2831" t="s">
        <v>2174</v>
      </c>
    </row>
    <row r="136" spans="1:5">
      <c r="A136" s="2831">
        <v>608</v>
      </c>
      <c r="B136" s="2831" t="s">
        <v>2068</v>
      </c>
      <c r="C136" s="2831">
        <v>115</v>
      </c>
      <c r="D136" s="2831" t="s">
        <v>2309</v>
      </c>
      <c r="E136" s="2831" t="s">
        <v>2174</v>
      </c>
    </row>
    <row r="137" spans="1:5">
      <c r="A137" s="2831">
        <v>608</v>
      </c>
      <c r="B137" s="2831" t="s">
        <v>2068</v>
      </c>
      <c r="C137" s="2831">
        <v>2052</v>
      </c>
      <c r="D137" s="2831" t="s">
        <v>2310</v>
      </c>
      <c r="E137" s="2831" t="s">
        <v>2169</v>
      </c>
    </row>
    <row r="138" spans="1:5">
      <c r="A138" s="2831">
        <v>608</v>
      </c>
      <c r="B138" s="2831" t="s">
        <v>2068</v>
      </c>
      <c r="C138" s="2831">
        <v>107</v>
      </c>
      <c r="D138" s="2831" t="s">
        <v>2311</v>
      </c>
      <c r="E138" s="2831" t="s">
        <v>2174</v>
      </c>
    </row>
    <row r="139" spans="1:5">
      <c r="A139" s="2831">
        <v>608</v>
      </c>
      <c r="B139" s="2831" t="s">
        <v>2068</v>
      </c>
      <c r="C139" s="2831">
        <v>377</v>
      </c>
      <c r="D139" s="2831" t="s">
        <v>2312</v>
      </c>
      <c r="E139" s="2831" t="s">
        <v>2174</v>
      </c>
    </row>
    <row r="140" spans="1:5">
      <c r="A140" s="2831">
        <v>608</v>
      </c>
      <c r="B140" s="2831" t="s">
        <v>2068</v>
      </c>
      <c r="C140" s="2831">
        <v>296</v>
      </c>
      <c r="D140" s="2831" t="s">
        <v>2313</v>
      </c>
      <c r="E140" s="2831" t="s">
        <v>2174</v>
      </c>
    </row>
    <row r="141" spans="1:5">
      <c r="A141" s="2831">
        <v>608</v>
      </c>
      <c r="B141" s="2831" t="s">
        <v>2068</v>
      </c>
      <c r="C141" s="2831">
        <v>186</v>
      </c>
      <c r="D141" s="2831" t="s">
        <v>2314</v>
      </c>
      <c r="E141" s="2831" t="s">
        <v>2174</v>
      </c>
    </row>
    <row r="142" spans="1:5">
      <c r="A142" s="2831">
        <v>608</v>
      </c>
      <c r="B142" s="2831" t="s">
        <v>2068</v>
      </c>
      <c r="C142" s="2831">
        <v>106</v>
      </c>
      <c r="D142" s="2831" t="s">
        <v>2315</v>
      </c>
      <c r="E142" s="2831" t="s">
        <v>2166</v>
      </c>
    </row>
    <row r="143" spans="1:5">
      <c r="A143" s="2831">
        <v>608</v>
      </c>
      <c r="B143" s="2831" t="s">
        <v>2068</v>
      </c>
      <c r="C143" s="2831">
        <v>190</v>
      </c>
      <c r="D143" s="2831" t="s">
        <v>2316</v>
      </c>
      <c r="E143" s="2831" t="s">
        <v>2174</v>
      </c>
    </row>
    <row r="144" spans="1:5">
      <c r="A144" s="2831">
        <v>608</v>
      </c>
      <c r="B144" s="2831" t="s">
        <v>2068</v>
      </c>
      <c r="C144" s="2831">
        <v>396</v>
      </c>
      <c r="D144" s="2831" t="s">
        <v>2317</v>
      </c>
      <c r="E144" s="2831" t="s">
        <v>2169</v>
      </c>
    </row>
    <row r="145" spans="1:5">
      <c r="A145" s="2831">
        <v>608</v>
      </c>
      <c r="B145" s="2831" t="s">
        <v>2068</v>
      </c>
      <c r="C145" s="2831">
        <v>175</v>
      </c>
      <c r="D145" s="2831" t="s">
        <v>2318</v>
      </c>
      <c r="E145" s="2831" t="s">
        <v>2174</v>
      </c>
    </row>
    <row r="146" spans="1:5">
      <c r="A146" s="2831">
        <v>608</v>
      </c>
      <c r="B146" s="2831" t="s">
        <v>2068</v>
      </c>
      <c r="C146" s="2831">
        <v>198</v>
      </c>
      <c r="D146" s="2831" t="s">
        <v>2319</v>
      </c>
      <c r="E146" s="2831" t="s">
        <v>2174</v>
      </c>
    </row>
    <row r="147" spans="1:5">
      <c r="A147" s="2831">
        <v>608</v>
      </c>
      <c r="B147" s="2831" t="s">
        <v>2068</v>
      </c>
      <c r="C147" s="2831">
        <v>101</v>
      </c>
      <c r="D147" s="2831" t="s">
        <v>2320</v>
      </c>
      <c r="E147" s="2831" t="s">
        <v>2166</v>
      </c>
    </row>
    <row r="148" spans="1:5">
      <c r="A148" s="2831">
        <v>609</v>
      </c>
      <c r="B148" s="2831" t="s">
        <v>2321</v>
      </c>
      <c r="C148" s="2831">
        <v>296</v>
      </c>
      <c r="D148" s="2831" t="s">
        <v>2322</v>
      </c>
      <c r="E148" s="2831" t="s">
        <v>2166</v>
      </c>
    </row>
    <row r="149" spans="1:5">
      <c r="A149" s="2831">
        <v>609</v>
      </c>
      <c r="B149" s="2831" t="s">
        <v>2321</v>
      </c>
      <c r="C149" s="2831">
        <v>196</v>
      </c>
      <c r="D149" s="2831" t="s">
        <v>2323</v>
      </c>
      <c r="E149" s="2831" t="s">
        <v>2174</v>
      </c>
    </row>
    <row r="150" spans="1:5">
      <c r="A150" s="2831">
        <v>609</v>
      </c>
      <c r="B150" s="2831" t="s">
        <v>2321</v>
      </c>
      <c r="C150" s="2831">
        <v>111</v>
      </c>
      <c r="D150" s="2831" t="s">
        <v>2324</v>
      </c>
      <c r="E150" s="2831" t="s">
        <v>2166</v>
      </c>
    </row>
    <row r="151" spans="1:5">
      <c r="A151" s="2831">
        <v>609</v>
      </c>
      <c r="B151" s="2831" t="s">
        <v>2321</v>
      </c>
      <c r="C151" s="2831">
        <v>291</v>
      </c>
      <c r="D151" s="2831" t="s">
        <v>2325</v>
      </c>
      <c r="E151" s="2831" t="s">
        <v>2166</v>
      </c>
    </row>
    <row r="152" spans="1:5">
      <c r="A152" s="2831">
        <v>609</v>
      </c>
      <c r="B152" s="2831" t="s">
        <v>2321</v>
      </c>
      <c r="C152" s="2831">
        <v>392</v>
      </c>
      <c r="D152" s="2831" t="s">
        <v>2326</v>
      </c>
      <c r="E152" s="2831" t="s">
        <v>2169</v>
      </c>
    </row>
    <row r="153" spans="1:5">
      <c r="A153" s="2831">
        <v>610</v>
      </c>
      <c r="B153" s="2831" t="s">
        <v>2327</v>
      </c>
      <c r="C153" s="2831">
        <v>106</v>
      </c>
      <c r="D153" s="2831" t="s">
        <v>2328</v>
      </c>
      <c r="E153" s="2831" t="s">
        <v>2169</v>
      </c>
    </row>
    <row r="154" spans="1:5">
      <c r="A154" s="2831">
        <v>610</v>
      </c>
      <c r="B154" s="2831" t="s">
        <v>2327</v>
      </c>
      <c r="C154" s="2831">
        <v>195</v>
      </c>
      <c r="D154" s="2831" t="s">
        <v>2329</v>
      </c>
      <c r="E154" s="2831" t="s">
        <v>2174</v>
      </c>
    </row>
    <row r="155" spans="1:5">
      <c r="A155" s="2831">
        <v>610</v>
      </c>
      <c r="B155" s="2831" t="s">
        <v>2327</v>
      </c>
      <c r="C155" s="2831">
        <v>101</v>
      </c>
      <c r="D155" s="2831" t="s">
        <v>2330</v>
      </c>
      <c r="E155" s="2831" t="s">
        <v>2169</v>
      </c>
    </row>
    <row r="156" spans="1:5">
      <c r="A156" s="2831">
        <v>610</v>
      </c>
      <c r="B156" s="2831" t="s">
        <v>2327</v>
      </c>
      <c r="C156" s="2831">
        <v>194</v>
      </c>
      <c r="D156" s="2831" t="s">
        <v>2331</v>
      </c>
      <c r="E156" s="2831" t="s">
        <v>2174</v>
      </c>
    </row>
    <row r="157" spans="1:5">
      <c r="A157" s="2831">
        <v>610</v>
      </c>
      <c r="B157" s="2831" t="s">
        <v>2327</v>
      </c>
      <c r="C157" s="2831">
        <v>5050</v>
      </c>
      <c r="D157" s="2831" t="s">
        <v>2332</v>
      </c>
      <c r="E157" s="2831" t="s">
        <v>2174</v>
      </c>
    </row>
    <row r="158" spans="1:5">
      <c r="A158" s="2831">
        <v>611</v>
      </c>
      <c r="B158" s="2831" t="s">
        <v>2333</v>
      </c>
      <c r="C158" s="2831">
        <v>1050</v>
      </c>
      <c r="D158" s="2831" t="s">
        <v>2334</v>
      </c>
      <c r="E158" s="2831" t="s">
        <v>2174</v>
      </c>
    </row>
    <row r="159" spans="1:5">
      <c r="A159" s="2831">
        <v>611</v>
      </c>
      <c r="B159" s="2831" t="s">
        <v>2333</v>
      </c>
      <c r="C159" s="2831">
        <v>5050</v>
      </c>
      <c r="D159" s="2831" t="s">
        <v>2335</v>
      </c>
      <c r="E159" s="2831" t="s">
        <v>2169</v>
      </c>
    </row>
    <row r="160" spans="1:5">
      <c r="A160" s="2831">
        <v>611</v>
      </c>
      <c r="B160" s="2831" t="s">
        <v>2333</v>
      </c>
      <c r="C160" s="2831">
        <v>108</v>
      </c>
      <c r="D160" s="2831" t="s">
        <v>2336</v>
      </c>
      <c r="E160" s="2831" t="s">
        <v>2166</v>
      </c>
    </row>
    <row r="161" spans="1:5">
      <c r="A161" s="2831">
        <v>611</v>
      </c>
      <c r="B161" s="2831" t="s">
        <v>2333</v>
      </c>
      <c r="C161" s="2831">
        <v>1054</v>
      </c>
      <c r="D161" s="2831" t="s">
        <v>2337</v>
      </c>
      <c r="E161" s="2831" t="s">
        <v>2166</v>
      </c>
    </row>
    <row r="162" spans="1:5">
      <c r="A162" s="2831">
        <v>611</v>
      </c>
      <c r="B162" s="2831" t="s">
        <v>2333</v>
      </c>
      <c r="C162" s="2831">
        <v>109</v>
      </c>
      <c r="D162" s="2831" t="s">
        <v>2338</v>
      </c>
      <c r="E162" s="2831" t="s">
        <v>2166</v>
      </c>
    </row>
    <row r="163" spans="1:5">
      <c r="A163" s="2831">
        <v>611</v>
      </c>
      <c r="B163" s="2831" t="s">
        <v>2333</v>
      </c>
      <c r="C163" s="2831">
        <v>104</v>
      </c>
      <c r="D163" s="2831" t="s">
        <v>2339</v>
      </c>
      <c r="E163" s="2831" t="s">
        <v>2174</v>
      </c>
    </row>
    <row r="164" spans="1:5">
      <c r="A164" s="2831">
        <v>611</v>
      </c>
      <c r="B164" s="2831" t="s">
        <v>2333</v>
      </c>
      <c r="C164" s="2831">
        <v>1205</v>
      </c>
      <c r="D164" s="2831" t="s">
        <v>2340</v>
      </c>
      <c r="E164" s="2831" t="s">
        <v>2166</v>
      </c>
    </row>
    <row r="165" spans="1:5">
      <c r="A165" s="2831">
        <v>611</v>
      </c>
      <c r="B165" s="2831" t="s">
        <v>2333</v>
      </c>
      <c r="C165" s="2831">
        <v>186</v>
      </c>
      <c r="D165" s="2831" t="s">
        <v>2341</v>
      </c>
      <c r="E165" s="2831" t="s">
        <v>2169</v>
      </c>
    </row>
    <row r="166" spans="1:5">
      <c r="A166" s="2831">
        <v>611</v>
      </c>
      <c r="B166" s="2831" t="s">
        <v>2333</v>
      </c>
      <c r="C166" s="2831">
        <v>2060</v>
      </c>
      <c r="D166" s="2831" t="s">
        <v>2342</v>
      </c>
      <c r="E166" s="2831" t="s">
        <v>2166</v>
      </c>
    </row>
    <row r="167" spans="1:5">
      <c r="A167" s="2831">
        <v>611</v>
      </c>
      <c r="B167" s="2831" t="s">
        <v>2333</v>
      </c>
      <c r="C167" s="2831">
        <v>3060</v>
      </c>
      <c r="D167" s="2831" t="s">
        <v>2343</v>
      </c>
      <c r="E167" s="2831" t="s">
        <v>2174</v>
      </c>
    </row>
    <row r="168" spans="1:5">
      <c r="A168" s="2831">
        <v>611</v>
      </c>
      <c r="B168" s="2831" t="s">
        <v>2333</v>
      </c>
      <c r="C168" s="2831">
        <v>605</v>
      </c>
      <c r="D168" s="2831" t="s">
        <v>2344</v>
      </c>
      <c r="E168" s="2831" t="s">
        <v>2166</v>
      </c>
    </row>
    <row r="169" spans="1:5">
      <c r="A169" s="2831">
        <v>611</v>
      </c>
      <c r="B169" s="2831" t="s">
        <v>2333</v>
      </c>
      <c r="C169" s="2831">
        <v>105</v>
      </c>
      <c r="D169" s="2831" t="s">
        <v>2345</v>
      </c>
      <c r="E169" s="2831" t="s">
        <v>2166</v>
      </c>
    </row>
    <row r="170" spans="1:5">
      <c r="A170" s="2831">
        <v>611</v>
      </c>
      <c r="B170" s="2831" t="s">
        <v>2333</v>
      </c>
      <c r="C170" s="2831">
        <v>205</v>
      </c>
      <c r="D170" s="2831" t="s">
        <v>2346</v>
      </c>
      <c r="E170" s="2831" t="s">
        <v>2166</v>
      </c>
    </row>
    <row r="171" spans="1:5">
      <c r="A171" s="2831">
        <v>611</v>
      </c>
      <c r="B171" s="2831" t="s">
        <v>2333</v>
      </c>
      <c r="C171" s="2831">
        <v>3067</v>
      </c>
      <c r="D171" s="2831" t="s">
        <v>2347</v>
      </c>
      <c r="E171" s="2831" t="s">
        <v>2169</v>
      </c>
    </row>
    <row r="172" spans="1:5">
      <c r="A172" s="2831">
        <v>611</v>
      </c>
      <c r="B172" s="2831" t="s">
        <v>2333</v>
      </c>
      <c r="C172" s="2831">
        <v>1310</v>
      </c>
      <c r="D172" s="2831" t="s">
        <v>2348</v>
      </c>
      <c r="E172" s="2831" t="s">
        <v>2169</v>
      </c>
    </row>
    <row r="173" spans="1:5">
      <c r="A173" s="2831">
        <v>611</v>
      </c>
      <c r="B173" s="2831" t="s">
        <v>2333</v>
      </c>
      <c r="C173" s="2831">
        <v>1305</v>
      </c>
      <c r="D173" s="2831" t="s">
        <v>2349</v>
      </c>
      <c r="E173" s="2831" t="s">
        <v>2174</v>
      </c>
    </row>
    <row r="174" spans="1:5">
      <c r="A174" s="2831">
        <v>611</v>
      </c>
      <c r="B174" s="2831" t="s">
        <v>2333</v>
      </c>
      <c r="C174" s="2831">
        <v>1306</v>
      </c>
      <c r="D174" s="2831" t="s">
        <v>2350</v>
      </c>
      <c r="E174" s="2831" t="s">
        <v>2174</v>
      </c>
    </row>
    <row r="175" spans="1:5">
      <c r="A175" s="2831">
        <v>611</v>
      </c>
      <c r="B175" s="2831" t="s">
        <v>2333</v>
      </c>
      <c r="C175" s="2831">
        <v>298</v>
      </c>
      <c r="D175" s="2831" t="s">
        <v>2351</v>
      </c>
      <c r="E175" s="2831" t="s">
        <v>2174</v>
      </c>
    </row>
    <row r="176" spans="1:5">
      <c r="A176" s="2831">
        <v>611</v>
      </c>
      <c r="B176" s="2831" t="s">
        <v>2333</v>
      </c>
      <c r="C176" s="2831">
        <v>286</v>
      </c>
      <c r="D176" s="2831" t="s">
        <v>2352</v>
      </c>
      <c r="E176" s="2831" t="s">
        <v>2174</v>
      </c>
    </row>
    <row r="177" spans="1:5">
      <c r="A177" s="2831">
        <v>611</v>
      </c>
      <c r="B177" s="2831" t="s">
        <v>2333</v>
      </c>
      <c r="C177" s="2831">
        <v>1067</v>
      </c>
      <c r="D177" s="2831" t="s">
        <v>2353</v>
      </c>
      <c r="E177" s="2831" t="s">
        <v>2169</v>
      </c>
    </row>
    <row r="178" spans="1:5">
      <c r="A178" s="2831">
        <v>611</v>
      </c>
      <c r="B178" s="2831" t="s">
        <v>2333</v>
      </c>
      <c r="C178" s="2831">
        <v>405</v>
      </c>
      <c r="D178" s="2831" t="s">
        <v>2354</v>
      </c>
      <c r="E178" s="2831" t="s">
        <v>2169</v>
      </c>
    </row>
    <row r="179" spans="1:5">
      <c r="A179" s="2831">
        <v>611</v>
      </c>
      <c r="B179" s="2831" t="s">
        <v>2333</v>
      </c>
      <c r="C179" s="2831">
        <v>204</v>
      </c>
      <c r="D179" s="2831" t="s">
        <v>2355</v>
      </c>
      <c r="E179" s="2831" t="s">
        <v>2169</v>
      </c>
    </row>
    <row r="180" spans="1:5">
      <c r="A180" s="2831">
        <v>611</v>
      </c>
      <c r="B180" s="2831" t="s">
        <v>2333</v>
      </c>
      <c r="C180" s="2831">
        <v>305</v>
      </c>
      <c r="D180" s="2831" t="s">
        <v>2356</v>
      </c>
      <c r="E180" s="2831" t="s">
        <v>2169</v>
      </c>
    </row>
    <row r="181" spans="1:5">
      <c r="A181" s="2831">
        <v>611</v>
      </c>
      <c r="B181" s="2831" t="s">
        <v>2333</v>
      </c>
      <c r="C181" s="2831">
        <v>103</v>
      </c>
      <c r="D181" s="2831" t="s">
        <v>2357</v>
      </c>
      <c r="E181" s="2831" t="s">
        <v>2166</v>
      </c>
    </row>
    <row r="182" spans="1:5">
      <c r="A182" s="2831">
        <v>611</v>
      </c>
      <c r="B182" s="2831" t="s">
        <v>2333</v>
      </c>
      <c r="C182" s="2831">
        <v>1307</v>
      </c>
      <c r="D182" s="2831" t="s">
        <v>2358</v>
      </c>
      <c r="E182" s="2831" t="s">
        <v>2166</v>
      </c>
    </row>
    <row r="183" spans="1:5">
      <c r="A183" s="2831">
        <v>611</v>
      </c>
      <c r="B183" s="2831" t="s">
        <v>2333</v>
      </c>
      <c r="C183" s="2831">
        <v>386</v>
      </c>
      <c r="D183" s="2831" t="s">
        <v>2359</v>
      </c>
      <c r="E183" s="2831" t="s">
        <v>2166</v>
      </c>
    </row>
    <row r="184" spans="1:5">
      <c r="A184" s="2831">
        <v>611</v>
      </c>
      <c r="B184" s="2831" t="s">
        <v>2333</v>
      </c>
      <c r="C184" s="2831">
        <v>1105</v>
      </c>
      <c r="D184" s="2831" t="s">
        <v>2360</v>
      </c>
      <c r="E184" s="2831" t="s">
        <v>2174</v>
      </c>
    </row>
    <row r="185" spans="1:5">
      <c r="A185" s="2831">
        <v>611</v>
      </c>
      <c r="B185" s="2831" t="s">
        <v>2333</v>
      </c>
      <c r="C185" s="2831">
        <v>705</v>
      </c>
      <c r="D185" s="2831" t="s">
        <v>2361</v>
      </c>
      <c r="E185" s="2831" t="s">
        <v>2166</v>
      </c>
    </row>
    <row r="186" spans="1:5">
      <c r="A186" s="2831">
        <v>611</v>
      </c>
      <c r="B186" s="2831" t="s">
        <v>2333</v>
      </c>
      <c r="C186" s="2831">
        <v>1311</v>
      </c>
      <c r="D186" s="2831" t="s">
        <v>2362</v>
      </c>
      <c r="E186" s="2831" t="s">
        <v>2174</v>
      </c>
    </row>
    <row r="187" spans="1:5">
      <c r="A187" s="2831">
        <v>611</v>
      </c>
      <c r="B187" s="2831" t="s">
        <v>2333</v>
      </c>
      <c r="C187" s="2831">
        <v>1309</v>
      </c>
      <c r="D187" s="2831" t="s">
        <v>2363</v>
      </c>
      <c r="E187" s="2831" t="s">
        <v>2166</v>
      </c>
    </row>
    <row r="188" spans="1:5">
      <c r="A188" s="2831">
        <v>611</v>
      </c>
      <c r="B188" s="2831" t="s">
        <v>2333</v>
      </c>
      <c r="C188" s="2831">
        <v>203</v>
      </c>
      <c r="D188" s="2831" t="s">
        <v>2364</v>
      </c>
      <c r="E188" s="2831" t="s">
        <v>2166</v>
      </c>
    </row>
    <row r="189" spans="1:5">
      <c r="A189" s="2831">
        <v>611</v>
      </c>
      <c r="B189" s="2831" t="s">
        <v>2333</v>
      </c>
      <c r="C189" s="2831">
        <v>505</v>
      </c>
      <c r="D189" s="2831" t="s">
        <v>2365</v>
      </c>
      <c r="E189" s="2831" t="s">
        <v>2166</v>
      </c>
    </row>
    <row r="190" spans="1:5">
      <c r="A190" s="2831">
        <v>611</v>
      </c>
      <c r="B190" s="2831" t="s">
        <v>2333</v>
      </c>
      <c r="C190" s="2831">
        <v>198</v>
      </c>
      <c r="D190" s="2831" t="s">
        <v>2366</v>
      </c>
      <c r="E190" s="2831" t="s">
        <v>2169</v>
      </c>
    </row>
    <row r="191" spans="1:5">
      <c r="A191" s="2831">
        <v>611</v>
      </c>
      <c r="B191" s="2831" t="s">
        <v>2333</v>
      </c>
      <c r="C191" s="2831">
        <v>383</v>
      </c>
      <c r="D191" s="2831" t="s">
        <v>2367</v>
      </c>
      <c r="E191" s="2831" t="s">
        <v>2166</v>
      </c>
    </row>
    <row r="192" spans="1:5">
      <c r="A192" s="2831">
        <v>612</v>
      </c>
      <c r="B192" s="2831" t="s">
        <v>2368</v>
      </c>
      <c r="C192" s="2831">
        <v>197</v>
      </c>
      <c r="D192" s="2831" t="s">
        <v>2369</v>
      </c>
      <c r="E192" s="2831" t="s">
        <v>2174</v>
      </c>
    </row>
    <row r="193" spans="1:5">
      <c r="A193" s="2831">
        <v>612</v>
      </c>
      <c r="B193" s="2831" t="s">
        <v>2368</v>
      </c>
      <c r="C193" s="2831">
        <v>105</v>
      </c>
      <c r="D193" s="2831" t="s">
        <v>2370</v>
      </c>
      <c r="E193" s="2831" t="s">
        <v>2166</v>
      </c>
    </row>
    <row r="194" spans="1:5">
      <c r="A194" s="2831">
        <v>612</v>
      </c>
      <c r="B194" s="2831" t="s">
        <v>2368</v>
      </c>
      <c r="C194" s="2831">
        <v>1050</v>
      </c>
      <c r="D194" s="2831" t="s">
        <v>2371</v>
      </c>
      <c r="E194" s="2831" t="s">
        <v>2169</v>
      </c>
    </row>
    <row r="195" spans="1:5">
      <c r="A195" s="2831">
        <v>612</v>
      </c>
      <c r="B195" s="2831" t="s">
        <v>2368</v>
      </c>
      <c r="C195" s="2831">
        <v>115</v>
      </c>
      <c r="D195" s="2831" t="s">
        <v>2372</v>
      </c>
      <c r="E195" s="2831" t="s">
        <v>2166</v>
      </c>
    </row>
    <row r="196" spans="1:5">
      <c r="A196" s="2831">
        <v>612</v>
      </c>
      <c r="B196" s="2831" t="s">
        <v>2368</v>
      </c>
      <c r="C196" s="2831">
        <v>112</v>
      </c>
      <c r="D196" s="2831" t="s">
        <v>2373</v>
      </c>
      <c r="E196" s="2831" t="s">
        <v>2166</v>
      </c>
    </row>
    <row r="197" spans="1:5">
      <c r="A197" s="2831">
        <v>613</v>
      </c>
      <c r="B197" s="2831" t="s">
        <v>2374</v>
      </c>
      <c r="C197" s="2831">
        <v>110</v>
      </c>
      <c r="D197" s="2831" t="s">
        <v>2375</v>
      </c>
      <c r="E197" s="2831" t="s">
        <v>2166</v>
      </c>
    </row>
    <row r="198" spans="1:5">
      <c r="A198" s="2831">
        <v>613</v>
      </c>
      <c r="B198" s="2831" t="s">
        <v>2374</v>
      </c>
      <c r="C198" s="2831">
        <v>1050</v>
      </c>
      <c r="D198" s="2831" t="s">
        <v>2376</v>
      </c>
      <c r="E198" s="2831" t="s">
        <v>2174</v>
      </c>
    </row>
    <row r="199" spans="1:5">
      <c r="A199" s="2831">
        <v>613</v>
      </c>
      <c r="B199" s="2831" t="s">
        <v>2374</v>
      </c>
      <c r="C199" s="2831">
        <v>194</v>
      </c>
      <c r="D199" s="2831" t="s">
        <v>2377</v>
      </c>
      <c r="E199" s="2831" t="s">
        <v>2166</v>
      </c>
    </row>
    <row r="200" spans="1:5">
      <c r="A200" s="2831">
        <v>613</v>
      </c>
      <c r="B200" s="2831" t="s">
        <v>2374</v>
      </c>
      <c r="C200" s="2831">
        <v>2050</v>
      </c>
      <c r="D200" s="2831" t="s">
        <v>2378</v>
      </c>
      <c r="E200" s="2831" t="s">
        <v>2174</v>
      </c>
    </row>
    <row r="201" spans="1:5">
      <c r="A201" s="2831">
        <v>613</v>
      </c>
      <c r="B201" s="2831" t="s">
        <v>2374</v>
      </c>
      <c r="C201" s="2831">
        <v>294</v>
      </c>
      <c r="D201" s="2831" t="s">
        <v>2379</v>
      </c>
      <c r="E201" s="2831" t="s">
        <v>2174</v>
      </c>
    </row>
    <row r="202" spans="1:5">
      <c r="A202" s="2831">
        <v>613</v>
      </c>
      <c r="B202" s="2831" t="s">
        <v>2374</v>
      </c>
      <c r="C202" s="2831">
        <v>3050</v>
      </c>
      <c r="D202" s="2831" t="s">
        <v>2380</v>
      </c>
      <c r="E202" s="2831" t="s">
        <v>2174</v>
      </c>
    </row>
    <row r="203" spans="1:5">
      <c r="A203" s="2831">
        <v>613</v>
      </c>
      <c r="B203" s="2831" t="s">
        <v>2374</v>
      </c>
      <c r="C203" s="2831">
        <v>101</v>
      </c>
      <c r="D203" s="2831" t="s">
        <v>2381</v>
      </c>
      <c r="E203" s="2831" t="s">
        <v>2174</v>
      </c>
    </row>
    <row r="204" spans="1:5">
      <c r="A204" s="2831">
        <v>763</v>
      </c>
      <c r="B204" s="2831" t="s">
        <v>2382</v>
      </c>
      <c r="C204" s="2831">
        <v>110</v>
      </c>
      <c r="D204" s="2831" t="s">
        <v>2383</v>
      </c>
      <c r="E204" s="2831" t="s">
        <v>2166</v>
      </c>
    </row>
    <row r="205" spans="1:5">
      <c r="A205" s="2831">
        <v>763</v>
      </c>
      <c r="B205" s="2831" t="s">
        <v>2382</v>
      </c>
      <c r="C205" s="2831">
        <v>201</v>
      </c>
      <c r="D205" s="2831" t="s">
        <v>2384</v>
      </c>
      <c r="E205" s="2831" t="s">
        <v>2169</v>
      </c>
    </row>
    <row r="206" spans="1:5">
      <c r="A206" s="2831">
        <v>763</v>
      </c>
      <c r="B206" s="2831" t="s">
        <v>2382</v>
      </c>
      <c r="C206" s="2831">
        <v>209</v>
      </c>
      <c r="D206" s="2831" t="s">
        <v>2385</v>
      </c>
      <c r="E206" s="2831" t="s">
        <v>2166</v>
      </c>
    </row>
    <row r="207" spans="1:5">
      <c r="A207" s="2831">
        <v>763</v>
      </c>
      <c r="B207" s="2831" t="s">
        <v>2382</v>
      </c>
      <c r="C207" s="2831">
        <v>2050</v>
      </c>
      <c r="D207" s="2831" t="s">
        <v>2386</v>
      </c>
      <c r="E207" s="2831" t="s">
        <v>2174</v>
      </c>
    </row>
    <row r="208" spans="1:5">
      <c r="A208" s="2831">
        <v>614</v>
      </c>
      <c r="B208" s="2831" t="s">
        <v>2387</v>
      </c>
      <c r="C208" s="2831">
        <v>110</v>
      </c>
      <c r="D208" s="2831" t="s">
        <v>2388</v>
      </c>
      <c r="E208" s="2831" t="s">
        <v>2174</v>
      </c>
    </row>
    <row r="209" spans="1:5">
      <c r="A209" s="2831">
        <v>614</v>
      </c>
      <c r="B209" s="2831" t="s">
        <v>2387</v>
      </c>
      <c r="C209" s="2831">
        <v>197</v>
      </c>
      <c r="D209" s="2831" t="s">
        <v>2389</v>
      </c>
      <c r="E209" s="2831" t="s">
        <v>2166</v>
      </c>
    </row>
    <row r="210" spans="1:5">
      <c r="A210" s="2831">
        <v>614</v>
      </c>
      <c r="B210" s="2831" t="s">
        <v>2387</v>
      </c>
      <c r="C210" s="2831">
        <v>394</v>
      </c>
      <c r="D210" s="2831" t="s">
        <v>2390</v>
      </c>
      <c r="E210" s="2831" t="s">
        <v>2169</v>
      </c>
    </row>
    <row r="211" spans="1:5">
      <c r="A211" s="2831">
        <v>614</v>
      </c>
      <c r="B211" s="2831" t="s">
        <v>2387</v>
      </c>
      <c r="C211" s="2831">
        <v>393</v>
      </c>
      <c r="D211" s="2831" t="s">
        <v>2391</v>
      </c>
      <c r="E211" s="2831" t="s">
        <v>2166</v>
      </c>
    </row>
    <row r="212" spans="1:5">
      <c r="A212" s="2831">
        <v>614</v>
      </c>
      <c r="B212" s="2831" t="s">
        <v>2387</v>
      </c>
      <c r="C212" s="2831">
        <v>193</v>
      </c>
      <c r="D212" s="2831" t="s">
        <v>2392</v>
      </c>
      <c r="E212" s="2831" t="s">
        <v>2169</v>
      </c>
    </row>
    <row r="213" spans="1:5">
      <c r="A213" s="2831">
        <v>615</v>
      </c>
      <c r="B213" s="2831" t="s">
        <v>2393</v>
      </c>
      <c r="C213" s="2831">
        <v>286</v>
      </c>
      <c r="D213" s="2831" t="s">
        <v>2394</v>
      </c>
      <c r="E213" s="2831" t="s">
        <v>2174</v>
      </c>
    </row>
    <row r="214" spans="1:5">
      <c r="A214" s="2831">
        <v>615</v>
      </c>
      <c r="B214" s="2831" t="s">
        <v>2393</v>
      </c>
      <c r="C214" s="2831">
        <v>502</v>
      </c>
      <c r="D214" s="2831" t="s">
        <v>2395</v>
      </c>
      <c r="E214" s="2831" t="s">
        <v>2174</v>
      </c>
    </row>
    <row r="215" spans="1:5">
      <c r="A215" s="2831">
        <v>615</v>
      </c>
      <c r="B215" s="2831" t="s">
        <v>2393</v>
      </c>
      <c r="C215" s="2831">
        <v>402</v>
      </c>
      <c r="D215" s="2831" t="s">
        <v>2396</v>
      </c>
      <c r="E215" s="2831" t="s">
        <v>2166</v>
      </c>
    </row>
    <row r="216" spans="1:5">
      <c r="A216" s="2831">
        <v>615</v>
      </c>
      <c r="B216" s="2831" t="s">
        <v>2393</v>
      </c>
      <c r="C216" s="2831">
        <v>101</v>
      </c>
      <c r="D216" s="2831" t="s">
        <v>2397</v>
      </c>
      <c r="E216" s="2831" t="s">
        <v>2174</v>
      </c>
    </row>
    <row r="217" spans="1:5">
      <c r="A217" s="2831">
        <v>615</v>
      </c>
      <c r="B217" s="2831" t="s">
        <v>2393</v>
      </c>
      <c r="C217" s="2831">
        <v>504</v>
      </c>
      <c r="D217" s="2831" t="s">
        <v>2398</v>
      </c>
      <c r="E217" s="2831" t="s">
        <v>2174</v>
      </c>
    </row>
    <row r="218" spans="1:5">
      <c r="A218" s="2831">
        <v>615</v>
      </c>
      <c r="B218" s="2831" t="s">
        <v>2393</v>
      </c>
      <c r="C218" s="2831">
        <v>503</v>
      </c>
      <c r="D218" s="2831" t="s">
        <v>2399</v>
      </c>
      <c r="E218" s="2831" t="s">
        <v>2166</v>
      </c>
    </row>
    <row r="219" spans="1:5">
      <c r="A219" s="2831">
        <v>615</v>
      </c>
      <c r="B219" s="2831" t="s">
        <v>2393</v>
      </c>
      <c r="C219" s="2831">
        <v>302</v>
      </c>
      <c r="D219" s="2831" t="s">
        <v>2400</v>
      </c>
      <c r="E219" s="2831" t="s">
        <v>2169</v>
      </c>
    </row>
    <row r="220" spans="1:5">
      <c r="A220" s="2831">
        <v>615</v>
      </c>
      <c r="B220" s="2831" t="s">
        <v>2393</v>
      </c>
      <c r="C220" s="2831">
        <v>182</v>
      </c>
      <c r="D220" s="2831" t="s">
        <v>2401</v>
      </c>
      <c r="E220" s="2831" t="s">
        <v>2166</v>
      </c>
    </row>
    <row r="221" spans="1:5">
      <c r="A221" s="2831">
        <v>615</v>
      </c>
      <c r="B221" s="2831" t="s">
        <v>2393</v>
      </c>
      <c r="C221" s="2831">
        <v>199</v>
      </c>
      <c r="D221" s="2831" t="s">
        <v>2402</v>
      </c>
      <c r="E221" s="2831" t="s">
        <v>2166</v>
      </c>
    </row>
    <row r="222" spans="1:5">
      <c r="A222" s="2831">
        <v>615</v>
      </c>
      <c r="B222" s="2831" t="s">
        <v>2393</v>
      </c>
      <c r="C222" s="2831">
        <v>202</v>
      </c>
      <c r="D222" s="2831" t="s">
        <v>2403</v>
      </c>
      <c r="E222" s="2831" t="s">
        <v>2169</v>
      </c>
    </row>
    <row r="223" spans="1:5">
      <c r="A223" s="2831">
        <v>764</v>
      </c>
      <c r="B223" s="2831" t="s">
        <v>2404</v>
      </c>
      <c r="C223" s="2831">
        <v>100</v>
      </c>
      <c r="D223" s="2831" t="s">
        <v>2405</v>
      </c>
      <c r="E223" s="2831" t="s">
        <v>2174</v>
      </c>
    </row>
    <row r="224" spans="1:5">
      <c r="A224" s="2831">
        <v>764</v>
      </c>
      <c r="B224" s="2831" t="s">
        <v>2404</v>
      </c>
      <c r="C224" s="2831">
        <v>191</v>
      </c>
      <c r="D224" s="2831" t="s">
        <v>2406</v>
      </c>
      <c r="E224" s="2831" t="s">
        <v>2166</v>
      </c>
    </row>
    <row r="225" spans="1:5">
      <c r="A225" s="2831">
        <v>764</v>
      </c>
      <c r="B225" s="2831" t="s">
        <v>2404</v>
      </c>
      <c r="C225" s="2831">
        <v>104</v>
      </c>
      <c r="D225" s="2831" t="s">
        <v>2407</v>
      </c>
      <c r="E225" s="2831" t="s">
        <v>2166</v>
      </c>
    </row>
    <row r="226" spans="1:5">
      <c r="A226" s="2831">
        <v>764</v>
      </c>
      <c r="B226" s="2831" t="s">
        <v>2404</v>
      </c>
      <c r="C226" s="2831">
        <v>292</v>
      </c>
      <c r="D226" s="2831" t="s">
        <v>2408</v>
      </c>
      <c r="E226" s="2831" t="s">
        <v>2166</v>
      </c>
    </row>
    <row r="227" spans="1:5">
      <c r="A227" s="2831">
        <v>616</v>
      </c>
      <c r="B227" s="2831" t="s">
        <v>2409</v>
      </c>
      <c r="C227" s="2831">
        <v>200</v>
      </c>
      <c r="D227" s="2831" t="s">
        <v>2410</v>
      </c>
      <c r="E227" s="2831" t="s">
        <v>2174</v>
      </c>
    </row>
    <row r="228" spans="1:5">
      <c r="A228" s="2831">
        <v>616</v>
      </c>
      <c r="B228" s="2831" t="s">
        <v>2409</v>
      </c>
      <c r="C228" s="2831">
        <v>2050</v>
      </c>
      <c r="D228" s="2831" t="s">
        <v>2411</v>
      </c>
      <c r="E228" s="2831" t="s">
        <v>2174</v>
      </c>
    </row>
    <row r="229" spans="1:5">
      <c r="A229" s="2831">
        <v>616</v>
      </c>
      <c r="B229" s="2831" t="s">
        <v>2409</v>
      </c>
      <c r="C229" s="2831">
        <v>199</v>
      </c>
      <c r="D229" s="2831" t="s">
        <v>2412</v>
      </c>
      <c r="E229" s="2831" t="s">
        <v>2166</v>
      </c>
    </row>
    <row r="230" spans="1:5">
      <c r="A230" s="2831">
        <v>616</v>
      </c>
      <c r="B230" s="2831" t="s">
        <v>2409</v>
      </c>
      <c r="C230" s="2831">
        <v>299</v>
      </c>
      <c r="D230" s="2831" t="s">
        <v>2413</v>
      </c>
      <c r="E230" s="2831" t="s">
        <v>2174</v>
      </c>
    </row>
    <row r="231" spans="1:5">
      <c r="A231" s="2831">
        <v>616</v>
      </c>
      <c r="B231" s="2831" t="s">
        <v>2409</v>
      </c>
      <c r="C231" s="2831">
        <v>5050</v>
      </c>
      <c r="D231" s="2831" t="s">
        <v>2414</v>
      </c>
      <c r="E231" s="2831" t="s">
        <v>2174</v>
      </c>
    </row>
    <row r="232" spans="1:5">
      <c r="A232" s="2831">
        <v>616</v>
      </c>
      <c r="B232" s="2831" t="s">
        <v>2409</v>
      </c>
      <c r="C232" s="2831">
        <v>100</v>
      </c>
      <c r="D232" s="2831" t="s">
        <v>2415</v>
      </c>
      <c r="E232" s="2831" t="s">
        <v>2174</v>
      </c>
    </row>
    <row r="233" spans="1:5">
      <c r="A233" s="2831">
        <v>616</v>
      </c>
      <c r="B233" s="2831" t="s">
        <v>2409</v>
      </c>
      <c r="C233" s="2831">
        <v>107</v>
      </c>
      <c r="D233" s="2831" t="s">
        <v>2416</v>
      </c>
      <c r="E233" s="2831" t="s">
        <v>2174</v>
      </c>
    </row>
    <row r="234" spans="1:5">
      <c r="A234" s="2831">
        <v>616</v>
      </c>
      <c r="B234" s="2831" t="s">
        <v>2409</v>
      </c>
      <c r="C234" s="2831">
        <v>399</v>
      </c>
      <c r="D234" s="2831" t="s">
        <v>2417</v>
      </c>
      <c r="E234" s="2831" t="s">
        <v>2169</v>
      </c>
    </row>
    <row r="235" spans="1:5">
      <c r="A235" s="2831">
        <v>616</v>
      </c>
      <c r="B235" s="2831" t="s">
        <v>2409</v>
      </c>
      <c r="C235" s="2831">
        <v>4052</v>
      </c>
      <c r="D235" s="2831" t="s">
        <v>2418</v>
      </c>
      <c r="E235" s="2831" t="s">
        <v>2169</v>
      </c>
    </row>
    <row r="236" spans="1:5">
      <c r="A236" s="2831">
        <v>616</v>
      </c>
      <c r="B236" s="2831" t="s">
        <v>2409</v>
      </c>
      <c r="C236" s="2831">
        <v>5054</v>
      </c>
      <c r="D236" s="2831" t="s">
        <v>2419</v>
      </c>
      <c r="E236" s="2831" t="s">
        <v>2166</v>
      </c>
    </row>
    <row r="237" spans="1:5">
      <c r="A237" s="2831">
        <v>616</v>
      </c>
      <c r="B237" s="2831" t="s">
        <v>2409</v>
      </c>
      <c r="C237" s="2831">
        <v>203</v>
      </c>
      <c r="D237" s="2831" t="s">
        <v>2420</v>
      </c>
      <c r="E237" s="2831" t="s">
        <v>2174</v>
      </c>
    </row>
    <row r="238" spans="1:5">
      <c r="A238" s="2831">
        <v>616</v>
      </c>
      <c r="B238" s="2831" t="s">
        <v>2409</v>
      </c>
      <c r="C238" s="2831">
        <v>300</v>
      </c>
      <c r="D238" s="2831" t="s">
        <v>2421</v>
      </c>
      <c r="E238" s="2831" t="s">
        <v>2166</v>
      </c>
    </row>
    <row r="239" spans="1:5">
      <c r="A239" s="2831">
        <v>616</v>
      </c>
      <c r="B239" s="2831" t="s">
        <v>2409</v>
      </c>
      <c r="C239" s="2831">
        <v>2054</v>
      </c>
      <c r="D239" s="2831" t="s">
        <v>2422</v>
      </c>
      <c r="E239" s="2831" t="s">
        <v>2166</v>
      </c>
    </row>
    <row r="240" spans="1:5">
      <c r="A240" s="2831">
        <v>616</v>
      </c>
      <c r="B240" s="2831" t="s">
        <v>2409</v>
      </c>
      <c r="C240" s="2831">
        <v>3054</v>
      </c>
      <c r="D240" s="2831" t="s">
        <v>2423</v>
      </c>
      <c r="E240" s="2831" t="s">
        <v>2166</v>
      </c>
    </row>
    <row r="241" spans="1:5">
      <c r="A241" s="2831">
        <v>616</v>
      </c>
      <c r="B241" s="2831" t="s">
        <v>2409</v>
      </c>
      <c r="C241" s="2831">
        <v>198</v>
      </c>
      <c r="D241" s="2831" t="s">
        <v>2424</v>
      </c>
      <c r="E241" s="2831" t="s">
        <v>2166</v>
      </c>
    </row>
    <row r="242" spans="1:5">
      <c r="A242" s="2831">
        <v>617</v>
      </c>
      <c r="B242" s="2831" t="s">
        <v>2425</v>
      </c>
      <c r="C242" s="2831">
        <v>104</v>
      </c>
      <c r="D242" s="2831" t="s">
        <v>2426</v>
      </c>
      <c r="E242" s="2831" t="s">
        <v>2174</v>
      </c>
    </row>
    <row r="243" spans="1:5">
      <c r="A243" s="2831">
        <v>617</v>
      </c>
      <c r="B243" s="2831" t="s">
        <v>2425</v>
      </c>
      <c r="C243" s="2831">
        <v>288</v>
      </c>
      <c r="D243" s="2831" t="s">
        <v>2427</v>
      </c>
      <c r="E243" s="2831" t="s">
        <v>2166</v>
      </c>
    </row>
    <row r="244" spans="1:5">
      <c r="A244" s="2831">
        <v>617</v>
      </c>
      <c r="B244" s="2831" t="s">
        <v>2425</v>
      </c>
      <c r="C244" s="2831">
        <v>188</v>
      </c>
      <c r="D244" s="2831" t="s">
        <v>2428</v>
      </c>
      <c r="E244" s="2831" t="s">
        <v>2174</v>
      </c>
    </row>
    <row r="245" spans="1:5">
      <c r="A245" s="2831">
        <v>617</v>
      </c>
      <c r="B245" s="2831" t="s">
        <v>2425</v>
      </c>
      <c r="C245" s="2831">
        <v>196</v>
      </c>
      <c r="D245" s="2831" t="s">
        <v>2429</v>
      </c>
      <c r="E245" s="2831" t="s">
        <v>2166</v>
      </c>
    </row>
    <row r="246" spans="1:5">
      <c r="A246" s="2831">
        <v>617</v>
      </c>
      <c r="B246" s="2831" t="s">
        <v>2425</v>
      </c>
      <c r="C246" s="2831">
        <v>2056</v>
      </c>
      <c r="D246" s="2831" t="s">
        <v>2430</v>
      </c>
      <c r="E246" s="2831" t="s">
        <v>2166</v>
      </c>
    </row>
    <row r="247" spans="1:5">
      <c r="A247" s="2831">
        <v>618</v>
      </c>
      <c r="B247" s="2831" t="s">
        <v>2431</v>
      </c>
      <c r="C247" s="2831">
        <v>104</v>
      </c>
      <c r="D247" s="2831" t="s">
        <v>2432</v>
      </c>
      <c r="E247" s="2831" t="s">
        <v>2166</v>
      </c>
    </row>
    <row r="248" spans="1:5">
      <c r="A248" s="2831">
        <v>618</v>
      </c>
      <c r="B248" s="2831" t="s">
        <v>2431</v>
      </c>
      <c r="C248" s="2831">
        <v>100</v>
      </c>
      <c r="D248" s="2831" t="s">
        <v>2433</v>
      </c>
      <c r="E248" s="2831" t="s">
        <v>2166</v>
      </c>
    </row>
    <row r="249" spans="1:5">
      <c r="A249" s="2831">
        <v>618</v>
      </c>
      <c r="B249" s="2831" t="s">
        <v>2431</v>
      </c>
      <c r="C249" s="2831">
        <v>111</v>
      </c>
      <c r="D249" s="2831" t="s">
        <v>2216</v>
      </c>
      <c r="E249" s="2831" t="s">
        <v>2169</v>
      </c>
    </row>
    <row r="250" spans="1:5">
      <c r="A250" s="2831">
        <v>618</v>
      </c>
      <c r="B250" s="2831" t="s">
        <v>2431</v>
      </c>
      <c r="C250" s="2831">
        <v>190</v>
      </c>
      <c r="D250" s="2831" t="s">
        <v>2434</v>
      </c>
      <c r="E250" s="2831" t="s">
        <v>2166</v>
      </c>
    </row>
    <row r="251" spans="1:5">
      <c r="A251" s="2831">
        <v>618</v>
      </c>
      <c r="B251" s="2831" t="s">
        <v>2431</v>
      </c>
      <c r="C251" s="2831">
        <v>108</v>
      </c>
      <c r="D251" s="2831" t="s">
        <v>2435</v>
      </c>
      <c r="E251" s="2831" t="s">
        <v>2169</v>
      </c>
    </row>
    <row r="252" spans="1:5">
      <c r="A252" s="2831">
        <v>765</v>
      </c>
      <c r="B252" s="2831" t="s">
        <v>2436</v>
      </c>
      <c r="C252" s="2831">
        <v>405</v>
      </c>
      <c r="D252" s="2831" t="s">
        <v>2437</v>
      </c>
      <c r="E252" s="2831" t="s">
        <v>2166</v>
      </c>
    </row>
    <row r="253" spans="1:5">
      <c r="A253" s="2831">
        <v>765</v>
      </c>
      <c r="B253" s="2831" t="s">
        <v>2436</v>
      </c>
      <c r="C253" s="2831">
        <v>3050</v>
      </c>
      <c r="D253" s="2831" t="s">
        <v>2438</v>
      </c>
      <c r="E253" s="2831" t="s">
        <v>2174</v>
      </c>
    </row>
    <row r="254" spans="1:5">
      <c r="A254" s="2831">
        <v>765</v>
      </c>
      <c r="B254" s="2831" t="s">
        <v>2436</v>
      </c>
      <c r="C254" s="2831">
        <v>205</v>
      </c>
      <c r="D254" s="2831" t="s">
        <v>2439</v>
      </c>
      <c r="E254" s="2831" t="s">
        <v>2169</v>
      </c>
    </row>
    <row r="255" spans="1:5">
      <c r="A255" s="2831">
        <v>765</v>
      </c>
      <c r="B255" s="2831" t="s">
        <v>2436</v>
      </c>
      <c r="C255" s="2831">
        <v>305</v>
      </c>
      <c r="D255" s="2831" t="s">
        <v>2440</v>
      </c>
      <c r="E255" s="2831" t="s">
        <v>2169</v>
      </c>
    </row>
    <row r="256" spans="1:5">
      <c r="A256" s="2831">
        <v>619</v>
      </c>
      <c r="B256" s="2831" t="s">
        <v>2441</v>
      </c>
      <c r="C256" s="2831">
        <v>179</v>
      </c>
      <c r="D256" s="2831" t="s">
        <v>2442</v>
      </c>
      <c r="E256" s="2831" t="s">
        <v>2166</v>
      </c>
    </row>
    <row r="257" spans="1:5">
      <c r="A257" s="2831">
        <v>619</v>
      </c>
      <c r="B257" s="2831" t="s">
        <v>2441</v>
      </c>
      <c r="C257" s="2831">
        <v>113</v>
      </c>
      <c r="D257" s="2831" t="s">
        <v>2443</v>
      </c>
      <c r="E257" s="2831" t="s">
        <v>2169</v>
      </c>
    </row>
    <row r="258" spans="1:5">
      <c r="A258" s="2831">
        <v>619</v>
      </c>
      <c r="B258" s="2831" t="s">
        <v>2441</v>
      </c>
      <c r="C258" s="2831">
        <v>213</v>
      </c>
      <c r="D258" s="2831" t="s">
        <v>2444</v>
      </c>
      <c r="E258" s="2831" t="s">
        <v>2166</v>
      </c>
    </row>
    <row r="259" spans="1:5">
      <c r="A259" s="2831">
        <v>620</v>
      </c>
      <c r="B259" s="2831" t="s">
        <v>2445</v>
      </c>
      <c r="C259" s="2831">
        <v>295</v>
      </c>
      <c r="D259" s="2831" t="s">
        <v>2446</v>
      </c>
      <c r="E259" s="2831" t="s">
        <v>2174</v>
      </c>
    </row>
    <row r="260" spans="1:5">
      <c r="A260" s="2831">
        <v>620</v>
      </c>
      <c r="B260" s="2831" t="s">
        <v>2445</v>
      </c>
      <c r="C260" s="2831">
        <v>182</v>
      </c>
      <c r="D260" s="2831" t="s">
        <v>2447</v>
      </c>
      <c r="E260" s="2831" t="s">
        <v>2174</v>
      </c>
    </row>
    <row r="261" spans="1:5">
      <c r="A261" s="2831">
        <v>620</v>
      </c>
      <c r="B261" s="2831" t="s">
        <v>2445</v>
      </c>
      <c r="C261" s="2831">
        <v>187</v>
      </c>
      <c r="D261" s="2831" t="s">
        <v>2448</v>
      </c>
      <c r="E261" s="2831" t="s">
        <v>2174</v>
      </c>
    </row>
    <row r="262" spans="1:5">
      <c r="A262" s="2831">
        <v>620</v>
      </c>
      <c r="B262" s="2831" t="s">
        <v>2445</v>
      </c>
      <c r="C262" s="2831">
        <v>195</v>
      </c>
      <c r="D262" s="2831" t="s">
        <v>2449</v>
      </c>
      <c r="E262" s="2831" t="s">
        <v>2166</v>
      </c>
    </row>
    <row r="263" spans="1:5">
      <c r="A263" s="2831">
        <v>620</v>
      </c>
      <c r="B263" s="2831" t="s">
        <v>2445</v>
      </c>
      <c r="C263" s="2831">
        <v>193</v>
      </c>
      <c r="D263" s="2831" t="s">
        <v>2450</v>
      </c>
      <c r="E263" s="2831" t="s">
        <v>2174</v>
      </c>
    </row>
    <row r="264" spans="1:5">
      <c r="A264" s="2831">
        <v>620</v>
      </c>
      <c r="B264" s="2831" t="s">
        <v>2445</v>
      </c>
      <c r="C264" s="2831">
        <v>100</v>
      </c>
      <c r="D264" s="2831" t="s">
        <v>2451</v>
      </c>
      <c r="E264" s="2831" t="s">
        <v>2174</v>
      </c>
    </row>
    <row r="265" spans="1:5">
      <c r="A265" s="2831">
        <v>620</v>
      </c>
      <c r="B265" s="2831" t="s">
        <v>2445</v>
      </c>
      <c r="C265" s="2831">
        <v>495</v>
      </c>
      <c r="D265" s="2831" t="s">
        <v>2452</v>
      </c>
      <c r="E265" s="2831" t="s">
        <v>2166</v>
      </c>
    </row>
    <row r="266" spans="1:5">
      <c r="A266" s="2831">
        <v>620</v>
      </c>
      <c r="B266" s="2831" t="s">
        <v>2445</v>
      </c>
      <c r="C266" s="2831">
        <v>189</v>
      </c>
      <c r="D266" s="2831" t="s">
        <v>2453</v>
      </c>
      <c r="E266" s="2831" t="s">
        <v>2166</v>
      </c>
    </row>
    <row r="267" spans="1:5">
      <c r="A267" s="2831">
        <v>620</v>
      </c>
      <c r="B267" s="2831" t="s">
        <v>2445</v>
      </c>
      <c r="C267" s="2831">
        <v>110</v>
      </c>
      <c r="D267" s="2831" t="s">
        <v>2454</v>
      </c>
      <c r="E267" s="2831" t="s">
        <v>2174</v>
      </c>
    </row>
    <row r="268" spans="1:5">
      <c r="A268" s="2831">
        <v>620</v>
      </c>
      <c r="B268" s="2831" t="s">
        <v>2445</v>
      </c>
      <c r="C268" s="2831">
        <v>105</v>
      </c>
      <c r="D268" s="2831" t="s">
        <v>2455</v>
      </c>
      <c r="E268" s="2831" t="s">
        <v>2166</v>
      </c>
    </row>
    <row r="269" spans="1:5">
      <c r="A269" s="2831">
        <v>620</v>
      </c>
      <c r="B269" s="2831" t="s">
        <v>2445</v>
      </c>
      <c r="C269" s="2831">
        <v>197</v>
      </c>
      <c r="D269" s="2831" t="s">
        <v>2456</v>
      </c>
      <c r="E269" s="2831" t="s">
        <v>2166</v>
      </c>
    </row>
    <row r="270" spans="1:5">
      <c r="A270" s="2831">
        <v>620</v>
      </c>
      <c r="B270" s="2831" t="s">
        <v>2445</v>
      </c>
      <c r="C270" s="2831">
        <v>192</v>
      </c>
      <c r="D270" s="2831" t="s">
        <v>2457</v>
      </c>
      <c r="E270" s="2831" t="s">
        <v>2174</v>
      </c>
    </row>
    <row r="271" spans="1:5">
      <c r="A271" s="2831">
        <v>621</v>
      </c>
      <c r="B271" s="2831" t="s">
        <v>2458</v>
      </c>
      <c r="C271" s="2831">
        <v>303</v>
      </c>
      <c r="D271" s="2831" t="s">
        <v>2459</v>
      </c>
      <c r="E271" s="2831" t="s">
        <v>2174</v>
      </c>
    </row>
    <row r="272" spans="1:5">
      <c r="A272" s="2831">
        <v>621</v>
      </c>
      <c r="B272" s="2831" t="s">
        <v>2458</v>
      </c>
      <c r="C272" s="2831">
        <v>302</v>
      </c>
      <c r="D272" s="2831" t="s">
        <v>2460</v>
      </c>
      <c r="E272" s="2831" t="s">
        <v>2174</v>
      </c>
    </row>
    <row r="273" spans="1:5">
      <c r="A273" s="2831">
        <v>621</v>
      </c>
      <c r="B273" s="2831" t="s">
        <v>2458</v>
      </c>
      <c r="C273" s="2831">
        <v>101</v>
      </c>
      <c r="D273" s="2831" t="s">
        <v>2461</v>
      </c>
      <c r="E273" s="2831" t="s">
        <v>2166</v>
      </c>
    </row>
    <row r="274" spans="1:5">
      <c r="A274" s="2831">
        <v>621</v>
      </c>
      <c r="B274" s="2831" t="s">
        <v>2458</v>
      </c>
      <c r="C274" s="2831">
        <v>102</v>
      </c>
      <c r="D274" s="2831" t="s">
        <v>2462</v>
      </c>
      <c r="E274" s="2831" t="s">
        <v>2166</v>
      </c>
    </row>
    <row r="275" spans="1:5">
      <c r="A275" s="2831">
        <v>622</v>
      </c>
      <c r="B275" s="2831" t="s">
        <v>2463</v>
      </c>
      <c r="C275" s="2831">
        <v>198</v>
      </c>
      <c r="D275" s="2831" t="s">
        <v>2464</v>
      </c>
      <c r="E275" s="2831" t="s">
        <v>2169</v>
      </c>
    </row>
    <row r="276" spans="1:5">
      <c r="A276" s="2831">
        <v>622</v>
      </c>
      <c r="B276" s="2831" t="s">
        <v>2463</v>
      </c>
      <c r="C276" s="2831">
        <v>2050</v>
      </c>
      <c r="D276" s="2831" t="s">
        <v>2465</v>
      </c>
      <c r="E276" s="2831" t="s">
        <v>2166</v>
      </c>
    </row>
    <row r="277" spans="1:5">
      <c r="A277" s="2831">
        <v>622</v>
      </c>
      <c r="B277" s="2831" t="s">
        <v>2463</v>
      </c>
      <c r="C277" s="2831">
        <v>3050</v>
      </c>
      <c r="D277" s="2831" t="s">
        <v>2466</v>
      </c>
      <c r="E277" s="2831" t="s">
        <v>2169</v>
      </c>
    </row>
    <row r="278" spans="1:5">
      <c r="A278" s="2831">
        <v>622</v>
      </c>
      <c r="B278" s="2831" t="s">
        <v>2463</v>
      </c>
      <c r="C278" s="2831">
        <v>101</v>
      </c>
      <c r="D278" s="2831" t="s">
        <v>2467</v>
      </c>
      <c r="E278" s="2831" t="s">
        <v>2169</v>
      </c>
    </row>
    <row r="279" spans="1:5">
      <c r="A279" s="2831">
        <v>622</v>
      </c>
      <c r="B279" s="2831" t="s">
        <v>2463</v>
      </c>
      <c r="C279" s="2831">
        <v>5050</v>
      </c>
      <c r="D279" s="2831" t="s">
        <v>2468</v>
      </c>
      <c r="E279" s="2831" t="s">
        <v>2174</v>
      </c>
    </row>
    <row r="280" spans="1:5">
      <c r="A280" s="2831">
        <v>622</v>
      </c>
      <c r="B280" s="2831" t="s">
        <v>2463</v>
      </c>
      <c r="C280" s="2831">
        <v>2052</v>
      </c>
      <c r="D280" s="2831" t="s">
        <v>2341</v>
      </c>
      <c r="E280" s="2831" t="s">
        <v>2166</v>
      </c>
    </row>
    <row r="281" spans="1:5">
      <c r="A281" s="2831">
        <v>622</v>
      </c>
      <c r="B281" s="2831" t="s">
        <v>2463</v>
      </c>
      <c r="C281" s="2831">
        <v>177</v>
      </c>
      <c r="D281" s="2831" t="s">
        <v>2469</v>
      </c>
      <c r="E281" s="2831" t="s">
        <v>2166</v>
      </c>
    </row>
    <row r="282" spans="1:5">
      <c r="A282" s="2831">
        <v>622</v>
      </c>
      <c r="B282" s="2831" t="s">
        <v>2463</v>
      </c>
      <c r="C282" s="2831">
        <v>605</v>
      </c>
      <c r="D282" s="2831" t="s">
        <v>2470</v>
      </c>
      <c r="E282" s="2831" t="s">
        <v>2166</v>
      </c>
    </row>
    <row r="283" spans="1:5">
      <c r="A283" s="2831">
        <v>622</v>
      </c>
      <c r="B283" s="2831" t="s">
        <v>2463</v>
      </c>
      <c r="C283" s="2831">
        <v>405</v>
      </c>
      <c r="D283" s="2831" t="s">
        <v>2471</v>
      </c>
      <c r="E283" s="2831" t="s">
        <v>2166</v>
      </c>
    </row>
    <row r="284" spans="1:5">
      <c r="A284" s="2831">
        <v>622</v>
      </c>
      <c r="B284" s="2831" t="s">
        <v>2463</v>
      </c>
      <c r="C284" s="2831">
        <v>176</v>
      </c>
      <c r="D284" s="2831" t="s">
        <v>2472</v>
      </c>
      <c r="E284" s="2831" t="s">
        <v>2166</v>
      </c>
    </row>
    <row r="285" spans="1:5">
      <c r="A285" s="2831">
        <v>622</v>
      </c>
      <c r="B285" s="2831" t="s">
        <v>2463</v>
      </c>
      <c r="C285" s="2831">
        <v>212</v>
      </c>
      <c r="D285" s="2831" t="s">
        <v>2473</v>
      </c>
      <c r="E285" s="2831" t="s">
        <v>2174</v>
      </c>
    </row>
    <row r="286" spans="1:5">
      <c r="A286" s="2831">
        <v>622</v>
      </c>
      <c r="B286" s="2831" t="s">
        <v>2463</v>
      </c>
      <c r="C286" s="2831">
        <v>208</v>
      </c>
      <c r="D286" s="2831" t="s">
        <v>2474</v>
      </c>
      <c r="E286" s="2831" t="s">
        <v>2169</v>
      </c>
    </row>
    <row r="287" spans="1:5">
      <c r="A287" s="2831">
        <v>622</v>
      </c>
      <c r="B287" s="2831" t="s">
        <v>2463</v>
      </c>
      <c r="C287" s="2831">
        <v>115</v>
      </c>
      <c r="D287" s="2831" t="s">
        <v>2475</v>
      </c>
      <c r="E287" s="2831" t="s">
        <v>2174</v>
      </c>
    </row>
    <row r="288" spans="1:5">
      <c r="A288" s="2831">
        <v>622</v>
      </c>
      <c r="B288" s="2831" t="s">
        <v>2463</v>
      </c>
      <c r="C288" s="2831">
        <v>377</v>
      </c>
      <c r="D288" s="2831" t="s">
        <v>2476</v>
      </c>
      <c r="E288" s="2831" t="s">
        <v>2174</v>
      </c>
    </row>
    <row r="289" spans="1:5">
      <c r="A289" s="2831">
        <v>622</v>
      </c>
      <c r="B289" s="2831" t="s">
        <v>2463</v>
      </c>
      <c r="C289" s="2831">
        <v>5052</v>
      </c>
      <c r="D289" s="2831" t="s">
        <v>2477</v>
      </c>
      <c r="E289" s="2831" t="s">
        <v>2166</v>
      </c>
    </row>
    <row r="290" spans="1:5">
      <c r="A290" s="2831">
        <v>622</v>
      </c>
      <c r="B290" s="2831" t="s">
        <v>2463</v>
      </c>
      <c r="C290" s="2831">
        <v>100</v>
      </c>
      <c r="D290" s="2831" t="s">
        <v>2478</v>
      </c>
      <c r="E290" s="2831" t="s">
        <v>2166</v>
      </c>
    </row>
    <row r="291" spans="1:5">
      <c r="A291" s="2831">
        <v>622</v>
      </c>
      <c r="B291" s="2831" t="s">
        <v>2463</v>
      </c>
      <c r="C291" s="2831">
        <v>1054</v>
      </c>
      <c r="D291" s="2831" t="s">
        <v>2479</v>
      </c>
      <c r="E291" s="2831" t="s">
        <v>2166</v>
      </c>
    </row>
    <row r="292" spans="1:5">
      <c r="A292" s="2831">
        <v>622</v>
      </c>
      <c r="B292" s="2831" t="s">
        <v>2463</v>
      </c>
      <c r="C292" s="2831">
        <v>189</v>
      </c>
      <c r="D292" s="2831" t="s">
        <v>2480</v>
      </c>
      <c r="E292" s="2831" t="s">
        <v>2169</v>
      </c>
    </row>
    <row r="293" spans="1:5">
      <c r="A293" s="2831">
        <v>622</v>
      </c>
      <c r="B293" s="2831" t="s">
        <v>2463</v>
      </c>
      <c r="C293" s="2831">
        <v>102</v>
      </c>
      <c r="D293" s="2831" t="s">
        <v>2481</v>
      </c>
      <c r="E293" s="2831" t="s">
        <v>2169</v>
      </c>
    </row>
    <row r="294" spans="1:5">
      <c r="A294" s="2831">
        <v>622</v>
      </c>
      <c r="B294" s="2831" t="s">
        <v>2463</v>
      </c>
      <c r="C294" s="2831">
        <v>705</v>
      </c>
      <c r="D294" s="2831" t="s">
        <v>2482</v>
      </c>
      <c r="E294" s="2831" t="s">
        <v>2174</v>
      </c>
    </row>
    <row r="295" spans="1:5">
      <c r="A295" s="2831">
        <v>622</v>
      </c>
      <c r="B295" s="2831" t="s">
        <v>2463</v>
      </c>
      <c r="C295" s="2831">
        <v>5054</v>
      </c>
      <c r="D295" s="2831" t="s">
        <v>2483</v>
      </c>
      <c r="E295" s="2831" t="s">
        <v>2166</v>
      </c>
    </row>
    <row r="296" spans="1:5">
      <c r="A296" s="2831">
        <v>622</v>
      </c>
      <c r="B296" s="2831" t="s">
        <v>2463</v>
      </c>
      <c r="C296" s="2831">
        <v>305</v>
      </c>
      <c r="D296" s="2831" t="s">
        <v>2484</v>
      </c>
      <c r="E296" s="2831" t="s">
        <v>2169</v>
      </c>
    </row>
    <row r="297" spans="1:5">
      <c r="A297" s="2831">
        <v>622</v>
      </c>
      <c r="B297" s="2831" t="s">
        <v>2463</v>
      </c>
      <c r="C297" s="2831">
        <v>477</v>
      </c>
      <c r="D297" s="2831" t="s">
        <v>2485</v>
      </c>
      <c r="E297" s="2831" t="s">
        <v>2166</v>
      </c>
    </row>
    <row r="298" spans="1:5">
      <c r="A298" s="2831">
        <v>766</v>
      </c>
      <c r="B298" s="2831" t="s">
        <v>2486</v>
      </c>
      <c r="C298" s="2831">
        <v>193</v>
      </c>
      <c r="D298" s="2831" t="s">
        <v>2487</v>
      </c>
      <c r="E298" s="2831" t="s">
        <v>2166</v>
      </c>
    </row>
    <row r="299" spans="1:5">
      <c r="A299" s="2831">
        <v>766</v>
      </c>
      <c r="B299" s="2831" t="s">
        <v>2486</v>
      </c>
      <c r="C299" s="2831">
        <v>1050</v>
      </c>
      <c r="D299" s="2831" t="s">
        <v>2488</v>
      </c>
      <c r="E299" s="2831" t="s">
        <v>2166</v>
      </c>
    </row>
    <row r="300" spans="1:5">
      <c r="A300" s="2831">
        <v>766</v>
      </c>
      <c r="B300" s="2831" t="s">
        <v>2486</v>
      </c>
      <c r="C300" s="2831">
        <v>1550</v>
      </c>
      <c r="D300" s="2831" t="s">
        <v>2489</v>
      </c>
      <c r="E300" s="2831" t="s">
        <v>2166</v>
      </c>
    </row>
    <row r="301" spans="1:5">
      <c r="A301" s="2831">
        <v>766</v>
      </c>
      <c r="B301" s="2831" t="s">
        <v>2486</v>
      </c>
      <c r="C301" s="2831">
        <v>106</v>
      </c>
      <c r="D301" s="2831" t="s">
        <v>2490</v>
      </c>
      <c r="E301" s="2831" t="s">
        <v>2169</v>
      </c>
    </row>
    <row r="302" spans="1:5">
      <c r="A302" s="2831">
        <v>767</v>
      </c>
      <c r="B302" s="2831" t="s">
        <v>2491</v>
      </c>
      <c r="C302" s="2831">
        <v>191</v>
      </c>
      <c r="D302" s="2831" t="s">
        <v>2492</v>
      </c>
      <c r="E302" s="2831" t="s">
        <v>2166</v>
      </c>
    </row>
    <row r="303" spans="1:5">
      <c r="A303" s="2831">
        <v>767</v>
      </c>
      <c r="B303" s="2831" t="s">
        <v>2491</v>
      </c>
      <c r="C303" s="2831">
        <v>2050</v>
      </c>
      <c r="D303" s="2831" t="s">
        <v>2493</v>
      </c>
      <c r="E303" s="2831" t="s">
        <v>2166</v>
      </c>
    </row>
    <row r="304" spans="1:5">
      <c r="A304" s="2831">
        <v>767</v>
      </c>
      <c r="B304" s="2831" t="s">
        <v>2491</v>
      </c>
      <c r="C304" s="2831">
        <v>277</v>
      </c>
      <c r="D304" s="2831" t="s">
        <v>2494</v>
      </c>
      <c r="E304" s="2831" t="s">
        <v>2166</v>
      </c>
    </row>
    <row r="305" spans="1:5">
      <c r="A305" s="2831">
        <v>767</v>
      </c>
      <c r="B305" s="2831" t="s">
        <v>2491</v>
      </c>
      <c r="C305" s="2831">
        <v>177</v>
      </c>
      <c r="D305" s="2831" t="s">
        <v>2495</v>
      </c>
      <c r="E305" s="2831" t="s">
        <v>2169</v>
      </c>
    </row>
    <row r="306" spans="1:5">
      <c r="A306" s="2831">
        <v>623</v>
      </c>
      <c r="B306" s="2831" t="s">
        <v>2496</v>
      </c>
      <c r="C306" s="2831">
        <v>103</v>
      </c>
      <c r="D306" s="2831" t="s">
        <v>2497</v>
      </c>
      <c r="E306" s="2831" t="s">
        <v>2169</v>
      </c>
    </row>
    <row r="307" spans="1:5">
      <c r="A307" s="2831">
        <v>623</v>
      </c>
      <c r="B307" s="2831" t="s">
        <v>2496</v>
      </c>
      <c r="C307" s="2831">
        <v>102</v>
      </c>
      <c r="D307" s="2831" t="s">
        <v>2498</v>
      </c>
      <c r="E307" s="2831" t="s">
        <v>2169</v>
      </c>
    </row>
    <row r="308" spans="1:5">
      <c r="A308" s="2831">
        <v>623</v>
      </c>
      <c r="B308" s="2831" t="s">
        <v>2496</v>
      </c>
      <c r="C308" s="2831">
        <v>1050</v>
      </c>
      <c r="D308" s="2831" t="s">
        <v>2499</v>
      </c>
      <c r="E308" s="2831" t="s">
        <v>2166</v>
      </c>
    </row>
    <row r="309" spans="1:5">
      <c r="A309" s="2831">
        <v>623</v>
      </c>
      <c r="B309" s="2831" t="s">
        <v>2496</v>
      </c>
      <c r="C309" s="2831">
        <v>3050</v>
      </c>
      <c r="D309" s="2831" t="s">
        <v>2500</v>
      </c>
      <c r="E309" s="2831" t="s">
        <v>2166</v>
      </c>
    </row>
    <row r="310" spans="1:5">
      <c r="A310" s="2831">
        <v>623</v>
      </c>
      <c r="B310" s="2831" t="s">
        <v>2496</v>
      </c>
      <c r="C310" s="2831">
        <v>5050</v>
      </c>
      <c r="D310" s="2831" t="s">
        <v>2501</v>
      </c>
      <c r="E310" s="2831" t="s">
        <v>2166</v>
      </c>
    </row>
    <row r="311" spans="1:5">
      <c r="A311" s="2831">
        <v>623</v>
      </c>
      <c r="B311" s="2831" t="s">
        <v>2496</v>
      </c>
      <c r="C311" s="2831">
        <v>109</v>
      </c>
      <c r="D311" s="2831" t="s">
        <v>2502</v>
      </c>
      <c r="E311" s="2831" t="s">
        <v>2174</v>
      </c>
    </row>
    <row r="312" spans="1:5">
      <c r="A312" s="2831">
        <v>623</v>
      </c>
      <c r="B312" s="2831" t="s">
        <v>2496</v>
      </c>
      <c r="C312" s="2831">
        <v>205</v>
      </c>
      <c r="D312" s="2831" t="s">
        <v>2503</v>
      </c>
      <c r="E312" s="2831" t="s">
        <v>2174</v>
      </c>
    </row>
    <row r="313" spans="1:5">
      <c r="A313" s="2831">
        <v>623</v>
      </c>
      <c r="B313" s="2831" t="s">
        <v>2496</v>
      </c>
      <c r="C313" s="2831">
        <v>2552</v>
      </c>
      <c r="D313" s="2831" t="s">
        <v>2504</v>
      </c>
      <c r="E313" s="2831" t="s">
        <v>2166</v>
      </c>
    </row>
    <row r="314" spans="1:5">
      <c r="A314" s="2831">
        <v>623</v>
      </c>
      <c r="B314" s="2831" t="s">
        <v>2496</v>
      </c>
      <c r="C314" s="2831">
        <v>1052</v>
      </c>
      <c r="D314" s="2831" t="s">
        <v>2505</v>
      </c>
      <c r="E314" s="2831" t="s">
        <v>2166</v>
      </c>
    </row>
    <row r="315" spans="1:5">
      <c r="A315" s="2831">
        <v>623</v>
      </c>
      <c r="B315" s="2831" t="s">
        <v>2496</v>
      </c>
      <c r="C315" s="2831">
        <v>3052</v>
      </c>
      <c r="D315" s="2831" t="s">
        <v>2506</v>
      </c>
      <c r="E315" s="2831" t="s">
        <v>2166</v>
      </c>
    </row>
    <row r="316" spans="1:5">
      <c r="A316" s="2831">
        <v>623</v>
      </c>
      <c r="B316" s="2831" t="s">
        <v>2496</v>
      </c>
      <c r="C316" s="2831">
        <v>4052</v>
      </c>
      <c r="D316" s="2831" t="s">
        <v>2507</v>
      </c>
      <c r="E316" s="2831" t="s">
        <v>2169</v>
      </c>
    </row>
    <row r="317" spans="1:5">
      <c r="A317" s="2831">
        <v>623</v>
      </c>
      <c r="B317" s="2831" t="s">
        <v>2496</v>
      </c>
      <c r="C317" s="2831">
        <v>5052</v>
      </c>
      <c r="D317" s="2831" t="s">
        <v>2508</v>
      </c>
      <c r="E317" s="2831" t="s">
        <v>2166</v>
      </c>
    </row>
    <row r="318" spans="1:5">
      <c r="A318" s="2831">
        <v>623</v>
      </c>
      <c r="B318" s="2831" t="s">
        <v>2496</v>
      </c>
      <c r="C318" s="2831">
        <v>100</v>
      </c>
      <c r="D318" s="2831" t="s">
        <v>2509</v>
      </c>
      <c r="E318" s="2831" t="s">
        <v>2169</v>
      </c>
    </row>
    <row r="319" spans="1:5">
      <c r="A319" s="2831">
        <v>623</v>
      </c>
      <c r="B319" s="2831" t="s">
        <v>2496</v>
      </c>
      <c r="C319" s="2831">
        <v>185</v>
      </c>
      <c r="D319" s="2831" t="s">
        <v>2510</v>
      </c>
      <c r="E319" s="2831" t="s">
        <v>2166</v>
      </c>
    </row>
    <row r="320" spans="1:5">
      <c r="A320" s="2831">
        <v>623</v>
      </c>
      <c r="B320" s="2831" t="s">
        <v>2496</v>
      </c>
      <c r="C320" s="2831">
        <v>1054</v>
      </c>
      <c r="D320" s="2831" t="s">
        <v>2511</v>
      </c>
      <c r="E320" s="2831" t="s">
        <v>2166</v>
      </c>
    </row>
    <row r="321" spans="1:5">
      <c r="A321" s="2831">
        <v>623</v>
      </c>
      <c r="B321" s="2831" t="s">
        <v>2496</v>
      </c>
      <c r="C321" s="2831">
        <v>105</v>
      </c>
      <c r="D321" s="2831" t="s">
        <v>2512</v>
      </c>
      <c r="E321" s="2831" t="s">
        <v>2169</v>
      </c>
    </row>
    <row r="322" spans="1:5">
      <c r="A322" s="2831">
        <v>624</v>
      </c>
      <c r="B322" s="2831" t="s">
        <v>2513</v>
      </c>
      <c r="C322" s="2831">
        <v>112</v>
      </c>
      <c r="D322" s="2831" t="s">
        <v>2514</v>
      </c>
      <c r="E322" s="2831" t="s">
        <v>2174</v>
      </c>
    </row>
    <row r="323" spans="1:5">
      <c r="A323" s="2831">
        <v>624</v>
      </c>
      <c r="B323" s="2831" t="s">
        <v>2513</v>
      </c>
      <c r="C323" s="2831">
        <v>287</v>
      </c>
      <c r="D323" s="2831" t="s">
        <v>2515</v>
      </c>
      <c r="E323" s="2831" t="s">
        <v>2166</v>
      </c>
    </row>
    <row r="324" spans="1:5">
      <c r="A324" s="2831">
        <v>624</v>
      </c>
      <c r="B324" s="2831" t="s">
        <v>2513</v>
      </c>
      <c r="C324" s="2831">
        <v>199</v>
      </c>
      <c r="D324" s="2831" t="s">
        <v>2516</v>
      </c>
      <c r="E324" s="2831" t="s">
        <v>2166</v>
      </c>
    </row>
    <row r="325" spans="1:5">
      <c r="A325" s="2831">
        <v>624</v>
      </c>
      <c r="B325" s="2831" t="s">
        <v>2513</v>
      </c>
      <c r="C325" s="2831">
        <v>4050</v>
      </c>
      <c r="D325" s="2831" t="s">
        <v>2517</v>
      </c>
      <c r="E325" s="2831" t="s">
        <v>2174</v>
      </c>
    </row>
    <row r="326" spans="1:5">
      <c r="A326" s="2831">
        <v>626</v>
      </c>
      <c r="B326" s="2831" t="s">
        <v>2518</v>
      </c>
      <c r="C326" s="2831">
        <v>101</v>
      </c>
      <c r="D326" s="2831" t="s">
        <v>2519</v>
      </c>
      <c r="E326" s="2831" t="s">
        <v>2166</v>
      </c>
    </row>
    <row r="327" spans="1:5">
      <c r="A327" s="2831">
        <v>626</v>
      </c>
      <c r="B327" s="2831" t="s">
        <v>2518</v>
      </c>
      <c r="C327" s="2831">
        <v>206</v>
      </c>
      <c r="D327" s="2831" t="s">
        <v>2520</v>
      </c>
      <c r="E327" s="2831" t="s">
        <v>2166</v>
      </c>
    </row>
    <row r="328" spans="1:5">
      <c r="A328" s="2831">
        <v>626</v>
      </c>
      <c r="B328" s="2831" t="s">
        <v>2518</v>
      </c>
      <c r="C328" s="2831">
        <v>106</v>
      </c>
      <c r="D328" s="2831" t="s">
        <v>2521</v>
      </c>
      <c r="E328" s="2831" t="s">
        <v>2174</v>
      </c>
    </row>
    <row r="329" spans="1:5">
      <c r="A329" s="2831">
        <v>627</v>
      </c>
      <c r="B329" s="2831" t="s">
        <v>2522</v>
      </c>
      <c r="C329" s="2831">
        <v>1050</v>
      </c>
      <c r="D329" s="2831" t="s">
        <v>2523</v>
      </c>
      <c r="E329" s="2831" t="s">
        <v>2174</v>
      </c>
    </row>
    <row r="330" spans="1:5">
      <c r="A330" s="2831">
        <v>627</v>
      </c>
      <c r="B330" s="2831" t="s">
        <v>2522</v>
      </c>
      <c r="C330" s="2831">
        <v>106</v>
      </c>
      <c r="D330" s="2831" t="s">
        <v>2524</v>
      </c>
      <c r="E330" s="2831" t="s">
        <v>2169</v>
      </c>
    </row>
    <row r="331" spans="1:5">
      <c r="A331" s="2831">
        <v>627</v>
      </c>
      <c r="B331" s="2831" t="s">
        <v>2522</v>
      </c>
      <c r="C331" s="2831">
        <v>2050</v>
      </c>
      <c r="D331" s="2831" t="s">
        <v>2525</v>
      </c>
      <c r="E331" s="2831" t="s">
        <v>2169</v>
      </c>
    </row>
    <row r="332" spans="1:5">
      <c r="A332" s="2831">
        <v>627</v>
      </c>
      <c r="B332" s="2831" t="s">
        <v>2522</v>
      </c>
      <c r="C332" s="2831">
        <v>3050</v>
      </c>
      <c r="D332" s="2831" t="s">
        <v>2526</v>
      </c>
      <c r="E332" s="2831" t="s">
        <v>2166</v>
      </c>
    </row>
    <row r="333" spans="1:5">
      <c r="A333" s="2831">
        <v>627</v>
      </c>
      <c r="B333" s="2831" t="s">
        <v>2522</v>
      </c>
      <c r="C333" s="2831">
        <v>2052</v>
      </c>
      <c r="D333" s="2831" t="s">
        <v>2527</v>
      </c>
      <c r="E333" s="2831" t="s">
        <v>2169</v>
      </c>
    </row>
    <row r="334" spans="1:5">
      <c r="A334" s="2831">
        <v>628</v>
      </c>
      <c r="B334" s="2831" t="s">
        <v>2528</v>
      </c>
      <c r="C334" s="2831">
        <v>397</v>
      </c>
      <c r="D334" s="2831" t="s">
        <v>2529</v>
      </c>
      <c r="E334" s="2831" t="s">
        <v>2166</v>
      </c>
    </row>
    <row r="335" spans="1:5">
      <c r="A335" s="2831">
        <v>628</v>
      </c>
      <c r="B335" s="2831" t="s">
        <v>2528</v>
      </c>
      <c r="C335" s="2831">
        <v>108</v>
      </c>
      <c r="D335" s="2831" t="s">
        <v>2530</v>
      </c>
      <c r="E335" s="2831" t="s">
        <v>2174</v>
      </c>
    </row>
    <row r="336" spans="1:5">
      <c r="A336" s="2831">
        <v>628</v>
      </c>
      <c r="B336" s="2831" t="s">
        <v>2528</v>
      </c>
      <c r="C336" s="2831">
        <v>213</v>
      </c>
      <c r="D336" s="2831" t="s">
        <v>2531</v>
      </c>
      <c r="E336" s="2831" t="s">
        <v>2174</v>
      </c>
    </row>
    <row r="337" spans="1:5">
      <c r="A337" s="2831">
        <v>628</v>
      </c>
      <c r="B337" s="2831" t="s">
        <v>2528</v>
      </c>
      <c r="C337" s="2831">
        <v>196</v>
      </c>
      <c r="D337" s="2831" t="s">
        <v>2532</v>
      </c>
      <c r="E337" s="2831" t="s">
        <v>2166</v>
      </c>
    </row>
    <row r="338" spans="1:5">
      <c r="A338" s="2831">
        <v>628</v>
      </c>
      <c r="B338" s="2831" t="s">
        <v>2528</v>
      </c>
      <c r="C338" s="2831">
        <v>189</v>
      </c>
      <c r="D338" s="2831" t="s">
        <v>2533</v>
      </c>
      <c r="E338" s="2831" t="s">
        <v>2169</v>
      </c>
    </row>
    <row r="339" spans="1:5">
      <c r="A339" s="2831">
        <v>628</v>
      </c>
      <c r="B339" s="2831" t="s">
        <v>2528</v>
      </c>
      <c r="C339" s="2831">
        <v>101</v>
      </c>
      <c r="D339" s="2831" t="s">
        <v>2534</v>
      </c>
      <c r="E339" s="2831" t="s">
        <v>2166</v>
      </c>
    </row>
    <row r="340" spans="1:5">
      <c r="A340" s="2831">
        <v>628</v>
      </c>
      <c r="B340" s="2831" t="s">
        <v>2528</v>
      </c>
      <c r="C340" s="2831">
        <v>5050</v>
      </c>
      <c r="D340" s="2831" t="s">
        <v>2535</v>
      </c>
      <c r="E340" s="2831" t="s">
        <v>2169</v>
      </c>
    </row>
    <row r="341" spans="1:5">
      <c r="A341" s="2831">
        <v>628</v>
      </c>
      <c r="B341" s="2831" t="s">
        <v>2528</v>
      </c>
      <c r="C341" s="2831">
        <v>313</v>
      </c>
      <c r="D341" s="2831" t="s">
        <v>2536</v>
      </c>
      <c r="E341" s="2831" t="s">
        <v>2169</v>
      </c>
    </row>
    <row r="342" spans="1:5">
      <c r="A342" s="2831">
        <v>628</v>
      </c>
      <c r="B342" s="2831" t="s">
        <v>2528</v>
      </c>
      <c r="C342" s="2831">
        <v>1052</v>
      </c>
      <c r="D342" s="2831" t="s">
        <v>2537</v>
      </c>
      <c r="E342" s="2831" t="s">
        <v>2166</v>
      </c>
    </row>
    <row r="343" spans="1:5">
      <c r="A343" s="2831">
        <v>628</v>
      </c>
      <c r="B343" s="2831" t="s">
        <v>2528</v>
      </c>
      <c r="C343" s="2831">
        <v>305</v>
      </c>
      <c r="D343" s="2831" t="s">
        <v>2538</v>
      </c>
      <c r="E343" s="2831" t="s">
        <v>2169</v>
      </c>
    </row>
    <row r="344" spans="1:5">
      <c r="A344" s="2831">
        <v>628</v>
      </c>
      <c r="B344" s="2831" t="s">
        <v>2528</v>
      </c>
      <c r="C344" s="2831">
        <v>106</v>
      </c>
      <c r="D344" s="2831" t="s">
        <v>2539</v>
      </c>
      <c r="E344" s="2831" t="s">
        <v>2166</v>
      </c>
    </row>
    <row r="345" spans="1:5">
      <c r="A345" s="2831">
        <v>628</v>
      </c>
      <c r="B345" s="2831" t="s">
        <v>2528</v>
      </c>
      <c r="C345" s="2831">
        <v>187</v>
      </c>
      <c r="D345" s="2831" t="s">
        <v>2540</v>
      </c>
      <c r="E345" s="2831" t="s">
        <v>2166</v>
      </c>
    </row>
    <row r="346" spans="1:5">
      <c r="A346" s="2831">
        <v>628</v>
      </c>
      <c r="B346" s="2831" t="s">
        <v>2528</v>
      </c>
      <c r="C346" s="2831">
        <v>181</v>
      </c>
      <c r="D346" s="2831" t="s">
        <v>2541</v>
      </c>
      <c r="E346" s="2831" t="s">
        <v>2166</v>
      </c>
    </row>
    <row r="347" spans="1:5">
      <c r="A347" s="2831">
        <v>628</v>
      </c>
      <c r="B347" s="2831" t="s">
        <v>2528</v>
      </c>
      <c r="C347" s="2831">
        <v>176</v>
      </c>
      <c r="D347" s="2831" t="s">
        <v>2542</v>
      </c>
      <c r="E347" s="2831" t="s">
        <v>2174</v>
      </c>
    </row>
    <row r="348" spans="1:5">
      <c r="A348" s="2831">
        <v>628</v>
      </c>
      <c r="B348" s="2831" t="s">
        <v>2528</v>
      </c>
      <c r="C348" s="2831">
        <v>505</v>
      </c>
      <c r="D348" s="2831" t="s">
        <v>2543</v>
      </c>
      <c r="E348" s="2831" t="s">
        <v>2169</v>
      </c>
    </row>
    <row r="349" spans="1:5">
      <c r="A349" s="2831">
        <v>628</v>
      </c>
      <c r="B349" s="2831" t="s">
        <v>2528</v>
      </c>
      <c r="C349" s="2831">
        <v>205</v>
      </c>
      <c r="D349" s="2831" t="s">
        <v>2544</v>
      </c>
      <c r="E349" s="2831" t="s">
        <v>2166</v>
      </c>
    </row>
    <row r="350" spans="1:5">
      <c r="A350" s="2831">
        <v>628</v>
      </c>
      <c r="B350" s="2831" t="s">
        <v>2528</v>
      </c>
      <c r="C350" s="2831">
        <v>3052</v>
      </c>
      <c r="D350" s="2831" t="s">
        <v>2545</v>
      </c>
      <c r="E350" s="2831" t="s">
        <v>2166</v>
      </c>
    </row>
    <row r="351" spans="1:5">
      <c r="A351" s="2831">
        <v>628</v>
      </c>
      <c r="B351" s="2831" t="s">
        <v>2528</v>
      </c>
      <c r="C351" s="2831">
        <v>199</v>
      </c>
      <c r="D351" s="2831" t="s">
        <v>2546</v>
      </c>
      <c r="E351" s="2831" t="s">
        <v>2166</v>
      </c>
    </row>
    <row r="352" spans="1:5">
      <c r="A352" s="2831">
        <v>628</v>
      </c>
      <c r="B352" s="2831" t="s">
        <v>2528</v>
      </c>
      <c r="C352" s="2831">
        <v>116</v>
      </c>
      <c r="D352" s="2831" t="s">
        <v>2547</v>
      </c>
      <c r="E352" s="2831" t="s">
        <v>2169</v>
      </c>
    </row>
    <row r="353" spans="1:5">
      <c r="A353" s="2831">
        <v>628</v>
      </c>
      <c r="B353" s="2831" t="s">
        <v>2528</v>
      </c>
      <c r="C353" s="2831">
        <v>509</v>
      </c>
      <c r="D353" s="2831" t="s">
        <v>2548</v>
      </c>
      <c r="E353" s="2831" t="s">
        <v>2174</v>
      </c>
    </row>
    <row r="354" spans="1:5">
      <c r="A354" s="2831">
        <v>628</v>
      </c>
      <c r="B354" s="2831" t="s">
        <v>2528</v>
      </c>
      <c r="C354" s="2831">
        <v>182</v>
      </c>
      <c r="D354" s="2831" t="s">
        <v>2549</v>
      </c>
      <c r="E354" s="2831" t="s">
        <v>2166</v>
      </c>
    </row>
    <row r="355" spans="1:5">
      <c r="A355" s="2831">
        <v>628</v>
      </c>
      <c r="B355" s="2831" t="s">
        <v>2528</v>
      </c>
      <c r="C355" s="2831">
        <v>203</v>
      </c>
      <c r="D355" s="2831" t="s">
        <v>2550</v>
      </c>
      <c r="E355" s="2831" t="s">
        <v>2166</v>
      </c>
    </row>
    <row r="356" spans="1:5">
      <c r="A356" s="2831">
        <v>628</v>
      </c>
      <c r="B356" s="2831" t="s">
        <v>2528</v>
      </c>
      <c r="C356" s="2831">
        <v>309</v>
      </c>
      <c r="D356" s="2831" t="s">
        <v>2551</v>
      </c>
      <c r="E356" s="2831" t="s">
        <v>2166</v>
      </c>
    </row>
    <row r="357" spans="1:5">
      <c r="A357" s="2831">
        <v>628</v>
      </c>
      <c r="B357" s="2831" t="s">
        <v>2528</v>
      </c>
      <c r="C357" s="2831">
        <v>5052</v>
      </c>
      <c r="D357" s="2831" t="s">
        <v>2552</v>
      </c>
      <c r="E357" s="2831" t="s">
        <v>2166</v>
      </c>
    </row>
    <row r="358" spans="1:5">
      <c r="A358" s="2831">
        <v>628</v>
      </c>
      <c r="B358" s="2831" t="s">
        <v>2528</v>
      </c>
      <c r="C358" s="2831">
        <v>113</v>
      </c>
      <c r="D358" s="2831" t="s">
        <v>2553</v>
      </c>
      <c r="E358" s="2831" t="s">
        <v>2166</v>
      </c>
    </row>
    <row r="359" spans="1:5">
      <c r="A359" s="2831">
        <v>628</v>
      </c>
      <c r="B359" s="2831" t="s">
        <v>2528</v>
      </c>
      <c r="C359" s="2831">
        <v>190</v>
      </c>
      <c r="D359" s="2831" t="s">
        <v>2554</v>
      </c>
      <c r="E359" s="2831" t="s">
        <v>2169</v>
      </c>
    </row>
    <row r="360" spans="1:5">
      <c r="A360" s="2831">
        <v>628</v>
      </c>
      <c r="B360" s="2831" t="s">
        <v>2528</v>
      </c>
      <c r="C360" s="2831">
        <v>2054</v>
      </c>
      <c r="D360" s="2831" t="s">
        <v>2555</v>
      </c>
      <c r="E360" s="2831" t="s">
        <v>2166</v>
      </c>
    </row>
    <row r="361" spans="1:5">
      <c r="A361" s="2831">
        <v>628</v>
      </c>
      <c r="B361" s="2831" t="s">
        <v>2528</v>
      </c>
      <c r="C361" s="2831">
        <v>198</v>
      </c>
      <c r="D361" s="2831" t="s">
        <v>2556</v>
      </c>
      <c r="E361" s="2831" t="s">
        <v>2174</v>
      </c>
    </row>
    <row r="362" spans="1:5">
      <c r="A362" s="2831">
        <v>628</v>
      </c>
      <c r="B362" s="2831" t="s">
        <v>2528</v>
      </c>
      <c r="C362" s="2831">
        <v>115</v>
      </c>
      <c r="D362" s="2831" t="s">
        <v>2557</v>
      </c>
      <c r="E362" s="2831" t="s">
        <v>2174</v>
      </c>
    </row>
    <row r="363" spans="1:5">
      <c r="A363" s="2831">
        <v>628</v>
      </c>
      <c r="B363" s="2831" t="s">
        <v>2528</v>
      </c>
      <c r="C363" s="2831">
        <v>191</v>
      </c>
      <c r="D363" s="2831" t="s">
        <v>2558</v>
      </c>
      <c r="E363" s="2831" t="s">
        <v>2174</v>
      </c>
    </row>
    <row r="364" spans="1:5">
      <c r="A364" s="2831">
        <v>628</v>
      </c>
      <c r="B364" s="2831" t="s">
        <v>2528</v>
      </c>
      <c r="C364" s="2831">
        <v>193</v>
      </c>
      <c r="D364" s="2831" t="s">
        <v>2559</v>
      </c>
      <c r="E364" s="2831" t="s">
        <v>2169</v>
      </c>
    </row>
    <row r="365" spans="1:5">
      <c r="A365" s="2831">
        <v>628</v>
      </c>
      <c r="B365" s="2831" t="s">
        <v>2528</v>
      </c>
      <c r="C365" s="2831">
        <v>287</v>
      </c>
      <c r="D365" s="2831" t="s">
        <v>2560</v>
      </c>
      <c r="E365" s="2831" t="s">
        <v>2166</v>
      </c>
    </row>
    <row r="366" spans="1:5">
      <c r="A366" s="2831">
        <v>628</v>
      </c>
      <c r="B366" s="2831" t="s">
        <v>2528</v>
      </c>
      <c r="C366" s="2831">
        <v>105</v>
      </c>
      <c r="D366" s="2831" t="s">
        <v>2561</v>
      </c>
      <c r="E366" s="2831" t="s">
        <v>2174</v>
      </c>
    </row>
    <row r="367" spans="1:5">
      <c r="A367" s="2831">
        <v>628</v>
      </c>
      <c r="B367" s="2831" t="s">
        <v>2528</v>
      </c>
      <c r="C367" s="2831">
        <v>104</v>
      </c>
      <c r="D367" s="2831" t="s">
        <v>2562</v>
      </c>
      <c r="E367" s="2831" t="s">
        <v>2166</v>
      </c>
    </row>
    <row r="368" spans="1:5">
      <c r="A368" s="2831">
        <v>628</v>
      </c>
      <c r="B368" s="2831" t="s">
        <v>2528</v>
      </c>
      <c r="C368" s="2831">
        <v>197</v>
      </c>
      <c r="D368" s="2831" t="s">
        <v>2563</v>
      </c>
      <c r="E368" s="2831" t="s">
        <v>2174</v>
      </c>
    </row>
    <row r="369" spans="1:5">
      <c r="A369" s="2831">
        <v>628</v>
      </c>
      <c r="B369" s="2831" t="s">
        <v>2528</v>
      </c>
      <c r="C369" s="2831">
        <v>297</v>
      </c>
      <c r="D369" s="2831" t="s">
        <v>2564</v>
      </c>
      <c r="E369" s="2831" t="s">
        <v>2169</v>
      </c>
    </row>
    <row r="370" spans="1:5">
      <c r="A370" s="2831">
        <v>628</v>
      </c>
      <c r="B370" s="2831" t="s">
        <v>2528</v>
      </c>
      <c r="C370" s="2831">
        <v>606</v>
      </c>
      <c r="D370" s="2831" t="s">
        <v>2565</v>
      </c>
      <c r="E370" s="2831" t="s">
        <v>2169</v>
      </c>
    </row>
    <row r="371" spans="1:5">
      <c r="A371" s="2831">
        <v>769</v>
      </c>
      <c r="B371" s="2831" t="s">
        <v>2566</v>
      </c>
      <c r="C371" s="2831">
        <v>1050</v>
      </c>
      <c r="D371" s="2831" t="s">
        <v>2567</v>
      </c>
      <c r="E371" s="2831" t="s">
        <v>2169</v>
      </c>
    </row>
    <row r="372" spans="1:5">
      <c r="A372" s="2831">
        <v>769</v>
      </c>
      <c r="B372" s="2831" t="s">
        <v>2566</v>
      </c>
      <c r="C372" s="2831">
        <v>211</v>
      </c>
      <c r="D372" s="2831" t="s">
        <v>2568</v>
      </c>
      <c r="E372" s="2831" t="s">
        <v>2169</v>
      </c>
    </row>
    <row r="373" spans="1:5">
      <c r="A373" s="2831">
        <v>769</v>
      </c>
      <c r="B373" s="2831" t="s">
        <v>2566</v>
      </c>
      <c r="C373" s="2831">
        <v>111</v>
      </c>
      <c r="D373" s="2831" t="s">
        <v>2569</v>
      </c>
      <c r="E373" s="2831" t="s">
        <v>2166</v>
      </c>
    </row>
    <row r="374" spans="1:5">
      <c r="A374" s="2831">
        <v>773</v>
      </c>
      <c r="B374" s="2831" t="s">
        <v>2570</v>
      </c>
      <c r="C374" s="2831">
        <v>1552</v>
      </c>
      <c r="D374" s="2831" t="s">
        <v>2571</v>
      </c>
      <c r="E374" s="2831" t="s">
        <v>2166</v>
      </c>
    </row>
    <row r="375" spans="1:5">
      <c r="A375" s="2831">
        <v>773</v>
      </c>
      <c r="B375" s="2831" t="s">
        <v>2570</v>
      </c>
      <c r="C375" s="2831">
        <v>505</v>
      </c>
      <c r="D375" s="2831" t="s">
        <v>2572</v>
      </c>
      <c r="E375" s="2831" t="s">
        <v>2166</v>
      </c>
    </row>
    <row r="376" spans="1:5">
      <c r="A376" s="2831">
        <v>773</v>
      </c>
      <c r="B376" s="2831" t="s">
        <v>2570</v>
      </c>
      <c r="C376" s="2831">
        <v>3050</v>
      </c>
      <c r="D376" s="2831" t="s">
        <v>2573</v>
      </c>
      <c r="E376" s="2831" t="s">
        <v>2166</v>
      </c>
    </row>
    <row r="377" spans="1:5">
      <c r="A377" s="2831">
        <v>773</v>
      </c>
      <c r="B377" s="2831" t="s">
        <v>2570</v>
      </c>
      <c r="C377" s="2831">
        <v>112</v>
      </c>
      <c r="D377" s="2831" t="s">
        <v>2574</v>
      </c>
      <c r="E377" s="2831" t="s">
        <v>2166</v>
      </c>
    </row>
    <row r="378" spans="1:5">
      <c r="A378" s="2831">
        <v>773</v>
      </c>
      <c r="B378" s="2831" t="s">
        <v>2570</v>
      </c>
      <c r="C378" s="2831">
        <v>212</v>
      </c>
      <c r="D378" s="2831" t="s">
        <v>2575</v>
      </c>
      <c r="E378" s="2831" t="s">
        <v>2174</v>
      </c>
    </row>
    <row r="379" spans="1:5">
      <c r="A379" s="2831">
        <v>773</v>
      </c>
      <c r="B379" s="2831" t="s">
        <v>2570</v>
      </c>
      <c r="C379" s="2831">
        <v>105</v>
      </c>
      <c r="D379" s="2831" t="s">
        <v>2576</v>
      </c>
      <c r="E379" s="2831" t="s">
        <v>2169</v>
      </c>
    </row>
    <row r="380" spans="1:5">
      <c r="A380" s="2831">
        <v>773</v>
      </c>
      <c r="B380" s="2831" t="s">
        <v>2570</v>
      </c>
      <c r="C380" s="2831">
        <v>506</v>
      </c>
      <c r="D380" s="2831" t="s">
        <v>2577</v>
      </c>
      <c r="E380" s="2831" t="s">
        <v>2174</v>
      </c>
    </row>
    <row r="381" spans="1:5">
      <c r="A381" s="2831">
        <v>773</v>
      </c>
      <c r="B381" s="2831" t="s">
        <v>2570</v>
      </c>
      <c r="C381" s="2831">
        <v>115</v>
      </c>
      <c r="D381" s="2831" t="s">
        <v>2578</v>
      </c>
      <c r="E381" s="2831" t="s">
        <v>2166</v>
      </c>
    </row>
    <row r="382" spans="1:5">
      <c r="A382" s="2831">
        <v>773</v>
      </c>
      <c r="B382" s="2831" t="s">
        <v>2570</v>
      </c>
      <c r="C382" s="2831">
        <v>405</v>
      </c>
      <c r="D382" s="2831" t="s">
        <v>2579</v>
      </c>
      <c r="E382" s="2831" t="s">
        <v>2166</v>
      </c>
    </row>
    <row r="383" spans="1:5">
      <c r="A383" s="2831">
        <v>629</v>
      </c>
      <c r="B383" s="2831" t="s">
        <v>2580</v>
      </c>
      <c r="C383" s="2831">
        <v>2056</v>
      </c>
      <c r="D383" s="2831" t="s">
        <v>2581</v>
      </c>
      <c r="E383" s="2831" t="s">
        <v>2166</v>
      </c>
    </row>
    <row r="384" spans="1:5">
      <c r="A384" s="2831">
        <v>629</v>
      </c>
      <c r="B384" s="2831" t="s">
        <v>2580</v>
      </c>
      <c r="C384" s="2831">
        <v>3056</v>
      </c>
      <c r="D384" s="2831" t="s">
        <v>2582</v>
      </c>
      <c r="E384" s="2831" t="s">
        <v>2166</v>
      </c>
    </row>
    <row r="385" spans="1:5">
      <c r="A385" s="2831">
        <v>629</v>
      </c>
      <c r="B385" s="2831" t="s">
        <v>2580</v>
      </c>
      <c r="C385" s="2831">
        <v>105</v>
      </c>
      <c r="D385" s="2831" t="s">
        <v>2583</v>
      </c>
      <c r="E385" s="2831" t="s">
        <v>2169</v>
      </c>
    </row>
    <row r="386" spans="1:5">
      <c r="A386" s="2831">
        <v>629</v>
      </c>
      <c r="B386" s="2831" t="s">
        <v>2580</v>
      </c>
      <c r="C386" s="2831">
        <v>296</v>
      </c>
      <c r="D386" s="2831" t="s">
        <v>2584</v>
      </c>
      <c r="E386" s="2831" t="s">
        <v>2166</v>
      </c>
    </row>
    <row r="387" spans="1:5">
      <c r="A387" s="2831">
        <v>629</v>
      </c>
      <c r="B387" s="2831" t="s">
        <v>2580</v>
      </c>
      <c r="C387" s="2831">
        <v>102</v>
      </c>
      <c r="D387" s="2831" t="s">
        <v>2585</v>
      </c>
      <c r="E387" s="2831" t="s">
        <v>2169</v>
      </c>
    </row>
    <row r="388" spans="1:5">
      <c r="A388" s="2831">
        <v>629</v>
      </c>
      <c r="B388" s="2831" t="s">
        <v>2580</v>
      </c>
      <c r="C388" s="2831">
        <v>5556</v>
      </c>
      <c r="D388" s="2831" t="s">
        <v>2586</v>
      </c>
      <c r="E388" s="2831" t="s">
        <v>2166</v>
      </c>
    </row>
    <row r="389" spans="1:5">
      <c r="A389" s="2831">
        <v>629</v>
      </c>
      <c r="B389" s="2831" t="s">
        <v>2580</v>
      </c>
      <c r="C389" s="2831">
        <v>1058</v>
      </c>
      <c r="D389" s="2831" t="s">
        <v>2587</v>
      </c>
      <c r="E389" s="2831" t="s">
        <v>2174</v>
      </c>
    </row>
    <row r="390" spans="1:5">
      <c r="A390" s="2831">
        <v>629</v>
      </c>
      <c r="B390" s="2831" t="s">
        <v>2580</v>
      </c>
      <c r="C390" s="2831">
        <v>104</v>
      </c>
      <c r="D390" s="2831" t="s">
        <v>2588</v>
      </c>
      <c r="E390" s="2831" t="s">
        <v>2169</v>
      </c>
    </row>
    <row r="391" spans="1:5">
      <c r="A391" s="2831">
        <v>629</v>
      </c>
      <c r="B391" s="2831" t="s">
        <v>2580</v>
      </c>
      <c r="C391" s="2831">
        <v>191</v>
      </c>
      <c r="D391" s="2831" t="s">
        <v>2589</v>
      </c>
      <c r="E391" s="2831" t="s">
        <v>2166</v>
      </c>
    </row>
    <row r="392" spans="1:5">
      <c r="A392" s="2831">
        <v>629</v>
      </c>
      <c r="B392" s="2831" t="s">
        <v>2580</v>
      </c>
      <c r="C392" s="2831">
        <v>196</v>
      </c>
      <c r="D392" s="2831" t="s">
        <v>2590</v>
      </c>
      <c r="E392" s="2831" t="s">
        <v>2169</v>
      </c>
    </row>
    <row r="393" spans="1:5">
      <c r="A393" s="2831">
        <v>629</v>
      </c>
      <c r="B393" s="2831" t="s">
        <v>2580</v>
      </c>
      <c r="C393" s="2831">
        <v>3058</v>
      </c>
      <c r="D393" s="2831" t="s">
        <v>2591</v>
      </c>
      <c r="E393" s="2831" t="s">
        <v>2166</v>
      </c>
    </row>
    <row r="394" spans="1:5">
      <c r="A394" s="2831">
        <v>629</v>
      </c>
      <c r="B394" s="2831" t="s">
        <v>2580</v>
      </c>
      <c r="C394" s="2831">
        <v>205</v>
      </c>
      <c r="D394" s="2831" t="s">
        <v>2592</v>
      </c>
      <c r="E394" s="2831" t="s">
        <v>2166</v>
      </c>
    </row>
    <row r="395" spans="1:5">
      <c r="A395" s="2831">
        <v>629</v>
      </c>
      <c r="B395" s="2831" t="s">
        <v>2580</v>
      </c>
      <c r="C395" s="2831">
        <v>5058</v>
      </c>
      <c r="D395" s="2831" t="s">
        <v>2593</v>
      </c>
      <c r="E395" s="2831" t="s">
        <v>2169</v>
      </c>
    </row>
    <row r="396" spans="1:5">
      <c r="A396" s="2831">
        <v>629</v>
      </c>
      <c r="B396" s="2831" t="s">
        <v>2580</v>
      </c>
      <c r="C396" s="2831">
        <v>291</v>
      </c>
      <c r="D396" s="2831" t="s">
        <v>2594</v>
      </c>
      <c r="E396" s="2831" t="s">
        <v>2169</v>
      </c>
    </row>
    <row r="397" spans="1:5">
      <c r="A397" s="2831">
        <v>629</v>
      </c>
      <c r="B397" s="2831" t="s">
        <v>2580</v>
      </c>
      <c r="C397" s="2831">
        <v>5056</v>
      </c>
      <c r="D397" s="2831" t="s">
        <v>2595</v>
      </c>
      <c r="E397" s="2831" t="s">
        <v>2166</v>
      </c>
    </row>
    <row r="398" spans="1:5">
      <c r="A398" s="2831">
        <v>629</v>
      </c>
      <c r="B398" s="2831" t="s">
        <v>2580</v>
      </c>
      <c r="C398" s="2831">
        <v>112</v>
      </c>
      <c r="D398" s="2831" t="s">
        <v>2596</v>
      </c>
      <c r="E398" s="2831" t="s">
        <v>2174</v>
      </c>
    </row>
    <row r="399" spans="1:5">
      <c r="A399" s="2831">
        <v>629</v>
      </c>
      <c r="B399" s="2831" t="s">
        <v>2580</v>
      </c>
      <c r="C399" s="2831">
        <v>4060</v>
      </c>
      <c r="D399" s="2831" t="s">
        <v>2597</v>
      </c>
      <c r="E399" s="2831" t="s">
        <v>2169</v>
      </c>
    </row>
    <row r="400" spans="1:5">
      <c r="A400" s="2831">
        <v>629</v>
      </c>
      <c r="B400" s="2831" t="s">
        <v>2580</v>
      </c>
      <c r="C400" s="2831">
        <v>178</v>
      </c>
      <c r="D400" s="2831" t="s">
        <v>2598</v>
      </c>
      <c r="E400" s="2831" t="s">
        <v>2166</v>
      </c>
    </row>
    <row r="401" spans="1:5">
      <c r="A401" s="2831">
        <v>629</v>
      </c>
      <c r="B401" s="2831" t="s">
        <v>2580</v>
      </c>
      <c r="C401" s="2831">
        <v>391</v>
      </c>
      <c r="D401" s="2831" t="s">
        <v>2599</v>
      </c>
      <c r="E401" s="2831" t="s">
        <v>2169</v>
      </c>
    </row>
    <row r="402" spans="1:5">
      <c r="A402" s="2831">
        <v>629</v>
      </c>
      <c r="B402" s="2831" t="s">
        <v>2580</v>
      </c>
      <c r="C402" s="2831">
        <v>1062</v>
      </c>
      <c r="D402" s="2831" t="s">
        <v>2600</v>
      </c>
      <c r="E402" s="2831" t="s">
        <v>2166</v>
      </c>
    </row>
    <row r="403" spans="1:5">
      <c r="A403" s="2831">
        <v>629</v>
      </c>
      <c r="B403" s="2831" t="s">
        <v>2580</v>
      </c>
      <c r="C403" s="2831">
        <v>2062</v>
      </c>
      <c r="D403" s="2831" t="s">
        <v>2601</v>
      </c>
      <c r="E403" s="2831" t="s">
        <v>2166</v>
      </c>
    </row>
    <row r="404" spans="1:5">
      <c r="A404" s="2831">
        <v>630</v>
      </c>
      <c r="B404" s="2831" t="s">
        <v>2602</v>
      </c>
      <c r="C404" s="2831">
        <v>204</v>
      </c>
      <c r="D404" s="2831" t="s">
        <v>2603</v>
      </c>
      <c r="E404" s="2831" t="s">
        <v>2174</v>
      </c>
    </row>
    <row r="405" spans="1:5">
      <c r="A405" s="2831">
        <v>630</v>
      </c>
      <c r="B405" s="2831" t="s">
        <v>2602</v>
      </c>
      <c r="C405" s="2831">
        <v>104</v>
      </c>
      <c r="D405" s="2831" t="s">
        <v>2604</v>
      </c>
      <c r="E405" s="2831" t="s">
        <v>2174</v>
      </c>
    </row>
    <row r="406" spans="1:5">
      <c r="A406" s="2831">
        <v>631</v>
      </c>
      <c r="B406" s="2831" t="s">
        <v>2605</v>
      </c>
      <c r="C406" s="2831">
        <v>381</v>
      </c>
      <c r="D406" s="2831" t="s">
        <v>2606</v>
      </c>
      <c r="E406" s="2831" t="s">
        <v>2169</v>
      </c>
    </row>
    <row r="407" spans="1:5">
      <c r="A407" s="2831">
        <v>631</v>
      </c>
      <c r="B407" s="2831" t="s">
        <v>2605</v>
      </c>
      <c r="C407" s="2831">
        <v>177</v>
      </c>
      <c r="D407" s="2831" t="s">
        <v>2607</v>
      </c>
      <c r="E407" s="2831" t="s">
        <v>2174</v>
      </c>
    </row>
    <row r="408" spans="1:5">
      <c r="A408" s="2831">
        <v>631</v>
      </c>
      <c r="B408" s="2831" t="s">
        <v>2605</v>
      </c>
      <c r="C408" s="2831">
        <v>1050</v>
      </c>
      <c r="D408" s="2831" t="s">
        <v>2608</v>
      </c>
      <c r="E408" s="2831" t="s">
        <v>2166</v>
      </c>
    </row>
    <row r="409" spans="1:5">
      <c r="A409" s="2831">
        <v>631</v>
      </c>
      <c r="B409" s="2831" t="s">
        <v>2605</v>
      </c>
      <c r="C409" s="2831">
        <v>1550</v>
      </c>
      <c r="D409" s="2831" t="s">
        <v>2609</v>
      </c>
      <c r="E409" s="2831" t="s">
        <v>2166</v>
      </c>
    </row>
    <row r="410" spans="1:5">
      <c r="A410" s="2831">
        <v>631</v>
      </c>
      <c r="B410" s="2831" t="s">
        <v>2605</v>
      </c>
      <c r="C410" s="2831">
        <v>3050</v>
      </c>
      <c r="D410" s="2831" t="s">
        <v>2610</v>
      </c>
      <c r="E410" s="2831" t="s">
        <v>2174</v>
      </c>
    </row>
    <row r="411" spans="1:5">
      <c r="A411" s="2831">
        <v>631</v>
      </c>
      <c r="B411" s="2831" t="s">
        <v>2605</v>
      </c>
      <c r="C411" s="2831">
        <v>175</v>
      </c>
      <c r="D411" s="2831" t="s">
        <v>2611</v>
      </c>
      <c r="E411" s="2831" t="s">
        <v>2174</v>
      </c>
    </row>
    <row r="412" spans="1:5">
      <c r="A412" s="2831">
        <v>631</v>
      </c>
      <c r="B412" s="2831" t="s">
        <v>2605</v>
      </c>
      <c r="C412" s="2831">
        <v>103</v>
      </c>
      <c r="D412" s="2831" t="s">
        <v>2612</v>
      </c>
      <c r="E412" s="2831" t="s">
        <v>2174</v>
      </c>
    </row>
    <row r="413" spans="1:5">
      <c r="A413" s="2831">
        <v>631</v>
      </c>
      <c r="B413" s="2831" t="s">
        <v>2605</v>
      </c>
      <c r="C413" s="2831">
        <v>115</v>
      </c>
      <c r="D413" s="2831" t="s">
        <v>2613</v>
      </c>
      <c r="E413" s="2831" t="s">
        <v>2174</v>
      </c>
    </row>
    <row r="414" spans="1:5">
      <c r="A414" s="2831">
        <v>631</v>
      </c>
      <c r="B414" s="2831" t="s">
        <v>2605</v>
      </c>
      <c r="C414" s="2831">
        <v>4050</v>
      </c>
      <c r="D414" s="2831" t="s">
        <v>2614</v>
      </c>
      <c r="E414" s="2831" t="s">
        <v>2174</v>
      </c>
    </row>
    <row r="415" spans="1:5">
      <c r="A415" s="2831">
        <v>631</v>
      </c>
      <c r="B415" s="2831" t="s">
        <v>2605</v>
      </c>
      <c r="C415" s="2831">
        <v>1052</v>
      </c>
      <c r="D415" s="2831" t="s">
        <v>2615</v>
      </c>
      <c r="E415" s="2831" t="s">
        <v>2169</v>
      </c>
    </row>
    <row r="416" spans="1:5">
      <c r="A416" s="2831">
        <v>631</v>
      </c>
      <c r="B416" s="2831" t="s">
        <v>2605</v>
      </c>
      <c r="C416" s="2831">
        <v>116</v>
      </c>
      <c r="D416" s="2831" t="s">
        <v>2616</v>
      </c>
      <c r="E416" s="2831" t="s">
        <v>2174</v>
      </c>
    </row>
    <row r="417" spans="1:5">
      <c r="A417" s="2831">
        <v>631</v>
      </c>
      <c r="B417" s="2831" t="s">
        <v>2605</v>
      </c>
      <c r="C417" s="2831">
        <v>5052</v>
      </c>
      <c r="D417" s="2831" t="s">
        <v>2617</v>
      </c>
      <c r="E417" s="2831" t="s">
        <v>2174</v>
      </c>
    </row>
    <row r="418" spans="1:5">
      <c r="A418" s="2831">
        <v>631</v>
      </c>
      <c r="B418" s="2831" t="s">
        <v>2605</v>
      </c>
      <c r="C418" s="2831">
        <v>114</v>
      </c>
      <c r="D418" s="2831" t="s">
        <v>2618</v>
      </c>
      <c r="E418" s="2831" t="s">
        <v>2174</v>
      </c>
    </row>
    <row r="419" spans="1:5">
      <c r="A419" s="2831">
        <v>631</v>
      </c>
      <c r="B419" s="2831" t="s">
        <v>2605</v>
      </c>
      <c r="C419" s="2831">
        <v>1054</v>
      </c>
      <c r="D419" s="2831" t="s">
        <v>2619</v>
      </c>
      <c r="E419" s="2831" t="s">
        <v>2166</v>
      </c>
    </row>
    <row r="420" spans="1:5">
      <c r="A420" s="2831">
        <v>631</v>
      </c>
      <c r="B420" s="2831" t="s">
        <v>2605</v>
      </c>
      <c r="C420" s="2831">
        <v>2054</v>
      </c>
      <c r="D420" s="2831" t="s">
        <v>2620</v>
      </c>
      <c r="E420" s="2831" t="s">
        <v>2166</v>
      </c>
    </row>
    <row r="421" spans="1:5">
      <c r="A421" s="2831">
        <v>631</v>
      </c>
      <c r="B421" s="2831" t="s">
        <v>2605</v>
      </c>
      <c r="C421" s="2831">
        <v>2554</v>
      </c>
      <c r="D421" s="2831" t="s">
        <v>2621</v>
      </c>
      <c r="E421" s="2831" t="s">
        <v>2174</v>
      </c>
    </row>
    <row r="422" spans="1:5">
      <c r="A422" s="2831">
        <v>631</v>
      </c>
      <c r="B422" s="2831" t="s">
        <v>2605</v>
      </c>
      <c r="C422" s="2831">
        <v>203</v>
      </c>
      <c r="D422" s="2831" t="s">
        <v>2622</v>
      </c>
      <c r="E422" s="2831" t="s">
        <v>2169</v>
      </c>
    </row>
    <row r="423" spans="1:5">
      <c r="A423" s="2831">
        <v>631</v>
      </c>
      <c r="B423" s="2831" t="s">
        <v>2605</v>
      </c>
      <c r="C423" s="2831">
        <v>199</v>
      </c>
      <c r="D423" s="2831" t="s">
        <v>2623</v>
      </c>
      <c r="E423" s="2831" t="s">
        <v>2174</v>
      </c>
    </row>
    <row r="424" spans="1:5">
      <c r="A424" s="2831">
        <v>631</v>
      </c>
      <c r="B424" s="2831" t="s">
        <v>2605</v>
      </c>
      <c r="C424" s="2831">
        <v>3054</v>
      </c>
      <c r="D424" s="2831" t="s">
        <v>2624</v>
      </c>
      <c r="E424" s="2831" t="s">
        <v>2166</v>
      </c>
    </row>
    <row r="425" spans="1:5">
      <c r="A425" s="2831">
        <v>631</v>
      </c>
      <c r="B425" s="2831" t="s">
        <v>2605</v>
      </c>
      <c r="C425" s="2831">
        <v>5054</v>
      </c>
      <c r="D425" s="2831" t="s">
        <v>2625</v>
      </c>
      <c r="E425" s="2831" t="s">
        <v>2169</v>
      </c>
    </row>
    <row r="426" spans="1:5">
      <c r="A426" s="2831">
        <v>631</v>
      </c>
      <c r="B426" s="2831" t="s">
        <v>2605</v>
      </c>
      <c r="C426" s="2831">
        <v>304</v>
      </c>
      <c r="D426" s="2831" t="s">
        <v>2626</v>
      </c>
      <c r="E426" s="2831" t="s">
        <v>2169</v>
      </c>
    </row>
    <row r="427" spans="1:5">
      <c r="A427" s="2831">
        <v>631</v>
      </c>
      <c r="B427" s="2831" t="s">
        <v>2605</v>
      </c>
      <c r="C427" s="2831">
        <v>1056</v>
      </c>
      <c r="D427" s="2831" t="s">
        <v>2627</v>
      </c>
      <c r="E427" s="2831" t="s">
        <v>2174</v>
      </c>
    </row>
    <row r="428" spans="1:5">
      <c r="A428" s="2831">
        <v>631</v>
      </c>
      <c r="B428" s="2831" t="s">
        <v>2605</v>
      </c>
      <c r="C428" s="2831">
        <v>106</v>
      </c>
      <c r="D428" s="2831" t="s">
        <v>2628</v>
      </c>
      <c r="E428" s="2831" t="s">
        <v>2174</v>
      </c>
    </row>
    <row r="429" spans="1:5">
      <c r="A429" s="2831">
        <v>631</v>
      </c>
      <c r="B429" s="2831" t="s">
        <v>2605</v>
      </c>
      <c r="C429" s="2831">
        <v>380</v>
      </c>
      <c r="D429" s="2831" t="s">
        <v>2629</v>
      </c>
      <c r="E429" s="2831" t="s">
        <v>2169</v>
      </c>
    </row>
    <row r="430" spans="1:5">
      <c r="A430" s="2831">
        <v>631</v>
      </c>
      <c r="B430" s="2831" t="s">
        <v>2605</v>
      </c>
      <c r="C430" s="2831">
        <v>305</v>
      </c>
      <c r="D430" s="2831" t="s">
        <v>2630</v>
      </c>
      <c r="E430" s="2831" t="s">
        <v>2174</v>
      </c>
    </row>
    <row r="431" spans="1:5">
      <c r="A431" s="2831">
        <v>631</v>
      </c>
      <c r="B431" s="2831" t="s">
        <v>2605</v>
      </c>
      <c r="C431" s="2831">
        <v>205</v>
      </c>
      <c r="D431" s="2831" t="s">
        <v>2631</v>
      </c>
      <c r="E431" s="2831" t="s">
        <v>2174</v>
      </c>
    </row>
    <row r="432" spans="1:5">
      <c r="A432" s="2831">
        <v>631</v>
      </c>
      <c r="B432" s="2831" t="s">
        <v>2605</v>
      </c>
      <c r="C432" s="2831">
        <v>197</v>
      </c>
      <c r="D432" s="2831" t="s">
        <v>2632</v>
      </c>
      <c r="E432" s="2831" t="s">
        <v>2166</v>
      </c>
    </row>
    <row r="433" spans="1:5">
      <c r="A433" s="2831">
        <v>631</v>
      </c>
      <c r="B433" s="2831" t="s">
        <v>2605</v>
      </c>
      <c r="C433" s="2831">
        <v>173</v>
      </c>
      <c r="D433" s="2831" t="s">
        <v>2633</v>
      </c>
      <c r="E433" s="2831" t="s">
        <v>2174</v>
      </c>
    </row>
    <row r="434" spans="1:5">
      <c r="A434" s="2831">
        <v>631</v>
      </c>
      <c r="B434" s="2831" t="s">
        <v>2605</v>
      </c>
      <c r="C434" s="2831">
        <v>4056</v>
      </c>
      <c r="D434" s="2831" t="s">
        <v>2634</v>
      </c>
      <c r="E434" s="2831" t="s">
        <v>2169</v>
      </c>
    </row>
    <row r="435" spans="1:5">
      <c r="A435" s="2831">
        <v>631</v>
      </c>
      <c r="B435" s="2831" t="s">
        <v>2605</v>
      </c>
      <c r="C435" s="2831">
        <v>295</v>
      </c>
      <c r="D435" s="2831" t="s">
        <v>2635</v>
      </c>
      <c r="E435" s="2831" t="s">
        <v>2166</v>
      </c>
    </row>
    <row r="436" spans="1:5">
      <c r="A436" s="2831">
        <v>631</v>
      </c>
      <c r="B436" s="2831" t="s">
        <v>2605</v>
      </c>
      <c r="C436" s="2831">
        <v>1058</v>
      </c>
      <c r="D436" s="2831" t="s">
        <v>2636</v>
      </c>
      <c r="E436" s="2831" t="s">
        <v>2169</v>
      </c>
    </row>
    <row r="437" spans="1:5">
      <c r="A437" s="2831">
        <v>631</v>
      </c>
      <c r="B437" s="2831" t="s">
        <v>2605</v>
      </c>
      <c r="C437" s="2831">
        <v>190</v>
      </c>
      <c r="D437" s="2831" t="s">
        <v>2637</v>
      </c>
      <c r="E437" s="2831" t="s">
        <v>2174</v>
      </c>
    </row>
    <row r="438" spans="1:5">
      <c r="A438" s="2831">
        <v>631</v>
      </c>
      <c r="B438" s="2831" t="s">
        <v>2605</v>
      </c>
      <c r="C438" s="2831">
        <v>100</v>
      </c>
      <c r="D438" s="2831" t="s">
        <v>2638</v>
      </c>
      <c r="E438" s="2831" t="s">
        <v>2169</v>
      </c>
    </row>
    <row r="439" spans="1:5">
      <c r="A439" s="2831">
        <v>631</v>
      </c>
      <c r="B439" s="2831" t="s">
        <v>2605</v>
      </c>
      <c r="C439" s="2831">
        <v>215</v>
      </c>
      <c r="D439" s="2831" t="s">
        <v>2639</v>
      </c>
      <c r="E439" s="2831" t="s">
        <v>2174</v>
      </c>
    </row>
    <row r="440" spans="1:5">
      <c r="A440" s="2831">
        <v>631</v>
      </c>
      <c r="B440" s="2831" t="s">
        <v>2605</v>
      </c>
      <c r="C440" s="2831">
        <v>204</v>
      </c>
      <c r="D440" s="2831" t="s">
        <v>2640</v>
      </c>
      <c r="E440" s="2831" t="s">
        <v>2169</v>
      </c>
    </row>
    <row r="441" spans="1:5">
      <c r="A441" s="2831">
        <v>631</v>
      </c>
      <c r="B441" s="2831" t="s">
        <v>2605</v>
      </c>
      <c r="C441" s="2831">
        <v>379</v>
      </c>
      <c r="D441" s="2831" t="s">
        <v>2641</v>
      </c>
      <c r="E441" s="2831" t="s">
        <v>2174</v>
      </c>
    </row>
    <row r="442" spans="1:5">
      <c r="A442" s="2831">
        <v>631</v>
      </c>
      <c r="B442" s="2831" t="s">
        <v>2605</v>
      </c>
      <c r="C442" s="2831">
        <v>2058</v>
      </c>
      <c r="D442" s="2831" t="s">
        <v>2642</v>
      </c>
      <c r="E442" s="2831" t="s">
        <v>2174</v>
      </c>
    </row>
    <row r="443" spans="1:5">
      <c r="A443" s="2831">
        <v>631</v>
      </c>
      <c r="B443" s="2831" t="s">
        <v>2605</v>
      </c>
      <c r="C443" s="2831">
        <v>4058</v>
      </c>
      <c r="D443" s="2831" t="s">
        <v>2643</v>
      </c>
      <c r="E443" s="2831" t="s">
        <v>2169</v>
      </c>
    </row>
    <row r="444" spans="1:5">
      <c r="A444" s="2831">
        <v>631</v>
      </c>
      <c r="B444" s="2831" t="s">
        <v>2605</v>
      </c>
      <c r="C444" s="2831">
        <v>117</v>
      </c>
      <c r="D444" s="2831" t="s">
        <v>2644</v>
      </c>
      <c r="E444" s="2831" t="s">
        <v>2166</v>
      </c>
    </row>
    <row r="445" spans="1:5">
      <c r="A445" s="2831">
        <v>631</v>
      </c>
      <c r="B445" s="2831" t="s">
        <v>2605</v>
      </c>
      <c r="C445" s="2831">
        <v>176</v>
      </c>
      <c r="D445" s="2831" t="s">
        <v>2472</v>
      </c>
      <c r="E445" s="2831" t="s">
        <v>2166</v>
      </c>
    </row>
    <row r="446" spans="1:5">
      <c r="A446" s="2831">
        <v>631</v>
      </c>
      <c r="B446" s="2831" t="s">
        <v>2605</v>
      </c>
      <c r="C446" s="2831">
        <v>290</v>
      </c>
      <c r="D446" s="2831" t="s">
        <v>2645</v>
      </c>
      <c r="E446" s="2831" t="s">
        <v>2174</v>
      </c>
    </row>
    <row r="447" spans="1:5">
      <c r="A447" s="2831">
        <v>631</v>
      </c>
      <c r="B447" s="2831" t="s">
        <v>2605</v>
      </c>
      <c r="C447" s="2831">
        <v>109</v>
      </c>
      <c r="D447" s="2831" t="s">
        <v>2646</v>
      </c>
      <c r="E447" s="2831" t="s">
        <v>2169</v>
      </c>
    </row>
    <row r="448" spans="1:5">
      <c r="A448" s="2831">
        <v>631</v>
      </c>
      <c r="B448" s="2831" t="s">
        <v>2605</v>
      </c>
      <c r="C448" s="2831">
        <v>104</v>
      </c>
      <c r="D448" s="2831" t="s">
        <v>2647</v>
      </c>
      <c r="E448" s="2831" t="s">
        <v>2174</v>
      </c>
    </row>
    <row r="449" spans="1:5">
      <c r="A449" s="2831">
        <v>631</v>
      </c>
      <c r="B449" s="2831" t="s">
        <v>2605</v>
      </c>
      <c r="C449" s="2831">
        <v>174</v>
      </c>
      <c r="D449" s="2831" t="s">
        <v>2648</v>
      </c>
      <c r="E449" s="2831" t="s">
        <v>2174</v>
      </c>
    </row>
    <row r="450" spans="1:5">
      <c r="A450" s="2831">
        <v>631</v>
      </c>
      <c r="B450" s="2831" t="s">
        <v>2605</v>
      </c>
      <c r="C450" s="2831">
        <v>2052</v>
      </c>
      <c r="D450" s="2831" t="s">
        <v>2649</v>
      </c>
      <c r="E450" s="2831" t="s">
        <v>2174</v>
      </c>
    </row>
    <row r="451" spans="1:5">
      <c r="A451" s="2831">
        <v>631</v>
      </c>
      <c r="B451" s="2831" t="s">
        <v>2605</v>
      </c>
      <c r="C451" s="2831">
        <v>3052</v>
      </c>
      <c r="D451" s="2831" t="s">
        <v>2650</v>
      </c>
      <c r="E451" s="2831" t="s">
        <v>2174</v>
      </c>
    </row>
    <row r="452" spans="1:5">
      <c r="A452" s="2831">
        <v>631</v>
      </c>
      <c r="B452" s="2831" t="s">
        <v>2605</v>
      </c>
      <c r="C452" s="2831">
        <v>1060</v>
      </c>
      <c r="D452" s="2831" t="s">
        <v>2651</v>
      </c>
      <c r="E452" s="2831" t="s">
        <v>2166</v>
      </c>
    </row>
    <row r="453" spans="1:5">
      <c r="A453" s="2831">
        <v>631</v>
      </c>
      <c r="B453" s="2831" t="s">
        <v>2605</v>
      </c>
      <c r="C453" s="2831">
        <v>276</v>
      </c>
      <c r="D453" s="2831" t="s">
        <v>2652</v>
      </c>
      <c r="E453" s="2831" t="s">
        <v>2166</v>
      </c>
    </row>
    <row r="454" spans="1:5">
      <c r="A454" s="2831">
        <v>631</v>
      </c>
      <c r="B454" s="2831" t="s">
        <v>2605</v>
      </c>
      <c r="C454" s="2831">
        <v>378</v>
      </c>
      <c r="D454" s="2831" t="s">
        <v>2653</v>
      </c>
      <c r="E454" s="2831" t="s">
        <v>2169</v>
      </c>
    </row>
    <row r="455" spans="1:5">
      <c r="A455" s="2831">
        <v>631</v>
      </c>
      <c r="B455" s="2831" t="s">
        <v>2605</v>
      </c>
      <c r="C455" s="2831">
        <v>181</v>
      </c>
      <c r="D455" s="2831" t="s">
        <v>2654</v>
      </c>
      <c r="E455" s="2831" t="s">
        <v>2169</v>
      </c>
    </row>
    <row r="456" spans="1:5">
      <c r="A456" s="2831">
        <v>631</v>
      </c>
      <c r="B456" s="2831" t="s">
        <v>2605</v>
      </c>
      <c r="C456" s="2831">
        <v>277</v>
      </c>
      <c r="D456" s="2831" t="s">
        <v>2655</v>
      </c>
      <c r="E456" s="2831" t="s">
        <v>2174</v>
      </c>
    </row>
    <row r="457" spans="1:5">
      <c r="A457" s="2831">
        <v>631</v>
      </c>
      <c r="B457" s="2831" t="s">
        <v>2605</v>
      </c>
      <c r="C457" s="2831">
        <v>207</v>
      </c>
      <c r="D457" s="2831" t="s">
        <v>2656</v>
      </c>
      <c r="E457" s="2831" t="s">
        <v>2174</v>
      </c>
    </row>
    <row r="458" spans="1:5">
      <c r="A458" s="2831">
        <v>631</v>
      </c>
      <c r="B458" s="2831" t="s">
        <v>2605</v>
      </c>
      <c r="C458" s="2831">
        <v>195</v>
      </c>
      <c r="D458" s="2831" t="s">
        <v>2657</v>
      </c>
      <c r="E458" s="2831" t="s">
        <v>2166</v>
      </c>
    </row>
    <row r="459" spans="1:5">
      <c r="A459" s="2831">
        <v>631</v>
      </c>
      <c r="B459" s="2831" t="s">
        <v>2605</v>
      </c>
      <c r="C459" s="2831">
        <v>2060</v>
      </c>
      <c r="D459" s="2831" t="s">
        <v>2658</v>
      </c>
      <c r="E459" s="2831" t="s">
        <v>2174</v>
      </c>
    </row>
    <row r="460" spans="1:5">
      <c r="A460" s="2831">
        <v>631</v>
      </c>
      <c r="B460" s="2831" t="s">
        <v>2605</v>
      </c>
      <c r="C460" s="2831">
        <v>377</v>
      </c>
      <c r="D460" s="2831" t="s">
        <v>2659</v>
      </c>
      <c r="E460" s="2831" t="s">
        <v>2174</v>
      </c>
    </row>
    <row r="461" spans="1:5">
      <c r="A461" s="2831">
        <v>631</v>
      </c>
      <c r="B461" s="2831" t="s">
        <v>2605</v>
      </c>
      <c r="C461" s="2831">
        <v>3060</v>
      </c>
      <c r="D461" s="2831" t="s">
        <v>2660</v>
      </c>
      <c r="E461" s="2831" t="s">
        <v>2166</v>
      </c>
    </row>
    <row r="462" spans="1:5">
      <c r="A462" s="2831">
        <v>631</v>
      </c>
      <c r="B462" s="2831" t="s">
        <v>2605</v>
      </c>
      <c r="C462" s="2831">
        <v>200</v>
      </c>
      <c r="D462" s="2831" t="s">
        <v>2661</v>
      </c>
      <c r="E462" s="2831" t="s">
        <v>2169</v>
      </c>
    </row>
    <row r="463" spans="1:5">
      <c r="A463" s="2831">
        <v>631</v>
      </c>
      <c r="B463" s="2831" t="s">
        <v>2605</v>
      </c>
      <c r="C463" s="2831">
        <v>107</v>
      </c>
      <c r="D463" s="2831" t="s">
        <v>2662</v>
      </c>
      <c r="E463" s="2831" t="s">
        <v>2166</v>
      </c>
    </row>
    <row r="464" spans="1:5">
      <c r="A464" s="2831">
        <v>631</v>
      </c>
      <c r="B464" s="2831" t="s">
        <v>2605</v>
      </c>
      <c r="C464" s="2831">
        <v>4060</v>
      </c>
      <c r="D464" s="2831" t="s">
        <v>2663</v>
      </c>
      <c r="E464" s="2831" t="s">
        <v>2166</v>
      </c>
    </row>
    <row r="465" spans="1:5">
      <c r="A465" s="2831">
        <v>631</v>
      </c>
      <c r="B465" s="2831" t="s">
        <v>2605</v>
      </c>
      <c r="C465" s="2831">
        <v>5060</v>
      </c>
      <c r="D465" s="2831" t="s">
        <v>2664</v>
      </c>
      <c r="E465" s="2831" t="s">
        <v>2166</v>
      </c>
    </row>
    <row r="466" spans="1:5">
      <c r="A466" s="2831">
        <v>631</v>
      </c>
      <c r="B466" s="2831" t="s">
        <v>2605</v>
      </c>
      <c r="C466" s="2831">
        <v>1062</v>
      </c>
      <c r="D466" s="2831" t="s">
        <v>2665</v>
      </c>
      <c r="E466" s="2831" t="s">
        <v>2174</v>
      </c>
    </row>
    <row r="467" spans="1:5">
      <c r="A467" s="2831">
        <v>631</v>
      </c>
      <c r="B467" s="2831" t="s">
        <v>2605</v>
      </c>
      <c r="C467" s="2831">
        <v>105</v>
      </c>
      <c r="D467" s="2831" t="s">
        <v>2666</v>
      </c>
      <c r="E467" s="2831" t="s">
        <v>2169</v>
      </c>
    </row>
    <row r="468" spans="1:5">
      <c r="A468" s="2831">
        <v>631</v>
      </c>
      <c r="B468" s="2831" t="s">
        <v>2605</v>
      </c>
      <c r="C468" s="2831">
        <v>307</v>
      </c>
      <c r="D468" s="2831" t="s">
        <v>2667</v>
      </c>
      <c r="E468" s="2831" t="s">
        <v>2174</v>
      </c>
    </row>
    <row r="469" spans="1:5">
      <c r="A469" s="2831">
        <v>631</v>
      </c>
      <c r="B469" s="2831" t="s">
        <v>2605</v>
      </c>
      <c r="C469" s="2831">
        <v>382</v>
      </c>
      <c r="D469" s="2831" t="s">
        <v>2668</v>
      </c>
      <c r="E469" s="2831" t="s">
        <v>2169</v>
      </c>
    </row>
    <row r="470" spans="1:5">
      <c r="A470" s="2831">
        <v>631</v>
      </c>
      <c r="B470" s="2831" t="s">
        <v>2605</v>
      </c>
      <c r="C470" s="2831">
        <v>383</v>
      </c>
      <c r="D470" s="2831" t="s">
        <v>2669</v>
      </c>
      <c r="E470" s="2831" t="s">
        <v>2169</v>
      </c>
    </row>
    <row r="471" spans="1:5">
      <c r="A471" s="2831">
        <v>631</v>
      </c>
      <c r="B471" s="2831" t="s">
        <v>2605</v>
      </c>
      <c r="C471" s="2831">
        <v>2062</v>
      </c>
      <c r="D471" s="2831" t="s">
        <v>2670</v>
      </c>
      <c r="E471" s="2831" t="s">
        <v>2169</v>
      </c>
    </row>
    <row r="472" spans="1:5">
      <c r="A472" s="2831">
        <v>631</v>
      </c>
      <c r="B472" s="2831" t="s">
        <v>2605</v>
      </c>
      <c r="C472" s="2831">
        <v>5056</v>
      </c>
      <c r="D472" s="2831" t="s">
        <v>2671</v>
      </c>
      <c r="E472" s="2831" t="s">
        <v>2166</v>
      </c>
    </row>
    <row r="473" spans="1:5">
      <c r="A473" s="2831">
        <v>632</v>
      </c>
      <c r="B473" s="2831" t="s">
        <v>2672</v>
      </c>
      <c r="C473" s="2831">
        <v>101</v>
      </c>
      <c r="D473" s="2831" t="s">
        <v>2673</v>
      </c>
      <c r="E473" s="2831" t="s">
        <v>2174</v>
      </c>
    </row>
    <row r="474" spans="1:5">
      <c r="A474" s="2831">
        <v>632</v>
      </c>
      <c r="B474" s="2831" t="s">
        <v>2672</v>
      </c>
      <c r="C474" s="2831">
        <v>1050</v>
      </c>
      <c r="D474" s="2831" t="s">
        <v>2674</v>
      </c>
      <c r="E474" s="2831" t="s">
        <v>2174</v>
      </c>
    </row>
    <row r="475" spans="1:5">
      <c r="A475" s="2831">
        <v>632</v>
      </c>
      <c r="B475" s="2831" t="s">
        <v>2672</v>
      </c>
      <c r="C475" s="2831">
        <v>201</v>
      </c>
      <c r="D475" s="2831" t="s">
        <v>2675</v>
      </c>
      <c r="E475" s="2831" t="s">
        <v>2169</v>
      </c>
    </row>
    <row r="476" spans="1:5">
      <c r="A476" s="2831">
        <v>633</v>
      </c>
      <c r="B476" s="2831" t="s">
        <v>2676</v>
      </c>
      <c r="C476" s="2831">
        <v>302</v>
      </c>
      <c r="D476" s="2831" t="s">
        <v>2677</v>
      </c>
      <c r="E476" s="2831" t="s">
        <v>2174</v>
      </c>
    </row>
    <row r="477" spans="1:5">
      <c r="A477" s="2831">
        <v>633</v>
      </c>
      <c r="B477" s="2831" t="s">
        <v>2676</v>
      </c>
      <c r="C477" s="2831">
        <v>289</v>
      </c>
      <c r="D477" s="2831" t="s">
        <v>2678</v>
      </c>
      <c r="E477" s="2831" t="s">
        <v>2166</v>
      </c>
    </row>
    <row r="478" spans="1:5">
      <c r="A478" s="2831">
        <v>633</v>
      </c>
      <c r="B478" s="2831" t="s">
        <v>2676</v>
      </c>
      <c r="C478" s="2831">
        <v>209</v>
      </c>
      <c r="D478" s="2831" t="s">
        <v>2679</v>
      </c>
      <c r="E478" s="2831" t="s">
        <v>2166</v>
      </c>
    </row>
    <row r="479" spans="1:5">
      <c r="A479" s="2831">
        <v>633</v>
      </c>
      <c r="B479" s="2831" t="s">
        <v>2676</v>
      </c>
      <c r="C479" s="2831">
        <v>2050</v>
      </c>
      <c r="D479" s="2831" t="s">
        <v>2680</v>
      </c>
      <c r="E479" s="2831" t="s">
        <v>2169</v>
      </c>
    </row>
    <row r="480" spans="1:5">
      <c r="A480" s="2831">
        <v>633</v>
      </c>
      <c r="B480" s="2831" t="s">
        <v>2676</v>
      </c>
      <c r="C480" s="2831">
        <v>207</v>
      </c>
      <c r="D480" s="2831" t="s">
        <v>2681</v>
      </c>
      <c r="E480" s="2831" t="s">
        <v>2174</v>
      </c>
    </row>
    <row r="481" spans="1:5">
      <c r="A481" s="2831">
        <v>633</v>
      </c>
      <c r="B481" s="2831" t="s">
        <v>2676</v>
      </c>
      <c r="C481" s="2831">
        <v>4050</v>
      </c>
      <c r="D481" s="2831" t="s">
        <v>2682</v>
      </c>
      <c r="E481" s="2831" t="s">
        <v>2169</v>
      </c>
    </row>
    <row r="482" spans="1:5">
      <c r="A482" s="2831">
        <v>633</v>
      </c>
      <c r="B482" s="2831" t="s">
        <v>2676</v>
      </c>
      <c r="C482" s="2831">
        <v>189</v>
      </c>
      <c r="D482" s="2831" t="s">
        <v>2683</v>
      </c>
      <c r="E482" s="2831" t="s">
        <v>2174</v>
      </c>
    </row>
    <row r="483" spans="1:5">
      <c r="A483" s="2831">
        <v>633</v>
      </c>
      <c r="B483" s="2831" t="s">
        <v>2676</v>
      </c>
      <c r="C483" s="2831">
        <v>407</v>
      </c>
      <c r="D483" s="2831" t="s">
        <v>2684</v>
      </c>
      <c r="E483" s="2831" t="s">
        <v>2166</v>
      </c>
    </row>
    <row r="484" spans="1:5">
      <c r="A484" s="2831">
        <v>633</v>
      </c>
      <c r="B484" s="2831" t="s">
        <v>2676</v>
      </c>
      <c r="C484" s="2831">
        <v>5050</v>
      </c>
      <c r="D484" s="2831" t="s">
        <v>2685</v>
      </c>
      <c r="E484" s="2831" t="s">
        <v>2166</v>
      </c>
    </row>
    <row r="485" spans="1:5">
      <c r="A485" s="2831">
        <v>633</v>
      </c>
      <c r="B485" s="2831" t="s">
        <v>2676</v>
      </c>
      <c r="C485" s="2831">
        <v>1052</v>
      </c>
      <c r="D485" s="2831" t="s">
        <v>2686</v>
      </c>
      <c r="E485" s="2831" t="s">
        <v>2174</v>
      </c>
    </row>
    <row r="486" spans="1:5">
      <c r="A486" s="2831">
        <v>633</v>
      </c>
      <c r="B486" s="2831" t="s">
        <v>2676</v>
      </c>
      <c r="C486" s="2831">
        <v>309</v>
      </c>
      <c r="D486" s="2831" t="s">
        <v>2687</v>
      </c>
      <c r="E486" s="2831" t="s">
        <v>2166</v>
      </c>
    </row>
    <row r="487" spans="1:5">
      <c r="A487" s="2831">
        <v>633</v>
      </c>
      <c r="B487" s="2831" t="s">
        <v>2676</v>
      </c>
      <c r="C487" s="2831">
        <v>504</v>
      </c>
      <c r="D487" s="2831" t="s">
        <v>2688</v>
      </c>
      <c r="E487" s="2831" t="s">
        <v>2174</v>
      </c>
    </row>
    <row r="488" spans="1:5">
      <c r="A488" s="2831">
        <v>633</v>
      </c>
      <c r="B488" s="2831" t="s">
        <v>2676</v>
      </c>
      <c r="C488" s="2831">
        <v>173</v>
      </c>
      <c r="D488" s="2831" t="s">
        <v>2689</v>
      </c>
      <c r="E488" s="2831" t="s">
        <v>2174</v>
      </c>
    </row>
    <row r="489" spans="1:5">
      <c r="A489" s="2831">
        <v>633</v>
      </c>
      <c r="B489" s="2831" t="s">
        <v>2676</v>
      </c>
      <c r="C489" s="2831">
        <v>399</v>
      </c>
      <c r="D489" s="2831" t="s">
        <v>2690</v>
      </c>
      <c r="E489" s="2831" t="s">
        <v>2166</v>
      </c>
    </row>
    <row r="490" spans="1:5">
      <c r="A490" s="2831">
        <v>633</v>
      </c>
      <c r="B490" s="2831" t="s">
        <v>2676</v>
      </c>
      <c r="C490" s="2831">
        <v>5052</v>
      </c>
      <c r="D490" s="2831" t="s">
        <v>2691</v>
      </c>
      <c r="E490" s="2831" t="s">
        <v>2174</v>
      </c>
    </row>
    <row r="491" spans="1:5">
      <c r="A491" s="2831">
        <v>633</v>
      </c>
      <c r="B491" s="2831" t="s">
        <v>2676</v>
      </c>
      <c r="C491" s="2831">
        <v>592</v>
      </c>
      <c r="D491" s="2831" t="s">
        <v>2692</v>
      </c>
      <c r="E491" s="2831" t="s">
        <v>2174</v>
      </c>
    </row>
    <row r="492" spans="1:5">
      <c r="A492" s="2831">
        <v>633</v>
      </c>
      <c r="B492" s="2831" t="s">
        <v>2676</v>
      </c>
      <c r="C492" s="2831">
        <v>104</v>
      </c>
      <c r="D492" s="2831" t="s">
        <v>2693</v>
      </c>
      <c r="E492" s="2831" t="s">
        <v>2169</v>
      </c>
    </row>
    <row r="493" spans="1:5">
      <c r="A493" s="2831">
        <v>633</v>
      </c>
      <c r="B493" s="2831" t="s">
        <v>2676</v>
      </c>
      <c r="C493" s="2831">
        <v>1054</v>
      </c>
      <c r="D493" s="2831" t="s">
        <v>2694</v>
      </c>
      <c r="E493" s="2831" t="s">
        <v>2166</v>
      </c>
    </row>
    <row r="494" spans="1:5">
      <c r="A494" s="2831">
        <v>633</v>
      </c>
      <c r="B494" s="2831" t="s">
        <v>2676</v>
      </c>
      <c r="C494" s="2831">
        <v>290</v>
      </c>
      <c r="D494" s="2831" t="s">
        <v>2695</v>
      </c>
      <c r="E494" s="2831" t="s">
        <v>2166</v>
      </c>
    </row>
    <row r="495" spans="1:5">
      <c r="A495" s="2831">
        <v>633</v>
      </c>
      <c r="B495" s="2831" t="s">
        <v>2676</v>
      </c>
      <c r="C495" s="2831">
        <v>198</v>
      </c>
      <c r="D495" s="2831" t="s">
        <v>2696</v>
      </c>
      <c r="E495" s="2831" t="s">
        <v>2166</v>
      </c>
    </row>
    <row r="496" spans="1:5">
      <c r="A496" s="2831">
        <v>633</v>
      </c>
      <c r="B496" s="2831" t="s">
        <v>2676</v>
      </c>
      <c r="C496" s="2831">
        <v>298</v>
      </c>
      <c r="D496" s="2831" t="s">
        <v>2697</v>
      </c>
      <c r="E496" s="2831" t="s">
        <v>2166</v>
      </c>
    </row>
    <row r="497" spans="1:5">
      <c r="A497" s="2831">
        <v>633</v>
      </c>
      <c r="B497" s="2831" t="s">
        <v>2676</v>
      </c>
      <c r="C497" s="2831">
        <v>102</v>
      </c>
      <c r="D497" s="2831" t="s">
        <v>2698</v>
      </c>
      <c r="E497" s="2831" t="s">
        <v>2174</v>
      </c>
    </row>
    <row r="498" spans="1:5">
      <c r="A498" s="2831">
        <v>633</v>
      </c>
      <c r="B498" s="2831" t="s">
        <v>2676</v>
      </c>
      <c r="C498" s="2831">
        <v>117</v>
      </c>
      <c r="D498" s="2831" t="s">
        <v>2699</v>
      </c>
      <c r="E498" s="2831" t="s">
        <v>2174</v>
      </c>
    </row>
    <row r="499" spans="1:5">
      <c r="A499" s="2831">
        <v>633</v>
      </c>
      <c r="B499" s="2831" t="s">
        <v>2676</v>
      </c>
      <c r="C499" s="2831">
        <v>809</v>
      </c>
      <c r="D499" s="2831" t="s">
        <v>2700</v>
      </c>
      <c r="E499" s="2831" t="s">
        <v>2174</v>
      </c>
    </row>
    <row r="500" spans="1:5">
      <c r="A500" s="2831">
        <v>633</v>
      </c>
      <c r="B500" s="2831" t="s">
        <v>2676</v>
      </c>
      <c r="C500" s="2831">
        <v>808</v>
      </c>
      <c r="D500" s="2831" t="s">
        <v>2701</v>
      </c>
      <c r="E500" s="2831" t="s">
        <v>2174</v>
      </c>
    </row>
    <row r="501" spans="1:5">
      <c r="A501" s="2831">
        <v>633</v>
      </c>
      <c r="B501" s="2831" t="s">
        <v>2676</v>
      </c>
      <c r="C501" s="2831">
        <v>3556</v>
      </c>
      <c r="D501" s="2831" t="s">
        <v>2702</v>
      </c>
      <c r="E501" s="2831" t="s">
        <v>2166</v>
      </c>
    </row>
    <row r="502" spans="1:5">
      <c r="A502" s="2831">
        <v>633</v>
      </c>
      <c r="B502" s="2831" t="s">
        <v>2676</v>
      </c>
      <c r="C502" s="2831">
        <v>502</v>
      </c>
      <c r="D502" s="2831" t="s">
        <v>2703</v>
      </c>
      <c r="E502" s="2831" t="s">
        <v>2174</v>
      </c>
    </row>
    <row r="503" spans="1:5">
      <c r="A503" s="2831">
        <v>633</v>
      </c>
      <c r="B503" s="2831" t="s">
        <v>2676</v>
      </c>
      <c r="C503" s="2831">
        <v>4056</v>
      </c>
      <c r="D503" s="2831" t="s">
        <v>2704</v>
      </c>
      <c r="E503" s="2831" t="s">
        <v>2166</v>
      </c>
    </row>
    <row r="504" spans="1:5">
      <c r="A504" s="2831">
        <v>633</v>
      </c>
      <c r="B504" s="2831" t="s">
        <v>2676</v>
      </c>
      <c r="C504" s="2831">
        <v>388</v>
      </c>
      <c r="D504" s="2831" t="s">
        <v>2705</v>
      </c>
      <c r="E504" s="2831" t="s">
        <v>2166</v>
      </c>
    </row>
    <row r="505" spans="1:5">
      <c r="A505" s="2831">
        <v>633</v>
      </c>
      <c r="B505" s="2831" t="s">
        <v>2676</v>
      </c>
      <c r="C505" s="2831">
        <v>281</v>
      </c>
      <c r="D505" s="2831" t="s">
        <v>2706</v>
      </c>
      <c r="E505" s="2831" t="s">
        <v>2174</v>
      </c>
    </row>
    <row r="506" spans="1:5">
      <c r="A506" s="2831">
        <v>633</v>
      </c>
      <c r="B506" s="2831" t="s">
        <v>2676</v>
      </c>
      <c r="C506" s="2831">
        <v>275</v>
      </c>
      <c r="D506" s="2831" t="s">
        <v>2707</v>
      </c>
      <c r="E506" s="2831" t="s">
        <v>2169</v>
      </c>
    </row>
    <row r="507" spans="1:5">
      <c r="A507" s="2831">
        <v>633</v>
      </c>
      <c r="B507" s="2831" t="s">
        <v>2676</v>
      </c>
      <c r="C507" s="2831">
        <v>190</v>
      </c>
      <c r="D507" s="2831" t="s">
        <v>2708</v>
      </c>
      <c r="E507" s="2831" t="s">
        <v>2169</v>
      </c>
    </row>
    <row r="508" spans="1:5">
      <c r="A508" s="2831">
        <v>633</v>
      </c>
      <c r="B508" s="2831" t="s">
        <v>2676</v>
      </c>
      <c r="C508" s="2831">
        <v>5056</v>
      </c>
      <c r="D508" s="2831" t="s">
        <v>2709</v>
      </c>
      <c r="E508" s="2831" t="s">
        <v>2174</v>
      </c>
    </row>
    <row r="509" spans="1:5">
      <c r="A509" s="2831">
        <v>633</v>
      </c>
      <c r="B509" s="2831" t="s">
        <v>2676</v>
      </c>
      <c r="C509" s="2831">
        <v>299</v>
      </c>
      <c r="D509" s="2831" t="s">
        <v>2710</v>
      </c>
      <c r="E509" s="2831" t="s">
        <v>2166</v>
      </c>
    </row>
    <row r="510" spans="1:5">
      <c r="A510" s="2831">
        <v>633</v>
      </c>
      <c r="B510" s="2831" t="s">
        <v>2676</v>
      </c>
      <c r="C510" s="2831">
        <v>1056</v>
      </c>
      <c r="D510" s="2831" t="s">
        <v>2711</v>
      </c>
      <c r="E510" s="2831" t="s">
        <v>2169</v>
      </c>
    </row>
    <row r="511" spans="1:5">
      <c r="A511" s="2831">
        <v>633</v>
      </c>
      <c r="B511" s="2831" t="s">
        <v>2676</v>
      </c>
      <c r="C511" s="2831">
        <v>114</v>
      </c>
      <c r="D511" s="2831" t="s">
        <v>2712</v>
      </c>
      <c r="E511" s="2831" t="s">
        <v>2166</v>
      </c>
    </row>
    <row r="512" spans="1:5">
      <c r="A512" s="2831">
        <v>633</v>
      </c>
      <c r="B512" s="2831" t="s">
        <v>2676</v>
      </c>
      <c r="C512" s="2831">
        <v>5068</v>
      </c>
      <c r="D512" s="2831" t="s">
        <v>2713</v>
      </c>
      <c r="E512" s="2831" t="s">
        <v>2166</v>
      </c>
    </row>
    <row r="513" spans="1:5">
      <c r="A513" s="2831">
        <v>633</v>
      </c>
      <c r="B513" s="2831" t="s">
        <v>2676</v>
      </c>
      <c r="C513" s="2831">
        <v>3058</v>
      </c>
      <c r="D513" s="2831" t="s">
        <v>2714</v>
      </c>
      <c r="E513" s="2831" t="s">
        <v>2174</v>
      </c>
    </row>
    <row r="514" spans="1:5">
      <c r="A514" s="2831">
        <v>633</v>
      </c>
      <c r="B514" s="2831" t="s">
        <v>2676</v>
      </c>
      <c r="C514" s="2831">
        <v>5058</v>
      </c>
      <c r="D514" s="2831" t="s">
        <v>2715</v>
      </c>
      <c r="E514" s="2831" t="s">
        <v>2166</v>
      </c>
    </row>
    <row r="515" spans="1:5">
      <c r="A515" s="2831">
        <v>633</v>
      </c>
      <c r="B515" s="2831" t="s">
        <v>2676</v>
      </c>
      <c r="C515" s="2831">
        <v>292</v>
      </c>
      <c r="D515" s="2831" t="s">
        <v>2716</v>
      </c>
      <c r="E515" s="2831" t="s">
        <v>2166</v>
      </c>
    </row>
    <row r="516" spans="1:5">
      <c r="A516" s="2831">
        <v>633</v>
      </c>
      <c r="B516" s="2831" t="s">
        <v>2676</v>
      </c>
      <c r="C516" s="2831">
        <v>297</v>
      </c>
      <c r="D516" s="2831" t="s">
        <v>2717</v>
      </c>
      <c r="E516" s="2831" t="s">
        <v>2169</v>
      </c>
    </row>
    <row r="517" spans="1:5">
      <c r="A517" s="2831">
        <v>633</v>
      </c>
      <c r="B517" s="2831" t="s">
        <v>2676</v>
      </c>
      <c r="C517" s="2831">
        <v>1060</v>
      </c>
      <c r="D517" s="2831" t="s">
        <v>2718</v>
      </c>
      <c r="E517" s="2831" t="s">
        <v>2174</v>
      </c>
    </row>
    <row r="518" spans="1:5">
      <c r="A518" s="2831">
        <v>633</v>
      </c>
      <c r="B518" s="2831" t="s">
        <v>2676</v>
      </c>
      <c r="C518" s="2831">
        <v>185</v>
      </c>
      <c r="D518" s="2831" t="s">
        <v>2719</v>
      </c>
      <c r="E518" s="2831" t="s">
        <v>2166</v>
      </c>
    </row>
    <row r="519" spans="1:5">
      <c r="A519" s="2831">
        <v>633</v>
      </c>
      <c r="B519" s="2831" t="s">
        <v>2676</v>
      </c>
      <c r="C519" s="2831">
        <v>397</v>
      </c>
      <c r="D519" s="2831" t="s">
        <v>2720</v>
      </c>
      <c r="E519" s="2831" t="s">
        <v>2169</v>
      </c>
    </row>
    <row r="520" spans="1:5">
      <c r="A520" s="2831">
        <v>633</v>
      </c>
      <c r="B520" s="2831" t="s">
        <v>2676</v>
      </c>
      <c r="C520" s="2831">
        <v>2560</v>
      </c>
      <c r="D520" s="2831" t="s">
        <v>2721</v>
      </c>
      <c r="E520" s="2831" t="s">
        <v>2166</v>
      </c>
    </row>
    <row r="521" spans="1:5">
      <c r="A521" s="2831">
        <v>633</v>
      </c>
      <c r="B521" s="2831" t="s">
        <v>2676</v>
      </c>
      <c r="C521" s="2831">
        <v>192</v>
      </c>
      <c r="D521" s="2831" t="s">
        <v>2722</v>
      </c>
      <c r="E521" s="2831" t="s">
        <v>2166</v>
      </c>
    </row>
    <row r="522" spans="1:5">
      <c r="A522" s="2831">
        <v>633</v>
      </c>
      <c r="B522" s="2831" t="s">
        <v>2676</v>
      </c>
      <c r="C522" s="2831">
        <v>194</v>
      </c>
      <c r="D522" s="2831" t="s">
        <v>2723</v>
      </c>
      <c r="E522" s="2831" t="s">
        <v>2169</v>
      </c>
    </row>
    <row r="523" spans="1:5">
      <c r="A523" s="2831">
        <v>633</v>
      </c>
      <c r="B523" s="2831" t="s">
        <v>2676</v>
      </c>
      <c r="C523" s="2831">
        <v>402</v>
      </c>
      <c r="D523" s="2831" t="s">
        <v>2724</v>
      </c>
      <c r="E523" s="2831" t="s">
        <v>2166</v>
      </c>
    </row>
    <row r="524" spans="1:5">
      <c r="A524" s="2831">
        <v>633</v>
      </c>
      <c r="B524" s="2831" t="s">
        <v>2676</v>
      </c>
      <c r="C524" s="2831">
        <v>394</v>
      </c>
      <c r="D524" s="2831" t="s">
        <v>2725</v>
      </c>
      <c r="E524" s="2831" t="s">
        <v>2166</v>
      </c>
    </row>
    <row r="525" spans="1:5">
      <c r="A525" s="2831">
        <v>633</v>
      </c>
      <c r="B525" s="2831" t="s">
        <v>2676</v>
      </c>
      <c r="C525" s="2831">
        <v>707</v>
      </c>
      <c r="D525" s="2831" t="s">
        <v>2726</v>
      </c>
      <c r="E525" s="2831" t="s">
        <v>2166</v>
      </c>
    </row>
    <row r="526" spans="1:5">
      <c r="A526" s="2831">
        <v>633</v>
      </c>
      <c r="B526" s="2831" t="s">
        <v>2676</v>
      </c>
      <c r="C526" s="2831">
        <v>4560</v>
      </c>
      <c r="D526" s="2831" t="s">
        <v>2727</v>
      </c>
      <c r="E526" s="2831" t="s">
        <v>2174</v>
      </c>
    </row>
    <row r="527" spans="1:5">
      <c r="A527" s="2831">
        <v>633</v>
      </c>
      <c r="B527" s="2831" t="s">
        <v>2676</v>
      </c>
      <c r="C527" s="2831">
        <v>187</v>
      </c>
      <c r="D527" s="2831" t="s">
        <v>2728</v>
      </c>
      <c r="E527" s="2831" t="s">
        <v>2169</v>
      </c>
    </row>
    <row r="528" spans="1:5">
      <c r="A528" s="2831">
        <v>633</v>
      </c>
      <c r="B528" s="2831" t="s">
        <v>2676</v>
      </c>
      <c r="C528" s="2831">
        <v>103</v>
      </c>
      <c r="D528" s="2831" t="s">
        <v>2729</v>
      </c>
      <c r="E528" s="2831" t="s">
        <v>2174</v>
      </c>
    </row>
    <row r="529" spans="1:5">
      <c r="A529" s="2831">
        <v>633</v>
      </c>
      <c r="B529" s="2831" t="s">
        <v>2676</v>
      </c>
      <c r="C529" s="2831">
        <v>203</v>
      </c>
      <c r="D529" s="2831" t="s">
        <v>2630</v>
      </c>
      <c r="E529" s="2831" t="s">
        <v>2166</v>
      </c>
    </row>
    <row r="530" spans="1:5">
      <c r="A530" s="2831">
        <v>633</v>
      </c>
      <c r="B530" s="2831" t="s">
        <v>2676</v>
      </c>
      <c r="C530" s="2831">
        <v>404</v>
      </c>
      <c r="D530" s="2831" t="s">
        <v>2730</v>
      </c>
      <c r="E530" s="2831" t="s">
        <v>2166</v>
      </c>
    </row>
    <row r="531" spans="1:5">
      <c r="A531" s="2831">
        <v>633</v>
      </c>
      <c r="B531" s="2831" t="s">
        <v>2676</v>
      </c>
      <c r="C531" s="2831">
        <v>101</v>
      </c>
      <c r="D531" s="2831" t="s">
        <v>2731</v>
      </c>
      <c r="E531" s="2831" t="s">
        <v>2174</v>
      </c>
    </row>
    <row r="532" spans="1:5">
      <c r="A532" s="2831">
        <v>633</v>
      </c>
      <c r="B532" s="2831" t="s">
        <v>2676</v>
      </c>
      <c r="C532" s="2831">
        <v>273</v>
      </c>
      <c r="D532" s="2831" t="s">
        <v>2732</v>
      </c>
      <c r="E532" s="2831" t="s">
        <v>2166</v>
      </c>
    </row>
    <row r="533" spans="1:5">
      <c r="A533" s="2831">
        <v>633</v>
      </c>
      <c r="B533" s="2831" t="s">
        <v>2676</v>
      </c>
      <c r="C533" s="2831">
        <v>2062</v>
      </c>
      <c r="D533" s="2831" t="s">
        <v>2733</v>
      </c>
      <c r="E533" s="2831" t="s">
        <v>2166</v>
      </c>
    </row>
    <row r="534" spans="1:5">
      <c r="A534" s="2831">
        <v>633</v>
      </c>
      <c r="B534" s="2831" t="s">
        <v>2676</v>
      </c>
      <c r="C534" s="2831">
        <v>3062</v>
      </c>
      <c r="D534" s="2831" t="s">
        <v>2734</v>
      </c>
      <c r="E534" s="2831" t="s">
        <v>2166</v>
      </c>
    </row>
    <row r="535" spans="1:5">
      <c r="A535" s="2831">
        <v>633</v>
      </c>
      <c r="B535" s="2831" t="s">
        <v>2676</v>
      </c>
      <c r="C535" s="2831">
        <v>381</v>
      </c>
      <c r="D535" s="2831" t="s">
        <v>2735</v>
      </c>
      <c r="E535" s="2831" t="s">
        <v>2174</v>
      </c>
    </row>
    <row r="536" spans="1:5">
      <c r="A536" s="2831">
        <v>633</v>
      </c>
      <c r="B536" s="2831" t="s">
        <v>2676</v>
      </c>
      <c r="C536" s="2831">
        <v>287</v>
      </c>
      <c r="D536" s="2831" t="s">
        <v>2736</v>
      </c>
      <c r="E536" s="2831" t="s">
        <v>2166</v>
      </c>
    </row>
    <row r="537" spans="1:5">
      <c r="A537" s="2831">
        <v>633</v>
      </c>
      <c r="B537" s="2831" t="s">
        <v>2676</v>
      </c>
      <c r="C537" s="2831">
        <v>202</v>
      </c>
      <c r="D537" s="2831" t="s">
        <v>2737</v>
      </c>
      <c r="E537" s="2831" t="s">
        <v>2174</v>
      </c>
    </row>
    <row r="538" spans="1:5">
      <c r="A538" s="2831">
        <v>633</v>
      </c>
      <c r="B538" s="2831" t="s">
        <v>2676</v>
      </c>
      <c r="C538" s="2831">
        <v>499</v>
      </c>
      <c r="D538" s="2831" t="s">
        <v>2738</v>
      </c>
      <c r="E538" s="2831" t="s">
        <v>2169</v>
      </c>
    </row>
    <row r="539" spans="1:5">
      <c r="A539" s="2831">
        <v>633</v>
      </c>
      <c r="B539" s="2831" t="s">
        <v>2676</v>
      </c>
      <c r="C539" s="2831">
        <v>607</v>
      </c>
      <c r="D539" s="2831" t="s">
        <v>2739</v>
      </c>
      <c r="E539" s="2831" t="s">
        <v>2169</v>
      </c>
    </row>
    <row r="540" spans="1:5">
      <c r="A540" s="2831">
        <v>633</v>
      </c>
      <c r="B540" s="2831" t="s">
        <v>2676</v>
      </c>
      <c r="C540" s="2831">
        <v>118</v>
      </c>
      <c r="D540" s="2831" t="s">
        <v>2740</v>
      </c>
      <c r="E540" s="2831" t="s">
        <v>2169</v>
      </c>
    </row>
    <row r="541" spans="1:5">
      <c r="A541" s="2831">
        <v>633</v>
      </c>
      <c r="B541" s="2831" t="s">
        <v>2676</v>
      </c>
      <c r="C541" s="2831">
        <v>178</v>
      </c>
      <c r="D541" s="2831" t="s">
        <v>2741</v>
      </c>
      <c r="E541" s="2831" t="s">
        <v>2166</v>
      </c>
    </row>
    <row r="542" spans="1:5">
      <c r="A542" s="2831">
        <v>633</v>
      </c>
      <c r="B542" s="2831" t="s">
        <v>2676</v>
      </c>
      <c r="C542" s="2831">
        <v>107</v>
      </c>
      <c r="D542" s="2831" t="s">
        <v>2742</v>
      </c>
      <c r="E542" s="2831" t="s">
        <v>2174</v>
      </c>
    </row>
    <row r="543" spans="1:5">
      <c r="A543" s="2831">
        <v>633</v>
      </c>
      <c r="B543" s="2831" t="s">
        <v>2676</v>
      </c>
      <c r="C543" s="2831">
        <v>184</v>
      </c>
      <c r="D543" s="2831" t="s">
        <v>2743</v>
      </c>
      <c r="E543" s="2831" t="s">
        <v>2174</v>
      </c>
    </row>
    <row r="544" spans="1:5">
      <c r="A544" s="2831">
        <v>633</v>
      </c>
      <c r="B544" s="2831" t="s">
        <v>2676</v>
      </c>
      <c r="C544" s="2831">
        <v>507</v>
      </c>
      <c r="D544" s="2831" t="s">
        <v>2744</v>
      </c>
      <c r="E544" s="2831" t="s">
        <v>2174</v>
      </c>
    </row>
    <row r="545" spans="1:5">
      <c r="A545" s="2831">
        <v>633</v>
      </c>
      <c r="B545" s="2831" t="s">
        <v>2676</v>
      </c>
      <c r="C545" s="2831">
        <v>1064</v>
      </c>
      <c r="D545" s="2831" t="s">
        <v>2745</v>
      </c>
      <c r="E545" s="2831" t="s">
        <v>2174</v>
      </c>
    </row>
    <row r="546" spans="1:5">
      <c r="A546" s="2831">
        <v>633</v>
      </c>
      <c r="B546" s="2831" t="s">
        <v>2676</v>
      </c>
      <c r="C546" s="2831">
        <v>3064</v>
      </c>
      <c r="D546" s="2831" t="s">
        <v>2746</v>
      </c>
      <c r="E546" s="2831" t="s">
        <v>2166</v>
      </c>
    </row>
    <row r="547" spans="1:5">
      <c r="A547" s="2831">
        <v>633</v>
      </c>
      <c r="B547" s="2831" t="s">
        <v>2676</v>
      </c>
      <c r="C547" s="2831">
        <v>278</v>
      </c>
      <c r="D547" s="2831" t="s">
        <v>2747</v>
      </c>
      <c r="E547" s="2831" t="s">
        <v>2166</v>
      </c>
    </row>
    <row r="548" spans="1:5">
      <c r="A548" s="2831">
        <v>633</v>
      </c>
      <c r="B548" s="2831" t="s">
        <v>2676</v>
      </c>
      <c r="C548" s="2831">
        <v>288</v>
      </c>
      <c r="D548" s="2831" t="s">
        <v>2748</v>
      </c>
      <c r="E548" s="2831" t="s">
        <v>2174</v>
      </c>
    </row>
    <row r="549" spans="1:5">
      <c r="A549" s="2831">
        <v>633</v>
      </c>
      <c r="B549" s="2831" t="s">
        <v>2676</v>
      </c>
      <c r="C549" s="2831">
        <v>375</v>
      </c>
      <c r="D549" s="2831" t="s">
        <v>2749</v>
      </c>
      <c r="E549" s="2831" t="s">
        <v>2166</v>
      </c>
    </row>
    <row r="550" spans="1:5">
      <c r="A550" s="2831">
        <v>633</v>
      </c>
      <c r="B550" s="2831" t="s">
        <v>2676</v>
      </c>
      <c r="C550" s="2831">
        <v>391</v>
      </c>
      <c r="D550" s="2831" t="s">
        <v>2750</v>
      </c>
      <c r="E550" s="2831" t="s">
        <v>2166</v>
      </c>
    </row>
    <row r="551" spans="1:5">
      <c r="A551" s="2831">
        <v>633</v>
      </c>
      <c r="B551" s="2831" t="s">
        <v>2676</v>
      </c>
      <c r="C551" s="2831">
        <v>199</v>
      </c>
      <c r="D551" s="2831" t="s">
        <v>2751</v>
      </c>
      <c r="E551" s="2831" t="s">
        <v>2169</v>
      </c>
    </row>
    <row r="552" spans="1:5">
      <c r="A552" s="2831">
        <v>633</v>
      </c>
      <c r="B552" s="2831" t="s">
        <v>2676</v>
      </c>
      <c r="C552" s="2831">
        <v>2056</v>
      </c>
      <c r="D552" s="2831" t="s">
        <v>2752</v>
      </c>
      <c r="E552" s="2831" t="s">
        <v>2169</v>
      </c>
    </row>
    <row r="553" spans="1:5">
      <c r="A553" s="2831">
        <v>633</v>
      </c>
      <c r="B553" s="2831" t="s">
        <v>2676</v>
      </c>
      <c r="C553" s="2831">
        <v>1066</v>
      </c>
      <c r="D553" s="2831" t="s">
        <v>2753</v>
      </c>
      <c r="E553" s="2831" t="s">
        <v>2169</v>
      </c>
    </row>
    <row r="554" spans="1:5">
      <c r="A554" s="2831">
        <v>633</v>
      </c>
      <c r="B554" s="2831" t="s">
        <v>2676</v>
      </c>
      <c r="C554" s="2831">
        <v>2066</v>
      </c>
      <c r="D554" s="2831" t="s">
        <v>2754</v>
      </c>
      <c r="E554" s="2831" t="s">
        <v>2166</v>
      </c>
    </row>
    <row r="555" spans="1:5">
      <c r="A555" s="2831">
        <v>633</v>
      </c>
      <c r="B555" s="2831" t="s">
        <v>2676</v>
      </c>
      <c r="C555" s="2831">
        <v>602</v>
      </c>
      <c r="D555" s="2831" t="s">
        <v>2755</v>
      </c>
      <c r="E555" s="2831" t="s">
        <v>2166</v>
      </c>
    </row>
    <row r="556" spans="1:5">
      <c r="A556" s="2831">
        <v>633</v>
      </c>
      <c r="B556" s="2831" t="s">
        <v>2676</v>
      </c>
      <c r="C556" s="2831">
        <v>816</v>
      </c>
      <c r="D556" s="2831" t="s">
        <v>2756</v>
      </c>
      <c r="E556" s="2831" t="s">
        <v>2174</v>
      </c>
    </row>
    <row r="557" spans="1:5">
      <c r="A557" s="2831">
        <v>633</v>
      </c>
      <c r="B557" s="2831" t="s">
        <v>2676</v>
      </c>
      <c r="C557" s="2831">
        <v>4066</v>
      </c>
      <c r="D557" s="2831" t="s">
        <v>2757</v>
      </c>
      <c r="E557" s="2831" t="s">
        <v>2174</v>
      </c>
    </row>
    <row r="558" spans="1:5">
      <c r="A558" s="2831">
        <v>633</v>
      </c>
      <c r="B558" s="2831" t="s">
        <v>2676</v>
      </c>
      <c r="C558" s="2831">
        <v>109</v>
      </c>
      <c r="D558" s="2831" t="s">
        <v>2758</v>
      </c>
      <c r="E558" s="2831" t="s">
        <v>2166</v>
      </c>
    </row>
    <row r="559" spans="1:5">
      <c r="A559" s="2831">
        <v>633</v>
      </c>
      <c r="B559" s="2831" t="s">
        <v>2676</v>
      </c>
      <c r="C559" s="2831">
        <v>280</v>
      </c>
      <c r="D559" s="2831" t="s">
        <v>2759</v>
      </c>
      <c r="E559" s="2831" t="s">
        <v>2174</v>
      </c>
    </row>
    <row r="560" spans="1:5">
      <c r="A560" s="2831">
        <v>633</v>
      </c>
      <c r="B560" s="2831" t="s">
        <v>2676</v>
      </c>
      <c r="C560" s="2831">
        <v>204</v>
      </c>
      <c r="D560" s="2831" t="s">
        <v>2760</v>
      </c>
      <c r="E560" s="2831" t="s">
        <v>2166</v>
      </c>
    </row>
    <row r="561" spans="1:5">
      <c r="A561" s="2831">
        <v>633</v>
      </c>
      <c r="B561" s="2831" t="s">
        <v>2676</v>
      </c>
      <c r="C561" s="2831">
        <v>188</v>
      </c>
      <c r="D561" s="2831" t="s">
        <v>2761</v>
      </c>
      <c r="E561" s="2831" t="s">
        <v>2174</v>
      </c>
    </row>
    <row r="562" spans="1:5">
      <c r="A562" s="2831">
        <v>633</v>
      </c>
      <c r="B562" s="2831" t="s">
        <v>2676</v>
      </c>
      <c r="C562" s="2831">
        <v>489</v>
      </c>
      <c r="D562" s="2831" t="s">
        <v>2762</v>
      </c>
      <c r="E562" s="2831" t="s">
        <v>2166</v>
      </c>
    </row>
    <row r="563" spans="1:5">
      <c r="A563" s="2831">
        <v>633</v>
      </c>
      <c r="B563" s="2831" t="s">
        <v>2676</v>
      </c>
      <c r="C563" s="2831">
        <v>1067</v>
      </c>
      <c r="D563" s="2831" t="s">
        <v>2763</v>
      </c>
      <c r="E563" s="2831" t="s">
        <v>2166</v>
      </c>
    </row>
    <row r="564" spans="1:5">
      <c r="A564" s="2831">
        <v>633</v>
      </c>
      <c r="B564" s="2831" t="s">
        <v>2676</v>
      </c>
      <c r="C564" s="2831">
        <v>307</v>
      </c>
      <c r="D564" s="2831" t="s">
        <v>2764</v>
      </c>
      <c r="E564" s="2831" t="s">
        <v>2166</v>
      </c>
    </row>
    <row r="565" spans="1:5">
      <c r="A565" s="2831">
        <v>633</v>
      </c>
      <c r="B565" s="2831" t="s">
        <v>2676</v>
      </c>
      <c r="C565" s="2831">
        <v>378</v>
      </c>
      <c r="D565" s="2831" t="s">
        <v>2765</v>
      </c>
      <c r="E565" s="2831" t="s">
        <v>2166</v>
      </c>
    </row>
    <row r="566" spans="1:5">
      <c r="A566" s="2831">
        <v>633</v>
      </c>
      <c r="B566" s="2831" t="s">
        <v>2676</v>
      </c>
      <c r="C566" s="2831">
        <v>3067</v>
      </c>
      <c r="D566" s="2831" t="s">
        <v>2766</v>
      </c>
      <c r="E566" s="2831" t="s">
        <v>2166</v>
      </c>
    </row>
    <row r="567" spans="1:5">
      <c r="A567" s="2831">
        <v>633</v>
      </c>
      <c r="B567" s="2831" t="s">
        <v>2676</v>
      </c>
      <c r="C567" s="2831">
        <v>398</v>
      </c>
      <c r="D567" s="2831" t="s">
        <v>2767</v>
      </c>
      <c r="E567" s="2831" t="s">
        <v>2166</v>
      </c>
    </row>
    <row r="568" spans="1:5">
      <c r="A568" s="2831">
        <v>633</v>
      </c>
      <c r="B568" s="2831" t="s">
        <v>2676</v>
      </c>
      <c r="C568" s="2831">
        <v>5067</v>
      </c>
      <c r="D568" s="2831" t="s">
        <v>2768</v>
      </c>
      <c r="E568" s="2831" t="s">
        <v>2169</v>
      </c>
    </row>
    <row r="569" spans="1:5">
      <c r="A569" s="2831">
        <v>633</v>
      </c>
      <c r="B569" s="2831" t="s">
        <v>2676</v>
      </c>
      <c r="C569" s="2831">
        <v>291</v>
      </c>
      <c r="D569" s="2831" t="s">
        <v>2769</v>
      </c>
      <c r="E569" s="2831" t="s">
        <v>2166</v>
      </c>
    </row>
    <row r="570" spans="1:5">
      <c r="A570" s="2831">
        <v>633</v>
      </c>
      <c r="B570" s="2831" t="s">
        <v>2676</v>
      </c>
      <c r="C570" s="2831">
        <v>389</v>
      </c>
      <c r="D570" s="2831" t="s">
        <v>2770</v>
      </c>
      <c r="E570" s="2831" t="s">
        <v>2166</v>
      </c>
    </row>
    <row r="571" spans="1:5">
      <c r="A571" s="2831">
        <v>633</v>
      </c>
      <c r="B571" s="2831" t="s">
        <v>2676</v>
      </c>
      <c r="C571" s="2831">
        <v>294</v>
      </c>
      <c r="D571" s="2831" t="s">
        <v>2771</v>
      </c>
      <c r="E571" s="2831" t="s">
        <v>2174</v>
      </c>
    </row>
    <row r="572" spans="1:5">
      <c r="A572" s="2831">
        <v>633</v>
      </c>
      <c r="B572" s="2831" t="s">
        <v>2676</v>
      </c>
      <c r="C572" s="2831">
        <v>214</v>
      </c>
      <c r="D572" s="2831" t="s">
        <v>2772</v>
      </c>
      <c r="E572" s="2831" t="s">
        <v>2174</v>
      </c>
    </row>
    <row r="573" spans="1:5">
      <c r="A573" s="2831">
        <v>633</v>
      </c>
      <c r="B573" s="2831" t="s">
        <v>2676</v>
      </c>
      <c r="C573" s="2831">
        <v>478</v>
      </c>
      <c r="D573" s="2831" t="s">
        <v>2773</v>
      </c>
      <c r="E573" s="2831" t="s">
        <v>2166</v>
      </c>
    </row>
    <row r="574" spans="1:5">
      <c r="A574" s="2831">
        <v>633</v>
      </c>
      <c r="B574" s="2831" t="s">
        <v>2676</v>
      </c>
      <c r="C574" s="2831">
        <v>3056</v>
      </c>
      <c r="D574" s="2831" t="s">
        <v>2774</v>
      </c>
      <c r="E574" s="2831" t="s">
        <v>2174</v>
      </c>
    </row>
    <row r="575" spans="1:5">
      <c r="A575" s="2831">
        <v>633</v>
      </c>
      <c r="B575" s="2831" t="s">
        <v>2676</v>
      </c>
      <c r="C575" s="2831">
        <v>373</v>
      </c>
      <c r="D575" s="2831" t="s">
        <v>2775</v>
      </c>
      <c r="E575" s="2831" t="s">
        <v>2166</v>
      </c>
    </row>
    <row r="576" spans="1:5">
      <c r="A576" s="2831">
        <v>633</v>
      </c>
      <c r="B576" s="2831" t="s">
        <v>2676</v>
      </c>
      <c r="C576" s="2831">
        <v>180</v>
      </c>
      <c r="D576" s="2831" t="s">
        <v>2776</v>
      </c>
      <c r="E576" s="2831" t="s">
        <v>2166</v>
      </c>
    </row>
    <row r="577" spans="1:5">
      <c r="A577" s="2831">
        <v>633</v>
      </c>
      <c r="B577" s="2831" t="s">
        <v>2676</v>
      </c>
      <c r="C577" s="2831">
        <v>475</v>
      </c>
      <c r="D577" s="2831" t="s">
        <v>2777</v>
      </c>
      <c r="E577" s="2831" t="s">
        <v>2166</v>
      </c>
    </row>
    <row r="578" spans="1:5">
      <c r="A578" s="2831">
        <v>633</v>
      </c>
      <c r="B578" s="2831" t="s">
        <v>2676</v>
      </c>
      <c r="C578" s="2831">
        <v>4068</v>
      </c>
      <c r="D578" s="2831" t="s">
        <v>2778</v>
      </c>
      <c r="E578" s="2831" t="s">
        <v>2166</v>
      </c>
    </row>
    <row r="579" spans="1:5">
      <c r="A579" s="2831">
        <v>633</v>
      </c>
      <c r="B579" s="2831" t="s">
        <v>2676</v>
      </c>
      <c r="C579" s="2831">
        <v>491</v>
      </c>
      <c r="D579" s="2831" t="s">
        <v>2779</v>
      </c>
      <c r="E579" s="2831" t="s">
        <v>2166</v>
      </c>
    </row>
    <row r="580" spans="1:5">
      <c r="A580" s="2831">
        <v>633</v>
      </c>
      <c r="B580" s="2831" t="s">
        <v>2676</v>
      </c>
      <c r="C580" s="2831">
        <v>181</v>
      </c>
      <c r="D580" s="2831" t="s">
        <v>2780</v>
      </c>
      <c r="E580" s="2831" t="s">
        <v>2166</v>
      </c>
    </row>
    <row r="581" spans="1:5">
      <c r="A581" s="2831">
        <v>633</v>
      </c>
      <c r="B581" s="2831" t="s">
        <v>2676</v>
      </c>
      <c r="C581" s="2831">
        <v>191</v>
      </c>
      <c r="D581" s="2831" t="s">
        <v>2781</v>
      </c>
      <c r="E581" s="2831" t="s">
        <v>2174</v>
      </c>
    </row>
    <row r="582" spans="1:5">
      <c r="A582" s="2831">
        <v>633</v>
      </c>
      <c r="B582" s="2831" t="s">
        <v>2676</v>
      </c>
      <c r="C582" s="2831">
        <v>197</v>
      </c>
      <c r="D582" s="2831" t="s">
        <v>2782</v>
      </c>
      <c r="E582" s="2831" t="s">
        <v>2166</v>
      </c>
    </row>
    <row r="583" spans="1:5">
      <c r="A583" s="2831">
        <v>633</v>
      </c>
      <c r="B583" s="2831" t="s">
        <v>2676</v>
      </c>
      <c r="C583" s="2831">
        <v>175</v>
      </c>
      <c r="D583" s="2831" t="s">
        <v>2783</v>
      </c>
      <c r="E583" s="2831" t="s">
        <v>2166</v>
      </c>
    </row>
    <row r="584" spans="1:5">
      <c r="A584" s="2831">
        <v>633</v>
      </c>
      <c r="B584" s="2831" t="s">
        <v>2676</v>
      </c>
      <c r="C584" s="2831">
        <v>1069</v>
      </c>
      <c r="D584" s="2831" t="s">
        <v>2784</v>
      </c>
      <c r="E584" s="2831" t="s">
        <v>2174</v>
      </c>
    </row>
    <row r="585" spans="1:5">
      <c r="A585" s="2831">
        <v>634</v>
      </c>
      <c r="B585" s="2831" t="s">
        <v>2785</v>
      </c>
      <c r="C585" s="2831">
        <v>102</v>
      </c>
      <c r="D585" s="2831" t="s">
        <v>2786</v>
      </c>
      <c r="E585" s="2831" t="s">
        <v>2166</v>
      </c>
    </row>
    <row r="586" spans="1:5">
      <c r="A586" s="2831">
        <v>634</v>
      </c>
      <c r="B586" s="2831" t="s">
        <v>2785</v>
      </c>
      <c r="C586" s="2831">
        <v>191</v>
      </c>
      <c r="D586" s="2831" t="s">
        <v>2787</v>
      </c>
      <c r="E586" s="2831" t="s">
        <v>2174</v>
      </c>
    </row>
    <row r="587" spans="1:5">
      <c r="A587" s="2831">
        <v>634</v>
      </c>
      <c r="B587" s="2831" t="s">
        <v>2785</v>
      </c>
      <c r="C587" s="2831">
        <v>195</v>
      </c>
      <c r="D587" s="2831" t="s">
        <v>2788</v>
      </c>
      <c r="E587" s="2831" t="s">
        <v>2169</v>
      </c>
    </row>
    <row r="588" spans="1:5">
      <c r="A588" s="2831">
        <v>634</v>
      </c>
      <c r="B588" s="2831" t="s">
        <v>2785</v>
      </c>
      <c r="C588" s="2831">
        <v>108</v>
      </c>
      <c r="D588" s="2831" t="s">
        <v>2789</v>
      </c>
      <c r="E588" s="2831" t="s">
        <v>2169</v>
      </c>
    </row>
    <row r="589" spans="1:5">
      <c r="A589" s="2831">
        <v>634</v>
      </c>
      <c r="B589" s="2831" t="s">
        <v>2785</v>
      </c>
      <c r="C589" s="2831">
        <v>282</v>
      </c>
      <c r="D589" s="2831" t="s">
        <v>2790</v>
      </c>
      <c r="E589" s="2831" t="s">
        <v>2169</v>
      </c>
    </row>
    <row r="590" spans="1:5">
      <c r="A590" s="2831">
        <v>634</v>
      </c>
      <c r="B590" s="2831" t="s">
        <v>2785</v>
      </c>
      <c r="C590" s="2831">
        <v>308</v>
      </c>
      <c r="D590" s="2831" t="s">
        <v>2791</v>
      </c>
      <c r="E590" s="2831" t="s">
        <v>2166</v>
      </c>
    </row>
    <row r="591" spans="1:5">
      <c r="A591" s="2831">
        <v>634</v>
      </c>
      <c r="B591" s="2831" t="s">
        <v>2785</v>
      </c>
      <c r="C591" s="2831">
        <v>100</v>
      </c>
      <c r="D591" s="2831" t="s">
        <v>2792</v>
      </c>
      <c r="E591" s="2831" t="s">
        <v>2169</v>
      </c>
    </row>
    <row r="592" spans="1:5">
      <c r="A592" s="2831">
        <v>634</v>
      </c>
      <c r="B592" s="2831" t="s">
        <v>2785</v>
      </c>
      <c r="C592" s="2831">
        <v>291</v>
      </c>
      <c r="D592" s="2831" t="s">
        <v>2793</v>
      </c>
      <c r="E592" s="2831" t="s">
        <v>2169</v>
      </c>
    </row>
    <row r="593" spans="1:5">
      <c r="A593" s="2831">
        <v>634</v>
      </c>
      <c r="B593" s="2831" t="s">
        <v>2785</v>
      </c>
      <c r="C593" s="2831">
        <v>182</v>
      </c>
      <c r="D593" s="2831" t="s">
        <v>2794</v>
      </c>
      <c r="E593" s="2831" t="s">
        <v>2166</v>
      </c>
    </row>
    <row r="594" spans="1:5">
      <c r="A594" s="2831">
        <v>634</v>
      </c>
      <c r="B594" s="2831" t="s">
        <v>2785</v>
      </c>
      <c r="C594" s="2831">
        <v>3052</v>
      </c>
      <c r="D594" s="2831" t="s">
        <v>2795</v>
      </c>
      <c r="E594" s="2831" t="s">
        <v>2169</v>
      </c>
    </row>
    <row r="595" spans="1:5">
      <c r="A595" s="2831">
        <v>634</v>
      </c>
      <c r="B595" s="2831" t="s">
        <v>2785</v>
      </c>
      <c r="C595" s="2831">
        <v>5050</v>
      </c>
      <c r="D595" s="2831" t="s">
        <v>2796</v>
      </c>
      <c r="E595" s="2831" t="s">
        <v>2169</v>
      </c>
    </row>
    <row r="596" spans="1:5">
      <c r="A596" s="2831">
        <v>634</v>
      </c>
      <c r="B596" s="2831" t="s">
        <v>2785</v>
      </c>
      <c r="C596" s="2831">
        <v>114</v>
      </c>
      <c r="D596" s="2831" t="s">
        <v>2797</v>
      </c>
      <c r="E596" s="2831" t="s">
        <v>2174</v>
      </c>
    </row>
    <row r="597" spans="1:5">
      <c r="A597" s="2831">
        <v>635</v>
      </c>
      <c r="B597" s="2831" t="s">
        <v>2798</v>
      </c>
      <c r="C597" s="2831">
        <v>3052</v>
      </c>
      <c r="D597" s="2831" t="s">
        <v>2799</v>
      </c>
      <c r="E597" s="2831" t="s">
        <v>2166</v>
      </c>
    </row>
    <row r="598" spans="1:5">
      <c r="A598" s="2831">
        <v>635</v>
      </c>
      <c r="B598" s="2831" t="s">
        <v>2798</v>
      </c>
      <c r="C598" s="2831">
        <v>1554</v>
      </c>
      <c r="D598" s="2831" t="s">
        <v>2800</v>
      </c>
      <c r="E598" s="2831" t="s">
        <v>2174</v>
      </c>
    </row>
    <row r="599" spans="1:5">
      <c r="A599" s="2831">
        <v>635</v>
      </c>
      <c r="B599" s="2831" t="s">
        <v>2798</v>
      </c>
      <c r="C599" s="2831">
        <v>4050</v>
      </c>
      <c r="D599" s="2831" t="s">
        <v>2801</v>
      </c>
      <c r="E599" s="2831" t="s">
        <v>2174</v>
      </c>
    </row>
    <row r="600" spans="1:5">
      <c r="A600" s="2831">
        <v>635</v>
      </c>
      <c r="B600" s="2831" t="s">
        <v>2798</v>
      </c>
      <c r="C600" s="2831">
        <v>178</v>
      </c>
      <c r="D600" s="2831" t="s">
        <v>2802</v>
      </c>
      <c r="E600" s="2831" t="s">
        <v>2166</v>
      </c>
    </row>
    <row r="601" spans="1:5">
      <c r="A601" s="2831">
        <v>635</v>
      </c>
      <c r="B601" s="2831" t="s">
        <v>2798</v>
      </c>
      <c r="C601" s="2831">
        <v>2052</v>
      </c>
      <c r="D601" s="2831" t="s">
        <v>2803</v>
      </c>
      <c r="E601" s="2831" t="s">
        <v>2174</v>
      </c>
    </row>
    <row r="602" spans="1:5">
      <c r="A602" s="2831">
        <v>635</v>
      </c>
      <c r="B602" s="2831" t="s">
        <v>2798</v>
      </c>
      <c r="C602" s="2831">
        <v>4052</v>
      </c>
      <c r="D602" s="2831" t="s">
        <v>2804</v>
      </c>
      <c r="E602" s="2831" t="s">
        <v>2174</v>
      </c>
    </row>
    <row r="603" spans="1:5">
      <c r="A603" s="2831">
        <v>635</v>
      </c>
      <c r="B603" s="2831" t="s">
        <v>2798</v>
      </c>
      <c r="C603" s="2831">
        <v>278</v>
      </c>
      <c r="D603" s="2831" t="s">
        <v>2805</v>
      </c>
      <c r="E603" s="2831" t="s">
        <v>2174</v>
      </c>
    </row>
    <row r="604" spans="1:5">
      <c r="A604" s="2831">
        <v>635</v>
      </c>
      <c r="B604" s="2831" t="s">
        <v>2798</v>
      </c>
      <c r="C604" s="2831">
        <v>187</v>
      </c>
      <c r="D604" s="2831" t="s">
        <v>2806</v>
      </c>
      <c r="E604" s="2831" t="s">
        <v>2174</v>
      </c>
    </row>
    <row r="605" spans="1:5">
      <c r="A605" s="2831">
        <v>635</v>
      </c>
      <c r="B605" s="2831" t="s">
        <v>2798</v>
      </c>
      <c r="C605" s="2831">
        <v>3054</v>
      </c>
      <c r="D605" s="2831" t="s">
        <v>2807</v>
      </c>
      <c r="E605" s="2831" t="s">
        <v>2166</v>
      </c>
    </row>
    <row r="606" spans="1:5">
      <c r="A606" s="2831">
        <v>635</v>
      </c>
      <c r="B606" s="2831" t="s">
        <v>2798</v>
      </c>
      <c r="C606" s="2831">
        <v>3050</v>
      </c>
      <c r="D606" s="2831" t="s">
        <v>2808</v>
      </c>
      <c r="E606" s="2831" t="s">
        <v>2174</v>
      </c>
    </row>
    <row r="607" spans="1:5">
      <c r="A607" s="2831">
        <v>635</v>
      </c>
      <c r="B607" s="2831" t="s">
        <v>2798</v>
      </c>
      <c r="C607" s="2831">
        <v>5054</v>
      </c>
      <c r="D607" s="2831" t="s">
        <v>2809</v>
      </c>
      <c r="E607" s="2831" t="s">
        <v>2174</v>
      </c>
    </row>
    <row r="608" spans="1:5">
      <c r="A608" s="2831">
        <v>635</v>
      </c>
      <c r="B608" s="2831" t="s">
        <v>2798</v>
      </c>
      <c r="C608" s="2831">
        <v>111</v>
      </c>
      <c r="D608" s="2831" t="s">
        <v>2810</v>
      </c>
      <c r="E608" s="2831" t="s">
        <v>2169</v>
      </c>
    </row>
    <row r="609" spans="1:5">
      <c r="A609" s="2831">
        <v>635</v>
      </c>
      <c r="B609" s="2831" t="s">
        <v>2798</v>
      </c>
      <c r="C609" s="2831">
        <v>2056</v>
      </c>
      <c r="D609" s="2831" t="s">
        <v>2811</v>
      </c>
      <c r="E609" s="2831" t="s">
        <v>2174</v>
      </c>
    </row>
    <row r="610" spans="1:5">
      <c r="A610" s="2831">
        <v>636</v>
      </c>
      <c r="B610" s="2831" t="s">
        <v>2812</v>
      </c>
      <c r="C610" s="2831">
        <v>212</v>
      </c>
      <c r="D610" s="2831" t="s">
        <v>2813</v>
      </c>
      <c r="E610" s="2831" t="s">
        <v>2174</v>
      </c>
    </row>
    <row r="611" spans="1:5">
      <c r="A611" s="2831">
        <v>636</v>
      </c>
      <c r="B611" s="2831" t="s">
        <v>2812</v>
      </c>
      <c r="C611" s="2831">
        <v>188</v>
      </c>
      <c r="D611" s="2831" t="s">
        <v>2814</v>
      </c>
      <c r="E611" s="2831" t="s">
        <v>2174</v>
      </c>
    </row>
    <row r="612" spans="1:5">
      <c r="A612" s="2831">
        <v>636</v>
      </c>
      <c r="B612" s="2831" t="s">
        <v>2812</v>
      </c>
      <c r="C612" s="2831">
        <v>190</v>
      </c>
      <c r="D612" s="2831" t="s">
        <v>2815</v>
      </c>
      <c r="E612" s="2831" t="s">
        <v>2166</v>
      </c>
    </row>
    <row r="613" spans="1:5">
      <c r="A613" s="2831">
        <v>636</v>
      </c>
      <c r="B613" s="2831" t="s">
        <v>2812</v>
      </c>
      <c r="C613" s="2831">
        <v>208</v>
      </c>
      <c r="D613" s="2831" t="s">
        <v>2816</v>
      </c>
      <c r="E613" s="2831" t="s">
        <v>2174</v>
      </c>
    </row>
    <row r="614" spans="1:5">
      <c r="A614" s="2831">
        <v>636</v>
      </c>
      <c r="B614" s="2831" t="s">
        <v>2812</v>
      </c>
      <c r="C614" s="2831">
        <v>2050</v>
      </c>
      <c r="D614" s="2831" t="s">
        <v>2817</v>
      </c>
      <c r="E614" s="2831" t="s">
        <v>2166</v>
      </c>
    </row>
    <row r="615" spans="1:5">
      <c r="A615" s="2831">
        <v>636</v>
      </c>
      <c r="B615" s="2831" t="s">
        <v>2812</v>
      </c>
      <c r="C615" s="2831">
        <v>397</v>
      </c>
      <c r="D615" s="2831" t="s">
        <v>2818</v>
      </c>
      <c r="E615" s="2831" t="s">
        <v>2169</v>
      </c>
    </row>
    <row r="616" spans="1:5">
      <c r="A616" s="2831">
        <v>636</v>
      </c>
      <c r="B616" s="2831" t="s">
        <v>2812</v>
      </c>
      <c r="C616" s="2831">
        <v>186</v>
      </c>
      <c r="D616" s="2831" t="s">
        <v>2819</v>
      </c>
      <c r="E616" s="2831" t="s">
        <v>2174</v>
      </c>
    </row>
    <row r="617" spans="1:5">
      <c r="A617" s="2831">
        <v>636</v>
      </c>
      <c r="B617" s="2831" t="s">
        <v>2812</v>
      </c>
      <c r="C617" s="2831">
        <v>4050</v>
      </c>
      <c r="D617" s="2831" t="s">
        <v>2820</v>
      </c>
      <c r="E617" s="2831" t="s">
        <v>2166</v>
      </c>
    </row>
    <row r="618" spans="1:5">
      <c r="A618" s="2831">
        <v>636</v>
      </c>
      <c r="B618" s="2831" t="s">
        <v>2812</v>
      </c>
      <c r="C618" s="2831">
        <v>107</v>
      </c>
      <c r="D618" s="2831" t="s">
        <v>2821</v>
      </c>
      <c r="E618" s="2831" t="s">
        <v>2166</v>
      </c>
    </row>
    <row r="619" spans="1:5">
      <c r="A619" s="2831">
        <v>636</v>
      </c>
      <c r="B619" s="2831" t="s">
        <v>2812</v>
      </c>
      <c r="C619" s="2831">
        <v>297</v>
      </c>
      <c r="D619" s="2831" t="s">
        <v>2822</v>
      </c>
      <c r="E619" s="2831" t="s">
        <v>2166</v>
      </c>
    </row>
    <row r="620" spans="1:5">
      <c r="A620" s="2831">
        <v>636</v>
      </c>
      <c r="B620" s="2831" t="s">
        <v>2812</v>
      </c>
      <c r="C620" s="2831">
        <v>197</v>
      </c>
      <c r="D620" s="2831" t="s">
        <v>2823</v>
      </c>
      <c r="E620" s="2831" t="s">
        <v>2166</v>
      </c>
    </row>
    <row r="621" spans="1:5">
      <c r="A621" s="2831">
        <v>636</v>
      </c>
      <c r="B621" s="2831" t="s">
        <v>2812</v>
      </c>
      <c r="C621" s="2831">
        <v>101</v>
      </c>
      <c r="D621" s="2831" t="s">
        <v>2824</v>
      </c>
      <c r="E621" s="2831" t="s">
        <v>2166</v>
      </c>
    </row>
    <row r="622" spans="1:5">
      <c r="A622" s="2831">
        <v>636</v>
      </c>
      <c r="B622" s="2831" t="s">
        <v>2812</v>
      </c>
      <c r="C622" s="2831">
        <v>5050</v>
      </c>
      <c r="D622" s="2831" t="s">
        <v>2825</v>
      </c>
      <c r="E622" s="2831" t="s">
        <v>2169</v>
      </c>
    </row>
    <row r="623" spans="1:5">
      <c r="A623" s="2831">
        <v>636</v>
      </c>
      <c r="B623" s="2831" t="s">
        <v>2812</v>
      </c>
      <c r="C623" s="2831">
        <v>112</v>
      </c>
      <c r="D623" s="2831" t="s">
        <v>2826</v>
      </c>
      <c r="E623" s="2831" t="s">
        <v>2169</v>
      </c>
    </row>
    <row r="624" spans="1:5">
      <c r="A624" s="2831">
        <v>636</v>
      </c>
      <c r="B624" s="2831" t="s">
        <v>2812</v>
      </c>
      <c r="C624" s="2831">
        <v>103</v>
      </c>
      <c r="D624" s="2831" t="s">
        <v>2827</v>
      </c>
      <c r="E624" s="2831" t="s">
        <v>2166</v>
      </c>
    </row>
    <row r="625" spans="1:5">
      <c r="A625" s="2831">
        <v>636</v>
      </c>
      <c r="B625" s="2831" t="s">
        <v>2812</v>
      </c>
      <c r="C625" s="2831">
        <v>183</v>
      </c>
      <c r="D625" s="2831" t="s">
        <v>2828</v>
      </c>
      <c r="E625" s="2831" t="s">
        <v>2169</v>
      </c>
    </row>
    <row r="626" spans="1:5">
      <c r="A626" s="2831">
        <v>636</v>
      </c>
      <c r="B626" s="2831" t="s">
        <v>2812</v>
      </c>
      <c r="C626" s="2831">
        <v>283</v>
      </c>
      <c r="D626" s="2831" t="s">
        <v>2829</v>
      </c>
      <c r="E626" s="2831" t="s">
        <v>2169</v>
      </c>
    </row>
    <row r="627" spans="1:5">
      <c r="A627" s="2831">
        <v>636</v>
      </c>
      <c r="B627" s="2831" t="s">
        <v>2812</v>
      </c>
      <c r="C627" s="2831">
        <v>189</v>
      </c>
      <c r="D627" s="2831" t="s">
        <v>2830</v>
      </c>
      <c r="E627" s="2831" t="s">
        <v>2169</v>
      </c>
    </row>
    <row r="628" spans="1:5">
      <c r="A628" s="2831">
        <v>636</v>
      </c>
      <c r="B628" s="2831" t="s">
        <v>2812</v>
      </c>
      <c r="C628" s="2831">
        <v>290</v>
      </c>
      <c r="D628" s="2831" t="s">
        <v>2831</v>
      </c>
      <c r="E628" s="2831" t="s">
        <v>2166</v>
      </c>
    </row>
    <row r="629" spans="1:5">
      <c r="A629" s="2831">
        <v>636</v>
      </c>
      <c r="B629" s="2831" t="s">
        <v>2812</v>
      </c>
      <c r="C629" s="2831">
        <v>102</v>
      </c>
      <c r="D629" s="2831" t="s">
        <v>2832</v>
      </c>
      <c r="E629" s="2831" t="s">
        <v>2174</v>
      </c>
    </row>
    <row r="630" spans="1:5">
      <c r="A630" s="2831">
        <v>636</v>
      </c>
      <c r="B630" s="2831" t="s">
        <v>2812</v>
      </c>
      <c r="C630" s="2831">
        <v>2052</v>
      </c>
      <c r="D630" s="2831" t="s">
        <v>2833</v>
      </c>
      <c r="E630" s="2831" t="s">
        <v>2166</v>
      </c>
    </row>
    <row r="631" spans="1:5">
      <c r="A631" s="2831">
        <v>636</v>
      </c>
      <c r="B631" s="2831" t="s">
        <v>2812</v>
      </c>
      <c r="C631" s="2831">
        <v>3052</v>
      </c>
      <c r="D631" s="2831" t="s">
        <v>2834</v>
      </c>
      <c r="E631" s="2831" t="s">
        <v>2166</v>
      </c>
    </row>
    <row r="632" spans="1:5">
      <c r="A632" s="2831">
        <v>636</v>
      </c>
      <c r="B632" s="2831" t="s">
        <v>2812</v>
      </c>
      <c r="C632" s="2831">
        <v>4052</v>
      </c>
      <c r="D632" s="2831" t="s">
        <v>2835</v>
      </c>
      <c r="E632" s="2831" t="s">
        <v>2169</v>
      </c>
    </row>
    <row r="633" spans="1:5">
      <c r="A633" s="2831">
        <v>636</v>
      </c>
      <c r="B633" s="2831" t="s">
        <v>2812</v>
      </c>
      <c r="C633" s="2831">
        <v>398</v>
      </c>
      <c r="D633" s="2831" t="s">
        <v>2836</v>
      </c>
      <c r="E633" s="2831" t="s">
        <v>2174</v>
      </c>
    </row>
    <row r="634" spans="1:5">
      <c r="A634" s="2831">
        <v>636</v>
      </c>
      <c r="B634" s="2831" t="s">
        <v>2812</v>
      </c>
      <c r="C634" s="2831">
        <v>106</v>
      </c>
      <c r="D634" s="2831" t="s">
        <v>2837</v>
      </c>
      <c r="E634" s="2831" t="s">
        <v>2166</v>
      </c>
    </row>
    <row r="635" spans="1:5">
      <c r="A635" s="2831">
        <v>636</v>
      </c>
      <c r="B635" s="2831" t="s">
        <v>2812</v>
      </c>
      <c r="C635" s="2831">
        <v>194</v>
      </c>
      <c r="D635" s="2831" t="s">
        <v>2764</v>
      </c>
      <c r="E635" s="2831" t="s">
        <v>2166</v>
      </c>
    </row>
    <row r="636" spans="1:5">
      <c r="A636" s="2831">
        <v>636</v>
      </c>
      <c r="B636" s="2831" t="s">
        <v>2812</v>
      </c>
      <c r="C636" s="2831">
        <v>193</v>
      </c>
      <c r="D636" s="2831" t="s">
        <v>2838</v>
      </c>
      <c r="E636" s="2831" t="s">
        <v>2166</v>
      </c>
    </row>
    <row r="637" spans="1:5">
      <c r="A637" s="2831">
        <v>636</v>
      </c>
      <c r="B637" s="2831" t="s">
        <v>2812</v>
      </c>
      <c r="C637" s="2831">
        <v>5052</v>
      </c>
      <c r="D637" s="2831" t="s">
        <v>2839</v>
      </c>
      <c r="E637" s="2831" t="s">
        <v>2166</v>
      </c>
    </row>
    <row r="638" spans="1:5">
      <c r="A638" s="2831">
        <v>636</v>
      </c>
      <c r="B638" s="2831" t="s">
        <v>2812</v>
      </c>
      <c r="C638" s="2831">
        <v>108</v>
      </c>
      <c r="D638" s="2831" t="s">
        <v>2840</v>
      </c>
      <c r="E638" s="2831" t="s">
        <v>2169</v>
      </c>
    </row>
    <row r="639" spans="1:5">
      <c r="A639" s="2831">
        <v>636</v>
      </c>
      <c r="B639" s="2831" t="s">
        <v>2812</v>
      </c>
      <c r="C639" s="2831">
        <v>192</v>
      </c>
      <c r="D639" s="2831" t="s">
        <v>2841</v>
      </c>
      <c r="E639" s="2831" t="s">
        <v>2174</v>
      </c>
    </row>
    <row r="640" spans="1:5">
      <c r="A640" s="2831">
        <v>771</v>
      </c>
      <c r="B640" s="2831" t="s">
        <v>2842</v>
      </c>
      <c r="C640" s="2831">
        <v>1050</v>
      </c>
      <c r="D640" s="2831" t="s">
        <v>2843</v>
      </c>
      <c r="E640" s="2831" t="s">
        <v>2166</v>
      </c>
    </row>
    <row r="641" spans="1:5">
      <c r="A641" s="2831">
        <v>771</v>
      </c>
      <c r="B641" s="2831" t="s">
        <v>2842</v>
      </c>
      <c r="C641" s="2831">
        <v>112</v>
      </c>
      <c r="D641" s="2831" t="s">
        <v>2844</v>
      </c>
      <c r="E641" s="2831" t="s">
        <v>2174</v>
      </c>
    </row>
    <row r="642" spans="1:5">
      <c r="A642" s="2831">
        <v>771</v>
      </c>
      <c r="B642" s="2831" t="s">
        <v>2842</v>
      </c>
      <c r="C642" s="2831">
        <v>105</v>
      </c>
      <c r="D642" s="2831" t="s">
        <v>2845</v>
      </c>
      <c r="E642" s="2831" t="s">
        <v>2174</v>
      </c>
    </row>
    <row r="643" spans="1:5">
      <c r="A643" s="2831">
        <v>771</v>
      </c>
      <c r="B643" s="2831" t="s">
        <v>2842</v>
      </c>
      <c r="C643" s="2831">
        <v>104</v>
      </c>
      <c r="D643" s="2831" t="s">
        <v>2846</v>
      </c>
      <c r="E643" s="2831" t="s">
        <v>2169</v>
      </c>
    </row>
    <row r="644" spans="1:5">
      <c r="A644" s="2831">
        <v>637</v>
      </c>
      <c r="B644" s="2831" t="s">
        <v>2847</v>
      </c>
      <c r="C644" s="2831">
        <v>101</v>
      </c>
      <c r="D644" s="2831" t="s">
        <v>2848</v>
      </c>
      <c r="E644" s="2831" t="s">
        <v>2174</v>
      </c>
    </row>
    <row r="645" spans="1:5">
      <c r="A645" s="2831">
        <v>637</v>
      </c>
      <c r="B645" s="2831" t="s">
        <v>2847</v>
      </c>
      <c r="C645" s="2831">
        <v>104</v>
      </c>
      <c r="D645" s="2831" t="s">
        <v>2849</v>
      </c>
      <c r="E645" s="2831" t="s">
        <v>2174</v>
      </c>
    </row>
    <row r="646" spans="1:5">
      <c r="A646" s="2831">
        <v>637</v>
      </c>
      <c r="B646" s="2831" t="s">
        <v>2847</v>
      </c>
      <c r="C646" s="2831">
        <v>111</v>
      </c>
      <c r="D646" s="2831" t="s">
        <v>2850</v>
      </c>
      <c r="E646" s="2831" t="s">
        <v>2174</v>
      </c>
    </row>
    <row r="647" spans="1:5">
      <c r="A647" s="2831">
        <v>637</v>
      </c>
      <c r="B647" s="2831" t="s">
        <v>2847</v>
      </c>
      <c r="C647" s="2831">
        <v>196</v>
      </c>
      <c r="D647" s="2831" t="s">
        <v>2851</v>
      </c>
      <c r="E647" s="2831" t="s">
        <v>2169</v>
      </c>
    </row>
    <row r="648" spans="1:5">
      <c r="A648" s="2831">
        <v>638</v>
      </c>
      <c r="B648" s="2831" t="s">
        <v>2852</v>
      </c>
      <c r="C648" s="2831">
        <v>101</v>
      </c>
      <c r="D648" s="2831" t="s">
        <v>2853</v>
      </c>
      <c r="E648" s="2831" t="s">
        <v>2174</v>
      </c>
    </row>
    <row r="649" spans="1:5">
      <c r="A649" s="2831">
        <v>638</v>
      </c>
      <c r="B649" s="2831" t="s">
        <v>2852</v>
      </c>
      <c r="C649" s="2831">
        <v>395</v>
      </c>
      <c r="D649" s="2831" t="s">
        <v>2854</v>
      </c>
      <c r="E649" s="2831" t="s">
        <v>2166</v>
      </c>
    </row>
    <row r="650" spans="1:5">
      <c r="A650" s="2831">
        <v>638</v>
      </c>
      <c r="B650" s="2831" t="s">
        <v>2852</v>
      </c>
      <c r="C650" s="2831">
        <v>1050</v>
      </c>
      <c r="D650" s="2831" t="s">
        <v>2855</v>
      </c>
      <c r="E650" s="2831" t="s">
        <v>2169</v>
      </c>
    </row>
    <row r="651" spans="1:5">
      <c r="A651" s="2831">
        <v>638</v>
      </c>
      <c r="B651" s="2831" t="s">
        <v>2852</v>
      </c>
      <c r="C651" s="2831">
        <v>2050</v>
      </c>
      <c r="D651" s="2831" t="s">
        <v>2375</v>
      </c>
      <c r="E651" s="2831" t="s">
        <v>2169</v>
      </c>
    </row>
    <row r="652" spans="1:5">
      <c r="A652" s="2831">
        <v>638</v>
      </c>
      <c r="B652" s="2831" t="s">
        <v>2852</v>
      </c>
      <c r="C652" s="2831">
        <v>490</v>
      </c>
      <c r="D652" s="2831" t="s">
        <v>2856</v>
      </c>
      <c r="E652" s="2831" t="s">
        <v>2166</v>
      </c>
    </row>
    <row r="653" spans="1:5">
      <c r="A653" s="2831">
        <v>638</v>
      </c>
      <c r="B653" s="2831" t="s">
        <v>2852</v>
      </c>
      <c r="C653" s="2831">
        <v>115</v>
      </c>
      <c r="D653" s="2831" t="s">
        <v>2857</v>
      </c>
      <c r="E653" s="2831" t="s">
        <v>2166</v>
      </c>
    </row>
    <row r="654" spans="1:5">
      <c r="A654" s="2831">
        <v>638</v>
      </c>
      <c r="B654" s="2831" t="s">
        <v>2852</v>
      </c>
      <c r="C654" s="2831">
        <v>191</v>
      </c>
      <c r="D654" s="2831" t="s">
        <v>2858</v>
      </c>
      <c r="E654" s="2831" t="s">
        <v>2174</v>
      </c>
    </row>
    <row r="655" spans="1:5">
      <c r="A655" s="2831">
        <v>638</v>
      </c>
      <c r="B655" s="2831" t="s">
        <v>2852</v>
      </c>
      <c r="C655" s="2831">
        <v>389</v>
      </c>
      <c r="D655" s="2831" t="s">
        <v>2859</v>
      </c>
      <c r="E655" s="2831" t="s">
        <v>2166</v>
      </c>
    </row>
    <row r="656" spans="1:5">
      <c r="A656" s="2831">
        <v>638</v>
      </c>
      <c r="B656" s="2831" t="s">
        <v>2852</v>
      </c>
      <c r="C656" s="2831">
        <v>289</v>
      </c>
      <c r="D656" s="2831" t="s">
        <v>2860</v>
      </c>
      <c r="E656" s="2831" t="s">
        <v>2169</v>
      </c>
    </row>
    <row r="657" spans="1:5">
      <c r="A657" s="2831">
        <v>638</v>
      </c>
      <c r="B657" s="2831" t="s">
        <v>2852</v>
      </c>
      <c r="C657" s="2831">
        <v>2052</v>
      </c>
      <c r="D657" s="2831" t="s">
        <v>2790</v>
      </c>
      <c r="E657" s="2831" t="s">
        <v>2169</v>
      </c>
    </row>
    <row r="658" spans="1:5">
      <c r="A658" s="2831">
        <v>638</v>
      </c>
      <c r="B658" s="2831" t="s">
        <v>2852</v>
      </c>
      <c r="C658" s="2831">
        <v>3052</v>
      </c>
      <c r="D658" s="2831" t="s">
        <v>2861</v>
      </c>
      <c r="E658" s="2831" t="s">
        <v>2174</v>
      </c>
    </row>
    <row r="659" spans="1:5">
      <c r="A659" s="2831">
        <v>638</v>
      </c>
      <c r="B659" s="2831" t="s">
        <v>2852</v>
      </c>
      <c r="C659" s="2831">
        <v>1056</v>
      </c>
      <c r="D659" s="2831" t="s">
        <v>2821</v>
      </c>
      <c r="E659" s="2831" t="s">
        <v>2169</v>
      </c>
    </row>
    <row r="660" spans="1:5">
      <c r="A660" s="2831">
        <v>638</v>
      </c>
      <c r="B660" s="2831" t="s">
        <v>2852</v>
      </c>
      <c r="C660" s="2831">
        <v>203</v>
      </c>
      <c r="D660" s="2831" t="s">
        <v>2862</v>
      </c>
      <c r="E660" s="2831" t="s">
        <v>2166</v>
      </c>
    </row>
    <row r="661" spans="1:5">
      <c r="A661" s="2831">
        <v>638</v>
      </c>
      <c r="B661" s="2831" t="s">
        <v>2852</v>
      </c>
      <c r="C661" s="2831">
        <v>195</v>
      </c>
      <c r="D661" s="2831" t="s">
        <v>2863</v>
      </c>
      <c r="E661" s="2831" t="s">
        <v>2169</v>
      </c>
    </row>
    <row r="662" spans="1:5">
      <c r="A662" s="2831">
        <v>638</v>
      </c>
      <c r="B662" s="2831" t="s">
        <v>2852</v>
      </c>
      <c r="C662" s="2831">
        <v>106</v>
      </c>
      <c r="D662" s="2831" t="s">
        <v>2864</v>
      </c>
      <c r="E662" s="2831" t="s">
        <v>2166</v>
      </c>
    </row>
    <row r="663" spans="1:5">
      <c r="A663" s="2831">
        <v>638</v>
      </c>
      <c r="B663" s="2831" t="s">
        <v>2852</v>
      </c>
      <c r="C663" s="2831">
        <v>299</v>
      </c>
      <c r="D663" s="2831" t="s">
        <v>2865</v>
      </c>
      <c r="E663" s="2831" t="s">
        <v>2166</v>
      </c>
    </row>
    <row r="664" spans="1:5">
      <c r="A664" s="2831">
        <v>638</v>
      </c>
      <c r="B664" s="2831" t="s">
        <v>2852</v>
      </c>
      <c r="C664" s="2831">
        <v>3054</v>
      </c>
      <c r="D664" s="2831" t="s">
        <v>2866</v>
      </c>
      <c r="E664" s="2831" t="s">
        <v>2174</v>
      </c>
    </row>
    <row r="665" spans="1:5">
      <c r="A665" s="2831">
        <v>638</v>
      </c>
      <c r="B665" s="2831" t="s">
        <v>2852</v>
      </c>
      <c r="C665" s="2831">
        <v>192</v>
      </c>
      <c r="D665" s="2831" t="s">
        <v>2867</v>
      </c>
      <c r="E665" s="2831" t="s">
        <v>2169</v>
      </c>
    </row>
    <row r="666" spans="1:5">
      <c r="A666" s="2831">
        <v>638</v>
      </c>
      <c r="B666" s="2831" t="s">
        <v>2852</v>
      </c>
      <c r="C666" s="2831">
        <v>5054</v>
      </c>
      <c r="D666" s="2831" t="s">
        <v>2868</v>
      </c>
      <c r="E666" s="2831" t="s">
        <v>2166</v>
      </c>
    </row>
    <row r="667" spans="1:5">
      <c r="A667" s="2831">
        <v>638</v>
      </c>
      <c r="B667" s="2831" t="s">
        <v>2852</v>
      </c>
      <c r="C667" s="2831">
        <v>196</v>
      </c>
      <c r="D667" s="2831" t="s">
        <v>2869</v>
      </c>
      <c r="E667" s="2831" t="s">
        <v>2166</v>
      </c>
    </row>
    <row r="668" spans="1:5">
      <c r="A668" s="2831">
        <v>638</v>
      </c>
      <c r="B668" s="2831" t="s">
        <v>2852</v>
      </c>
      <c r="C668" s="2831">
        <v>2056</v>
      </c>
      <c r="D668" s="2831" t="s">
        <v>2870</v>
      </c>
      <c r="E668" s="2831" t="s">
        <v>2169</v>
      </c>
    </row>
    <row r="669" spans="1:5">
      <c r="A669" s="2831">
        <v>638</v>
      </c>
      <c r="B669" s="2831" t="s">
        <v>2852</v>
      </c>
      <c r="C669" s="2831">
        <v>199</v>
      </c>
      <c r="D669" s="2831" t="s">
        <v>2871</v>
      </c>
      <c r="E669" s="2831" t="s">
        <v>2169</v>
      </c>
    </row>
    <row r="670" spans="1:5">
      <c r="A670" s="2831">
        <v>638</v>
      </c>
      <c r="B670" s="2831" t="s">
        <v>2852</v>
      </c>
      <c r="C670" s="2831">
        <v>1054</v>
      </c>
      <c r="D670" s="2831" t="s">
        <v>2872</v>
      </c>
      <c r="E670" s="2831" t="s">
        <v>2169</v>
      </c>
    </row>
    <row r="671" spans="1:5">
      <c r="A671" s="2831">
        <v>638</v>
      </c>
      <c r="B671" s="2831" t="s">
        <v>2852</v>
      </c>
      <c r="C671" s="2831">
        <v>301</v>
      </c>
      <c r="D671" s="2831" t="s">
        <v>2873</v>
      </c>
      <c r="E671" s="2831" t="s">
        <v>2169</v>
      </c>
    </row>
    <row r="672" spans="1:5">
      <c r="A672" s="2831">
        <v>638</v>
      </c>
      <c r="B672" s="2831" t="s">
        <v>2852</v>
      </c>
      <c r="C672" s="2831">
        <v>295</v>
      </c>
      <c r="D672" s="2831" t="s">
        <v>2874</v>
      </c>
      <c r="E672" s="2831" t="s">
        <v>2166</v>
      </c>
    </row>
    <row r="673" spans="1:5">
      <c r="A673" s="2831">
        <v>638</v>
      </c>
      <c r="B673" s="2831" t="s">
        <v>2852</v>
      </c>
      <c r="C673" s="2831">
        <v>201</v>
      </c>
      <c r="D673" s="2831" t="s">
        <v>2875</v>
      </c>
      <c r="E673" s="2831" t="s">
        <v>2169</v>
      </c>
    </row>
    <row r="674" spans="1:5">
      <c r="A674" s="2831">
        <v>638</v>
      </c>
      <c r="B674" s="2831" t="s">
        <v>2852</v>
      </c>
      <c r="C674" s="2831">
        <v>5056</v>
      </c>
      <c r="D674" s="2831" t="s">
        <v>2876</v>
      </c>
      <c r="E674" s="2831" t="s">
        <v>2174</v>
      </c>
    </row>
    <row r="675" spans="1:5">
      <c r="A675" s="2831">
        <v>638</v>
      </c>
      <c r="B675" s="2831" t="s">
        <v>2852</v>
      </c>
      <c r="C675" s="2831">
        <v>189</v>
      </c>
      <c r="D675" s="2831" t="s">
        <v>2877</v>
      </c>
      <c r="E675" s="2831" t="s">
        <v>2169</v>
      </c>
    </row>
    <row r="676" spans="1:5">
      <c r="A676" s="2831">
        <v>638</v>
      </c>
      <c r="B676" s="2831" t="s">
        <v>2852</v>
      </c>
      <c r="C676" s="2831">
        <v>103</v>
      </c>
      <c r="D676" s="2831" t="s">
        <v>2878</v>
      </c>
      <c r="E676" s="2831" t="s">
        <v>2169</v>
      </c>
    </row>
    <row r="677" spans="1:5">
      <c r="A677" s="2831">
        <v>639</v>
      </c>
      <c r="B677" s="2831" t="s">
        <v>2879</v>
      </c>
      <c r="C677" s="2831">
        <v>192</v>
      </c>
      <c r="D677" s="2831" t="s">
        <v>2880</v>
      </c>
      <c r="E677" s="2831" t="s">
        <v>2169</v>
      </c>
    </row>
    <row r="678" spans="1:5">
      <c r="A678" s="2831">
        <v>639</v>
      </c>
      <c r="B678" s="2831" t="s">
        <v>2879</v>
      </c>
      <c r="C678" s="2831">
        <v>193</v>
      </c>
      <c r="D678" s="2831" t="s">
        <v>2881</v>
      </c>
      <c r="E678" s="2831" t="s">
        <v>2166</v>
      </c>
    </row>
    <row r="679" spans="1:5">
      <c r="A679" s="2831">
        <v>639</v>
      </c>
      <c r="B679" s="2831" t="s">
        <v>2879</v>
      </c>
      <c r="C679" s="2831">
        <v>202</v>
      </c>
      <c r="D679" s="2831" t="s">
        <v>2882</v>
      </c>
      <c r="E679" s="2831" t="s">
        <v>2169</v>
      </c>
    </row>
    <row r="680" spans="1:5">
      <c r="A680" s="2831">
        <v>639</v>
      </c>
      <c r="B680" s="2831" t="s">
        <v>2879</v>
      </c>
      <c r="C680" s="2831">
        <v>203</v>
      </c>
      <c r="D680" s="2831" t="s">
        <v>2883</v>
      </c>
      <c r="E680" s="2831" t="s">
        <v>2169</v>
      </c>
    </row>
    <row r="681" spans="1:5">
      <c r="A681" s="2831">
        <v>640</v>
      </c>
      <c r="B681" s="2831" t="s">
        <v>2884</v>
      </c>
      <c r="C681" s="2831">
        <v>2052</v>
      </c>
      <c r="D681" s="2831" t="s">
        <v>2885</v>
      </c>
      <c r="E681" s="2831" t="s">
        <v>2166</v>
      </c>
    </row>
    <row r="682" spans="1:5">
      <c r="A682" s="2831">
        <v>640</v>
      </c>
      <c r="B682" s="2831" t="s">
        <v>2884</v>
      </c>
      <c r="C682" s="2831">
        <v>196</v>
      </c>
      <c r="D682" s="2831" t="s">
        <v>2886</v>
      </c>
      <c r="E682" s="2831" t="s">
        <v>2169</v>
      </c>
    </row>
    <row r="683" spans="1:5">
      <c r="A683" s="2831">
        <v>640</v>
      </c>
      <c r="B683" s="2831" t="s">
        <v>2884</v>
      </c>
      <c r="C683" s="2831">
        <v>197</v>
      </c>
      <c r="D683" s="2831" t="s">
        <v>2887</v>
      </c>
      <c r="E683" s="2831" t="s">
        <v>2169</v>
      </c>
    </row>
    <row r="684" spans="1:5">
      <c r="A684" s="2831">
        <v>640</v>
      </c>
      <c r="B684" s="2831" t="s">
        <v>2884</v>
      </c>
      <c r="C684" s="2831">
        <v>115</v>
      </c>
      <c r="D684" s="2831" t="s">
        <v>2888</v>
      </c>
      <c r="E684" s="2831" t="s">
        <v>2169</v>
      </c>
    </row>
    <row r="685" spans="1:5">
      <c r="A685" s="2831">
        <v>641</v>
      </c>
      <c r="B685" s="2831" t="s">
        <v>2889</v>
      </c>
      <c r="C685" s="2831">
        <v>195</v>
      </c>
      <c r="D685" s="2831" t="s">
        <v>2890</v>
      </c>
      <c r="E685" s="2831" t="s">
        <v>2169</v>
      </c>
    </row>
    <row r="686" spans="1:5">
      <c r="A686" s="2831">
        <v>641</v>
      </c>
      <c r="B686" s="2831" t="s">
        <v>2889</v>
      </c>
      <c r="C686" s="2831">
        <v>101</v>
      </c>
      <c r="D686" s="2831" t="s">
        <v>2891</v>
      </c>
      <c r="E686" s="2831" t="s">
        <v>2169</v>
      </c>
    </row>
    <row r="687" spans="1:5">
      <c r="A687" s="2831">
        <v>641</v>
      </c>
      <c r="B687" s="2831" t="s">
        <v>2889</v>
      </c>
      <c r="C687" s="2831">
        <v>295</v>
      </c>
      <c r="D687" s="2831" t="s">
        <v>2892</v>
      </c>
      <c r="E687" s="2831" t="s">
        <v>2169</v>
      </c>
    </row>
    <row r="688" spans="1:5">
      <c r="A688" s="2831">
        <v>641</v>
      </c>
      <c r="B688" s="2831" t="s">
        <v>2889</v>
      </c>
      <c r="C688" s="2831">
        <v>275</v>
      </c>
      <c r="D688" s="2831" t="s">
        <v>2705</v>
      </c>
      <c r="E688" s="2831" t="s">
        <v>2174</v>
      </c>
    </row>
    <row r="689" spans="1:5">
      <c r="A689" s="2831">
        <v>772</v>
      </c>
      <c r="B689" s="2831" t="s">
        <v>2893</v>
      </c>
      <c r="C689" s="2831">
        <v>105</v>
      </c>
      <c r="D689" s="2831" t="s">
        <v>2814</v>
      </c>
      <c r="E689" s="2831" t="s">
        <v>2169</v>
      </c>
    </row>
    <row r="690" spans="1:5">
      <c r="A690" s="2831">
        <v>772</v>
      </c>
      <c r="B690" s="2831" t="s">
        <v>2893</v>
      </c>
      <c r="C690" s="2831">
        <v>1050</v>
      </c>
      <c r="D690" s="2831" t="s">
        <v>2815</v>
      </c>
      <c r="E690" s="2831" t="s">
        <v>2169</v>
      </c>
    </row>
    <row r="691" spans="1:5">
      <c r="A691" s="2831">
        <v>772</v>
      </c>
      <c r="B691" s="2831" t="s">
        <v>2893</v>
      </c>
      <c r="C691" s="2831">
        <v>301</v>
      </c>
      <c r="D691" s="2831" t="s">
        <v>2894</v>
      </c>
      <c r="E691" s="2831" t="s">
        <v>2174</v>
      </c>
    </row>
    <row r="692" spans="1:5">
      <c r="A692" s="2831">
        <v>772</v>
      </c>
      <c r="B692" s="2831" t="s">
        <v>2893</v>
      </c>
      <c r="C692" s="2831">
        <v>4050</v>
      </c>
      <c r="D692" s="2831" t="s">
        <v>2895</v>
      </c>
      <c r="E692" s="2831" t="s">
        <v>2166</v>
      </c>
    </row>
    <row r="693" spans="1:5">
      <c r="A693" s="2831">
        <v>772</v>
      </c>
      <c r="B693" s="2831" t="s">
        <v>2893</v>
      </c>
      <c r="C693" s="2831">
        <v>379</v>
      </c>
      <c r="D693" s="2831" t="s">
        <v>2896</v>
      </c>
      <c r="E693" s="2831" t="s">
        <v>2166</v>
      </c>
    </row>
    <row r="694" spans="1:5">
      <c r="A694" s="2831">
        <v>772</v>
      </c>
      <c r="B694" s="2831" t="s">
        <v>2893</v>
      </c>
      <c r="C694" s="2831">
        <v>377</v>
      </c>
      <c r="D694" s="2831" t="s">
        <v>2897</v>
      </c>
      <c r="E694" s="2831" t="s">
        <v>2174</v>
      </c>
    </row>
    <row r="695" spans="1:5">
      <c r="A695" s="2831">
        <v>772</v>
      </c>
      <c r="B695" s="2831" t="s">
        <v>2893</v>
      </c>
      <c r="C695" s="2831">
        <v>101</v>
      </c>
      <c r="D695" s="2831" t="s">
        <v>2898</v>
      </c>
      <c r="E695" s="2831" t="s">
        <v>2174</v>
      </c>
    </row>
    <row r="696" spans="1:5">
      <c r="A696" s="2831">
        <v>772</v>
      </c>
      <c r="B696" s="2831" t="s">
        <v>2893</v>
      </c>
      <c r="C696" s="2831">
        <v>1052</v>
      </c>
      <c r="D696" s="2831" t="s">
        <v>2899</v>
      </c>
      <c r="E696" s="2831" t="s">
        <v>2166</v>
      </c>
    </row>
    <row r="697" spans="1:5">
      <c r="A697" s="2831">
        <v>772</v>
      </c>
      <c r="B697" s="2831" t="s">
        <v>2893</v>
      </c>
      <c r="C697" s="2831">
        <v>378</v>
      </c>
      <c r="D697" s="2831" t="s">
        <v>2900</v>
      </c>
      <c r="E697" s="2831" t="s">
        <v>2166</v>
      </c>
    </row>
    <row r="698" spans="1:5">
      <c r="A698" s="2831">
        <v>772</v>
      </c>
      <c r="B698" s="2831" t="s">
        <v>2893</v>
      </c>
      <c r="C698" s="2831">
        <v>173</v>
      </c>
      <c r="D698" s="2831" t="s">
        <v>2901</v>
      </c>
      <c r="E698" s="2831" t="s">
        <v>2174</v>
      </c>
    </row>
    <row r="699" spans="1:5">
      <c r="A699" s="2831">
        <v>642</v>
      </c>
      <c r="B699" s="2831" t="s">
        <v>2902</v>
      </c>
      <c r="C699" s="2831">
        <v>199</v>
      </c>
      <c r="D699" s="2831" t="s">
        <v>2903</v>
      </c>
      <c r="E699" s="2831" t="s">
        <v>2166</v>
      </c>
    </row>
    <row r="700" spans="1:5">
      <c r="A700" s="2831">
        <v>642</v>
      </c>
      <c r="B700" s="2831" t="s">
        <v>2902</v>
      </c>
      <c r="C700" s="2831">
        <v>198</v>
      </c>
      <c r="D700" s="2831" t="s">
        <v>2904</v>
      </c>
      <c r="E700" s="2831" t="s">
        <v>2166</v>
      </c>
    </row>
    <row r="701" spans="1:5">
      <c r="A701" s="2831">
        <v>642</v>
      </c>
      <c r="B701" s="2831" t="s">
        <v>2902</v>
      </c>
      <c r="C701" s="2831">
        <v>109</v>
      </c>
      <c r="D701" s="2831" t="s">
        <v>2905</v>
      </c>
      <c r="E701" s="2831" t="s">
        <v>2166</v>
      </c>
    </row>
    <row r="702" spans="1:5">
      <c r="A702" s="2831">
        <v>642</v>
      </c>
      <c r="B702" s="2831" t="s">
        <v>2902</v>
      </c>
      <c r="C702" s="2831">
        <v>106</v>
      </c>
      <c r="D702" s="2831" t="s">
        <v>2906</v>
      </c>
      <c r="E702" s="2831" t="s">
        <v>2169</v>
      </c>
    </row>
    <row r="703" spans="1:5">
      <c r="A703" s="2831">
        <v>642</v>
      </c>
      <c r="B703" s="2831" t="s">
        <v>2902</v>
      </c>
      <c r="C703" s="2831">
        <v>103</v>
      </c>
      <c r="D703" s="2831" t="s">
        <v>2907</v>
      </c>
      <c r="E703" s="2831" t="s">
        <v>2169</v>
      </c>
    </row>
    <row r="704" spans="1:5">
      <c r="A704" s="2831">
        <v>642</v>
      </c>
      <c r="B704" s="2831" t="s">
        <v>2902</v>
      </c>
      <c r="C704" s="2831">
        <v>111</v>
      </c>
      <c r="D704" s="2831" t="s">
        <v>2908</v>
      </c>
      <c r="E704" s="2831" t="s">
        <v>2166</v>
      </c>
    </row>
    <row r="705" spans="1:5">
      <c r="A705" s="2831">
        <v>642</v>
      </c>
      <c r="B705" s="2831" t="s">
        <v>2902</v>
      </c>
      <c r="C705" s="2831">
        <v>189</v>
      </c>
      <c r="D705" s="2831" t="s">
        <v>2909</v>
      </c>
      <c r="E705" s="2831" t="s">
        <v>2174</v>
      </c>
    </row>
    <row r="706" spans="1:5">
      <c r="A706" s="2831">
        <v>644</v>
      </c>
      <c r="B706" s="2831" t="s">
        <v>2910</v>
      </c>
      <c r="C706" s="2831">
        <v>2050</v>
      </c>
      <c r="D706" s="2831" t="s">
        <v>2911</v>
      </c>
      <c r="E706" s="2831" t="s">
        <v>2174</v>
      </c>
    </row>
    <row r="707" spans="1:5" ht="26.4">
      <c r="A707" s="2831">
        <v>644</v>
      </c>
      <c r="B707" s="2831" t="s">
        <v>2910</v>
      </c>
      <c r="C707" s="2831">
        <v>610</v>
      </c>
      <c r="D707" s="2831" t="s">
        <v>2912</v>
      </c>
      <c r="E707" s="2831" t="s">
        <v>2169</v>
      </c>
    </row>
    <row r="708" spans="1:5">
      <c r="A708" s="2831">
        <v>644</v>
      </c>
      <c r="B708" s="2831" t="s">
        <v>2910</v>
      </c>
      <c r="C708" s="2831">
        <v>3050</v>
      </c>
      <c r="D708" s="2831" t="s">
        <v>2913</v>
      </c>
      <c r="E708" s="2831" t="s">
        <v>2166</v>
      </c>
    </row>
    <row r="709" spans="1:5">
      <c r="A709" s="2831">
        <v>644</v>
      </c>
      <c r="B709" s="2831" t="s">
        <v>2910</v>
      </c>
      <c r="C709" s="2831">
        <v>175</v>
      </c>
      <c r="D709" s="2831" t="s">
        <v>2914</v>
      </c>
      <c r="E709" s="2831" t="s">
        <v>2166</v>
      </c>
    </row>
    <row r="710" spans="1:5">
      <c r="A710" s="2831">
        <v>644</v>
      </c>
      <c r="B710" s="2831" t="s">
        <v>2910</v>
      </c>
      <c r="C710" s="2831">
        <v>5050</v>
      </c>
      <c r="D710" s="2831" t="s">
        <v>2915</v>
      </c>
      <c r="E710" s="2831" t="s">
        <v>2166</v>
      </c>
    </row>
    <row r="711" spans="1:5">
      <c r="A711" s="2831">
        <v>644</v>
      </c>
      <c r="B711" s="2831" t="s">
        <v>2910</v>
      </c>
      <c r="C711" s="2831">
        <v>1103</v>
      </c>
      <c r="D711" s="2831" t="s">
        <v>2916</v>
      </c>
      <c r="E711" s="2831" t="s">
        <v>2174</v>
      </c>
    </row>
    <row r="712" spans="1:5">
      <c r="A712" s="2831">
        <v>644</v>
      </c>
      <c r="B712" s="2831" t="s">
        <v>2910</v>
      </c>
      <c r="C712" s="2831">
        <v>475</v>
      </c>
      <c r="D712" s="2831" t="s">
        <v>2917</v>
      </c>
      <c r="E712" s="2831" t="s">
        <v>2174</v>
      </c>
    </row>
    <row r="713" spans="1:5">
      <c r="A713" s="2831">
        <v>644</v>
      </c>
      <c r="B713" s="2831" t="s">
        <v>2910</v>
      </c>
      <c r="C713" s="2831">
        <v>4051</v>
      </c>
      <c r="D713" s="2831" t="s">
        <v>2918</v>
      </c>
      <c r="E713" s="2831" t="s">
        <v>2166</v>
      </c>
    </row>
    <row r="714" spans="1:5">
      <c r="A714" s="2831">
        <v>644</v>
      </c>
      <c r="B714" s="2831" t="s">
        <v>2910</v>
      </c>
      <c r="C714" s="2831">
        <v>3051</v>
      </c>
      <c r="D714" s="2831" t="s">
        <v>2919</v>
      </c>
      <c r="E714" s="2831" t="s">
        <v>2166</v>
      </c>
    </row>
    <row r="715" spans="1:5">
      <c r="A715" s="2831">
        <v>644</v>
      </c>
      <c r="B715" s="2831" t="s">
        <v>2910</v>
      </c>
      <c r="C715" s="2831">
        <v>1052</v>
      </c>
      <c r="D715" s="2831" t="s">
        <v>2920</v>
      </c>
      <c r="E715" s="2831" t="s">
        <v>2166</v>
      </c>
    </row>
    <row r="716" spans="1:5">
      <c r="A716" s="2831">
        <v>644</v>
      </c>
      <c r="B716" s="2831" t="s">
        <v>2910</v>
      </c>
      <c r="C716" s="2831">
        <v>191</v>
      </c>
      <c r="D716" s="2831" t="s">
        <v>2921</v>
      </c>
      <c r="E716" s="2831" t="s">
        <v>2166</v>
      </c>
    </row>
    <row r="717" spans="1:5">
      <c r="A717" s="2831">
        <v>644</v>
      </c>
      <c r="B717" s="2831" t="s">
        <v>2910</v>
      </c>
      <c r="C717" s="2831">
        <v>3052</v>
      </c>
      <c r="D717" s="2831" t="s">
        <v>2922</v>
      </c>
      <c r="E717" s="2831" t="s">
        <v>2166</v>
      </c>
    </row>
    <row r="718" spans="1:5">
      <c r="A718" s="2831">
        <v>644</v>
      </c>
      <c r="B718" s="2831" t="s">
        <v>2910</v>
      </c>
      <c r="C718" s="2831">
        <v>2065</v>
      </c>
      <c r="D718" s="2831" t="s">
        <v>2923</v>
      </c>
      <c r="E718" s="2831" t="s">
        <v>2166</v>
      </c>
    </row>
    <row r="719" spans="1:5">
      <c r="A719" s="2831">
        <v>644</v>
      </c>
      <c r="B719" s="2831" t="s">
        <v>2910</v>
      </c>
      <c r="C719" s="2831">
        <v>275</v>
      </c>
      <c r="D719" s="2831" t="s">
        <v>2924</v>
      </c>
      <c r="E719" s="2831" t="s">
        <v>2174</v>
      </c>
    </row>
    <row r="720" spans="1:5">
      <c r="A720" s="2831">
        <v>644</v>
      </c>
      <c r="B720" s="2831" t="s">
        <v>2910</v>
      </c>
      <c r="C720" s="2831">
        <v>172</v>
      </c>
      <c r="D720" s="2831" t="s">
        <v>2925</v>
      </c>
      <c r="E720" s="2831" t="s">
        <v>2169</v>
      </c>
    </row>
    <row r="721" spans="1:5">
      <c r="A721" s="2831">
        <v>644</v>
      </c>
      <c r="B721" s="2831" t="s">
        <v>2910</v>
      </c>
      <c r="C721" s="2831">
        <v>200</v>
      </c>
      <c r="D721" s="2831" t="s">
        <v>2926</v>
      </c>
      <c r="E721" s="2831" t="s">
        <v>2169</v>
      </c>
    </row>
    <row r="722" spans="1:5">
      <c r="A722" s="2831">
        <v>644</v>
      </c>
      <c r="B722" s="2831" t="s">
        <v>2910</v>
      </c>
      <c r="C722" s="2831">
        <v>5052</v>
      </c>
      <c r="D722" s="2831" t="s">
        <v>2927</v>
      </c>
      <c r="E722" s="2831" t="s">
        <v>2169</v>
      </c>
    </row>
    <row r="723" spans="1:5">
      <c r="A723" s="2831">
        <v>644</v>
      </c>
      <c r="B723" s="2831" t="s">
        <v>2910</v>
      </c>
      <c r="C723" s="2831">
        <v>406</v>
      </c>
      <c r="D723" s="2831" t="s">
        <v>2928</v>
      </c>
      <c r="E723" s="2831" t="s">
        <v>2166</v>
      </c>
    </row>
    <row r="724" spans="1:5">
      <c r="A724" s="2831">
        <v>644</v>
      </c>
      <c r="B724" s="2831" t="s">
        <v>2910</v>
      </c>
      <c r="C724" s="2831">
        <v>1053</v>
      </c>
      <c r="D724" s="2831" t="s">
        <v>2929</v>
      </c>
      <c r="E724" s="2831" t="s">
        <v>2166</v>
      </c>
    </row>
    <row r="725" spans="1:5">
      <c r="A725" s="2831">
        <v>644</v>
      </c>
      <c r="B725" s="2831" t="s">
        <v>2910</v>
      </c>
      <c r="C725" s="2831">
        <v>193</v>
      </c>
      <c r="D725" s="2831" t="s">
        <v>2930</v>
      </c>
      <c r="E725" s="2831" t="s">
        <v>2166</v>
      </c>
    </row>
    <row r="726" spans="1:5">
      <c r="A726" s="2831">
        <v>644</v>
      </c>
      <c r="B726" s="2831" t="s">
        <v>2910</v>
      </c>
      <c r="C726" s="2831">
        <v>3053</v>
      </c>
      <c r="D726" s="2831" t="s">
        <v>2931</v>
      </c>
      <c r="E726" s="2831" t="s">
        <v>2174</v>
      </c>
    </row>
    <row r="727" spans="1:5">
      <c r="A727" s="2831">
        <v>644</v>
      </c>
      <c r="B727" s="2831" t="s">
        <v>2910</v>
      </c>
      <c r="C727" s="2831">
        <v>4053</v>
      </c>
      <c r="D727" s="2831" t="s">
        <v>2932</v>
      </c>
      <c r="E727" s="2831" t="s">
        <v>2166</v>
      </c>
    </row>
    <row r="728" spans="1:5">
      <c r="A728" s="2831">
        <v>644</v>
      </c>
      <c r="B728" s="2831" t="s">
        <v>2910</v>
      </c>
      <c r="C728" s="2831">
        <v>1054</v>
      </c>
      <c r="D728" s="2831" t="s">
        <v>2933</v>
      </c>
      <c r="E728" s="2831" t="s">
        <v>2174</v>
      </c>
    </row>
    <row r="729" spans="1:5">
      <c r="A729" s="2831">
        <v>644</v>
      </c>
      <c r="B729" s="2831" t="s">
        <v>2910</v>
      </c>
      <c r="C729" s="2831">
        <v>2054</v>
      </c>
      <c r="D729" s="2831" t="s">
        <v>2934</v>
      </c>
      <c r="E729" s="2831" t="s">
        <v>2174</v>
      </c>
    </row>
    <row r="730" spans="1:5">
      <c r="A730" s="2831">
        <v>644</v>
      </c>
      <c r="B730" s="2831" t="s">
        <v>2910</v>
      </c>
      <c r="C730" s="2831">
        <v>301</v>
      </c>
      <c r="D730" s="2831" t="s">
        <v>2817</v>
      </c>
      <c r="E730" s="2831" t="s">
        <v>2166</v>
      </c>
    </row>
    <row r="731" spans="1:5">
      <c r="A731" s="2831">
        <v>644</v>
      </c>
      <c r="B731" s="2831" t="s">
        <v>2910</v>
      </c>
      <c r="C731" s="2831">
        <v>4054</v>
      </c>
      <c r="D731" s="2831" t="s">
        <v>2935</v>
      </c>
      <c r="E731" s="2831" t="s">
        <v>2166</v>
      </c>
    </row>
    <row r="732" spans="1:5">
      <c r="A732" s="2831">
        <v>644</v>
      </c>
      <c r="B732" s="2831" t="s">
        <v>2910</v>
      </c>
      <c r="C732" s="2831">
        <v>1010</v>
      </c>
      <c r="D732" s="2831" t="s">
        <v>2936</v>
      </c>
      <c r="E732" s="2831" t="s">
        <v>2166</v>
      </c>
    </row>
    <row r="733" spans="1:5">
      <c r="A733" s="2831">
        <v>644</v>
      </c>
      <c r="B733" s="2831" t="s">
        <v>2910</v>
      </c>
      <c r="C733" s="2831">
        <v>500</v>
      </c>
      <c r="D733" s="2831" t="s">
        <v>2937</v>
      </c>
      <c r="E733" s="2831" t="s">
        <v>2174</v>
      </c>
    </row>
    <row r="734" spans="1:5">
      <c r="A734" s="2831">
        <v>644</v>
      </c>
      <c r="B734" s="2831" t="s">
        <v>2910</v>
      </c>
      <c r="C734" s="2831">
        <v>1050</v>
      </c>
      <c r="D734" s="2831" t="s">
        <v>2938</v>
      </c>
      <c r="E734" s="2831" t="s">
        <v>2166</v>
      </c>
    </row>
    <row r="735" spans="1:5">
      <c r="A735" s="2831">
        <v>644</v>
      </c>
      <c r="B735" s="2831" t="s">
        <v>2910</v>
      </c>
      <c r="C735" s="2831">
        <v>705</v>
      </c>
      <c r="D735" s="2831" t="s">
        <v>2939</v>
      </c>
      <c r="E735" s="2831" t="s">
        <v>2169</v>
      </c>
    </row>
    <row r="736" spans="1:5">
      <c r="A736" s="2831">
        <v>644</v>
      </c>
      <c r="B736" s="2831" t="s">
        <v>2910</v>
      </c>
      <c r="C736" s="2831">
        <v>113</v>
      </c>
      <c r="D736" s="2831" t="s">
        <v>2940</v>
      </c>
      <c r="E736" s="2831" t="s">
        <v>2169</v>
      </c>
    </row>
    <row r="737" spans="1:5">
      <c r="A737" s="2831">
        <v>644</v>
      </c>
      <c r="B737" s="2831" t="s">
        <v>2910</v>
      </c>
      <c r="C737" s="2831">
        <v>410</v>
      </c>
      <c r="D737" s="2831" t="s">
        <v>2941</v>
      </c>
      <c r="E737" s="2831" t="s">
        <v>2169</v>
      </c>
    </row>
    <row r="738" spans="1:5">
      <c r="A738" s="2831">
        <v>644</v>
      </c>
      <c r="B738" s="2831" t="s">
        <v>2910</v>
      </c>
      <c r="C738" s="2831">
        <v>407</v>
      </c>
      <c r="D738" s="2831" t="s">
        <v>2942</v>
      </c>
      <c r="E738" s="2831" t="s">
        <v>2174</v>
      </c>
    </row>
    <row r="739" spans="1:5">
      <c r="A739" s="2831">
        <v>644</v>
      </c>
      <c r="B739" s="2831" t="s">
        <v>2910</v>
      </c>
      <c r="C739" s="2831">
        <v>1105</v>
      </c>
      <c r="D739" s="2831" t="s">
        <v>2943</v>
      </c>
      <c r="E739" s="2831" t="s">
        <v>2169</v>
      </c>
    </row>
    <row r="740" spans="1:5">
      <c r="A740" s="2831">
        <v>644</v>
      </c>
      <c r="B740" s="2831" t="s">
        <v>2910</v>
      </c>
      <c r="C740" s="2831">
        <v>1055</v>
      </c>
      <c r="D740" s="2831" t="s">
        <v>2944</v>
      </c>
      <c r="E740" s="2831" t="s">
        <v>2169</v>
      </c>
    </row>
    <row r="741" spans="1:5">
      <c r="A741" s="2831">
        <v>644</v>
      </c>
      <c r="B741" s="2831" t="s">
        <v>2910</v>
      </c>
      <c r="C741" s="2831">
        <v>2055</v>
      </c>
      <c r="D741" s="2831" t="s">
        <v>2945</v>
      </c>
      <c r="E741" s="2831" t="s">
        <v>2169</v>
      </c>
    </row>
    <row r="742" spans="1:5">
      <c r="A742" s="2831">
        <v>644</v>
      </c>
      <c r="B742" s="2831" t="s">
        <v>2910</v>
      </c>
      <c r="C742" s="2831">
        <v>897</v>
      </c>
      <c r="D742" s="2831" t="s">
        <v>2946</v>
      </c>
      <c r="E742" s="2831" t="s">
        <v>2169</v>
      </c>
    </row>
    <row r="743" spans="1:5">
      <c r="A743" s="2831">
        <v>644</v>
      </c>
      <c r="B743" s="2831" t="s">
        <v>2910</v>
      </c>
      <c r="C743" s="2831">
        <v>3055</v>
      </c>
      <c r="D743" s="2831" t="s">
        <v>2947</v>
      </c>
      <c r="E743" s="2831" t="s">
        <v>2166</v>
      </c>
    </row>
    <row r="744" spans="1:5">
      <c r="A744" s="2831">
        <v>644</v>
      </c>
      <c r="B744" s="2831" t="s">
        <v>2910</v>
      </c>
      <c r="C744" s="2831">
        <v>214</v>
      </c>
      <c r="D744" s="2831" t="s">
        <v>2948</v>
      </c>
      <c r="E744" s="2831" t="s">
        <v>2166</v>
      </c>
    </row>
    <row r="745" spans="1:5">
      <c r="A745" s="2831">
        <v>644</v>
      </c>
      <c r="B745" s="2831" t="s">
        <v>2910</v>
      </c>
      <c r="C745" s="2831">
        <v>5055</v>
      </c>
      <c r="D745" s="2831" t="s">
        <v>2949</v>
      </c>
      <c r="E745" s="2831" t="s">
        <v>2169</v>
      </c>
    </row>
    <row r="746" spans="1:5">
      <c r="A746" s="2831">
        <v>644</v>
      </c>
      <c r="B746" s="2831" t="s">
        <v>2910</v>
      </c>
      <c r="C746" s="2831">
        <v>297</v>
      </c>
      <c r="D746" s="2831" t="s">
        <v>2950</v>
      </c>
      <c r="E746" s="2831" t="s">
        <v>2166</v>
      </c>
    </row>
    <row r="747" spans="1:5">
      <c r="A747" s="2831">
        <v>644</v>
      </c>
      <c r="B747" s="2831" t="s">
        <v>2910</v>
      </c>
      <c r="C747" s="2831">
        <v>181</v>
      </c>
      <c r="D747" s="2831" t="s">
        <v>2951</v>
      </c>
      <c r="E747" s="2831" t="s">
        <v>2174</v>
      </c>
    </row>
    <row r="748" spans="1:5">
      <c r="A748" s="2831">
        <v>644</v>
      </c>
      <c r="B748" s="2831" t="s">
        <v>2910</v>
      </c>
      <c r="C748" s="2831">
        <v>810</v>
      </c>
      <c r="D748" s="2831" t="s">
        <v>2952</v>
      </c>
      <c r="E748" s="2831" t="s">
        <v>2169</v>
      </c>
    </row>
    <row r="749" spans="1:5">
      <c r="A749" s="2831">
        <v>644</v>
      </c>
      <c r="B749" s="2831" t="s">
        <v>2910</v>
      </c>
      <c r="C749" s="2831">
        <v>1056</v>
      </c>
      <c r="D749" s="2831" t="s">
        <v>2953</v>
      </c>
      <c r="E749" s="2831" t="s">
        <v>2166</v>
      </c>
    </row>
    <row r="750" spans="1:5">
      <c r="A750" s="2831">
        <v>644</v>
      </c>
      <c r="B750" s="2831" t="s">
        <v>2910</v>
      </c>
      <c r="C750" s="2831">
        <v>375</v>
      </c>
      <c r="D750" s="2831" t="s">
        <v>2954</v>
      </c>
      <c r="E750" s="2831" t="s">
        <v>2174</v>
      </c>
    </row>
    <row r="751" spans="1:5">
      <c r="A751" s="2831">
        <v>644</v>
      </c>
      <c r="B751" s="2831" t="s">
        <v>2910</v>
      </c>
      <c r="C751" s="2831">
        <v>2056</v>
      </c>
      <c r="D751" s="2831" t="s">
        <v>2955</v>
      </c>
      <c r="E751" s="2831" t="s">
        <v>2166</v>
      </c>
    </row>
    <row r="752" spans="1:5">
      <c r="A752" s="2831">
        <v>644</v>
      </c>
      <c r="B752" s="2831" t="s">
        <v>2910</v>
      </c>
      <c r="C752" s="2831">
        <v>107</v>
      </c>
      <c r="D752" s="2831" t="s">
        <v>2956</v>
      </c>
      <c r="E752" s="2831" t="s">
        <v>2169</v>
      </c>
    </row>
    <row r="753" spans="1:5">
      <c r="A753" s="2831">
        <v>644</v>
      </c>
      <c r="B753" s="2831" t="s">
        <v>2910</v>
      </c>
      <c r="C753" s="2831">
        <v>3056</v>
      </c>
      <c r="D753" s="2831" t="s">
        <v>2957</v>
      </c>
      <c r="E753" s="2831" t="s">
        <v>2174</v>
      </c>
    </row>
    <row r="754" spans="1:5">
      <c r="A754" s="2831">
        <v>644</v>
      </c>
      <c r="B754" s="2831" t="s">
        <v>2910</v>
      </c>
      <c r="C754" s="2831">
        <v>201</v>
      </c>
      <c r="D754" s="2831" t="s">
        <v>2544</v>
      </c>
      <c r="E754" s="2831" t="s">
        <v>2166</v>
      </c>
    </row>
    <row r="755" spans="1:5">
      <c r="A755" s="2831">
        <v>644</v>
      </c>
      <c r="B755" s="2831" t="s">
        <v>2910</v>
      </c>
      <c r="C755" s="2831">
        <v>314</v>
      </c>
      <c r="D755" s="2831" t="s">
        <v>2958</v>
      </c>
      <c r="E755" s="2831" t="s">
        <v>2166</v>
      </c>
    </row>
    <row r="756" spans="1:5">
      <c r="A756" s="2831">
        <v>644</v>
      </c>
      <c r="B756" s="2831" t="s">
        <v>2910</v>
      </c>
      <c r="C756" s="2831">
        <v>3057</v>
      </c>
      <c r="D756" s="2831" t="s">
        <v>2959</v>
      </c>
      <c r="E756" s="2831" t="s">
        <v>2169</v>
      </c>
    </row>
    <row r="757" spans="1:5">
      <c r="A757" s="2831">
        <v>644</v>
      </c>
      <c r="B757" s="2831" t="s">
        <v>2910</v>
      </c>
      <c r="C757" s="2831">
        <v>5057</v>
      </c>
      <c r="D757" s="2831" t="s">
        <v>2623</v>
      </c>
      <c r="E757" s="2831" t="s">
        <v>2166</v>
      </c>
    </row>
    <row r="758" spans="1:5">
      <c r="A758" s="2831">
        <v>644</v>
      </c>
      <c r="B758" s="2831" t="s">
        <v>2910</v>
      </c>
      <c r="C758" s="2831">
        <v>797</v>
      </c>
      <c r="D758" s="2831" t="s">
        <v>2433</v>
      </c>
      <c r="E758" s="2831" t="s">
        <v>2169</v>
      </c>
    </row>
    <row r="759" spans="1:5">
      <c r="A759" s="2831">
        <v>644</v>
      </c>
      <c r="B759" s="2831" t="s">
        <v>2910</v>
      </c>
      <c r="C759" s="2831">
        <v>2058</v>
      </c>
      <c r="D759" s="2831" t="s">
        <v>2960</v>
      </c>
      <c r="E759" s="2831" t="s">
        <v>2169</v>
      </c>
    </row>
    <row r="760" spans="1:5">
      <c r="A760" s="2831">
        <v>644</v>
      </c>
      <c r="B760" s="2831" t="s">
        <v>2910</v>
      </c>
      <c r="C760" s="2831">
        <v>4058</v>
      </c>
      <c r="D760" s="2831" t="s">
        <v>2961</v>
      </c>
      <c r="E760" s="2831" t="s">
        <v>2166</v>
      </c>
    </row>
    <row r="761" spans="1:5">
      <c r="A761" s="2831">
        <v>644</v>
      </c>
      <c r="B761" s="2831" t="s">
        <v>2910</v>
      </c>
      <c r="C761" s="2831">
        <v>5058</v>
      </c>
      <c r="D761" s="2831" t="s">
        <v>2962</v>
      </c>
      <c r="E761" s="2831" t="s">
        <v>2169</v>
      </c>
    </row>
    <row r="762" spans="1:5">
      <c r="A762" s="2831">
        <v>644</v>
      </c>
      <c r="B762" s="2831" t="s">
        <v>2910</v>
      </c>
      <c r="C762" s="2831">
        <v>1059</v>
      </c>
      <c r="D762" s="2831" t="s">
        <v>2963</v>
      </c>
      <c r="E762" s="2831" t="s">
        <v>2174</v>
      </c>
    </row>
    <row r="763" spans="1:5">
      <c r="A763" s="2831">
        <v>644</v>
      </c>
      <c r="B763" s="2831" t="s">
        <v>2910</v>
      </c>
      <c r="C763" s="2831">
        <v>2059</v>
      </c>
      <c r="D763" s="2831" t="s">
        <v>2964</v>
      </c>
      <c r="E763" s="2831" t="s">
        <v>2169</v>
      </c>
    </row>
    <row r="764" spans="1:5">
      <c r="A764" s="2831">
        <v>644</v>
      </c>
      <c r="B764" s="2831" t="s">
        <v>2910</v>
      </c>
      <c r="C764" s="2831">
        <v>805</v>
      </c>
      <c r="D764" s="2831" t="s">
        <v>2965</v>
      </c>
      <c r="E764" s="2831" t="s">
        <v>2169</v>
      </c>
    </row>
    <row r="765" spans="1:5">
      <c r="A765" s="2831">
        <v>644</v>
      </c>
      <c r="B765" s="2831" t="s">
        <v>2910</v>
      </c>
      <c r="C765" s="2831">
        <v>1104</v>
      </c>
      <c r="D765" s="2831" t="s">
        <v>2348</v>
      </c>
      <c r="E765" s="2831" t="s">
        <v>2174</v>
      </c>
    </row>
    <row r="766" spans="1:5">
      <c r="A766" s="2831">
        <v>644</v>
      </c>
      <c r="B766" s="2831" t="s">
        <v>2910</v>
      </c>
      <c r="C766" s="2831">
        <v>3059</v>
      </c>
      <c r="D766" s="2831" t="s">
        <v>2966</v>
      </c>
      <c r="E766" s="2831" t="s">
        <v>2166</v>
      </c>
    </row>
    <row r="767" spans="1:5">
      <c r="A767" s="2831">
        <v>644</v>
      </c>
      <c r="B767" s="2831" t="s">
        <v>2910</v>
      </c>
      <c r="C767" s="2831">
        <v>4059</v>
      </c>
      <c r="D767" s="2831" t="s">
        <v>2967</v>
      </c>
      <c r="E767" s="2831" t="s">
        <v>2174</v>
      </c>
    </row>
    <row r="768" spans="1:5">
      <c r="A768" s="2831">
        <v>644</v>
      </c>
      <c r="B768" s="2831" t="s">
        <v>2910</v>
      </c>
      <c r="C768" s="2831">
        <v>5059</v>
      </c>
      <c r="D768" s="2831" t="s">
        <v>2968</v>
      </c>
      <c r="E768" s="2831" t="s">
        <v>2169</v>
      </c>
    </row>
    <row r="769" spans="1:5">
      <c r="A769" s="2831">
        <v>644</v>
      </c>
      <c r="B769" s="2831" t="s">
        <v>2910</v>
      </c>
      <c r="C769" s="2831">
        <v>288</v>
      </c>
      <c r="D769" s="2831" t="s">
        <v>2969</v>
      </c>
      <c r="E769" s="2831" t="s">
        <v>2166</v>
      </c>
    </row>
    <row r="770" spans="1:5">
      <c r="A770" s="2831">
        <v>644</v>
      </c>
      <c r="B770" s="2831" t="s">
        <v>2910</v>
      </c>
      <c r="C770" s="2831">
        <v>3060</v>
      </c>
      <c r="D770" s="2831" t="s">
        <v>2830</v>
      </c>
      <c r="E770" s="2831" t="s">
        <v>2169</v>
      </c>
    </row>
    <row r="771" spans="1:5">
      <c r="A771" s="2831">
        <v>644</v>
      </c>
      <c r="B771" s="2831" t="s">
        <v>2910</v>
      </c>
      <c r="C771" s="2831">
        <v>4060</v>
      </c>
      <c r="D771" s="2831" t="s">
        <v>2970</v>
      </c>
      <c r="E771" s="2831" t="s">
        <v>2169</v>
      </c>
    </row>
    <row r="772" spans="1:5">
      <c r="A772" s="2831">
        <v>644</v>
      </c>
      <c r="B772" s="2831" t="s">
        <v>2910</v>
      </c>
      <c r="C772" s="2831">
        <v>311</v>
      </c>
      <c r="D772" s="2831" t="s">
        <v>2971</v>
      </c>
      <c r="E772" s="2831" t="s">
        <v>2169</v>
      </c>
    </row>
    <row r="773" spans="1:5">
      <c r="A773" s="2831">
        <v>644</v>
      </c>
      <c r="B773" s="2831" t="s">
        <v>2910</v>
      </c>
      <c r="C773" s="2831">
        <v>202</v>
      </c>
      <c r="D773" s="2831" t="s">
        <v>2972</v>
      </c>
      <c r="E773" s="2831" t="s">
        <v>2166</v>
      </c>
    </row>
    <row r="774" spans="1:5">
      <c r="A774" s="2831">
        <v>644</v>
      </c>
      <c r="B774" s="2831" t="s">
        <v>2910</v>
      </c>
      <c r="C774" s="2831">
        <v>203</v>
      </c>
      <c r="D774" s="2831" t="s">
        <v>2973</v>
      </c>
      <c r="E774" s="2831" t="s">
        <v>2174</v>
      </c>
    </row>
    <row r="775" spans="1:5">
      <c r="A775" s="2831">
        <v>644</v>
      </c>
      <c r="B775" s="2831" t="s">
        <v>2910</v>
      </c>
      <c r="C775" s="2831">
        <v>1061</v>
      </c>
      <c r="D775" s="2831" t="s">
        <v>2974</v>
      </c>
      <c r="E775" s="2831" t="s">
        <v>2166</v>
      </c>
    </row>
    <row r="776" spans="1:5">
      <c r="A776" s="2831">
        <v>644</v>
      </c>
      <c r="B776" s="2831" t="s">
        <v>2910</v>
      </c>
      <c r="C776" s="2831">
        <v>197</v>
      </c>
      <c r="D776" s="2831" t="s">
        <v>2975</v>
      </c>
      <c r="E776" s="2831" t="s">
        <v>2169</v>
      </c>
    </row>
    <row r="777" spans="1:5">
      <c r="A777" s="2831">
        <v>644</v>
      </c>
      <c r="B777" s="2831" t="s">
        <v>2910</v>
      </c>
      <c r="C777" s="2831">
        <v>510</v>
      </c>
      <c r="D777" s="2831" t="s">
        <v>2976</v>
      </c>
      <c r="E777" s="2831" t="s">
        <v>2174</v>
      </c>
    </row>
    <row r="778" spans="1:5">
      <c r="A778" s="2831">
        <v>644</v>
      </c>
      <c r="B778" s="2831" t="s">
        <v>2910</v>
      </c>
      <c r="C778" s="2831">
        <v>103</v>
      </c>
      <c r="D778" s="2831" t="s">
        <v>2977</v>
      </c>
      <c r="E778" s="2831" t="s">
        <v>2169</v>
      </c>
    </row>
    <row r="779" spans="1:5">
      <c r="A779" s="2831">
        <v>644</v>
      </c>
      <c r="B779" s="2831" t="s">
        <v>2910</v>
      </c>
      <c r="C779" s="2831">
        <v>401</v>
      </c>
      <c r="D779" s="2831" t="s">
        <v>2978</v>
      </c>
      <c r="E779" s="2831" t="s">
        <v>2166</v>
      </c>
    </row>
    <row r="780" spans="1:5">
      <c r="A780" s="2831">
        <v>644</v>
      </c>
      <c r="B780" s="2831" t="s">
        <v>2910</v>
      </c>
      <c r="C780" s="2831">
        <v>2061</v>
      </c>
      <c r="D780" s="2831" t="s">
        <v>2979</v>
      </c>
      <c r="E780" s="2831" t="s">
        <v>2166</v>
      </c>
    </row>
    <row r="781" spans="1:5">
      <c r="A781" s="2831">
        <v>644</v>
      </c>
      <c r="B781" s="2831" t="s">
        <v>2910</v>
      </c>
      <c r="C781" s="2831">
        <v>3070</v>
      </c>
      <c r="D781" s="2831" t="s">
        <v>2980</v>
      </c>
      <c r="E781" s="2831" t="s">
        <v>2169</v>
      </c>
    </row>
    <row r="782" spans="1:5">
      <c r="A782" s="2831">
        <v>644</v>
      </c>
      <c r="B782" s="2831" t="s">
        <v>2910</v>
      </c>
      <c r="C782" s="2831">
        <v>1057</v>
      </c>
      <c r="D782" s="2831" t="s">
        <v>2981</v>
      </c>
      <c r="E782" s="2831" t="s">
        <v>2174</v>
      </c>
    </row>
    <row r="783" spans="1:5">
      <c r="A783" s="2831">
        <v>644</v>
      </c>
      <c r="B783" s="2831" t="s">
        <v>2910</v>
      </c>
      <c r="C783" s="2831">
        <v>2062</v>
      </c>
      <c r="D783" s="2831" t="s">
        <v>2982</v>
      </c>
      <c r="E783" s="2831" t="s">
        <v>2166</v>
      </c>
    </row>
    <row r="784" spans="1:5">
      <c r="A784" s="2831">
        <v>644</v>
      </c>
      <c r="B784" s="2831" t="s">
        <v>2910</v>
      </c>
      <c r="C784" s="2831">
        <v>105</v>
      </c>
      <c r="D784" s="2831" t="s">
        <v>2983</v>
      </c>
      <c r="E784" s="2831" t="s">
        <v>2166</v>
      </c>
    </row>
    <row r="785" spans="1:5">
      <c r="A785" s="2831">
        <v>644</v>
      </c>
      <c r="B785" s="2831" t="s">
        <v>2910</v>
      </c>
      <c r="C785" s="2831">
        <v>597</v>
      </c>
      <c r="D785" s="2831" t="s">
        <v>2984</v>
      </c>
      <c r="E785" s="2831" t="s">
        <v>2169</v>
      </c>
    </row>
    <row r="786" spans="1:5">
      <c r="A786" s="2831">
        <v>644</v>
      </c>
      <c r="B786" s="2831" t="s">
        <v>2910</v>
      </c>
      <c r="C786" s="2831">
        <v>4062</v>
      </c>
      <c r="D786" s="2831" t="s">
        <v>2985</v>
      </c>
      <c r="E786" s="2831" t="s">
        <v>2169</v>
      </c>
    </row>
    <row r="787" spans="1:5">
      <c r="A787" s="2831">
        <v>644</v>
      </c>
      <c r="B787" s="2831" t="s">
        <v>2910</v>
      </c>
      <c r="C787" s="2831">
        <v>5062</v>
      </c>
      <c r="D787" s="2831" t="s">
        <v>2986</v>
      </c>
      <c r="E787" s="2831" t="s">
        <v>2174</v>
      </c>
    </row>
    <row r="788" spans="1:5">
      <c r="A788" s="2831">
        <v>644</v>
      </c>
      <c r="B788" s="2831" t="s">
        <v>2910</v>
      </c>
      <c r="C788" s="2831">
        <v>4052</v>
      </c>
      <c r="D788" s="2831" t="s">
        <v>2987</v>
      </c>
      <c r="E788" s="2831" t="s">
        <v>2174</v>
      </c>
    </row>
    <row r="789" spans="1:5">
      <c r="A789" s="2831">
        <v>644</v>
      </c>
      <c r="B789" s="2831" t="s">
        <v>2910</v>
      </c>
      <c r="C789" s="2831">
        <v>215</v>
      </c>
      <c r="D789" s="2831" t="s">
        <v>2988</v>
      </c>
      <c r="E789" s="2831" t="s">
        <v>2166</v>
      </c>
    </row>
    <row r="790" spans="1:5">
      <c r="A790" s="2831">
        <v>644</v>
      </c>
      <c r="B790" s="2831" t="s">
        <v>2910</v>
      </c>
      <c r="C790" s="2831">
        <v>100</v>
      </c>
      <c r="D790" s="2831" t="s">
        <v>2989</v>
      </c>
      <c r="E790" s="2831" t="s">
        <v>2174</v>
      </c>
    </row>
    <row r="791" spans="1:5">
      <c r="A791" s="2831">
        <v>644</v>
      </c>
      <c r="B791" s="2831" t="s">
        <v>2910</v>
      </c>
      <c r="C791" s="2831">
        <v>3063</v>
      </c>
      <c r="D791" s="2831" t="s">
        <v>2555</v>
      </c>
      <c r="E791" s="2831" t="s">
        <v>2169</v>
      </c>
    </row>
    <row r="792" spans="1:5">
      <c r="A792" s="2831">
        <v>644</v>
      </c>
      <c r="B792" s="2831" t="s">
        <v>2910</v>
      </c>
      <c r="C792" s="2831">
        <v>305</v>
      </c>
      <c r="D792" s="2831" t="s">
        <v>2990</v>
      </c>
      <c r="E792" s="2831" t="s">
        <v>2174</v>
      </c>
    </row>
    <row r="793" spans="1:5">
      <c r="A793" s="2831">
        <v>644</v>
      </c>
      <c r="B793" s="2831" t="s">
        <v>2910</v>
      </c>
      <c r="C793" s="2831">
        <v>4063</v>
      </c>
      <c r="D793" s="2831" t="s">
        <v>2991</v>
      </c>
      <c r="E793" s="2831" t="s">
        <v>2174</v>
      </c>
    </row>
    <row r="794" spans="1:5">
      <c r="A794" s="2831">
        <v>644</v>
      </c>
      <c r="B794" s="2831" t="s">
        <v>2910</v>
      </c>
      <c r="C794" s="2831">
        <v>188</v>
      </c>
      <c r="D794" s="2831" t="s">
        <v>2992</v>
      </c>
      <c r="E794" s="2831" t="s">
        <v>2174</v>
      </c>
    </row>
    <row r="795" spans="1:5">
      <c r="A795" s="2831">
        <v>644</v>
      </c>
      <c r="B795" s="2831" t="s">
        <v>2910</v>
      </c>
      <c r="C795" s="2831">
        <v>1101</v>
      </c>
      <c r="D795" s="2831" t="s">
        <v>2993</v>
      </c>
      <c r="E795" s="2831" t="s">
        <v>2174</v>
      </c>
    </row>
    <row r="796" spans="1:5">
      <c r="A796" s="2831">
        <v>644</v>
      </c>
      <c r="B796" s="2831" t="s">
        <v>2910</v>
      </c>
      <c r="C796" s="2831">
        <v>189</v>
      </c>
      <c r="D796" s="2831" t="s">
        <v>2994</v>
      </c>
      <c r="E796" s="2831" t="s">
        <v>2166</v>
      </c>
    </row>
    <row r="797" spans="1:5">
      <c r="A797" s="2831">
        <v>644</v>
      </c>
      <c r="B797" s="2831" t="s">
        <v>2910</v>
      </c>
      <c r="C797" s="2831">
        <v>190</v>
      </c>
      <c r="D797" s="2831" t="s">
        <v>2995</v>
      </c>
      <c r="E797" s="2831" t="s">
        <v>2169</v>
      </c>
    </row>
    <row r="798" spans="1:5">
      <c r="A798" s="2831">
        <v>644</v>
      </c>
      <c r="B798" s="2831" t="s">
        <v>2910</v>
      </c>
      <c r="C798" s="2831">
        <v>3064</v>
      </c>
      <c r="D798" s="2831" t="s">
        <v>2996</v>
      </c>
      <c r="E798" s="2831" t="s">
        <v>2169</v>
      </c>
    </row>
    <row r="799" spans="1:5">
      <c r="A799" s="2831">
        <v>644</v>
      </c>
      <c r="B799" s="2831" t="s">
        <v>2910</v>
      </c>
      <c r="C799" s="2831">
        <v>108</v>
      </c>
      <c r="D799" s="2831" t="s">
        <v>2997</v>
      </c>
      <c r="E799" s="2831" t="s">
        <v>2166</v>
      </c>
    </row>
    <row r="800" spans="1:5">
      <c r="A800" s="2831">
        <v>644</v>
      </c>
      <c r="B800" s="2831" t="s">
        <v>2910</v>
      </c>
      <c r="C800" s="2831">
        <v>4064</v>
      </c>
      <c r="D800" s="2831" t="s">
        <v>2998</v>
      </c>
      <c r="E800" s="2831" t="s">
        <v>2174</v>
      </c>
    </row>
    <row r="801" spans="1:5">
      <c r="A801" s="2831">
        <v>644</v>
      </c>
      <c r="B801" s="2831" t="s">
        <v>2910</v>
      </c>
      <c r="C801" s="2831">
        <v>5064</v>
      </c>
      <c r="D801" s="2831" t="s">
        <v>2999</v>
      </c>
      <c r="E801" s="2831" t="s">
        <v>2169</v>
      </c>
    </row>
    <row r="802" spans="1:5">
      <c r="A802" s="2831">
        <v>644</v>
      </c>
      <c r="B802" s="2831" t="s">
        <v>2910</v>
      </c>
      <c r="C802" s="2831">
        <v>176</v>
      </c>
      <c r="D802" s="2831" t="s">
        <v>3000</v>
      </c>
      <c r="E802" s="2831" t="s">
        <v>2174</v>
      </c>
    </row>
    <row r="803" spans="1:5">
      <c r="A803" s="2831">
        <v>644</v>
      </c>
      <c r="B803" s="2831" t="s">
        <v>2910</v>
      </c>
      <c r="C803" s="2831">
        <v>205</v>
      </c>
      <c r="D803" s="2831" t="s">
        <v>3001</v>
      </c>
      <c r="E803" s="2831" t="s">
        <v>2174</v>
      </c>
    </row>
    <row r="804" spans="1:5">
      <c r="A804" s="2831">
        <v>644</v>
      </c>
      <c r="B804" s="2831" t="s">
        <v>2910</v>
      </c>
      <c r="C804" s="2831">
        <v>399</v>
      </c>
      <c r="D804" s="2831" t="s">
        <v>3002</v>
      </c>
      <c r="E804" s="2831" t="s">
        <v>2174</v>
      </c>
    </row>
    <row r="805" spans="1:5">
      <c r="A805" s="2831">
        <v>644</v>
      </c>
      <c r="B805" s="2831" t="s">
        <v>2910</v>
      </c>
      <c r="C805" s="2831">
        <v>3065</v>
      </c>
      <c r="D805" s="2831" t="s">
        <v>3003</v>
      </c>
      <c r="E805" s="2831" t="s">
        <v>2169</v>
      </c>
    </row>
    <row r="806" spans="1:5">
      <c r="A806" s="2831">
        <v>644</v>
      </c>
      <c r="B806" s="2831" t="s">
        <v>2910</v>
      </c>
      <c r="C806" s="2831">
        <v>272</v>
      </c>
      <c r="D806" s="2831" t="s">
        <v>3004</v>
      </c>
      <c r="E806" s="2831" t="s">
        <v>2166</v>
      </c>
    </row>
    <row r="807" spans="1:5">
      <c r="A807" s="2831">
        <v>644</v>
      </c>
      <c r="B807" s="2831" t="s">
        <v>2910</v>
      </c>
      <c r="C807" s="2831">
        <v>409</v>
      </c>
      <c r="D807" s="2831" t="s">
        <v>3005</v>
      </c>
      <c r="E807" s="2831" t="s">
        <v>2169</v>
      </c>
    </row>
    <row r="808" spans="1:5">
      <c r="A808" s="2831">
        <v>644</v>
      </c>
      <c r="B808" s="2831" t="s">
        <v>2910</v>
      </c>
      <c r="C808" s="2831">
        <v>4065</v>
      </c>
      <c r="D808" s="2831" t="s">
        <v>3006</v>
      </c>
      <c r="E808" s="2831" t="s">
        <v>2174</v>
      </c>
    </row>
    <row r="809" spans="1:5">
      <c r="A809" s="2831">
        <v>644</v>
      </c>
      <c r="B809" s="2831" t="s">
        <v>2910</v>
      </c>
      <c r="C809" s="2831">
        <v>5065</v>
      </c>
      <c r="D809" s="2831" t="s">
        <v>3007</v>
      </c>
      <c r="E809" s="2831" t="s">
        <v>2169</v>
      </c>
    </row>
    <row r="810" spans="1:5">
      <c r="A810" s="2831">
        <v>644</v>
      </c>
      <c r="B810" s="2831" t="s">
        <v>2910</v>
      </c>
      <c r="C810" s="2831">
        <v>291</v>
      </c>
      <c r="D810" s="2831" t="s">
        <v>3008</v>
      </c>
      <c r="E810" s="2831" t="s">
        <v>2166</v>
      </c>
    </row>
    <row r="811" spans="1:5">
      <c r="A811" s="2831">
        <v>644</v>
      </c>
      <c r="B811" s="2831" t="s">
        <v>2910</v>
      </c>
      <c r="C811" s="2831">
        <v>290</v>
      </c>
      <c r="D811" s="2831" t="s">
        <v>2662</v>
      </c>
      <c r="E811" s="2831" t="s">
        <v>2166</v>
      </c>
    </row>
    <row r="812" spans="1:5">
      <c r="A812" s="2831">
        <v>644</v>
      </c>
      <c r="B812" s="2831" t="s">
        <v>2910</v>
      </c>
      <c r="C812" s="2831">
        <v>293</v>
      </c>
      <c r="D812" s="2831" t="s">
        <v>3009</v>
      </c>
      <c r="E812" s="2831" t="s">
        <v>2169</v>
      </c>
    </row>
    <row r="813" spans="1:5">
      <c r="A813" s="2831">
        <v>644</v>
      </c>
      <c r="B813" s="2831" t="s">
        <v>2910</v>
      </c>
      <c r="C813" s="2831">
        <v>3067</v>
      </c>
      <c r="D813" s="2831" t="s">
        <v>3010</v>
      </c>
      <c r="E813" s="2831" t="s">
        <v>2169</v>
      </c>
    </row>
    <row r="814" spans="1:5">
      <c r="A814" s="2831">
        <v>644</v>
      </c>
      <c r="B814" s="2831" t="s">
        <v>2910</v>
      </c>
      <c r="C814" s="2831">
        <v>4067</v>
      </c>
      <c r="D814" s="2831" t="s">
        <v>3011</v>
      </c>
      <c r="E814" s="2831" t="s">
        <v>2166</v>
      </c>
    </row>
    <row r="815" spans="1:5">
      <c r="A815" s="2831">
        <v>644</v>
      </c>
      <c r="B815" s="2831" t="s">
        <v>2910</v>
      </c>
      <c r="C815" s="2831">
        <v>5067</v>
      </c>
      <c r="D815" s="2831" t="s">
        <v>3012</v>
      </c>
      <c r="E815" s="2831" t="s">
        <v>2166</v>
      </c>
    </row>
    <row r="816" spans="1:5">
      <c r="A816" s="2831">
        <v>644</v>
      </c>
      <c r="B816" s="2831" t="s">
        <v>2910</v>
      </c>
      <c r="C816" s="2831">
        <v>497</v>
      </c>
      <c r="D816" s="2831" t="s">
        <v>3013</v>
      </c>
      <c r="E816" s="2831" t="s">
        <v>2166</v>
      </c>
    </row>
    <row r="817" spans="1:5">
      <c r="A817" s="2831">
        <v>644</v>
      </c>
      <c r="B817" s="2831" t="s">
        <v>2910</v>
      </c>
      <c r="C817" s="2831">
        <v>397</v>
      </c>
      <c r="D817" s="2831" t="s">
        <v>3014</v>
      </c>
      <c r="E817" s="2831" t="s">
        <v>2166</v>
      </c>
    </row>
    <row r="818" spans="1:5">
      <c r="A818" s="2831">
        <v>644</v>
      </c>
      <c r="B818" s="2831" t="s">
        <v>2910</v>
      </c>
      <c r="C818" s="2831">
        <v>575</v>
      </c>
      <c r="D818" s="2831" t="s">
        <v>3015</v>
      </c>
      <c r="E818" s="2831" t="s">
        <v>2169</v>
      </c>
    </row>
    <row r="819" spans="1:5">
      <c r="A819" s="2831">
        <v>644</v>
      </c>
      <c r="B819" s="2831" t="s">
        <v>2910</v>
      </c>
      <c r="C819" s="2831">
        <v>2068</v>
      </c>
      <c r="D819" s="2831" t="s">
        <v>3016</v>
      </c>
      <c r="E819" s="2831" t="s">
        <v>2166</v>
      </c>
    </row>
    <row r="820" spans="1:5">
      <c r="A820" s="2831">
        <v>644</v>
      </c>
      <c r="B820" s="2831" t="s">
        <v>2910</v>
      </c>
      <c r="C820" s="2831">
        <v>276</v>
      </c>
      <c r="D820" s="2831" t="s">
        <v>3017</v>
      </c>
      <c r="E820" s="2831" t="s">
        <v>2169</v>
      </c>
    </row>
    <row r="821" spans="1:5">
      <c r="A821" s="2831">
        <v>644</v>
      </c>
      <c r="B821" s="2831" t="s">
        <v>2910</v>
      </c>
      <c r="C821" s="2831">
        <v>506</v>
      </c>
      <c r="D821" s="2831" t="s">
        <v>3018</v>
      </c>
      <c r="E821" s="2831" t="s">
        <v>2174</v>
      </c>
    </row>
    <row r="822" spans="1:5">
      <c r="A822" s="2831">
        <v>644</v>
      </c>
      <c r="B822" s="2831" t="s">
        <v>2910</v>
      </c>
      <c r="C822" s="2831">
        <v>4068</v>
      </c>
      <c r="D822" s="2831" t="s">
        <v>3019</v>
      </c>
      <c r="E822" s="2831" t="s">
        <v>2166</v>
      </c>
    </row>
    <row r="823" spans="1:5">
      <c r="A823" s="2831">
        <v>644</v>
      </c>
      <c r="B823" s="2831" t="s">
        <v>2910</v>
      </c>
      <c r="C823" s="2831">
        <v>315</v>
      </c>
      <c r="D823" s="2831" t="s">
        <v>3020</v>
      </c>
      <c r="E823" s="2831" t="s">
        <v>2169</v>
      </c>
    </row>
    <row r="824" spans="1:5">
      <c r="A824" s="2831">
        <v>644</v>
      </c>
      <c r="B824" s="2831" t="s">
        <v>2910</v>
      </c>
      <c r="C824" s="2831">
        <v>507</v>
      </c>
      <c r="D824" s="2831" t="s">
        <v>3021</v>
      </c>
      <c r="E824" s="2831" t="s">
        <v>2166</v>
      </c>
    </row>
    <row r="825" spans="1:5">
      <c r="A825" s="2831">
        <v>644</v>
      </c>
      <c r="B825" s="2831" t="s">
        <v>2910</v>
      </c>
      <c r="C825" s="2831">
        <v>3069</v>
      </c>
      <c r="D825" s="2831" t="s">
        <v>3022</v>
      </c>
      <c r="E825" s="2831" t="s">
        <v>2166</v>
      </c>
    </row>
    <row r="826" spans="1:5">
      <c r="A826" s="2831">
        <v>644</v>
      </c>
      <c r="B826" s="2831" t="s">
        <v>2910</v>
      </c>
      <c r="C826" s="2831">
        <v>4069</v>
      </c>
      <c r="D826" s="2831" t="s">
        <v>3023</v>
      </c>
      <c r="E826" s="2831" t="s">
        <v>2169</v>
      </c>
    </row>
    <row r="827" spans="1:5">
      <c r="A827" s="2831">
        <v>644</v>
      </c>
      <c r="B827" s="2831" t="s">
        <v>2910</v>
      </c>
      <c r="C827" s="2831">
        <v>1070</v>
      </c>
      <c r="D827" s="2831" t="s">
        <v>3024</v>
      </c>
      <c r="E827" s="2831" t="s">
        <v>2169</v>
      </c>
    </row>
    <row r="828" spans="1:5">
      <c r="A828" s="2831">
        <v>644</v>
      </c>
      <c r="B828" s="2831" t="s">
        <v>2910</v>
      </c>
      <c r="C828" s="2831">
        <v>605</v>
      </c>
      <c r="D828" s="2831" t="s">
        <v>3025</v>
      </c>
      <c r="E828" s="2831" t="s">
        <v>2169</v>
      </c>
    </row>
    <row r="829" spans="1:5">
      <c r="A829" s="2831">
        <v>644</v>
      </c>
      <c r="B829" s="2831" t="s">
        <v>2910</v>
      </c>
      <c r="C829" s="2831">
        <v>173</v>
      </c>
      <c r="D829" s="2831" t="s">
        <v>3026</v>
      </c>
      <c r="E829" s="2831" t="s">
        <v>2174</v>
      </c>
    </row>
    <row r="830" spans="1:5">
      <c r="A830" s="2831">
        <v>644</v>
      </c>
      <c r="B830" s="2831" t="s">
        <v>2910</v>
      </c>
      <c r="C830" s="2831">
        <v>309</v>
      </c>
      <c r="D830" s="2831" t="s">
        <v>3027</v>
      </c>
      <c r="E830" s="2831" t="s">
        <v>2174</v>
      </c>
    </row>
    <row r="831" spans="1:5">
      <c r="A831" s="2831">
        <v>644</v>
      </c>
      <c r="B831" s="2831" t="s">
        <v>2910</v>
      </c>
      <c r="C831" s="2831">
        <v>675</v>
      </c>
      <c r="D831" s="2831" t="s">
        <v>3028</v>
      </c>
      <c r="E831" s="2831" t="s">
        <v>2169</v>
      </c>
    </row>
    <row r="832" spans="1:5">
      <c r="A832" s="2831">
        <v>644</v>
      </c>
      <c r="B832" s="2831" t="s">
        <v>2910</v>
      </c>
      <c r="C832" s="2831">
        <v>1071</v>
      </c>
      <c r="D832" s="2831" t="s">
        <v>3029</v>
      </c>
      <c r="E832" s="2831" t="s">
        <v>2174</v>
      </c>
    </row>
    <row r="833" spans="1:5">
      <c r="A833" s="2831">
        <v>644</v>
      </c>
      <c r="B833" s="2831" t="s">
        <v>2910</v>
      </c>
      <c r="C833" s="2831">
        <v>102</v>
      </c>
      <c r="D833" s="2831" t="s">
        <v>3030</v>
      </c>
      <c r="E833" s="2831" t="s">
        <v>2169</v>
      </c>
    </row>
    <row r="834" spans="1:5">
      <c r="A834" s="2831">
        <v>643</v>
      </c>
      <c r="B834" s="2831" t="s">
        <v>3031</v>
      </c>
      <c r="C834" s="2831">
        <v>3050</v>
      </c>
      <c r="D834" s="2831" t="s">
        <v>3032</v>
      </c>
      <c r="E834" s="2831" t="s">
        <v>2174</v>
      </c>
    </row>
    <row r="835" spans="1:5">
      <c r="A835" s="2831">
        <v>643</v>
      </c>
      <c r="B835" s="2831" t="s">
        <v>3031</v>
      </c>
      <c r="C835" s="2831">
        <v>2050</v>
      </c>
      <c r="D835" s="2831" t="s">
        <v>3033</v>
      </c>
      <c r="E835" s="2831" t="s">
        <v>2169</v>
      </c>
    </row>
    <row r="836" spans="1:5">
      <c r="A836" s="2831">
        <v>643</v>
      </c>
      <c r="B836" s="2831" t="s">
        <v>3031</v>
      </c>
      <c r="C836" s="2831">
        <v>2052</v>
      </c>
      <c r="D836" s="2831" t="s">
        <v>3034</v>
      </c>
      <c r="E836" s="2831" t="s">
        <v>2174</v>
      </c>
    </row>
    <row r="837" spans="1:5">
      <c r="A837" s="2831">
        <v>643</v>
      </c>
      <c r="B837" s="2831" t="s">
        <v>3031</v>
      </c>
      <c r="C837" s="2831">
        <v>4052</v>
      </c>
      <c r="D837" s="2831" t="s">
        <v>3035</v>
      </c>
      <c r="E837" s="2831" t="s">
        <v>2169</v>
      </c>
    </row>
    <row r="838" spans="1:5">
      <c r="A838" s="2831">
        <v>643</v>
      </c>
      <c r="B838" s="2831" t="s">
        <v>3031</v>
      </c>
      <c r="C838" s="2831">
        <v>116</v>
      </c>
      <c r="D838" s="2831" t="s">
        <v>3036</v>
      </c>
      <c r="E838" s="2831" t="s">
        <v>2166</v>
      </c>
    </row>
    <row r="839" spans="1:5">
      <c r="A839" s="2831">
        <v>643</v>
      </c>
      <c r="B839" s="2831" t="s">
        <v>3031</v>
      </c>
      <c r="C839" s="2831">
        <v>105</v>
      </c>
      <c r="D839" s="2831" t="s">
        <v>3037</v>
      </c>
      <c r="E839" s="2831" t="s">
        <v>2169</v>
      </c>
    </row>
    <row r="840" spans="1:5">
      <c r="A840" s="2831">
        <v>645</v>
      </c>
      <c r="B840" s="2831" t="s">
        <v>3038</v>
      </c>
      <c r="C840" s="2831">
        <v>293</v>
      </c>
      <c r="D840" s="2831" t="s">
        <v>3039</v>
      </c>
      <c r="E840" s="2831" t="s">
        <v>2174</v>
      </c>
    </row>
    <row r="841" spans="1:5">
      <c r="A841" s="2831">
        <v>645</v>
      </c>
      <c r="B841" s="2831" t="s">
        <v>3038</v>
      </c>
      <c r="C841" s="2831">
        <v>103</v>
      </c>
      <c r="D841" s="2831" t="s">
        <v>3040</v>
      </c>
      <c r="E841" s="2831" t="s">
        <v>2169</v>
      </c>
    </row>
    <row r="842" spans="1:5">
      <c r="A842" s="2831">
        <v>645</v>
      </c>
      <c r="B842" s="2831" t="s">
        <v>3038</v>
      </c>
      <c r="C842" s="2831">
        <v>180</v>
      </c>
      <c r="D842" s="2831" t="s">
        <v>3041</v>
      </c>
      <c r="E842" s="2831" t="s">
        <v>2169</v>
      </c>
    </row>
    <row r="843" spans="1:5">
      <c r="A843" s="2831">
        <v>646</v>
      </c>
      <c r="B843" s="2831" t="s">
        <v>3042</v>
      </c>
      <c r="C843" s="2831">
        <v>104</v>
      </c>
      <c r="D843" s="2831" t="s">
        <v>3043</v>
      </c>
      <c r="E843" s="2831" t="s">
        <v>2169</v>
      </c>
    </row>
    <row r="844" spans="1:5">
      <c r="A844" s="2831">
        <v>646</v>
      </c>
      <c r="B844" s="2831" t="s">
        <v>3042</v>
      </c>
      <c r="C844" s="2831">
        <v>182</v>
      </c>
      <c r="D844" s="2831" t="s">
        <v>3044</v>
      </c>
      <c r="E844" s="2831" t="s">
        <v>2169</v>
      </c>
    </row>
    <row r="845" spans="1:5">
      <c r="A845" s="2831">
        <v>646</v>
      </c>
      <c r="B845" s="2831" t="s">
        <v>3042</v>
      </c>
      <c r="C845" s="2831">
        <v>204</v>
      </c>
      <c r="D845" s="2831" t="s">
        <v>3045</v>
      </c>
      <c r="E845" s="2831" t="s">
        <v>2166</v>
      </c>
    </row>
    <row r="846" spans="1:5">
      <c r="A846" s="2831">
        <v>647</v>
      </c>
      <c r="B846" s="2831" t="s">
        <v>3046</v>
      </c>
      <c r="C846" s="2831">
        <v>101</v>
      </c>
      <c r="D846" s="2831" t="s">
        <v>3047</v>
      </c>
      <c r="E846" s="2831" t="s">
        <v>2174</v>
      </c>
    </row>
    <row r="847" spans="1:5">
      <c r="A847" s="2831">
        <v>647</v>
      </c>
      <c r="B847" s="2831" t="s">
        <v>3046</v>
      </c>
      <c r="C847" s="2831">
        <v>299</v>
      </c>
      <c r="D847" s="2831" t="s">
        <v>3048</v>
      </c>
      <c r="E847" s="2831" t="s">
        <v>2166</v>
      </c>
    </row>
    <row r="848" spans="1:5">
      <c r="A848" s="2831">
        <v>647</v>
      </c>
      <c r="B848" s="2831" t="s">
        <v>3046</v>
      </c>
      <c r="C848" s="2831">
        <v>2052</v>
      </c>
      <c r="D848" s="2831" t="s">
        <v>3049</v>
      </c>
      <c r="E848" s="2831" t="s">
        <v>2166</v>
      </c>
    </row>
    <row r="849" spans="1:5">
      <c r="A849" s="2831">
        <v>647</v>
      </c>
      <c r="B849" s="2831" t="s">
        <v>3046</v>
      </c>
      <c r="C849" s="2831">
        <v>5056</v>
      </c>
      <c r="D849" s="2831" t="s">
        <v>3050</v>
      </c>
      <c r="E849" s="2831" t="s">
        <v>2166</v>
      </c>
    </row>
    <row r="850" spans="1:5">
      <c r="A850" s="2831">
        <v>647</v>
      </c>
      <c r="B850" s="2831" t="s">
        <v>3046</v>
      </c>
      <c r="C850" s="2831">
        <v>4054</v>
      </c>
      <c r="D850" s="2831" t="s">
        <v>3051</v>
      </c>
      <c r="E850" s="2831" t="s">
        <v>2174</v>
      </c>
    </row>
    <row r="851" spans="1:5">
      <c r="A851" s="2831">
        <v>647</v>
      </c>
      <c r="B851" s="2831" t="s">
        <v>3046</v>
      </c>
      <c r="C851" s="2831">
        <v>199</v>
      </c>
      <c r="D851" s="2831" t="s">
        <v>3052</v>
      </c>
      <c r="E851" s="2831" t="s">
        <v>2174</v>
      </c>
    </row>
    <row r="852" spans="1:5">
      <c r="A852" s="2831">
        <v>647</v>
      </c>
      <c r="B852" s="2831" t="s">
        <v>3046</v>
      </c>
      <c r="C852" s="2831">
        <v>205</v>
      </c>
      <c r="D852" s="2831" t="s">
        <v>3053</v>
      </c>
      <c r="E852" s="2831" t="s">
        <v>2174</v>
      </c>
    </row>
    <row r="853" spans="1:5">
      <c r="A853" s="2831">
        <v>647</v>
      </c>
      <c r="B853" s="2831" t="s">
        <v>3046</v>
      </c>
      <c r="C853" s="2831">
        <v>102</v>
      </c>
      <c r="D853" s="2831" t="s">
        <v>3054</v>
      </c>
      <c r="E853" s="2831" t="s">
        <v>2166</v>
      </c>
    </row>
    <row r="854" spans="1:5">
      <c r="A854" s="2831">
        <v>647</v>
      </c>
      <c r="B854" s="2831" t="s">
        <v>3046</v>
      </c>
      <c r="C854" s="2831">
        <v>399</v>
      </c>
      <c r="D854" s="2831" t="s">
        <v>2640</v>
      </c>
      <c r="E854" s="2831" t="s">
        <v>2169</v>
      </c>
    </row>
    <row r="855" spans="1:5">
      <c r="A855" s="2831">
        <v>647</v>
      </c>
      <c r="B855" s="2831" t="s">
        <v>3046</v>
      </c>
      <c r="C855" s="2831">
        <v>4056</v>
      </c>
      <c r="D855" s="2831" t="s">
        <v>3055</v>
      </c>
      <c r="E855" s="2831" t="s">
        <v>2166</v>
      </c>
    </row>
    <row r="856" spans="1:5">
      <c r="A856" s="2831">
        <v>647</v>
      </c>
      <c r="B856" s="2831" t="s">
        <v>3046</v>
      </c>
      <c r="C856" s="2831">
        <v>1058</v>
      </c>
      <c r="D856" s="2831" t="s">
        <v>3056</v>
      </c>
      <c r="E856" s="2831" t="s">
        <v>2174</v>
      </c>
    </row>
    <row r="857" spans="1:5">
      <c r="A857" s="2831">
        <v>647</v>
      </c>
      <c r="B857" s="2831" t="s">
        <v>3046</v>
      </c>
      <c r="C857" s="2831">
        <v>2058</v>
      </c>
      <c r="D857" s="2831" t="s">
        <v>2240</v>
      </c>
      <c r="E857" s="2831" t="s">
        <v>2174</v>
      </c>
    </row>
    <row r="858" spans="1:5">
      <c r="A858" s="2831">
        <v>647</v>
      </c>
      <c r="B858" s="2831" t="s">
        <v>3046</v>
      </c>
      <c r="C858" s="2831">
        <v>3058</v>
      </c>
      <c r="D858" s="2831" t="s">
        <v>2870</v>
      </c>
      <c r="E858" s="2831" t="s">
        <v>2166</v>
      </c>
    </row>
    <row r="859" spans="1:5">
      <c r="A859" s="2831">
        <v>647</v>
      </c>
      <c r="B859" s="2831" t="s">
        <v>3046</v>
      </c>
      <c r="C859" s="2831">
        <v>5058</v>
      </c>
      <c r="D859" s="2831" t="s">
        <v>3057</v>
      </c>
      <c r="E859" s="2831" t="s">
        <v>2166</v>
      </c>
    </row>
    <row r="860" spans="1:5">
      <c r="A860" s="2831">
        <v>647</v>
      </c>
      <c r="B860" s="2831" t="s">
        <v>3046</v>
      </c>
      <c r="C860" s="2831">
        <v>106</v>
      </c>
      <c r="D860" s="2831" t="s">
        <v>3058</v>
      </c>
      <c r="E860" s="2831" t="s">
        <v>2166</v>
      </c>
    </row>
    <row r="861" spans="1:5">
      <c r="A861" s="2831">
        <v>647</v>
      </c>
      <c r="B861" s="2831" t="s">
        <v>3046</v>
      </c>
      <c r="C861" s="2831">
        <v>103</v>
      </c>
      <c r="D861" s="2831" t="s">
        <v>3059</v>
      </c>
      <c r="E861" s="2831" t="s">
        <v>2174</v>
      </c>
    </row>
    <row r="862" spans="1:5">
      <c r="A862" s="2831">
        <v>647</v>
      </c>
      <c r="B862" s="2831" t="s">
        <v>3046</v>
      </c>
      <c r="C862" s="2831">
        <v>105</v>
      </c>
      <c r="D862" s="2831" t="s">
        <v>3060</v>
      </c>
      <c r="E862" s="2831" t="s">
        <v>2169</v>
      </c>
    </row>
    <row r="863" spans="1:5">
      <c r="A863" s="2831">
        <v>647</v>
      </c>
      <c r="B863" s="2831" t="s">
        <v>3046</v>
      </c>
      <c r="C863" s="2831">
        <v>4060</v>
      </c>
      <c r="D863" s="2831" t="s">
        <v>3061</v>
      </c>
      <c r="E863" s="2831" t="s">
        <v>2174</v>
      </c>
    </row>
    <row r="864" spans="1:5">
      <c r="A864" s="2831">
        <v>647</v>
      </c>
      <c r="B864" s="2831" t="s">
        <v>3046</v>
      </c>
      <c r="C864" s="2831">
        <v>3062</v>
      </c>
      <c r="D864" s="2831" t="s">
        <v>3062</v>
      </c>
      <c r="E864" s="2831" t="s">
        <v>2166</v>
      </c>
    </row>
    <row r="865" spans="1:5">
      <c r="A865" s="2831">
        <v>647</v>
      </c>
      <c r="B865" s="2831" t="s">
        <v>3046</v>
      </c>
      <c r="C865" s="2831">
        <v>5062</v>
      </c>
      <c r="D865" s="2831" t="s">
        <v>3063</v>
      </c>
      <c r="E865" s="2831" t="s">
        <v>2174</v>
      </c>
    </row>
    <row r="866" spans="1:5">
      <c r="A866" s="2831">
        <v>647</v>
      </c>
      <c r="B866" s="2831" t="s">
        <v>3046</v>
      </c>
      <c r="C866" s="2831">
        <v>4062</v>
      </c>
      <c r="D866" s="2831" t="s">
        <v>3064</v>
      </c>
      <c r="E866" s="2831" t="s">
        <v>2174</v>
      </c>
    </row>
    <row r="867" spans="1:5">
      <c r="A867" s="2831">
        <v>648</v>
      </c>
      <c r="B867" s="2831" t="s">
        <v>3065</v>
      </c>
      <c r="C867" s="2831">
        <v>187</v>
      </c>
      <c r="D867" s="2831" t="s">
        <v>3066</v>
      </c>
      <c r="E867" s="2831" t="s">
        <v>2169</v>
      </c>
    </row>
    <row r="868" spans="1:5">
      <c r="A868" s="2831">
        <v>648</v>
      </c>
      <c r="B868" s="2831" t="s">
        <v>3065</v>
      </c>
      <c r="C868" s="2831">
        <v>5052</v>
      </c>
      <c r="D868" s="2831" t="s">
        <v>3067</v>
      </c>
      <c r="E868" s="2831" t="s">
        <v>2166</v>
      </c>
    </row>
    <row r="869" spans="1:5">
      <c r="A869" s="2831">
        <v>648</v>
      </c>
      <c r="B869" s="2831" t="s">
        <v>3065</v>
      </c>
      <c r="C869" s="2831">
        <v>178</v>
      </c>
      <c r="D869" s="2831" t="s">
        <v>3068</v>
      </c>
      <c r="E869" s="2831" t="s">
        <v>2174</v>
      </c>
    </row>
    <row r="870" spans="1:5">
      <c r="A870" s="2831">
        <v>648</v>
      </c>
      <c r="B870" s="2831" t="s">
        <v>3065</v>
      </c>
      <c r="C870" s="2831">
        <v>2050</v>
      </c>
      <c r="D870" s="2831" t="s">
        <v>3069</v>
      </c>
      <c r="E870" s="2831" t="s">
        <v>2166</v>
      </c>
    </row>
    <row r="871" spans="1:5">
      <c r="A871" s="2831">
        <v>648</v>
      </c>
      <c r="B871" s="2831" t="s">
        <v>3065</v>
      </c>
      <c r="C871" s="2831">
        <v>107</v>
      </c>
      <c r="D871" s="2831" t="s">
        <v>3070</v>
      </c>
      <c r="E871" s="2831" t="s">
        <v>2169</v>
      </c>
    </row>
    <row r="872" spans="1:5">
      <c r="A872" s="2831">
        <v>648</v>
      </c>
      <c r="B872" s="2831" t="s">
        <v>3065</v>
      </c>
      <c r="C872" s="2831">
        <v>198</v>
      </c>
      <c r="D872" s="2831" t="s">
        <v>3071</v>
      </c>
      <c r="E872" s="2831" t="s">
        <v>2174</v>
      </c>
    </row>
    <row r="873" spans="1:5">
      <c r="A873" s="2831">
        <v>648</v>
      </c>
      <c r="B873" s="2831" t="s">
        <v>3065</v>
      </c>
      <c r="C873" s="2831">
        <v>407</v>
      </c>
      <c r="D873" s="2831" t="s">
        <v>3072</v>
      </c>
      <c r="E873" s="2831" t="s">
        <v>2166</v>
      </c>
    </row>
    <row r="874" spans="1:5">
      <c r="A874" s="2831">
        <v>648</v>
      </c>
      <c r="B874" s="2831" t="s">
        <v>3065</v>
      </c>
      <c r="C874" s="2831">
        <v>398</v>
      </c>
      <c r="D874" s="2831" t="s">
        <v>3073</v>
      </c>
      <c r="E874" s="2831" t="s">
        <v>2169</v>
      </c>
    </row>
    <row r="875" spans="1:5">
      <c r="A875" s="2831">
        <v>648</v>
      </c>
      <c r="B875" s="2831" t="s">
        <v>3065</v>
      </c>
      <c r="C875" s="2831">
        <v>208</v>
      </c>
      <c r="D875" s="2831" t="s">
        <v>2929</v>
      </c>
      <c r="E875" s="2831" t="s">
        <v>2169</v>
      </c>
    </row>
    <row r="876" spans="1:5">
      <c r="A876" s="2831">
        <v>648</v>
      </c>
      <c r="B876" s="2831" t="s">
        <v>3065</v>
      </c>
      <c r="C876" s="2831">
        <v>100</v>
      </c>
      <c r="D876" s="2831" t="s">
        <v>3074</v>
      </c>
      <c r="E876" s="2831" t="s">
        <v>2169</v>
      </c>
    </row>
    <row r="877" spans="1:5">
      <c r="A877" s="2831">
        <v>648</v>
      </c>
      <c r="B877" s="2831" t="s">
        <v>3065</v>
      </c>
      <c r="C877" s="2831">
        <v>3550</v>
      </c>
      <c r="D877" s="2831" t="s">
        <v>2930</v>
      </c>
      <c r="E877" s="2831" t="s">
        <v>2166</v>
      </c>
    </row>
    <row r="878" spans="1:5">
      <c r="A878" s="2831">
        <v>648</v>
      </c>
      <c r="B878" s="2831" t="s">
        <v>3065</v>
      </c>
      <c r="C878" s="2831">
        <v>188</v>
      </c>
      <c r="D878" s="2831" t="s">
        <v>3075</v>
      </c>
      <c r="E878" s="2831" t="s">
        <v>2169</v>
      </c>
    </row>
    <row r="879" spans="1:5">
      <c r="A879" s="2831">
        <v>648</v>
      </c>
      <c r="B879" s="2831" t="s">
        <v>3065</v>
      </c>
      <c r="C879" s="2831">
        <v>184</v>
      </c>
      <c r="D879" s="2831" t="s">
        <v>3076</v>
      </c>
      <c r="E879" s="2831" t="s">
        <v>2166</v>
      </c>
    </row>
    <row r="880" spans="1:5">
      <c r="A880" s="2831">
        <v>648</v>
      </c>
      <c r="B880" s="2831" t="s">
        <v>3065</v>
      </c>
      <c r="C880" s="2831">
        <v>4050</v>
      </c>
      <c r="D880" s="2831" t="s">
        <v>3077</v>
      </c>
      <c r="E880" s="2831" t="s">
        <v>2166</v>
      </c>
    </row>
    <row r="881" spans="1:5">
      <c r="A881" s="2831">
        <v>648</v>
      </c>
      <c r="B881" s="2831" t="s">
        <v>3065</v>
      </c>
      <c r="C881" s="2831">
        <v>498</v>
      </c>
      <c r="D881" s="2831" t="s">
        <v>2790</v>
      </c>
      <c r="E881" s="2831" t="s">
        <v>2169</v>
      </c>
    </row>
    <row r="882" spans="1:5">
      <c r="A882" s="2831">
        <v>648</v>
      </c>
      <c r="B882" s="2831" t="s">
        <v>3065</v>
      </c>
      <c r="C882" s="2831">
        <v>213</v>
      </c>
      <c r="D882" s="2831" t="s">
        <v>3078</v>
      </c>
      <c r="E882" s="2831" t="s">
        <v>2166</v>
      </c>
    </row>
    <row r="883" spans="1:5">
      <c r="A883" s="2831">
        <v>648</v>
      </c>
      <c r="B883" s="2831" t="s">
        <v>3065</v>
      </c>
      <c r="C883" s="2831">
        <v>108</v>
      </c>
      <c r="D883" s="2831" t="s">
        <v>3079</v>
      </c>
      <c r="E883" s="2831" t="s">
        <v>2169</v>
      </c>
    </row>
    <row r="884" spans="1:5">
      <c r="A884" s="2831">
        <v>648</v>
      </c>
      <c r="B884" s="2831" t="s">
        <v>3065</v>
      </c>
      <c r="C884" s="2831">
        <v>180</v>
      </c>
      <c r="D884" s="2831" t="s">
        <v>3080</v>
      </c>
      <c r="E884" s="2831" t="s">
        <v>2169</v>
      </c>
    </row>
    <row r="885" spans="1:5">
      <c r="A885" s="2831">
        <v>648</v>
      </c>
      <c r="B885" s="2831" t="s">
        <v>3065</v>
      </c>
      <c r="C885" s="2831">
        <v>200</v>
      </c>
      <c r="D885" s="2831" t="s">
        <v>2546</v>
      </c>
      <c r="E885" s="2831" t="s">
        <v>2169</v>
      </c>
    </row>
    <row r="886" spans="1:5">
      <c r="A886" s="2831">
        <v>648</v>
      </c>
      <c r="B886" s="2831" t="s">
        <v>3065</v>
      </c>
      <c r="C886" s="2831">
        <v>175</v>
      </c>
      <c r="D886" s="2831" t="s">
        <v>3081</v>
      </c>
      <c r="E886" s="2831" t="s">
        <v>2166</v>
      </c>
    </row>
    <row r="887" spans="1:5">
      <c r="A887" s="2831">
        <v>648</v>
      </c>
      <c r="B887" s="2831" t="s">
        <v>3065</v>
      </c>
      <c r="C887" s="2831">
        <v>3052</v>
      </c>
      <c r="D887" s="2831" t="s">
        <v>3082</v>
      </c>
      <c r="E887" s="2831" t="s">
        <v>2169</v>
      </c>
    </row>
    <row r="888" spans="1:5">
      <c r="A888" s="2831">
        <v>648</v>
      </c>
      <c r="B888" s="2831" t="s">
        <v>3065</v>
      </c>
      <c r="C888" s="2831">
        <v>112</v>
      </c>
      <c r="D888" s="2831" t="s">
        <v>3083</v>
      </c>
      <c r="E888" s="2831" t="s">
        <v>2169</v>
      </c>
    </row>
    <row r="889" spans="1:5">
      <c r="A889" s="2831">
        <v>648</v>
      </c>
      <c r="B889" s="2831" t="s">
        <v>3065</v>
      </c>
      <c r="C889" s="2831">
        <v>113</v>
      </c>
      <c r="D889" s="2831" t="s">
        <v>3084</v>
      </c>
      <c r="E889" s="2831" t="s">
        <v>2174</v>
      </c>
    </row>
    <row r="890" spans="1:5">
      <c r="A890" s="2831">
        <v>648</v>
      </c>
      <c r="B890" s="2831" t="s">
        <v>3065</v>
      </c>
      <c r="C890" s="2831">
        <v>303</v>
      </c>
      <c r="D890" s="2831" t="s">
        <v>3085</v>
      </c>
      <c r="E890" s="2831" t="s">
        <v>2169</v>
      </c>
    </row>
    <row r="891" spans="1:5">
      <c r="A891" s="2831">
        <v>648</v>
      </c>
      <c r="B891" s="2831" t="s">
        <v>3065</v>
      </c>
      <c r="C891" s="2831">
        <v>4052</v>
      </c>
      <c r="D891" s="2831" t="s">
        <v>3086</v>
      </c>
      <c r="E891" s="2831" t="s">
        <v>2174</v>
      </c>
    </row>
    <row r="892" spans="1:5">
      <c r="A892" s="2831">
        <v>648</v>
      </c>
      <c r="B892" s="2831" t="s">
        <v>3065</v>
      </c>
      <c r="C892" s="2831">
        <v>203</v>
      </c>
      <c r="D892" s="2831" t="s">
        <v>3087</v>
      </c>
      <c r="E892" s="2831" t="s">
        <v>2174</v>
      </c>
    </row>
    <row r="893" spans="1:5">
      <c r="A893" s="2831">
        <v>648</v>
      </c>
      <c r="B893" s="2831" t="s">
        <v>3065</v>
      </c>
      <c r="C893" s="2831">
        <v>212</v>
      </c>
      <c r="D893" s="2831" t="s">
        <v>3088</v>
      </c>
      <c r="E893" s="2831" t="s">
        <v>2166</v>
      </c>
    </row>
    <row r="894" spans="1:5">
      <c r="A894" s="2831">
        <v>648</v>
      </c>
      <c r="B894" s="2831" t="s">
        <v>3065</v>
      </c>
      <c r="C894" s="2831">
        <v>104</v>
      </c>
      <c r="D894" s="2831" t="s">
        <v>3089</v>
      </c>
      <c r="E894" s="2831" t="s">
        <v>2174</v>
      </c>
    </row>
    <row r="895" spans="1:5">
      <c r="A895" s="2831">
        <v>648</v>
      </c>
      <c r="B895" s="2831" t="s">
        <v>3065</v>
      </c>
      <c r="C895" s="2831">
        <v>193</v>
      </c>
      <c r="D895" s="2831" t="s">
        <v>3090</v>
      </c>
      <c r="E895" s="2831" t="s">
        <v>2174</v>
      </c>
    </row>
    <row r="896" spans="1:5">
      <c r="A896" s="2831">
        <v>648</v>
      </c>
      <c r="B896" s="2831" t="s">
        <v>3065</v>
      </c>
      <c r="C896" s="2831">
        <v>5050</v>
      </c>
      <c r="D896" s="2831" t="s">
        <v>3091</v>
      </c>
      <c r="E896" s="2831" t="s">
        <v>2174</v>
      </c>
    </row>
    <row r="897" spans="1:5">
      <c r="A897" s="2831">
        <v>648</v>
      </c>
      <c r="B897" s="2831" t="s">
        <v>3065</v>
      </c>
      <c r="C897" s="2831">
        <v>298</v>
      </c>
      <c r="D897" s="2831" t="s">
        <v>3092</v>
      </c>
      <c r="E897" s="2831" t="s">
        <v>2166</v>
      </c>
    </row>
    <row r="898" spans="1:5">
      <c r="A898" s="2831">
        <v>648</v>
      </c>
      <c r="B898" s="2831" t="s">
        <v>3065</v>
      </c>
      <c r="C898" s="2831">
        <v>2054</v>
      </c>
      <c r="D898" s="2831" t="s">
        <v>3093</v>
      </c>
      <c r="E898" s="2831" t="s">
        <v>2169</v>
      </c>
    </row>
    <row r="899" spans="1:5">
      <c r="A899" s="2831">
        <v>648</v>
      </c>
      <c r="B899" s="2831" t="s">
        <v>3065</v>
      </c>
      <c r="C899" s="2831">
        <v>1054</v>
      </c>
      <c r="D899" s="2831" t="s">
        <v>3094</v>
      </c>
      <c r="E899" s="2831" t="s">
        <v>2174</v>
      </c>
    </row>
    <row r="900" spans="1:5">
      <c r="A900" s="2831">
        <v>648</v>
      </c>
      <c r="B900" s="2831" t="s">
        <v>3065</v>
      </c>
      <c r="C900" s="2831">
        <v>103</v>
      </c>
      <c r="D900" s="2831" t="s">
        <v>3095</v>
      </c>
      <c r="E900" s="2831" t="s">
        <v>2169</v>
      </c>
    </row>
    <row r="901" spans="1:5">
      <c r="A901" s="2831">
        <v>774</v>
      </c>
      <c r="B901" s="2831" t="s">
        <v>3096</v>
      </c>
      <c r="C901" s="2831">
        <v>211</v>
      </c>
      <c r="D901" s="2831" t="s">
        <v>3097</v>
      </c>
      <c r="E901" s="2831" t="s">
        <v>2166</v>
      </c>
    </row>
    <row r="902" spans="1:5">
      <c r="A902" s="2831">
        <v>774</v>
      </c>
      <c r="B902" s="2831" t="s">
        <v>3096</v>
      </c>
      <c r="C902" s="2831">
        <v>102</v>
      </c>
      <c r="D902" s="2831" t="s">
        <v>3098</v>
      </c>
      <c r="E902" s="2831" t="s">
        <v>2166</v>
      </c>
    </row>
    <row r="903" spans="1:5">
      <c r="A903" s="2831">
        <v>774</v>
      </c>
      <c r="B903" s="2831" t="s">
        <v>3096</v>
      </c>
      <c r="C903" s="2831">
        <v>112</v>
      </c>
      <c r="D903" s="2831" t="s">
        <v>3099</v>
      </c>
      <c r="E903" s="2831" t="s">
        <v>2174</v>
      </c>
    </row>
    <row r="904" spans="1:5">
      <c r="A904" s="2831">
        <v>774</v>
      </c>
      <c r="B904" s="2831" t="s">
        <v>3096</v>
      </c>
      <c r="C904" s="2831">
        <v>412</v>
      </c>
      <c r="D904" s="2831" t="s">
        <v>3100</v>
      </c>
      <c r="E904" s="2831" t="s">
        <v>2166</v>
      </c>
    </row>
    <row r="905" spans="1:5">
      <c r="A905" s="2831">
        <v>774</v>
      </c>
      <c r="B905" s="2831" t="s">
        <v>3096</v>
      </c>
      <c r="C905" s="2831">
        <v>312</v>
      </c>
      <c r="D905" s="2831" t="s">
        <v>3101</v>
      </c>
      <c r="E905" s="2831" t="s">
        <v>2174</v>
      </c>
    </row>
    <row r="906" spans="1:5">
      <c r="A906" s="2831">
        <v>649</v>
      </c>
      <c r="B906" s="2831" t="s">
        <v>3102</v>
      </c>
      <c r="C906" s="2831">
        <v>194</v>
      </c>
      <c r="D906" s="2831" t="s">
        <v>3103</v>
      </c>
      <c r="E906" s="2831" t="s">
        <v>2166</v>
      </c>
    </row>
    <row r="907" spans="1:5">
      <c r="A907" s="2831">
        <v>649</v>
      </c>
      <c r="B907" s="2831" t="s">
        <v>3102</v>
      </c>
      <c r="C907" s="2831">
        <v>2050</v>
      </c>
      <c r="D907" s="2831" t="s">
        <v>3104</v>
      </c>
      <c r="E907" s="2831" t="s">
        <v>2169</v>
      </c>
    </row>
    <row r="908" spans="1:5">
      <c r="A908" s="2831">
        <v>649</v>
      </c>
      <c r="B908" s="2831" t="s">
        <v>3102</v>
      </c>
      <c r="C908" s="2831">
        <v>197</v>
      </c>
      <c r="D908" s="2831" t="s">
        <v>3105</v>
      </c>
      <c r="E908" s="2831" t="s">
        <v>2169</v>
      </c>
    </row>
    <row r="909" spans="1:5">
      <c r="A909" s="2831">
        <v>650</v>
      </c>
      <c r="B909" s="2831" t="s">
        <v>3106</v>
      </c>
      <c r="C909" s="2831">
        <v>112</v>
      </c>
      <c r="D909" s="2831" t="s">
        <v>3107</v>
      </c>
      <c r="E909" s="2831" t="s">
        <v>2166</v>
      </c>
    </row>
    <row r="910" spans="1:5">
      <c r="A910" s="2831">
        <v>650</v>
      </c>
      <c r="B910" s="2831" t="s">
        <v>3106</v>
      </c>
      <c r="C910" s="2831">
        <v>1050</v>
      </c>
      <c r="D910" s="2831" t="s">
        <v>3108</v>
      </c>
      <c r="E910" s="2831" t="s">
        <v>2166</v>
      </c>
    </row>
    <row r="911" spans="1:5">
      <c r="A911" s="2831">
        <v>651</v>
      </c>
      <c r="B911" s="2831" t="s">
        <v>3109</v>
      </c>
      <c r="C911" s="2831">
        <v>107</v>
      </c>
      <c r="D911" s="2831" t="s">
        <v>3110</v>
      </c>
      <c r="E911" s="2831" t="s">
        <v>2174</v>
      </c>
    </row>
    <row r="912" spans="1:5">
      <c r="A912" s="2831">
        <v>651</v>
      </c>
      <c r="B912" s="2831" t="s">
        <v>3109</v>
      </c>
      <c r="C912" s="2831">
        <v>296</v>
      </c>
      <c r="D912" s="2831" t="s">
        <v>3111</v>
      </c>
      <c r="E912" s="2831" t="s">
        <v>2166</v>
      </c>
    </row>
    <row r="913" spans="1:5">
      <c r="A913" s="2831">
        <v>651</v>
      </c>
      <c r="B913" s="2831" t="s">
        <v>3109</v>
      </c>
      <c r="C913" s="2831">
        <v>203</v>
      </c>
      <c r="D913" s="2831" t="s">
        <v>3112</v>
      </c>
      <c r="E913" s="2831" t="s">
        <v>2174</v>
      </c>
    </row>
    <row r="914" spans="1:5">
      <c r="A914" s="2831">
        <v>651</v>
      </c>
      <c r="B914" s="2831" t="s">
        <v>3109</v>
      </c>
      <c r="C914" s="2831">
        <v>390</v>
      </c>
      <c r="D914" s="2831" t="s">
        <v>3113</v>
      </c>
      <c r="E914" s="2831" t="s">
        <v>2166</v>
      </c>
    </row>
    <row r="915" spans="1:5">
      <c r="A915" s="2831">
        <v>651</v>
      </c>
      <c r="B915" s="2831" t="s">
        <v>3109</v>
      </c>
      <c r="C915" s="2831">
        <v>290</v>
      </c>
      <c r="D915" s="2831" t="s">
        <v>3114</v>
      </c>
      <c r="E915" s="2831" t="s">
        <v>2174</v>
      </c>
    </row>
    <row r="916" spans="1:5">
      <c r="A916" s="2831">
        <v>651</v>
      </c>
      <c r="B916" s="2831" t="s">
        <v>3109</v>
      </c>
      <c r="C916" s="2831">
        <v>190</v>
      </c>
      <c r="D916" s="2831" t="s">
        <v>3115</v>
      </c>
      <c r="E916" s="2831" t="s">
        <v>2166</v>
      </c>
    </row>
    <row r="917" spans="1:5">
      <c r="A917" s="2831">
        <v>651</v>
      </c>
      <c r="B917" s="2831" t="s">
        <v>3109</v>
      </c>
      <c r="C917" s="2831">
        <v>105</v>
      </c>
      <c r="D917" s="2831" t="s">
        <v>3116</v>
      </c>
      <c r="E917" s="2831" t="s">
        <v>2174</v>
      </c>
    </row>
    <row r="918" spans="1:5">
      <c r="A918" s="2831">
        <v>651</v>
      </c>
      <c r="B918" s="2831" t="s">
        <v>3109</v>
      </c>
      <c r="C918" s="2831">
        <v>4050</v>
      </c>
      <c r="D918" s="2831" t="s">
        <v>3117</v>
      </c>
      <c r="E918" s="2831" t="s">
        <v>2174</v>
      </c>
    </row>
    <row r="919" spans="1:5">
      <c r="A919" s="2831">
        <v>651</v>
      </c>
      <c r="B919" s="2831" t="s">
        <v>3109</v>
      </c>
      <c r="C919" s="2831">
        <v>196</v>
      </c>
      <c r="D919" s="2831" t="s">
        <v>2477</v>
      </c>
      <c r="E919" s="2831" t="s">
        <v>2174</v>
      </c>
    </row>
    <row r="920" spans="1:5">
      <c r="A920" s="2831">
        <v>651</v>
      </c>
      <c r="B920" s="2831" t="s">
        <v>3109</v>
      </c>
      <c r="C920" s="2831">
        <v>186</v>
      </c>
      <c r="D920" s="2831" t="s">
        <v>3118</v>
      </c>
      <c r="E920" s="2831" t="s">
        <v>2174</v>
      </c>
    </row>
    <row r="921" spans="1:5">
      <c r="A921" s="2831">
        <v>651</v>
      </c>
      <c r="B921" s="2831" t="s">
        <v>3109</v>
      </c>
      <c r="C921" s="2831">
        <v>197</v>
      </c>
      <c r="D921" s="2831" t="s">
        <v>3119</v>
      </c>
      <c r="E921" s="2831" t="s">
        <v>2166</v>
      </c>
    </row>
    <row r="922" spans="1:5">
      <c r="A922" s="2831">
        <v>651</v>
      </c>
      <c r="B922" s="2831" t="s">
        <v>3109</v>
      </c>
      <c r="C922" s="2831">
        <v>297</v>
      </c>
      <c r="D922" s="2831" t="s">
        <v>3120</v>
      </c>
      <c r="E922" s="2831" t="s">
        <v>2174</v>
      </c>
    </row>
    <row r="923" spans="1:5">
      <c r="A923" s="2831">
        <v>651</v>
      </c>
      <c r="B923" s="2831" t="s">
        <v>3109</v>
      </c>
      <c r="C923" s="2831">
        <v>103</v>
      </c>
      <c r="D923" s="2831" t="s">
        <v>3121</v>
      </c>
      <c r="E923" s="2831" t="s">
        <v>2174</v>
      </c>
    </row>
    <row r="924" spans="1:5">
      <c r="A924" s="2831">
        <v>652</v>
      </c>
      <c r="B924" s="2831" t="s">
        <v>3122</v>
      </c>
      <c r="C924" s="2831">
        <v>313</v>
      </c>
      <c r="D924" s="2831" t="s">
        <v>3123</v>
      </c>
      <c r="E924" s="2831" t="s">
        <v>2174</v>
      </c>
    </row>
    <row r="925" spans="1:5">
      <c r="A925" s="2831">
        <v>652</v>
      </c>
      <c r="B925" s="2831" t="s">
        <v>3122</v>
      </c>
      <c r="C925" s="2831">
        <v>176</v>
      </c>
      <c r="D925" s="2831" t="s">
        <v>3124</v>
      </c>
      <c r="E925" s="2831" t="s">
        <v>2169</v>
      </c>
    </row>
    <row r="926" spans="1:5">
      <c r="A926" s="2831">
        <v>652</v>
      </c>
      <c r="B926" s="2831" t="s">
        <v>3122</v>
      </c>
      <c r="C926" s="2831">
        <v>104</v>
      </c>
      <c r="D926" s="2831" t="s">
        <v>3125</v>
      </c>
      <c r="E926" s="2831" t="s">
        <v>2169</v>
      </c>
    </row>
    <row r="927" spans="1:5">
      <c r="A927" s="2831">
        <v>652</v>
      </c>
      <c r="B927" s="2831" t="s">
        <v>3122</v>
      </c>
      <c r="C927" s="2831">
        <v>213</v>
      </c>
      <c r="D927" s="2831" t="s">
        <v>3126</v>
      </c>
      <c r="E927" s="2831" t="s">
        <v>2174</v>
      </c>
    </row>
    <row r="928" spans="1:5">
      <c r="A928" s="2831">
        <v>653</v>
      </c>
      <c r="B928" s="2831" t="s">
        <v>3127</v>
      </c>
      <c r="C928" s="2831">
        <v>2050</v>
      </c>
      <c r="D928" s="2831" t="s">
        <v>3128</v>
      </c>
      <c r="E928" s="2831" t="s">
        <v>2166</v>
      </c>
    </row>
    <row r="929" spans="1:5">
      <c r="A929" s="2831">
        <v>653</v>
      </c>
      <c r="B929" s="2831" t="s">
        <v>3127</v>
      </c>
      <c r="C929" s="2831">
        <v>198</v>
      </c>
      <c r="D929" s="2831" t="s">
        <v>3129</v>
      </c>
      <c r="E929" s="2831" t="s">
        <v>2166</v>
      </c>
    </row>
    <row r="930" spans="1:5">
      <c r="A930" s="2831">
        <v>653</v>
      </c>
      <c r="B930" s="2831" t="s">
        <v>3127</v>
      </c>
      <c r="C930" s="2831">
        <v>189</v>
      </c>
      <c r="D930" s="2831" t="s">
        <v>3130</v>
      </c>
      <c r="E930" s="2831" t="s">
        <v>2174</v>
      </c>
    </row>
    <row r="931" spans="1:5">
      <c r="A931" s="2831">
        <v>653</v>
      </c>
      <c r="B931" s="2831" t="s">
        <v>3127</v>
      </c>
      <c r="C931" s="2831">
        <v>192</v>
      </c>
      <c r="D931" s="2831" t="s">
        <v>3131</v>
      </c>
      <c r="E931" s="2831" t="s">
        <v>2166</v>
      </c>
    </row>
    <row r="932" spans="1:5">
      <c r="A932" s="2831">
        <v>653</v>
      </c>
      <c r="B932" s="2831" t="s">
        <v>3127</v>
      </c>
      <c r="C932" s="2831">
        <v>196</v>
      </c>
      <c r="D932" s="2831" t="s">
        <v>3132</v>
      </c>
      <c r="E932" s="2831" t="s">
        <v>2166</v>
      </c>
    </row>
    <row r="933" spans="1:5">
      <c r="A933" s="2831">
        <v>653</v>
      </c>
      <c r="B933" s="2831" t="s">
        <v>3127</v>
      </c>
      <c r="C933" s="2831">
        <v>100</v>
      </c>
      <c r="D933" s="2831" t="s">
        <v>3133</v>
      </c>
      <c r="E933" s="2831" t="s">
        <v>2166</v>
      </c>
    </row>
    <row r="934" spans="1:5">
      <c r="A934" s="2831">
        <v>654</v>
      </c>
      <c r="B934" s="2831" t="s">
        <v>3134</v>
      </c>
      <c r="C934" s="2831">
        <v>196</v>
      </c>
      <c r="D934" s="2831" t="s">
        <v>3135</v>
      </c>
      <c r="E934" s="2831" t="s">
        <v>2169</v>
      </c>
    </row>
    <row r="935" spans="1:5">
      <c r="A935" s="2831">
        <v>654</v>
      </c>
      <c r="B935" s="2831" t="s">
        <v>3134</v>
      </c>
      <c r="C935" s="2831">
        <v>2050</v>
      </c>
      <c r="D935" s="2831" t="s">
        <v>3136</v>
      </c>
      <c r="E935" s="2831" t="s">
        <v>2169</v>
      </c>
    </row>
    <row r="936" spans="1:5">
      <c r="A936" s="2831">
        <v>654</v>
      </c>
      <c r="B936" s="2831" t="s">
        <v>3134</v>
      </c>
      <c r="C936" s="2831">
        <v>3050</v>
      </c>
      <c r="D936" s="2831" t="s">
        <v>3137</v>
      </c>
      <c r="E936" s="2831" t="s">
        <v>2166</v>
      </c>
    </row>
    <row r="937" spans="1:5">
      <c r="A937" s="2831">
        <v>654</v>
      </c>
      <c r="B937" s="2831" t="s">
        <v>3134</v>
      </c>
      <c r="C937" s="2831">
        <v>197</v>
      </c>
      <c r="D937" s="2831" t="s">
        <v>3138</v>
      </c>
      <c r="E937" s="2831" t="s">
        <v>2166</v>
      </c>
    </row>
    <row r="938" spans="1:5">
      <c r="A938" s="2831">
        <v>655</v>
      </c>
      <c r="B938" s="2831" t="s">
        <v>3139</v>
      </c>
      <c r="C938" s="2831">
        <v>1050</v>
      </c>
      <c r="D938" s="2831" t="s">
        <v>2814</v>
      </c>
      <c r="E938" s="2831" t="s">
        <v>2166</v>
      </c>
    </row>
    <row r="939" spans="1:5">
      <c r="A939" s="2831">
        <v>655</v>
      </c>
      <c r="B939" s="2831" t="s">
        <v>3139</v>
      </c>
      <c r="C939" s="2831">
        <v>194</v>
      </c>
      <c r="D939" s="2831" t="s">
        <v>3140</v>
      </c>
      <c r="E939" s="2831" t="s">
        <v>2166</v>
      </c>
    </row>
    <row r="940" spans="1:5">
      <c r="A940" s="2831">
        <v>655</v>
      </c>
      <c r="B940" s="2831" t="s">
        <v>3139</v>
      </c>
      <c r="C940" s="2831">
        <v>176</v>
      </c>
      <c r="D940" s="2831" t="s">
        <v>3141</v>
      </c>
      <c r="E940" s="2831" t="s">
        <v>2166</v>
      </c>
    </row>
    <row r="941" spans="1:5">
      <c r="A941" s="2831">
        <v>655</v>
      </c>
      <c r="B941" s="2831" t="s">
        <v>3139</v>
      </c>
      <c r="C941" s="2831">
        <v>193</v>
      </c>
      <c r="D941" s="2831" t="s">
        <v>3142</v>
      </c>
      <c r="E941" s="2831" t="s">
        <v>2169</v>
      </c>
    </row>
    <row r="942" spans="1:5">
      <c r="A942" s="2831">
        <v>655</v>
      </c>
      <c r="B942" s="2831" t="s">
        <v>3139</v>
      </c>
      <c r="C942" s="2831">
        <v>293</v>
      </c>
      <c r="D942" s="2831" t="s">
        <v>3143</v>
      </c>
      <c r="E942" s="2831" t="s">
        <v>2174</v>
      </c>
    </row>
    <row r="943" spans="1:5">
      <c r="A943" s="2831">
        <v>656</v>
      </c>
      <c r="B943" s="2831" t="s">
        <v>3144</v>
      </c>
      <c r="C943" s="2831">
        <v>108</v>
      </c>
      <c r="D943" s="2831" t="s">
        <v>3145</v>
      </c>
      <c r="E943" s="2831" t="s">
        <v>2174</v>
      </c>
    </row>
    <row r="944" spans="1:5">
      <c r="A944" s="2831">
        <v>656</v>
      </c>
      <c r="B944" s="2831" t="s">
        <v>3144</v>
      </c>
      <c r="C944" s="2831">
        <v>191</v>
      </c>
      <c r="D944" s="2831" t="s">
        <v>3146</v>
      </c>
      <c r="E944" s="2831" t="s">
        <v>2166</v>
      </c>
    </row>
    <row r="945" spans="1:5">
      <c r="A945" s="2831">
        <v>656</v>
      </c>
      <c r="B945" s="2831" t="s">
        <v>3144</v>
      </c>
      <c r="C945" s="2831">
        <v>102</v>
      </c>
      <c r="D945" s="2831" t="s">
        <v>3147</v>
      </c>
      <c r="E945" s="2831" t="s">
        <v>2174</v>
      </c>
    </row>
    <row r="946" spans="1:5">
      <c r="A946" s="2831">
        <v>656</v>
      </c>
      <c r="B946" s="2831" t="s">
        <v>3144</v>
      </c>
      <c r="C946" s="2831">
        <v>104</v>
      </c>
      <c r="D946" s="2831" t="s">
        <v>3148</v>
      </c>
      <c r="E946" s="2831" t="s">
        <v>2166</v>
      </c>
    </row>
    <row r="947" spans="1:5">
      <c r="A947" s="2831">
        <v>656</v>
      </c>
      <c r="B947" s="2831" t="s">
        <v>3144</v>
      </c>
      <c r="C947" s="2831">
        <v>398</v>
      </c>
      <c r="D947" s="2831" t="s">
        <v>3149</v>
      </c>
      <c r="E947" s="2831" t="s">
        <v>2166</v>
      </c>
    </row>
    <row r="948" spans="1:5">
      <c r="A948" s="2831">
        <v>656</v>
      </c>
      <c r="B948" s="2831" t="s">
        <v>3144</v>
      </c>
      <c r="C948" s="2831">
        <v>402</v>
      </c>
      <c r="D948" s="2831" t="s">
        <v>3150</v>
      </c>
      <c r="E948" s="2831" t="s">
        <v>2174</v>
      </c>
    </row>
    <row r="949" spans="1:5">
      <c r="A949" s="2831">
        <v>656</v>
      </c>
      <c r="B949" s="2831" t="s">
        <v>3144</v>
      </c>
      <c r="C949" s="2831">
        <v>491</v>
      </c>
      <c r="D949" s="2831" t="s">
        <v>3151</v>
      </c>
      <c r="E949" s="2831" t="s">
        <v>2174</v>
      </c>
    </row>
    <row r="950" spans="1:5">
      <c r="A950" s="2831">
        <v>656</v>
      </c>
      <c r="B950" s="2831" t="s">
        <v>3144</v>
      </c>
      <c r="C950" s="2831">
        <v>180</v>
      </c>
      <c r="D950" s="2831" t="s">
        <v>3152</v>
      </c>
      <c r="E950" s="2831" t="s">
        <v>2166</v>
      </c>
    </row>
    <row r="951" spans="1:5">
      <c r="A951" s="2831">
        <v>656</v>
      </c>
      <c r="B951" s="2831" t="s">
        <v>3144</v>
      </c>
      <c r="C951" s="2831">
        <v>111</v>
      </c>
      <c r="D951" s="2831" t="s">
        <v>3153</v>
      </c>
      <c r="E951" s="2831" t="s">
        <v>2166</v>
      </c>
    </row>
    <row r="952" spans="1:5">
      <c r="A952" s="2831">
        <v>656</v>
      </c>
      <c r="B952" s="2831" t="s">
        <v>3144</v>
      </c>
      <c r="C952" s="2831">
        <v>178</v>
      </c>
      <c r="D952" s="2831" t="s">
        <v>3154</v>
      </c>
      <c r="E952" s="2831" t="s">
        <v>2166</v>
      </c>
    </row>
    <row r="953" spans="1:5">
      <c r="A953" s="2831">
        <v>656</v>
      </c>
      <c r="B953" s="2831" t="s">
        <v>3144</v>
      </c>
      <c r="C953" s="2831">
        <v>196</v>
      </c>
      <c r="D953" s="2831" t="s">
        <v>3155</v>
      </c>
      <c r="E953" s="2831" t="s">
        <v>2166</v>
      </c>
    </row>
    <row r="954" spans="1:5">
      <c r="A954" s="2831">
        <v>656</v>
      </c>
      <c r="B954" s="2831" t="s">
        <v>3144</v>
      </c>
      <c r="C954" s="2831">
        <v>182</v>
      </c>
      <c r="D954" s="2831" t="s">
        <v>3156</v>
      </c>
      <c r="E954" s="2831" t="s">
        <v>2166</v>
      </c>
    </row>
    <row r="955" spans="1:5">
      <c r="A955" s="2831">
        <v>656</v>
      </c>
      <c r="B955" s="2831" t="s">
        <v>3144</v>
      </c>
      <c r="C955" s="2831">
        <v>181</v>
      </c>
      <c r="D955" s="2831" t="s">
        <v>3157</v>
      </c>
      <c r="E955" s="2831" t="s">
        <v>2174</v>
      </c>
    </row>
    <row r="956" spans="1:5">
      <c r="A956" s="2831">
        <v>656</v>
      </c>
      <c r="B956" s="2831" t="s">
        <v>3144</v>
      </c>
      <c r="C956" s="2831">
        <v>186</v>
      </c>
      <c r="D956" s="2831" t="s">
        <v>2555</v>
      </c>
      <c r="E956" s="2831" t="s">
        <v>2174</v>
      </c>
    </row>
    <row r="957" spans="1:5">
      <c r="A957" s="2831">
        <v>656</v>
      </c>
      <c r="B957" s="2831" t="s">
        <v>3144</v>
      </c>
      <c r="C957" s="2831">
        <v>1052</v>
      </c>
      <c r="D957" s="2831" t="s">
        <v>3158</v>
      </c>
      <c r="E957" s="2831" t="s">
        <v>2174</v>
      </c>
    </row>
    <row r="958" spans="1:5">
      <c r="A958" s="2831">
        <v>656</v>
      </c>
      <c r="B958" s="2831" t="s">
        <v>3144</v>
      </c>
      <c r="C958" s="2831">
        <v>199</v>
      </c>
      <c r="D958" s="2831" t="s">
        <v>3159</v>
      </c>
      <c r="E958" s="2831" t="s">
        <v>2166</v>
      </c>
    </row>
    <row r="959" spans="1:5">
      <c r="A959" s="2831">
        <v>656</v>
      </c>
      <c r="B959" s="2831" t="s">
        <v>3144</v>
      </c>
      <c r="C959" s="2831">
        <v>298</v>
      </c>
      <c r="D959" s="2831" t="s">
        <v>3160</v>
      </c>
      <c r="E959" s="2831" t="s">
        <v>2174</v>
      </c>
    </row>
    <row r="960" spans="1:5">
      <c r="A960" s="2831">
        <v>656</v>
      </c>
      <c r="B960" s="2831" t="s">
        <v>3144</v>
      </c>
      <c r="C960" s="2831">
        <v>291</v>
      </c>
      <c r="D960" s="2831" t="s">
        <v>3161</v>
      </c>
      <c r="E960" s="2831" t="s">
        <v>2174</v>
      </c>
    </row>
    <row r="961" spans="1:5">
      <c r="A961" s="2831">
        <v>656</v>
      </c>
      <c r="B961" s="2831" t="s">
        <v>3144</v>
      </c>
      <c r="C961" s="2831">
        <v>192</v>
      </c>
      <c r="D961" s="2831" t="s">
        <v>3162</v>
      </c>
      <c r="E961" s="2831" t="s">
        <v>2166</v>
      </c>
    </row>
    <row r="962" spans="1:5">
      <c r="A962" s="2831">
        <v>656</v>
      </c>
      <c r="B962" s="2831" t="s">
        <v>3144</v>
      </c>
      <c r="C962" s="2831">
        <v>103</v>
      </c>
      <c r="D962" s="2831" t="s">
        <v>3163</v>
      </c>
      <c r="E962" s="2831" t="s">
        <v>2169</v>
      </c>
    </row>
    <row r="963" spans="1:5">
      <c r="A963" s="2831">
        <v>656</v>
      </c>
      <c r="B963" s="2831" t="s">
        <v>3144</v>
      </c>
      <c r="C963" s="2831">
        <v>296</v>
      </c>
      <c r="D963" s="2831" t="s">
        <v>3164</v>
      </c>
      <c r="E963" s="2831" t="s">
        <v>2174</v>
      </c>
    </row>
    <row r="964" spans="1:5">
      <c r="A964" s="2831">
        <v>656</v>
      </c>
      <c r="B964" s="2831" t="s">
        <v>3144</v>
      </c>
      <c r="C964" s="2831">
        <v>198</v>
      </c>
      <c r="D964" s="2831" t="s">
        <v>3165</v>
      </c>
      <c r="E964" s="2831" t="s">
        <v>2166</v>
      </c>
    </row>
    <row r="965" spans="1:5">
      <c r="A965" s="2831">
        <v>656</v>
      </c>
      <c r="B965" s="2831" t="s">
        <v>3144</v>
      </c>
      <c r="C965" s="2831">
        <v>105</v>
      </c>
      <c r="D965" s="2831" t="s">
        <v>3166</v>
      </c>
      <c r="E965" s="2831" t="s">
        <v>2174</v>
      </c>
    </row>
    <row r="966" spans="1:5">
      <c r="A966" s="2831">
        <v>656</v>
      </c>
      <c r="B966" s="2831" t="s">
        <v>3144</v>
      </c>
      <c r="C966" s="2831">
        <v>391</v>
      </c>
      <c r="D966" s="2831" t="s">
        <v>3167</v>
      </c>
      <c r="E966" s="2831" t="s">
        <v>2174</v>
      </c>
    </row>
    <row r="967" spans="1:5">
      <c r="A967" s="2831">
        <v>657</v>
      </c>
      <c r="B967" s="2831" t="s">
        <v>3168</v>
      </c>
      <c r="C967" s="2831">
        <v>1050</v>
      </c>
      <c r="D967" s="2831" t="s">
        <v>3169</v>
      </c>
      <c r="E967" s="2831" t="s">
        <v>2169</v>
      </c>
    </row>
    <row r="968" spans="1:5">
      <c r="A968" s="2831">
        <v>657</v>
      </c>
      <c r="B968" s="2831" t="s">
        <v>3168</v>
      </c>
      <c r="C968" s="2831">
        <v>402</v>
      </c>
      <c r="D968" s="2831" t="s">
        <v>3170</v>
      </c>
      <c r="E968" s="2831" t="s">
        <v>2169</v>
      </c>
    </row>
    <row r="969" spans="1:5">
      <c r="A969" s="2831">
        <v>657</v>
      </c>
      <c r="B969" s="2831" t="s">
        <v>3168</v>
      </c>
      <c r="C969" s="2831">
        <v>401</v>
      </c>
      <c r="D969" s="2831" t="s">
        <v>3171</v>
      </c>
      <c r="E969" s="2831" t="s">
        <v>2174</v>
      </c>
    </row>
    <row r="970" spans="1:5">
      <c r="A970" s="2831">
        <v>657</v>
      </c>
      <c r="B970" s="2831" t="s">
        <v>3168</v>
      </c>
      <c r="C970" s="2831">
        <v>195</v>
      </c>
      <c r="D970" s="2831" t="s">
        <v>3172</v>
      </c>
      <c r="E970" s="2831" t="s">
        <v>2174</v>
      </c>
    </row>
    <row r="971" spans="1:5">
      <c r="A971" s="2831">
        <v>657</v>
      </c>
      <c r="B971" s="2831" t="s">
        <v>3168</v>
      </c>
      <c r="C971" s="2831">
        <v>5050</v>
      </c>
      <c r="D971" s="2831" t="s">
        <v>3173</v>
      </c>
      <c r="E971" s="2831" t="s">
        <v>2174</v>
      </c>
    </row>
    <row r="972" spans="1:5">
      <c r="A972" s="2831">
        <v>657</v>
      </c>
      <c r="B972" s="2831" t="s">
        <v>3168</v>
      </c>
      <c r="C972" s="2831">
        <v>103</v>
      </c>
      <c r="D972" s="2831" t="s">
        <v>3174</v>
      </c>
      <c r="E972" s="2831" t="s">
        <v>2174</v>
      </c>
    </row>
    <row r="973" spans="1:5">
      <c r="A973" s="2831">
        <v>657</v>
      </c>
      <c r="B973" s="2831" t="s">
        <v>3168</v>
      </c>
      <c r="C973" s="2831">
        <v>2052</v>
      </c>
      <c r="D973" s="2831" t="s">
        <v>3175</v>
      </c>
      <c r="E973" s="2831" t="s">
        <v>2166</v>
      </c>
    </row>
    <row r="974" spans="1:5">
      <c r="A974" s="2831">
        <v>657</v>
      </c>
      <c r="B974" s="2831" t="s">
        <v>3168</v>
      </c>
      <c r="C974" s="2831">
        <v>102</v>
      </c>
      <c r="D974" s="2831" t="s">
        <v>3176</v>
      </c>
      <c r="E974" s="2831" t="s">
        <v>2174</v>
      </c>
    </row>
    <row r="975" spans="1:5">
      <c r="A975" s="2831">
        <v>657</v>
      </c>
      <c r="B975" s="2831" t="s">
        <v>3168</v>
      </c>
      <c r="C975" s="2831">
        <v>188</v>
      </c>
      <c r="D975" s="2831" t="s">
        <v>3177</v>
      </c>
      <c r="E975" s="2831" t="s">
        <v>2166</v>
      </c>
    </row>
    <row r="976" spans="1:5">
      <c r="A976" s="2831">
        <v>657</v>
      </c>
      <c r="B976" s="2831" t="s">
        <v>3168</v>
      </c>
      <c r="C976" s="2831">
        <v>111</v>
      </c>
      <c r="D976" s="2831" t="s">
        <v>3178</v>
      </c>
      <c r="E976" s="2831" t="s">
        <v>2174</v>
      </c>
    </row>
    <row r="977" spans="1:5">
      <c r="A977" s="2831">
        <v>657</v>
      </c>
      <c r="B977" s="2831" t="s">
        <v>3168</v>
      </c>
      <c r="C977" s="2831">
        <v>203</v>
      </c>
      <c r="D977" s="2831" t="s">
        <v>3179</v>
      </c>
      <c r="E977" s="2831" t="s">
        <v>2166</v>
      </c>
    </row>
    <row r="978" spans="1:5">
      <c r="A978" s="2831">
        <v>657</v>
      </c>
      <c r="B978" s="2831" t="s">
        <v>3168</v>
      </c>
      <c r="C978" s="2831">
        <v>199</v>
      </c>
      <c r="D978" s="2831" t="s">
        <v>3180</v>
      </c>
      <c r="E978" s="2831" t="s">
        <v>2166</v>
      </c>
    </row>
    <row r="979" spans="1:5">
      <c r="A979" s="2831">
        <v>657</v>
      </c>
      <c r="B979" s="2831" t="s">
        <v>3168</v>
      </c>
      <c r="C979" s="2831">
        <v>107</v>
      </c>
      <c r="D979" s="2831" t="s">
        <v>3181</v>
      </c>
      <c r="E979" s="2831" t="s">
        <v>2174</v>
      </c>
    </row>
    <row r="980" spans="1:5">
      <c r="A980" s="2831">
        <v>657</v>
      </c>
      <c r="B980" s="2831" t="s">
        <v>3168</v>
      </c>
      <c r="C980" s="2831">
        <v>273</v>
      </c>
      <c r="D980" s="2831" t="s">
        <v>3182</v>
      </c>
      <c r="E980" s="2831" t="s">
        <v>2174</v>
      </c>
    </row>
    <row r="981" spans="1:5">
      <c r="A981" s="2831">
        <v>657</v>
      </c>
      <c r="B981" s="2831" t="s">
        <v>3168</v>
      </c>
      <c r="C981" s="2831">
        <v>4054</v>
      </c>
      <c r="D981" s="2831" t="s">
        <v>3183</v>
      </c>
      <c r="E981" s="2831" t="s">
        <v>2174</v>
      </c>
    </row>
    <row r="982" spans="1:5">
      <c r="A982" s="2831">
        <v>658</v>
      </c>
      <c r="B982" s="2831" t="s">
        <v>3184</v>
      </c>
      <c r="C982" s="2831">
        <v>701</v>
      </c>
      <c r="D982" s="2831" t="s">
        <v>3185</v>
      </c>
      <c r="E982" s="2831" t="s">
        <v>2174</v>
      </c>
    </row>
    <row r="983" spans="1:5">
      <c r="A983" s="2831">
        <v>658</v>
      </c>
      <c r="B983" s="2831" t="s">
        <v>3184</v>
      </c>
      <c r="C983" s="2831">
        <v>1050</v>
      </c>
      <c r="D983" s="2831" t="s">
        <v>3186</v>
      </c>
      <c r="E983" s="2831" t="s">
        <v>2166</v>
      </c>
    </row>
    <row r="984" spans="1:5">
      <c r="A984" s="2831">
        <v>658</v>
      </c>
      <c r="B984" s="2831" t="s">
        <v>3184</v>
      </c>
      <c r="C984" s="2831">
        <v>699</v>
      </c>
      <c r="D984" s="2831" t="s">
        <v>3187</v>
      </c>
      <c r="E984" s="2831" t="s">
        <v>2166</v>
      </c>
    </row>
    <row r="985" spans="1:5">
      <c r="A985" s="2831">
        <v>658</v>
      </c>
      <c r="B985" s="2831" t="s">
        <v>3184</v>
      </c>
      <c r="C985" s="2831">
        <v>211</v>
      </c>
      <c r="D985" s="2831" t="s">
        <v>3188</v>
      </c>
      <c r="E985" s="2831" t="s">
        <v>2169</v>
      </c>
    </row>
    <row r="986" spans="1:5">
      <c r="A986" s="2831">
        <v>658</v>
      </c>
      <c r="B986" s="2831" t="s">
        <v>3184</v>
      </c>
      <c r="C986" s="2831">
        <v>194</v>
      </c>
      <c r="D986" s="2831" t="s">
        <v>3189</v>
      </c>
      <c r="E986" s="2831" t="s">
        <v>2166</v>
      </c>
    </row>
    <row r="987" spans="1:5">
      <c r="A987" s="2831">
        <v>658</v>
      </c>
      <c r="B987" s="2831" t="s">
        <v>3184</v>
      </c>
      <c r="C987" s="2831">
        <v>204</v>
      </c>
      <c r="D987" s="2831" t="s">
        <v>3190</v>
      </c>
      <c r="E987" s="2831" t="s">
        <v>2169</v>
      </c>
    </row>
    <row r="988" spans="1:5">
      <c r="A988" s="2831">
        <v>658</v>
      </c>
      <c r="B988" s="2831" t="s">
        <v>3184</v>
      </c>
      <c r="C988" s="2831">
        <v>182</v>
      </c>
      <c r="D988" s="2831" t="s">
        <v>3191</v>
      </c>
      <c r="E988" s="2831" t="s">
        <v>2169</v>
      </c>
    </row>
    <row r="989" spans="1:5">
      <c r="A989" s="2831">
        <v>658</v>
      </c>
      <c r="B989" s="2831" t="s">
        <v>3184</v>
      </c>
      <c r="C989" s="2831">
        <v>103</v>
      </c>
      <c r="D989" s="2831" t="s">
        <v>3192</v>
      </c>
      <c r="E989" s="2831" t="s">
        <v>2174</v>
      </c>
    </row>
    <row r="990" spans="1:5">
      <c r="A990" s="2831">
        <v>658</v>
      </c>
      <c r="B990" s="2831" t="s">
        <v>3184</v>
      </c>
      <c r="C990" s="2831">
        <v>197</v>
      </c>
      <c r="D990" s="2831" t="s">
        <v>3193</v>
      </c>
      <c r="E990" s="2831" t="s">
        <v>2166</v>
      </c>
    </row>
    <row r="991" spans="1:5">
      <c r="A991" s="2831">
        <v>658</v>
      </c>
      <c r="B991" s="2831" t="s">
        <v>3184</v>
      </c>
      <c r="C991" s="2831">
        <v>700</v>
      </c>
      <c r="D991" s="2831" t="s">
        <v>3194</v>
      </c>
      <c r="E991" s="2831" t="s">
        <v>2169</v>
      </c>
    </row>
    <row r="992" spans="1:5">
      <c r="A992" s="2831">
        <v>658</v>
      </c>
      <c r="B992" s="2831" t="s">
        <v>3184</v>
      </c>
      <c r="C992" s="2831">
        <v>702</v>
      </c>
      <c r="D992" s="2831" t="s">
        <v>3195</v>
      </c>
      <c r="E992" s="2831" t="s">
        <v>2166</v>
      </c>
    </row>
    <row r="993" spans="1:5">
      <c r="A993" s="2831">
        <v>658</v>
      </c>
      <c r="B993" s="2831" t="s">
        <v>3184</v>
      </c>
      <c r="C993" s="2831">
        <v>704</v>
      </c>
      <c r="D993" s="2831" t="s">
        <v>3196</v>
      </c>
      <c r="E993" s="2831" t="s">
        <v>2169</v>
      </c>
    </row>
    <row r="994" spans="1:5">
      <c r="A994" s="2831">
        <v>658</v>
      </c>
      <c r="B994" s="2831" t="s">
        <v>3184</v>
      </c>
      <c r="C994" s="2831">
        <v>5050</v>
      </c>
      <c r="D994" s="2831" t="s">
        <v>3197</v>
      </c>
      <c r="E994" s="2831" t="s">
        <v>2169</v>
      </c>
    </row>
    <row r="995" spans="1:5">
      <c r="A995" s="2831">
        <v>658</v>
      </c>
      <c r="B995" s="2831" t="s">
        <v>3184</v>
      </c>
      <c r="C995" s="2831">
        <v>213</v>
      </c>
      <c r="D995" s="2831" t="s">
        <v>3198</v>
      </c>
      <c r="E995" s="2831" t="s">
        <v>2174</v>
      </c>
    </row>
    <row r="996" spans="1:5">
      <c r="A996" s="2831">
        <v>658</v>
      </c>
      <c r="B996" s="2831" t="s">
        <v>3184</v>
      </c>
      <c r="C996" s="2831">
        <v>215</v>
      </c>
      <c r="D996" s="2831" t="s">
        <v>3199</v>
      </c>
      <c r="E996" s="2831" t="s">
        <v>2169</v>
      </c>
    </row>
    <row r="997" spans="1:5">
      <c r="A997" s="2831">
        <v>658</v>
      </c>
      <c r="B997" s="2831" t="s">
        <v>3184</v>
      </c>
      <c r="C997" s="2831">
        <v>703</v>
      </c>
      <c r="D997" s="2831" t="s">
        <v>3200</v>
      </c>
      <c r="E997" s="2831" t="s">
        <v>2166</v>
      </c>
    </row>
    <row r="998" spans="1:5">
      <c r="A998" s="2831">
        <v>658</v>
      </c>
      <c r="B998" s="2831" t="s">
        <v>3184</v>
      </c>
      <c r="C998" s="2831">
        <v>108</v>
      </c>
      <c r="D998" s="2831" t="s">
        <v>3201</v>
      </c>
      <c r="E998" s="2831" t="s">
        <v>2166</v>
      </c>
    </row>
    <row r="999" spans="1:5">
      <c r="A999" s="2831">
        <v>658</v>
      </c>
      <c r="B999" s="2831" t="s">
        <v>3184</v>
      </c>
      <c r="C999" s="2831">
        <v>313</v>
      </c>
      <c r="D999" s="2831" t="s">
        <v>3202</v>
      </c>
      <c r="E999" s="2831" t="s">
        <v>2169</v>
      </c>
    </row>
    <row r="1000" spans="1:5">
      <c r="A1000" s="2831">
        <v>658</v>
      </c>
      <c r="B1000" s="2831" t="s">
        <v>3184</v>
      </c>
      <c r="C1000" s="2831">
        <v>216</v>
      </c>
      <c r="D1000" s="2831" t="s">
        <v>2831</v>
      </c>
      <c r="E1000" s="2831" t="s">
        <v>2166</v>
      </c>
    </row>
    <row r="1001" spans="1:5">
      <c r="A1001" s="2831">
        <v>658</v>
      </c>
      <c r="B1001" s="2831" t="s">
        <v>3184</v>
      </c>
      <c r="C1001" s="2831">
        <v>214</v>
      </c>
      <c r="D1001" s="2831" t="s">
        <v>3203</v>
      </c>
      <c r="E1001" s="2831" t="s">
        <v>2166</v>
      </c>
    </row>
    <row r="1002" spans="1:5">
      <c r="A1002" s="2831">
        <v>658</v>
      </c>
      <c r="B1002" s="2831" t="s">
        <v>3184</v>
      </c>
      <c r="C1002" s="2831">
        <v>303</v>
      </c>
      <c r="D1002" s="2831" t="s">
        <v>3204</v>
      </c>
      <c r="E1002" s="2831" t="s">
        <v>2169</v>
      </c>
    </row>
    <row r="1003" spans="1:5">
      <c r="A1003" s="2831">
        <v>658</v>
      </c>
      <c r="B1003" s="2831" t="s">
        <v>3184</v>
      </c>
      <c r="C1003" s="2831">
        <v>206</v>
      </c>
      <c r="D1003" s="2831" t="s">
        <v>3205</v>
      </c>
      <c r="E1003" s="2831" t="s">
        <v>2169</v>
      </c>
    </row>
    <row r="1004" spans="1:5">
      <c r="A1004" s="2831">
        <v>658</v>
      </c>
      <c r="B1004" s="2831" t="s">
        <v>3184</v>
      </c>
      <c r="C1004" s="2831">
        <v>176</v>
      </c>
      <c r="D1004" s="2831" t="s">
        <v>3206</v>
      </c>
      <c r="E1004" s="2831" t="s">
        <v>2166</v>
      </c>
    </row>
    <row r="1005" spans="1:5">
      <c r="A1005" s="2831">
        <v>658</v>
      </c>
      <c r="B1005" s="2831" t="s">
        <v>3184</v>
      </c>
      <c r="C1005" s="2831">
        <v>102</v>
      </c>
      <c r="D1005" s="2831" t="s">
        <v>3207</v>
      </c>
      <c r="E1005" s="2831" t="s">
        <v>2174</v>
      </c>
    </row>
    <row r="1006" spans="1:5">
      <c r="A1006" s="2831">
        <v>658</v>
      </c>
      <c r="B1006" s="2831" t="s">
        <v>3184</v>
      </c>
      <c r="C1006" s="2831">
        <v>1052</v>
      </c>
      <c r="D1006" s="2831" t="s">
        <v>3208</v>
      </c>
      <c r="E1006" s="2831" t="s">
        <v>2169</v>
      </c>
    </row>
    <row r="1007" spans="1:5">
      <c r="A1007" s="2831">
        <v>658</v>
      </c>
      <c r="B1007" s="2831" t="s">
        <v>3184</v>
      </c>
      <c r="C1007" s="2831">
        <v>705</v>
      </c>
      <c r="D1007" s="2831" t="s">
        <v>3209</v>
      </c>
      <c r="E1007" s="2831" t="s">
        <v>2166</v>
      </c>
    </row>
    <row r="1008" spans="1:5">
      <c r="A1008" s="2831">
        <v>658</v>
      </c>
      <c r="B1008" s="2831" t="s">
        <v>3184</v>
      </c>
      <c r="C1008" s="2831">
        <v>195</v>
      </c>
      <c r="D1008" s="2831" t="s">
        <v>3210</v>
      </c>
      <c r="E1008" s="2831" t="s">
        <v>2169</v>
      </c>
    </row>
    <row r="1009" spans="1:5">
      <c r="A1009" s="2831">
        <v>658</v>
      </c>
      <c r="B1009" s="2831" t="s">
        <v>3184</v>
      </c>
      <c r="C1009" s="2831">
        <v>498</v>
      </c>
      <c r="D1009" s="2831" t="s">
        <v>3211</v>
      </c>
      <c r="E1009" s="2831" t="s">
        <v>2169</v>
      </c>
    </row>
    <row r="1010" spans="1:5">
      <c r="A1010" s="2831">
        <v>658</v>
      </c>
      <c r="B1010" s="2831" t="s">
        <v>3184</v>
      </c>
      <c r="C1010" s="2831">
        <v>202</v>
      </c>
      <c r="D1010" s="2831" t="s">
        <v>3212</v>
      </c>
      <c r="E1010" s="2831" t="s">
        <v>2169</v>
      </c>
    </row>
    <row r="1011" spans="1:5">
      <c r="A1011" s="2831">
        <v>658</v>
      </c>
      <c r="B1011" s="2831" t="s">
        <v>3184</v>
      </c>
      <c r="C1011" s="2831">
        <v>407</v>
      </c>
      <c r="D1011" s="2831" t="s">
        <v>3213</v>
      </c>
      <c r="E1011" s="2831" t="s">
        <v>2166</v>
      </c>
    </row>
    <row r="1012" spans="1:5">
      <c r="A1012" s="2831">
        <v>658</v>
      </c>
      <c r="B1012" s="2831" t="s">
        <v>3184</v>
      </c>
      <c r="C1012" s="2831">
        <v>207</v>
      </c>
      <c r="D1012" s="2831" t="s">
        <v>3214</v>
      </c>
      <c r="E1012" s="2831" t="s">
        <v>2169</v>
      </c>
    </row>
    <row r="1013" spans="1:5">
      <c r="A1013" s="2831">
        <v>658</v>
      </c>
      <c r="B1013" s="2831" t="s">
        <v>3184</v>
      </c>
      <c r="C1013" s="2831">
        <v>105</v>
      </c>
      <c r="D1013" s="2831" t="s">
        <v>3215</v>
      </c>
      <c r="E1013" s="2831" t="s">
        <v>2166</v>
      </c>
    </row>
    <row r="1014" spans="1:5">
      <c r="A1014" s="2831">
        <v>658</v>
      </c>
      <c r="B1014" s="2831" t="s">
        <v>3184</v>
      </c>
      <c r="C1014" s="2831">
        <v>203</v>
      </c>
      <c r="D1014" s="2831" t="s">
        <v>3216</v>
      </c>
      <c r="E1014" s="2831" t="s">
        <v>2169</v>
      </c>
    </row>
    <row r="1015" spans="1:5">
      <c r="A1015" s="2831">
        <v>658</v>
      </c>
      <c r="B1015" s="2831" t="s">
        <v>3184</v>
      </c>
      <c r="C1015" s="2831">
        <v>100</v>
      </c>
      <c r="D1015" s="2831" t="s">
        <v>3217</v>
      </c>
      <c r="E1015" s="2831" t="s">
        <v>2166</v>
      </c>
    </row>
    <row r="1016" spans="1:5">
      <c r="A1016" s="2831">
        <v>658</v>
      </c>
      <c r="B1016" s="2831" t="s">
        <v>3184</v>
      </c>
      <c r="C1016" s="2831">
        <v>104</v>
      </c>
      <c r="D1016" s="2831" t="s">
        <v>3218</v>
      </c>
      <c r="E1016" s="2831" t="s">
        <v>2169</v>
      </c>
    </row>
    <row r="1017" spans="1:5">
      <c r="A1017" s="2831">
        <v>658</v>
      </c>
      <c r="B1017" s="2831" t="s">
        <v>3184</v>
      </c>
      <c r="C1017" s="2831">
        <v>106</v>
      </c>
      <c r="D1017" s="2831" t="s">
        <v>3219</v>
      </c>
      <c r="E1017" s="2831" t="s">
        <v>2174</v>
      </c>
    </row>
    <row r="1018" spans="1:5">
      <c r="A1018" s="2831">
        <v>658</v>
      </c>
      <c r="B1018" s="2831" t="s">
        <v>3184</v>
      </c>
      <c r="C1018" s="2831">
        <v>307</v>
      </c>
      <c r="D1018" s="2831" t="s">
        <v>3220</v>
      </c>
      <c r="E1018" s="2831" t="s">
        <v>2169</v>
      </c>
    </row>
    <row r="1019" spans="1:5">
      <c r="A1019" s="2831">
        <v>658</v>
      </c>
      <c r="B1019" s="2831" t="s">
        <v>3184</v>
      </c>
      <c r="C1019" s="2831">
        <v>190</v>
      </c>
      <c r="D1019" s="2831" t="s">
        <v>3221</v>
      </c>
      <c r="E1019" s="2831" t="s">
        <v>2169</v>
      </c>
    </row>
    <row r="1020" spans="1:5">
      <c r="A1020" s="2831">
        <v>658</v>
      </c>
      <c r="B1020" s="2831" t="s">
        <v>3184</v>
      </c>
      <c r="C1020" s="2831">
        <v>598</v>
      </c>
      <c r="D1020" s="2831" t="s">
        <v>3222</v>
      </c>
      <c r="E1020" s="2831" t="s">
        <v>2169</v>
      </c>
    </row>
    <row r="1021" spans="1:5">
      <c r="A1021" s="2831">
        <v>658</v>
      </c>
      <c r="B1021" s="2831" t="s">
        <v>3184</v>
      </c>
      <c r="C1021" s="2831">
        <v>198</v>
      </c>
      <c r="D1021" s="2831" t="s">
        <v>3223</v>
      </c>
      <c r="E1021" s="2831" t="s">
        <v>2166</v>
      </c>
    </row>
    <row r="1022" spans="1:5">
      <c r="A1022" s="2831">
        <v>658</v>
      </c>
      <c r="B1022" s="2831" t="s">
        <v>3184</v>
      </c>
      <c r="C1022" s="2831">
        <v>199</v>
      </c>
      <c r="D1022" s="2831" t="s">
        <v>3224</v>
      </c>
      <c r="E1022" s="2831" t="s">
        <v>2169</v>
      </c>
    </row>
    <row r="1023" spans="1:5">
      <c r="A1023" s="2831">
        <v>658</v>
      </c>
      <c r="B1023" s="2831" t="s">
        <v>3184</v>
      </c>
      <c r="C1023" s="2831">
        <v>107</v>
      </c>
      <c r="D1023" s="2831" t="s">
        <v>3225</v>
      </c>
      <c r="E1023" s="2831" t="s">
        <v>2169</v>
      </c>
    </row>
    <row r="1024" spans="1:5">
      <c r="A1024" s="2831">
        <v>659</v>
      </c>
      <c r="B1024" s="2831" t="s">
        <v>3226</v>
      </c>
      <c r="C1024" s="2831">
        <v>107</v>
      </c>
      <c r="D1024" s="2831" t="s">
        <v>3227</v>
      </c>
      <c r="E1024" s="2831" t="s">
        <v>2169</v>
      </c>
    </row>
    <row r="1025" spans="1:5">
      <c r="A1025" s="2831">
        <v>659</v>
      </c>
      <c r="B1025" s="2831" t="s">
        <v>3226</v>
      </c>
      <c r="C1025" s="2831">
        <v>3050</v>
      </c>
      <c r="D1025" s="2831" t="s">
        <v>3228</v>
      </c>
      <c r="E1025" s="2831" t="s">
        <v>2166</v>
      </c>
    </row>
    <row r="1026" spans="1:5">
      <c r="A1026" s="2831">
        <v>659</v>
      </c>
      <c r="B1026" s="2831" t="s">
        <v>3226</v>
      </c>
      <c r="C1026" s="2831">
        <v>105</v>
      </c>
      <c r="D1026" s="2831" t="s">
        <v>3229</v>
      </c>
      <c r="E1026" s="2831" t="s">
        <v>2166</v>
      </c>
    </row>
    <row r="1027" spans="1:5">
      <c r="A1027" s="2831">
        <v>659</v>
      </c>
      <c r="B1027" s="2831" t="s">
        <v>3226</v>
      </c>
      <c r="C1027" s="2831">
        <v>5050</v>
      </c>
      <c r="D1027" s="2831" t="s">
        <v>3230</v>
      </c>
      <c r="E1027" s="2831" t="s">
        <v>2166</v>
      </c>
    </row>
    <row r="1028" spans="1:5">
      <c r="A1028" s="2831">
        <v>659</v>
      </c>
      <c r="B1028" s="2831" t="s">
        <v>3226</v>
      </c>
      <c r="C1028" s="2831">
        <v>1052</v>
      </c>
      <c r="D1028" s="2831" t="s">
        <v>3231</v>
      </c>
      <c r="E1028" s="2831" t="s">
        <v>2174</v>
      </c>
    </row>
    <row r="1029" spans="1:5">
      <c r="A1029" s="2831">
        <v>660</v>
      </c>
      <c r="B1029" s="2831" t="s">
        <v>3232</v>
      </c>
      <c r="C1029" s="2831">
        <v>101</v>
      </c>
      <c r="D1029" s="2831" t="s">
        <v>3233</v>
      </c>
      <c r="E1029" s="2831" t="s">
        <v>2166</v>
      </c>
    </row>
    <row r="1030" spans="1:5">
      <c r="A1030" s="2831">
        <v>660</v>
      </c>
      <c r="B1030" s="2831" t="s">
        <v>3232</v>
      </c>
      <c r="C1030" s="2831">
        <v>1050</v>
      </c>
      <c r="D1030" s="2831" t="s">
        <v>3234</v>
      </c>
      <c r="E1030" s="2831" t="s">
        <v>2166</v>
      </c>
    </row>
    <row r="1031" spans="1:5">
      <c r="A1031" s="2831">
        <v>660</v>
      </c>
      <c r="B1031" s="2831" t="s">
        <v>3232</v>
      </c>
      <c r="C1031" s="2831">
        <v>205</v>
      </c>
      <c r="D1031" s="2831" t="s">
        <v>3235</v>
      </c>
      <c r="E1031" s="2831" t="s">
        <v>2169</v>
      </c>
    </row>
    <row r="1032" spans="1:5">
      <c r="A1032" s="2831">
        <v>660</v>
      </c>
      <c r="B1032" s="2831" t="s">
        <v>3232</v>
      </c>
      <c r="C1032" s="2831">
        <v>406</v>
      </c>
      <c r="D1032" s="2831" t="s">
        <v>3236</v>
      </c>
      <c r="E1032" s="2831" t="s">
        <v>2166</v>
      </c>
    </row>
    <row r="1033" spans="1:5">
      <c r="A1033" s="2831">
        <v>660</v>
      </c>
      <c r="B1033" s="2831" t="s">
        <v>3232</v>
      </c>
      <c r="C1033" s="2831">
        <v>5060</v>
      </c>
      <c r="D1033" s="2831" t="s">
        <v>3237</v>
      </c>
      <c r="E1033" s="2831" t="s">
        <v>2174</v>
      </c>
    </row>
    <row r="1034" spans="1:5">
      <c r="A1034" s="2831">
        <v>660</v>
      </c>
      <c r="B1034" s="2831" t="s">
        <v>3232</v>
      </c>
      <c r="C1034" s="2831">
        <v>305</v>
      </c>
      <c r="D1034" s="2831" t="s">
        <v>3238</v>
      </c>
      <c r="E1034" s="2831" t="s">
        <v>2166</v>
      </c>
    </row>
    <row r="1035" spans="1:5">
      <c r="A1035" s="2831">
        <v>660</v>
      </c>
      <c r="B1035" s="2831" t="s">
        <v>3232</v>
      </c>
      <c r="C1035" s="2831">
        <v>176</v>
      </c>
      <c r="D1035" s="2831" t="s">
        <v>3239</v>
      </c>
      <c r="E1035" s="2831" t="s">
        <v>2174</v>
      </c>
    </row>
    <row r="1036" spans="1:5">
      <c r="A1036" s="2831">
        <v>660</v>
      </c>
      <c r="B1036" s="2831" t="s">
        <v>3232</v>
      </c>
      <c r="C1036" s="2831">
        <v>187</v>
      </c>
      <c r="D1036" s="2831" t="s">
        <v>3240</v>
      </c>
      <c r="E1036" s="2831" t="s">
        <v>2166</v>
      </c>
    </row>
    <row r="1037" spans="1:5">
      <c r="A1037" s="2831">
        <v>660</v>
      </c>
      <c r="B1037" s="2831" t="s">
        <v>3232</v>
      </c>
      <c r="C1037" s="2831">
        <v>391</v>
      </c>
      <c r="D1037" s="2831" t="s">
        <v>2289</v>
      </c>
      <c r="E1037" s="2831" t="s">
        <v>2166</v>
      </c>
    </row>
    <row r="1038" spans="1:5">
      <c r="A1038" s="2831">
        <v>660</v>
      </c>
      <c r="B1038" s="2831" t="s">
        <v>3232</v>
      </c>
      <c r="C1038" s="2831">
        <v>2058</v>
      </c>
      <c r="D1038" s="2831" t="s">
        <v>3241</v>
      </c>
      <c r="E1038" s="2831" t="s">
        <v>2166</v>
      </c>
    </row>
    <row r="1039" spans="1:5">
      <c r="A1039" s="2831">
        <v>660</v>
      </c>
      <c r="B1039" s="2831" t="s">
        <v>3232</v>
      </c>
      <c r="C1039" s="2831">
        <v>1210</v>
      </c>
      <c r="D1039" s="2831" t="s">
        <v>3242</v>
      </c>
      <c r="E1039" s="2831" t="s">
        <v>2166</v>
      </c>
    </row>
    <row r="1040" spans="1:5">
      <c r="A1040" s="2831">
        <v>660</v>
      </c>
      <c r="B1040" s="2831" t="s">
        <v>3232</v>
      </c>
      <c r="C1040" s="2831">
        <v>2550</v>
      </c>
      <c r="D1040" s="2831" t="s">
        <v>3243</v>
      </c>
      <c r="E1040" s="2831" t="s">
        <v>2174</v>
      </c>
    </row>
    <row r="1041" spans="1:5">
      <c r="A1041" s="2831">
        <v>660</v>
      </c>
      <c r="B1041" s="2831" t="s">
        <v>3232</v>
      </c>
      <c r="C1041" s="2831">
        <v>119</v>
      </c>
      <c r="D1041" s="2831" t="s">
        <v>3244</v>
      </c>
      <c r="E1041" s="2831" t="s">
        <v>2169</v>
      </c>
    </row>
    <row r="1042" spans="1:5">
      <c r="A1042" s="2831">
        <v>660</v>
      </c>
      <c r="B1042" s="2831" t="s">
        <v>3232</v>
      </c>
      <c r="C1042" s="2831">
        <v>186</v>
      </c>
      <c r="D1042" s="2831" t="s">
        <v>3245</v>
      </c>
      <c r="E1042" s="2831" t="s">
        <v>2166</v>
      </c>
    </row>
    <row r="1043" spans="1:5">
      <c r="A1043" s="2831">
        <v>660</v>
      </c>
      <c r="B1043" s="2831" t="s">
        <v>3232</v>
      </c>
      <c r="C1043" s="2831">
        <v>2070</v>
      </c>
      <c r="D1043" s="2831" t="s">
        <v>3246</v>
      </c>
      <c r="E1043" s="2831" t="s">
        <v>2169</v>
      </c>
    </row>
    <row r="1044" spans="1:5">
      <c r="A1044" s="2831">
        <v>660</v>
      </c>
      <c r="B1044" s="2831" t="s">
        <v>3232</v>
      </c>
      <c r="C1044" s="2831">
        <v>198</v>
      </c>
      <c r="D1044" s="2831" t="s">
        <v>3247</v>
      </c>
      <c r="E1044" s="2831" t="s">
        <v>2174</v>
      </c>
    </row>
    <row r="1045" spans="1:5">
      <c r="A1045" s="2831">
        <v>660</v>
      </c>
      <c r="B1045" s="2831" t="s">
        <v>3232</v>
      </c>
      <c r="C1045" s="2831">
        <v>392</v>
      </c>
      <c r="D1045" s="2831" t="s">
        <v>3248</v>
      </c>
      <c r="E1045" s="2831" t="s">
        <v>2166</v>
      </c>
    </row>
    <row r="1046" spans="1:5">
      <c r="A1046" s="2831">
        <v>660</v>
      </c>
      <c r="B1046" s="2831" t="s">
        <v>3232</v>
      </c>
      <c r="C1046" s="2831">
        <v>215</v>
      </c>
      <c r="D1046" s="2831" t="s">
        <v>3249</v>
      </c>
      <c r="E1046" s="2831" t="s">
        <v>2169</v>
      </c>
    </row>
    <row r="1047" spans="1:5">
      <c r="A1047" s="2831">
        <v>660</v>
      </c>
      <c r="B1047" s="2831" t="s">
        <v>3232</v>
      </c>
      <c r="C1047" s="2831">
        <v>1010</v>
      </c>
      <c r="D1047" s="2831" t="s">
        <v>3250</v>
      </c>
      <c r="E1047" s="2831" t="s">
        <v>2174</v>
      </c>
    </row>
    <row r="1048" spans="1:5">
      <c r="A1048" s="2831">
        <v>660</v>
      </c>
      <c r="B1048" s="2831" t="s">
        <v>3232</v>
      </c>
      <c r="C1048" s="2831">
        <v>303</v>
      </c>
      <c r="D1048" s="2831" t="s">
        <v>3251</v>
      </c>
      <c r="E1048" s="2831" t="s">
        <v>2166</v>
      </c>
    </row>
    <row r="1049" spans="1:5">
      <c r="A1049" s="2831">
        <v>660</v>
      </c>
      <c r="B1049" s="2831" t="s">
        <v>3232</v>
      </c>
      <c r="C1049" s="2831">
        <v>1315</v>
      </c>
      <c r="D1049" s="2831" t="s">
        <v>3252</v>
      </c>
      <c r="E1049" s="2831" t="s">
        <v>2166</v>
      </c>
    </row>
    <row r="1050" spans="1:5">
      <c r="A1050" s="2831">
        <v>660</v>
      </c>
      <c r="B1050" s="2831" t="s">
        <v>3232</v>
      </c>
      <c r="C1050" s="2831">
        <v>5052</v>
      </c>
      <c r="D1050" s="2831" t="s">
        <v>3253</v>
      </c>
      <c r="E1050" s="2831" t="s">
        <v>2174</v>
      </c>
    </row>
    <row r="1051" spans="1:5">
      <c r="A1051" s="2831">
        <v>660</v>
      </c>
      <c r="B1051" s="2831" t="s">
        <v>3232</v>
      </c>
      <c r="C1051" s="2831">
        <v>193</v>
      </c>
      <c r="D1051" s="2831" t="s">
        <v>3254</v>
      </c>
      <c r="E1051" s="2831" t="s">
        <v>2169</v>
      </c>
    </row>
    <row r="1052" spans="1:5">
      <c r="A1052" s="2831">
        <v>660</v>
      </c>
      <c r="B1052" s="2831" t="s">
        <v>3232</v>
      </c>
      <c r="C1052" s="2831">
        <v>184</v>
      </c>
      <c r="D1052" s="2831" t="s">
        <v>3255</v>
      </c>
      <c r="E1052" s="2831" t="s">
        <v>2166</v>
      </c>
    </row>
    <row r="1053" spans="1:5">
      <c r="A1053" s="2831">
        <v>660</v>
      </c>
      <c r="B1053" s="2831" t="s">
        <v>3232</v>
      </c>
      <c r="C1053" s="2831">
        <v>102</v>
      </c>
      <c r="D1053" s="2831" t="s">
        <v>3256</v>
      </c>
      <c r="E1053" s="2831" t="s">
        <v>2166</v>
      </c>
    </row>
    <row r="1054" spans="1:5">
      <c r="A1054" s="2831">
        <v>660</v>
      </c>
      <c r="B1054" s="2831" t="s">
        <v>3232</v>
      </c>
      <c r="C1054" s="2831">
        <v>291</v>
      </c>
      <c r="D1054" s="2831" t="s">
        <v>3257</v>
      </c>
      <c r="E1054" s="2831" t="s">
        <v>2174</v>
      </c>
    </row>
    <row r="1055" spans="1:5">
      <c r="A1055" s="2831">
        <v>660</v>
      </c>
      <c r="B1055" s="2831" t="s">
        <v>3232</v>
      </c>
      <c r="C1055" s="2831">
        <v>180</v>
      </c>
      <c r="D1055" s="2831" t="s">
        <v>3258</v>
      </c>
      <c r="E1055" s="2831" t="s">
        <v>2166</v>
      </c>
    </row>
    <row r="1056" spans="1:5">
      <c r="A1056" s="2831">
        <v>660</v>
      </c>
      <c r="B1056" s="2831" t="s">
        <v>3232</v>
      </c>
      <c r="C1056" s="2831">
        <v>207</v>
      </c>
      <c r="D1056" s="2831" t="s">
        <v>3259</v>
      </c>
      <c r="E1056" s="2831" t="s">
        <v>2166</v>
      </c>
    </row>
    <row r="1057" spans="1:5">
      <c r="A1057" s="2831">
        <v>660</v>
      </c>
      <c r="B1057" s="2831" t="s">
        <v>3232</v>
      </c>
      <c r="C1057" s="2831">
        <v>4069</v>
      </c>
      <c r="D1057" s="2831" t="s">
        <v>3260</v>
      </c>
      <c r="E1057" s="2831" t="s">
        <v>2174</v>
      </c>
    </row>
    <row r="1058" spans="1:5">
      <c r="A1058" s="2831">
        <v>660</v>
      </c>
      <c r="B1058" s="2831" t="s">
        <v>3232</v>
      </c>
      <c r="C1058" s="2831">
        <v>302</v>
      </c>
      <c r="D1058" s="2831" t="s">
        <v>3261</v>
      </c>
      <c r="E1058" s="2831" t="s">
        <v>2166</v>
      </c>
    </row>
    <row r="1059" spans="1:5">
      <c r="A1059" s="2831">
        <v>660</v>
      </c>
      <c r="B1059" s="2831" t="s">
        <v>3232</v>
      </c>
      <c r="C1059" s="2831">
        <v>114</v>
      </c>
      <c r="D1059" s="2831" t="s">
        <v>3262</v>
      </c>
      <c r="E1059" s="2831" t="s">
        <v>2174</v>
      </c>
    </row>
    <row r="1060" spans="1:5">
      <c r="A1060" s="2831">
        <v>660</v>
      </c>
      <c r="B1060" s="2831" t="s">
        <v>3232</v>
      </c>
      <c r="C1060" s="2831">
        <v>295</v>
      </c>
      <c r="D1060" s="2831" t="s">
        <v>3263</v>
      </c>
      <c r="E1060" s="2831" t="s">
        <v>2166</v>
      </c>
    </row>
    <row r="1061" spans="1:5">
      <c r="A1061" s="2831">
        <v>660</v>
      </c>
      <c r="B1061" s="2831" t="s">
        <v>3232</v>
      </c>
      <c r="C1061" s="2831">
        <v>1319</v>
      </c>
      <c r="D1061" s="2831" t="s">
        <v>3264</v>
      </c>
      <c r="E1061" s="2831" t="s">
        <v>2169</v>
      </c>
    </row>
    <row r="1062" spans="1:5">
      <c r="A1062" s="2831">
        <v>660</v>
      </c>
      <c r="B1062" s="2831" t="s">
        <v>3232</v>
      </c>
      <c r="C1062" s="2831">
        <v>1325</v>
      </c>
      <c r="D1062" s="2831" t="s">
        <v>3265</v>
      </c>
      <c r="E1062" s="2831" t="s">
        <v>2169</v>
      </c>
    </row>
    <row r="1063" spans="1:5">
      <c r="A1063" s="2831">
        <v>660</v>
      </c>
      <c r="B1063" s="2831" t="s">
        <v>3232</v>
      </c>
      <c r="C1063" s="2831">
        <v>1323</v>
      </c>
      <c r="D1063" s="2831" t="s">
        <v>3266</v>
      </c>
      <c r="E1063" s="2831" t="s">
        <v>2174</v>
      </c>
    </row>
    <row r="1064" spans="1:5">
      <c r="A1064" s="2831">
        <v>660</v>
      </c>
      <c r="B1064" s="2831" t="s">
        <v>3232</v>
      </c>
      <c r="C1064" s="2831">
        <v>276</v>
      </c>
      <c r="D1064" s="2831" t="s">
        <v>3267</v>
      </c>
      <c r="E1064" s="2831" t="s">
        <v>2174</v>
      </c>
    </row>
    <row r="1065" spans="1:5">
      <c r="A1065" s="2831">
        <v>660</v>
      </c>
      <c r="B1065" s="2831" t="s">
        <v>3232</v>
      </c>
      <c r="C1065" s="2831">
        <v>501</v>
      </c>
      <c r="D1065" s="2831" t="s">
        <v>3268</v>
      </c>
      <c r="E1065" s="2831" t="s">
        <v>2174</v>
      </c>
    </row>
    <row r="1066" spans="1:5">
      <c r="A1066" s="2831">
        <v>660</v>
      </c>
      <c r="B1066" s="2831" t="s">
        <v>3232</v>
      </c>
      <c r="C1066" s="2831">
        <v>118</v>
      </c>
      <c r="D1066" s="2831" t="s">
        <v>3269</v>
      </c>
      <c r="E1066" s="2831" t="s">
        <v>2174</v>
      </c>
    </row>
    <row r="1067" spans="1:5">
      <c r="A1067" s="2831">
        <v>660</v>
      </c>
      <c r="B1067" s="2831" t="s">
        <v>3232</v>
      </c>
      <c r="C1067" s="2831">
        <v>192</v>
      </c>
      <c r="D1067" s="2831" t="s">
        <v>3270</v>
      </c>
      <c r="E1067" s="2831" t="s">
        <v>2166</v>
      </c>
    </row>
    <row r="1068" spans="1:5">
      <c r="A1068" s="2831">
        <v>660</v>
      </c>
      <c r="B1068" s="2831" t="s">
        <v>3232</v>
      </c>
      <c r="C1068" s="2831">
        <v>384</v>
      </c>
      <c r="D1068" s="2831" t="s">
        <v>3271</v>
      </c>
      <c r="E1068" s="2831" t="s">
        <v>2166</v>
      </c>
    </row>
    <row r="1069" spans="1:5">
      <c r="A1069" s="2831">
        <v>660</v>
      </c>
      <c r="B1069" s="2831" t="s">
        <v>3232</v>
      </c>
      <c r="C1069" s="2831">
        <v>3056</v>
      </c>
      <c r="D1069" s="2831" t="s">
        <v>3272</v>
      </c>
      <c r="E1069" s="2831" t="s">
        <v>2166</v>
      </c>
    </row>
    <row r="1070" spans="1:5">
      <c r="A1070" s="2831">
        <v>660</v>
      </c>
      <c r="B1070" s="2831" t="s">
        <v>3232</v>
      </c>
      <c r="C1070" s="2831">
        <v>103</v>
      </c>
      <c r="D1070" s="2831" t="s">
        <v>3273</v>
      </c>
      <c r="E1070" s="2831" t="s">
        <v>2166</v>
      </c>
    </row>
    <row r="1071" spans="1:5">
      <c r="A1071" s="2831">
        <v>660</v>
      </c>
      <c r="B1071" s="2831" t="s">
        <v>3232</v>
      </c>
      <c r="C1071" s="2831">
        <v>301</v>
      </c>
      <c r="D1071" s="2831" t="s">
        <v>2344</v>
      </c>
      <c r="E1071" s="2831" t="s">
        <v>2166</v>
      </c>
    </row>
    <row r="1072" spans="1:5">
      <c r="A1072" s="2831">
        <v>660</v>
      </c>
      <c r="B1072" s="2831" t="s">
        <v>3232</v>
      </c>
      <c r="C1072" s="2831">
        <v>4056</v>
      </c>
      <c r="D1072" s="2831" t="s">
        <v>3274</v>
      </c>
      <c r="E1072" s="2831" t="s">
        <v>2169</v>
      </c>
    </row>
    <row r="1073" spans="1:5">
      <c r="A1073" s="2831">
        <v>660</v>
      </c>
      <c r="B1073" s="2831" t="s">
        <v>3232</v>
      </c>
      <c r="C1073" s="2831">
        <v>202</v>
      </c>
      <c r="D1073" s="2831" t="s">
        <v>3275</v>
      </c>
      <c r="E1073" s="2831" t="s">
        <v>2166</v>
      </c>
    </row>
    <row r="1074" spans="1:5">
      <c r="A1074" s="2831">
        <v>660</v>
      </c>
      <c r="B1074" s="2831" t="s">
        <v>3232</v>
      </c>
      <c r="C1074" s="2831">
        <v>284</v>
      </c>
      <c r="D1074" s="2831" t="s">
        <v>3276</v>
      </c>
      <c r="E1074" s="2831" t="s">
        <v>2174</v>
      </c>
    </row>
    <row r="1075" spans="1:5">
      <c r="A1075" s="2831">
        <v>660</v>
      </c>
      <c r="B1075" s="2831" t="s">
        <v>3232</v>
      </c>
      <c r="C1075" s="2831">
        <v>105</v>
      </c>
      <c r="D1075" s="2831" t="s">
        <v>3277</v>
      </c>
      <c r="E1075" s="2831" t="s">
        <v>2169</v>
      </c>
    </row>
    <row r="1076" spans="1:5">
      <c r="A1076" s="2831">
        <v>660</v>
      </c>
      <c r="B1076" s="2831" t="s">
        <v>3232</v>
      </c>
      <c r="C1076" s="2831">
        <v>386</v>
      </c>
      <c r="D1076" s="2831" t="s">
        <v>3278</v>
      </c>
      <c r="E1076" s="2831" t="s">
        <v>2169</v>
      </c>
    </row>
    <row r="1077" spans="1:5">
      <c r="A1077" s="2831">
        <v>660</v>
      </c>
      <c r="B1077" s="2831" t="s">
        <v>3232</v>
      </c>
      <c r="C1077" s="2831">
        <v>1322</v>
      </c>
      <c r="D1077" s="2831" t="s">
        <v>3279</v>
      </c>
      <c r="E1077" s="2831" t="s">
        <v>2166</v>
      </c>
    </row>
    <row r="1078" spans="1:5">
      <c r="A1078" s="2831">
        <v>660</v>
      </c>
      <c r="B1078" s="2831" t="s">
        <v>3232</v>
      </c>
      <c r="C1078" s="2831">
        <v>1310</v>
      </c>
      <c r="D1078" s="2831" t="s">
        <v>3280</v>
      </c>
      <c r="E1078" s="2831" t="s">
        <v>2174</v>
      </c>
    </row>
    <row r="1079" spans="1:5">
      <c r="A1079" s="2831">
        <v>660</v>
      </c>
      <c r="B1079" s="2831" t="s">
        <v>3232</v>
      </c>
      <c r="C1079" s="2831">
        <v>175</v>
      </c>
      <c r="D1079" s="2831" t="s">
        <v>2216</v>
      </c>
      <c r="E1079" s="2831" t="s">
        <v>2166</v>
      </c>
    </row>
    <row r="1080" spans="1:5">
      <c r="A1080" s="2831">
        <v>660</v>
      </c>
      <c r="B1080" s="2831" t="s">
        <v>3232</v>
      </c>
      <c r="C1080" s="2831">
        <v>910</v>
      </c>
      <c r="D1080" s="2831" t="s">
        <v>3281</v>
      </c>
      <c r="E1080" s="2831" t="s">
        <v>2166</v>
      </c>
    </row>
    <row r="1081" spans="1:5">
      <c r="A1081" s="2831">
        <v>660</v>
      </c>
      <c r="B1081" s="2831" t="s">
        <v>3232</v>
      </c>
      <c r="C1081" s="2831">
        <v>204</v>
      </c>
      <c r="D1081" s="2831" t="s">
        <v>3282</v>
      </c>
      <c r="E1081" s="2831" t="s">
        <v>2174</v>
      </c>
    </row>
    <row r="1082" spans="1:5">
      <c r="A1082" s="2831">
        <v>660</v>
      </c>
      <c r="B1082" s="2831" t="s">
        <v>3232</v>
      </c>
      <c r="C1082" s="2831">
        <v>909</v>
      </c>
      <c r="D1082" s="2831" t="s">
        <v>3283</v>
      </c>
      <c r="E1082" s="2831" t="s">
        <v>2174</v>
      </c>
    </row>
    <row r="1083" spans="1:5">
      <c r="A1083" s="2831">
        <v>660</v>
      </c>
      <c r="B1083" s="2831" t="s">
        <v>3232</v>
      </c>
      <c r="C1083" s="2831">
        <v>190</v>
      </c>
      <c r="D1083" s="2831" t="s">
        <v>3284</v>
      </c>
      <c r="E1083" s="2831" t="s">
        <v>2166</v>
      </c>
    </row>
    <row r="1084" spans="1:5">
      <c r="A1084" s="2831">
        <v>660</v>
      </c>
      <c r="B1084" s="2831" t="s">
        <v>3232</v>
      </c>
      <c r="C1084" s="2831">
        <v>1110</v>
      </c>
      <c r="D1084" s="2831" t="s">
        <v>3285</v>
      </c>
      <c r="E1084" s="2831" t="s">
        <v>2174</v>
      </c>
    </row>
    <row r="1085" spans="1:5">
      <c r="A1085" s="2831">
        <v>660</v>
      </c>
      <c r="B1085" s="2831" t="s">
        <v>3232</v>
      </c>
      <c r="C1085" s="2831">
        <v>3058</v>
      </c>
      <c r="D1085" s="2831" t="s">
        <v>3286</v>
      </c>
      <c r="E1085" s="2831" t="s">
        <v>2174</v>
      </c>
    </row>
    <row r="1086" spans="1:5">
      <c r="A1086" s="2831">
        <v>660</v>
      </c>
      <c r="B1086" s="2831" t="s">
        <v>3232</v>
      </c>
      <c r="C1086" s="2831">
        <v>503</v>
      </c>
      <c r="D1086" s="2831" t="s">
        <v>3287</v>
      </c>
      <c r="E1086" s="2831" t="s">
        <v>2174</v>
      </c>
    </row>
    <row r="1087" spans="1:5">
      <c r="A1087" s="2831">
        <v>660</v>
      </c>
      <c r="B1087" s="2831" t="s">
        <v>3232</v>
      </c>
      <c r="C1087" s="2831">
        <v>116</v>
      </c>
      <c r="D1087" s="2831" t="s">
        <v>3288</v>
      </c>
      <c r="E1087" s="2831" t="s">
        <v>2166</v>
      </c>
    </row>
    <row r="1088" spans="1:5">
      <c r="A1088" s="2831">
        <v>660</v>
      </c>
      <c r="B1088" s="2831" t="s">
        <v>3232</v>
      </c>
      <c r="C1088" s="2831">
        <v>299</v>
      </c>
      <c r="D1088" s="2831" t="s">
        <v>3289</v>
      </c>
      <c r="E1088" s="2831" t="s">
        <v>2166</v>
      </c>
    </row>
    <row r="1089" spans="1:5">
      <c r="A1089" s="2831">
        <v>660</v>
      </c>
      <c r="B1089" s="2831" t="s">
        <v>3232</v>
      </c>
      <c r="C1089" s="2831">
        <v>189</v>
      </c>
      <c r="D1089" s="2831" t="s">
        <v>2981</v>
      </c>
      <c r="E1089" s="2831" t="s">
        <v>2174</v>
      </c>
    </row>
    <row r="1090" spans="1:5">
      <c r="A1090" s="2831">
        <v>660</v>
      </c>
      <c r="B1090" s="2831" t="s">
        <v>3232</v>
      </c>
      <c r="C1090" s="2831">
        <v>491</v>
      </c>
      <c r="D1090" s="2831" t="s">
        <v>3290</v>
      </c>
      <c r="E1090" s="2831" t="s">
        <v>2166</v>
      </c>
    </row>
    <row r="1091" spans="1:5">
      <c r="A1091" s="2831">
        <v>660</v>
      </c>
      <c r="B1091" s="2831" t="s">
        <v>3232</v>
      </c>
      <c r="C1091" s="2831">
        <v>106</v>
      </c>
      <c r="D1091" s="2831" t="s">
        <v>3291</v>
      </c>
      <c r="E1091" s="2831" t="s">
        <v>2174</v>
      </c>
    </row>
    <row r="1092" spans="1:5">
      <c r="A1092" s="2831">
        <v>660</v>
      </c>
      <c r="B1092" s="2831" t="s">
        <v>3232</v>
      </c>
      <c r="C1092" s="2831">
        <v>4060</v>
      </c>
      <c r="D1092" s="2831" t="s">
        <v>3292</v>
      </c>
      <c r="E1092" s="2831" t="s">
        <v>2174</v>
      </c>
    </row>
    <row r="1093" spans="1:5">
      <c r="A1093" s="2831">
        <v>660</v>
      </c>
      <c r="B1093" s="2831" t="s">
        <v>3232</v>
      </c>
      <c r="C1093" s="2831">
        <v>373</v>
      </c>
      <c r="D1093" s="2831" t="s">
        <v>3293</v>
      </c>
      <c r="E1093" s="2831" t="s">
        <v>2166</v>
      </c>
    </row>
    <row r="1094" spans="1:5">
      <c r="A1094" s="2831">
        <v>660</v>
      </c>
      <c r="B1094" s="2831" t="s">
        <v>3232</v>
      </c>
      <c r="C1094" s="2831">
        <v>195</v>
      </c>
      <c r="D1094" s="2831" t="s">
        <v>3294</v>
      </c>
      <c r="E1094" s="2831" t="s">
        <v>2166</v>
      </c>
    </row>
    <row r="1095" spans="1:5">
      <c r="A1095" s="2831">
        <v>660</v>
      </c>
      <c r="B1095" s="2831" t="s">
        <v>3232</v>
      </c>
      <c r="C1095" s="2831">
        <v>275</v>
      </c>
      <c r="D1095" s="2831" t="s">
        <v>3295</v>
      </c>
      <c r="E1095" s="2831" t="s">
        <v>2166</v>
      </c>
    </row>
    <row r="1096" spans="1:5">
      <c r="A1096" s="2831">
        <v>660</v>
      </c>
      <c r="B1096" s="2831" t="s">
        <v>3232</v>
      </c>
      <c r="C1096" s="2831">
        <v>4062</v>
      </c>
      <c r="D1096" s="2831" t="s">
        <v>3296</v>
      </c>
      <c r="E1096" s="2831" t="s">
        <v>2174</v>
      </c>
    </row>
    <row r="1097" spans="1:5">
      <c r="A1097" s="2831">
        <v>660</v>
      </c>
      <c r="B1097" s="2831" t="s">
        <v>3232</v>
      </c>
      <c r="C1097" s="2831">
        <v>203</v>
      </c>
      <c r="D1097" s="2831" t="s">
        <v>3297</v>
      </c>
      <c r="E1097" s="2831" t="s">
        <v>2169</v>
      </c>
    </row>
    <row r="1098" spans="1:5">
      <c r="A1098" s="2831">
        <v>660</v>
      </c>
      <c r="B1098" s="2831" t="s">
        <v>3232</v>
      </c>
      <c r="C1098" s="2831">
        <v>597</v>
      </c>
      <c r="D1098" s="2831" t="s">
        <v>3298</v>
      </c>
      <c r="E1098" s="2831" t="s">
        <v>2166</v>
      </c>
    </row>
    <row r="1099" spans="1:5">
      <c r="A1099" s="2831">
        <v>660</v>
      </c>
      <c r="B1099" s="2831" t="s">
        <v>3232</v>
      </c>
      <c r="C1099" s="2831">
        <v>197</v>
      </c>
      <c r="D1099" s="2831" t="s">
        <v>3299</v>
      </c>
      <c r="E1099" s="2831" t="s">
        <v>2169</v>
      </c>
    </row>
    <row r="1100" spans="1:5">
      <c r="A1100" s="2831">
        <v>660</v>
      </c>
      <c r="B1100" s="2831" t="s">
        <v>3232</v>
      </c>
      <c r="C1100" s="2831">
        <v>206</v>
      </c>
      <c r="D1100" s="2831" t="s">
        <v>3300</v>
      </c>
      <c r="E1100" s="2831" t="s">
        <v>2174</v>
      </c>
    </row>
    <row r="1101" spans="1:5">
      <c r="A1101" s="2831">
        <v>660</v>
      </c>
      <c r="B1101" s="2831" t="s">
        <v>3232</v>
      </c>
      <c r="C1101" s="2831">
        <v>701</v>
      </c>
      <c r="D1101" s="2831" t="s">
        <v>3301</v>
      </c>
      <c r="E1101" s="2831" t="s">
        <v>2174</v>
      </c>
    </row>
    <row r="1102" spans="1:5">
      <c r="A1102" s="2831">
        <v>660</v>
      </c>
      <c r="B1102" s="2831" t="s">
        <v>3232</v>
      </c>
      <c r="C1102" s="2831">
        <v>292</v>
      </c>
      <c r="D1102" s="2831" t="s">
        <v>3302</v>
      </c>
      <c r="E1102" s="2831" t="s">
        <v>2174</v>
      </c>
    </row>
    <row r="1103" spans="1:5">
      <c r="A1103" s="2831">
        <v>660</v>
      </c>
      <c r="B1103" s="2831" t="s">
        <v>3232</v>
      </c>
      <c r="C1103" s="2831">
        <v>3064</v>
      </c>
      <c r="D1103" s="2831" t="s">
        <v>3303</v>
      </c>
      <c r="E1103" s="2831" t="s">
        <v>2174</v>
      </c>
    </row>
    <row r="1104" spans="1:5">
      <c r="A1104" s="2831">
        <v>660</v>
      </c>
      <c r="B1104" s="2831" t="s">
        <v>3232</v>
      </c>
      <c r="C1104" s="2831">
        <v>803</v>
      </c>
      <c r="D1104" s="2831" t="s">
        <v>3304</v>
      </c>
      <c r="E1104" s="2831" t="s">
        <v>2174</v>
      </c>
    </row>
    <row r="1105" spans="1:5">
      <c r="A1105" s="2831">
        <v>660</v>
      </c>
      <c r="B1105" s="2831" t="s">
        <v>3232</v>
      </c>
      <c r="C1105" s="2831">
        <v>390</v>
      </c>
      <c r="D1105" s="2831" t="s">
        <v>3305</v>
      </c>
      <c r="E1105" s="2831" t="s">
        <v>2174</v>
      </c>
    </row>
    <row r="1106" spans="1:5">
      <c r="A1106" s="2831">
        <v>660</v>
      </c>
      <c r="B1106" s="2831" t="s">
        <v>3232</v>
      </c>
      <c r="C1106" s="2831">
        <v>109</v>
      </c>
      <c r="D1106" s="2831" t="s">
        <v>3306</v>
      </c>
      <c r="E1106" s="2831" t="s">
        <v>2174</v>
      </c>
    </row>
    <row r="1107" spans="1:5">
      <c r="A1107" s="2831">
        <v>660</v>
      </c>
      <c r="B1107" s="2831" t="s">
        <v>3232</v>
      </c>
      <c r="C1107" s="2831">
        <v>107</v>
      </c>
      <c r="D1107" s="2831" t="s">
        <v>3307</v>
      </c>
      <c r="E1107" s="2831" t="s">
        <v>2174</v>
      </c>
    </row>
    <row r="1108" spans="1:5">
      <c r="A1108" s="2831">
        <v>660</v>
      </c>
      <c r="B1108" s="2831" t="s">
        <v>3232</v>
      </c>
      <c r="C1108" s="2831">
        <v>286</v>
      </c>
      <c r="D1108" s="2831" t="s">
        <v>3308</v>
      </c>
      <c r="E1108" s="2831" t="s">
        <v>2174</v>
      </c>
    </row>
    <row r="1109" spans="1:5">
      <c r="A1109" s="2831">
        <v>660</v>
      </c>
      <c r="B1109" s="2831" t="s">
        <v>3232</v>
      </c>
      <c r="C1109" s="2831">
        <v>397</v>
      </c>
      <c r="D1109" s="2831" t="s">
        <v>3309</v>
      </c>
      <c r="E1109" s="2831" t="s">
        <v>2166</v>
      </c>
    </row>
    <row r="1110" spans="1:5">
      <c r="A1110" s="2831">
        <v>660</v>
      </c>
      <c r="B1110" s="2831" t="s">
        <v>3232</v>
      </c>
      <c r="C1110" s="2831">
        <v>402</v>
      </c>
      <c r="D1110" s="2831" t="s">
        <v>3310</v>
      </c>
      <c r="E1110" s="2831" t="s">
        <v>2166</v>
      </c>
    </row>
    <row r="1111" spans="1:5">
      <c r="A1111" s="2831">
        <v>660</v>
      </c>
      <c r="B1111" s="2831" t="s">
        <v>3232</v>
      </c>
      <c r="C1111" s="2831">
        <v>3066</v>
      </c>
      <c r="D1111" s="2831" t="s">
        <v>3311</v>
      </c>
      <c r="E1111" s="2831" t="s">
        <v>2169</v>
      </c>
    </row>
    <row r="1112" spans="1:5">
      <c r="A1112" s="2831">
        <v>660</v>
      </c>
      <c r="B1112" s="2831" t="s">
        <v>3232</v>
      </c>
      <c r="C1112" s="2831">
        <v>191</v>
      </c>
      <c r="D1112" s="2831" t="s">
        <v>3312</v>
      </c>
      <c r="E1112" s="2831" t="s">
        <v>2166</v>
      </c>
    </row>
    <row r="1113" spans="1:5">
      <c r="A1113" s="2831">
        <v>660</v>
      </c>
      <c r="B1113" s="2831" t="s">
        <v>3232</v>
      </c>
      <c r="C1113" s="2831">
        <v>1067</v>
      </c>
      <c r="D1113" s="2831" t="s">
        <v>3313</v>
      </c>
      <c r="E1113" s="2831" t="s">
        <v>2166</v>
      </c>
    </row>
    <row r="1114" spans="1:5">
      <c r="A1114" s="2831">
        <v>660</v>
      </c>
      <c r="B1114" s="2831" t="s">
        <v>3232</v>
      </c>
      <c r="C1114" s="2831">
        <v>273</v>
      </c>
      <c r="D1114" s="2831" t="s">
        <v>3314</v>
      </c>
      <c r="E1114" s="2831" t="s">
        <v>2174</v>
      </c>
    </row>
    <row r="1115" spans="1:5">
      <c r="A1115" s="2831">
        <v>660</v>
      </c>
      <c r="B1115" s="2831" t="s">
        <v>3232</v>
      </c>
      <c r="C1115" s="2831">
        <v>505</v>
      </c>
      <c r="D1115" s="2831" t="s">
        <v>3315</v>
      </c>
      <c r="E1115" s="2831" t="s">
        <v>2174</v>
      </c>
    </row>
    <row r="1116" spans="1:5">
      <c r="A1116" s="2831">
        <v>660</v>
      </c>
      <c r="B1116" s="2831" t="s">
        <v>3232</v>
      </c>
      <c r="C1116" s="2831">
        <v>603</v>
      </c>
      <c r="D1116" s="2831" t="s">
        <v>3316</v>
      </c>
      <c r="E1116" s="2831" t="s">
        <v>2166</v>
      </c>
    </row>
    <row r="1117" spans="1:5">
      <c r="A1117" s="2831">
        <v>660</v>
      </c>
      <c r="B1117" s="2831" t="s">
        <v>3232</v>
      </c>
      <c r="C1117" s="2831">
        <v>398</v>
      </c>
      <c r="D1117" s="2831" t="s">
        <v>3317</v>
      </c>
      <c r="E1117" s="2831" t="s">
        <v>2166</v>
      </c>
    </row>
    <row r="1118" spans="1:5">
      <c r="A1118" s="2831">
        <v>660</v>
      </c>
      <c r="B1118" s="2831" t="s">
        <v>3232</v>
      </c>
      <c r="C1118" s="2831">
        <v>1320</v>
      </c>
      <c r="D1118" s="2831" t="s">
        <v>3318</v>
      </c>
      <c r="E1118" s="2831" t="s">
        <v>2169</v>
      </c>
    </row>
    <row r="1119" spans="1:5">
      <c r="A1119" s="2831">
        <v>660</v>
      </c>
      <c r="B1119" s="2831" t="s">
        <v>3232</v>
      </c>
      <c r="C1119" s="2831">
        <v>104</v>
      </c>
      <c r="D1119" s="2831" t="s">
        <v>3319</v>
      </c>
      <c r="E1119" s="2831" t="s">
        <v>2166</v>
      </c>
    </row>
    <row r="1120" spans="1:5">
      <c r="A1120" s="2831">
        <v>660</v>
      </c>
      <c r="B1120" s="2831" t="s">
        <v>3232</v>
      </c>
      <c r="C1120" s="2831">
        <v>297</v>
      </c>
      <c r="D1120" s="2831" t="s">
        <v>3320</v>
      </c>
      <c r="E1120" s="2831" t="s">
        <v>2174</v>
      </c>
    </row>
    <row r="1121" spans="1:5">
      <c r="A1121" s="2831">
        <v>660</v>
      </c>
      <c r="B1121" s="2831" t="s">
        <v>3232</v>
      </c>
      <c r="C1121" s="2831">
        <v>199</v>
      </c>
      <c r="D1121" s="2831" t="s">
        <v>3321</v>
      </c>
      <c r="E1121" s="2831" t="s">
        <v>2174</v>
      </c>
    </row>
    <row r="1122" spans="1:5">
      <c r="A1122" s="2831">
        <v>660</v>
      </c>
      <c r="B1122" s="2831" t="s">
        <v>3232</v>
      </c>
      <c r="C1122" s="2831">
        <v>100</v>
      </c>
      <c r="D1122" s="2831" t="s">
        <v>3322</v>
      </c>
      <c r="E1122" s="2831" t="s">
        <v>2166</v>
      </c>
    </row>
    <row r="1123" spans="1:5">
      <c r="A1123" s="2831">
        <v>660</v>
      </c>
      <c r="B1123" s="2831" t="s">
        <v>3232</v>
      </c>
      <c r="C1123" s="2831">
        <v>298</v>
      </c>
      <c r="D1123" s="2831" t="s">
        <v>3323</v>
      </c>
      <c r="E1123" s="2831" t="s">
        <v>2174</v>
      </c>
    </row>
    <row r="1124" spans="1:5">
      <c r="A1124" s="2831">
        <v>660</v>
      </c>
      <c r="B1124" s="2831" t="s">
        <v>3232</v>
      </c>
      <c r="C1124" s="2831">
        <v>591</v>
      </c>
      <c r="D1124" s="2831" t="s">
        <v>3324</v>
      </c>
      <c r="E1124" s="2831" t="s">
        <v>2174</v>
      </c>
    </row>
    <row r="1125" spans="1:5">
      <c r="A1125" s="2831">
        <v>660</v>
      </c>
      <c r="B1125" s="2831" t="s">
        <v>3232</v>
      </c>
      <c r="C1125" s="2831">
        <v>691</v>
      </c>
      <c r="D1125" s="2831" t="s">
        <v>3325</v>
      </c>
      <c r="E1125" s="2831" t="s">
        <v>2174</v>
      </c>
    </row>
    <row r="1126" spans="1:5">
      <c r="A1126" s="2831">
        <v>660</v>
      </c>
      <c r="B1126" s="2831" t="s">
        <v>3232</v>
      </c>
      <c r="C1126" s="2831">
        <v>1316</v>
      </c>
      <c r="D1126" s="2831" t="s">
        <v>3326</v>
      </c>
      <c r="E1126" s="2831" t="s">
        <v>2174</v>
      </c>
    </row>
    <row r="1127" spans="1:5">
      <c r="A1127" s="2831">
        <v>660</v>
      </c>
      <c r="B1127" s="2831" t="s">
        <v>3232</v>
      </c>
      <c r="C1127" s="2831">
        <v>497</v>
      </c>
      <c r="D1127" s="2831" t="s">
        <v>3327</v>
      </c>
      <c r="E1127" s="2831" t="s">
        <v>2174</v>
      </c>
    </row>
    <row r="1128" spans="1:5">
      <c r="A1128" s="2831">
        <v>660</v>
      </c>
      <c r="B1128" s="2831" t="s">
        <v>3232</v>
      </c>
      <c r="C1128" s="2831">
        <v>5069</v>
      </c>
      <c r="D1128" s="2831" t="s">
        <v>3328</v>
      </c>
      <c r="E1128" s="2831" t="s">
        <v>2174</v>
      </c>
    </row>
    <row r="1129" spans="1:5">
      <c r="A1129" s="2831">
        <v>660</v>
      </c>
      <c r="B1129" s="2831" t="s">
        <v>3232</v>
      </c>
      <c r="C1129" s="2831">
        <v>405</v>
      </c>
      <c r="D1129" s="2831" t="s">
        <v>3329</v>
      </c>
      <c r="E1129" s="2831" t="s">
        <v>2174</v>
      </c>
    </row>
    <row r="1130" spans="1:5">
      <c r="A1130" s="2831">
        <v>660</v>
      </c>
      <c r="B1130" s="2831" t="s">
        <v>3232</v>
      </c>
      <c r="C1130" s="2831">
        <v>1317</v>
      </c>
      <c r="D1130" s="2831" t="s">
        <v>3330</v>
      </c>
      <c r="E1130" s="2831" t="s">
        <v>2166</v>
      </c>
    </row>
    <row r="1131" spans="1:5">
      <c r="A1131" s="2831">
        <v>660</v>
      </c>
      <c r="B1131" s="2831" t="s">
        <v>3232</v>
      </c>
      <c r="C1131" s="2831">
        <v>702</v>
      </c>
      <c r="D1131" s="2831" t="s">
        <v>3331</v>
      </c>
      <c r="E1131" s="2831" t="s">
        <v>2166</v>
      </c>
    </row>
    <row r="1132" spans="1:5">
      <c r="A1132" s="2831">
        <v>660</v>
      </c>
      <c r="B1132" s="2831" t="s">
        <v>3232</v>
      </c>
      <c r="C1132" s="2831">
        <v>289</v>
      </c>
      <c r="D1132" s="2831" t="s">
        <v>3332</v>
      </c>
      <c r="E1132" s="2831" t="s">
        <v>2174</v>
      </c>
    </row>
    <row r="1133" spans="1:5">
      <c r="A1133" s="2831">
        <v>776</v>
      </c>
      <c r="B1133" s="2831" t="s">
        <v>3333</v>
      </c>
      <c r="C1133" s="2831">
        <v>193</v>
      </c>
      <c r="D1133" s="2831" t="s">
        <v>3334</v>
      </c>
      <c r="E1133" s="2831" t="s">
        <v>2166</v>
      </c>
    </row>
    <row r="1134" spans="1:5">
      <c r="A1134" s="2831">
        <v>776</v>
      </c>
      <c r="B1134" s="2831" t="s">
        <v>3333</v>
      </c>
      <c r="C1134" s="2831">
        <v>2050</v>
      </c>
      <c r="D1134" s="2831" t="s">
        <v>3335</v>
      </c>
      <c r="E1134" s="2831" t="s">
        <v>2166</v>
      </c>
    </row>
    <row r="1135" spans="1:5">
      <c r="A1135" s="2831">
        <v>776</v>
      </c>
      <c r="B1135" s="2831" t="s">
        <v>3333</v>
      </c>
      <c r="C1135" s="2831">
        <v>2550</v>
      </c>
      <c r="D1135" s="2831" t="s">
        <v>3336</v>
      </c>
      <c r="E1135" s="2831" t="s">
        <v>2169</v>
      </c>
    </row>
    <row r="1136" spans="1:5">
      <c r="A1136" s="2831">
        <v>776</v>
      </c>
      <c r="B1136" s="2831" t="s">
        <v>3333</v>
      </c>
      <c r="C1136" s="2831">
        <v>204</v>
      </c>
      <c r="D1136" s="2831" t="s">
        <v>3337</v>
      </c>
      <c r="E1136" s="2831" t="s">
        <v>2166</v>
      </c>
    </row>
    <row r="1137" spans="1:5">
      <c r="A1137" s="2831">
        <v>776</v>
      </c>
      <c r="B1137" s="2831" t="s">
        <v>3333</v>
      </c>
      <c r="C1137" s="2831">
        <v>3050</v>
      </c>
      <c r="D1137" s="2831" t="s">
        <v>3338</v>
      </c>
      <c r="E1137" s="2831" t="s">
        <v>2169</v>
      </c>
    </row>
    <row r="1138" spans="1:5">
      <c r="A1138" s="2831">
        <v>776</v>
      </c>
      <c r="B1138" s="2831" t="s">
        <v>3333</v>
      </c>
      <c r="C1138" s="2831">
        <v>110</v>
      </c>
      <c r="D1138" s="2831" t="s">
        <v>3339</v>
      </c>
      <c r="E1138" s="2831" t="s">
        <v>2169</v>
      </c>
    </row>
    <row r="1139" spans="1:5">
      <c r="A1139" s="2831">
        <v>776</v>
      </c>
      <c r="B1139" s="2831" t="s">
        <v>3333</v>
      </c>
      <c r="C1139" s="2831">
        <v>109</v>
      </c>
      <c r="D1139" s="2831" t="s">
        <v>3340</v>
      </c>
      <c r="E1139" s="2831" t="s">
        <v>2169</v>
      </c>
    </row>
    <row r="1140" spans="1:5">
      <c r="A1140" s="2831">
        <v>776</v>
      </c>
      <c r="B1140" s="2831" t="s">
        <v>3333</v>
      </c>
      <c r="C1140" s="2831">
        <v>211</v>
      </c>
      <c r="D1140" s="2831" t="s">
        <v>3341</v>
      </c>
      <c r="E1140" s="2831" t="s">
        <v>2174</v>
      </c>
    </row>
    <row r="1141" spans="1:5">
      <c r="A1141" s="2831">
        <v>776</v>
      </c>
      <c r="B1141" s="2831" t="s">
        <v>3333</v>
      </c>
      <c r="C1141" s="2831">
        <v>104</v>
      </c>
      <c r="D1141" s="2831" t="s">
        <v>3342</v>
      </c>
      <c r="E1141" s="2831" t="s">
        <v>2174</v>
      </c>
    </row>
    <row r="1142" spans="1:5">
      <c r="A1142" s="2831">
        <v>661</v>
      </c>
      <c r="B1142" s="2831" t="s">
        <v>3343</v>
      </c>
      <c r="C1142" s="2831">
        <v>113</v>
      </c>
      <c r="D1142" s="2831" t="s">
        <v>2308</v>
      </c>
      <c r="E1142" s="2831" t="s">
        <v>2174</v>
      </c>
    </row>
    <row r="1143" spans="1:5">
      <c r="A1143" s="2831">
        <v>661</v>
      </c>
      <c r="B1143" s="2831" t="s">
        <v>3343</v>
      </c>
      <c r="C1143" s="2831">
        <v>107</v>
      </c>
      <c r="D1143" s="2831" t="s">
        <v>3344</v>
      </c>
      <c r="E1143" s="2831" t="s">
        <v>2174</v>
      </c>
    </row>
    <row r="1144" spans="1:5">
      <c r="A1144" s="2831">
        <v>661</v>
      </c>
      <c r="B1144" s="2831" t="s">
        <v>3343</v>
      </c>
      <c r="C1144" s="2831">
        <v>212</v>
      </c>
      <c r="D1144" s="2831" t="s">
        <v>3345</v>
      </c>
      <c r="E1144" s="2831" t="s">
        <v>2169</v>
      </c>
    </row>
    <row r="1145" spans="1:5">
      <c r="A1145" s="2831">
        <v>661</v>
      </c>
      <c r="B1145" s="2831" t="s">
        <v>3343</v>
      </c>
      <c r="C1145" s="2831">
        <v>196</v>
      </c>
      <c r="D1145" s="2831" t="s">
        <v>3346</v>
      </c>
      <c r="E1145" s="2831" t="s">
        <v>2174</v>
      </c>
    </row>
    <row r="1146" spans="1:5">
      <c r="A1146" s="2831">
        <v>661</v>
      </c>
      <c r="B1146" s="2831" t="s">
        <v>3343</v>
      </c>
      <c r="C1146" s="2831">
        <v>103</v>
      </c>
      <c r="D1146" s="2831" t="s">
        <v>3347</v>
      </c>
      <c r="E1146" s="2831" t="s">
        <v>2174</v>
      </c>
    </row>
    <row r="1147" spans="1:5">
      <c r="A1147" s="2831">
        <v>662</v>
      </c>
      <c r="B1147" s="2831" t="s">
        <v>3348</v>
      </c>
      <c r="C1147" s="2831">
        <v>197</v>
      </c>
      <c r="D1147" s="2831" t="s">
        <v>3349</v>
      </c>
      <c r="E1147" s="2831" t="s">
        <v>2166</v>
      </c>
    </row>
    <row r="1148" spans="1:5">
      <c r="A1148" s="2831">
        <v>662</v>
      </c>
      <c r="B1148" s="2831" t="s">
        <v>3348</v>
      </c>
      <c r="C1148" s="2831">
        <v>196</v>
      </c>
      <c r="D1148" s="2831" t="s">
        <v>3350</v>
      </c>
      <c r="E1148" s="2831" t="s">
        <v>2166</v>
      </c>
    </row>
    <row r="1149" spans="1:5">
      <c r="A1149" s="2831">
        <v>663</v>
      </c>
      <c r="B1149" s="2831" t="s">
        <v>3351</v>
      </c>
      <c r="C1149" s="2831">
        <v>1052</v>
      </c>
      <c r="D1149" s="2831" t="s">
        <v>3352</v>
      </c>
      <c r="E1149" s="2831" t="s">
        <v>2174</v>
      </c>
    </row>
    <row r="1150" spans="1:5">
      <c r="A1150" s="2831">
        <v>663</v>
      </c>
      <c r="B1150" s="2831" t="s">
        <v>3351</v>
      </c>
      <c r="C1150" s="2831">
        <v>3552</v>
      </c>
      <c r="D1150" s="2831" t="s">
        <v>3353</v>
      </c>
      <c r="E1150" s="2831" t="s">
        <v>2174</v>
      </c>
    </row>
    <row r="1151" spans="1:5">
      <c r="A1151" s="2831">
        <v>663</v>
      </c>
      <c r="B1151" s="2831" t="s">
        <v>3351</v>
      </c>
      <c r="C1151" s="2831">
        <v>4052</v>
      </c>
      <c r="D1151" s="2831" t="s">
        <v>3354</v>
      </c>
      <c r="E1151" s="2831" t="s">
        <v>2166</v>
      </c>
    </row>
    <row r="1152" spans="1:5">
      <c r="A1152" s="2831">
        <v>663</v>
      </c>
      <c r="B1152" s="2831" t="s">
        <v>3351</v>
      </c>
      <c r="C1152" s="2831">
        <v>178</v>
      </c>
      <c r="D1152" s="2831" t="s">
        <v>3355</v>
      </c>
      <c r="E1152" s="2831" t="s">
        <v>2166</v>
      </c>
    </row>
    <row r="1153" spans="1:5">
      <c r="A1153" s="2831">
        <v>663</v>
      </c>
      <c r="B1153" s="2831" t="s">
        <v>3351</v>
      </c>
      <c r="C1153" s="2831">
        <v>4752</v>
      </c>
      <c r="D1153" s="2831" t="s">
        <v>3356</v>
      </c>
      <c r="E1153" s="2831" t="s">
        <v>2174</v>
      </c>
    </row>
    <row r="1154" spans="1:5">
      <c r="A1154" s="2831">
        <v>663</v>
      </c>
      <c r="B1154" s="2831" t="s">
        <v>3351</v>
      </c>
      <c r="C1154" s="2831">
        <v>112</v>
      </c>
      <c r="D1154" s="2831" t="s">
        <v>3357</v>
      </c>
      <c r="E1154" s="2831" t="s">
        <v>2166</v>
      </c>
    </row>
    <row r="1155" spans="1:5">
      <c r="A1155" s="2831">
        <v>663</v>
      </c>
      <c r="B1155" s="2831" t="s">
        <v>3351</v>
      </c>
      <c r="C1155" s="2831">
        <v>190</v>
      </c>
      <c r="D1155" s="2831" t="s">
        <v>3358</v>
      </c>
      <c r="E1155" s="2831" t="s">
        <v>2174</v>
      </c>
    </row>
    <row r="1156" spans="1:5">
      <c r="A1156" s="2831">
        <v>663</v>
      </c>
      <c r="B1156" s="2831" t="s">
        <v>3351</v>
      </c>
      <c r="C1156" s="2831">
        <v>5052</v>
      </c>
      <c r="D1156" s="2831" t="s">
        <v>3359</v>
      </c>
      <c r="E1156" s="2831" t="s">
        <v>2174</v>
      </c>
    </row>
    <row r="1157" spans="1:5">
      <c r="A1157" s="2831">
        <v>663</v>
      </c>
      <c r="B1157" s="2831" t="s">
        <v>3351</v>
      </c>
      <c r="C1157" s="2831">
        <v>298</v>
      </c>
      <c r="D1157" s="2831" t="s">
        <v>3360</v>
      </c>
      <c r="E1157" s="2831" t="s">
        <v>2174</v>
      </c>
    </row>
    <row r="1158" spans="1:5">
      <c r="A1158" s="2831">
        <v>663</v>
      </c>
      <c r="B1158" s="2831" t="s">
        <v>3351</v>
      </c>
      <c r="C1158" s="2831">
        <v>114</v>
      </c>
      <c r="D1158" s="2831" t="s">
        <v>3361</v>
      </c>
      <c r="E1158" s="2831" t="s">
        <v>2166</v>
      </c>
    </row>
    <row r="1159" spans="1:5">
      <c r="A1159" s="2831">
        <v>663</v>
      </c>
      <c r="B1159" s="2831" t="s">
        <v>3351</v>
      </c>
      <c r="C1159" s="2831">
        <v>199</v>
      </c>
      <c r="D1159" s="2831" t="s">
        <v>3362</v>
      </c>
      <c r="E1159" s="2831" t="s">
        <v>2166</v>
      </c>
    </row>
    <row r="1160" spans="1:5">
      <c r="A1160" s="2831">
        <v>663</v>
      </c>
      <c r="B1160" s="2831" t="s">
        <v>3351</v>
      </c>
      <c r="C1160" s="2831">
        <v>195</v>
      </c>
      <c r="D1160" s="2831" t="s">
        <v>3363</v>
      </c>
      <c r="E1160" s="2831" t="s">
        <v>2174</v>
      </c>
    </row>
    <row r="1161" spans="1:5">
      <c r="A1161" s="2831">
        <v>663</v>
      </c>
      <c r="B1161" s="2831" t="s">
        <v>3351</v>
      </c>
      <c r="C1161" s="2831">
        <v>116</v>
      </c>
      <c r="D1161" s="2831" t="s">
        <v>3364</v>
      </c>
      <c r="E1161" s="2831" t="s">
        <v>2174</v>
      </c>
    </row>
    <row r="1162" spans="1:5">
      <c r="A1162" s="2831">
        <v>663</v>
      </c>
      <c r="B1162" s="2831" t="s">
        <v>3351</v>
      </c>
      <c r="C1162" s="2831">
        <v>198</v>
      </c>
      <c r="D1162" s="2831" t="s">
        <v>3365</v>
      </c>
      <c r="E1162" s="2831" t="s">
        <v>2174</v>
      </c>
    </row>
    <row r="1163" spans="1:5">
      <c r="A1163" s="2831">
        <v>663</v>
      </c>
      <c r="B1163" s="2831" t="s">
        <v>3351</v>
      </c>
      <c r="C1163" s="2831">
        <v>1056</v>
      </c>
      <c r="D1163" s="2831" t="s">
        <v>3366</v>
      </c>
      <c r="E1163" s="2831" t="s">
        <v>2174</v>
      </c>
    </row>
    <row r="1164" spans="1:5">
      <c r="A1164" s="2831">
        <v>663</v>
      </c>
      <c r="B1164" s="2831" t="s">
        <v>3351</v>
      </c>
      <c r="C1164" s="2831">
        <v>106</v>
      </c>
      <c r="D1164" s="2831" t="s">
        <v>3367</v>
      </c>
      <c r="E1164" s="2831" t="s">
        <v>2174</v>
      </c>
    </row>
    <row r="1165" spans="1:5">
      <c r="A1165" s="2831">
        <v>664</v>
      </c>
      <c r="B1165" s="2831" t="s">
        <v>3368</v>
      </c>
      <c r="C1165" s="2831">
        <v>292</v>
      </c>
      <c r="D1165" s="2831" t="s">
        <v>3369</v>
      </c>
      <c r="E1165" s="2831" t="s">
        <v>2169</v>
      </c>
    </row>
    <row r="1166" spans="1:5">
      <c r="A1166" s="2831">
        <v>664</v>
      </c>
      <c r="B1166" s="2831" t="s">
        <v>3368</v>
      </c>
      <c r="C1166" s="2831">
        <v>1050</v>
      </c>
      <c r="D1166" s="2831" t="s">
        <v>3370</v>
      </c>
      <c r="E1166" s="2831" t="s">
        <v>2169</v>
      </c>
    </row>
    <row r="1167" spans="1:5">
      <c r="A1167" s="2831">
        <v>664</v>
      </c>
      <c r="B1167" s="2831" t="s">
        <v>3368</v>
      </c>
      <c r="C1167" s="2831">
        <v>2050</v>
      </c>
      <c r="D1167" s="2831" t="s">
        <v>3371</v>
      </c>
      <c r="E1167" s="2831" t="s">
        <v>2166</v>
      </c>
    </row>
    <row r="1168" spans="1:5">
      <c r="A1168" s="2831">
        <v>664</v>
      </c>
      <c r="B1168" s="2831" t="s">
        <v>3368</v>
      </c>
      <c r="C1168" s="2831">
        <v>286</v>
      </c>
      <c r="D1168" s="2831" t="s">
        <v>3372</v>
      </c>
      <c r="E1168" s="2831" t="s">
        <v>2174</v>
      </c>
    </row>
    <row r="1169" spans="1:5">
      <c r="A1169" s="2831">
        <v>664</v>
      </c>
      <c r="B1169" s="2831" t="s">
        <v>3368</v>
      </c>
      <c r="C1169" s="2831">
        <v>190</v>
      </c>
      <c r="D1169" s="2831" t="s">
        <v>3373</v>
      </c>
      <c r="E1169" s="2831" t="s">
        <v>2166</v>
      </c>
    </row>
    <row r="1170" spans="1:5">
      <c r="A1170" s="2831">
        <v>664</v>
      </c>
      <c r="B1170" s="2831" t="s">
        <v>3368</v>
      </c>
      <c r="C1170" s="2831">
        <v>115</v>
      </c>
      <c r="D1170" s="2831" t="s">
        <v>3374</v>
      </c>
      <c r="E1170" s="2831" t="s">
        <v>2174</v>
      </c>
    </row>
    <row r="1171" spans="1:5">
      <c r="A1171" s="2831">
        <v>664</v>
      </c>
      <c r="B1171" s="2831" t="s">
        <v>3368</v>
      </c>
      <c r="C1171" s="2831">
        <v>110</v>
      </c>
      <c r="D1171" s="2831" t="s">
        <v>3375</v>
      </c>
      <c r="E1171" s="2831" t="s">
        <v>2166</v>
      </c>
    </row>
    <row r="1172" spans="1:5">
      <c r="A1172" s="2831">
        <v>664</v>
      </c>
      <c r="B1172" s="2831" t="s">
        <v>3368</v>
      </c>
      <c r="C1172" s="2831">
        <v>106</v>
      </c>
      <c r="D1172" s="2831" t="s">
        <v>3376</v>
      </c>
      <c r="E1172" s="2831" t="s">
        <v>2174</v>
      </c>
    </row>
    <row r="1173" spans="1:5">
      <c r="A1173" s="2831">
        <v>664</v>
      </c>
      <c r="B1173" s="2831" t="s">
        <v>3368</v>
      </c>
      <c r="C1173" s="2831">
        <v>274</v>
      </c>
      <c r="D1173" s="2831" t="s">
        <v>3377</v>
      </c>
      <c r="E1173" s="2831" t="s">
        <v>2166</v>
      </c>
    </row>
    <row r="1174" spans="1:5">
      <c r="A1174" s="2831">
        <v>664</v>
      </c>
      <c r="B1174" s="2831" t="s">
        <v>3368</v>
      </c>
      <c r="C1174" s="2831">
        <v>176</v>
      </c>
      <c r="D1174" s="2831" t="s">
        <v>3378</v>
      </c>
      <c r="E1174" s="2831" t="s">
        <v>2169</v>
      </c>
    </row>
    <row r="1175" spans="1:5">
      <c r="A1175" s="2831">
        <v>665</v>
      </c>
      <c r="B1175" s="2831" t="s">
        <v>3379</v>
      </c>
      <c r="C1175" s="2831">
        <v>1050</v>
      </c>
      <c r="D1175" s="2831" t="s">
        <v>3380</v>
      </c>
      <c r="E1175" s="2831" t="s">
        <v>2174</v>
      </c>
    </row>
    <row r="1176" spans="1:5">
      <c r="A1176" s="2831">
        <v>665</v>
      </c>
      <c r="B1176" s="2831" t="s">
        <v>3379</v>
      </c>
      <c r="C1176" s="2831">
        <v>185</v>
      </c>
      <c r="D1176" s="2831" t="s">
        <v>2790</v>
      </c>
      <c r="E1176" s="2831" t="s">
        <v>2166</v>
      </c>
    </row>
    <row r="1177" spans="1:5">
      <c r="A1177" s="2831">
        <v>665</v>
      </c>
      <c r="B1177" s="2831" t="s">
        <v>3379</v>
      </c>
      <c r="C1177" s="2831">
        <v>1550</v>
      </c>
      <c r="D1177" s="2831" t="s">
        <v>2870</v>
      </c>
      <c r="E1177" s="2831" t="s">
        <v>2166</v>
      </c>
    </row>
    <row r="1178" spans="1:5">
      <c r="A1178" s="2831">
        <v>665</v>
      </c>
      <c r="B1178" s="2831" t="s">
        <v>3379</v>
      </c>
      <c r="C1178" s="2831">
        <v>3050</v>
      </c>
      <c r="D1178" s="2831" t="s">
        <v>3381</v>
      </c>
      <c r="E1178" s="2831" t="s">
        <v>2166</v>
      </c>
    </row>
    <row r="1179" spans="1:5">
      <c r="A1179" s="2831">
        <v>665</v>
      </c>
      <c r="B1179" s="2831" t="s">
        <v>3379</v>
      </c>
      <c r="C1179" s="2831">
        <v>2050</v>
      </c>
      <c r="D1179" s="2831" t="s">
        <v>3382</v>
      </c>
      <c r="E1179" s="2831" t="s">
        <v>2166</v>
      </c>
    </row>
    <row r="1180" spans="1:5">
      <c r="A1180" s="2831">
        <v>665</v>
      </c>
      <c r="B1180" s="2831" t="s">
        <v>3379</v>
      </c>
      <c r="C1180" s="2831">
        <v>174</v>
      </c>
      <c r="D1180" s="2831" t="s">
        <v>3383</v>
      </c>
      <c r="E1180" s="2831" t="s">
        <v>2166</v>
      </c>
    </row>
    <row r="1181" spans="1:5">
      <c r="A1181" s="2831">
        <v>665</v>
      </c>
      <c r="B1181" s="2831" t="s">
        <v>3379</v>
      </c>
      <c r="C1181" s="2831">
        <v>1054</v>
      </c>
      <c r="D1181" s="2831" t="s">
        <v>3384</v>
      </c>
      <c r="E1181" s="2831" t="s">
        <v>2166</v>
      </c>
    </row>
    <row r="1182" spans="1:5">
      <c r="A1182" s="2831">
        <v>666</v>
      </c>
      <c r="B1182" s="2831" t="s">
        <v>3385</v>
      </c>
      <c r="C1182" s="2831">
        <v>101</v>
      </c>
      <c r="D1182" s="2831" t="s">
        <v>3386</v>
      </c>
      <c r="E1182" s="2831" t="s">
        <v>2166</v>
      </c>
    </row>
    <row r="1183" spans="1:5">
      <c r="A1183" s="2831">
        <v>666</v>
      </c>
      <c r="B1183" s="2831" t="s">
        <v>3385</v>
      </c>
      <c r="C1183" s="2831">
        <v>401</v>
      </c>
      <c r="D1183" s="2831" t="s">
        <v>3387</v>
      </c>
      <c r="E1183" s="2831" t="s">
        <v>2174</v>
      </c>
    </row>
    <row r="1184" spans="1:5">
      <c r="A1184" s="2831">
        <v>666</v>
      </c>
      <c r="B1184" s="2831" t="s">
        <v>3385</v>
      </c>
      <c r="C1184" s="2831">
        <v>201</v>
      </c>
      <c r="D1184" s="2831" t="s">
        <v>3388</v>
      </c>
      <c r="E1184" s="2831" t="s">
        <v>2174</v>
      </c>
    </row>
    <row r="1185" spans="1:5">
      <c r="A1185" s="2831">
        <v>666</v>
      </c>
      <c r="B1185" s="2831" t="s">
        <v>3385</v>
      </c>
      <c r="C1185" s="2831">
        <v>109</v>
      </c>
      <c r="D1185" s="2831" t="s">
        <v>3389</v>
      </c>
      <c r="E1185" s="2831" t="s">
        <v>2166</v>
      </c>
    </row>
    <row r="1186" spans="1:5">
      <c r="A1186" s="2831">
        <v>666</v>
      </c>
      <c r="B1186" s="2831" t="s">
        <v>3385</v>
      </c>
      <c r="C1186" s="2831">
        <v>402</v>
      </c>
      <c r="D1186" s="2831" t="s">
        <v>3390</v>
      </c>
      <c r="E1186" s="2831" t="s">
        <v>2174</v>
      </c>
    </row>
    <row r="1187" spans="1:5">
      <c r="A1187" s="2831">
        <v>726</v>
      </c>
      <c r="B1187" s="2831" t="s">
        <v>3391</v>
      </c>
      <c r="C1187" s="2831">
        <v>1050</v>
      </c>
      <c r="D1187" s="2831" t="s">
        <v>3392</v>
      </c>
      <c r="E1187" s="2831" t="s">
        <v>2169</v>
      </c>
    </row>
    <row r="1188" spans="1:5">
      <c r="A1188" s="2831">
        <v>726</v>
      </c>
      <c r="B1188" s="2831" t="s">
        <v>3391</v>
      </c>
      <c r="C1188" s="2831">
        <v>1550</v>
      </c>
      <c r="D1188" s="2831" t="s">
        <v>2375</v>
      </c>
      <c r="E1188" s="2831" t="s">
        <v>2166</v>
      </c>
    </row>
    <row r="1189" spans="1:5">
      <c r="A1189" s="2831">
        <v>726</v>
      </c>
      <c r="B1189" s="2831" t="s">
        <v>3391</v>
      </c>
      <c r="C1189" s="2831">
        <v>1750</v>
      </c>
      <c r="D1189" s="2831" t="s">
        <v>3393</v>
      </c>
      <c r="E1189" s="2831" t="s">
        <v>2166</v>
      </c>
    </row>
    <row r="1190" spans="1:5">
      <c r="A1190" s="2831">
        <v>726</v>
      </c>
      <c r="B1190" s="2831" t="s">
        <v>3391</v>
      </c>
      <c r="C1190" s="2831">
        <v>106</v>
      </c>
      <c r="D1190" s="2831" t="s">
        <v>3394</v>
      </c>
      <c r="E1190" s="2831" t="s">
        <v>2166</v>
      </c>
    </row>
    <row r="1191" spans="1:5">
      <c r="A1191" s="2831">
        <v>726</v>
      </c>
      <c r="B1191" s="2831" t="s">
        <v>3391</v>
      </c>
      <c r="C1191" s="2831">
        <v>192</v>
      </c>
      <c r="D1191" s="2831" t="s">
        <v>3395</v>
      </c>
      <c r="E1191" s="2831" t="s">
        <v>2169</v>
      </c>
    </row>
    <row r="1192" spans="1:5">
      <c r="A1192" s="2831">
        <v>726</v>
      </c>
      <c r="B1192" s="2831" t="s">
        <v>3391</v>
      </c>
      <c r="C1192" s="2831">
        <v>201</v>
      </c>
      <c r="D1192" s="2831" t="s">
        <v>3396</v>
      </c>
      <c r="E1192" s="2831" t="s">
        <v>2169</v>
      </c>
    </row>
    <row r="1193" spans="1:5">
      <c r="A1193" s="2831">
        <v>726</v>
      </c>
      <c r="B1193" s="2831" t="s">
        <v>3391</v>
      </c>
      <c r="C1193" s="2831">
        <v>2050</v>
      </c>
      <c r="D1193" s="2831" t="s">
        <v>3397</v>
      </c>
      <c r="E1193" s="2831" t="s">
        <v>2166</v>
      </c>
    </row>
    <row r="1194" spans="1:5">
      <c r="A1194" s="2831">
        <v>726</v>
      </c>
      <c r="B1194" s="2831" t="s">
        <v>3391</v>
      </c>
      <c r="C1194" s="2831">
        <v>199</v>
      </c>
      <c r="D1194" s="2831" t="s">
        <v>3398</v>
      </c>
      <c r="E1194" s="2831" t="s">
        <v>2169</v>
      </c>
    </row>
    <row r="1195" spans="1:5">
      <c r="A1195" s="2831">
        <v>726</v>
      </c>
      <c r="B1195" s="2831" t="s">
        <v>3391</v>
      </c>
      <c r="C1195" s="2831">
        <v>187</v>
      </c>
      <c r="D1195" s="2831" t="s">
        <v>3399</v>
      </c>
      <c r="E1195" s="2831" t="s">
        <v>2166</v>
      </c>
    </row>
    <row r="1196" spans="1:5">
      <c r="A1196" s="2831">
        <v>726</v>
      </c>
      <c r="B1196" s="2831" t="s">
        <v>3391</v>
      </c>
      <c r="C1196" s="2831">
        <v>1052</v>
      </c>
      <c r="D1196" s="2831" t="s">
        <v>3400</v>
      </c>
      <c r="E1196" s="2831" t="s">
        <v>2174</v>
      </c>
    </row>
    <row r="1197" spans="1:5">
      <c r="A1197" s="2831">
        <v>726</v>
      </c>
      <c r="B1197" s="2831" t="s">
        <v>3391</v>
      </c>
      <c r="C1197" s="2831">
        <v>195</v>
      </c>
      <c r="D1197" s="2831" t="s">
        <v>3401</v>
      </c>
      <c r="E1197" s="2831" t="s">
        <v>2169</v>
      </c>
    </row>
    <row r="1198" spans="1:5">
      <c r="A1198" s="2831">
        <v>726</v>
      </c>
      <c r="B1198" s="2831" t="s">
        <v>3391</v>
      </c>
      <c r="C1198" s="2831">
        <v>107</v>
      </c>
      <c r="D1198" s="2831" t="s">
        <v>3402</v>
      </c>
      <c r="E1198" s="2831" t="s">
        <v>2166</v>
      </c>
    </row>
    <row r="1199" spans="1:5">
      <c r="A1199" s="2831">
        <v>726</v>
      </c>
      <c r="B1199" s="2831" t="s">
        <v>3391</v>
      </c>
      <c r="C1199" s="2831">
        <v>2552</v>
      </c>
      <c r="D1199" s="2831" t="s">
        <v>3403</v>
      </c>
      <c r="E1199" s="2831" t="s">
        <v>2169</v>
      </c>
    </row>
    <row r="1200" spans="1:5">
      <c r="A1200" s="2831">
        <v>726</v>
      </c>
      <c r="B1200" s="2831" t="s">
        <v>3391</v>
      </c>
      <c r="C1200" s="2831">
        <v>103</v>
      </c>
      <c r="D1200" s="2831" t="s">
        <v>3404</v>
      </c>
      <c r="E1200" s="2831" t="s">
        <v>2166</v>
      </c>
    </row>
    <row r="1201" spans="1:5">
      <c r="A1201" s="2831">
        <v>726</v>
      </c>
      <c r="B1201" s="2831" t="s">
        <v>3391</v>
      </c>
      <c r="C1201" s="2831">
        <v>4052</v>
      </c>
      <c r="D1201" s="2831" t="s">
        <v>3405</v>
      </c>
      <c r="E1201" s="2831" t="s">
        <v>2166</v>
      </c>
    </row>
    <row r="1202" spans="1:5">
      <c r="A1202" s="2831">
        <v>726</v>
      </c>
      <c r="B1202" s="2831" t="s">
        <v>3391</v>
      </c>
      <c r="C1202" s="2831">
        <v>110</v>
      </c>
      <c r="D1202" s="2831" t="s">
        <v>3406</v>
      </c>
      <c r="E1202" s="2831" t="s">
        <v>2166</v>
      </c>
    </row>
    <row r="1203" spans="1:5">
      <c r="A1203" s="2831">
        <v>726</v>
      </c>
      <c r="B1203" s="2831" t="s">
        <v>3391</v>
      </c>
      <c r="C1203" s="2831">
        <v>101</v>
      </c>
      <c r="D1203" s="2831" t="s">
        <v>3407</v>
      </c>
      <c r="E1203" s="2831" t="s">
        <v>2169</v>
      </c>
    </row>
    <row r="1204" spans="1:5">
      <c r="A1204" s="2831">
        <v>667</v>
      </c>
      <c r="B1204" s="2831" t="s">
        <v>3408</v>
      </c>
      <c r="C1204" s="2831">
        <v>1005</v>
      </c>
      <c r="D1204" s="2831" t="s">
        <v>3409</v>
      </c>
      <c r="E1204" s="2831" t="s">
        <v>2169</v>
      </c>
    </row>
    <row r="1205" spans="1:5">
      <c r="A1205" s="2831">
        <v>667</v>
      </c>
      <c r="B1205" s="2831" t="s">
        <v>3408</v>
      </c>
      <c r="C1205" s="2831">
        <v>1105</v>
      </c>
      <c r="D1205" s="2831" t="s">
        <v>3410</v>
      </c>
      <c r="E1205" s="2831" t="s">
        <v>2169</v>
      </c>
    </row>
    <row r="1206" spans="1:5">
      <c r="A1206" s="2831">
        <v>667</v>
      </c>
      <c r="B1206" s="2831" t="s">
        <v>3408</v>
      </c>
      <c r="C1206" s="2831">
        <v>1016</v>
      </c>
      <c r="D1206" s="2831" t="s">
        <v>3411</v>
      </c>
      <c r="E1206" s="2831" t="s">
        <v>2174</v>
      </c>
    </row>
    <row r="1207" spans="1:5">
      <c r="A1207" s="2831">
        <v>667</v>
      </c>
      <c r="B1207" s="2831" t="s">
        <v>3408</v>
      </c>
      <c r="C1207" s="2831">
        <v>282</v>
      </c>
      <c r="D1207" s="2831" t="s">
        <v>3412</v>
      </c>
      <c r="E1207" s="2831" t="s">
        <v>2166</v>
      </c>
    </row>
    <row r="1208" spans="1:5">
      <c r="A1208" s="2831">
        <v>667</v>
      </c>
      <c r="B1208" s="2831" t="s">
        <v>3408</v>
      </c>
      <c r="C1208" s="2831">
        <v>382</v>
      </c>
      <c r="D1208" s="2831" t="s">
        <v>3413</v>
      </c>
      <c r="E1208" s="2831" t="s">
        <v>2174</v>
      </c>
    </row>
    <row r="1209" spans="1:5">
      <c r="A1209" s="2831">
        <v>667</v>
      </c>
      <c r="B1209" s="2831" t="s">
        <v>3408</v>
      </c>
      <c r="C1209" s="2831">
        <v>1710</v>
      </c>
      <c r="D1209" s="2831" t="s">
        <v>3414</v>
      </c>
      <c r="E1209" s="2831" t="s">
        <v>2166</v>
      </c>
    </row>
    <row r="1210" spans="1:5">
      <c r="A1210" s="2831">
        <v>667</v>
      </c>
      <c r="B1210" s="2831" t="s">
        <v>3408</v>
      </c>
      <c r="C1210" s="2831">
        <v>1811</v>
      </c>
      <c r="D1210" s="2831" t="s">
        <v>3415</v>
      </c>
      <c r="E1210" s="2831" t="s">
        <v>2166</v>
      </c>
    </row>
    <row r="1211" spans="1:5">
      <c r="A1211" s="2831">
        <v>667</v>
      </c>
      <c r="B1211" s="2831" t="s">
        <v>3408</v>
      </c>
      <c r="C1211" s="2831">
        <v>1816</v>
      </c>
      <c r="D1211" s="2831" t="s">
        <v>3416</v>
      </c>
      <c r="E1211" s="2831" t="s">
        <v>2169</v>
      </c>
    </row>
    <row r="1212" spans="1:5">
      <c r="A1212" s="2831">
        <v>667</v>
      </c>
      <c r="B1212" s="2831" t="s">
        <v>3408</v>
      </c>
      <c r="C1212" s="2831">
        <v>1010</v>
      </c>
      <c r="D1212" s="2831" t="s">
        <v>3417</v>
      </c>
      <c r="E1212" s="2831" t="s">
        <v>2174</v>
      </c>
    </row>
    <row r="1213" spans="1:5">
      <c r="A1213" s="2831">
        <v>667</v>
      </c>
      <c r="B1213" s="2831" t="s">
        <v>3408</v>
      </c>
      <c r="C1213" s="2831">
        <v>280</v>
      </c>
      <c r="D1213" s="2831" t="s">
        <v>3418</v>
      </c>
      <c r="E1213" s="2831" t="s">
        <v>2174</v>
      </c>
    </row>
    <row r="1214" spans="1:5">
      <c r="A1214" s="2831">
        <v>667</v>
      </c>
      <c r="B1214" s="2831" t="s">
        <v>3408</v>
      </c>
      <c r="C1214" s="2831">
        <v>109</v>
      </c>
      <c r="D1214" s="2831" t="s">
        <v>3419</v>
      </c>
      <c r="E1214" s="2831" t="s">
        <v>2174</v>
      </c>
    </row>
    <row r="1215" spans="1:5">
      <c r="A1215" s="2831">
        <v>667</v>
      </c>
      <c r="B1215" s="2831" t="s">
        <v>3408</v>
      </c>
      <c r="C1215" s="2831">
        <v>184</v>
      </c>
      <c r="D1215" s="2831" t="s">
        <v>3420</v>
      </c>
      <c r="E1215" s="2831" t="s">
        <v>2169</v>
      </c>
    </row>
    <row r="1216" spans="1:5">
      <c r="A1216" s="2831">
        <v>667</v>
      </c>
      <c r="B1216" s="2831" t="s">
        <v>3408</v>
      </c>
      <c r="C1216" s="2831">
        <v>1050</v>
      </c>
      <c r="D1216" s="2831" t="s">
        <v>3421</v>
      </c>
      <c r="E1216" s="2831" t="s">
        <v>2169</v>
      </c>
    </row>
    <row r="1217" spans="1:5">
      <c r="A1217" s="2831">
        <v>667</v>
      </c>
      <c r="B1217" s="2831" t="s">
        <v>3408</v>
      </c>
      <c r="C1217" s="2831">
        <v>304</v>
      </c>
      <c r="D1217" s="2831" t="s">
        <v>3422</v>
      </c>
      <c r="E1217" s="2831" t="s">
        <v>2166</v>
      </c>
    </row>
    <row r="1218" spans="1:5">
      <c r="A1218" s="2831">
        <v>667</v>
      </c>
      <c r="B1218" s="2831" t="s">
        <v>3408</v>
      </c>
      <c r="C1218" s="2831">
        <v>2050</v>
      </c>
      <c r="D1218" s="2831" t="s">
        <v>3423</v>
      </c>
      <c r="E1218" s="2831" t="s">
        <v>2174</v>
      </c>
    </row>
    <row r="1219" spans="1:5">
      <c r="A1219" s="2831">
        <v>667</v>
      </c>
      <c r="B1219" s="2831" t="s">
        <v>3408</v>
      </c>
      <c r="C1219" s="2831">
        <v>3050</v>
      </c>
      <c r="D1219" s="2831" t="s">
        <v>3424</v>
      </c>
      <c r="E1219" s="2831" t="s">
        <v>2169</v>
      </c>
    </row>
    <row r="1220" spans="1:5">
      <c r="A1220" s="2831">
        <v>667</v>
      </c>
      <c r="B1220" s="2831" t="s">
        <v>3408</v>
      </c>
      <c r="C1220" s="2831">
        <v>286</v>
      </c>
      <c r="D1220" s="2831" t="s">
        <v>2815</v>
      </c>
      <c r="E1220" s="2831" t="s">
        <v>2166</v>
      </c>
    </row>
    <row r="1221" spans="1:5">
      <c r="A1221" s="2831">
        <v>667</v>
      </c>
      <c r="B1221" s="2831" t="s">
        <v>3408</v>
      </c>
      <c r="C1221" s="2831">
        <v>182</v>
      </c>
      <c r="D1221" s="2831" t="s">
        <v>3425</v>
      </c>
      <c r="E1221" s="2831" t="s">
        <v>2166</v>
      </c>
    </row>
    <row r="1222" spans="1:5">
      <c r="A1222" s="2831">
        <v>667</v>
      </c>
      <c r="B1222" s="2831" t="s">
        <v>3408</v>
      </c>
      <c r="C1222" s="2831">
        <v>1017</v>
      </c>
      <c r="D1222" s="2831" t="s">
        <v>3426</v>
      </c>
      <c r="E1222" s="2831" t="s">
        <v>2174</v>
      </c>
    </row>
    <row r="1223" spans="1:5">
      <c r="A1223" s="2831">
        <v>667</v>
      </c>
      <c r="B1223" s="2831" t="s">
        <v>3408</v>
      </c>
      <c r="C1223" s="2831">
        <v>3550</v>
      </c>
      <c r="D1223" s="2831" t="s">
        <v>3427</v>
      </c>
      <c r="E1223" s="2831" t="s">
        <v>2166</v>
      </c>
    </row>
    <row r="1224" spans="1:5">
      <c r="A1224" s="2831">
        <v>667</v>
      </c>
      <c r="B1224" s="2831" t="s">
        <v>3408</v>
      </c>
      <c r="C1224" s="2831">
        <v>389</v>
      </c>
      <c r="D1224" s="2831" t="s">
        <v>3428</v>
      </c>
      <c r="E1224" s="2831" t="s">
        <v>2169</v>
      </c>
    </row>
    <row r="1225" spans="1:5">
      <c r="A1225" s="2831">
        <v>667</v>
      </c>
      <c r="B1225" s="2831" t="s">
        <v>3408</v>
      </c>
      <c r="C1225" s="2831">
        <v>173</v>
      </c>
      <c r="D1225" s="2831" t="s">
        <v>3429</v>
      </c>
      <c r="E1225" s="2831" t="s">
        <v>2166</v>
      </c>
    </row>
    <row r="1226" spans="1:5">
      <c r="A1226" s="2831">
        <v>667</v>
      </c>
      <c r="B1226" s="2831" t="s">
        <v>3408</v>
      </c>
      <c r="C1226" s="2831">
        <v>3750</v>
      </c>
      <c r="D1226" s="2831" t="s">
        <v>3430</v>
      </c>
      <c r="E1226" s="2831" t="s">
        <v>2166</v>
      </c>
    </row>
    <row r="1227" spans="1:5">
      <c r="A1227" s="2831">
        <v>667</v>
      </c>
      <c r="B1227" s="2831" t="s">
        <v>3408</v>
      </c>
      <c r="C1227" s="2831">
        <v>190</v>
      </c>
      <c r="D1227" s="2831" t="s">
        <v>3189</v>
      </c>
      <c r="E1227" s="2831" t="s">
        <v>2166</v>
      </c>
    </row>
    <row r="1228" spans="1:5">
      <c r="A1228" s="2831">
        <v>667</v>
      </c>
      <c r="B1228" s="2831" t="s">
        <v>3408</v>
      </c>
      <c r="C1228" s="2831">
        <v>1605</v>
      </c>
      <c r="D1228" s="2831" t="s">
        <v>3431</v>
      </c>
      <c r="E1228" s="2831" t="s">
        <v>2166</v>
      </c>
    </row>
    <row r="1229" spans="1:5">
      <c r="A1229" s="2831">
        <v>667</v>
      </c>
      <c r="B1229" s="2831" t="s">
        <v>3408</v>
      </c>
      <c r="C1229" s="2831">
        <v>1815</v>
      </c>
      <c r="D1229" s="2831" t="s">
        <v>3432</v>
      </c>
      <c r="E1229" s="2831" t="s">
        <v>2174</v>
      </c>
    </row>
    <row r="1230" spans="1:5">
      <c r="A1230" s="2831">
        <v>667</v>
      </c>
      <c r="B1230" s="2831" t="s">
        <v>3408</v>
      </c>
      <c r="C1230" s="2831">
        <v>195</v>
      </c>
      <c r="D1230" s="2831" t="s">
        <v>3433</v>
      </c>
      <c r="E1230" s="2831" t="s">
        <v>2166</v>
      </c>
    </row>
    <row r="1231" spans="1:5">
      <c r="A1231" s="2831">
        <v>667</v>
      </c>
      <c r="B1231" s="2831" t="s">
        <v>3408</v>
      </c>
      <c r="C1231" s="2831">
        <v>605</v>
      </c>
      <c r="D1231" s="2831" t="s">
        <v>3434</v>
      </c>
      <c r="E1231" s="2831" t="s">
        <v>2169</v>
      </c>
    </row>
    <row r="1232" spans="1:5">
      <c r="A1232" s="2831">
        <v>667</v>
      </c>
      <c r="B1232" s="2831" t="s">
        <v>3408</v>
      </c>
      <c r="C1232" s="2831">
        <v>205</v>
      </c>
      <c r="D1232" s="2831" t="s">
        <v>3435</v>
      </c>
      <c r="E1232" s="2831" t="s">
        <v>2169</v>
      </c>
    </row>
    <row r="1233" spans="1:5">
      <c r="A1233" s="2831">
        <v>667</v>
      </c>
      <c r="B1233" s="2831" t="s">
        <v>3408</v>
      </c>
      <c r="C1233" s="2831">
        <v>1210</v>
      </c>
      <c r="D1233" s="2831" t="s">
        <v>3436</v>
      </c>
      <c r="E1233" s="2831" t="s">
        <v>2174</v>
      </c>
    </row>
    <row r="1234" spans="1:5">
      <c r="A1234" s="2831">
        <v>667</v>
      </c>
      <c r="B1234" s="2831" t="s">
        <v>3408</v>
      </c>
      <c r="C1234" s="2831">
        <v>194</v>
      </c>
      <c r="D1234" s="2831" t="s">
        <v>3437</v>
      </c>
      <c r="E1234" s="2831" t="s">
        <v>2174</v>
      </c>
    </row>
    <row r="1235" spans="1:5">
      <c r="A1235" s="2831">
        <v>667</v>
      </c>
      <c r="B1235" s="2831" t="s">
        <v>3408</v>
      </c>
      <c r="C1235" s="2831">
        <v>197</v>
      </c>
      <c r="D1235" s="2831" t="s">
        <v>2538</v>
      </c>
      <c r="E1235" s="2831" t="s">
        <v>2166</v>
      </c>
    </row>
    <row r="1236" spans="1:5">
      <c r="A1236" s="2831">
        <v>667</v>
      </c>
      <c r="B1236" s="2831" t="s">
        <v>3408</v>
      </c>
      <c r="C1236" s="2831">
        <v>198</v>
      </c>
      <c r="D1236" s="2831" t="s">
        <v>3438</v>
      </c>
      <c r="E1236" s="2831" t="s">
        <v>2169</v>
      </c>
    </row>
    <row r="1237" spans="1:5">
      <c r="A1237" s="2831">
        <v>667</v>
      </c>
      <c r="B1237" s="2831" t="s">
        <v>3408</v>
      </c>
      <c r="C1237" s="2831">
        <v>191</v>
      </c>
      <c r="D1237" s="2831" t="s">
        <v>3439</v>
      </c>
      <c r="E1237" s="2831" t="s">
        <v>2166</v>
      </c>
    </row>
    <row r="1238" spans="1:5">
      <c r="A1238" s="2831">
        <v>667</v>
      </c>
      <c r="B1238" s="2831" t="s">
        <v>3408</v>
      </c>
      <c r="C1238" s="2831">
        <v>4052</v>
      </c>
      <c r="D1238" s="2831" t="s">
        <v>3440</v>
      </c>
      <c r="E1238" s="2831" t="s">
        <v>2169</v>
      </c>
    </row>
    <row r="1239" spans="1:5">
      <c r="A1239" s="2831">
        <v>667</v>
      </c>
      <c r="B1239" s="2831" t="s">
        <v>3408</v>
      </c>
      <c r="C1239" s="2831">
        <v>380</v>
      </c>
      <c r="D1239" s="2831" t="s">
        <v>3441</v>
      </c>
      <c r="E1239" s="2831" t="s">
        <v>2174</v>
      </c>
    </row>
    <row r="1240" spans="1:5">
      <c r="A1240" s="2831">
        <v>667</v>
      </c>
      <c r="B1240" s="2831" t="s">
        <v>3408</v>
      </c>
      <c r="C1240" s="2831">
        <v>1814</v>
      </c>
      <c r="D1240" s="2831" t="s">
        <v>3442</v>
      </c>
      <c r="E1240" s="2831" t="s">
        <v>2169</v>
      </c>
    </row>
    <row r="1241" spans="1:5">
      <c r="A1241" s="2831">
        <v>667</v>
      </c>
      <c r="B1241" s="2831" t="s">
        <v>3408</v>
      </c>
      <c r="C1241" s="2831">
        <v>5550</v>
      </c>
      <c r="D1241" s="2831" t="s">
        <v>3443</v>
      </c>
      <c r="E1241" s="2831" t="s">
        <v>2169</v>
      </c>
    </row>
    <row r="1242" spans="1:5">
      <c r="A1242" s="2831">
        <v>667</v>
      </c>
      <c r="B1242" s="2831" t="s">
        <v>3408</v>
      </c>
      <c r="C1242" s="2831">
        <v>905</v>
      </c>
      <c r="D1242" s="2831" t="s">
        <v>3444</v>
      </c>
      <c r="E1242" s="2831" t="s">
        <v>2169</v>
      </c>
    </row>
    <row r="1243" spans="1:5">
      <c r="A1243" s="2831">
        <v>667</v>
      </c>
      <c r="B1243" s="2831" t="s">
        <v>3408</v>
      </c>
      <c r="C1243" s="2831">
        <v>1205</v>
      </c>
      <c r="D1243" s="2831" t="s">
        <v>3445</v>
      </c>
      <c r="E1243" s="2831" t="s">
        <v>2174</v>
      </c>
    </row>
    <row r="1244" spans="1:5">
      <c r="A1244" s="2831">
        <v>667</v>
      </c>
      <c r="B1244" s="2831" t="s">
        <v>3408</v>
      </c>
      <c r="C1244" s="2831">
        <v>1052</v>
      </c>
      <c r="D1244" s="2831" t="s">
        <v>3446</v>
      </c>
      <c r="E1244" s="2831" t="s">
        <v>2166</v>
      </c>
    </row>
    <row r="1245" spans="1:5">
      <c r="A1245" s="2831">
        <v>667</v>
      </c>
      <c r="B1245" s="2831" t="s">
        <v>3408</v>
      </c>
      <c r="C1245" s="2831">
        <v>1013</v>
      </c>
      <c r="D1245" s="2831" t="s">
        <v>3447</v>
      </c>
      <c r="E1245" s="2831" t="s">
        <v>2166</v>
      </c>
    </row>
    <row r="1246" spans="1:5">
      <c r="A1246" s="2831">
        <v>667</v>
      </c>
      <c r="B1246" s="2831" t="s">
        <v>3408</v>
      </c>
      <c r="C1246" s="2831">
        <v>279</v>
      </c>
      <c r="D1246" s="2831" t="s">
        <v>3448</v>
      </c>
      <c r="E1246" s="2831" t="s">
        <v>2166</v>
      </c>
    </row>
    <row r="1247" spans="1:5">
      <c r="A1247" s="2831">
        <v>667</v>
      </c>
      <c r="B1247" s="2831" t="s">
        <v>3408</v>
      </c>
      <c r="C1247" s="2831">
        <v>295</v>
      </c>
      <c r="D1247" s="2831" t="s">
        <v>3449</v>
      </c>
      <c r="E1247" s="2831" t="s">
        <v>2166</v>
      </c>
    </row>
    <row r="1248" spans="1:5">
      <c r="A1248" s="2831">
        <v>667</v>
      </c>
      <c r="B1248" s="2831" t="s">
        <v>3408</v>
      </c>
      <c r="C1248" s="2831">
        <v>200</v>
      </c>
      <c r="D1248" s="2831" t="s">
        <v>3450</v>
      </c>
      <c r="E1248" s="2831" t="s">
        <v>2174</v>
      </c>
    </row>
    <row r="1249" spans="1:5">
      <c r="A1249" s="2831">
        <v>667</v>
      </c>
      <c r="B1249" s="2831" t="s">
        <v>3408</v>
      </c>
      <c r="C1249" s="2831">
        <v>1012</v>
      </c>
      <c r="D1249" s="2831" t="s">
        <v>3451</v>
      </c>
      <c r="E1249" s="2831" t="s">
        <v>2174</v>
      </c>
    </row>
    <row r="1250" spans="1:5">
      <c r="A1250" s="2831">
        <v>667</v>
      </c>
      <c r="B1250" s="2831" t="s">
        <v>3408</v>
      </c>
      <c r="C1250" s="2831">
        <v>1812</v>
      </c>
      <c r="D1250" s="2831" t="s">
        <v>3452</v>
      </c>
      <c r="E1250" s="2831" t="s">
        <v>2166</v>
      </c>
    </row>
    <row r="1251" spans="1:5">
      <c r="A1251" s="2831">
        <v>667</v>
      </c>
      <c r="B1251" s="2831" t="s">
        <v>3408</v>
      </c>
      <c r="C1251" s="2831">
        <v>2052</v>
      </c>
      <c r="D1251" s="2831" t="s">
        <v>3453</v>
      </c>
      <c r="E1251" s="2831" t="s">
        <v>2169</v>
      </c>
    </row>
    <row r="1252" spans="1:5">
      <c r="A1252" s="2831">
        <v>667</v>
      </c>
      <c r="B1252" s="2831" t="s">
        <v>3408</v>
      </c>
      <c r="C1252" s="2831">
        <v>101</v>
      </c>
      <c r="D1252" s="2831" t="s">
        <v>3454</v>
      </c>
      <c r="E1252" s="2831" t="s">
        <v>2174</v>
      </c>
    </row>
    <row r="1253" spans="1:5">
      <c r="A1253" s="2831">
        <v>667</v>
      </c>
      <c r="B1253" s="2831" t="s">
        <v>3408</v>
      </c>
      <c r="C1253" s="2831">
        <v>376</v>
      </c>
      <c r="D1253" s="2831" t="s">
        <v>3455</v>
      </c>
      <c r="E1253" s="2831" t="s">
        <v>2166</v>
      </c>
    </row>
    <row r="1254" spans="1:5">
      <c r="A1254" s="2831">
        <v>667</v>
      </c>
      <c r="B1254" s="2831" t="s">
        <v>3408</v>
      </c>
      <c r="C1254" s="2831">
        <v>388</v>
      </c>
      <c r="D1254" s="2831" t="s">
        <v>3456</v>
      </c>
      <c r="E1254" s="2831" t="s">
        <v>2166</v>
      </c>
    </row>
    <row r="1255" spans="1:5">
      <c r="A1255" s="2831">
        <v>667</v>
      </c>
      <c r="B1255" s="2831" t="s">
        <v>3408</v>
      </c>
      <c r="C1255" s="2831">
        <v>1114</v>
      </c>
      <c r="D1255" s="2831" t="s">
        <v>3457</v>
      </c>
      <c r="E1255" s="2831" t="s">
        <v>2166</v>
      </c>
    </row>
    <row r="1256" spans="1:5">
      <c r="A1256" s="2831">
        <v>667</v>
      </c>
      <c r="B1256" s="2831" t="s">
        <v>3408</v>
      </c>
      <c r="C1256" s="2831">
        <v>1214</v>
      </c>
      <c r="D1256" s="2831" t="s">
        <v>3458</v>
      </c>
      <c r="E1256" s="2831" t="s">
        <v>2174</v>
      </c>
    </row>
    <row r="1257" spans="1:5">
      <c r="A1257" s="2831">
        <v>667</v>
      </c>
      <c r="B1257" s="2831" t="s">
        <v>3408</v>
      </c>
      <c r="C1257" s="2831">
        <v>1019</v>
      </c>
      <c r="D1257" s="2831" t="s">
        <v>3459</v>
      </c>
      <c r="E1257" s="2831" t="s">
        <v>2166</v>
      </c>
    </row>
    <row r="1258" spans="1:5">
      <c r="A1258" s="2831">
        <v>667</v>
      </c>
      <c r="B1258" s="2831" t="s">
        <v>3408</v>
      </c>
      <c r="C1258" s="2831">
        <v>196</v>
      </c>
      <c r="D1258" s="2831" t="s">
        <v>3460</v>
      </c>
      <c r="E1258" s="2831" t="s">
        <v>2166</v>
      </c>
    </row>
    <row r="1259" spans="1:5">
      <c r="A1259" s="2831">
        <v>667</v>
      </c>
      <c r="B1259" s="2831" t="s">
        <v>3408</v>
      </c>
      <c r="C1259" s="2831">
        <v>2054</v>
      </c>
      <c r="D1259" s="2831" t="s">
        <v>3461</v>
      </c>
      <c r="E1259" s="2831" t="s">
        <v>2174</v>
      </c>
    </row>
    <row r="1260" spans="1:5">
      <c r="A1260" s="2831">
        <v>667</v>
      </c>
      <c r="B1260" s="2831" t="s">
        <v>3408</v>
      </c>
      <c r="C1260" s="2831">
        <v>3054</v>
      </c>
      <c r="D1260" s="2831" t="s">
        <v>3462</v>
      </c>
      <c r="E1260" s="2831" t="s">
        <v>2166</v>
      </c>
    </row>
    <row r="1261" spans="1:5">
      <c r="A1261" s="2831">
        <v>667</v>
      </c>
      <c r="B1261" s="2831" t="s">
        <v>3408</v>
      </c>
      <c r="C1261" s="2831">
        <v>180</v>
      </c>
      <c r="D1261" s="2831" t="s">
        <v>3463</v>
      </c>
      <c r="E1261" s="2831" t="s">
        <v>2174</v>
      </c>
    </row>
    <row r="1262" spans="1:5">
      <c r="A1262" s="2831">
        <v>667</v>
      </c>
      <c r="B1262" s="2831" t="s">
        <v>3408</v>
      </c>
      <c r="C1262" s="2831">
        <v>285</v>
      </c>
      <c r="D1262" s="2831" t="s">
        <v>3464</v>
      </c>
      <c r="E1262" s="2831" t="s">
        <v>2166</v>
      </c>
    </row>
    <row r="1263" spans="1:5">
      <c r="A1263" s="2831">
        <v>667</v>
      </c>
      <c r="B1263" s="2831" t="s">
        <v>3408</v>
      </c>
      <c r="C1263" s="2831">
        <v>297</v>
      </c>
      <c r="D1263" s="2831" t="s">
        <v>3465</v>
      </c>
      <c r="E1263" s="2831" t="s">
        <v>2166</v>
      </c>
    </row>
    <row r="1264" spans="1:5">
      <c r="A1264" s="2831">
        <v>667</v>
      </c>
      <c r="B1264" s="2831" t="s">
        <v>3408</v>
      </c>
      <c r="C1264" s="2831">
        <v>1817</v>
      </c>
      <c r="D1264" s="2831" t="s">
        <v>3466</v>
      </c>
      <c r="E1264" s="2831" t="s">
        <v>2166</v>
      </c>
    </row>
    <row r="1265" spans="1:5">
      <c r="A1265" s="2831">
        <v>667</v>
      </c>
      <c r="B1265" s="2831" t="s">
        <v>3408</v>
      </c>
      <c r="C1265" s="2831">
        <v>305</v>
      </c>
      <c r="D1265" s="2831" t="s">
        <v>3467</v>
      </c>
      <c r="E1265" s="2831" t="s">
        <v>2174</v>
      </c>
    </row>
    <row r="1266" spans="1:5">
      <c r="A1266" s="2831">
        <v>667</v>
      </c>
      <c r="B1266" s="2831" t="s">
        <v>3408</v>
      </c>
      <c r="C1266" s="2831">
        <v>395</v>
      </c>
      <c r="D1266" s="2831" t="s">
        <v>2216</v>
      </c>
      <c r="E1266" s="2831" t="s">
        <v>2174</v>
      </c>
    </row>
    <row r="1267" spans="1:5">
      <c r="A1267" s="2831">
        <v>667</v>
      </c>
      <c r="B1267" s="2831" t="s">
        <v>3408</v>
      </c>
      <c r="C1267" s="2831">
        <v>1015</v>
      </c>
      <c r="D1267" s="2831" t="s">
        <v>3468</v>
      </c>
      <c r="E1267" s="2831" t="s">
        <v>2166</v>
      </c>
    </row>
    <row r="1268" spans="1:5">
      <c r="A1268" s="2831">
        <v>667</v>
      </c>
      <c r="B1268" s="2831" t="s">
        <v>3408</v>
      </c>
      <c r="C1268" s="2831">
        <v>405</v>
      </c>
      <c r="D1268" s="2831" t="s">
        <v>3469</v>
      </c>
      <c r="E1268" s="2831" t="s">
        <v>2166</v>
      </c>
    </row>
    <row r="1269" spans="1:5">
      <c r="A1269" s="2831">
        <v>667</v>
      </c>
      <c r="B1269" s="2831" t="s">
        <v>3408</v>
      </c>
      <c r="C1269" s="2831">
        <v>1813</v>
      </c>
      <c r="D1269" s="2831" t="s">
        <v>3470</v>
      </c>
      <c r="E1269" s="2831" t="s">
        <v>2174</v>
      </c>
    </row>
    <row r="1270" spans="1:5">
      <c r="A1270" s="2831">
        <v>667</v>
      </c>
      <c r="B1270" s="2831" t="s">
        <v>3408</v>
      </c>
      <c r="C1270" s="2831">
        <v>495</v>
      </c>
      <c r="D1270" s="2831" t="s">
        <v>3471</v>
      </c>
      <c r="E1270" s="2831" t="s">
        <v>2166</v>
      </c>
    </row>
    <row r="1271" spans="1:5">
      <c r="A1271" s="2831">
        <v>667</v>
      </c>
      <c r="B1271" s="2831" t="s">
        <v>3408</v>
      </c>
      <c r="C1271" s="2831">
        <v>275</v>
      </c>
      <c r="D1271" s="2831" t="s">
        <v>3472</v>
      </c>
      <c r="E1271" s="2831" t="s">
        <v>2169</v>
      </c>
    </row>
    <row r="1272" spans="1:5">
      <c r="A1272" s="2831">
        <v>667</v>
      </c>
      <c r="B1272" s="2831" t="s">
        <v>3408</v>
      </c>
      <c r="C1272" s="2831">
        <v>1018</v>
      </c>
      <c r="D1272" s="2831" t="s">
        <v>3473</v>
      </c>
      <c r="E1272" s="2831" t="s">
        <v>2166</v>
      </c>
    </row>
    <row r="1273" spans="1:5">
      <c r="A1273" s="2831">
        <v>667</v>
      </c>
      <c r="B1273" s="2831" t="s">
        <v>3408</v>
      </c>
      <c r="C1273" s="2831">
        <v>209</v>
      </c>
      <c r="D1273" s="2831" t="s">
        <v>3474</v>
      </c>
      <c r="E1273" s="2831" t="s">
        <v>2174</v>
      </c>
    </row>
    <row r="1274" spans="1:5">
      <c r="A1274" s="2831">
        <v>667</v>
      </c>
      <c r="B1274" s="2831" t="s">
        <v>3408</v>
      </c>
      <c r="C1274" s="2831">
        <v>5054</v>
      </c>
      <c r="D1274" s="2831" t="s">
        <v>3475</v>
      </c>
      <c r="E1274" s="2831" t="s">
        <v>2169</v>
      </c>
    </row>
    <row r="1275" spans="1:5">
      <c r="A1275" s="2831">
        <v>667</v>
      </c>
      <c r="B1275" s="2831" t="s">
        <v>3408</v>
      </c>
      <c r="C1275" s="2831">
        <v>1405</v>
      </c>
      <c r="D1275" s="2831" t="s">
        <v>3476</v>
      </c>
      <c r="E1275" s="2831" t="s">
        <v>2174</v>
      </c>
    </row>
    <row r="1276" spans="1:5">
      <c r="A1276" s="2831">
        <v>667</v>
      </c>
      <c r="B1276" s="2831" t="s">
        <v>3408</v>
      </c>
      <c r="C1276" s="2831">
        <v>5554</v>
      </c>
      <c r="D1276" s="2831" t="s">
        <v>3477</v>
      </c>
      <c r="E1276" s="2831" t="s">
        <v>2174</v>
      </c>
    </row>
    <row r="1277" spans="1:5">
      <c r="A1277" s="2831">
        <v>667</v>
      </c>
      <c r="B1277" s="2831" t="s">
        <v>3408</v>
      </c>
      <c r="C1277" s="2831">
        <v>1056</v>
      </c>
      <c r="D1277" s="2831" t="s">
        <v>3478</v>
      </c>
      <c r="E1277" s="2831" t="s">
        <v>2174</v>
      </c>
    </row>
    <row r="1278" spans="1:5">
      <c r="A1278" s="2831">
        <v>667</v>
      </c>
      <c r="B1278" s="2831" t="s">
        <v>3408</v>
      </c>
      <c r="C1278" s="2831">
        <v>210</v>
      </c>
      <c r="D1278" s="2831" t="s">
        <v>3479</v>
      </c>
      <c r="E1278" s="2831" t="s">
        <v>2166</v>
      </c>
    </row>
    <row r="1279" spans="1:5">
      <c r="A1279" s="2831">
        <v>667</v>
      </c>
      <c r="B1279" s="2831" t="s">
        <v>3408</v>
      </c>
      <c r="C1279" s="2831">
        <v>397</v>
      </c>
      <c r="D1279" s="2831" t="s">
        <v>3480</v>
      </c>
      <c r="E1279" s="2831" t="s">
        <v>2169</v>
      </c>
    </row>
    <row r="1280" spans="1:5">
      <c r="A1280" s="2831">
        <v>667</v>
      </c>
      <c r="B1280" s="2831" t="s">
        <v>3408</v>
      </c>
      <c r="C1280" s="2831">
        <v>298</v>
      </c>
      <c r="D1280" s="2831" t="s">
        <v>3481</v>
      </c>
      <c r="E1280" s="2831" t="s">
        <v>2169</v>
      </c>
    </row>
    <row r="1281" spans="1:5">
      <c r="A1281" s="2831">
        <v>667</v>
      </c>
      <c r="B1281" s="2831" t="s">
        <v>3408</v>
      </c>
      <c r="C1281" s="2831">
        <v>1819</v>
      </c>
      <c r="D1281" s="2831" t="s">
        <v>3482</v>
      </c>
      <c r="E1281" s="2831" t="s">
        <v>2174</v>
      </c>
    </row>
    <row r="1282" spans="1:5">
      <c r="A1282" s="2831">
        <v>667</v>
      </c>
      <c r="B1282" s="2831" t="s">
        <v>3408</v>
      </c>
      <c r="C1282" s="2831">
        <v>497</v>
      </c>
      <c r="D1282" s="2831" t="s">
        <v>3483</v>
      </c>
      <c r="E1282" s="2831" t="s">
        <v>2174</v>
      </c>
    </row>
    <row r="1283" spans="1:5">
      <c r="A1283" s="2831">
        <v>667</v>
      </c>
      <c r="B1283" s="2831" t="s">
        <v>3408</v>
      </c>
      <c r="C1283" s="2831">
        <v>289</v>
      </c>
      <c r="D1283" s="2831" t="s">
        <v>3484</v>
      </c>
      <c r="E1283" s="2831" t="s">
        <v>2174</v>
      </c>
    </row>
    <row r="1284" spans="1:5">
      <c r="A1284" s="2831">
        <v>667</v>
      </c>
      <c r="B1284" s="2831" t="s">
        <v>3408</v>
      </c>
      <c r="C1284" s="2831">
        <v>199</v>
      </c>
      <c r="D1284" s="2831" t="s">
        <v>3485</v>
      </c>
      <c r="E1284" s="2831" t="s">
        <v>2166</v>
      </c>
    </row>
    <row r="1285" spans="1:5">
      <c r="A1285" s="2831">
        <v>667</v>
      </c>
      <c r="B1285" s="2831" t="s">
        <v>3408</v>
      </c>
      <c r="C1285" s="2831">
        <v>187</v>
      </c>
      <c r="D1285" s="2831" t="s">
        <v>3486</v>
      </c>
      <c r="E1285" s="2831" t="s">
        <v>2169</v>
      </c>
    </row>
    <row r="1286" spans="1:5">
      <c r="A1286" s="2831">
        <v>667</v>
      </c>
      <c r="B1286" s="2831" t="s">
        <v>3408</v>
      </c>
      <c r="C1286" s="2831">
        <v>105</v>
      </c>
      <c r="D1286" s="2831" t="s">
        <v>3487</v>
      </c>
      <c r="E1286" s="2831" t="s">
        <v>2166</v>
      </c>
    </row>
    <row r="1287" spans="1:5">
      <c r="A1287" s="2831">
        <v>667</v>
      </c>
      <c r="B1287" s="2831" t="s">
        <v>3408</v>
      </c>
      <c r="C1287" s="2831">
        <v>288</v>
      </c>
      <c r="D1287" s="2831" t="s">
        <v>3488</v>
      </c>
      <c r="E1287" s="2831" t="s">
        <v>2169</v>
      </c>
    </row>
    <row r="1288" spans="1:5">
      <c r="A1288" s="2831">
        <v>667</v>
      </c>
      <c r="B1288" s="2831" t="s">
        <v>3408</v>
      </c>
      <c r="C1288" s="2831">
        <v>1112</v>
      </c>
      <c r="D1288" s="2831" t="s">
        <v>3489</v>
      </c>
      <c r="E1288" s="2831" t="s">
        <v>2169</v>
      </c>
    </row>
    <row r="1289" spans="1:5">
      <c r="A1289" s="2831">
        <v>667</v>
      </c>
      <c r="B1289" s="2831" t="s">
        <v>3408</v>
      </c>
      <c r="C1289" s="2831">
        <v>2056</v>
      </c>
      <c r="D1289" s="2831" t="s">
        <v>3293</v>
      </c>
      <c r="E1289" s="2831" t="s">
        <v>2166</v>
      </c>
    </row>
    <row r="1290" spans="1:5">
      <c r="A1290" s="2831">
        <v>667</v>
      </c>
      <c r="B1290" s="2831" t="s">
        <v>3408</v>
      </c>
      <c r="C1290" s="2831">
        <v>1410</v>
      </c>
      <c r="D1290" s="2831" t="s">
        <v>3490</v>
      </c>
      <c r="E1290" s="2831" t="s">
        <v>2166</v>
      </c>
    </row>
    <row r="1291" spans="1:5">
      <c r="A1291" s="2831">
        <v>667</v>
      </c>
      <c r="B1291" s="2831" t="s">
        <v>3408</v>
      </c>
      <c r="C1291" s="2831">
        <v>208</v>
      </c>
      <c r="D1291" s="2831" t="s">
        <v>3491</v>
      </c>
      <c r="E1291" s="2831" t="s">
        <v>2174</v>
      </c>
    </row>
    <row r="1292" spans="1:5">
      <c r="A1292" s="2831">
        <v>667</v>
      </c>
      <c r="B1292" s="2831" t="s">
        <v>3408</v>
      </c>
      <c r="C1292" s="2831">
        <v>294</v>
      </c>
      <c r="D1292" s="2831" t="s">
        <v>3492</v>
      </c>
      <c r="E1292" s="2831" t="s">
        <v>2169</v>
      </c>
    </row>
    <row r="1293" spans="1:5">
      <c r="A1293" s="2831">
        <v>667</v>
      </c>
      <c r="B1293" s="2831" t="s">
        <v>3408</v>
      </c>
      <c r="C1293" s="2831">
        <v>1020</v>
      </c>
      <c r="D1293" s="2831" t="s">
        <v>3493</v>
      </c>
      <c r="E1293" s="2831" t="s">
        <v>2169</v>
      </c>
    </row>
    <row r="1294" spans="1:5">
      <c r="A1294" s="2831">
        <v>667</v>
      </c>
      <c r="B1294" s="2831" t="s">
        <v>3408</v>
      </c>
      <c r="C1294" s="2831">
        <v>4056</v>
      </c>
      <c r="D1294" s="2831" t="s">
        <v>3494</v>
      </c>
      <c r="E1294" s="2831" t="s">
        <v>2169</v>
      </c>
    </row>
    <row r="1295" spans="1:5">
      <c r="A1295" s="2831">
        <v>667</v>
      </c>
      <c r="B1295" s="2831" t="s">
        <v>3408</v>
      </c>
      <c r="C1295" s="2831">
        <v>103</v>
      </c>
      <c r="D1295" s="2831" t="s">
        <v>3495</v>
      </c>
      <c r="E1295" s="2831" t="s">
        <v>2166</v>
      </c>
    </row>
    <row r="1296" spans="1:5">
      <c r="A1296" s="2831">
        <v>667</v>
      </c>
      <c r="B1296" s="2831" t="s">
        <v>3408</v>
      </c>
      <c r="C1296" s="2831">
        <v>4556</v>
      </c>
      <c r="D1296" s="2831" t="s">
        <v>3496</v>
      </c>
      <c r="E1296" s="2831" t="s">
        <v>2166</v>
      </c>
    </row>
    <row r="1297" spans="1:5">
      <c r="A1297" s="2831">
        <v>667</v>
      </c>
      <c r="B1297" s="2831" t="s">
        <v>3408</v>
      </c>
      <c r="C1297" s="2831">
        <v>1510</v>
      </c>
      <c r="D1297" s="2831" t="s">
        <v>3497</v>
      </c>
      <c r="E1297" s="2831" t="s">
        <v>2166</v>
      </c>
    </row>
    <row r="1298" spans="1:5">
      <c r="A1298" s="2831">
        <v>667</v>
      </c>
      <c r="B1298" s="2831" t="s">
        <v>3408</v>
      </c>
      <c r="C1298" s="2831">
        <v>1215</v>
      </c>
      <c r="D1298" s="2831" t="s">
        <v>3498</v>
      </c>
      <c r="E1298" s="2831" t="s">
        <v>2169</v>
      </c>
    </row>
    <row r="1299" spans="1:5">
      <c r="A1299" s="2831">
        <v>667</v>
      </c>
      <c r="B1299" s="2831" t="s">
        <v>3408</v>
      </c>
      <c r="C1299" s="2831">
        <v>1115</v>
      </c>
      <c r="D1299" s="2831" t="s">
        <v>3499</v>
      </c>
      <c r="E1299" s="2831" t="s">
        <v>2174</v>
      </c>
    </row>
    <row r="1300" spans="1:5">
      <c r="A1300" s="2831">
        <v>667</v>
      </c>
      <c r="B1300" s="2831" t="s">
        <v>3408</v>
      </c>
      <c r="C1300" s="2831">
        <v>287</v>
      </c>
      <c r="D1300" s="2831" t="s">
        <v>3500</v>
      </c>
      <c r="E1300" s="2831" t="s">
        <v>2174</v>
      </c>
    </row>
    <row r="1301" spans="1:5">
      <c r="A1301" s="2831">
        <v>667</v>
      </c>
      <c r="B1301" s="2831" t="s">
        <v>3408</v>
      </c>
      <c r="C1301" s="2831">
        <v>204</v>
      </c>
      <c r="D1301" s="2831" t="s">
        <v>3501</v>
      </c>
      <c r="E1301" s="2831" t="s">
        <v>2166</v>
      </c>
    </row>
    <row r="1302" spans="1:5">
      <c r="A1302" s="2831">
        <v>667</v>
      </c>
      <c r="B1302" s="2831" t="s">
        <v>3408</v>
      </c>
      <c r="C1302" s="2831">
        <v>176</v>
      </c>
      <c r="D1302" s="2831" t="s">
        <v>3502</v>
      </c>
      <c r="E1302" s="2831" t="s">
        <v>2166</v>
      </c>
    </row>
    <row r="1303" spans="1:5">
      <c r="A1303" s="2831">
        <v>667</v>
      </c>
      <c r="B1303" s="2831" t="s">
        <v>3408</v>
      </c>
      <c r="C1303" s="2831">
        <v>705</v>
      </c>
      <c r="D1303" s="2831" t="s">
        <v>3503</v>
      </c>
      <c r="E1303" s="2831" t="s">
        <v>2166</v>
      </c>
    </row>
    <row r="1304" spans="1:5">
      <c r="A1304" s="2831">
        <v>667</v>
      </c>
      <c r="B1304" s="2831" t="s">
        <v>3408</v>
      </c>
      <c r="C1304" s="2831">
        <v>398</v>
      </c>
      <c r="D1304" s="2831" t="s">
        <v>3504</v>
      </c>
      <c r="E1304" s="2831" t="s">
        <v>2166</v>
      </c>
    </row>
    <row r="1305" spans="1:5">
      <c r="A1305" s="2831">
        <v>667</v>
      </c>
      <c r="B1305" s="2831" t="s">
        <v>3408</v>
      </c>
      <c r="C1305" s="2831">
        <v>608</v>
      </c>
      <c r="D1305" s="2831" t="s">
        <v>3505</v>
      </c>
      <c r="E1305" s="2831" t="s">
        <v>2169</v>
      </c>
    </row>
    <row r="1306" spans="1:5">
      <c r="A1306" s="2831">
        <v>667</v>
      </c>
      <c r="B1306" s="2831" t="s">
        <v>3408</v>
      </c>
      <c r="C1306" s="2831">
        <v>1818</v>
      </c>
      <c r="D1306" s="2831" t="s">
        <v>3506</v>
      </c>
      <c r="E1306" s="2831" t="s">
        <v>2174</v>
      </c>
    </row>
    <row r="1307" spans="1:5">
      <c r="A1307" s="2831">
        <v>667</v>
      </c>
      <c r="B1307" s="2831" t="s">
        <v>3408</v>
      </c>
      <c r="C1307" s="2831">
        <v>5056</v>
      </c>
      <c r="D1307" s="2831" t="s">
        <v>3507</v>
      </c>
      <c r="E1307" s="2831" t="s">
        <v>2166</v>
      </c>
    </row>
    <row r="1308" spans="1:5">
      <c r="A1308" s="2831">
        <v>667</v>
      </c>
      <c r="B1308" s="2831" t="s">
        <v>3408</v>
      </c>
      <c r="C1308" s="2831">
        <v>805</v>
      </c>
      <c r="D1308" s="2831" t="s">
        <v>3508</v>
      </c>
      <c r="E1308" s="2831" t="s">
        <v>2169</v>
      </c>
    </row>
    <row r="1309" spans="1:5">
      <c r="A1309" s="2831">
        <v>667</v>
      </c>
      <c r="B1309" s="2831" t="s">
        <v>3408</v>
      </c>
      <c r="C1309" s="2831">
        <v>391</v>
      </c>
      <c r="D1309" s="2831" t="s">
        <v>3509</v>
      </c>
      <c r="E1309" s="2831" t="s">
        <v>2174</v>
      </c>
    </row>
    <row r="1310" spans="1:5">
      <c r="A1310" s="2831">
        <v>667</v>
      </c>
      <c r="B1310" s="2831" t="s">
        <v>3408</v>
      </c>
      <c r="C1310" s="2831">
        <v>189</v>
      </c>
      <c r="D1310" s="2831" t="s">
        <v>3510</v>
      </c>
      <c r="E1310" s="2831" t="s">
        <v>2166</v>
      </c>
    </row>
    <row r="1311" spans="1:5">
      <c r="A1311" s="2831">
        <v>667</v>
      </c>
      <c r="B1311" s="2831" t="s">
        <v>3408</v>
      </c>
      <c r="C1311" s="2831">
        <v>186</v>
      </c>
      <c r="D1311" s="2831" t="s">
        <v>3511</v>
      </c>
      <c r="E1311" s="2831" t="s">
        <v>2166</v>
      </c>
    </row>
    <row r="1312" spans="1:5">
      <c r="A1312" s="2831">
        <v>667</v>
      </c>
      <c r="B1312" s="2831" t="s">
        <v>3408</v>
      </c>
      <c r="C1312" s="2831">
        <v>409</v>
      </c>
      <c r="D1312" s="2831" t="s">
        <v>3512</v>
      </c>
      <c r="E1312" s="2831" t="s">
        <v>2174</v>
      </c>
    </row>
    <row r="1313" spans="1:5">
      <c r="A1313" s="2831">
        <v>667</v>
      </c>
      <c r="B1313" s="2831" t="s">
        <v>3408</v>
      </c>
      <c r="C1313" s="2831">
        <v>1505</v>
      </c>
      <c r="D1313" s="2831" t="s">
        <v>3513</v>
      </c>
      <c r="E1313" s="2831" t="s">
        <v>2169</v>
      </c>
    </row>
    <row r="1314" spans="1:5">
      <c r="A1314" s="2831">
        <v>667</v>
      </c>
      <c r="B1314" s="2831" t="s">
        <v>3408</v>
      </c>
      <c r="C1314" s="2831">
        <v>188</v>
      </c>
      <c r="D1314" s="2831" t="s">
        <v>3514</v>
      </c>
      <c r="E1314" s="2831" t="s">
        <v>2174</v>
      </c>
    </row>
    <row r="1315" spans="1:5">
      <c r="A1315" s="2831">
        <v>667</v>
      </c>
      <c r="B1315" s="2831" t="s">
        <v>3408</v>
      </c>
      <c r="C1315" s="2831">
        <v>400</v>
      </c>
      <c r="D1315" s="2831" t="s">
        <v>2764</v>
      </c>
      <c r="E1315" s="2831" t="s">
        <v>2166</v>
      </c>
    </row>
    <row r="1316" spans="1:5">
      <c r="A1316" s="2831">
        <v>667</v>
      </c>
      <c r="B1316" s="2831" t="s">
        <v>3408</v>
      </c>
      <c r="C1316" s="2831">
        <v>1014</v>
      </c>
      <c r="D1316" s="2831" t="s">
        <v>3515</v>
      </c>
      <c r="E1316" s="2831" t="s">
        <v>2174</v>
      </c>
    </row>
    <row r="1317" spans="1:5">
      <c r="A1317" s="2831">
        <v>667</v>
      </c>
      <c r="B1317" s="2831" t="s">
        <v>3408</v>
      </c>
      <c r="C1317" s="2831">
        <v>100</v>
      </c>
      <c r="D1317" s="2831" t="s">
        <v>3516</v>
      </c>
      <c r="E1317" s="2831" t="s">
        <v>2166</v>
      </c>
    </row>
    <row r="1318" spans="1:5">
      <c r="A1318" s="2831">
        <v>667</v>
      </c>
      <c r="B1318" s="2831" t="s">
        <v>3408</v>
      </c>
      <c r="C1318" s="2831">
        <v>1058</v>
      </c>
      <c r="D1318" s="2831" t="s">
        <v>3004</v>
      </c>
      <c r="E1318" s="2831" t="s">
        <v>2169</v>
      </c>
    </row>
    <row r="1319" spans="1:5">
      <c r="A1319" s="2831">
        <v>667</v>
      </c>
      <c r="B1319" s="2831" t="s">
        <v>3408</v>
      </c>
      <c r="C1319" s="2831">
        <v>309</v>
      </c>
      <c r="D1319" s="2831" t="s">
        <v>3517</v>
      </c>
      <c r="E1319" s="2831" t="s">
        <v>2174</v>
      </c>
    </row>
    <row r="1320" spans="1:5">
      <c r="A1320" s="2831">
        <v>667</v>
      </c>
      <c r="B1320" s="2831" t="s">
        <v>3408</v>
      </c>
      <c r="C1320" s="2831">
        <v>1820</v>
      </c>
      <c r="D1320" s="2831" t="s">
        <v>3518</v>
      </c>
      <c r="E1320" s="2831" t="s">
        <v>2174</v>
      </c>
    </row>
    <row r="1321" spans="1:5">
      <c r="A1321" s="2831">
        <v>667</v>
      </c>
      <c r="B1321" s="2831" t="s">
        <v>3408</v>
      </c>
      <c r="C1321" s="2831">
        <v>291</v>
      </c>
      <c r="D1321" s="2831" t="s">
        <v>3519</v>
      </c>
      <c r="E1321" s="2831" t="s">
        <v>2166</v>
      </c>
    </row>
    <row r="1322" spans="1:5">
      <c r="A1322" s="2831">
        <v>667</v>
      </c>
      <c r="B1322" s="2831" t="s">
        <v>3408</v>
      </c>
      <c r="C1322" s="2831">
        <v>185</v>
      </c>
      <c r="D1322" s="2831" t="s">
        <v>3520</v>
      </c>
      <c r="E1322" s="2831" t="s">
        <v>2174</v>
      </c>
    </row>
    <row r="1323" spans="1:5">
      <c r="A1323" s="2831">
        <v>667</v>
      </c>
      <c r="B1323" s="2831" t="s">
        <v>3408</v>
      </c>
      <c r="C1323" s="2831">
        <v>283</v>
      </c>
      <c r="D1323" s="2831" t="s">
        <v>3521</v>
      </c>
      <c r="E1323" s="2831" t="s">
        <v>2174</v>
      </c>
    </row>
    <row r="1324" spans="1:5">
      <c r="A1324" s="2831">
        <v>667</v>
      </c>
      <c r="B1324" s="2831" t="s">
        <v>3408</v>
      </c>
      <c r="C1324" s="2831">
        <v>394</v>
      </c>
      <c r="D1324" s="2831" t="s">
        <v>3522</v>
      </c>
      <c r="E1324" s="2831" t="s">
        <v>2169</v>
      </c>
    </row>
    <row r="1325" spans="1:5">
      <c r="A1325" s="2831">
        <v>667</v>
      </c>
      <c r="B1325" s="2831" t="s">
        <v>3408</v>
      </c>
      <c r="C1325" s="2831">
        <v>494</v>
      </c>
      <c r="D1325" s="2831" t="s">
        <v>3523</v>
      </c>
      <c r="E1325" s="2831" t="s">
        <v>2166</v>
      </c>
    </row>
    <row r="1326" spans="1:5">
      <c r="A1326" s="2831">
        <v>667</v>
      </c>
      <c r="B1326" s="2831" t="s">
        <v>3408</v>
      </c>
      <c r="C1326" s="2831">
        <v>2058</v>
      </c>
      <c r="D1326" s="2831" t="s">
        <v>3524</v>
      </c>
      <c r="E1326" s="2831" t="s">
        <v>2174</v>
      </c>
    </row>
    <row r="1327" spans="1:5">
      <c r="A1327" s="2831">
        <v>667</v>
      </c>
      <c r="B1327" s="2831" t="s">
        <v>3408</v>
      </c>
      <c r="C1327" s="2831">
        <v>2558</v>
      </c>
      <c r="D1327" s="2831" t="s">
        <v>3525</v>
      </c>
      <c r="E1327" s="2831" t="s">
        <v>2166</v>
      </c>
    </row>
    <row r="1328" spans="1:5">
      <c r="A1328" s="2831">
        <v>667</v>
      </c>
      <c r="B1328" s="2831" t="s">
        <v>3408</v>
      </c>
      <c r="C1328" s="2831">
        <v>1110</v>
      </c>
      <c r="D1328" s="2831" t="s">
        <v>3526</v>
      </c>
      <c r="E1328" s="2831" t="s">
        <v>2174</v>
      </c>
    </row>
    <row r="1329" spans="1:5">
      <c r="A1329" s="2831">
        <v>667</v>
      </c>
      <c r="B1329" s="2831" t="s">
        <v>3408</v>
      </c>
      <c r="C1329" s="2831">
        <v>300</v>
      </c>
      <c r="D1329" s="2831" t="s">
        <v>3527</v>
      </c>
      <c r="E1329" s="2831" t="s">
        <v>2169</v>
      </c>
    </row>
    <row r="1330" spans="1:5">
      <c r="A1330" s="2831">
        <v>667</v>
      </c>
      <c r="B1330" s="2831" t="s">
        <v>3408</v>
      </c>
      <c r="C1330" s="2831">
        <v>296</v>
      </c>
      <c r="D1330" s="2831" t="s">
        <v>3528</v>
      </c>
      <c r="E1330" s="2831" t="s">
        <v>2174</v>
      </c>
    </row>
    <row r="1331" spans="1:5">
      <c r="A1331" s="2831">
        <v>667</v>
      </c>
      <c r="B1331" s="2831" t="s">
        <v>3408</v>
      </c>
      <c r="C1331" s="2831">
        <v>4058</v>
      </c>
      <c r="D1331" s="2831" t="s">
        <v>3529</v>
      </c>
      <c r="E1331" s="2831" t="s">
        <v>2166</v>
      </c>
    </row>
    <row r="1332" spans="1:5">
      <c r="A1332" s="2831">
        <v>667</v>
      </c>
      <c r="B1332" s="2831" t="s">
        <v>3408</v>
      </c>
      <c r="C1332" s="2831">
        <v>5058</v>
      </c>
      <c r="D1332" s="2831" t="s">
        <v>3530</v>
      </c>
      <c r="E1332" s="2831" t="s">
        <v>2174</v>
      </c>
    </row>
    <row r="1333" spans="1:5">
      <c r="A1333" s="2831">
        <v>667</v>
      </c>
      <c r="B1333" s="2831" t="s">
        <v>3408</v>
      </c>
      <c r="C1333" s="2831">
        <v>276</v>
      </c>
      <c r="D1333" s="2831" t="s">
        <v>3531</v>
      </c>
      <c r="E1333" s="2831" t="s">
        <v>2166</v>
      </c>
    </row>
    <row r="1334" spans="1:5">
      <c r="A1334" s="2831">
        <v>667</v>
      </c>
      <c r="B1334" s="2831" t="s">
        <v>3408</v>
      </c>
      <c r="C1334" s="2831">
        <v>505</v>
      </c>
      <c r="D1334" s="2831" t="s">
        <v>3532</v>
      </c>
      <c r="E1334" s="2831" t="s">
        <v>2174</v>
      </c>
    </row>
    <row r="1335" spans="1:5">
      <c r="A1335" s="2831">
        <v>667</v>
      </c>
      <c r="B1335" s="2831" t="s">
        <v>3408</v>
      </c>
      <c r="C1335" s="2831">
        <v>498</v>
      </c>
      <c r="D1335" s="2831" t="s">
        <v>3533</v>
      </c>
      <c r="E1335" s="2831" t="s">
        <v>2166</v>
      </c>
    </row>
    <row r="1336" spans="1:5">
      <c r="A1336" s="2831">
        <v>667</v>
      </c>
      <c r="B1336" s="2831" t="s">
        <v>3408</v>
      </c>
      <c r="C1336" s="2831">
        <v>108</v>
      </c>
      <c r="D1336" s="2831" t="s">
        <v>3534</v>
      </c>
      <c r="E1336" s="2831" t="s">
        <v>2166</v>
      </c>
    </row>
    <row r="1337" spans="1:5">
      <c r="A1337" s="2831">
        <v>667</v>
      </c>
      <c r="B1337" s="2831" t="s">
        <v>3408</v>
      </c>
      <c r="C1337" s="2831">
        <v>509</v>
      </c>
      <c r="D1337" s="2831" t="s">
        <v>3535</v>
      </c>
      <c r="E1337" s="2831" t="s">
        <v>2174</v>
      </c>
    </row>
    <row r="1338" spans="1:5">
      <c r="A1338" s="2831">
        <v>667</v>
      </c>
      <c r="B1338" s="2831" t="s">
        <v>3408</v>
      </c>
      <c r="C1338" s="2831">
        <v>1610</v>
      </c>
      <c r="D1338" s="2831" t="s">
        <v>3536</v>
      </c>
      <c r="E1338" s="2831" t="s">
        <v>2174</v>
      </c>
    </row>
    <row r="1339" spans="1:5">
      <c r="A1339" s="2831">
        <v>667</v>
      </c>
      <c r="B1339" s="2831" t="s">
        <v>3408</v>
      </c>
      <c r="C1339" s="2831">
        <v>193</v>
      </c>
      <c r="D1339" s="2831" t="s">
        <v>3537</v>
      </c>
      <c r="E1339" s="2831" t="s">
        <v>2174</v>
      </c>
    </row>
    <row r="1340" spans="1:5">
      <c r="A1340" s="2831">
        <v>667</v>
      </c>
      <c r="B1340" s="2831" t="s">
        <v>3408</v>
      </c>
      <c r="C1340" s="2831">
        <v>1310</v>
      </c>
      <c r="D1340" s="2831" t="s">
        <v>2877</v>
      </c>
      <c r="E1340" s="2831" t="s">
        <v>2174</v>
      </c>
    </row>
    <row r="1341" spans="1:5">
      <c r="A1341" s="2831">
        <v>667</v>
      </c>
      <c r="B1341" s="2831" t="s">
        <v>3408</v>
      </c>
      <c r="C1341" s="2831">
        <v>1305</v>
      </c>
      <c r="D1341" s="2831" t="s">
        <v>3538</v>
      </c>
      <c r="E1341" s="2831" t="s">
        <v>2166</v>
      </c>
    </row>
    <row r="1342" spans="1:5">
      <c r="A1342" s="2831">
        <v>667</v>
      </c>
      <c r="B1342" s="2831" t="s">
        <v>3408</v>
      </c>
      <c r="C1342" s="2831">
        <v>1810</v>
      </c>
      <c r="D1342" s="2831" t="s">
        <v>3539</v>
      </c>
      <c r="E1342" s="2831" t="s">
        <v>2174</v>
      </c>
    </row>
    <row r="1343" spans="1:5">
      <c r="A1343" s="2831">
        <v>668</v>
      </c>
      <c r="B1343" s="2831" t="s">
        <v>3540</v>
      </c>
      <c r="C1343" s="2831">
        <v>1050</v>
      </c>
      <c r="D1343" s="2831" t="s">
        <v>3541</v>
      </c>
      <c r="E1343" s="2831" t="s">
        <v>2174</v>
      </c>
    </row>
    <row r="1344" spans="1:5">
      <c r="A1344" s="2831">
        <v>668</v>
      </c>
      <c r="B1344" s="2831" t="s">
        <v>3540</v>
      </c>
      <c r="C1344" s="2831">
        <v>189</v>
      </c>
      <c r="D1344" s="2831" t="s">
        <v>3542</v>
      </c>
      <c r="E1344" s="2831" t="s">
        <v>2169</v>
      </c>
    </row>
    <row r="1345" spans="1:5">
      <c r="A1345" s="2831">
        <v>668</v>
      </c>
      <c r="B1345" s="2831" t="s">
        <v>3540</v>
      </c>
      <c r="C1345" s="2831">
        <v>101</v>
      </c>
      <c r="D1345" s="2831" t="s">
        <v>3543</v>
      </c>
      <c r="E1345" s="2831" t="s">
        <v>2169</v>
      </c>
    </row>
    <row r="1346" spans="1:5">
      <c r="A1346" s="2831">
        <v>668</v>
      </c>
      <c r="B1346" s="2831" t="s">
        <v>3540</v>
      </c>
      <c r="C1346" s="2831">
        <v>201</v>
      </c>
      <c r="D1346" s="2831" t="s">
        <v>3544</v>
      </c>
      <c r="E1346" s="2831" t="s">
        <v>2174</v>
      </c>
    </row>
    <row r="1347" spans="1:5">
      <c r="A1347" s="2831">
        <v>668</v>
      </c>
      <c r="B1347" s="2831" t="s">
        <v>3540</v>
      </c>
      <c r="C1347" s="2831">
        <v>5050</v>
      </c>
      <c r="D1347" s="2831" t="s">
        <v>3545</v>
      </c>
      <c r="E1347" s="2831" t="s">
        <v>2174</v>
      </c>
    </row>
    <row r="1348" spans="1:5">
      <c r="A1348" s="2831">
        <v>668</v>
      </c>
      <c r="B1348" s="2831" t="s">
        <v>3540</v>
      </c>
      <c r="C1348" s="2831">
        <v>2052</v>
      </c>
      <c r="D1348" s="2831" t="s">
        <v>3546</v>
      </c>
      <c r="E1348" s="2831" t="s">
        <v>2169</v>
      </c>
    </row>
    <row r="1349" spans="1:5">
      <c r="A1349" s="2831">
        <v>668</v>
      </c>
      <c r="B1349" s="2831" t="s">
        <v>3540</v>
      </c>
      <c r="C1349" s="2831">
        <v>106</v>
      </c>
      <c r="D1349" s="2831" t="s">
        <v>3547</v>
      </c>
      <c r="E1349" s="2831" t="s">
        <v>2174</v>
      </c>
    </row>
    <row r="1350" spans="1:5">
      <c r="A1350" s="2831">
        <v>668</v>
      </c>
      <c r="B1350" s="2831" t="s">
        <v>3540</v>
      </c>
      <c r="C1350" s="2831">
        <v>5052</v>
      </c>
      <c r="D1350" s="2831" t="s">
        <v>3548</v>
      </c>
      <c r="E1350" s="2831" t="s">
        <v>2166</v>
      </c>
    </row>
    <row r="1351" spans="1:5">
      <c r="A1351" s="2831">
        <v>668</v>
      </c>
      <c r="B1351" s="2831" t="s">
        <v>3540</v>
      </c>
      <c r="C1351" s="2831">
        <v>112</v>
      </c>
      <c r="D1351" s="2831" t="s">
        <v>3549</v>
      </c>
      <c r="E1351" s="2831" t="s">
        <v>2174</v>
      </c>
    </row>
    <row r="1352" spans="1:5">
      <c r="A1352" s="2831">
        <v>668</v>
      </c>
      <c r="B1352" s="2831" t="s">
        <v>3540</v>
      </c>
      <c r="C1352" s="2831">
        <v>105</v>
      </c>
      <c r="D1352" s="2831" t="s">
        <v>3550</v>
      </c>
      <c r="E1352" s="2831" t="s">
        <v>2166</v>
      </c>
    </row>
    <row r="1353" spans="1:5">
      <c r="A1353" s="2831">
        <v>668</v>
      </c>
      <c r="B1353" s="2831" t="s">
        <v>3540</v>
      </c>
      <c r="C1353" s="2831">
        <v>196</v>
      </c>
      <c r="D1353" s="2831" t="s">
        <v>3551</v>
      </c>
      <c r="E1353" s="2831" t="s">
        <v>2166</v>
      </c>
    </row>
    <row r="1354" spans="1:5">
      <c r="A1354" s="2831">
        <v>668</v>
      </c>
      <c r="B1354" s="2831" t="s">
        <v>3540</v>
      </c>
      <c r="C1354" s="2831">
        <v>296</v>
      </c>
      <c r="D1354" s="2831" t="s">
        <v>3552</v>
      </c>
      <c r="E1354" s="2831" t="s">
        <v>2174</v>
      </c>
    </row>
    <row r="1355" spans="1:5">
      <c r="A1355" s="2831">
        <v>668</v>
      </c>
      <c r="B1355" s="2831" t="s">
        <v>3540</v>
      </c>
      <c r="C1355" s="2831">
        <v>3054</v>
      </c>
      <c r="D1355" s="2831" t="s">
        <v>3553</v>
      </c>
      <c r="E1355" s="2831" t="s">
        <v>2174</v>
      </c>
    </row>
    <row r="1356" spans="1:5">
      <c r="A1356" s="2831">
        <v>669</v>
      </c>
      <c r="B1356" s="2831" t="s">
        <v>3554</v>
      </c>
      <c r="C1356" s="2831">
        <v>100</v>
      </c>
      <c r="D1356" s="2831" t="s">
        <v>3555</v>
      </c>
      <c r="E1356" s="2831" t="s">
        <v>2169</v>
      </c>
    </row>
    <row r="1357" spans="1:5">
      <c r="A1357" s="2831">
        <v>669</v>
      </c>
      <c r="B1357" s="2831" t="s">
        <v>3554</v>
      </c>
      <c r="C1357" s="2831">
        <v>391</v>
      </c>
      <c r="D1357" s="2831" t="s">
        <v>3556</v>
      </c>
      <c r="E1357" s="2831" t="s">
        <v>2166</v>
      </c>
    </row>
    <row r="1358" spans="1:5">
      <c r="A1358" s="2831">
        <v>669</v>
      </c>
      <c r="B1358" s="2831" t="s">
        <v>3554</v>
      </c>
      <c r="C1358" s="2831">
        <v>390</v>
      </c>
      <c r="D1358" s="2831" t="s">
        <v>3557</v>
      </c>
      <c r="E1358" s="2831" t="s">
        <v>2166</v>
      </c>
    </row>
    <row r="1359" spans="1:5">
      <c r="A1359" s="2831">
        <v>669</v>
      </c>
      <c r="B1359" s="2831" t="s">
        <v>3554</v>
      </c>
      <c r="C1359" s="2831">
        <v>102</v>
      </c>
      <c r="D1359" s="2831" t="s">
        <v>3558</v>
      </c>
      <c r="E1359" s="2831" t="s">
        <v>2169</v>
      </c>
    </row>
    <row r="1360" spans="1:5">
      <c r="A1360" s="2831">
        <v>669</v>
      </c>
      <c r="B1360" s="2831" t="s">
        <v>3554</v>
      </c>
      <c r="C1360" s="2831">
        <v>200</v>
      </c>
      <c r="D1360" s="2831" t="s">
        <v>3559</v>
      </c>
      <c r="E1360" s="2831" t="s">
        <v>2166</v>
      </c>
    </row>
    <row r="1361" spans="1:5">
      <c r="A1361" s="2831">
        <v>669</v>
      </c>
      <c r="B1361" s="2831" t="s">
        <v>3554</v>
      </c>
      <c r="C1361" s="2831">
        <v>4050</v>
      </c>
      <c r="D1361" s="2831" t="s">
        <v>3560</v>
      </c>
      <c r="E1361" s="2831" t="s">
        <v>2166</v>
      </c>
    </row>
    <row r="1362" spans="1:5">
      <c r="A1362" s="2831">
        <v>669</v>
      </c>
      <c r="B1362" s="2831" t="s">
        <v>3554</v>
      </c>
      <c r="C1362" s="2831">
        <v>106</v>
      </c>
      <c r="D1362" s="2831" t="s">
        <v>3561</v>
      </c>
      <c r="E1362" s="2831" t="s">
        <v>2169</v>
      </c>
    </row>
    <row r="1363" spans="1:5">
      <c r="A1363" s="2831">
        <v>669</v>
      </c>
      <c r="B1363" s="2831" t="s">
        <v>3554</v>
      </c>
      <c r="C1363" s="2831">
        <v>1552</v>
      </c>
      <c r="D1363" s="2831" t="s">
        <v>3562</v>
      </c>
      <c r="E1363" s="2831" t="s">
        <v>2166</v>
      </c>
    </row>
    <row r="1364" spans="1:5">
      <c r="A1364" s="2831">
        <v>669</v>
      </c>
      <c r="B1364" s="2831" t="s">
        <v>3554</v>
      </c>
      <c r="C1364" s="2831">
        <v>289</v>
      </c>
      <c r="D1364" s="2831" t="s">
        <v>3563</v>
      </c>
      <c r="E1364" s="2831" t="s">
        <v>2166</v>
      </c>
    </row>
    <row r="1365" spans="1:5">
      <c r="A1365" s="2831">
        <v>669</v>
      </c>
      <c r="B1365" s="2831" t="s">
        <v>3554</v>
      </c>
      <c r="C1365" s="2831">
        <v>2052</v>
      </c>
      <c r="D1365" s="2831" t="s">
        <v>3564</v>
      </c>
      <c r="E1365" s="2831" t="s">
        <v>2169</v>
      </c>
    </row>
    <row r="1366" spans="1:5">
      <c r="A1366" s="2831">
        <v>669</v>
      </c>
      <c r="B1366" s="2831" t="s">
        <v>3554</v>
      </c>
      <c r="C1366" s="2831">
        <v>202</v>
      </c>
      <c r="D1366" s="2831" t="s">
        <v>3565</v>
      </c>
      <c r="E1366" s="2831" t="s">
        <v>2166</v>
      </c>
    </row>
    <row r="1367" spans="1:5">
      <c r="A1367" s="2831">
        <v>669</v>
      </c>
      <c r="B1367" s="2831" t="s">
        <v>3554</v>
      </c>
      <c r="C1367" s="2831">
        <v>196</v>
      </c>
      <c r="D1367" s="2831" t="s">
        <v>3566</v>
      </c>
      <c r="E1367" s="2831" t="s">
        <v>2169</v>
      </c>
    </row>
    <row r="1368" spans="1:5">
      <c r="A1368" s="2831">
        <v>669</v>
      </c>
      <c r="B1368" s="2831" t="s">
        <v>3554</v>
      </c>
      <c r="C1368" s="2831">
        <v>4752</v>
      </c>
      <c r="D1368" s="2831" t="s">
        <v>3567</v>
      </c>
      <c r="E1368" s="2831" t="s">
        <v>2174</v>
      </c>
    </row>
    <row r="1369" spans="1:5">
      <c r="A1369" s="2831">
        <v>669</v>
      </c>
      <c r="B1369" s="2831" t="s">
        <v>3554</v>
      </c>
      <c r="C1369" s="2831">
        <v>105</v>
      </c>
      <c r="D1369" s="2831" t="s">
        <v>3568</v>
      </c>
      <c r="E1369" s="2831" t="s">
        <v>2169</v>
      </c>
    </row>
    <row r="1370" spans="1:5">
      <c r="A1370" s="2831">
        <v>669</v>
      </c>
      <c r="B1370" s="2831" t="s">
        <v>3554</v>
      </c>
      <c r="C1370" s="2831">
        <v>3054</v>
      </c>
      <c r="D1370" s="2831" t="s">
        <v>3569</v>
      </c>
      <c r="E1370" s="2831" t="s">
        <v>2169</v>
      </c>
    </row>
    <row r="1371" spans="1:5">
      <c r="A1371" s="2831">
        <v>669</v>
      </c>
      <c r="B1371" s="2831" t="s">
        <v>3554</v>
      </c>
      <c r="C1371" s="2831">
        <v>4054</v>
      </c>
      <c r="D1371" s="2831" t="s">
        <v>3570</v>
      </c>
      <c r="E1371" s="2831" t="s">
        <v>2166</v>
      </c>
    </row>
    <row r="1372" spans="1:5">
      <c r="A1372" s="2831">
        <v>669</v>
      </c>
      <c r="B1372" s="2831" t="s">
        <v>3554</v>
      </c>
      <c r="C1372" s="2831">
        <v>5052</v>
      </c>
      <c r="D1372" s="2831" t="s">
        <v>3571</v>
      </c>
      <c r="E1372" s="2831" t="s">
        <v>2166</v>
      </c>
    </row>
    <row r="1373" spans="1:5">
      <c r="A1373" s="2831">
        <v>669</v>
      </c>
      <c r="B1373" s="2831" t="s">
        <v>3554</v>
      </c>
      <c r="C1373" s="2831">
        <v>101</v>
      </c>
      <c r="D1373" s="2831" t="s">
        <v>3572</v>
      </c>
      <c r="E1373" s="2831" t="s">
        <v>2169</v>
      </c>
    </row>
    <row r="1374" spans="1:5">
      <c r="A1374" s="2831">
        <v>669</v>
      </c>
      <c r="B1374" s="2831" t="s">
        <v>3554</v>
      </c>
      <c r="C1374" s="2831">
        <v>5054</v>
      </c>
      <c r="D1374" s="2831" t="s">
        <v>3573</v>
      </c>
      <c r="E1374" s="2831" t="s">
        <v>2166</v>
      </c>
    </row>
    <row r="1375" spans="1:5">
      <c r="A1375" s="2831">
        <v>669</v>
      </c>
      <c r="B1375" s="2831" t="s">
        <v>3554</v>
      </c>
      <c r="C1375" s="2831">
        <v>194</v>
      </c>
      <c r="D1375" s="2831" t="s">
        <v>3574</v>
      </c>
      <c r="E1375" s="2831" t="s">
        <v>2166</v>
      </c>
    </row>
    <row r="1376" spans="1:5">
      <c r="A1376" s="2831">
        <v>669</v>
      </c>
      <c r="B1376" s="2831" t="s">
        <v>3554</v>
      </c>
      <c r="C1376" s="2831">
        <v>176</v>
      </c>
      <c r="D1376" s="2831" t="s">
        <v>3575</v>
      </c>
      <c r="E1376" s="2831" t="s">
        <v>2174</v>
      </c>
    </row>
    <row r="1377" spans="1:5">
      <c r="A1377" s="2831">
        <v>669</v>
      </c>
      <c r="B1377" s="2831" t="s">
        <v>3554</v>
      </c>
      <c r="C1377" s="2831">
        <v>1556</v>
      </c>
      <c r="D1377" s="2831" t="s">
        <v>3576</v>
      </c>
      <c r="E1377" s="2831" t="s">
        <v>2166</v>
      </c>
    </row>
    <row r="1378" spans="1:5">
      <c r="A1378" s="2831">
        <v>669</v>
      </c>
      <c r="B1378" s="2831" t="s">
        <v>3554</v>
      </c>
      <c r="C1378" s="2831">
        <v>389</v>
      </c>
      <c r="D1378" s="2831" t="s">
        <v>3577</v>
      </c>
      <c r="E1378" s="2831" t="s">
        <v>2169</v>
      </c>
    </row>
    <row r="1379" spans="1:5">
      <c r="A1379" s="2831">
        <v>669</v>
      </c>
      <c r="B1379" s="2831" t="s">
        <v>3554</v>
      </c>
      <c r="C1379" s="2831">
        <v>2056</v>
      </c>
      <c r="D1379" s="2831" t="s">
        <v>3578</v>
      </c>
      <c r="E1379" s="2831" t="s">
        <v>2169</v>
      </c>
    </row>
    <row r="1380" spans="1:5">
      <c r="A1380" s="2831">
        <v>669</v>
      </c>
      <c r="B1380" s="2831" t="s">
        <v>3554</v>
      </c>
      <c r="C1380" s="2831">
        <v>3056</v>
      </c>
      <c r="D1380" s="2831" t="s">
        <v>3579</v>
      </c>
      <c r="E1380" s="2831" t="s">
        <v>2169</v>
      </c>
    </row>
    <row r="1381" spans="1:5">
      <c r="A1381" s="2831">
        <v>669</v>
      </c>
      <c r="B1381" s="2831" t="s">
        <v>3554</v>
      </c>
      <c r="C1381" s="2831">
        <v>4056</v>
      </c>
      <c r="D1381" s="2831" t="s">
        <v>3580</v>
      </c>
      <c r="E1381" s="2831" t="s">
        <v>2166</v>
      </c>
    </row>
    <row r="1382" spans="1:5">
      <c r="A1382" s="2831">
        <v>669</v>
      </c>
      <c r="B1382" s="2831" t="s">
        <v>3554</v>
      </c>
      <c r="C1382" s="2831">
        <v>4556</v>
      </c>
      <c r="D1382" s="2831" t="s">
        <v>3581</v>
      </c>
      <c r="E1382" s="2831" t="s">
        <v>2174</v>
      </c>
    </row>
    <row r="1383" spans="1:5">
      <c r="A1383" s="2831">
        <v>669</v>
      </c>
      <c r="B1383" s="2831" t="s">
        <v>3554</v>
      </c>
      <c r="C1383" s="2831">
        <v>192</v>
      </c>
      <c r="D1383" s="2831" t="s">
        <v>3582</v>
      </c>
      <c r="E1383" s="2831" t="s">
        <v>2169</v>
      </c>
    </row>
    <row r="1384" spans="1:5">
      <c r="A1384" s="2831">
        <v>669</v>
      </c>
      <c r="B1384" s="2831" t="s">
        <v>3554</v>
      </c>
      <c r="C1384" s="2831">
        <v>103</v>
      </c>
      <c r="D1384" s="2831" t="s">
        <v>3583</v>
      </c>
      <c r="E1384" s="2831" t="s">
        <v>2166</v>
      </c>
    </row>
    <row r="1385" spans="1:5">
      <c r="A1385" s="2831">
        <v>669</v>
      </c>
      <c r="B1385" s="2831" t="s">
        <v>3554</v>
      </c>
      <c r="C1385" s="2831">
        <v>5056</v>
      </c>
      <c r="D1385" s="2831" t="s">
        <v>3584</v>
      </c>
      <c r="E1385" s="2831" t="s">
        <v>2169</v>
      </c>
    </row>
    <row r="1386" spans="1:5">
      <c r="A1386" s="2831">
        <v>669</v>
      </c>
      <c r="B1386" s="2831" t="s">
        <v>3554</v>
      </c>
      <c r="C1386" s="2831">
        <v>276</v>
      </c>
      <c r="D1386" s="2831" t="s">
        <v>3585</v>
      </c>
      <c r="E1386" s="2831" t="s">
        <v>2166</v>
      </c>
    </row>
    <row r="1387" spans="1:5">
      <c r="A1387" s="2831">
        <v>669</v>
      </c>
      <c r="B1387" s="2831" t="s">
        <v>3554</v>
      </c>
      <c r="C1387" s="2831">
        <v>189</v>
      </c>
      <c r="D1387" s="2831" t="s">
        <v>3586</v>
      </c>
      <c r="E1387" s="2831" t="s">
        <v>2169</v>
      </c>
    </row>
    <row r="1388" spans="1:5">
      <c r="A1388" s="2831">
        <v>669</v>
      </c>
      <c r="B1388" s="2831" t="s">
        <v>3554</v>
      </c>
      <c r="C1388" s="2831">
        <v>294</v>
      </c>
      <c r="D1388" s="2831" t="s">
        <v>3587</v>
      </c>
      <c r="E1388" s="2831" t="s">
        <v>2169</v>
      </c>
    </row>
    <row r="1389" spans="1:5">
      <c r="A1389" s="2831">
        <v>669</v>
      </c>
      <c r="B1389" s="2831" t="s">
        <v>3554</v>
      </c>
      <c r="C1389" s="2831">
        <v>1058</v>
      </c>
      <c r="D1389" s="2831" t="s">
        <v>3588</v>
      </c>
      <c r="E1389" s="2831" t="s">
        <v>2169</v>
      </c>
    </row>
    <row r="1390" spans="1:5">
      <c r="A1390" s="2831">
        <v>669</v>
      </c>
      <c r="B1390" s="2831" t="s">
        <v>3554</v>
      </c>
      <c r="C1390" s="2831">
        <v>112</v>
      </c>
      <c r="D1390" s="2831" t="s">
        <v>3589</v>
      </c>
      <c r="E1390" s="2831" t="s">
        <v>2166</v>
      </c>
    </row>
    <row r="1391" spans="1:5">
      <c r="A1391" s="2831">
        <v>669</v>
      </c>
      <c r="B1391" s="2831" t="s">
        <v>3554</v>
      </c>
      <c r="C1391" s="2831">
        <v>393</v>
      </c>
      <c r="D1391" s="2831" t="s">
        <v>3590</v>
      </c>
      <c r="E1391" s="2831" t="s">
        <v>2166</v>
      </c>
    </row>
    <row r="1392" spans="1:5">
      <c r="A1392" s="2831">
        <v>670</v>
      </c>
      <c r="B1392" s="2831" t="s">
        <v>3591</v>
      </c>
      <c r="C1392" s="2831">
        <v>288</v>
      </c>
      <c r="D1392" s="2831" t="s">
        <v>3592</v>
      </c>
      <c r="E1392" s="2831" t="s">
        <v>2169</v>
      </c>
    </row>
    <row r="1393" spans="1:5">
      <c r="A1393" s="2831">
        <v>670</v>
      </c>
      <c r="B1393" s="2831" t="s">
        <v>3591</v>
      </c>
      <c r="C1393" s="2831">
        <v>106</v>
      </c>
      <c r="D1393" s="2831" t="s">
        <v>3593</v>
      </c>
      <c r="E1393" s="2831" t="s">
        <v>2169</v>
      </c>
    </row>
    <row r="1394" spans="1:5">
      <c r="A1394" s="2831">
        <v>670</v>
      </c>
      <c r="B1394" s="2831" t="s">
        <v>3591</v>
      </c>
      <c r="C1394" s="2831">
        <v>188</v>
      </c>
      <c r="D1394" s="2831" t="s">
        <v>2736</v>
      </c>
      <c r="E1394" s="2831" t="s">
        <v>2169</v>
      </c>
    </row>
    <row r="1395" spans="1:5">
      <c r="A1395" s="2831">
        <v>671</v>
      </c>
      <c r="B1395" s="2831" t="s">
        <v>3594</v>
      </c>
      <c r="C1395" s="2831">
        <v>178</v>
      </c>
      <c r="D1395" s="2831" t="s">
        <v>3595</v>
      </c>
      <c r="E1395" s="2831" t="s">
        <v>2174</v>
      </c>
    </row>
    <row r="1396" spans="1:5">
      <c r="A1396" s="2831">
        <v>671</v>
      </c>
      <c r="B1396" s="2831" t="s">
        <v>3594</v>
      </c>
      <c r="C1396" s="2831">
        <v>2050</v>
      </c>
      <c r="D1396" s="2831" t="s">
        <v>3596</v>
      </c>
      <c r="E1396" s="2831" t="s">
        <v>2169</v>
      </c>
    </row>
    <row r="1397" spans="1:5">
      <c r="A1397" s="2831">
        <v>671</v>
      </c>
      <c r="B1397" s="2831" t="s">
        <v>3594</v>
      </c>
      <c r="C1397" s="2831">
        <v>3050</v>
      </c>
      <c r="D1397" s="2831" t="s">
        <v>3597</v>
      </c>
      <c r="E1397" s="2831" t="s">
        <v>2166</v>
      </c>
    </row>
    <row r="1398" spans="1:5">
      <c r="A1398" s="2831">
        <v>671</v>
      </c>
      <c r="B1398" s="2831" t="s">
        <v>3594</v>
      </c>
      <c r="C1398" s="2831">
        <v>197</v>
      </c>
      <c r="D1398" s="2831" t="s">
        <v>3598</v>
      </c>
      <c r="E1398" s="2831" t="s">
        <v>2174</v>
      </c>
    </row>
    <row r="1399" spans="1:5">
      <c r="A1399" s="2831">
        <v>671</v>
      </c>
      <c r="B1399" s="2831" t="s">
        <v>3594</v>
      </c>
      <c r="C1399" s="2831">
        <v>104</v>
      </c>
      <c r="D1399" s="2831" t="s">
        <v>3599</v>
      </c>
      <c r="E1399" s="2831" t="s">
        <v>2169</v>
      </c>
    </row>
    <row r="1400" spans="1:5">
      <c r="A1400" s="2831">
        <v>671</v>
      </c>
      <c r="B1400" s="2831" t="s">
        <v>3594</v>
      </c>
      <c r="C1400" s="2831">
        <v>4050</v>
      </c>
      <c r="D1400" s="2831" t="s">
        <v>3600</v>
      </c>
      <c r="E1400" s="2831" t="s">
        <v>2174</v>
      </c>
    </row>
    <row r="1401" spans="1:5">
      <c r="A1401" s="2831">
        <v>672</v>
      </c>
      <c r="B1401" s="2831" t="s">
        <v>3601</v>
      </c>
      <c r="C1401" s="2831">
        <v>110</v>
      </c>
      <c r="D1401" s="2831" t="s">
        <v>3602</v>
      </c>
      <c r="E1401" s="2831" t="s">
        <v>2174</v>
      </c>
    </row>
    <row r="1402" spans="1:5">
      <c r="A1402" s="2831">
        <v>672</v>
      </c>
      <c r="B1402" s="2831" t="s">
        <v>3601</v>
      </c>
      <c r="C1402" s="2831">
        <v>399</v>
      </c>
      <c r="D1402" s="2831" t="s">
        <v>3603</v>
      </c>
      <c r="E1402" s="2831" t="s">
        <v>2174</v>
      </c>
    </row>
    <row r="1403" spans="1:5">
      <c r="A1403" s="2831">
        <v>672</v>
      </c>
      <c r="B1403" s="2831" t="s">
        <v>3601</v>
      </c>
      <c r="C1403" s="2831">
        <v>299</v>
      </c>
      <c r="D1403" s="2831" t="s">
        <v>3604</v>
      </c>
      <c r="E1403" s="2831" t="s">
        <v>2166</v>
      </c>
    </row>
    <row r="1404" spans="1:5">
      <c r="A1404" s="2831">
        <v>672</v>
      </c>
      <c r="B1404" s="2831" t="s">
        <v>3601</v>
      </c>
      <c r="C1404" s="2831">
        <v>199</v>
      </c>
      <c r="D1404" s="2831" t="s">
        <v>3605</v>
      </c>
      <c r="E1404" s="2831" t="s">
        <v>2174</v>
      </c>
    </row>
    <row r="1405" spans="1:5">
      <c r="A1405" s="2831">
        <v>672</v>
      </c>
      <c r="B1405" s="2831" t="s">
        <v>3601</v>
      </c>
      <c r="C1405" s="2831">
        <v>290</v>
      </c>
      <c r="D1405" s="2831" t="s">
        <v>3606</v>
      </c>
      <c r="E1405" s="2831" t="s">
        <v>2174</v>
      </c>
    </row>
    <row r="1406" spans="1:5">
      <c r="A1406" s="2831">
        <v>672</v>
      </c>
      <c r="B1406" s="2831" t="s">
        <v>3601</v>
      </c>
      <c r="C1406" s="2831">
        <v>188</v>
      </c>
      <c r="D1406" s="2831" t="s">
        <v>3607</v>
      </c>
      <c r="E1406" s="2831" t="s">
        <v>2166</v>
      </c>
    </row>
    <row r="1407" spans="1:5">
      <c r="A1407" s="2831">
        <v>672</v>
      </c>
      <c r="B1407" s="2831" t="s">
        <v>3601</v>
      </c>
      <c r="C1407" s="2831">
        <v>190</v>
      </c>
      <c r="D1407" s="2831" t="s">
        <v>2995</v>
      </c>
      <c r="E1407" s="2831" t="s">
        <v>2174</v>
      </c>
    </row>
    <row r="1408" spans="1:5">
      <c r="A1408" s="2831">
        <v>673</v>
      </c>
      <c r="B1408" s="2831" t="s">
        <v>3608</v>
      </c>
      <c r="C1408" s="2831">
        <v>3050</v>
      </c>
      <c r="D1408" s="2831" t="s">
        <v>3609</v>
      </c>
      <c r="E1408" s="2831" t="s">
        <v>2166</v>
      </c>
    </row>
    <row r="1409" spans="1:5">
      <c r="A1409" s="2831">
        <v>673</v>
      </c>
      <c r="B1409" s="2831" t="s">
        <v>3608</v>
      </c>
      <c r="C1409" s="2831">
        <v>191</v>
      </c>
      <c r="D1409" s="2831" t="s">
        <v>3610</v>
      </c>
      <c r="E1409" s="2831" t="s">
        <v>2169</v>
      </c>
    </row>
    <row r="1410" spans="1:5">
      <c r="A1410" s="2831">
        <v>673</v>
      </c>
      <c r="B1410" s="2831" t="s">
        <v>3608</v>
      </c>
      <c r="C1410" s="2831">
        <v>5050</v>
      </c>
      <c r="D1410" s="2831" t="s">
        <v>3611</v>
      </c>
      <c r="E1410" s="2831" t="s">
        <v>2174</v>
      </c>
    </row>
    <row r="1411" spans="1:5">
      <c r="A1411" s="2831">
        <v>673</v>
      </c>
      <c r="B1411" s="2831" t="s">
        <v>3608</v>
      </c>
      <c r="C1411" s="2831">
        <v>102</v>
      </c>
      <c r="D1411" s="2831" t="s">
        <v>3612</v>
      </c>
      <c r="E1411" s="2831" t="s">
        <v>2174</v>
      </c>
    </row>
    <row r="1412" spans="1:5">
      <c r="A1412" s="2831">
        <v>673</v>
      </c>
      <c r="B1412" s="2831" t="s">
        <v>3608</v>
      </c>
      <c r="C1412" s="2831">
        <v>202</v>
      </c>
      <c r="D1412" s="2831" t="s">
        <v>3613</v>
      </c>
      <c r="E1412" s="2831" t="s">
        <v>2166</v>
      </c>
    </row>
    <row r="1413" spans="1:5">
      <c r="A1413" s="2831">
        <v>674</v>
      </c>
      <c r="B1413" s="2831" t="s">
        <v>3614</v>
      </c>
      <c r="C1413" s="2831">
        <v>1050</v>
      </c>
      <c r="D1413" s="2831" t="s">
        <v>3615</v>
      </c>
      <c r="E1413" s="2831" t="s">
        <v>2174</v>
      </c>
    </row>
    <row r="1414" spans="1:5">
      <c r="A1414" s="2831">
        <v>674</v>
      </c>
      <c r="B1414" s="2831" t="s">
        <v>3614</v>
      </c>
      <c r="C1414" s="2831">
        <v>2050</v>
      </c>
      <c r="D1414" s="2831" t="s">
        <v>3616</v>
      </c>
      <c r="E1414" s="2831" t="s">
        <v>2166</v>
      </c>
    </row>
    <row r="1415" spans="1:5">
      <c r="A1415" s="2831">
        <v>674</v>
      </c>
      <c r="B1415" s="2831" t="s">
        <v>3614</v>
      </c>
      <c r="C1415" s="2831">
        <v>110</v>
      </c>
      <c r="D1415" s="2831" t="s">
        <v>3617</v>
      </c>
      <c r="E1415" s="2831" t="s">
        <v>2166</v>
      </c>
    </row>
    <row r="1416" spans="1:5">
      <c r="A1416" s="2831">
        <v>674</v>
      </c>
      <c r="B1416" s="2831" t="s">
        <v>3614</v>
      </c>
      <c r="C1416" s="2831">
        <v>102</v>
      </c>
      <c r="D1416" s="2831" t="s">
        <v>3618</v>
      </c>
      <c r="E1416" s="2831" t="s">
        <v>2166</v>
      </c>
    </row>
    <row r="1417" spans="1:5">
      <c r="A1417" s="2831">
        <v>674</v>
      </c>
      <c r="B1417" s="2831" t="s">
        <v>3614</v>
      </c>
      <c r="C1417" s="2831">
        <v>106</v>
      </c>
      <c r="D1417" s="2831" t="s">
        <v>2343</v>
      </c>
      <c r="E1417" s="2831" t="s">
        <v>2166</v>
      </c>
    </row>
    <row r="1418" spans="1:5">
      <c r="A1418" s="2831">
        <v>675</v>
      </c>
      <c r="B1418" s="2831" t="s">
        <v>3619</v>
      </c>
      <c r="C1418" s="2831">
        <v>294</v>
      </c>
      <c r="D1418" s="2831" t="s">
        <v>2287</v>
      </c>
      <c r="E1418" s="2831" t="s">
        <v>2166</v>
      </c>
    </row>
    <row r="1419" spans="1:5">
      <c r="A1419" s="2831">
        <v>675</v>
      </c>
      <c r="B1419" s="2831" t="s">
        <v>3619</v>
      </c>
      <c r="C1419" s="2831">
        <v>397</v>
      </c>
      <c r="D1419" s="2831" t="s">
        <v>3620</v>
      </c>
      <c r="E1419" s="2831" t="s">
        <v>2174</v>
      </c>
    </row>
    <row r="1420" spans="1:5">
      <c r="A1420" s="2831">
        <v>675</v>
      </c>
      <c r="B1420" s="2831" t="s">
        <v>3619</v>
      </c>
      <c r="C1420" s="2831">
        <v>209</v>
      </c>
      <c r="D1420" s="2831" t="s">
        <v>2290</v>
      </c>
      <c r="E1420" s="2831" t="s">
        <v>2169</v>
      </c>
    </row>
    <row r="1421" spans="1:5">
      <c r="A1421" s="2831">
        <v>675</v>
      </c>
      <c r="B1421" s="2831" t="s">
        <v>3619</v>
      </c>
      <c r="C1421" s="2831">
        <v>191</v>
      </c>
      <c r="D1421" s="2831" t="s">
        <v>3621</v>
      </c>
      <c r="E1421" s="2831" t="s">
        <v>2166</v>
      </c>
    </row>
    <row r="1422" spans="1:5">
      <c r="A1422" s="2831">
        <v>675</v>
      </c>
      <c r="B1422" s="2831" t="s">
        <v>3619</v>
      </c>
      <c r="C1422" s="2831">
        <v>107</v>
      </c>
      <c r="D1422" s="2831" t="s">
        <v>3622</v>
      </c>
      <c r="E1422" s="2831" t="s">
        <v>2169</v>
      </c>
    </row>
    <row r="1423" spans="1:5">
      <c r="A1423" s="2831">
        <v>675</v>
      </c>
      <c r="B1423" s="2831" t="s">
        <v>3619</v>
      </c>
      <c r="C1423" s="2831">
        <v>105</v>
      </c>
      <c r="D1423" s="2831" t="s">
        <v>3623</v>
      </c>
      <c r="E1423" s="2831" t="s">
        <v>2174</v>
      </c>
    </row>
    <row r="1424" spans="1:5">
      <c r="A1424" s="2831">
        <v>675</v>
      </c>
      <c r="B1424" s="2831" t="s">
        <v>3619</v>
      </c>
      <c r="C1424" s="2831">
        <v>206</v>
      </c>
      <c r="D1424" s="2831" t="s">
        <v>3624</v>
      </c>
      <c r="E1424" s="2831" t="s">
        <v>2169</v>
      </c>
    </row>
    <row r="1425" spans="1:5">
      <c r="A1425" s="2831">
        <v>675</v>
      </c>
      <c r="B1425" s="2831" t="s">
        <v>3619</v>
      </c>
      <c r="C1425" s="2831">
        <v>804</v>
      </c>
      <c r="D1425" s="2831" t="s">
        <v>3625</v>
      </c>
      <c r="E1425" s="2831" t="s">
        <v>2166</v>
      </c>
    </row>
    <row r="1426" spans="1:5">
      <c r="A1426" s="2831">
        <v>675</v>
      </c>
      <c r="B1426" s="2831" t="s">
        <v>3619</v>
      </c>
      <c r="C1426" s="2831">
        <v>391</v>
      </c>
      <c r="D1426" s="2831" t="s">
        <v>3626</v>
      </c>
      <c r="E1426" s="2831" t="s">
        <v>2169</v>
      </c>
    </row>
    <row r="1427" spans="1:5">
      <c r="A1427" s="2831">
        <v>675</v>
      </c>
      <c r="B1427" s="2831" t="s">
        <v>3619</v>
      </c>
      <c r="C1427" s="2831">
        <v>394</v>
      </c>
      <c r="D1427" s="2831" t="s">
        <v>3627</v>
      </c>
      <c r="E1427" s="2831" t="s">
        <v>2169</v>
      </c>
    </row>
    <row r="1428" spans="1:5">
      <c r="A1428" s="2831">
        <v>675</v>
      </c>
      <c r="B1428" s="2831" t="s">
        <v>3619</v>
      </c>
      <c r="C1428" s="2831">
        <v>203</v>
      </c>
      <c r="D1428" s="2831" t="s">
        <v>3628</v>
      </c>
      <c r="E1428" s="2831" t="s">
        <v>2169</v>
      </c>
    </row>
    <row r="1429" spans="1:5">
      <c r="A1429" s="2831">
        <v>675</v>
      </c>
      <c r="B1429" s="2831" t="s">
        <v>3619</v>
      </c>
      <c r="C1429" s="2831">
        <v>1050</v>
      </c>
      <c r="D1429" s="2831" t="s">
        <v>3545</v>
      </c>
      <c r="E1429" s="2831" t="s">
        <v>2166</v>
      </c>
    </row>
    <row r="1430" spans="1:5">
      <c r="A1430" s="2831">
        <v>675</v>
      </c>
      <c r="B1430" s="2831" t="s">
        <v>3619</v>
      </c>
      <c r="C1430" s="2831">
        <v>503</v>
      </c>
      <c r="D1430" s="2831" t="s">
        <v>3629</v>
      </c>
      <c r="E1430" s="2831" t="s">
        <v>2166</v>
      </c>
    </row>
    <row r="1431" spans="1:5">
      <c r="A1431" s="2831">
        <v>675</v>
      </c>
      <c r="B1431" s="2831" t="s">
        <v>3619</v>
      </c>
      <c r="C1431" s="2831">
        <v>2050</v>
      </c>
      <c r="D1431" s="2831" t="s">
        <v>3630</v>
      </c>
      <c r="E1431" s="2831" t="s">
        <v>2169</v>
      </c>
    </row>
    <row r="1432" spans="1:5">
      <c r="A1432" s="2831">
        <v>675</v>
      </c>
      <c r="B1432" s="2831" t="s">
        <v>3619</v>
      </c>
      <c r="C1432" s="2831">
        <v>315</v>
      </c>
      <c r="D1432" s="2831" t="s">
        <v>3631</v>
      </c>
      <c r="E1432" s="2831" t="s">
        <v>2169</v>
      </c>
    </row>
    <row r="1433" spans="1:5">
      <c r="A1433" s="2831">
        <v>675</v>
      </c>
      <c r="B1433" s="2831" t="s">
        <v>3619</v>
      </c>
      <c r="C1433" s="2831">
        <v>215</v>
      </c>
      <c r="D1433" s="2831" t="s">
        <v>3632</v>
      </c>
      <c r="E1433" s="2831" t="s">
        <v>2169</v>
      </c>
    </row>
    <row r="1434" spans="1:5">
      <c r="A1434" s="2831">
        <v>675</v>
      </c>
      <c r="B1434" s="2831" t="s">
        <v>3619</v>
      </c>
      <c r="C1434" s="2831">
        <v>297</v>
      </c>
      <c r="D1434" s="2831" t="s">
        <v>2545</v>
      </c>
      <c r="E1434" s="2831" t="s">
        <v>2166</v>
      </c>
    </row>
    <row r="1435" spans="1:5">
      <c r="A1435" s="2831">
        <v>675</v>
      </c>
      <c r="B1435" s="2831" t="s">
        <v>3619</v>
      </c>
      <c r="C1435" s="2831">
        <v>5050</v>
      </c>
      <c r="D1435" s="2831" t="s">
        <v>3633</v>
      </c>
      <c r="E1435" s="2831" t="s">
        <v>2174</v>
      </c>
    </row>
    <row r="1436" spans="1:5">
      <c r="A1436" s="2831">
        <v>675</v>
      </c>
      <c r="B1436" s="2831" t="s">
        <v>3619</v>
      </c>
      <c r="C1436" s="2831">
        <v>214</v>
      </c>
      <c r="D1436" s="2831" t="s">
        <v>3634</v>
      </c>
      <c r="E1436" s="2831" t="s">
        <v>2169</v>
      </c>
    </row>
    <row r="1437" spans="1:5">
      <c r="A1437" s="2831">
        <v>675</v>
      </c>
      <c r="B1437" s="2831" t="s">
        <v>3619</v>
      </c>
      <c r="C1437" s="2831">
        <v>213</v>
      </c>
      <c r="D1437" s="2831" t="s">
        <v>3635</v>
      </c>
      <c r="E1437" s="2831" t="s">
        <v>2169</v>
      </c>
    </row>
    <row r="1438" spans="1:5">
      <c r="A1438" s="2831">
        <v>675</v>
      </c>
      <c r="B1438" s="2831" t="s">
        <v>3619</v>
      </c>
      <c r="C1438" s="2831">
        <v>106</v>
      </c>
      <c r="D1438" s="2831" t="s">
        <v>3636</v>
      </c>
      <c r="E1438" s="2831" t="s">
        <v>2169</v>
      </c>
    </row>
    <row r="1439" spans="1:5">
      <c r="A1439" s="2831">
        <v>675</v>
      </c>
      <c r="B1439" s="2831" t="s">
        <v>3619</v>
      </c>
      <c r="C1439" s="2831">
        <v>104</v>
      </c>
      <c r="D1439" s="2831" t="s">
        <v>3637</v>
      </c>
      <c r="E1439" s="2831" t="s">
        <v>2166</v>
      </c>
    </row>
    <row r="1440" spans="1:5">
      <c r="A1440" s="2831">
        <v>675</v>
      </c>
      <c r="B1440" s="2831" t="s">
        <v>3619</v>
      </c>
      <c r="C1440" s="2831">
        <v>603</v>
      </c>
      <c r="D1440" s="2831" t="s">
        <v>3638</v>
      </c>
      <c r="E1440" s="2831" t="s">
        <v>2169</v>
      </c>
    </row>
    <row r="1441" spans="1:5">
      <c r="A1441" s="2831">
        <v>675</v>
      </c>
      <c r="B1441" s="2831" t="s">
        <v>3619</v>
      </c>
      <c r="C1441" s="2831">
        <v>3050</v>
      </c>
      <c r="D1441" s="2831" t="s">
        <v>3639</v>
      </c>
      <c r="E1441" s="2831" t="s">
        <v>2174</v>
      </c>
    </row>
    <row r="1442" spans="1:5">
      <c r="A1442" s="2831">
        <v>675</v>
      </c>
      <c r="B1442" s="2831" t="s">
        <v>3619</v>
      </c>
      <c r="C1442" s="2831">
        <v>4050</v>
      </c>
      <c r="D1442" s="2831" t="s">
        <v>3640</v>
      </c>
      <c r="E1442" s="2831" t="s">
        <v>2166</v>
      </c>
    </row>
    <row r="1443" spans="1:5">
      <c r="A1443" s="2831">
        <v>675</v>
      </c>
      <c r="B1443" s="2831" t="s">
        <v>3619</v>
      </c>
      <c r="C1443" s="2831">
        <v>200</v>
      </c>
      <c r="D1443" s="2831" t="s">
        <v>3086</v>
      </c>
      <c r="E1443" s="2831" t="s">
        <v>2174</v>
      </c>
    </row>
    <row r="1444" spans="1:5">
      <c r="A1444" s="2831">
        <v>675</v>
      </c>
      <c r="B1444" s="2831" t="s">
        <v>3619</v>
      </c>
      <c r="C1444" s="2831">
        <v>407</v>
      </c>
      <c r="D1444" s="2831" t="s">
        <v>3641</v>
      </c>
      <c r="E1444" s="2831" t="s">
        <v>2174</v>
      </c>
    </row>
    <row r="1445" spans="1:5">
      <c r="A1445" s="2831">
        <v>675</v>
      </c>
      <c r="B1445" s="2831" t="s">
        <v>3619</v>
      </c>
      <c r="C1445" s="2831">
        <v>291</v>
      </c>
      <c r="D1445" s="2831" t="s">
        <v>3642</v>
      </c>
      <c r="E1445" s="2831" t="s">
        <v>2169</v>
      </c>
    </row>
    <row r="1446" spans="1:5">
      <c r="A1446" s="2831">
        <v>675</v>
      </c>
      <c r="B1446" s="2831" t="s">
        <v>3619</v>
      </c>
      <c r="C1446" s="2831">
        <v>100</v>
      </c>
      <c r="D1446" s="2831" t="s">
        <v>3643</v>
      </c>
      <c r="E1446" s="2831" t="s">
        <v>2169</v>
      </c>
    </row>
    <row r="1447" spans="1:5">
      <c r="A1447" s="2831">
        <v>675</v>
      </c>
      <c r="B1447" s="2831" t="s">
        <v>3619</v>
      </c>
      <c r="C1447" s="2831">
        <v>307</v>
      </c>
      <c r="D1447" s="2831" t="s">
        <v>3644</v>
      </c>
      <c r="E1447" s="2831" t="s">
        <v>2174</v>
      </c>
    </row>
    <row r="1448" spans="1:5">
      <c r="A1448" s="2831">
        <v>675</v>
      </c>
      <c r="B1448" s="2831" t="s">
        <v>3619</v>
      </c>
      <c r="C1448" s="2831">
        <v>507</v>
      </c>
      <c r="D1448" s="2831" t="s">
        <v>3645</v>
      </c>
      <c r="E1448" s="2831" t="s">
        <v>2174</v>
      </c>
    </row>
    <row r="1449" spans="1:5">
      <c r="A1449" s="2831">
        <v>675</v>
      </c>
      <c r="B1449" s="2831" t="s">
        <v>3619</v>
      </c>
      <c r="C1449" s="2831">
        <v>196</v>
      </c>
      <c r="D1449" s="2831" t="s">
        <v>3646</v>
      </c>
      <c r="E1449" s="2831" t="s">
        <v>2169</v>
      </c>
    </row>
    <row r="1450" spans="1:5">
      <c r="A1450" s="2831">
        <v>675</v>
      </c>
      <c r="B1450" s="2831" t="s">
        <v>3619</v>
      </c>
      <c r="C1450" s="2831">
        <v>197</v>
      </c>
      <c r="D1450" s="2831" t="s">
        <v>3647</v>
      </c>
      <c r="E1450" s="2831" t="s">
        <v>2166</v>
      </c>
    </row>
    <row r="1451" spans="1:5">
      <c r="A1451" s="2831">
        <v>675</v>
      </c>
      <c r="B1451" s="2831" t="s">
        <v>3619</v>
      </c>
      <c r="C1451" s="2831">
        <v>403</v>
      </c>
      <c r="D1451" s="2831" t="s">
        <v>3648</v>
      </c>
      <c r="E1451" s="2831" t="s">
        <v>2169</v>
      </c>
    </row>
    <row r="1452" spans="1:5">
      <c r="A1452" s="2831">
        <v>675</v>
      </c>
      <c r="B1452" s="2831" t="s">
        <v>3619</v>
      </c>
      <c r="C1452" s="2831">
        <v>509</v>
      </c>
      <c r="D1452" s="2831" t="s">
        <v>3649</v>
      </c>
      <c r="E1452" s="2831" t="s">
        <v>2174</v>
      </c>
    </row>
    <row r="1453" spans="1:5">
      <c r="A1453" s="2831">
        <v>675</v>
      </c>
      <c r="B1453" s="2831" t="s">
        <v>3619</v>
      </c>
      <c r="C1453" s="2831">
        <v>211</v>
      </c>
      <c r="D1453" s="2831" t="s">
        <v>3650</v>
      </c>
      <c r="E1453" s="2831" t="s">
        <v>2166</v>
      </c>
    </row>
    <row r="1454" spans="1:5">
      <c r="A1454" s="2831">
        <v>675</v>
      </c>
      <c r="B1454" s="2831" t="s">
        <v>3619</v>
      </c>
      <c r="C1454" s="2831">
        <v>2552</v>
      </c>
      <c r="D1454" s="2831" t="s">
        <v>3651</v>
      </c>
      <c r="E1454" s="2831" t="s">
        <v>2166</v>
      </c>
    </row>
    <row r="1455" spans="1:5">
      <c r="A1455" s="2831">
        <v>675</v>
      </c>
      <c r="B1455" s="2831" t="s">
        <v>3619</v>
      </c>
      <c r="C1455" s="2831">
        <v>3052</v>
      </c>
      <c r="D1455" s="2831" t="s">
        <v>3652</v>
      </c>
      <c r="E1455" s="2831" t="s">
        <v>2169</v>
      </c>
    </row>
    <row r="1456" spans="1:5">
      <c r="A1456" s="2831">
        <v>675</v>
      </c>
      <c r="B1456" s="2831" t="s">
        <v>3619</v>
      </c>
      <c r="C1456" s="2831">
        <v>295</v>
      </c>
      <c r="D1456" s="2831" t="s">
        <v>3653</v>
      </c>
      <c r="E1456" s="2831" t="s">
        <v>2169</v>
      </c>
    </row>
    <row r="1457" spans="1:5">
      <c r="A1457" s="2831">
        <v>675</v>
      </c>
      <c r="B1457" s="2831" t="s">
        <v>3619</v>
      </c>
      <c r="C1457" s="2831">
        <v>5052</v>
      </c>
      <c r="D1457" s="2831" t="s">
        <v>3654</v>
      </c>
      <c r="E1457" s="2831" t="s">
        <v>2169</v>
      </c>
    </row>
    <row r="1458" spans="1:5">
      <c r="A1458" s="2831">
        <v>675</v>
      </c>
      <c r="B1458" s="2831" t="s">
        <v>3619</v>
      </c>
      <c r="C1458" s="2831">
        <v>207</v>
      </c>
      <c r="D1458" s="2831" t="s">
        <v>2779</v>
      </c>
      <c r="E1458" s="2831" t="s">
        <v>2169</v>
      </c>
    </row>
    <row r="1459" spans="1:5">
      <c r="A1459" s="2831">
        <v>675</v>
      </c>
      <c r="B1459" s="2831" t="s">
        <v>3619</v>
      </c>
      <c r="C1459" s="2831">
        <v>409</v>
      </c>
      <c r="D1459" s="2831" t="s">
        <v>3655</v>
      </c>
      <c r="E1459" s="2831" t="s">
        <v>2169</v>
      </c>
    </row>
    <row r="1460" spans="1:5">
      <c r="A1460" s="2831">
        <v>675</v>
      </c>
      <c r="B1460" s="2831" t="s">
        <v>3619</v>
      </c>
      <c r="C1460" s="2831">
        <v>101</v>
      </c>
      <c r="D1460" s="2831" t="s">
        <v>3656</v>
      </c>
      <c r="E1460" s="2831" t="s">
        <v>2166</v>
      </c>
    </row>
    <row r="1461" spans="1:5">
      <c r="A1461" s="2831">
        <v>675</v>
      </c>
      <c r="B1461" s="2831" t="s">
        <v>3619</v>
      </c>
      <c r="C1461" s="2831">
        <v>703</v>
      </c>
      <c r="D1461" s="2831" t="s">
        <v>3657</v>
      </c>
      <c r="E1461" s="2831" t="s">
        <v>2166</v>
      </c>
    </row>
    <row r="1462" spans="1:5">
      <c r="A1462" s="2831">
        <v>675</v>
      </c>
      <c r="B1462" s="2831" t="s">
        <v>3619</v>
      </c>
      <c r="C1462" s="2831">
        <v>303</v>
      </c>
      <c r="D1462" s="2831" t="s">
        <v>3658</v>
      </c>
      <c r="E1462" s="2831" t="s">
        <v>2169</v>
      </c>
    </row>
    <row r="1463" spans="1:5">
      <c r="A1463" s="2831">
        <v>675</v>
      </c>
      <c r="B1463" s="2831" t="s">
        <v>3619</v>
      </c>
      <c r="C1463" s="2831">
        <v>208</v>
      </c>
      <c r="D1463" s="2831" t="s">
        <v>3659</v>
      </c>
      <c r="E1463" s="2831" t="s">
        <v>2169</v>
      </c>
    </row>
    <row r="1464" spans="1:5">
      <c r="A1464" s="2831">
        <v>675</v>
      </c>
      <c r="B1464" s="2831" t="s">
        <v>3619</v>
      </c>
      <c r="C1464" s="2831">
        <v>194</v>
      </c>
      <c r="D1464" s="2831" t="s">
        <v>3660</v>
      </c>
      <c r="E1464" s="2831" t="s">
        <v>2169</v>
      </c>
    </row>
    <row r="1465" spans="1:5">
      <c r="A1465" s="2831">
        <v>675</v>
      </c>
      <c r="B1465" s="2831" t="s">
        <v>3619</v>
      </c>
      <c r="C1465" s="2831">
        <v>108</v>
      </c>
      <c r="D1465" s="2831" t="s">
        <v>3331</v>
      </c>
      <c r="E1465" s="2831" t="s">
        <v>2169</v>
      </c>
    </row>
    <row r="1466" spans="1:5">
      <c r="A1466" s="2831">
        <v>675</v>
      </c>
      <c r="B1466" s="2831" t="s">
        <v>3619</v>
      </c>
      <c r="C1466" s="2831">
        <v>408</v>
      </c>
      <c r="D1466" s="2831" t="s">
        <v>2319</v>
      </c>
      <c r="E1466" s="2831" t="s">
        <v>2169</v>
      </c>
    </row>
    <row r="1467" spans="1:5">
      <c r="A1467" s="2831">
        <v>675</v>
      </c>
      <c r="B1467" s="2831" t="s">
        <v>3619</v>
      </c>
      <c r="C1467" s="2831">
        <v>308</v>
      </c>
      <c r="D1467" s="2831" t="s">
        <v>3332</v>
      </c>
      <c r="E1467" s="2831" t="s">
        <v>2166</v>
      </c>
    </row>
    <row r="1468" spans="1:5">
      <c r="A1468" s="2831">
        <v>676</v>
      </c>
      <c r="B1468" s="2831" t="s">
        <v>3661</v>
      </c>
      <c r="C1468" s="2831">
        <v>1050</v>
      </c>
      <c r="D1468" s="2831" t="s">
        <v>3662</v>
      </c>
      <c r="E1468" s="2831" t="s">
        <v>2174</v>
      </c>
    </row>
    <row r="1469" spans="1:5">
      <c r="A1469" s="2831">
        <v>676</v>
      </c>
      <c r="B1469" s="2831" t="s">
        <v>3661</v>
      </c>
      <c r="C1469" s="2831">
        <v>296</v>
      </c>
      <c r="D1469" s="2831" t="s">
        <v>3663</v>
      </c>
      <c r="E1469" s="2831" t="s">
        <v>2174</v>
      </c>
    </row>
    <row r="1470" spans="1:5">
      <c r="A1470" s="2831">
        <v>676</v>
      </c>
      <c r="B1470" s="2831" t="s">
        <v>3661</v>
      </c>
      <c r="C1470" s="2831">
        <v>401</v>
      </c>
      <c r="D1470" s="2831" t="s">
        <v>3664</v>
      </c>
      <c r="E1470" s="2831" t="s">
        <v>2169</v>
      </c>
    </row>
    <row r="1471" spans="1:5">
      <c r="A1471" s="2831">
        <v>676</v>
      </c>
      <c r="B1471" s="2831" t="s">
        <v>3661</v>
      </c>
      <c r="C1471" s="2831">
        <v>102</v>
      </c>
      <c r="D1471" s="2831" t="s">
        <v>3665</v>
      </c>
      <c r="E1471" s="2831" t="s">
        <v>2169</v>
      </c>
    </row>
    <row r="1472" spans="1:5">
      <c r="A1472" s="2831">
        <v>676</v>
      </c>
      <c r="B1472" s="2831" t="s">
        <v>3661</v>
      </c>
      <c r="C1472" s="2831">
        <v>2050</v>
      </c>
      <c r="D1472" s="2831" t="s">
        <v>3429</v>
      </c>
      <c r="E1472" s="2831" t="s">
        <v>2174</v>
      </c>
    </row>
    <row r="1473" spans="1:5">
      <c r="A1473" s="2831">
        <v>676</v>
      </c>
      <c r="B1473" s="2831" t="s">
        <v>3661</v>
      </c>
      <c r="C1473" s="2831">
        <v>194</v>
      </c>
      <c r="D1473" s="2831" t="s">
        <v>3666</v>
      </c>
      <c r="E1473" s="2831" t="s">
        <v>2174</v>
      </c>
    </row>
    <row r="1474" spans="1:5">
      <c r="A1474" s="2831">
        <v>676</v>
      </c>
      <c r="B1474" s="2831" t="s">
        <v>3661</v>
      </c>
      <c r="C1474" s="2831">
        <v>104</v>
      </c>
      <c r="D1474" s="2831" t="s">
        <v>3667</v>
      </c>
      <c r="E1474" s="2831" t="s">
        <v>2169</v>
      </c>
    </row>
    <row r="1475" spans="1:5">
      <c r="A1475" s="2831">
        <v>676</v>
      </c>
      <c r="B1475" s="2831" t="s">
        <v>3661</v>
      </c>
      <c r="C1475" s="2831">
        <v>100</v>
      </c>
      <c r="D1475" s="2831" t="s">
        <v>3668</v>
      </c>
      <c r="E1475" s="2831" t="s">
        <v>2174</v>
      </c>
    </row>
    <row r="1476" spans="1:5">
      <c r="A1476" s="2831">
        <v>676</v>
      </c>
      <c r="B1476" s="2831" t="s">
        <v>3661</v>
      </c>
      <c r="C1476" s="2831">
        <v>196</v>
      </c>
      <c r="D1476" s="2831" t="s">
        <v>3669</v>
      </c>
      <c r="E1476" s="2831" t="s">
        <v>2166</v>
      </c>
    </row>
    <row r="1477" spans="1:5">
      <c r="A1477" s="2831">
        <v>676</v>
      </c>
      <c r="B1477" s="2831" t="s">
        <v>3661</v>
      </c>
      <c r="C1477" s="2831">
        <v>309</v>
      </c>
      <c r="D1477" s="2831" t="s">
        <v>3670</v>
      </c>
      <c r="E1477" s="2831" t="s">
        <v>2166</v>
      </c>
    </row>
    <row r="1478" spans="1:5">
      <c r="A1478" s="2831">
        <v>676</v>
      </c>
      <c r="B1478" s="2831" t="s">
        <v>3661</v>
      </c>
      <c r="C1478" s="2831">
        <v>192</v>
      </c>
      <c r="D1478" s="2831" t="s">
        <v>3671</v>
      </c>
      <c r="E1478" s="2831" t="s">
        <v>2174</v>
      </c>
    </row>
    <row r="1479" spans="1:5">
      <c r="A1479" s="2831">
        <v>676</v>
      </c>
      <c r="B1479" s="2831" t="s">
        <v>3661</v>
      </c>
      <c r="C1479" s="2831">
        <v>105</v>
      </c>
      <c r="D1479" s="2831" t="s">
        <v>3672</v>
      </c>
      <c r="E1479" s="2831" t="s">
        <v>2166</v>
      </c>
    </row>
    <row r="1480" spans="1:5">
      <c r="A1480" s="2831">
        <v>676</v>
      </c>
      <c r="B1480" s="2831" t="s">
        <v>3661</v>
      </c>
      <c r="C1480" s="2831">
        <v>3550</v>
      </c>
      <c r="D1480" s="2831" t="s">
        <v>3673</v>
      </c>
      <c r="E1480" s="2831" t="s">
        <v>2169</v>
      </c>
    </row>
    <row r="1481" spans="1:5">
      <c r="A1481" s="2831">
        <v>676</v>
      </c>
      <c r="B1481" s="2831" t="s">
        <v>3661</v>
      </c>
      <c r="C1481" s="2831">
        <v>208</v>
      </c>
      <c r="D1481" s="2831" t="s">
        <v>3674</v>
      </c>
      <c r="E1481" s="2831" t="s">
        <v>2166</v>
      </c>
    </row>
    <row r="1482" spans="1:5">
      <c r="A1482" s="2831">
        <v>676</v>
      </c>
      <c r="B1482" s="2831" t="s">
        <v>3661</v>
      </c>
      <c r="C1482" s="2831">
        <v>103</v>
      </c>
      <c r="D1482" s="2831" t="s">
        <v>3675</v>
      </c>
      <c r="E1482" s="2831" t="s">
        <v>2166</v>
      </c>
    </row>
    <row r="1483" spans="1:5">
      <c r="A1483" s="2831">
        <v>676</v>
      </c>
      <c r="B1483" s="2831" t="s">
        <v>3661</v>
      </c>
      <c r="C1483" s="2831">
        <v>117</v>
      </c>
      <c r="D1483" s="2831" t="s">
        <v>3676</v>
      </c>
      <c r="E1483" s="2831" t="s">
        <v>2174</v>
      </c>
    </row>
    <row r="1484" spans="1:5">
      <c r="A1484" s="2831">
        <v>676</v>
      </c>
      <c r="B1484" s="2831" t="s">
        <v>3661</v>
      </c>
      <c r="C1484" s="2831">
        <v>199</v>
      </c>
      <c r="D1484" s="2831" t="s">
        <v>3677</v>
      </c>
      <c r="E1484" s="2831" t="s">
        <v>2174</v>
      </c>
    </row>
    <row r="1485" spans="1:5">
      <c r="A1485" s="2831">
        <v>676</v>
      </c>
      <c r="B1485" s="2831" t="s">
        <v>3661</v>
      </c>
      <c r="C1485" s="2831">
        <v>5050</v>
      </c>
      <c r="D1485" s="2831" t="s">
        <v>3678</v>
      </c>
      <c r="E1485" s="2831" t="s">
        <v>2166</v>
      </c>
    </row>
    <row r="1486" spans="1:5">
      <c r="A1486" s="2831">
        <v>676</v>
      </c>
      <c r="B1486" s="2831" t="s">
        <v>3661</v>
      </c>
      <c r="C1486" s="2831">
        <v>2054</v>
      </c>
      <c r="D1486" s="2831" t="s">
        <v>2240</v>
      </c>
      <c r="E1486" s="2831" t="s">
        <v>2174</v>
      </c>
    </row>
    <row r="1487" spans="1:5">
      <c r="A1487" s="2831">
        <v>676</v>
      </c>
      <c r="B1487" s="2831" t="s">
        <v>3661</v>
      </c>
      <c r="C1487" s="2831">
        <v>108</v>
      </c>
      <c r="D1487" s="2831" t="s">
        <v>3679</v>
      </c>
      <c r="E1487" s="2831" t="s">
        <v>2166</v>
      </c>
    </row>
    <row r="1488" spans="1:5">
      <c r="A1488" s="2831">
        <v>676</v>
      </c>
      <c r="B1488" s="2831" t="s">
        <v>3661</v>
      </c>
      <c r="C1488" s="2831">
        <v>191</v>
      </c>
      <c r="D1488" s="2831" t="s">
        <v>2870</v>
      </c>
      <c r="E1488" s="2831" t="s">
        <v>2174</v>
      </c>
    </row>
    <row r="1489" spans="1:5">
      <c r="A1489" s="2831">
        <v>676</v>
      </c>
      <c r="B1489" s="2831" t="s">
        <v>3661</v>
      </c>
      <c r="C1489" s="2831">
        <v>2052</v>
      </c>
      <c r="D1489" s="2831" t="s">
        <v>3680</v>
      </c>
      <c r="E1489" s="2831" t="s">
        <v>2166</v>
      </c>
    </row>
    <row r="1490" spans="1:5">
      <c r="A1490" s="2831">
        <v>676</v>
      </c>
      <c r="B1490" s="2831" t="s">
        <v>3661</v>
      </c>
      <c r="C1490" s="2831">
        <v>1052</v>
      </c>
      <c r="D1490" s="2831" t="s">
        <v>3681</v>
      </c>
      <c r="E1490" s="2831" t="s">
        <v>2174</v>
      </c>
    </row>
    <row r="1491" spans="1:5">
      <c r="A1491" s="2831">
        <v>676</v>
      </c>
      <c r="B1491" s="2831" t="s">
        <v>3661</v>
      </c>
      <c r="C1491" s="2831">
        <v>3052</v>
      </c>
      <c r="D1491" s="2831" t="s">
        <v>3682</v>
      </c>
      <c r="E1491" s="2831" t="s">
        <v>2166</v>
      </c>
    </row>
    <row r="1492" spans="1:5">
      <c r="A1492" s="2831">
        <v>676</v>
      </c>
      <c r="B1492" s="2831" t="s">
        <v>3661</v>
      </c>
      <c r="C1492" s="2831">
        <v>175</v>
      </c>
      <c r="D1492" s="2831" t="s">
        <v>3683</v>
      </c>
      <c r="E1492" s="2831" t="s">
        <v>2174</v>
      </c>
    </row>
    <row r="1493" spans="1:5">
      <c r="A1493" s="2831">
        <v>676</v>
      </c>
      <c r="B1493" s="2831" t="s">
        <v>3661</v>
      </c>
      <c r="C1493" s="2831">
        <v>1054</v>
      </c>
      <c r="D1493" s="2831" t="s">
        <v>3684</v>
      </c>
      <c r="E1493" s="2831" t="s">
        <v>2174</v>
      </c>
    </row>
    <row r="1494" spans="1:5">
      <c r="A1494" s="2831">
        <v>676</v>
      </c>
      <c r="B1494" s="2831" t="s">
        <v>3661</v>
      </c>
      <c r="C1494" s="2831">
        <v>200</v>
      </c>
      <c r="D1494" s="2831" t="s">
        <v>3685</v>
      </c>
      <c r="E1494" s="2831" t="s">
        <v>2174</v>
      </c>
    </row>
    <row r="1495" spans="1:5">
      <c r="A1495" s="2831">
        <v>676</v>
      </c>
      <c r="B1495" s="2831" t="s">
        <v>3661</v>
      </c>
      <c r="C1495" s="2831">
        <v>195</v>
      </c>
      <c r="D1495" s="2831" t="s">
        <v>3686</v>
      </c>
      <c r="E1495" s="2831" t="s">
        <v>2174</v>
      </c>
    </row>
    <row r="1496" spans="1:5">
      <c r="A1496" s="2831">
        <v>676</v>
      </c>
      <c r="B1496" s="2831" t="s">
        <v>3661</v>
      </c>
      <c r="C1496" s="2831">
        <v>4054</v>
      </c>
      <c r="D1496" s="2831" t="s">
        <v>2766</v>
      </c>
      <c r="E1496" s="2831" t="s">
        <v>2174</v>
      </c>
    </row>
    <row r="1497" spans="1:5">
      <c r="A1497" s="2831">
        <v>676</v>
      </c>
      <c r="B1497" s="2831" t="s">
        <v>3661</v>
      </c>
      <c r="C1497" s="2831">
        <v>5054</v>
      </c>
      <c r="D1497" s="2831" t="s">
        <v>3687</v>
      </c>
      <c r="E1497" s="2831" t="s">
        <v>2174</v>
      </c>
    </row>
    <row r="1498" spans="1:5">
      <c r="A1498" s="2831">
        <v>676</v>
      </c>
      <c r="B1498" s="2831" t="s">
        <v>3661</v>
      </c>
      <c r="C1498" s="2831">
        <v>204</v>
      </c>
      <c r="D1498" s="2831" t="s">
        <v>3688</v>
      </c>
      <c r="E1498" s="2831" t="s">
        <v>2174</v>
      </c>
    </row>
    <row r="1499" spans="1:5">
      <c r="A1499" s="2831">
        <v>676</v>
      </c>
      <c r="B1499" s="2831" t="s">
        <v>3661</v>
      </c>
      <c r="C1499" s="2831">
        <v>3056</v>
      </c>
      <c r="D1499" s="2831" t="s">
        <v>3689</v>
      </c>
      <c r="E1499" s="2831" t="s">
        <v>2166</v>
      </c>
    </row>
    <row r="1500" spans="1:5">
      <c r="A1500" s="2831">
        <v>676</v>
      </c>
      <c r="B1500" s="2831" t="s">
        <v>3661</v>
      </c>
      <c r="C1500" s="2831">
        <v>111</v>
      </c>
      <c r="D1500" s="2831" t="s">
        <v>3690</v>
      </c>
      <c r="E1500" s="2831" t="s">
        <v>2166</v>
      </c>
    </row>
    <row r="1501" spans="1:5">
      <c r="A1501" s="2831">
        <v>676</v>
      </c>
      <c r="B1501" s="2831" t="s">
        <v>3661</v>
      </c>
      <c r="C1501" s="2831">
        <v>4056</v>
      </c>
      <c r="D1501" s="2831" t="s">
        <v>3691</v>
      </c>
      <c r="E1501" s="2831" t="s">
        <v>2174</v>
      </c>
    </row>
    <row r="1502" spans="1:5">
      <c r="A1502" s="2831">
        <v>676</v>
      </c>
      <c r="B1502" s="2831" t="s">
        <v>3661</v>
      </c>
      <c r="C1502" s="2831">
        <v>5056</v>
      </c>
      <c r="D1502" s="2831" t="s">
        <v>3692</v>
      </c>
      <c r="E1502" s="2831" t="s">
        <v>2174</v>
      </c>
    </row>
    <row r="1503" spans="1:5">
      <c r="A1503" s="2831">
        <v>676</v>
      </c>
      <c r="B1503" s="2831" t="s">
        <v>3661</v>
      </c>
      <c r="C1503" s="2831">
        <v>2058</v>
      </c>
      <c r="D1503" s="2831" t="s">
        <v>2796</v>
      </c>
      <c r="E1503" s="2831" t="s">
        <v>2174</v>
      </c>
    </row>
    <row r="1504" spans="1:5">
      <c r="A1504" s="2831">
        <v>677</v>
      </c>
      <c r="B1504" s="2831" t="s">
        <v>3693</v>
      </c>
      <c r="C1504" s="2831">
        <v>188</v>
      </c>
      <c r="D1504" s="2831" t="s">
        <v>3694</v>
      </c>
      <c r="E1504" s="2831" t="s">
        <v>2169</v>
      </c>
    </row>
    <row r="1505" spans="1:5">
      <c r="A1505" s="2831">
        <v>677</v>
      </c>
      <c r="B1505" s="2831" t="s">
        <v>3693</v>
      </c>
      <c r="C1505" s="2831">
        <v>2050</v>
      </c>
      <c r="D1505" s="2831" t="s">
        <v>3695</v>
      </c>
      <c r="E1505" s="2831" t="s">
        <v>2174</v>
      </c>
    </row>
    <row r="1506" spans="1:5">
      <c r="A1506" s="2831">
        <v>677</v>
      </c>
      <c r="B1506" s="2831" t="s">
        <v>3693</v>
      </c>
      <c r="C1506" s="2831">
        <v>173</v>
      </c>
      <c r="D1506" s="2831" t="s">
        <v>3696</v>
      </c>
      <c r="E1506" s="2831" t="s">
        <v>2174</v>
      </c>
    </row>
    <row r="1507" spans="1:5">
      <c r="A1507" s="2831">
        <v>678</v>
      </c>
      <c r="B1507" s="2831" t="s">
        <v>3697</v>
      </c>
      <c r="C1507" s="2831">
        <v>107</v>
      </c>
      <c r="D1507" s="2831" t="s">
        <v>3698</v>
      </c>
      <c r="E1507" s="2831" t="s">
        <v>2169</v>
      </c>
    </row>
    <row r="1508" spans="1:5">
      <c r="A1508" s="2831">
        <v>678</v>
      </c>
      <c r="B1508" s="2831" t="s">
        <v>3697</v>
      </c>
      <c r="C1508" s="2831">
        <v>104</v>
      </c>
      <c r="D1508" s="2831" t="s">
        <v>3699</v>
      </c>
      <c r="E1508" s="2831" t="s">
        <v>2174</v>
      </c>
    </row>
    <row r="1509" spans="1:5">
      <c r="A1509" s="2831">
        <v>678</v>
      </c>
      <c r="B1509" s="2831" t="s">
        <v>3697</v>
      </c>
      <c r="C1509" s="2831">
        <v>197</v>
      </c>
      <c r="D1509" s="2831" t="s">
        <v>3700</v>
      </c>
      <c r="E1509" s="2831" t="s">
        <v>2166</v>
      </c>
    </row>
    <row r="1510" spans="1:5">
      <c r="A1510" s="2831">
        <v>678</v>
      </c>
      <c r="B1510" s="2831" t="s">
        <v>3697</v>
      </c>
      <c r="C1510" s="2831">
        <v>209</v>
      </c>
      <c r="D1510" s="2831" t="s">
        <v>3701</v>
      </c>
      <c r="E1510" s="2831" t="s">
        <v>2166</v>
      </c>
    </row>
    <row r="1511" spans="1:5">
      <c r="A1511" s="2831">
        <v>678</v>
      </c>
      <c r="B1511" s="2831" t="s">
        <v>3697</v>
      </c>
      <c r="C1511" s="2831">
        <v>191</v>
      </c>
      <c r="D1511" s="2831" t="s">
        <v>3702</v>
      </c>
      <c r="E1511" s="2831" t="s">
        <v>2174</v>
      </c>
    </row>
    <row r="1512" spans="1:5">
      <c r="A1512" s="2831">
        <v>678</v>
      </c>
      <c r="B1512" s="2831" t="s">
        <v>3697</v>
      </c>
      <c r="C1512" s="2831">
        <v>310</v>
      </c>
      <c r="D1512" s="2831" t="s">
        <v>3703</v>
      </c>
      <c r="E1512" s="2831" t="s">
        <v>2174</v>
      </c>
    </row>
    <row r="1513" spans="1:5">
      <c r="A1513" s="2831">
        <v>678</v>
      </c>
      <c r="B1513" s="2831" t="s">
        <v>3697</v>
      </c>
      <c r="C1513" s="2831">
        <v>2550</v>
      </c>
      <c r="D1513" s="2831" t="s">
        <v>3704</v>
      </c>
      <c r="E1513" s="2831" t="s">
        <v>2169</v>
      </c>
    </row>
    <row r="1514" spans="1:5">
      <c r="A1514" s="2831">
        <v>678</v>
      </c>
      <c r="B1514" s="2831" t="s">
        <v>3697</v>
      </c>
      <c r="C1514" s="2831">
        <v>3050</v>
      </c>
      <c r="D1514" s="2831" t="s">
        <v>3705</v>
      </c>
      <c r="E1514" s="2831" t="s">
        <v>2169</v>
      </c>
    </row>
    <row r="1515" spans="1:5">
      <c r="A1515" s="2831">
        <v>678</v>
      </c>
      <c r="B1515" s="2831" t="s">
        <v>3697</v>
      </c>
      <c r="C1515" s="2831">
        <v>4050</v>
      </c>
      <c r="D1515" s="2831" t="s">
        <v>3706</v>
      </c>
      <c r="E1515" s="2831" t="s">
        <v>2166</v>
      </c>
    </row>
    <row r="1516" spans="1:5">
      <c r="A1516" s="2831">
        <v>678</v>
      </c>
      <c r="B1516" s="2831" t="s">
        <v>3697</v>
      </c>
      <c r="C1516" s="2831">
        <v>101</v>
      </c>
      <c r="D1516" s="2831" t="s">
        <v>3707</v>
      </c>
      <c r="E1516" s="2831" t="s">
        <v>2166</v>
      </c>
    </row>
    <row r="1517" spans="1:5">
      <c r="A1517" s="2831">
        <v>678</v>
      </c>
      <c r="B1517" s="2831" t="s">
        <v>3697</v>
      </c>
      <c r="C1517" s="2831">
        <v>297</v>
      </c>
      <c r="D1517" s="2831" t="s">
        <v>3708</v>
      </c>
      <c r="E1517" s="2831" t="s">
        <v>2166</v>
      </c>
    </row>
    <row r="1518" spans="1:5">
      <c r="A1518" s="2831">
        <v>679</v>
      </c>
      <c r="B1518" s="2831" t="s">
        <v>3709</v>
      </c>
      <c r="C1518" s="2831">
        <v>108</v>
      </c>
      <c r="D1518" s="2831" t="s">
        <v>3710</v>
      </c>
      <c r="E1518" s="2831" t="s">
        <v>2166</v>
      </c>
    </row>
    <row r="1519" spans="1:5">
      <c r="A1519" s="2831">
        <v>679</v>
      </c>
      <c r="B1519" s="2831" t="s">
        <v>3709</v>
      </c>
      <c r="C1519" s="2831">
        <v>201</v>
      </c>
      <c r="D1519" s="2831" t="s">
        <v>3711</v>
      </c>
      <c r="E1519" s="2831" t="s">
        <v>2166</v>
      </c>
    </row>
    <row r="1520" spans="1:5">
      <c r="A1520" s="2831">
        <v>679</v>
      </c>
      <c r="B1520" s="2831" t="s">
        <v>3709</v>
      </c>
      <c r="C1520" s="2831">
        <v>195</v>
      </c>
      <c r="D1520" s="2831" t="s">
        <v>3712</v>
      </c>
      <c r="E1520" s="2831" t="s">
        <v>2166</v>
      </c>
    </row>
    <row r="1521" spans="1:5">
      <c r="A1521" s="2831">
        <v>679</v>
      </c>
      <c r="B1521" s="2831" t="s">
        <v>3709</v>
      </c>
      <c r="C1521" s="2831">
        <v>100</v>
      </c>
      <c r="D1521" s="2831" t="s">
        <v>3713</v>
      </c>
      <c r="E1521" s="2831" t="s">
        <v>2166</v>
      </c>
    </row>
    <row r="1522" spans="1:5">
      <c r="A1522" s="2831">
        <v>680</v>
      </c>
      <c r="B1522" s="2831" t="s">
        <v>3714</v>
      </c>
      <c r="C1522" s="2831">
        <v>175</v>
      </c>
      <c r="D1522" s="2831" t="s">
        <v>3715</v>
      </c>
      <c r="E1522" s="2831" t="s">
        <v>2166</v>
      </c>
    </row>
    <row r="1523" spans="1:5">
      <c r="A1523" s="2831">
        <v>680</v>
      </c>
      <c r="B1523" s="2831" t="s">
        <v>3714</v>
      </c>
      <c r="C1523" s="2831">
        <v>199</v>
      </c>
      <c r="D1523" s="2831" t="s">
        <v>3716</v>
      </c>
      <c r="E1523" s="2831" t="s">
        <v>2169</v>
      </c>
    </row>
    <row r="1524" spans="1:5">
      <c r="A1524" s="2831">
        <v>680</v>
      </c>
      <c r="B1524" s="2831" t="s">
        <v>3714</v>
      </c>
      <c r="C1524" s="2831">
        <v>111</v>
      </c>
      <c r="D1524" s="2831" t="s">
        <v>3717</v>
      </c>
      <c r="E1524" s="2831" t="s">
        <v>2166</v>
      </c>
    </row>
    <row r="1525" spans="1:5">
      <c r="A1525" s="2831">
        <v>680</v>
      </c>
      <c r="B1525" s="2831" t="s">
        <v>3714</v>
      </c>
      <c r="C1525" s="2831">
        <v>105</v>
      </c>
      <c r="D1525" s="2831" t="s">
        <v>3718</v>
      </c>
      <c r="E1525" s="2831" t="s">
        <v>2169</v>
      </c>
    </row>
    <row r="1526" spans="1:5">
      <c r="A1526" s="2831">
        <v>779</v>
      </c>
      <c r="B1526" s="2831" t="s">
        <v>3719</v>
      </c>
      <c r="C1526" s="2831">
        <v>107</v>
      </c>
      <c r="D1526" s="2831" t="s">
        <v>3720</v>
      </c>
      <c r="E1526" s="2831" t="s">
        <v>2169</v>
      </c>
    </row>
    <row r="1527" spans="1:5">
      <c r="A1527" s="2831">
        <v>779</v>
      </c>
      <c r="B1527" s="2831" t="s">
        <v>3719</v>
      </c>
      <c r="C1527" s="2831">
        <v>3050</v>
      </c>
      <c r="D1527" s="2831" t="s">
        <v>3721</v>
      </c>
      <c r="E1527" s="2831" t="s">
        <v>2166</v>
      </c>
    </row>
    <row r="1528" spans="1:5">
      <c r="A1528" s="2831">
        <v>779</v>
      </c>
      <c r="B1528" s="2831" t="s">
        <v>3719</v>
      </c>
      <c r="C1528" s="2831">
        <v>174</v>
      </c>
      <c r="D1528" s="2831" t="s">
        <v>3722</v>
      </c>
      <c r="E1528" s="2831" t="s">
        <v>2169</v>
      </c>
    </row>
    <row r="1529" spans="1:5">
      <c r="A1529" s="2831">
        <v>779</v>
      </c>
      <c r="B1529" s="2831" t="s">
        <v>3719</v>
      </c>
      <c r="C1529" s="2831">
        <v>101</v>
      </c>
      <c r="D1529" s="2831" t="s">
        <v>3723</v>
      </c>
      <c r="E1529" s="2831" t="s">
        <v>2174</v>
      </c>
    </row>
    <row r="1530" spans="1:5">
      <c r="A1530" s="2831">
        <v>681</v>
      </c>
      <c r="B1530" s="2831" t="s">
        <v>3724</v>
      </c>
      <c r="C1530" s="2831">
        <v>1050</v>
      </c>
      <c r="D1530" s="2831" t="s">
        <v>3725</v>
      </c>
      <c r="E1530" s="2831" t="s">
        <v>2169</v>
      </c>
    </row>
    <row r="1531" spans="1:5">
      <c r="A1531" s="2831">
        <v>681</v>
      </c>
      <c r="B1531" s="2831" t="s">
        <v>3724</v>
      </c>
      <c r="C1531" s="2831">
        <v>196</v>
      </c>
      <c r="D1531" s="2831" t="s">
        <v>3726</v>
      </c>
      <c r="E1531" s="2831" t="s">
        <v>2174</v>
      </c>
    </row>
    <row r="1532" spans="1:5">
      <c r="A1532" s="2831">
        <v>681</v>
      </c>
      <c r="B1532" s="2831" t="s">
        <v>3724</v>
      </c>
      <c r="C1532" s="2831">
        <v>397</v>
      </c>
      <c r="D1532" s="2831" t="s">
        <v>3727</v>
      </c>
      <c r="E1532" s="2831" t="s">
        <v>2169</v>
      </c>
    </row>
    <row r="1533" spans="1:5">
      <c r="A1533" s="2831">
        <v>681</v>
      </c>
      <c r="B1533" s="2831" t="s">
        <v>3724</v>
      </c>
      <c r="C1533" s="2831">
        <v>1550</v>
      </c>
      <c r="D1533" s="2831" t="s">
        <v>3728</v>
      </c>
      <c r="E1533" s="2831" t="s">
        <v>2169</v>
      </c>
    </row>
    <row r="1534" spans="1:5">
      <c r="A1534" s="2831">
        <v>681</v>
      </c>
      <c r="B1534" s="2831" t="s">
        <v>3724</v>
      </c>
      <c r="C1534" s="2831">
        <v>3550</v>
      </c>
      <c r="D1534" s="2831" t="s">
        <v>3729</v>
      </c>
      <c r="E1534" s="2831" t="s">
        <v>2169</v>
      </c>
    </row>
    <row r="1535" spans="1:5">
      <c r="A1535" s="2831">
        <v>682</v>
      </c>
      <c r="B1535" s="2831" t="s">
        <v>3730</v>
      </c>
      <c r="C1535" s="2831">
        <v>1050</v>
      </c>
      <c r="D1535" s="2831" t="s">
        <v>3731</v>
      </c>
      <c r="E1535" s="2831" t="s">
        <v>2166</v>
      </c>
    </row>
    <row r="1536" spans="1:5">
      <c r="A1536" s="2831">
        <v>682</v>
      </c>
      <c r="B1536" s="2831" t="s">
        <v>3730</v>
      </c>
      <c r="C1536" s="2831">
        <v>201</v>
      </c>
      <c r="D1536" s="2831" t="s">
        <v>3732</v>
      </c>
      <c r="E1536" s="2831" t="s">
        <v>2166</v>
      </c>
    </row>
    <row r="1537" spans="1:5">
      <c r="A1537" s="2831">
        <v>682</v>
      </c>
      <c r="B1537" s="2831" t="s">
        <v>3730</v>
      </c>
      <c r="C1537" s="2831">
        <v>101</v>
      </c>
      <c r="D1537" s="2831" t="s">
        <v>3733</v>
      </c>
      <c r="E1537" s="2831" t="s">
        <v>2166</v>
      </c>
    </row>
    <row r="1538" spans="1:5">
      <c r="A1538" s="2831">
        <v>683</v>
      </c>
      <c r="B1538" s="2831" t="s">
        <v>3734</v>
      </c>
      <c r="C1538" s="2831">
        <v>197</v>
      </c>
      <c r="D1538" s="2831" t="s">
        <v>3735</v>
      </c>
      <c r="E1538" s="2831" t="s">
        <v>2166</v>
      </c>
    </row>
    <row r="1539" spans="1:5">
      <c r="A1539" s="2831">
        <v>683</v>
      </c>
      <c r="B1539" s="2831" t="s">
        <v>3734</v>
      </c>
      <c r="C1539" s="2831">
        <v>201</v>
      </c>
      <c r="D1539" s="2831" t="s">
        <v>3736</v>
      </c>
      <c r="E1539" s="2831" t="s">
        <v>2174</v>
      </c>
    </row>
    <row r="1540" spans="1:5">
      <c r="A1540" s="2831">
        <v>683</v>
      </c>
      <c r="B1540" s="2831" t="s">
        <v>3734</v>
      </c>
      <c r="C1540" s="2831">
        <v>101</v>
      </c>
      <c r="D1540" s="2831" t="s">
        <v>3737</v>
      </c>
      <c r="E1540" s="2831" t="s">
        <v>2166</v>
      </c>
    </row>
    <row r="1541" spans="1:5">
      <c r="A1541" s="2831">
        <v>684</v>
      </c>
      <c r="B1541" s="2831" t="s">
        <v>3738</v>
      </c>
      <c r="C1541" s="2831">
        <v>101</v>
      </c>
      <c r="D1541" s="2831" t="s">
        <v>3739</v>
      </c>
      <c r="E1541" s="2831" t="s">
        <v>2174</v>
      </c>
    </row>
    <row r="1542" spans="1:5">
      <c r="A1542" s="2831">
        <v>684</v>
      </c>
      <c r="B1542" s="2831" t="s">
        <v>3738</v>
      </c>
      <c r="C1542" s="2831">
        <v>199</v>
      </c>
      <c r="D1542" s="2831" t="s">
        <v>3740</v>
      </c>
      <c r="E1542" s="2831" t="s">
        <v>2174</v>
      </c>
    </row>
    <row r="1543" spans="1:5">
      <c r="A1543" s="2831">
        <v>684</v>
      </c>
      <c r="B1543" s="2831" t="s">
        <v>3738</v>
      </c>
      <c r="C1543" s="2831">
        <v>1550</v>
      </c>
      <c r="D1543" s="2831" t="s">
        <v>3741</v>
      </c>
      <c r="E1543" s="2831" t="s">
        <v>2166</v>
      </c>
    </row>
    <row r="1544" spans="1:5">
      <c r="A1544" s="2831">
        <v>684</v>
      </c>
      <c r="B1544" s="2831" t="s">
        <v>3738</v>
      </c>
      <c r="C1544" s="2831">
        <v>106</v>
      </c>
      <c r="D1544" s="2831" t="s">
        <v>3742</v>
      </c>
      <c r="E1544" s="2831" t="s">
        <v>2174</v>
      </c>
    </row>
    <row r="1545" spans="1:5">
      <c r="A1545" s="2831">
        <v>684</v>
      </c>
      <c r="B1545" s="2831" t="s">
        <v>3738</v>
      </c>
      <c r="C1545" s="2831">
        <v>192</v>
      </c>
      <c r="D1545" s="2831" t="s">
        <v>3743</v>
      </c>
      <c r="E1545" s="2831" t="s">
        <v>2166</v>
      </c>
    </row>
    <row r="1546" spans="1:5">
      <c r="A1546" s="2831">
        <v>684</v>
      </c>
      <c r="B1546" s="2831" t="s">
        <v>3738</v>
      </c>
      <c r="C1546" s="2831">
        <v>102</v>
      </c>
      <c r="D1546" s="2831" t="s">
        <v>3744</v>
      </c>
      <c r="E1546" s="2831" t="s">
        <v>2166</v>
      </c>
    </row>
    <row r="1547" spans="1:5">
      <c r="A1547" s="2831">
        <v>684</v>
      </c>
      <c r="B1547" s="2831" t="s">
        <v>3738</v>
      </c>
      <c r="C1547" s="2831">
        <v>114</v>
      </c>
      <c r="D1547" s="2831" t="s">
        <v>3745</v>
      </c>
      <c r="E1547" s="2831" t="s">
        <v>2174</v>
      </c>
    </row>
    <row r="1548" spans="1:5">
      <c r="A1548" s="2831">
        <v>685</v>
      </c>
      <c r="B1548" s="2831" t="s">
        <v>3746</v>
      </c>
      <c r="C1548" s="2831">
        <v>105</v>
      </c>
      <c r="D1548" s="2831" t="s">
        <v>3747</v>
      </c>
      <c r="E1548" s="2831" t="s">
        <v>2169</v>
      </c>
    </row>
    <row r="1549" spans="1:5">
      <c r="A1549" s="2831">
        <v>685</v>
      </c>
      <c r="B1549" s="2831" t="s">
        <v>3746</v>
      </c>
      <c r="C1549" s="2831">
        <v>175</v>
      </c>
      <c r="D1549" s="2831" t="s">
        <v>3748</v>
      </c>
      <c r="E1549" s="2831" t="s">
        <v>2169</v>
      </c>
    </row>
    <row r="1550" spans="1:5">
      <c r="A1550" s="2831">
        <v>685</v>
      </c>
      <c r="B1550" s="2831" t="s">
        <v>3746</v>
      </c>
      <c r="C1550" s="2831">
        <v>199</v>
      </c>
      <c r="D1550" s="2831" t="s">
        <v>3749</v>
      </c>
      <c r="E1550" s="2831" t="s">
        <v>2166</v>
      </c>
    </row>
    <row r="1551" spans="1:5">
      <c r="A1551" s="2831">
        <v>685</v>
      </c>
      <c r="B1551" s="2831" t="s">
        <v>3746</v>
      </c>
      <c r="C1551" s="2831">
        <v>205</v>
      </c>
      <c r="D1551" s="2831" t="s">
        <v>3750</v>
      </c>
      <c r="E1551" s="2831" t="s">
        <v>2169</v>
      </c>
    </row>
    <row r="1552" spans="1:5">
      <c r="A1552" s="2831">
        <v>686</v>
      </c>
      <c r="B1552" s="2831" t="s">
        <v>3751</v>
      </c>
      <c r="C1552" s="2831">
        <v>111</v>
      </c>
      <c r="D1552" s="2831" t="s">
        <v>3752</v>
      </c>
      <c r="E1552" s="2831" t="s">
        <v>2174</v>
      </c>
    </row>
    <row r="1553" spans="1:5">
      <c r="A1553" s="2831">
        <v>686</v>
      </c>
      <c r="B1553" s="2831" t="s">
        <v>3751</v>
      </c>
      <c r="C1553" s="2831">
        <v>201</v>
      </c>
      <c r="D1553" s="2831" t="s">
        <v>3753</v>
      </c>
      <c r="E1553" s="2831" t="s">
        <v>2174</v>
      </c>
    </row>
    <row r="1554" spans="1:5">
      <c r="A1554" s="2831">
        <v>686</v>
      </c>
      <c r="B1554" s="2831" t="s">
        <v>3751</v>
      </c>
      <c r="C1554" s="2831">
        <v>101</v>
      </c>
      <c r="D1554" s="2831" t="s">
        <v>3754</v>
      </c>
      <c r="E1554" s="2831" t="s">
        <v>2174</v>
      </c>
    </row>
    <row r="1555" spans="1:5">
      <c r="A1555" s="2831">
        <v>687</v>
      </c>
      <c r="B1555" s="2831" t="s">
        <v>3755</v>
      </c>
      <c r="C1555" s="2831">
        <v>105</v>
      </c>
      <c r="D1555" s="2831" t="s">
        <v>3756</v>
      </c>
      <c r="E1555" s="2831" t="s">
        <v>2174</v>
      </c>
    </row>
    <row r="1556" spans="1:5">
      <c r="A1556" s="2831">
        <v>687</v>
      </c>
      <c r="B1556" s="2831" t="s">
        <v>3755</v>
      </c>
      <c r="C1556" s="2831">
        <v>197</v>
      </c>
      <c r="D1556" s="2831" t="s">
        <v>3757</v>
      </c>
      <c r="E1556" s="2831" t="s">
        <v>2169</v>
      </c>
    </row>
    <row r="1557" spans="1:5">
      <c r="A1557" s="2831">
        <v>687</v>
      </c>
      <c r="B1557" s="2831" t="s">
        <v>3755</v>
      </c>
      <c r="C1557" s="2831">
        <v>297</v>
      </c>
      <c r="D1557" s="2831" t="s">
        <v>3758</v>
      </c>
      <c r="E1557" s="2831" t="s">
        <v>2174</v>
      </c>
    </row>
    <row r="1558" spans="1:5">
      <c r="A1558" s="2831">
        <v>687</v>
      </c>
      <c r="B1558" s="2831" t="s">
        <v>3755</v>
      </c>
      <c r="C1558" s="2831">
        <v>104</v>
      </c>
      <c r="D1558" s="2831" t="s">
        <v>3759</v>
      </c>
      <c r="E1558" s="2831" t="s">
        <v>2174</v>
      </c>
    </row>
    <row r="1559" spans="1:5">
      <c r="A1559" s="2831">
        <v>687</v>
      </c>
      <c r="B1559" s="2831" t="s">
        <v>3755</v>
      </c>
      <c r="C1559" s="2831">
        <v>201</v>
      </c>
      <c r="D1559" s="2831" t="s">
        <v>3760</v>
      </c>
      <c r="E1559" s="2831" t="s">
        <v>2174</v>
      </c>
    </row>
    <row r="1560" spans="1:5">
      <c r="A1560" s="2831">
        <v>687</v>
      </c>
      <c r="B1560" s="2831" t="s">
        <v>3755</v>
      </c>
      <c r="C1560" s="2831">
        <v>101</v>
      </c>
      <c r="D1560" s="2831" t="s">
        <v>3761</v>
      </c>
      <c r="E1560" s="2831" t="s">
        <v>2174</v>
      </c>
    </row>
    <row r="1561" spans="1:5">
      <c r="A1561" s="2831">
        <v>687</v>
      </c>
      <c r="B1561" s="2831" t="s">
        <v>3755</v>
      </c>
      <c r="C1561" s="2831">
        <v>110</v>
      </c>
      <c r="D1561" s="2831" t="s">
        <v>3762</v>
      </c>
      <c r="E1561" s="2831" t="s">
        <v>2166</v>
      </c>
    </row>
    <row r="1562" spans="1:5">
      <c r="A1562" s="2831">
        <v>687</v>
      </c>
      <c r="B1562" s="2831" t="s">
        <v>3755</v>
      </c>
      <c r="C1562" s="2831">
        <v>2054</v>
      </c>
      <c r="D1562" s="2831" t="s">
        <v>3763</v>
      </c>
      <c r="E1562" s="2831" t="s">
        <v>2169</v>
      </c>
    </row>
    <row r="1563" spans="1:5">
      <c r="A1563" s="2831">
        <v>688</v>
      </c>
      <c r="B1563" s="2831" t="s">
        <v>3764</v>
      </c>
      <c r="C1563" s="2831">
        <v>197</v>
      </c>
      <c r="D1563" s="2831" t="s">
        <v>3765</v>
      </c>
      <c r="E1563" s="2831" t="s">
        <v>2174</v>
      </c>
    </row>
    <row r="1564" spans="1:5">
      <c r="A1564" s="2831">
        <v>688</v>
      </c>
      <c r="B1564" s="2831" t="s">
        <v>3764</v>
      </c>
      <c r="C1564" s="2831">
        <v>103</v>
      </c>
      <c r="D1564" s="2831" t="s">
        <v>3766</v>
      </c>
      <c r="E1564" s="2831" t="s">
        <v>2169</v>
      </c>
    </row>
    <row r="1565" spans="1:5">
      <c r="A1565" s="2831">
        <v>688</v>
      </c>
      <c r="B1565" s="2831" t="s">
        <v>3764</v>
      </c>
      <c r="C1565" s="2831">
        <v>193</v>
      </c>
      <c r="D1565" s="2831" t="s">
        <v>3767</v>
      </c>
      <c r="E1565" s="2831" t="s">
        <v>2166</v>
      </c>
    </row>
    <row r="1566" spans="1:5">
      <c r="A1566" s="2831">
        <v>688</v>
      </c>
      <c r="B1566" s="2831" t="s">
        <v>3764</v>
      </c>
      <c r="C1566" s="2831">
        <v>114</v>
      </c>
      <c r="D1566" s="2831" t="s">
        <v>3768</v>
      </c>
      <c r="E1566" s="2831" t="s">
        <v>2166</v>
      </c>
    </row>
    <row r="1567" spans="1:5">
      <c r="A1567" s="2831">
        <v>688</v>
      </c>
      <c r="B1567" s="2831" t="s">
        <v>3764</v>
      </c>
      <c r="C1567" s="2831">
        <v>101</v>
      </c>
      <c r="D1567" s="2831" t="s">
        <v>3769</v>
      </c>
      <c r="E1567" s="2831" t="s">
        <v>2166</v>
      </c>
    </row>
    <row r="1568" spans="1:5">
      <c r="A1568" s="2831">
        <v>688</v>
      </c>
      <c r="B1568" s="2831" t="s">
        <v>3764</v>
      </c>
      <c r="C1568" s="2831">
        <v>187</v>
      </c>
      <c r="D1568" s="2831" t="s">
        <v>3770</v>
      </c>
      <c r="E1568" s="2831" t="s">
        <v>2166</v>
      </c>
    </row>
    <row r="1569" spans="1:5">
      <c r="A1569" s="2831">
        <v>688</v>
      </c>
      <c r="B1569" s="2831" t="s">
        <v>3764</v>
      </c>
      <c r="C1569" s="2831">
        <v>209</v>
      </c>
      <c r="D1569" s="2831" t="s">
        <v>3771</v>
      </c>
      <c r="E1569" s="2831" t="s">
        <v>2174</v>
      </c>
    </row>
    <row r="1570" spans="1:5">
      <c r="A1570" s="2831">
        <v>688</v>
      </c>
      <c r="B1570" s="2831" t="s">
        <v>3764</v>
      </c>
      <c r="C1570" s="2831">
        <v>393</v>
      </c>
      <c r="D1570" s="2831" t="s">
        <v>3772</v>
      </c>
      <c r="E1570" s="2831" t="s">
        <v>2166</v>
      </c>
    </row>
    <row r="1571" spans="1:5">
      <c r="A1571" s="2831">
        <v>689</v>
      </c>
      <c r="B1571" s="2831" t="s">
        <v>2111</v>
      </c>
      <c r="C1571" s="2831">
        <v>105</v>
      </c>
      <c r="D1571" s="2831" t="s">
        <v>3773</v>
      </c>
      <c r="E1571" s="2831" t="s">
        <v>2169</v>
      </c>
    </row>
    <row r="1572" spans="1:5">
      <c r="A1572" s="2831">
        <v>689</v>
      </c>
      <c r="B1572" s="2831" t="s">
        <v>2111</v>
      </c>
      <c r="C1572" s="2831">
        <v>180</v>
      </c>
      <c r="D1572" s="2831" t="s">
        <v>3774</v>
      </c>
      <c r="E1572" s="2831" t="s">
        <v>2166</v>
      </c>
    </row>
    <row r="1573" spans="1:5">
      <c r="A1573" s="2831">
        <v>689</v>
      </c>
      <c r="B1573" s="2831" t="s">
        <v>2111</v>
      </c>
      <c r="C1573" s="2831">
        <v>196</v>
      </c>
      <c r="D1573" s="2831" t="s">
        <v>3775</v>
      </c>
      <c r="E1573" s="2831" t="s">
        <v>2169</v>
      </c>
    </row>
    <row r="1574" spans="1:5">
      <c r="A1574" s="2831">
        <v>689</v>
      </c>
      <c r="B1574" s="2831" t="s">
        <v>2111</v>
      </c>
      <c r="C1574" s="2831">
        <v>189</v>
      </c>
      <c r="D1574" s="2831" t="s">
        <v>3776</v>
      </c>
      <c r="E1574" s="2831" t="s">
        <v>2169</v>
      </c>
    </row>
    <row r="1575" spans="1:5">
      <c r="A1575" s="2831">
        <v>689</v>
      </c>
      <c r="B1575" s="2831" t="s">
        <v>2111</v>
      </c>
      <c r="C1575" s="2831">
        <v>197</v>
      </c>
      <c r="D1575" s="2831" t="s">
        <v>3777</v>
      </c>
      <c r="E1575" s="2831" t="s">
        <v>2169</v>
      </c>
    </row>
    <row r="1576" spans="1:5">
      <c r="A1576" s="2831">
        <v>689</v>
      </c>
      <c r="B1576" s="2831" t="s">
        <v>2111</v>
      </c>
      <c r="C1576" s="2831">
        <v>192</v>
      </c>
      <c r="D1576" s="2831" t="s">
        <v>3778</v>
      </c>
      <c r="E1576" s="2831" t="s">
        <v>2169</v>
      </c>
    </row>
    <row r="1577" spans="1:5">
      <c r="A1577" s="2831">
        <v>689</v>
      </c>
      <c r="B1577" s="2831" t="s">
        <v>2111</v>
      </c>
      <c r="C1577" s="2831">
        <v>102</v>
      </c>
      <c r="D1577" s="2831" t="s">
        <v>2550</v>
      </c>
      <c r="E1577" s="2831" t="s">
        <v>2169</v>
      </c>
    </row>
    <row r="1578" spans="1:5">
      <c r="A1578" s="2831">
        <v>689</v>
      </c>
      <c r="B1578" s="2831" t="s">
        <v>2111</v>
      </c>
      <c r="C1578" s="2831">
        <v>183</v>
      </c>
      <c r="D1578" s="2831" t="s">
        <v>3571</v>
      </c>
      <c r="E1578" s="2831" t="s">
        <v>2169</v>
      </c>
    </row>
    <row r="1579" spans="1:5">
      <c r="A1579" s="2831">
        <v>689</v>
      </c>
      <c r="B1579" s="2831" t="s">
        <v>2111</v>
      </c>
      <c r="C1579" s="2831">
        <v>101</v>
      </c>
      <c r="D1579" s="2831" t="s">
        <v>3779</v>
      </c>
      <c r="E1579" s="2831" t="s">
        <v>2169</v>
      </c>
    </row>
    <row r="1580" spans="1:5">
      <c r="A1580" s="2831">
        <v>689</v>
      </c>
      <c r="B1580" s="2831" t="s">
        <v>2111</v>
      </c>
      <c r="C1580" s="2831">
        <v>195</v>
      </c>
      <c r="D1580" s="2831" t="s">
        <v>3780</v>
      </c>
      <c r="E1580" s="2831" t="s">
        <v>2169</v>
      </c>
    </row>
    <row r="1581" spans="1:5">
      <c r="A1581" s="2831">
        <v>689</v>
      </c>
      <c r="B1581" s="2831" t="s">
        <v>2111</v>
      </c>
      <c r="C1581" s="2831">
        <v>194</v>
      </c>
      <c r="D1581" s="2831" t="s">
        <v>3781</v>
      </c>
      <c r="E1581" s="2831" t="s">
        <v>2174</v>
      </c>
    </row>
    <row r="1582" spans="1:5">
      <c r="A1582" s="2831">
        <v>689</v>
      </c>
      <c r="B1582" s="2831" t="s">
        <v>2111</v>
      </c>
      <c r="C1582" s="2831">
        <v>100</v>
      </c>
      <c r="D1582" s="2831" t="s">
        <v>3782</v>
      </c>
      <c r="E1582" s="2831" t="s">
        <v>2166</v>
      </c>
    </row>
    <row r="1583" spans="1:5">
      <c r="A1583" s="2831">
        <v>690</v>
      </c>
      <c r="B1583" s="2831" t="s">
        <v>3783</v>
      </c>
      <c r="C1583" s="2831">
        <v>176</v>
      </c>
      <c r="D1583" s="2831" t="s">
        <v>3784</v>
      </c>
      <c r="E1583" s="2831" t="s">
        <v>2166</v>
      </c>
    </row>
    <row r="1584" spans="1:5">
      <c r="A1584" s="2831">
        <v>690</v>
      </c>
      <c r="B1584" s="2831" t="s">
        <v>3783</v>
      </c>
      <c r="C1584" s="2831">
        <v>110</v>
      </c>
      <c r="D1584" s="2831" t="s">
        <v>3785</v>
      </c>
      <c r="E1584" s="2831" t="s">
        <v>2174</v>
      </c>
    </row>
    <row r="1585" spans="1:5">
      <c r="A1585" s="2831">
        <v>690</v>
      </c>
      <c r="B1585" s="2831" t="s">
        <v>3783</v>
      </c>
      <c r="C1585" s="2831">
        <v>101</v>
      </c>
      <c r="D1585" s="2831" t="s">
        <v>3786</v>
      </c>
      <c r="E1585" s="2831" t="s">
        <v>2166</v>
      </c>
    </row>
    <row r="1586" spans="1:5">
      <c r="A1586" s="2831">
        <v>691</v>
      </c>
      <c r="B1586" s="2831" t="s">
        <v>3787</v>
      </c>
      <c r="C1586" s="2831">
        <v>205</v>
      </c>
      <c r="D1586" s="2831" t="s">
        <v>3788</v>
      </c>
      <c r="E1586" s="2831" t="s">
        <v>2174</v>
      </c>
    </row>
    <row r="1587" spans="1:5">
      <c r="A1587" s="2831">
        <v>691</v>
      </c>
      <c r="B1587" s="2831" t="s">
        <v>3787</v>
      </c>
      <c r="C1587" s="2831">
        <v>288</v>
      </c>
      <c r="D1587" s="2831" t="s">
        <v>3789</v>
      </c>
      <c r="E1587" s="2831" t="s">
        <v>2169</v>
      </c>
    </row>
    <row r="1588" spans="1:5">
      <c r="A1588" s="2831">
        <v>691</v>
      </c>
      <c r="B1588" s="2831" t="s">
        <v>3787</v>
      </c>
      <c r="C1588" s="2831">
        <v>289</v>
      </c>
      <c r="D1588" s="2831" t="s">
        <v>3790</v>
      </c>
      <c r="E1588" s="2831" t="s">
        <v>2169</v>
      </c>
    </row>
    <row r="1589" spans="1:5">
      <c r="A1589" s="2831">
        <v>691</v>
      </c>
      <c r="B1589" s="2831" t="s">
        <v>3787</v>
      </c>
      <c r="C1589" s="2831">
        <v>100</v>
      </c>
      <c r="D1589" s="2831" t="s">
        <v>3791</v>
      </c>
      <c r="E1589" s="2831" t="s">
        <v>2169</v>
      </c>
    </row>
    <row r="1590" spans="1:5">
      <c r="A1590" s="2831">
        <v>692</v>
      </c>
      <c r="B1590" s="2831" t="s">
        <v>3792</v>
      </c>
      <c r="C1590" s="2831">
        <v>1050</v>
      </c>
      <c r="D1590" s="2831" t="s">
        <v>3793</v>
      </c>
      <c r="E1590" s="2831" t="s">
        <v>2174</v>
      </c>
    </row>
    <row r="1591" spans="1:5">
      <c r="A1591" s="2831">
        <v>692</v>
      </c>
      <c r="B1591" s="2831" t="s">
        <v>3792</v>
      </c>
      <c r="C1591" s="2831">
        <v>100</v>
      </c>
      <c r="D1591" s="2831" t="s">
        <v>3794</v>
      </c>
      <c r="E1591" s="2831" t="s">
        <v>2174</v>
      </c>
    </row>
    <row r="1592" spans="1:5">
      <c r="A1592" s="2831">
        <v>692</v>
      </c>
      <c r="B1592" s="2831" t="s">
        <v>3792</v>
      </c>
      <c r="C1592" s="2831">
        <v>195</v>
      </c>
      <c r="D1592" s="2831" t="s">
        <v>3795</v>
      </c>
      <c r="E1592" s="2831" t="s">
        <v>2174</v>
      </c>
    </row>
    <row r="1593" spans="1:5">
      <c r="A1593" s="2831">
        <v>692</v>
      </c>
      <c r="B1593" s="2831" t="s">
        <v>3792</v>
      </c>
      <c r="C1593" s="2831">
        <v>3050</v>
      </c>
      <c r="D1593" s="2831" t="s">
        <v>3796</v>
      </c>
      <c r="E1593" s="2831" t="s">
        <v>2174</v>
      </c>
    </row>
    <row r="1594" spans="1:5">
      <c r="A1594" s="2831">
        <v>692</v>
      </c>
      <c r="B1594" s="2831" t="s">
        <v>3792</v>
      </c>
      <c r="C1594" s="2831">
        <v>4050</v>
      </c>
      <c r="D1594" s="2831" t="s">
        <v>3051</v>
      </c>
      <c r="E1594" s="2831" t="s">
        <v>2166</v>
      </c>
    </row>
    <row r="1595" spans="1:5">
      <c r="A1595" s="2831">
        <v>692</v>
      </c>
      <c r="B1595" s="2831" t="s">
        <v>3792</v>
      </c>
      <c r="C1595" s="2831">
        <v>5050</v>
      </c>
      <c r="D1595" s="2831" t="s">
        <v>3797</v>
      </c>
      <c r="E1595" s="2831" t="s">
        <v>2174</v>
      </c>
    </row>
    <row r="1596" spans="1:5">
      <c r="A1596" s="2831">
        <v>692</v>
      </c>
      <c r="B1596" s="2831" t="s">
        <v>3792</v>
      </c>
      <c r="C1596" s="2831">
        <v>1052</v>
      </c>
      <c r="D1596" s="2831" t="s">
        <v>3798</v>
      </c>
      <c r="E1596" s="2831" t="s">
        <v>2174</v>
      </c>
    </row>
    <row r="1597" spans="1:5">
      <c r="A1597" s="2831">
        <v>692</v>
      </c>
      <c r="B1597" s="2831" t="s">
        <v>3792</v>
      </c>
      <c r="C1597" s="2831">
        <v>194</v>
      </c>
      <c r="D1597" s="2831" t="s">
        <v>3799</v>
      </c>
      <c r="E1597" s="2831" t="s">
        <v>2174</v>
      </c>
    </row>
    <row r="1598" spans="1:5">
      <c r="A1598" s="2831">
        <v>692</v>
      </c>
      <c r="B1598" s="2831" t="s">
        <v>3792</v>
      </c>
      <c r="C1598" s="2831">
        <v>211</v>
      </c>
      <c r="D1598" s="2831" t="s">
        <v>3800</v>
      </c>
      <c r="E1598" s="2831" t="s">
        <v>2169</v>
      </c>
    </row>
    <row r="1599" spans="1:5">
      <c r="A1599" s="2831">
        <v>692</v>
      </c>
      <c r="B1599" s="2831" t="s">
        <v>3792</v>
      </c>
      <c r="C1599" s="2831">
        <v>112</v>
      </c>
      <c r="D1599" s="2831" t="s">
        <v>3801</v>
      </c>
      <c r="E1599" s="2831" t="s">
        <v>2174</v>
      </c>
    </row>
    <row r="1600" spans="1:5">
      <c r="A1600" s="2831">
        <v>692</v>
      </c>
      <c r="B1600" s="2831" t="s">
        <v>3792</v>
      </c>
      <c r="C1600" s="2831">
        <v>111</v>
      </c>
      <c r="D1600" s="2831" t="s">
        <v>2796</v>
      </c>
      <c r="E1600" s="2831" t="s">
        <v>2174</v>
      </c>
    </row>
    <row r="1601" spans="1:5">
      <c r="A1601" s="2831">
        <v>693</v>
      </c>
      <c r="B1601" s="2831" t="s">
        <v>3802</v>
      </c>
      <c r="C1601" s="2831">
        <v>103</v>
      </c>
      <c r="D1601" s="2831" t="s">
        <v>3803</v>
      </c>
      <c r="E1601" s="2831" t="s">
        <v>2166</v>
      </c>
    </row>
    <row r="1602" spans="1:5">
      <c r="A1602" s="2831">
        <v>693</v>
      </c>
      <c r="B1602" s="2831" t="s">
        <v>3802</v>
      </c>
      <c r="C1602" s="2831">
        <v>2050</v>
      </c>
      <c r="D1602" s="2831" t="s">
        <v>3804</v>
      </c>
      <c r="E1602" s="2831" t="s">
        <v>2169</v>
      </c>
    </row>
    <row r="1603" spans="1:5">
      <c r="A1603" s="2831">
        <v>693</v>
      </c>
      <c r="B1603" s="2831" t="s">
        <v>3802</v>
      </c>
      <c r="C1603" s="2831">
        <v>191</v>
      </c>
      <c r="D1603" s="2831" t="s">
        <v>3805</v>
      </c>
      <c r="E1603" s="2831" t="s">
        <v>2166</v>
      </c>
    </row>
    <row r="1604" spans="1:5">
      <c r="A1604" s="2831">
        <v>693</v>
      </c>
      <c r="B1604" s="2831" t="s">
        <v>3802</v>
      </c>
      <c r="C1604" s="2831">
        <v>101</v>
      </c>
      <c r="D1604" s="2831" t="s">
        <v>3806</v>
      </c>
      <c r="E1604" s="2831" t="s">
        <v>2166</v>
      </c>
    </row>
    <row r="1605" spans="1:5">
      <c r="A1605" s="2831">
        <v>693</v>
      </c>
      <c r="B1605" s="2831" t="s">
        <v>3802</v>
      </c>
      <c r="C1605" s="2831">
        <v>1050</v>
      </c>
      <c r="D1605" s="2831" t="s">
        <v>3807</v>
      </c>
      <c r="E1605" s="2831" t="s">
        <v>2169</v>
      </c>
    </row>
    <row r="1606" spans="1:5">
      <c r="A1606" s="2831">
        <v>694</v>
      </c>
      <c r="B1606" s="2831" t="s">
        <v>3808</v>
      </c>
      <c r="C1606" s="2831">
        <v>198</v>
      </c>
      <c r="D1606" s="2831" t="s">
        <v>3809</v>
      </c>
      <c r="E1606" s="2831" t="s">
        <v>2166</v>
      </c>
    </row>
    <row r="1607" spans="1:5">
      <c r="A1607" s="2831">
        <v>694</v>
      </c>
      <c r="B1607" s="2831" t="s">
        <v>3808</v>
      </c>
      <c r="C1607" s="2831">
        <v>2060</v>
      </c>
      <c r="D1607" s="2831" t="s">
        <v>3810</v>
      </c>
      <c r="E1607" s="2831" t="s">
        <v>2166</v>
      </c>
    </row>
    <row r="1608" spans="1:5">
      <c r="A1608" s="2831">
        <v>694</v>
      </c>
      <c r="B1608" s="2831" t="s">
        <v>3808</v>
      </c>
      <c r="C1608" s="2831">
        <v>199</v>
      </c>
      <c r="D1608" s="2831" t="s">
        <v>3811</v>
      </c>
      <c r="E1608" s="2831" t="s">
        <v>2169</v>
      </c>
    </row>
    <row r="1609" spans="1:5">
      <c r="A1609" s="2831">
        <v>695</v>
      </c>
      <c r="B1609" s="2831" t="s">
        <v>3812</v>
      </c>
      <c r="C1609" s="2831">
        <v>1050</v>
      </c>
      <c r="D1609" s="2831" t="s">
        <v>3813</v>
      </c>
      <c r="E1609" s="2831" t="s">
        <v>2169</v>
      </c>
    </row>
    <row r="1610" spans="1:5">
      <c r="A1610" s="2831">
        <v>695</v>
      </c>
      <c r="B1610" s="2831" t="s">
        <v>3812</v>
      </c>
      <c r="C1610" s="2831">
        <v>2050</v>
      </c>
      <c r="D1610" s="2831" t="s">
        <v>3814</v>
      </c>
      <c r="E1610" s="2831" t="s">
        <v>2174</v>
      </c>
    </row>
    <row r="1611" spans="1:5">
      <c r="A1611" s="2831">
        <v>695</v>
      </c>
      <c r="B1611" s="2831" t="s">
        <v>3812</v>
      </c>
      <c r="C1611" s="2831">
        <v>195</v>
      </c>
      <c r="D1611" s="2831" t="s">
        <v>3815</v>
      </c>
      <c r="E1611" s="2831" t="s">
        <v>2166</v>
      </c>
    </row>
    <row r="1612" spans="1:5">
      <c r="A1612" s="2831">
        <v>695</v>
      </c>
      <c r="B1612" s="2831" t="s">
        <v>3812</v>
      </c>
      <c r="C1612" s="2831">
        <v>101</v>
      </c>
      <c r="D1612" s="2831" t="s">
        <v>3816</v>
      </c>
      <c r="E1612" s="2831" t="s">
        <v>2169</v>
      </c>
    </row>
    <row r="1613" spans="1:5">
      <c r="A1613" s="2831">
        <v>695</v>
      </c>
      <c r="B1613" s="2831" t="s">
        <v>3812</v>
      </c>
      <c r="C1613" s="2831">
        <v>4050</v>
      </c>
      <c r="D1613" s="2831" t="s">
        <v>3817</v>
      </c>
      <c r="E1613" s="2831" t="s">
        <v>2169</v>
      </c>
    </row>
    <row r="1614" spans="1:5">
      <c r="A1614" s="2831">
        <v>695</v>
      </c>
      <c r="B1614" s="2831" t="s">
        <v>3812</v>
      </c>
      <c r="C1614" s="2831">
        <v>5050</v>
      </c>
      <c r="D1614" s="2831" t="s">
        <v>3818</v>
      </c>
      <c r="E1614" s="2831" t="s">
        <v>2166</v>
      </c>
    </row>
    <row r="1615" spans="1:5">
      <c r="A1615" s="2831">
        <v>695</v>
      </c>
      <c r="B1615" s="2831" t="s">
        <v>3812</v>
      </c>
      <c r="C1615" s="2831">
        <v>1052</v>
      </c>
      <c r="D1615" s="2831" t="s">
        <v>3819</v>
      </c>
      <c r="E1615" s="2831" t="s">
        <v>2169</v>
      </c>
    </row>
    <row r="1616" spans="1:5">
      <c r="A1616" s="2831">
        <v>781</v>
      </c>
      <c r="B1616" s="2831" t="s">
        <v>3820</v>
      </c>
      <c r="C1616" s="2831">
        <v>188</v>
      </c>
      <c r="D1616" s="2831" t="s">
        <v>3821</v>
      </c>
      <c r="E1616" s="2831" t="s">
        <v>2166</v>
      </c>
    </row>
    <row r="1617" spans="1:5">
      <c r="A1617" s="2831">
        <v>781</v>
      </c>
      <c r="B1617" s="2831" t="s">
        <v>3820</v>
      </c>
      <c r="C1617" s="2831">
        <v>194</v>
      </c>
      <c r="D1617" s="2831" t="s">
        <v>3822</v>
      </c>
      <c r="E1617" s="2831" t="s">
        <v>2174</v>
      </c>
    </row>
    <row r="1618" spans="1:5">
      <c r="A1618" s="2831">
        <v>781</v>
      </c>
      <c r="B1618" s="2831" t="s">
        <v>3820</v>
      </c>
      <c r="C1618" s="2831">
        <v>3050</v>
      </c>
      <c r="D1618" s="2831" t="s">
        <v>3823</v>
      </c>
      <c r="E1618" s="2831" t="s">
        <v>2174</v>
      </c>
    </row>
    <row r="1619" spans="1:5">
      <c r="A1619" s="2831">
        <v>781</v>
      </c>
      <c r="B1619" s="2831" t="s">
        <v>3820</v>
      </c>
      <c r="C1619" s="2831">
        <v>294</v>
      </c>
      <c r="D1619" s="2831" t="s">
        <v>3824</v>
      </c>
      <c r="E1619" s="2831" t="s">
        <v>2174</v>
      </c>
    </row>
    <row r="1620" spans="1:5">
      <c r="A1620" s="2831">
        <v>781</v>
      </c>
      <c r="B1620" s="2831" t="s">
        <v>3820</v>
      </c>
      <c r="C1620" s="2831">
        <v>106</v>
      </c>
      <c r="D1620" s="2831" t="s">
        <v>3825</v>
      </c>
      <c r="E1620" s="2831" t="s">
        <v>2166</v>
      </c>
    </row>
    <row r="1621" spans="1:5">
      <c r="A1621" s="2831">
        <v>781</v>
      </c>
      <c r="B1621" s="2831" t="s">
        <v>3820</v>
      </c>
      <c r="C1621" s="2831">
        <v>101</v>
      </c>
      <c r="D1621" s="2831" t="s">
        <v>3826</v>
      </c>
      <c r="E1621" s="2831" t="s">
        <v>2174</v>
      </c>
    </row>
    <row r="1622" spans="1:5">
      <c r="A1622" s="2831">
        <v>781</v>
      </c>
      <c r="B1622" s="2831" t="s">
        <v>3820</v>
      </c>
      <c r="C1622" s="2831">
        <v>203</v>
      </c>
      <c r="D1622" s="2831" t="s">
        <v>3827</v>
      </c>
      <c r="E1622" s="2831" t="s">
        <v>2174</v>
      </c>
    </row>
    <row r="1623" spans="1:5">
      <c r="A1623" s="2831">
        <v>781</v>
      </c>
      <c r="B1623" s="2831" t="s">
        <v>3820</v>
      </c>
      <c r="C1623" s="2831">
        <v>303</v>
      </c>
      <c r="D1623" s="2831" t="s">
        <v>3828</v>
      </c>
      <c r="E1623" s="2831" t="s">
        <v>2174</v>
      </c>
    </row>
    <row r="1624" spans="1:5">
      <c r="A1624" s="2831">
        <v>781</v>
      </c>
      <c r="B1624" s="2831" t="s">
        <v>3820</v>
      </c>
      <c r="C1624" s="2831">
        <v>2052</v>
      </c>
      <c r="D1624" s="2831" t="s">
        <v>3829</v>
      </c>
      <c r="E1624" s="2831" t="s">
        <v>2174</v>
      </c>
    </row>
    <row r="1625" spans="1:5">
      <c r="A1625" s="2831">
        <v>781</v>
      </c>
      <c r="B1625" s="2831" t="s">
        <v>3820</v>
      </c>
      <c r="C1625" s="2831">
        <v>104</v>
      </c>
      <c r="D1625" s="2831" t="s">
        <v>3830</v>
      </c>
      <c r="E1625" s="2831" t="s">
        <v>2174</v>
      </c>
    </row>
    <row r="1626" spans="1:5">
      <c r="A1626" s="2831">
        <v>781</v>
      </c>
      <c r="B1626" s="2831" t="s">
        <v>3820</v>
      </c>
      <c r="C1626" s="2831">
        <v>5052</v>
      </c>
      <c r="D1626" s="2831" t="s">
        <v>2511</v>
      </c>
      <c r="E1626" s="2831" t="s">
        <v>2166</v>
      </c>
    </row>
    <row r="1627" spans="1:5">
      <c r="A1627" s="2831">
        <v>696</v>
      </c>
      <c r="B1627" s="2831" t="s">
        <v>3831</v>
      </c>
      <c r="C1627" s="2831">
        <v>197</v>
      </c>
      <c r="D1627" s="2831" t="s">
        <v>3832</v>
      </c>
      <c r="E1627" s="2831" t="s">
        <v>2166</v>
      </c>
    </row>
    <row r="1628" spans="1:5">
      <c r="A1628" s="2831">
        <v>696</v>
      </c>
      <c r="B1628" s="2831" t="s">
        <v>3831</v>
      </c>
      <c r="C1628" s="2831">
        <v>275</v>
      </c>
      <c r="D1628" s="2831" t="s">
        <v>3833</v>
      </c>
      <c r="E1628" s="2831" t="s">
        <v>2169</v>
      </c>
    </row>
    <row r="1629" spans="1:5">
      <c r="A1629" s="2831">
        <v>697</v>
      </c>
      <c r="B1629" s="2831" t="s">
        <v>3834</v>
      </c>
      <c r="C1629" s="2831">
        <v>191</v>
      </c>
      <c r="D1629" s="2831" t="s">
        <v>3835</v>
      </c>
      <c r="E1629" s="2831" t="s">
        <v>2174</v>
      </c>
    </row>
    <row r="1630" spans="1:5">
      <c r="A1630" s="2831">
        <v>697</v>
      </c>
      <c r="B1630" s="2831" t="s">
        <v>3834</v>
      </c>
      <c r="C1630" s="2831">
        <v>179</v>
      </c>
      <c r="D1630" s="2831" t="s">
        <v>3836</v>
      </c>
      <c r="E1630" s="2831" t="s">
        <v>2174</v>
      </c>
    </row>
    <row r="1631" spans="1:5">
      <c r="A1631" s="2831">
        <v>697</v>
      </c>
      <c r="B1631" s="2831" t="s">
        <v>3834</v>
      </c>
      <c r="C1631" s="2831">
        <v>113</v>
      </c>
      <c r="D1631" s="2831" t="s">
        <v>3837</v>
      </c>
      <c r="E1631" s="2831" t="s">
        <v>2166</v>
      </c>
    </row>
    <row r="1632" spans="1:5">
      <c r="A1632" s="2831">
        <v>697</v>
      </c>
      <c r="B1632" s="2831" t="s">
        <v>3834</v>
      </c>
      <c r="C1632" s="2831">
        <v>4050</v>
      </c>
      <c r="D1632" s="2831" t="s">
        <v>3838</v>
      </c>
      <c r="E1632" s="2831" t="s">
        <v>2174</v>
      </c>
    </row>
    <row r="1633" spans="1:5">
      <c r="A1633" s="2831">
        <v>697</v>
      </c>
      <c r="B1633" s="2831" t="s">
        <v>3834</v>
      </c>
      <c r="C1633" s="2831">
        <v>192</v>
      </c>
      <c r="D1633" s="2831" t="s">
        <v>3839</v>
      </c>
      <c r="E1633" s="2831" t="s">
        <v>2166</v>
      </c>
    </row>
    <row r="1634" spans="1:5">
      <c r="A1634" s="2831">
        <v>697</v>
      </c>
      <c r="B1634" s="2831" t="s">
        <v>3834</v>
      </c>
      <c r="C1634" s="2831">
        <v>112</v>
      </c>
      <c r="D1634" s="2831" t="s">
        <v>3840</v>
      </c>
      <c r="E1634" s="2831" t="s">
        <v>2174</v>
      </c>
    </row>
    <row r="1635" spans="1:5">
      <c r="A1635" s="2831">
        <v>698</v>
      </c>
      <c r="B1635" s="2831" t="s">
        <v>3841</v>
      </c>
      <c r="C1635" s="2831">
        <v>104</v>
      </c>
      <c r="D1635" s="2831" t="s">
        <v>3842</v>
      </c>
      <c r="E1635" s="2831" t="s">
        <v>2169</v>
      </c>
    </row>
    <row r="1636" spans="1:5">
      <c r="A1636" s="2831">
        <v>698</v>
      </c>
      <c r="B1636" s="2831" t="s">
        <v>3841</v>
      </c>
      <c r="C1636" s="2831">
        <v>101</v>
      </c>
      <c r="D1636" s="2831" t="s">
        <v>3843</v>
      </c>
      <c r="E1636" s="2831" t="s">
        <v>2166</v>
      </c>
    </row>
    <row r="1637" spans="1:5">
      <c r="A1637" s="2831">
        <v>698</v>
      </c>
      <c r="B1637" s="2831" t="s">
        <v>3841</v>
      </c>
      <c r="C1637" s="2831">
        <v>205</v>
      </c>
      <c r="D1637" s="2831" t="s">
        <v>3844</v>
      </c>
      <c r="E1637" s="2831" t="s">
        <v>2169</v>
      </c>
    </row>
    <row r="1638" spans="1:5">
      <c r="A1638" s="2831">
        <v>699</v>
      </c>
      <c r="B1638" s="2831" t="s">
        <v>3845</v>
      </c>
      <c r="C1638" s="2831">
        <v>300</v>
      </c>
      <c r="D1638" s="2831" t="s">
        <v>3846</v>
      </c>
      <c r="E1638" s="2831" t="s">
        <v>2169</v>
      </c>
    </row>
    <row r="1639" spans="1:5">
      <c r="A1639" s="2831">
        <v>699</v>
      </c>
      <c r="B1639" s="2831" t="s">
        <v>3845</v>
      </c>
      <c r="C1639" s="2831">
        <v>401</v>
      </c>
      <c r="D1639" s="2831" t="s">
        <v>3847</v>
      </c>
      <c r="E1639" s="2831" t="s">
        <v>2174</v>
      </c>
    </row>
    <row r="1640" spans="1:5">
      <c r="A1640" s="2831">
        <v>699</v>
      </c>
      <c r="B1640" s="2831" t="s">
        <v>3845</v>
      </c>
      <c r="C1640" s="2831">
        <v>4050</v>
      </c>
      <c r="D1640" s="2831" t="s">
        <v>3848</v>
      </c>
      <c r="E1640" s="2831" t="s">
        <v>2169</v>
      </c>
    </row>
    <row r="1641" spans="1:5">
      <c r="A1641" s="2831">
        <v>699</v>
      </c>
      <c r="B1641" s="2831" t="s">
        <v>3845</v>
      </c>
      <c r="C1641" s="2831">
        <v>5050</v>
      </c>
      <c r="D1641" s="2831" t="s">
        <v>3849</v>
      </c>
      <c r="E1641" s="2831" t="s">
        <v>2169</v>
      </c>
    </row>
    <row r="1642" spans="1:5">
      <c r="A1642" s="2831">
        <v>699</v>
      </c>
      <c r="B1642" s="2831" t="s">
        <v>3845</v>
      </c>
      <c r="C1642" s="2831">
        <v>200</v>
      </c>
      <c r="D1642" s="2831" t="s">
        <v>2748</v>
      </c>
      <c r="E1642" s="2831" t="s">
        <v>2166</v>
      </c>
    </row>
    <row r="1643" spans="1:5">
      <c r="A1643" s="2831">
        <v>699</v>
      </c>
      <c r="B1643" s="2831" t="s">
        <v>3845</v>
      </c>
      <c r="C1643" s="2831">
        <v>100</v>
      </c>
      <c r="D1643" s="2831" t="s">
        <v>3850</v>
      </c>
      <c r="E1643" s="2831" t="s">
        <v>2166</v>
      </c>
    </row>
    <row r="1644" spans="1:5">
      <c r="A1644" s="2831">
        <v>700</v>
      </c>
      <c r="B1644" s="2831" t="s">
        <v>3851</v>
      </c>
      <c r="C1644" s="2831">
        <v>110</v>
      </c>
      <c r="D1644" s="2831" t="s">
        <v>3852</v>
      </c>
      <c r="E1644" s="2831" t="s">
        <v>2166</v>
      </c>
    </row>
    <row r="1645" spans="1:5">
      <c r="A1645" s="2831">
        <v>700</v>
      </c>
      <c r="B1645" s="2831" t="s">
        <v>3851</v>
      </c>
      <c r="C1645" s="2831">
        <v>210</v>
      </c>
      <c r="D1645" s="2831" t="s">
        <v>3853</v>
      </c>
      <c r="E1645" s="2831" t="s">
        <v>2169</v>
      </c>
    </row>
    <row r="1646" spans="1:5">
      <c r="A1646" s="2831">
        <v>700</v>
      </c>
      <c r="B1646" s="2831" t="s">
        <v>3851</v>
      </c>
      <c r="C1646" s="2831">
        <v>310</v>
      </c>
      <c r="D1646" s="2831" t="s">
        <v>3854</v>
      </c>
      <c r="E1646" s="2831" t="s">
        <v>2174</v>
      </c>
    </row>
    <row r="1647" spans="1:5">
      <c r="A1647" s="2831">
        <v>701</v>
      </c>
      <c r="B1647" s="2831" t="s">
        <v>3855</v>
      </c>
      <c r="C1647" s="2831">
        <v>111</v>
      </c>
      <c r="D1647" s="2831" t="s">
        <v>3856</v>
      </c>
      <c r="E1647" s="2831" t="s">
        <v>2174</v>
      </c>
    </row>
    <row r="1648" spans="1:5">
      <c r="A1648" s="2831">
        <v>701</v>
      </c>
      <c r="B1648" s="2831" t="s">
        <v>3855</v>
      </c>
      <c r="C1648" s="2831">
        <v>282</v>
      </c>
      <c r="D1648" s="2831" t="s">
        <v>3857</v>
      </c>
      <c r="E1648" s="2831" t="s">
        <v>2166</v>
      </c>
    </row>
    <row r="1649" spans="1:5">
      <c r="A1649" s="2831">
        <v>701</v>
      </c>
      <c r="B1649" s="2831" t="s">
        <v>3855</v>
      </c>
      <c r="C1649" s="2831">
        <v>197</v>
      </c>
      <c r="D1649" s="2831" t="s">
        <v>3858</v>
      </c>
      <c r="E1649" s="2831" t="s">
        <v>2166</v>
      </c>
    </row>
    <row r="1650" spans="1:5">
      <c r="A1650" s="2831">
        <v>701</v>
      </c>
      <c r="B1650" s="2831" t="s">
        <v>3855</v>
      </c>
      <c r="C1650" s="2831">
        <v>198</v>
      </c>
      <c r="D1650" s="2831" t="s">
        <v>3859</v>
      </c>
      <c r="E1650" s="2831" t="s">
        <v>2166</v>
      </c>
    </row>
    <row r="1651" spans="1:5">
      <c r="A1651" s="2831">
        <v>702</v>
      </c>
      <c r="B1651" s="2831" t="s">
        <v>3860</v>
      </c>
      <c r="C1651" s="2831">
        <v>111</v>
      </c>
      <c r="D1651" s="2831" t="s">
        <v>3861</v>
      </c>
      <c r="E1651" s="2831" t="s">
        <v>2169</v>
      </c>
    </row>
    <row r="1652" spans="1:5">
      <c r="A1652" s="2831">
        <v>702</v>
      </c>
      <c r="B1652" s="2831" t="s">
        <v>3860</v>
      </c>
      <c r="C1652" s="2831">
        <v>184</v>
      </c>
      <c r="D1652" s="2831" t="s">
        <v>3862</v>
      </c>
      <c r="E1652" s="2831" t="s">
        <v>2174</v>
      </c>
    </row>
    <row r="1653" spans="1:5">
      <c r="A1653" s="2831">
        <v>702</v>
      </c>
      <c r="B1653" s="2831" t="s">
        <v>3860</v>
      </c>
      <c r="C1653" s="2831">
        <v>113</v>
      </c>
      <c r="D1653" s="2831" t="s">
        <v>3863</v>
      </c>
      <c r="E1653" s="2831" t="s">
        <v>2174</v>
      </c>
    </row>
    <row r="1654" spans="1:5">
      <c r="A1654" s="2831">
        <v>702</v>
      </c>
      <c r="B1654" s="2831" t="s">
        <v>3860</v>
      </c>
      <c r="C1654" s="2831">
        <v>205</v>
      </c>
      <c r="D1654" s="2831" t="s">
        <v>3864</v>
      </c>
      <c r="E1654" s="2831" t="s">
        <v>2174</v>
      </c>
    </row>
    <row r="1655" spans="1:5">
      <c r="A1655" s="2831">
        <v>702</v>
      </c>
      <c r="B1655" s="2831" t="s">
        <v>3860</v>
      </c>
      <c r="C1655" s="2831">
        <v>105</v>
      </c>
      <c r="D1655" s="2831" t="s">
        <v>3865</v>
      </c>
      <c r="E1655" s="2831" t="s">
        <v>2174</v>
      </c>
    </row>
    <row r="1656" spans="1:5">
      <c r="A1656" s="2831">
        <v>703</v>
      </c>
      <c r="B1656" s="2831" t="s">
        <v>3866</v>
      </c>
      <c r="C1656" s="2831">
        <v>107</v>
      </c>
      <c r="D1656" s="2831" t="s">
        <v>3867</v>
      </c>
      <c r="E1656" s="2831" t="s">
        <v>2166</v>
      </c>
    </row>
    <row r="1657" spans="1:5">
      <c r="A1657" s="2831">
        <v>703</v>
      </c>
      <c r="B1657" s="2831" t="s">
        <v>3866</v>
      </c>
      <c r="C1657" s="2831">
        <v>201</v>
      </c>
      <c r="D1657" s="2831" t="s">
        <v>3868</v>
      </c>
      <c r="E1657" s="2831" t="s">
        <v>2169</v>
      </c>
    </row>
    <row r="1658" spans="1:5">
      <c r="A1658" s="2831">
        <v>703</v>
      </c>
      <c r="B1658" s="2831" t="s">
        <v>3866</v>
      </c>
      <c r="C1658" s="2831">
        <v>101</v>
      </c>
      <c r="D1658" s="2831" t="s">
        <v>3869</v>
      </c>
      <c r="E1658" s="2831" t="s">
        <v>2169</v>
      </c>
    </row>
    <row r="1659" spans="1:5">
      <c r="A1659" s="2831">
        <v>704</v>
      </c>
      <c r="B1659" s="2831" t="s">
        <v>3870</v>
      </c>
      <c r="C1659" s="2831">
        <v>191</v>
      </c>
      <c r="D1659" s="2831" t="s">
        <v>3871</v>
      </c>
      <c r="E1659" s="2831" t="s">
        <v>2166</v>
      </c>
    </row>
    <row r="1660" spans="1:5">
      <c r="A1660" s="2831">
        <v>704</v>
      </c>
      <c r="B1660" s="2831" t="s">
        <v>3870</v>
      </c>
      <c r="C1660" s="2831">
        <v>1050</v>
      </c>
      <c r="D1660" s="2831" t="s">
        <v>3872</v>
      </c>
      <c r="E1660" s="2831" t="s">
        <v>2169</v>
      </c>
    </row>
    <row r="1661" spans="1:5">
      <c r="A1661" s="2831">
        <v>704</v>
      </c>
      <c r="B1661" s="2831" t="s">
        <v>3870</v>
      </c>
      <c r="C1661" s="2831">
        <v>5050</v>
      </c>
      <c r="D1661" s="2831" t="s">
        <v>3873</v>
      </c>
      <c r="E1661" s="2831" t="s">
        <v>2166</v>
      </c>
    </row>
    <row r="1662" spans="1:5">
      <c r="A1662" s="2831">
        <v>704</v>
      </c>
      <c r="B1662" s="2831" t="s">
        <v>3870</v>
      </c>
      <c r="C1662" s="2831">
        <v>3050</v>
      </c>
      <c r="D1662" s="2831" t="s">
        <v>3874</v>
      </c>
      <c r="E1662" s="2831" t="s">
        <v>2166</v>
      </c>
    </row>
    <row r="1663" spans="1:5">
      <c r="A1663" s="2831">
        <v>705</v>
      </c>
      <c r="B1663" s="2831" t="s">
        <v>3875</v>
      </c>
      <c r="C1663" s="2831">
        <v>204</v>
      </c>
      <c r="D1663" s="2831" t="s">
        <v>3876</v>
      </c>
      <c r="E1663" s="2831" t="s">
        <v>2166</v>
      </c>
    </row>
    <row r="1664" spans="1:5">
      <c r="A1664" s="2831">
        <v>705</v>
      </c>
      <c r="B1664" s="2831" t="s">
        <v>3875</v>
      </c>
      <c r="C1664" s="2831">
        <v>1050</v>
      </c>
      <c r="D1664" s="2831" t="s">
        <v>3877</v>
      </c>
      <c r="E1664" s="2831" t="s">
        <v>2174</v>
      </c>
    </row>
    <row r="1665" spans="1:5">
      <c r="A1665" s="2831">
        <v>705</v>
      </c>
      <c r="B1665" s="2831" t="s">
        <v>3875</v>
      </c>
      <c r="C1665" s="2831">
        <v>195</v>
      </c>
      <c r="D1665" s="2831" t="s">
        <v>3878</v>
      </c>
      <c r="E1665" s="2831" t="s">
        <v>2174</v>
      </c>
    </row>
    <row r="1666" spans="1:5">
      <c r="A1666" s="2831">
        <v>705</v>
      </c>
      <c r="B1666" s="2831" t="s">
        <v>3875</v>
      </c>
      <c r="C1666" s="2831">
        <v>198</v>
      </c>
      <c r="D1666" s="2831" t="s">
        <v>3879</v>
      </c>
      <c r="E1666" s="2831" t="s">
        <v>2169</v>
      </c>
    </row>
    <row r="1667" spans="1:5">
      <c r="A1667" s="2831">
        <v>705</v>
      </c>
      <c r="B1667" s="2831" t="s">
        <v>3875</v>
      </c>
      <c r="C1667" s="2831">
        <v>4050</v>
      </c>
      <c r="D1667" s="2831" t="s">
        <v>3880</v>
      </c>
      <c r="E1667" s="2831" t="s">
        <v>2166</v>
      </c>
    </row>
    <row r="1668" spans="1:5">
      <c r="A1668" s="2831">
        <v>705</v>
      </c>
      <c r="B1668" s="2831" t="s">
        <v>3875</v>
      </c>
      <c r="C1668" s="2831">
        <v>190</v>
      </c>
      <c r="D1668" s="2831" t="s">
        <v>3881</v>
      </c>
      <c r="E1668" s="2831" t="s">
        <v>2166</v>
      </c>
    </row>
    <row r="1669" spans="1:5">
      <c r="A1669" s="2831">
        <v>705</v>
      </c>
      <c r="B1669" s="2831" t="s">
        <v>3875</v>
      </c>
      <c r="C1669" s="2831">
        <v>112</v>
      </c>
      <c r="D1669" s="2831" t="s">
        <v>3882</v>
      </c>
      <c r="E1669" s="2831" t="s">
        <v>2166</v>
      </c>
    </row>
    <row r="1670" spans="1:5">
      <c r="A1670" s="2831">
        <v>705</v>
      </c>
      <c r="B1670" s="2831" t="s">
        <v>3875</v>
      </c>
      <c r="C1670" s="2831">
        <v>5050</v>
      </c>
      <c r="D1670" s="2831" t="s">
        <v>3883</v>
      </c>
      <c r="E1670" s="2831" t="s">
        <v>2174</v>
      </c>
    </row>
    <row r="1671" spans="1:5">
      <c r="A1671" s="2831">
        <v>705</v>
      </c>
      <c r="B1671" s="2831" t="s">
        <v>3875</v>
      </c>
      <c r="C1671" s="2831">
        <v>108</v>
      </c>
      <c r="D1671" s="2831" t="s">
        <v>3884</v>
      </c>
      <c r="E1671" s="2831" t="s">
        <v>2166</v>
      </c>
    </row>
    <row r="1672" spans="1:5">
      <c r="A1672" s="2831">
        <v>705</v>
      </c>
      <c r="B1672" s="2831" t="s">
        <v>3875</v>
      </c>
      <c r="C1672" s="2831">
        <v>1052</v>
      </c>
      <c r="D1672" s="2831" t="s">
        <v>3885</v>
      </c>
      <c r="E1672" s="2831" t="s">
        <v>2166</v>
      </c>
    </row>
    <row r="1673" spans="1:5">
      <c r="A1673" s="2831">
        <v>705</v>
      </c>
      <c r="B1673" s="2831" t="s">
        <v>3875</v>
      </c>
      <c r="C1673" s="2831">
        <v>104</v>
      </c>
      <c r="D1673" s="2831" t="s">
        <v>3886</v>
      </c>
      <c r="E1673" s="2831" t="s">
        <v>2166</v>
      </c>
    </row>
    <row r="1674" spans="1:5">
      <c r="A1674" s="2831">
        <v>706</v>
      </c>
      <c r="B1674" s="2831" t="s">
        <v>3887</v>
      </c>
      <c r="C1674" s="2831">
        <v>115</v>
      </c>
      <c r="D1674" s="2831" t="s">
        <v>3888</v>
      </c>
      <c r="E1674" s="2831" t="s">
        <v>2166</v>
      </c>
    </row>
    <row r="1675" spans="1:5">
      <c r="A1675" s="2831">
        <v>706</v>
      </c>
      <c r="B1675" s="2831" t="s">
        <v>3887</v>
      </c>
      <c r="C1675" s="2831">
        <v>4065</v>
      </c>
      <c r="D1675" s="2831" t="s">
        <v>3889</v>
      </c>
      <c r="E1675" s="2831" t="s">
        <v>2169</v>
      </c>
    </row>
    <row r="1676" spans="1:5">
      <c r="A1676" s="2831">
        <v>706</v>
      </c>
      <c r="B1676" s="2831" t="s">
        <v>3887</v>
      </c>
      <c r="C1676" s="2831">
        <v>2050</v>
      </c>
      <c r="D1676" s="2831" t="s">
        <v>3890</v>
      </c>
      <c r="E1676" s="2831" t="s">
        <v>2169</v>
      </c>
    </row>
    <row r="1677" spans="1:5">
      <c r="A1677" s="2831">
        <v>706</v>
      </c>
      <c r="B1677" s="2831" t="s">
        <v>3887</v>
      </c>
      <c r="C1677" s="2831">
        <v>300</v>
      </c>
      <c r="D1677" s="2831" t="s">
        <v>3891</v>
      </c>
      <c r="E1677" s="2831" t="s">
        <v>2166</v>
      </c>
    </row>
    <row r="1678" spans="1:5">
      <c r="A1678" s="2831">
        <v>706</v>
      </c>
      <c r="B1678" s="2831" t="s">
        <v>3887</v>
      </c>
      <c r="C1678" s="2831">
        <v>196</v>
      </c>
      <c r="D1678" s="2831" t="s">
        <v>3892</v>
      </c>
      <c r="E1678" s="2831" t="s">
        <v>2174</v>
      </c>
    </row>
    <row r="1679" spans="1:5">
      <c r="A1679" s="2831">
        <v>706</v>
      </c>
      <c r="B1679" s="2831" t="s">
        <v>3887</v>
      </c>
      <c r="C1679" s="2831">
        <v>2052</v>
      </c>
      <c r="D1679" s="2831" t="s">
        <v>3893</v>
      </c>
      <c r="E1679" s="2831" t="s">
        <v>2166</v>
      </c>
    </row>
    <row r="1680" spans="1:5">
      <c r="A1680" s="2831">
        <v>706</v>
      </c>
      <c r="B1680" s="2831" t="s">
        <v>3887</v>
      </c>
      <c r="C1680" s="2831">
        <v>192</v>
      </c>
      <c r="D1680" s="2831" t="s">
        <v>3894</v>
      </c>
      <c r="E1680" s="2831" t="s">
        <v>2169</v>
      </c>
    </row>
    <row r="1681" spans="1:5">
      <c r="A1681" s="2831">
        <v>706</v>
      </c>
      <c r="B1681" s="2831" t="s">
        <v>3887</v>
      </c>
      <c r="C1681" s="2831">
        <v>3056</v>
      </c>
      <c r="D1681" s="2831" t="s">
        <v>3895</v>
      </c>
      <c r="E1681" s="2831" t="s">
        <v>2166</v>
      </c>
    </row>
    <row r="1682" spans="1:5">
      <c r="A1682" s="2831">
        <v>706</v>
      </c>
      <c r="B1682" s="2831" t="s">
        <v>3887</v>
      </c>
      <c r="C1682" s="2831">
        <v>5052</v>
      </c>
      <c r="D1682" s="2831" t="s">
        <v>2191</v>
      </c>
      <c r="E1682" s="2831" t="s">
        <v>2166</v>
      </c>
    </row>
    <row r="1683" spans="1:5">
      <c r="A1683" s="2831">
        <v>706</v>
      </c>
      <c r="B1683" s="2831" t="s">
        <v>3887</v>
      </c>
      <c r="C1683" s="2831">
        <v>2054</v>
      </c>
      <c r="D1683" s="2831" t="s">
        <v>3896</v>
      </c>
      <c r="E1683" s="2831" t="s">
        <v>2169</v>
      </c>
    </row>
    <row r="1684" spans="1:5">
      <c r="A1684" s="2831">
        <v>706</v>
      </c>
      <c r="B1684" s="2831" t="s">
        <v>3887</v>
      </c>
      <c r="C1684" s="2831">
        <v>3054</v>
      </c>
      <c r="D1684" s="2831" t="s">
        <v>3897</v>
      </c>
      <c r="E1684" s="2831" t="s">
        <v>2166</v>
      </c>
    </row>
    <row r="1685" spans="1:5">
      <c r="A1685" s="2831">
        <v>706</v>
      </c>
      <c r="B1685" s="2831" t="s">
        <v>3887</v>
      </c>
      <c r="C1685" s="2831">
        <v>4056</v>
      </c>
      <c r="D1685" s="2831" t="s">
        <v>2705</v>
      </c>
      <c r="E1685" s="2831" t="s">
        <v>2166</v>
      </c>
    </row>
    <row r="1686" spans="1:5">
      <c r="A1686" s="2831">
        <v>706</v>
      </c>
      <c r="B1686" s="2831" t="s">
        <v>3887</v>
      </c>
      <c r="C1686" s="2831">
        <v>5056</v>
      </c>
      <c r="D1686" s="2831" t="s">
        <v>3898</v>
      </c>
      <c r="E1686" s="2831" t="s">
        <v>2166</v>
      </c>
    </row>
    <row r="1687" spans="1:5">
      <c r="A1687" s="2831">
        <v>706</v>
      </c>
      <c r="B1687" s="2831" t="s">
        <v>3887</v>
      </c>
      <c r="C1687" s="2831">
        <v>1058</v>
      </c>
      <c r="D1687" s="2831" t="s">
        <v>3899</v>
      </c>
      <c r="E1687" s="2831" t="s">
        <v>2174</v>
      </c>
    </row>
    <row r="1688" spans="1:5">
      <c r="A1688" s="2831">
        <v>706</v>
      </c>
      <c r="B1688" s="2831" t="s">
        <v>3887</v>
      </c>
      <c r="C1688" s="2831">
        <v>215</v>
      </c>
      <c r="D1688" s="2831" t="s">
        <v>3900</v>
      </c>
      <c r="E1688" s="2831" t="s">
        <v>2169</v>
      </c>
    </row>
    <row r="1689" spans="1:5">
      <c r="A1689" s="2831">
        <v>706</v>
      </c>
      <c r="B1689" s="2831" t="s">
        <v>3887</v>
      </c>
      <c r="C1689" s="2831">
        <v>2058</v>
      </c>
      <c r="D1689" s="2831" t="s">
        <v>3901</v>
      </c>
      <c r="E1689" s="2831" t="s">
        <v>2169</v>
      </c>
    </row>
    <row r="1690" spans="1:5">
      <c r="A1690" s="2831">
        <v>706</v>
      </c>
      <c r="B1690" s="2831" t="s">
        <v>3887</v>
      </c>
      <c r="C1690" s="2831">
        <v>401</v>
      </c>
      <c r="D1690" s="2831" t="s">
        <v>3902</v>
      </c>
      <c r="E1690" s="2831" t="s">
        <v>2166</v>
      </c>
    </row>
    <row r="1691" spans="1:5">
      <c r="A1691" s="2831">
        <v>706</v>
      </c>
      <c r="B1691" s="2831" t="s">
        <v>3887</v>
      </c>
      <c r="C1691" s="2831">
        <v>296</v>
      </c>
      <c r="D1691" s="2831" t="s">
        <v>3903</v>
      </c>
      <c r="E1691" s="2831" t="s">
        <v>2166</v>
      </c>
    </row>
    <row r="1692" spans="1:5">
      <c r="A1692" s="2831">
        <v>706</v>
      </c>
      <c r="B1692" s="2831" t="s">
        <v>3887</v>
      </c>
      <c r="C1692" s="2831">
        <v>108</v>
      </c>
      <c r="D1692" s="2831" t="s">
        <v>3904</v>
      </c>
      <c r="E1692" s="2831" t="s">
        <v>2166</v>
      </c>
    </row>
    <row r="1693" spans="1:5">
      <c r="A1693" s="2831">
        <v>706</v>
      </c>
      <c r="B1693" s="2831" t="s">
        <v>3887</v>
      </c>
      <c r="C1693" s="2831">
        <v>301</v>
      </c>
      <c r="D1693" s="2831" t="s">
        <v>3905</v>
      </c>
      <c r="E1693" s="2831" t="s">
        <v>2174</v>
      </c>
    </row>
    <row r="1694" spans="1:5">
      <c r="A1694" s="2831">
        <v>706</v>
      </c>
      <c r="B1694" s="2831" t="s">
        <v>3887</v>
      </c>
      <c r="C1694" s="2831">
        <v>5058</v>
      </c>
      <c r="D1694" s="2831" t="s">
        <v>3906</v>
      </c>
      <c r="E1694" s="2831" t="s">
        <v>2166</v>
      </c>
    </row>
    <row r="1695" spans="1:5">
      <c r="A1695" s="2831">
        <v>706</v>
      </c>
      <c r="B1695" s="2831" t="s">
        <v>3887</v>
      </c>
      <c r="C1695" s="2831">
        <v>3060</v>
      </c>
      <c r="D1695" s="2831" t="s">
        <v>3907</v>
      </c>
      <c r="E1695" s="2831" t="s">
        <v>2174</v>
      </c>
    </row>
    <row r="1696" spans="1:5">
      <c r="A1696" s="2831">
        <v>706</v>
      </c>
      <c r="B1696" s="2831" t="s">
        <v>3887</v>
      </c>
      <c r="C1696" s="2831">
        <v>178</v>
      </c>
      <c r="D1696" s="2831" t="s">
        <v>3908</v>
      </c>
      <c r="E1696" s="2831" t="s">
        <v>2174</v>
      </c>
    </row>
    <row r="1697" spans="1:5">
      <c r="A1697" s="2831">
        <v>706</v>
      </c>
      <c r="B1697" s="2831" t="s">
        <v>3887</v>
      </c>
      <c r="C1697" s="2831">
        <v>102</v>
      </c>
      <c r="D1697" s="2831" t="s">
        <v>3909</v>
      </c>
      <c r="E1697" s="2831" t="s">
        <v>2166</v>
      </c>
    </row>
    <row r="1698" spans="1:5">
      <c r="A1698" s="2831">
        <v>706</v>
      </c>
      <c r="B1698" s="2831" t="s">
        <v>3887</v>
      </c>
      <c r="C1698" s="2831">
        <v>5060</v>
      </c>
      <c r="D1698" s="2831" t="s">
        <v>3910</v>
      </c>
      <c r="E1698" s="2831" t="s">
        <v>2166</v>
      </c>
    </row>
    <row r="1699" spans="1:5">
      <c r="A1699" s="2831">
        <v>706</v>
      </c>
      <c r="B1699" s="2831" t="s">
        <v>3887</v>
      </c>
      <c r="C1699" s="2831">
        <v>1062</v>
      </c>
      <c r="D1699" s="2831" t="s">
        <v>3911</v>
      </c>
      <c r="E1699" s="2831" t="s">
        <v>2169</v>
      </c>
    </row>
    <row r="1700" spans="1:5">
      <c r="A1700" s="2831">
        <v>706</v>
      </c>
      <c r="B1700" s="2831" t="s">
        <v>3887</v>
      </c>
      <c r="C1700" s="2831">
        <v>191</v>
      </c>
      <c r="D1700" s="2831" t="s">
        <v>3912</v>
      </c>
      <c r="E1700" s="2831" t="s">
        <v>2174</v>
      </c>
    </row>
    <row r="1701" spans="1:5">
      <c r="A1701" s="2831">
        <v>706</v>
      </c>
      <c r="B1701" s="2831" t="s">
        <v>3887</v>
      </c>
      <c r="C1701" s="2831">
        <v>2062</v>
      </c>
      <c r="D1701" s="2831" t="s">
        <v>3913</v>
      </c>
      <c r="E1701" s="2831" t="s">
        <v>2174</v>
      </c>
    </row>
    <row r="1702" spans="1:5">
      <c r="A1702" s="2831">
        <v>706</v>
      </c>
      <c r="B1702" s="2831" t="s">
        <v>3887</v>
      </c>
      <c r="C1702" s="2831">
        <v>4062</v>
      </c>
      <c r="D1702" s="2831" t="s">
        <v>3914</v>
      </c>
      <c r="E1702" s="2831" t="s">
        <v>2169</v>
      </c>
    </row>
    <row r="1703" spans="1:5">
      <c r="A1703" s="2831">
        <v>706</v>
      </c>
      <c r="B1703" s="2831" t="s">
        <v>3887</v>
      </c>
      <c r="C1703" s="2831">
        <v>5062</v>
      </c>
      <c r="D1703" s="2831" t="s">
        <v>3915</v>
      </c>
      <c r="E1703" s="2831" t="s">
        <v>2166</v>
      </c>
    </row>
    <row r="1704" spans="1:5">
      <c r="A1704" s="2831">
        <v>706</v>
      </c>
      <c r="B1704" s="2831" t="s">
        <v>3887</v>
      </c>
      <c r="C1704" s="2831">
        <v>1064</v>
      </c>
      <c r="D1704" s="2831" t="s">
        <v>3916</v>
      </c>
      <c r="E1704" s="2831" t="s">
        <v>2174</v>
      </c>
    </row>
    <row r="1705" spans="1:5">
      <c r="A1705" s="2831">
        <v>706</v>
      </c>
      <c r="B1705" s="2831" t="s">
        <v>3887</v>
      </c>
      <c r="C1705" s="2831">
        <v>2064</v>
      </c>
      <c r="D1705" s="2831" t="s">
        <v>3917</v>
      </c>
      <c r="E1705" s="2831" t="s">
        <v>2166</v>
      </c>
    </row>
    <row r="1706" spans="1:5">
      <c r="A1706" s="2831">
        <v>706</v>
      </c>
      <c r="B1706" s="2831" t="s">
        <v>3887</v>
      </c>
      <c r="C1706" s="2831">
        <v>4058</v>
      </c>
      <c r="D1706" s="2831" t="s">
        <v>3918</v>
      </c>
      <c r="E1706" s="2831" t="s">
        <v>2174</v>
      </c>
    </row>
    <row r="1707" spans="1:5">
      <c r="A1707" s="2831">
        <v>706</v>
      </c>
      <c r="B1707" s="2831" t="s">
        <v>3887</v>
      </c>
      <c r="C1707" s="2831">
        <v>200</v>
      </c>
      <c r="D1707" s="2831" t="s">
        <v>2640</v>
      </c>
      <c r="E1707" s="2831" t="s">
        <v>2166</v>
      </c>
    </row>
    <row r="1708" spans="1:5">
      <c r="A1708" s="2831">
        <v>706</v>
      </c>
      <c r="B1708" s="2831" t="s">
        <v>3887</v>
      </c>
      <c r="C1708" s="2831">
        <v>4064</v>
      </c>
      <c r="D1708" s="2831" t="s">
        <v>3919</v>
      </c>
      <c r="E1708" s="2831" t="s">
        <v>2166</v>
      </c>
    </row>
    <row r="1709" spans="1:5">
      <c r="A1709" s="2831">
        <v>706</v>
      </c>
      <c r="B1709" s="2831" t="s">
        <v>3887</v>
      </c>
      <c r="C1709" s="2831">
        <v>501</v>
      </c>
      <c r="D1709" s="2831" t="s">
        <v>3920</v>
      </c>
      <c r="E1709" s="2831" t="s">
        <v>2174</v>
      </c>
    </row>
    <row r="1710" spans="1:5">
      <c r="A1710" s="2831">
        <v>706</v>
      </c>
      <c r="B1710" s="2831" t="s">
        <v>3887</v>
      </c>
      <c r="C1710" s="2831">
        <v>100</v>
      </c>
      <c r="D1710" s="2831" t="s">
        <v>3921</v>
      </c>
      <c r="E1710" s="2831" t="s">
        <v>2174</v>
      </c>
    </row>
    <row r="1711" spans="1:5">
      <c r="A1711" s="2831">
        <v>706</v>
      </c>
      <c r="B1711" s="2831" t="s">
        <v>3887</v>
      </c>
      <c r="C1711" s="2831">
        <v>104</v>
      </c>
      <c r="D1711" s="2831" t="s">
        <v>3922</v>
      </c>
      <c r="E1711" s="2831" t="s">
        <v>2174</v>
      </c>
    </row>
    <row r="1712" spans="1:5">
      <c r="A1712" s="2831">
        <v>706</v>
      </c>
      <c r="B1712" s="2831" t="s">
        <v>3887</v>
      </c>
      <c r="C1712" s="2831">
        <v>203</v>
      </c>
      <c r="D1712" s="2831" t="s">
        <v>3680</v>
      </c>
      <c r="E1712" s="2831" t="s">
        <v>2166</v>
      </c>
    </row>
    <row r="1713" spans="1:5">
      <c r="A1713" s="2831">
        <v>706</v>
      </c>
      <c r="B1713" s="2831" t="s">
        <v>3887</v>
      </c>
      <c r="C1713" s="2831">
        <v>502</v>
      </c>
      <c r="D1713" s="2831" t="s">
        <v>3923</v>
      </c>
      <c r="E1713" s="2831" t="s">
        <v>2174</v>
      </c>
    </row>
    <row r="1714" spans="1:5">
      <c r="A1714" s="2831">
        <v>706</v>
      </c>
      <c r="B1714" s="2831" t="s">
        <v>3887</v>
      </c>
      <c r="C1714" s="2831">
        <v>1066</v>
      </c>
      <c r="D1714" s="2831" t="s">
        <v>3924</v>
      </c>
      <c r="E1714" s="2831" t="s">
        <v>2166</v>
      </c>
    </row>
    <row r="1715" spans="1:5">
      <c r="A1715" s="2831">
        <v>706</v>
      </c>
      <c r="B1715" s="2831" t="s">
        <v>3887</v>
      </c>
      <c r="C1715" s="2831">
        <v>2066</v>
      </c>
      <c r="D1715" s="2831" t="s">
        <v>3514</v>
      </c>
      <c r="E1715" s="2831" t="s">
        <v>2174</v>
      </c>
    </row>
    <row r="1716" spans="1:5">
      <c r="A1716" s="2831">
        <v>706</v>
      </c>
      <c r="B1716" s="2831" t="s">
        <v>3887</v>
      </c>
      <c r="C1716" s="2831">
        <v>3066</v>
      </c>
      <c r="D1716" s="2831" t="s">
        <v>3925</v>
      </c>
      <c r="E1716" s="2831" t="s">
        <v>2169</v>
      </c>
    </row>
    <row r="1717" spans="1:5">
      <c r="A1717" s="2831">
        <v>706</v>
      </c>
      <c r="B1717" s="2831" t="s">
        <v>3887</v>
      </c>
      <c r="C1717" s="2831">
        <v>4066</v>
      </c>
      <c r="D1717" s="2831" t="s">
        <v>3926</v>
      </c>
      <c r="E1717" s="2831" t="s">
        <v>2169</v>
      </c>
    </row>
    <row r="1718" spans="1:5">
      <c r="A1718" s="2831">
        <v>706</v>
      </c>
      <c r="B1718" s="2831" t="s">
        <v>3887</v>
      </c>
      <c r="C1718" s="2831">
        <v>2067</v>
      </c>
      <c r="D1718" s="2831" t="s">
        <v>3927</v>
      </c>
      <c r="E1718" s="2831" t="s">
        <v>2174</v>
      </c>
    </row>
    <row r="1719" spans="1:5">
      <c r="A1719" s="2831">
        <v>706</v>
      </c>
      <c r="B1719" s="2831" t="s">
        <v>3887</v>
      </c>
      <c r="C1719" s="2831">
        <v>278</v>
      </c>
      <c r="D1719" s="2831" t="s">
        <v>3928</v>
      </c>
      <c r="E1719" s="2831" t="s">
        <v>2166</v>
      </c>
    </row>
    <row r="1720" spans="1:5">
      <c r="A1720" s="2831">
        <v>706</v>
      </c>
      <c r="B1720" s="2831" t="s">
        <v>3887</v>
      </c>
      <c r="C1720" s="2831">
        <v>4067</v>
      </c>
      <c r="D1720" s="2831" t="s">
        <v>3929</v>
      </c>
      <c r="E1720" s="2831" t="s">
        <v>2174</v>
      </c>
    </row>
    <row r="1721" spans="1:5">
      <c r="A1721" s="2831">
        <v>706</v>
      </c>
      <c r="B1721" s="2831" t="s">
        <v>3887</v>
      </c>
      <c r="C1721" s="2831">
        <v>378</v>
      </c>
      <c r="D1721" s="2831" t="s">
        <v>3930</v>
      </c>
      <c r="E1721" s="2831" t="s">
        <v>2169</v>
      </c>
    </row>
    <row r="1722" spans="1:5">
      <c r="A1722" s="2831">
        <v>706</v>
      </c>
      <c r="B1722" s="2831" t="s">
        <v>3887</v>
      </c>
      <c r="C1722" s="2831">
        <v>3068</v>
      </c>
      <c r="D1722" s="2831" t="s">
        <v>3931</v>
      </c>
      <c r="E1722" s="2831" t="s">
        <v>2166</v>
      </c>
    </row>
    <row r="1723" spans="1:5">
      <c r="A1723" s="2831">
        <v>706</v>
      </c>
      <c r="B1723" s="2831" t="s">
        <v>3887</v>
      </c>
      <c r="C1723" s="2831">
        <v>204</v>
      </c>
      <c r="D1723" s="2831" t="s">
        <v>3932</v>
      </c>
      <c r="E1723" s="2831" t="s">
        <v>2169</v>
      </c>
    </row>
    <row r="1724" spans="1:5">
      <c r="A1724" s="2831">
        <v>706</v>
      </c>
      <c r="B1724" s="2831" t="s">
        <v>3887</v>
      </c>
      <c r="C1724" s="2831">
        <v>3069</v>
      </c>
      <c r="D1724" s="2831" t="s">
        <v>3933</v>
      </c>
      <c r="E1724" s="2831" t="s">
        <v>2169</v>
      </c>
    </row>
    <row r="1725" spans="1:5">
      <c r="A1725" s="2831">
        <v>706</v>
      </c>
      <c r="B1725" s="2831" t="s">
        <v>3887</v>
      </c>
      <c r="C1725" s="2831">
        <v>5069</v>
      </c>
      <c r="D1725" s="2831" t="s">
        <v>3934</v>
      </c>
      <c r="E1725" s="2831" t="s">
        <v>2174</v>
      </c>
    </row>
    <row r="1726" spans="1:5">
      <c r="A1726" s="2831">
        <v>706</v>
      </c>
      <c r="B1726" s="2831" t="s">
        <v>3887</v>
      </c>
      <c r="C1726" s="2831">
        <v>4070</v>
      </c>
      <c r="D1726" s="2831" t="s">
        <v>3935</v>
      </c>
      <c r="E1726" s="2831" t="s">
        <v>2174</v>
      </c>
    </row>
    <row r="1727" spans="1:5">
      <c r="A1727" s="2831">
        <v>707</v>
      </c>
      <c r="B1727" s="2831" t="s">
        <v>3936</v>
      </c>
      <c r="C1727" s="2831">
        <v>206</v>
      </c>
      <c r="D1727" s="2831" t="s">
        <v>3937</v>
      </c>
      <c r="E1727" s="2831" t="s">
        <v>2166</v>
      </c>
    </row>
    <row r="1728" spans="1:5">
      <c r="A1728" s="2831">
        <v>707</v>
      </c>
      <c r="B1728" s="2831" t="s">
        <v>3936</v>
      </c>
      <c r="C1728" s="2831">
        <v>117</v>
      </c>
      <c r="D1728" s="2831" t="s">
        <v>3938</v>
      </c>
      <c r="E1728" s="2831" t="s">
        <v>2169</v>
      </c>
    </row>
    <row r="1729" spans="1:5">
      <c r="A1729" s="2831">
        <v>707</v>
      </c>
      <c r="B1729" s="2831" t="s">
        <v>3936</v>
      </c>
      <c r="C1729" s="2831">
        <v>196</v>
      </c>
      <c r="D1729" s="2831" t="s">
        <v>3939</v>
      </c>
      <c r="E1729" s="2831" t="s">
        <v>2169</v>
      </c>
    </row>
    <row r="1730" spans="1:5">
      <c r="A1730" s="2831">
        <v>707</v>
      </c>
      <c r="B1730" s="2831" t="s">
        <v>3936</v>
      </c>
      <c r="C1730" s="2831">
        <v>1050</v>
      </c>
      <c r="D1730" s="2831" t="s">
        <v>3940</v>
      </c>
      <c r="E1730" s="2831" t="s">
        <v>2174</v>
      </c>
    </row>
    <row r="1731" spans="1:5">
      <c r="A1731" s="2831">
        <v>707</v>
      </c>
      <c r="B1731" s="2831" t="s">
        <v>3936</v>
      </c>
      <c r="C1731" s="2831">
        <v>295</v>
      </c>
      <c r="D1731" s="2831" t="s">
        <v>3941</v>
      </c>
      <c r="E1731" s="2831" t="s">
        <v>2174</v>
      </c>
    </row>
    <row r="1732" spans="1:5">
      <c r="A1732" s="2831">
        <v>707</v>
      </c>
      <c r="B1732" s="2831" t="s">
        <v>3936</v>
      </c>
      <c r="C1732" s="2831">
        <v>124</v>
      </c>
      <c r="D1732" s="2831" t="s">
        <v>3942</v>
      </c>
      <c r="E1732" s="2831" t="s">
        <v>2169</v>
      </c>
    </row>
    <row r="1733" spans="1:5">
      <c r="A1733" s="2831">
        <v>707</v>
      </c>
      <c r="B1733" s="2831" t="s">
        <v>3936</v>
      </c>
      <c r="C1733" s="2831">
        <v>122</v>
      </c>
      <c r="D1733" s="2831" t="s">
        <v>3943</v>
      </c>
      <c r="E1733" s="2831" t="s">
        <v>2169</v>
      </c>
    </row>
    <row r="1734" spans="1:5">
      <c r="A1734" s="2831">
        <v>707</v>
      </c>
      <c r="B1734" s="2831" t="s">
        <v>3936</v>
      </c>
      <c r="C1734" s="2831">
        <v>4550</v>
      </c>
      <c r="D1734" s="2831" t="s">
        <v>3944</v>
      </c>
      <c r="E1734" s="2831" t="s">
        <v>2169</v>
      </c>
    </row>
    <row r="1735" spans="1:5">
      <c r="A1735" s="2831">
        <v>707</v>
      </c>
      <c r="B1735" s="2831" t="s">
        <v>3936</v>
      </c>
      <c r="C1735" s="2831">
        <v>398</v>
      </c>
      <c r="D1735" s="2831" t="s">
        <v>3945</v>
      </c>
      <c r="E1735" s="2831" t="s">
        <v>2166</v>
      </c>
    </row>
    <row r="1736" spans="1:5">
      <c r="A1736" s="2831">
        <v>707</v>
      </c>
      <c r="B1736" s="2831" t="s">
        <v>3936</v>
      </c>
      <c r="C1736" s="2831">
        <v>114</v>
      </c>
      <c r="D1736" s="2831" t="s">
        <v>3204</v>
      </c>
      <c r="E1736" s="2831" t="s">
        <v>2174</v>
      </c>
    </row>
    <row r="1737" spans="1:5">
      <c r="A1737" s="2831">
        <v>707</v>
      </c>
      <c r="B1737" s="2831" t="s">
        <v>3936</v>
      </c>
      <c r="C1737" s="2831">
        <v>115</v>
      </c>
      <c r="D1737" s="2831" t="s">
        <v>3946</v>
      </c>
      <c r="E1737" s="2831" t="s">
        <v>2166</v>
      </c>
    </row>
    <row r="1738" spans="1:5">
      <c r="A1738" s="2831">
        <v>707</v>
      </c>
      <c r="B1738" s="2831" t="s">
        <v>3936</v>
      </c>
      <c r="C1738" s="2831">
        <v>3050</v>
      </c>
      <c r="D1738" s="2831" t="s">
        <v>3947</v>
      </c>
      <c r="E1738" s="2831" t="s">
        <v>2166</v>
      </c>
    </row>
    <row r="1739" spans="1:5">
      <c r="A1739" s="2831">
        <v>707</v>
      </c>
      <c r="B1739" s="2831" t="s">
        <v>3936</v>
      </c>
      <c r="C1739" s="2831">
        <v>4050</v>
      </c>
      <c r="D1739" s="2831" t="s">
        <v>3948</v>
      </c>
      <c r="E1739" s="2831" t="s">
        <v>2174</v>
      </c>
    </row>
    <row r="1740" spans="1:5">
      <c r="A1740" s="2831">
        <v>707</v>
      </c>
      <c r="B1740" s="2831" t="s">
        <v>3936</v>
      </c>
      <c r="C1740" s="2831">
        <v>198</v>
      </c>
      <c r="D1740" s="2831" t="s">
        <v>3949</v>
      </c>
      <c r="E1740" s="2831" t="s">
        <v>2169</v>
      </c>
    </row>
    <row r="1741" spans="1:5">
      <c r="A1741" s="2831">
        <v>707</v>
      </c>
      <c r="B1741" s="2831" t="s">
        <v>3936</v>
      </c>
      <c r="C1741" s="2831">
        <v>123</v>
      </c>
      <c r="D1741" s="2831" t="s">
        <v>3950</v>
      </c>
      <c r="E1741" s="2831" t="s">
        <v>2174</v>
      </c>
    </row>
    <row r="1742" spans="1:5">
      <c r="A1742" s="2831">
        <v>707</v>
      </c>
      <c r="B1742" s="2831" t="s">
        <v>3936</v>
      </c>
      <c r="C1742" s="2831">
        <v>173</v>
      </c>
      <c r="D1742" s="2831" t="s">
        <v>3951</v>
      </c>
      <c r="E1742" s="2831" t="s">
        <v>2166</v>
      </c>
    </row>
    <row r="1743" spans="1:5">
      <c r="A1743" s="2831">
        <v>707</v>
      </c>
      <c r="B1743" s="2831" t="s">
        <v>3936</v>
      </c>
      <c r="C1743" s="2831">
        <v>102</v>
      </c>
      <c r="D1743" s="2831" t="s">
        <v>3952</v>
      </c>
      <c r="E1743" s="2831" t="s">
        <v>2174</v>
      </c>
    </row>
    <row r="1744" spans="1:5">
      <c r="A1744" s="2831">
        <v>707</v>
      </c>
      <c r="B1744" s="2831" t="s">
        <v>3936</v>
      </c>
      <c r="C1744" s="2831">
        <v>5050</v>
      </c>
      <c r="D1744" s="2831" t="s">
        <v>3953</v>
      </c>
      <c r="E1744" s="2831" t="s">
        <v>2174</v>
      </c>
    </row>
    <row r="1745" spans="1:5">
      <c r="A1745" s="2831">
        <v>707</v>
      </c>
      <c r="B1745" s="2831" t="s">
        <v>3936</v>
      </c>
      <c r="C1745" s="2831">
        <v>106</v>
      </c>
      <c r="D1745" s="2831" t="s">
        <v>3954</v>
      </c>
      <c r="E1745" s="2831" t="s">
        <v>2166</v>
      </c>
    </row>
    <row r="1746" spans="1:5">
      <c r="A1746" s="2831">
        <v>707</v>
      </c>
      <c r="B1746" s="2831" t="s">
        <v>3936</v>
      </c>
      <c r="C1746" s="2831">
        <v>111</v>
      </c>
      <c r="D1746" s="2831" t="s">
        <v>3955</v>
      </c>
      <c r="E1746" s="2831" t="s">
        <v>2166</v>
      </c>
    </row>
    <row r="1747" spans="1:5">
      <c r="A1747" s="2831">
        <v>707</v>
      </c>
      <c r="B1747" s="2831" t="s">
        <v>3936</v>
      </c>
      <c r="C1747" s="2831">
        <v>101</v>
      </c>
      <c r="D1747" s="2831" t="s">
        <v>3932</v>
      </c>
      <c r="E1747" s="2831" t="s">
        <v>2174</v>
      </c>
    </row>
    <row r="1748" spans="1:5">
      <c r="A1748" s="2831">
        <v>707</v>
      </c>
      <c r="B1748" s="2831" t="s">
        <v>3936</v>
      </c>
      <c r="C1748" s="2831">
        <v>298</v>
      </c>
      <c r="D1748" s="2831" t="s">
        <v>3956</v>
      </c>
      <c r="E1748" s="2831" t="s">
        <v>2169</v>
      </c>
    </row>
    <row r="1749" spans="1:5">
      <c r="A1749" s="2831">
        <v>708</v>
      </c>
      <c r="B1749" s="2831" t="s">
        <v>3957</v>
      </c>
      <c r="C1749" s="2831">
        <v>3050</v>
      </c>
      <c r="D1749" s="2831" t="s">
        <v>3958</v>
      </c>
      <c r="E1749" s="2831" t="s">
        <v>2174</v>
      </c>
    </row>
    <row r="1750" spans="1:5">
      <c r="A1750" s="2831">
        <v>708</v>
      </c>
      <c r="B1750" s="2831" t="s">
        <v>3957</v>
      </c>
      <c r="C1750" s="2831">
        <v>294</v>
      </c>
      <c r="D1750" s="2831" t="s">
        <v>3959</v>
      </c>
      <c r="E1750" s="2831" t="s">
        <v>2174</v>
      </c>
    </row>
    <row r="1751" spans="1:5">
      <c r="A1751" s="2831">
        <v>708</v>
      </c>
      <c r="B1751" s="2831" t="s">
        <v>3957</v>
      </c>
      <c r="C1751" s="2831">
        <v>295</v>
      </c>
      <c r="D1751" s="2831" t="s">
        <v>3960</v>
      </c>
      <c r="E1751" s="2831" t="s">
        <v>2174</v>
      </c>
    </row>
    <row r="1752" spans="1:5">
      <c r="A1752" s="2831">
        <v>708</v>
      </c>
      <c r="B1752" s="2831" t="s">
        <v>3957</v>
      </c>
      <c r="C1752" s="2831">
        <v>110</v>
      </c>
      <c r="D1752" s="2831" t="s">
        <v>3961</v>
      </c>
      <c r="E1752" s="2831" t="s">
        <v>2166</v>
      </c>
    </row>
    <row r="1753" spans="1:5">
      <c r="A1753" s="2831">
        <v>708</v>
      </c>
      <c r="B1753" s="2831" t="s">
        <v>3957</v>
      </c>
      <c r="C1753" s="2831">
        <v>197</v>
      </c>
      <c r="D1753" s="2831" t="s">
        <v>3962</v>
      </c>
      <c r="E1753" s="2831" t="s">
        <v>2174</v>
      </c>
    </row>
    <row r="1754" spans="1:5">
      <c r="A1754" s="2831">
        <v>708</v>
      </c>
      <c r="B1754" s="2831" t="s">
        <v>3957</v>
      </c>
      <c r="C1754" s="2831">
        <v>198</v>
      </c>
      <c r="D1754" s="2831" t="s">
        <v>3963</v>
      </c>
      <c r="E1754" s="2831" t="s">
        <v>2174</v>
      </c>
    </row>
    <row r="1755" spans="1:5">
      <c r="A1755" s="2831">
        <v>708</v>
      </c>
      <c r="B1755" s="2831" t="s">
        <v>3957</v>
      </c>
      <c r="C1755" s="2831">
        <v>105</v>
      </c>
      <c r="D1755" s="2831" t="s">
        <v>3964</v>
      </c>
      <c r="E1755" s="2831" t="s">
        <v>2174</v>
      </c>
    </row>
    <row r="1756" spans="1:5">
      <c r="A1756" s="2831">
        <v>708</v>
      </c>
      <c r="B1756" s="2831" t="s">
        <v>3957</v>
      </c>
      <c r="C1756" s="2831">
        <v>1050</v>
      </c>
      <c r="D1756" s="2831" t="s">
        <v>3965</v>
      </c>
      <c r="E1756" s="2831" t="s">
        <v>2166</v>
      </c>
    </row>
    <row r="1757" spans="1:5">
      <c r="A1757" s="2831">
        <v>708</v>
      </c>
      <c r="B1757" s="2831" t="s">
        <v>3957</v>
      </c>
      <c r="C1757" s="2831">
        <v>293</v>
      </c>
      <c r="D1757" s="2831" t="s">
        <v>3966</v>
      </c>
      <c r="E1757" s="2831" t="s">
        <v>2174</v>
      </c>
    </row>
    <row r="1758" spans="1:5">
      <c r="A1758" s="2831">
        <v>708</v>
      </c>
      <c r="B1758" s="2831" t="s">
        <v>3957</v>
      </c>
      <c r="C1758" s="2831">
        <v>193</v>
      </c>
      <c r="D1758" s="2831" t="s">
        <v>3967</v>
      </c>
      <c r="E1758" s="2831" t="s">
        <v>2174</v>
      </c>
    </row>
    <row r="1759" spans="1:5">
      <c r="A1759" s="2831">
        <v>708</v>
      </c>
      <c r="B1759" s="2831" t="s">
        <v>3957</v>
      </c>
      <c r="C1759" s="2831">
        <v>188</v>
      </c>
      <c r="D1759" s="2831" t="s">
        <v>3968</v>
      </c>
      <c r="E1759" s="2831" t="s">
        <v>2174</v>
      </c>
    </row>
    <row r="1760" spans="1:5">
      <c r="A1760" s="2831">
        <v>708</v>
      </c>
      <c r="B1760" s="2831" t="s">
        <v>3957</v>
      </c>
      <c r="C1760" s="2831">
        <v>103</v>
      </c>
      <c r="D1760" s="2831" t="s">
        <v>3969</v>
      </c>
      <c r="E1760" s="2831" t="s">
        <v>2166</v>
      </c>
    </row>
    <row r="1761" spans="1:5">
      <c r="A1761" s="2831">
        <v>709</v>
      </c>
      <c r="B1761" s="2831" t="s">
        <v>3970</v>
      </c>
      <c r="C1761" s="2831">
        <v>198</v>
      </c>
      <c r="D1761" s="2831" t="s">
        <v>3971</v>
      </c>
      <c r="E1761" s="2831" t="s">
        <v>2174</v>
      </c>
    </row>
    <row r="1762" spans="1:5">
      <c r="A1762" s="2831">
        <v>709</v>
      </c>
      <c r="B1762" s="2831" t="s">
        <v>3970</v>
      </c>
      <c r="C1762" s="2831">
        <v>2050</v>
      </c>
      <c r="D1762" s="2831" t="s">
        <v>3972</v>
      </c>
      <c r="E1762" s="2831" t="s">
        <v>2169</v>
      </c>
    </row>
    <row r="1763" spans="1:5">
      <c r="A1763" s="2831">
        <v>709</v>
      </c>
      <c r="B1763" s="2831" t="s">
        <v>3970</v>
      </c>
      <c r="C1763" s="2831">
        <v>112</v>
      </c>
      <c r="D1763" s="2831" t="s">
        <v>3973</v>
      </c>
      <c r="E1763" s="2831" t="s">
        <v>2166</v>
      </c>
    </row>
    <row r="1764" spans="1:5">
      <c r="A1764" s="2831">
        <v>709</v>
      </c>
      <c r="B1764" s="2831" t="s">
        <v>3970</v>
      </c>
      <c r="C1764" s="2831">
        <v>298</v>
      </c>
      <c r="D1764" s="2831" t="s">
        <v>3974</v>
      </c>
      <c r="E1764" s="2831" t="s">
        <v>2174</v>
      </c>
    </row>
    <row r="1765" spans="1:5">
      <c r="A1765" s="2831">
        <v>710</v>
      </c>
      <c r="B1765" s="2831" t="s">
        <v>3975</v>
      </c>
      <c r="C1765" s="2831">
        <v>299</v>
      </c>
      <c r="D1765" s="2831" t="s">
        <v>2911</v>
      </c>
      <c r="E1765" s="2831" t="s">
        <v>2169</v>
      </c>
    </row>
    <row r="1766" spans="1:5">
      <c r="A1766" s="2831">
        <v>710</v>
      </c>
      <c r="B1766" s="2831" t="s">
        <v>3975</v>
      </c>
      <c r="C1766" s="2831">
        <v>103</v>
      </c>
      <c r="D1766" s="2831" t="s">
        <v>3976</v>
      </c>
      <c r="E1766" s="2831" t="s">
        <v>2169</v>
      </c>
    </row>
    <row r="1767" spans="1:5">
      <c r="A1767" s="2831">
        <v>710</v>
      </c>
      <c r="B1767" s="2831" t="s">
        <v>3975</v>
      </c>
      <c r="C1767" s="2831">
        <v>110</v>
      </c>
      <c r="D1767" s="2831" t="s">
        <v>3977</v>
      </c>
      <c r="E1767" s="2831" t="s">
        <v>2166</v>
      </c>
    </row>
    <row r="1768" spans="1:5">
      <c r="A1768" s="2831">
        <v>710</v>
      </c>
      <c r="B1768" s="2831" t="s">
        <v>3975</v>
      </c>
      <c r="C1768" s="2831">
        <v>199</v>
      </c>
      <c r="D1768" s="2831" t="s">
        <v>3978</v>
      </c>
      <c r="E1768" s="2831" t="s">
        <v>2169</v>
      </c>
    </row>
    <row r="1769" spans="1:5">
      <c r="A1769" s="2831">
        <v>710</v>
      </c>
      <c r="B1769" s="2831" t="s">
        <v>3975</v>
      </c>
      <c r="C1769" s="2831">
        <v>410</v>
      </c>
      <c r="D1769" s="2831" t="s">
        <v>3979</v>
      </c>
      <c r="E1769" s="2831" t="s">
        <v>2166</v>
      </c>
    </row>
    <row r="1770" spans="1:5">
      <c r="A1770" s="2831">
        <v>710</v>
      </c>
      <c r="B1770" s="2831" t="s">
        <v>3975</v>
      </c>
      <c r="C1770" s="2831">
        <v>304</v>
      </c>
      <c r="D1770" s="2831" t="s">
        <v>3980</v>
      </c>
      <c r="E1770" s="2831" t="s">
        <v>2169</v>
      </c>
    </row>
    <row r="1771" spans="1:5">
      <c r="A1771" s="2831">
        <v>710</v>
      </c>
      <c r="B1771" s="2831" t="s">
        <v>3975</v>
      </c>
      <c r="C1771" s="2831">
        <v>1050</v>
      </c>
      <c r="D1771" s="2831" t="s">
        <v>3981</v>
      </c>
      <c r="E1771" s="2831" t="s">
        <v>2169</v>
      </c>
    </row>
    <row r="1772" spans="1:5">
      <c r="A1772" s="2831">
        <v>710</v>
      </c>
      <c r="B1772" s="2831" t="s">
        <v>3975</v>
      </c>
      <c r="C1772" s="2831">
        <v>292</v>
      </c>
      <c r="D1772" s="2831" t="s">
        <v>3982</v>
      </c>
      <c r="E1772" s="2831" t="s">
        <v>2169</v>
      </c>
    </row>
    <row r="1773" spans="1:5">
      <c r="A1773" s="2831">
        <v>710</v>
      </c>
      <c r="B1773" s="2831" t="s">
        <v>3975</v>
      </c>
      <c r="C1773" s="2831">
        <v>394</v>
      </c>
      <c r="D1773" s="2831" t="s">
        <v>3983</v>
      </c>
      <c r="E1773" s="2831" t="s">
        <v>2166</v>
      </c>
    </row>
    <row r="1774" spans="1:5">
      <c r="A1774" s="2831">
        <v>710</v>
      </c>
      <c r="B1774" s="2831" t="s">
        <v>3975</v>
      </c>
      <c r="C1774" s="2831">
        <v>194</v>
      </c>
      <c r="D1774" s="2831" t="s">
        <v>3984</v>
      </c>
      <c r="E1774" s="2831" t="s">
        <v>2169</v>
      </c>
    </row>
    <row r="1775" spans="1:5">
      <c r="A1775" s="2831">
        <v>710</v>
      </c>
      <c r="B1775" s="2831" t="s">
        <v>3975</v>
      </c>
      <c r="C1775" s="2831">
        <v>310</v>
      </c>
      <c r="D1775" s="2831" t="s">
        <v>3985</v>
      </c>
      <c r="E1775" s="2831" t="s">
        <v>2166</v>
      </c>
    </row>
    <row r="1776" spans="1:5">
      <c r="A1776" s="2831">
        <v>710</v>
      </c>
      <c r="B1776" s="2831" t="s">
        <v>3975</v>
      </c>
      <c r="C1776" s="2831">
        <v>2352</v>
      </c>
      <c r="D1776" s="2831" t="s">
        <v>3986</v>
      </c>
      <c r="E1776" s="2831" t="s">
        <v>2169</v>
      </c>
    </row>
    <row r="1777" spans="1:5">
      <c r="A1777" s="2831">
        <v>710</v>
      </c>
      <c r="B1777" s="2831" t="s">
        <v>3975</v>
      </c>
      <c r="C1777" s="2831">
        <v>5050</v>
      </c>
      <c r="D1777" s="2831" t="s">
        <v>3987</v>
      </c>
      <c r="E1777" s="2831" t="s">
        <v>2166</v>
      </c>
    </row>
    <row r="1778" spans="1:5">
      <c r="A1778" s="2831">
        <v>710</v>
      </c>
      <c r="B1778" s="2831" t="s">
        <v>3975</v>
      </c>
      <c r="C1778" s="2831">
        <v>101</v>
      </c>
      <c r="D1778" s="2831" t="s">
        <v>3988</v>
      </c>
      <c r="E1778" s="2831" t="s">
        <v>2169</v>
      </c>
    </row>
    <row r="1779" spans="1:5">
      <c r="A1779" s="2831">
        <v>710</v>
      </c>
      <c r="B1779" s="2831" t="s">
        <v>3975</v>
      </c>
      <c r="C1779" s="2831">
        <v>404</v>
      </c>
      <c r="D1779" s="2831" t="s">
        <v>3989</v>
      </c>
      <c r="E1779" s="2831" t="s">
        <v>2169</v>
      </c>
    </row>
    <row r="1780" spans="1:5">
      <c r="A1780" s="2831">
        <v>710</v>
      </c>
      <c r="B1780" s="2831" t="s">
        <v>3975</v>
      </c>
      <c r="C1780" s="2831">
        <v>297</v>
      </c>
      <c r="D1780" s="2831" t="s">
        <v>3990</v>
      </c>
      <c r="E1780" s="2831" t="s">
        <v>2169</v>
      </c>
    </row>
    <row r="1781" spans="1:5">
      <c r="A1781" s="2831">
        <v>710</v>
      </c>
      <c r="B1781" s="2831" t="s">
        <v>3975</v>
      </c>
      <c r="C1781" s="2831">
        <v>201</v>
      </c>
      <c r="D1781" s="2831" t="s">
        <v>3991</v>
      </c>
      <c r="E1781" s="2831" t="s">
        <v>2166</v>
      </c>
    </row>
    <row r="1782" spans="1:5">
      <c r="A1782" s="2831">
        <v>710</v>
      </c>
      <c r="B1782" s="2831" t="s">
        <v>3975</v>
      </c>
      <c r="C1782" s="2831">
        <v>104</v>
      </c>
      <c r="D1782" s="2831" t="s">
        <v>3992</v>
      </c>
      <c r="E1782" s="2831" t="s">
        <v>2169</v>
      </c>
    </row>
    <row r="1783" spans="1:5">
      <c r="A1783" s="2831">
        <v>710</v>
      </c>
      <c r="B1783" s="2831" t="s">
        <v>3975</v>
      </c>
      <c r="C1783" s="2831">
        <v>188</v>
      </c>
      <c r="D1783" s="2831" t="s">
        <v>3993</v>
      </c>
      <c r="E1783" s="2831" t="s">
        <v>2169</v>
      </c>
    </row>
    <row r="1784" spans="1:5">
      <c r="A1784" s="2831">
        <v>710</v>
      </c>
      <c r="B1784" s="2831" t="s">
        <v>3975</v>
      </c>
      <c r="C1784" s="2831">
        <v>198</v>
      </c>
      <c r="D1784" s="2831" t="s">
        <v>3994</v>
      </c>
      <c r="E1784" s="2831" t="s">
        <v>2169</v>
      </c>
    </row>
    <row r="1785" spans="1:5">
      <c r="A1785" s="2831">
        <v>710</v>
      </c>
      <c r="B1785" s="2831" t="s">
        <v>3975</v>
      </c>
      <c r="C1785" s="2831">
        <v>2052</v>
      </c>
      <c r="D1785" s="2831" t="s">
        <v>3995</v>
      </c>
      <c r="E1785" s="2831" t="s">
        <v>2166</v>
      </c>
    </row>
    <row r="1786" spans="1:5">
      <c r="A1786" s="2831">
        <v>710</v>
      </c>
      <c r="B1786" s="2831" t="s">
        <v>3975</v>
      </c>
      <c r="C1786" s="2831">
        <v>109</v>
      </c>
      <c r="D1786" s="2831" t="s">
        <v>3996</v>
      </c>
      <c r="E1786" s="2831" t="s">
        <v>2169</v>
      </c>
    </row>
    <row r="1787" spans="1:5">
      <c r="A1787" s="2831">
        <v>710</v>
      </c>
      <c r="B1787" s="2831" t="s">
        <v>3975</v>
      </c>
      <c r="C1787" s="2831">
        <v>294</v>
      </c>
      <c r="D1787" s="2831" t="s">
        <v>2870</v>
      </c>
      <c r="E1787" s="2831" t="s">
        <v>2169</v>
      </c>
    </row>
    <row r="1788" spans="1:5">
      <c r="A1788" s="2831">
        <v>710</v>
      </c>
      <c r="B1788" s="2831" t="s">
        <v>3975</v>
      </c>
      <c r="C1788" s="2831">
        <v>213</v>
      </c>
      <c r="D1788" s="2831" t="s">
        <v>3997</v>
      </c>
      <c r="E1788" s="2831" t="s">
        <v>2166</v>
      </c>
    </row>
    <row r="1789" spans="1:5">
      <c r="A1789" s="2831">
        <v>710</v>
      </c>
      <c r="B1789" s="2831" t="s">
        <v>3975</v>
      </c>
      <c r="C1789" s="2831">
        <v>2552</v>
      </c>
      <c r="D1789" s="2831" t="s">
        <v>3998</v>
      </c>
      <c r="E1789" s="2831" t="s">
        <v>2166</v>
      </c>
    </row>
    <row r="1790" spans="1:5">
      <c r="A1790" s="2831">
        <v>710</v>
      </c>
      <c r="B1790" s="2831" t="s">
        <v>3975</v>
      </c>
      <c r="C1790" s="2831">
        <v>204</v>
      </c>
      <c r="D1790" s="2831" t="s">
        <v>3999</v>
      </c>
      <c r="E1790" s="2831" t="s">
        <v>2166</v>
      </c>
    </row>
    <row r="1791" spans="1:5">
      <c r="A1791" s="2831">
        <v>710</v>
      </c>
      <c r="B1791" s="2831" t="s">
        <v>3975</v>
      </c>
      <c r="C1791" s="2831">
        <v>197</v>
      </c>
      <c r="D1791" s="2831" t="s">
        <v>4000</v>
      </c>
      <c r="E1791" s="2831" t="s">
        <v>2166</v>
      </c>
    </row>
    <row r="1792" spans="1:5">
      <c r="A1792" s="2831">
        <v>710</v>
      </c>
      <c r="B1792" s="2831" t="s">
        <v>3975</v>
      </c>
      <c r="C1792" s="2831">
        <v>108</v>
      </c>
      <c r="D1792" s="2831" t="s">
        <v>4001</v>
      </c>
      <c r="E1792" s="2831" t="s">
        <v>2169</v>
      </c>
    </row>
    <row r="1793" spans="1:5">
      <c r="A1793" s="2831">
        <v>710</v>
      </c>
      <c r="B1793" s="2831" t="s">
        <v>3975</v>
      </c>
      <c r="C1793" s="2831">
        <v>210</v>
      </c>
      <c r="D1793" s="2831" t="s">
        <v>4002</v>
      </c>
      <c r="E1793" s="2831" t="s">
        <v>2166</v>
      </c>
    </row>
    <row r="1794" spans="1:5">
      <c r="A1794" s="2831">
        <v>710</v>
      </c>
      <c r="B1794" s="2831" t="s">
        <v>3975</v>
      </c>
      <c r="C1794" s="2831">
        <v>106</v>
      </c>
      <c r="D1794" s="2831" t="s">
        <v>4003</v>
      </c>
      <c r="E1794" s="2831" t="s">
        <v>2169</v>
      </c>
    </row>
    <row r="1795" spans="1:5">
      <c r="A1795" s="2831">
        <v>710</v>
      </c>
      <c r="B1795" s="2831" t="s">
        <v>3975</v>
      </c>
      <c r="C1795" s="2831">
        <v>192</v>
      </c>
      <c r="D1795" s="2831" t="s">
        <v>4004</v>
      </c>
      <c r="E1795" s="2831" t="s">
        <v>2166</v>
      </c>
    </row>
    <row r="1796" spans="1:5">
      <c r="A1796" s="2831">
        <v>710</v>
      </c>
      <c r="B1796" s="2831" t="s">
        <v>3975</v>
      </c>
      <c r="C1796" s="2831">
        <v>4052</v>
      </c>
      <c r="D1796" s="2831" t="s">
        <v>2361</v>
      </c>
      <c r="E1796" s="2831" t="s">
        <v>2169</v>
      </c>
    </row>
    <row r="1797" spans="1:5">
      <c r="A1797" s="2831">
        <v>710</v>
      </c>
      <c r="B1797" s="2831" t="s">
        <v>3975</v>
      </c>
      <c r="C1797" s="2831">
        <v>113</v>
      </c>
      <c r="D1797" s="2831" t="s">
        <v>4005</v>
      </c>
      <c r="E1797" s="2831" t="s">
        <v>2169</v>
      </c>
    </row>
    <row r="1798" spans="1:5">
      <c r="A1798" s="2831">
        <v>711</v>
      </c>
      <c r="B1798" s="2831" t="s">
        <v>4006</v>
      </c>
      <c r="C1798" s="2831">
        <v>1050</v>
      </c>
      <c r="D1798" s="2831" t="s">
        <v>4007</v>
      </c>
      <c r="E1798" s="2831" t="s">
        <v>2166</v>
      </c>
    </row>
    <row r="1799" spans="1:5">
      <c r="A1799" s="2831">
        <v>711</v>
      </c>
      <c r="B1799" s="2831" t="s">
        <v>4006</v>
      </c>
      <c r="C1799" s="2831">
        <v>197</v>
      </c>
      <c r="D1799" s="2831" t="s">
        <v>4008</v>
      </c>
      <c r="E1799" s="2831" t="s">
        <v>2169</v>
      </c>
    </row>
    <row r="1800" spans="1:5">
      <c r="A1800" s="2831">
        <v>711</v>
      </c>
      <c r="B1800" s="2831" t="s">
        <v>4006</v>
      </c>
      <c r="C1800" s="2831">
        <v>191</v>
      </c>
      <c r="D1800" s="2831" t="s">
        <v>4009</v>
      </c>
      <c r="E1800" s="2831" t="s">
        <v>2174</v>
      </c>
    </row>
    <row r="1801" spans="1:5">
      <c r="A1801" s="2831">
        <v>711</v>
      </c>
      <c r="B1801" s="2831" t="s">
        <v>4006</v>
      </c>
      <c r="C1801" s="2831">
        <v>210</v>
      </c>
      <c r="D1801" s="2831" t="s">
        <v>4010</v>
      </c>
      <c r="E1801" s="2831" t="s">
        <v>2174</v>
      </c>
    </row>
    <row r="1802" spans="1:5">
      <c r="A1802" s="2831">
        <v>711</v>
      </c>
      <c r="B1802" s="2831" t="s">
        <v>4006</v>
      </c>
      <c r="C1802" s="2831">
        <v>110</v>
      </c>
      <c r="D1802" s="2831" t="s">
        <v>4011</v>
      </c>
      <c r="E1802" s="2831" t="s">
        <v>2169</v>
      </c>
    </row>
    <row r="1803" spans="1:5">
      <c r="A1803" s="2831">
        <v>711</v>
      </c>
      <c r="B1803" s="2831" t="s">
        <v>4006</v>
      </c>
      <c r="C1803" s="2831">
        <v>392</v>
      </c>
      <c r="D1803" s="2831" t="s">
        <v>4012</v>
      </c>
      <c r="E1803" s="2831" t="s">
        <v>2166</v>
      </c>
    </row>
    <row r="1804" spans="1:5">
      <c r="A1804" s="2831">
        <v>711</v>
      </c>
      <c r="B1804" s="2831" t="s">
        <v>4006</v>
      </c>
      <c r="C1804" s="2831">
        <v>2052</v>
      </c>
      <c r="D1804" s="2831" t="s">
        <v>4013</v>
      </c>
      <c r="E1804" s="2831" t="s">
        <v>2169</v>
      </c>
    </row>
    <row r="1805" spans="1:5">
      <c r="A1805" s="2831">
        <v>784</v>
      </c>
      <c r="B1805" s="2831" t="s">
        <v>4014</v>
      </c>
      <c r="C1805" s="2831">
        <v>201</v>
      </c>
      <c r="D1805" s="2831" t="s">
        <v>4015</v>
      </c>
      <c r="E1805" s="2831" t="s">
        <v>2174</v>
      </c>
    </row>
    <row r="1806" spans="1:5">
      <c r="A1806" s="2831">
        <v>784</v>
      </c>
      <c r="B1806" s="2831" t="s">
        <v>4014</v>
      </c>
      <c r="C1806" s="2831">
        <v>3050</v>
      </c>
      <c r="D1806" s="2831" t="s">
        <v>4016</v>
      </c>
      <c r="E1806" s="2831" t="s">
        <v>2166</v>
      </c>
    </row>
    <row r="1807" spans="1:5">
      <c r="A1807" s="2831">
        <v>784</v>
      </c>
      <c r="B1807" s="2831" t="s">
        <v>4014</v>
      </c>
      <c r="C1807" s="2831">
        <v>111</v>
      </c>
      <c r="D1807" s="2831" t="s">
        <v>4017</v>
      </c>
      <c r="E1807" s="2831" t="s">
        <v>2174</v>
      </c>
    </row>
    <row r="1808" spans="1:5">
      <c r="A1808" s="2831">
        <v>712</v>
      </c>
      <c r="B1808" s="2831" t="s">
        <v>4018</v>
      </c>
      <c r="C1808" s="2831">
        <v>106</v>
      </c>
      <c r="D1808" s="2831" t="s">
        <v>3461</v>
      </c>
      <c r="E1808" s="2831" t="s">
        <v>2166</v>
      </c>
    </row>
    <row r="1809" spans="1:5">
      <c r="A1809" s="2831">
        <v>712</v>
      </c>
      <c r="B1809" s="2831" t="s">
        <v>4018</v>
      </c>
      <c r="C1809" s="2831">
        <v>103</v>
      </c>
      <c r="D1809" s="2831" t="s">
        <v>4019</v>
      </c>
      <c r="E1809" s="2831" t="s">
        <v>2174</v>
      </c>
    </row>
    <row r="1810" spans="1:5">
      <c r="A1810" s="2831">
        <v>712</v>
      </c>
      <c r="B1810" s="2831" t="s">
        <v>4018</v>
      </c>
      <c r="C1810" s="2831">
        <v>203</v>
      </c>
      <c r="D1810" s="2831" t="s">
        <v>4020</v>
      </c>
      <c r="E1810" s="2831" t="s">
        <v>2166</v>
      </c>
    </row>
    <row r="1811" spans="1:5">
      <c r="A1811" s="2831">
        <v>712</v>
      </c>
      <c r="B1811" s="2831" t="s">
        <v>4018</v>
      </c>
      <c r="C1811" s="2831">
        <v>198</v>
      </c>
      <c r="D1811" s="2831" t="s">
        <v>4021</v>
      </c>
      <c r="E1811" s="2831" t="s">
        <v>2166</v>
      </c>
    </row>
    <row r="1812" spans="1:5">
      <c r="A1812" s="2831">
        <v>712</v>
      </c>
      <c r="B1812" s="2831" t="s">
        <v>4018</v>
      </c>
      <c r="C1812" s="2831">
        <v>189</v>
      </c>
      <c r="D1812" s="2831" t="s">
        <v>4022</v>
      </c>
      <c r="E1812" s="2831" t="s">
        <v>2169</v>
      </c>
    </row>
    <row r="1813" spans="1:5">
      <c r="A1813" s="2831">
        <v>712</v>
      </c>
      <c r="B1813" s="2831" t="s">
        <v>4018</v>
      </c>
      <c r="C1813" s="2831">
        <v>303</v>
      </c>
      <c r="D1813" s="2831" t="s">
        <v>4023</v>
      </c>
      <c r="E1813" s="2831" t="s">
        <v>2169</v>
      </c>
    </row>
    <row r="1814" spans="1:5">
      <c r="A1814" s="2831">
        <v>713</v>
      </c>
      <c r="B1814" s="2831" t="s">
        <v>4024</v>
      </c>
      <c r="C1814" s="2831">
        <v>297</v>
      </c>
      <c r="D1814" s="2831" t="s">
        <v>4025</v>
      </c>
      <c r="E1814" s="2831" t="s">
        <v>2174</v>
      </c>
    </row>
    <row r="1815" spans="1:5">
      <c r="A1815" s="2831">
        <v>713</v>
      </c>
      <c r="B1815" s="2831" t="s">
        <v>4024</v>
      </c>
      <c r="C1815" s="2831">
        <v>112</v>
      </c>
      <c r="D1815" s="2831" t="s">
        <v>3208</v>
      </c>
      <c r="E1815" s="2831" t="s">
        <v>2174</v>
      </c>
    </row>
    <row r="1816" spans="1:5">
      <c r="A1816" s="2831">
        <v>713</v>
      </c>
      <c r="B1816" s="2831" t="s">
        <v>4024</v>
      </c>
      <c r="C1816" s="2831">
        <v>4050</v>
      </c>
      <c r="D1816" s="2831" t="s">
        <v>4026</v>
      </c>
      <c r="E1816" s="2831" t="s">
        <v>2174</v>
      </c>
    </row>
    <row r="1817" spans="1:5">
      <c r="A1817" s="2831">
        <v>713</v>
      </c>
      <c r="B1817" s="2831" t="s">
        <v>4024</v>
      </c>
      <c r="C1817" s="2831">
        <v>182</v>
      </c>
      <c r="D1817" s="2831" t="s">
        <v>4027</v>
      </c>
      <c r="E1817" s="2831" t="s">
        <v>2174</v>
      </c>
    </row>
    <row r="1818" spans="1:5">
      <c r="A1818" s="2831">
        <v>713</v>
      </c>
      <c r="B1818" s="2831" t="s">
        <v>4024</v>
      </c>
      <c r="C1818" s="2831">
        <v>197</v>
      </c>
      <c r="D1818" s="2831" t="s">
        <v>4028</v>
      </c>
      <c r="E1818" s="2831" t="s">
        <v>2174</v>
      </c>
    </row>
    <row r="1819" spans="1:5">
      <c r="A1819" s="2831">
        <v>714</v>
      </c>
      <c r="B1819" s="2831" t="s">
        <v>4029</v>
      </c>
      <c r="C1819" s="2831">
        <v>101</v>
      </c>
      <c r="D1819" s="2831" t="s">
        <v>4030</v>
      </c>
      <c r="E1819" s="2831" t="s">
        <v>2174</v>
      </c>
    </row>
    <row r="1820" spans="1:5">
      <c r="A1820" s="2831">
        <v>714</v>
      </c>
      <c r="B1820" s="2831" t="s">
        <v>4029</v>
      </c>
      <c r="C1820" s="2831">
        <v>194</v>
      </c>
      <c r="D1820" s="2831" t="s">
        <v>4031</v>
      </c>
      <c r="E1820" s="2831" t="s">
        <v>2166</v>
      </c>
    </row>
    <row r="1821" spans="1:5">
      <c r="A1821" s="2831">
        <v>714</v>
      </c>
      <c r="B1821" s="2831" t="s">
        <v>4029</v>
      </c>
      <c r="C1821" s="2831">
        <v>195</v>
      </c>
      <c r="D1821" s="2831" t="s">
        <v>4032</v>
      </c>
      <c r="E1821" s="2831" t="s">
        <v>2166</v>
      </c>
    </row>
    <row r="1822" spans="1:5">
      <c r="A1822" s="2831">
        <v>714</v>
      </c>
      <c r="B1822" s="2831" t="s">
        <v>4029</v>
      </c>
      <c r="C1822" s="2831">
        <v>188</v>
      </c>
      <c r="D1822" s="2831" t="s">
        <v>4033</v>
      </c>
      <c r="E1822" s="2831" t="s">
        <v>2174</v>
      </c>
    </row>
    <row r="1823" spans="1:5">
      <c r="A1823" s="2831">
        <v>714</v>
      </c>
      <c r="B1823" s="2831" t="s">
        <v>4029</v>
      </c>
      <c r="C1823" s="2831">
        <v>296</v>
      </c>
      <c r="D1823" s="2831" t="s">
        <v>4034</v>
      </c>
      <c r="E1823" s="2831" t="s">
        <v>2174</v>
      </c>
    </row>
    <row r="1824" spans="1:5">
      <c r="A1824" s="2831">
        <v>715</v>
      </c>
      <c r="B1824" s="2831" t="s">
        <v>4035</v>
      </c>
      <c r="C1824" s="2831">
        <v>5050</v>
      </c>
      <c r="D1824" s="2831" t="s">
        <v>4036</v>
      </c>
      <c r="E1824" s="2831" t="s">
        <v>2174</v>
      </c>
    </row>
    <row r="1825" spans="1:5">
      <c r="A1825" s="2831">
        <v>715</v>
      </c>
      <c r="B1825" s="2831" t="s">
        <v>4035</v>
      </c>
      <c r="C1825" s="2831">
        <v>103</v>
      </c>
      <c r="D1825" s="2831" t="s">
        <v>4037</v>
      </c>
      <c r="E1825" s="2831" t="s">
        <v>2174</v>
      </c>
    </row>
    <row r="1826" spans="1:5">
      <c r="A1826" s="2831">
        <v>715</v>
      </c>
      <c r="B1826" s="2831" t="s">
        <v>4035</v>
      </c>
      <c r="C1826" s="2831">
        <v>183</v>
      </c>
      <c r="D1826" s="2831" t="s">
        <v>4038</v>
      </c>
      <c r="E1826" s="2831" t="s">
        <v>2169</v>
      </c>
    </row>
    <row r="1827" spans="1:5">
      <c r="A1827" s="2831">
        <v>715</v>
      </c>
      <c r="B1827" s="2831" t="s">
        <v>4035</v>
      </c>
      <c r="C1827" s="2831">
        <v>274</v>
      </c>
      <c r="D1827" s="2831" t="s">
        <v>2790</v>
      </c>
      <c r="E1827" s="2831" t="s">
        <v>2169</v>
      </c>
    </row>
    <row r="1828" spans="1:5">
      <c r="A1828" s="2831">
        <v>715</v>
      </c>
      <c r="B1828" s="2831" t="s">
        <v>4035</v>
      </c>
      <c r="C1828" s="2831">
        <v>188</v>
      </c>
      <c r="D1828" s="2831" t="s">
        <v>4039</v>
      </c>
      <c r="E1828" s="2831" t="s">
        <v>2166</v>
      </c>
    </row>
    <row r="1829" spans="1:5">
      <c r="A1829" s="2831">
        <v>715</v>
      </c>
      <c r="B1829" s="2831" t="s">
        <v>4035</v>
      </c>
      <c r="C1829" s="2831">
        <v>102</v>
      </c>
      <c r="D1829" s="2831" t="s">
        <v>4040</v>
      </c>
      <c r="E1829" s="2831" t="s">
        <v>2166</v>
      </c>
    </row>
    <row r="1830" spans="1:5">
      <c r="A1830" s="2831">
        <v>715</v>
      </c>
      <c r="B1830" s="2831" t="s">
        <v>4035</v>
      </c>
      <c r="C1830" s="2831">
        <v>104</v>
      </c>
      <c r="D1830" s="2831" t="s">
        <v>4041</v>
      </c>
      <c r="E1830" s="2831" t="s">
        <v>2169</v>
      </c>
    </row>
    <row r="1831" spans="1:5">
      <c r="A1831" s="2831">
        <v>715</v>
      </c>
      <c r="B1831" s="2831" t="s">
        <v>4035</v>
      </c>
      <c r="C1831" s="2831">
        <v>210</v>
      </c>
      <c r="D1831" s="2831" t="s">
        <v>4042</v>
      </c>
      <c r="E1831" s="2831" t="s">
        <v>2169</v>
      </c>
    </row>
    <row r="1832" spans="1:5">
      <c r="A1832" s="2831">
        <v>715</v>
      </c>
      <c r="B1832" s="2831" t="s">
        <v>4035</v>
      </c>
      <c r="C1832" s="2831">
        <v>174</v>
      </c>
      <c r="D1832" s="2831" t="s">
        <v>2796</v>
      </c>
      <c r="E1832" s="2831" t="s">
        <v>2166</v>
      </c>
    </row>
    <row r="1833" spans="1:5">
      <c r="A1833" s="2831">
        <v>715</v>
      </c>
      <c r="B1833" s="2831" t="s">
        <v>4035</v>
      </c>
      <c r="C1833" s="2831">
        <v>310</v>
      </c>
      <c r="D1833" s="2831" t="s">
        <v>4043</v>
      </c>
      <c r="E1833" s="2831" t="s">
        <v>2169</v>
      </c>
    </row>
    <row r="1834" spans="1:5">
      <c r="A1834" s="2831">
        <v>716</v>
      </c>
      <c r="B1834" s="2831" t="s">
        <v>4044</v>
      </c>
      <c r="C1834" s="2831">
        <v>2050</v>
      </c>
      <c r="D1834" s="2831" t="s">
        <v>4045</v>
      </c>
      <c r="E1834" s="2831" t="s">
        <v>2166</v>
      </c>
    </row>
    <row r="1835" spans="1:5">
      <c r="A1835" s="2831">
        <v>716</v>
      </c>
      <c r="B1835" s="2831" t="s">
        <v>4044</v>
      </c>
      <c r="C1835" s="2831">
        <v>3050</v>
      </c>
      <c r="D1835" s="2831" t="s">
        <v>4046</v>
      </c>
      <c r="E1835" s="2831" t="s">
        <v>2169</v>
      </c>
    </row>
    <row r="1836" spans="1:5">
      <c r="A1836" s="2831">
        <v>716</v>
      </c>
      <c r="B1836" s="2831" t="s">
        <v>4044</v>
      </c>
      <c r="C1836" s="2831">
        <v>195</v>
      </c>
      <c r="D1836" s="2831" t="s">
        <v>4047</v>
      </c>
      <c r="E1836" s="2831" t="s">
        <v>2169</v>
      </c>
    </row>
    <row r="1837" spans="1:5">
      <c r="A1837" s="2831">
        <v>717</v>
      </c>
      <c r="B1837" s="2831" t="s">
        <v>4048</v>
      </c>
      <c r="C1837" s="2831">
        <v>113</v>
      </c>
      <c r="D1837" s="2831" t="s">
        <v>4049</v>
      </c>
      <c r="E1837" s="2831" t="s">
        <v>2174</v>
      </c>
    </row>
    <row r="1838" spans="1:5">
      <c r="A1838" s="2831">
        <v>717</v>
      </c>
      <c r="B1838" s="2831" t="s">
        <v>4048</v>
      </c>
      <c r="C1838" s="2831">
        <v>114</v>
      </c>
      <c r="D1838" s="2831" t="s">
        <v>4050</v>
      </c>
      <c r="E1838" s="2831" t="s">
        <v>2166</v>
      </c>
    </row>
    <row r="1839" spans="1:5">
      <c r="A1839" s="2831">
        <v>717</v>
      </c>
      <c r="B1839" s="2831" t="s">
        <v>4048</v>
      </c>
      <c r="C1839" s="2831">
        <v>111</v>
      </c>
      <c r="D1839" s="2831" t="s">
        <v>4051</v>
      </c>
      <c r="E1839" s="2831" t="s">
        <v>2166</v>
      </c>
    </row>
    <row r="1840" spans="1:5">
      <c r="A1840" s="2831">
        <v>717</v>
      </c>
      <c r="B1840" s="2831" t="s">
        <v>4048</v>
      </c>
      <c r="C1840" s="2831">
        <v>112</v>
      </c>
      <c r="D1840" s="2831" t="s">
        <v>4052</v>
      </c>
      <c r="E1840" s="2831" t="s">
        <v>2166</v>
      </c>
    </row>
    <row r="1841" spans="1:5">
      <c r="A1841" s="2831">
        <v>718</v>
      </c>
      <c r="B1841" s="2831" t="s">
        <v>4053</v>
      </c>
      <c r="C1841" s="2831">
        <v>199</v>
      </c>
      <c r="D1841" s="2831" t="s">
        <v>4054</v>
      </c>
      <c r="E1841" s="2831" t="s">
        <v>2169</v>
      </c>
    </row>
    <row r="1842" spans="1:5">
      <c r="A1842" s="2831">
        <v>718</v>
      </c>
      <c r="B1842" s="2831" t="s">
        <v>4053</v>
      </c>
      <c r="C1842" s="2831">
        <v>110</v>
      </c>
      <c r="D1842" s="2831" t="s">
        <v>4055</v>
      </c>
      <c r="E1842" s="2831" t="s">
        <v>2169</v>
      </c>
    </row>
    <row r="1843" spans="1:5">
      <c r="A1843" s="2831">
        <v>719</v>
      </c>
      <c r="B1843" s="2831" t="s">
        <v>4056</v>
      </c>
      <c r="C1843" s="2831">
        <v>105</v>
      </c>
      <c r="D1843" s="2831" t="s">
        <v>4057</v>
      </c>
      <c r="E1843" s="2831" t="s">
        <v>2166</v>
      </c>
    </row>
    <row r="1844" spans="1:5">
      <c r="A1844" s="2831">
        <v>719</v>
      </c>
      <c r="B1844" s="2831" t="s">
        <v>4056</v>
      </c>
      <c r="C1844" s="2831">
        <v>177</v>
      </c>
      <c r="D1844" s="2831" t="s">
        <v>4058</v>
      </c>
      <c r="E1844" s="2831" t="s">
        <v>2174</v>
      </c>
    </row>
    <row r="1845" spans="1:5">
      <c r="A1845" s="2831">
        <v>719</v>
      </c>
      <c r="B1845" s="2831" t="s">
        <v>4056</v>
      </c>
      <c r="C1845" s="2831">
        <v>100</v>
      </c>
      <c r="D1845" s="2831" t="s">
        <v>4059</v>
      </c>
      <c r="E1845" s="2831" t="s">
        <v>2169</v>
      </c>
    </row>
    <row r="1846" spans="1:5">
      <c r="A1846" s="2831">
        <v>719</v>
      </c>
      <c r="B1846" s="2831" t="s">
        <v>4056</v>
      </c>
      <c r="C1846" s="2831">
        <v>114</v>
      </c>
      <c r="D1846" s="2831" t="s">
        <v>4060</v>
      </c>
      <c r="E1846" s="2831" t="s">
        <v>2166</v>
      </c>
    </row>
    <row r="1847" spans="1:5">
      <c r="A1847" s="2831">
        <v>720</v>
      </c>
      <c r="B1847" s="2831" t="s">
        <v>4061</v>
      </c>
      <c r="C1847" s="2831">
        <v>201</v>
      </c>
      <c r="D1847" s="2831" t="s">
        <v>4062</v>
      </c>
      <c r="E1847" s="2831" t="s">
        <v>2174</v>
      </c>
    </row>
    <row r="1848" spans="1:5">
      <c r="A1848" s="2831">
        <v>720</v>
      </c>
      <c r="B1848" s="2831" t="s">
        <v>4061</v>
      </c>
      <c r="C1848" s="2831">
        <v>2050</v>
      </c>
      <c r="D1848" s="2831" t="s">
        <v>4063</v>
      </c>
      <c r="E1848" s="2831" t="s">
        <v>2166</v>
      </c>
    </row>
    <row r="1849" spans="1:5">
      <c r="A1849" s="2831">
        <v>720</v>
      </c>
      <c r="B1849" s="2831" t="s">
        <v>4061</v>
      </c>
      <c r="C1849" s="2831">
        <v>101</v>
      </c>
      <c r="D1849" s="2831" t="s">
        <v>4064</v>
      </c>
      <c r="E1849" s="2831" t="s">
        <v>2166</v>
      </c>
    </row>
    <row r="1850" spans="1:5">
      <c r="A1850" s="2831">
        <v>721</v>
      </c>
      <c r="B1850" s="2831" t="s">
        <v>4065</v>
      </c>
      <c r="C1850" s="2831">
        <v>4060</v>
      </c>
      <c r="D1850" s="2831" t="s">
        <v>4066</v>
      </c>
      <c r="E1850" s="2831" t="s">
        <v>2169</v>
      </c>
    </row>
    <row r="1851" spans="1:5">
      <c r="A1851" s="2831">
        <v>721</v>
      </c>
      <c r="B1851" s="2831" t="s">
        <v>4065</v>
      </c>
      <c r="C1851" s="2831">
        <v>2050</v>
      </c>
      <c r="D1851" s="2831" t="s">
        <v>4067</v>
      </c>
      <c r="E1851" s="2831" t="s">
        <v>2169</v>
      </c>
    </row>
    <row r="1852" spans="1:5">
      <c r="A1852" s="2831">
        <v>721</v>
      </c>
      <c r="B1852" s="2831" t="s">
        <v>4065</v>
      </c>
      <c r="C1852" s="2831">
        <v>3050</v>
      </c>
      <c r="D1852" s="2831" t="s">
        <v>4068</v>
      </c>
      <c r="E1852" s="2831" t="s">
        <v>2166</v>
      </c>
    </row>
    <row r="1853" spans="1:5">
      <c r="A1853" s="2831">
        <v>721</v>
      </c>
      <c r="B1853" s="2831" t="s">
        <v>4065</v>
      </c>
      <c r="C1853" s="2831">
        <v>394</v>
      </c>
      <c r="D1853" s="2831" t="s">
        <v>4069</v>
      </c>
      <c r="E1853" s="2831" t="s">
        <v>2169</v>
      </c>
    </row>
    <row r="1854" spans="1:5">
      <c r="A1854" s="2831">
        <v>721</v>
      </c>
      <c r="B1854" s="2831" t="s">
        <v>4065</v>
      </c>
      <c r="C1854" s="2831">
        <v>4050</v>
      </c>
      <c r="D1854" s="2831" t="s">
        <v>4070</v>
      </c>
      <c r="E1854" s="2831" t="s">
        <v>2166</v>
      </c>
    </row>
    <row r="1855" spans="1:5">
      <c r="A1855" s="2831">
        <v>721</v>
      </c>
      <c r="B1855" s="2831" t="s">
        <v>4065</v>
      </c>
      <c r="C1855" s="2831">
        <v>1052</v>
      </c>
      <c r="D1855" s="2831" t="s">
        <v>4071</v>
      </c>
      <c r="E1855" s="2831" t="s">
        <v>2169</v>
      </c>
    </row>
    <row r="1856" spans="1:5">
      <c r="A1856" s="2831">
        <v>721</v>
      </c>
      <c r="B1856" s="2831" t="s">
        <v>4065</v>
      </c>
      <c r="C1856" s="2831">
        <v>2052</v>
      </c>
      <c r="D1856" s="2831" t="s">
        <v>4072</v>
      </c>
      <c r="E1856" s="2831" t="s">
        <v>2174</v>
      </c>
    </row>
    <row r="1857" spans="1:5">
      <c r="A1857" s="2831">
        <v>721</v>
      </c>
      <c r="B1857" s="2831" t="s">
        <v>4065</v>
      </c>
      <c r="C1857" s="2831">
        <v>100</v>
      </c>
      <c r="D1857" s="2831" t="s">
        <v>4073</v>
      </c>
      <c r="E1857" s="2831" t="s">
        <v>2169</v>
      </c>
    </row>
    <row r="1858" spans="1:5">
      <c r="A1858" s="2831">
        <v>721</v>
      </c>
      <c r="B1858" s="2831" t="s">
        <v>4065</v>
      </c>
      <c r="C1858" s="2831">
        <v>4562</v>
      </c>
      <c r="D1858" s="2831" t="s">
        <v>4074</v>
      </c>
      <c r="E1858" s="2831" t="s">
        <v>2166</v>
      </c>
    </row>
    <row r="1859" spans="1:5">
      <c r="A1859" s="2831">
        <v>721</v>
      </c>
      <c r="B1859" s="2831" t="s">
        <v>4065</v>
      </c>
      <c r="C1859" s="2831">
        <v>105</v>
      </c>
      <c r="D1859" s="2831" t="s">
        <v>4075</v>
      </c>
      <c r="E1859" s="2831" t="s">
        <v>2169</v>
      </c>
    </row>
    <row r="1860" spans="1:5">
      <c r="A1860" s="2831">
        <v>721</v>
      </c>
      <c r="B1860" s="2831" t="s">
        <v>4065</v>
      </c>
      <c r="C1860" s="2831">
        <v>205</v>
      </c>
      <c r="D1860" s="2831" t="s">
        <v>4076</v>
      </c>
      <c r="E1860" s="2831" t="s">
        <v>2169</v>
      </c>
    </row>
    <row r="1861" spans="1:5">
      <c r="A1861" s="2831">
        <v>721</v>
      </c>
      <c r="B1861" s="2831" t="s">
        <v>4065</v>
      </c>
      <c r="C1861" s="2831">
        <v>5054</v>
      </c>
      <c r="D1861" s="2831" t="s">
        <v>4077</v>
      </c>
      <c r="E1861" s="2831" t="s">
        <v>2166</v>
      </c>
    </row>
    <row r="1862" spans="1:5">
      <c r="A1862" s="2831">
        <v>721</v>
      </c>
      <c r="B1862" s="2831" t="s">
        <v>4065</v>
      </c>
      <c r="C1862" s="2831">
        <v>103</v>
      </c>
      <c r="D1862" s="2831" t="s">
        <v>4078</v>
      </c>
      <c r="E1862" s="2831" t="s">
        <v>2166</v>
      </c>
    </row>
    <row r="1863" spans="1:5">
      <c r="A1863" s="2831">
        <v>721</v>
      </c>
      <c r="B1863" s="2831" t="s">
        <v>4065</v>
      </c>
      <c r="C1863" s="2831">
        <v>1054</v>
      </c>
      <c r="D1863" s="2831" t="s">
        <v>4079</v>
      </c>
      <c r="E1863" s="2831" t="s">
        <v>2169</v>
      </c>
    </row>
    <row r="1864" spans="1:5">
      <c r="A1864" s="2831">
        <v>721</v>
      </c>
      <c r="B1864" s="2831" t="s">
        <v>4065</v>
      </c>
      <c r="C1864" s="2831">
        <v>2054</v>
      </c>
      <c r="D1864" s="2831" t="s">
        <v>4080</v>
      </c>
      <c r="E1864" s="2831" t="s">
        <v>2169</v>
      </c>
    </row>
    <row r="1865" spans="1:5">
      <c r="A1865" s="2831">
        <v>721</v>
      </c>
      <c r="B1865" s="2831" t="s">
        <v>4065</v>
      </c>
      <c r="C1865" s="2831">
        <v>3054</v>
      </c>
      <c r="D1865" s="2831" t="s">
        <v>4081</v>
      </c>
      <c r="E1865" s="2831" t="s">
        <v>2169</v>
      </c>
    </row>
    <row r="1866" spans="1:5">
      <c r="A1866" s="2831">
        <v>721</v>
      </c>
      <c r="B1866" s="2831" t="s">
        <v>4065</v>
      </c>
      <c r="C1866" s="2831">
        <v>197</v>
      </c>
      <c r="D1866" s="2831" t="s">
        <v>4082</v>
      </c>
      <c r="E1866" s="2831" t="s">
        <v>2169</v>
      </c>
    </row>
    <row r="1867" spans="1:5">
      <c r="A1867" s="2831">
        <v>721</v>
      </c>
      <c r="B1867" s="2831" t="s">
        <v>4065</v>
      </c>
      <c r="C1867" s="2831">
        <v>194</v>
      </c>
      <c r="D1867" s="2831" t="s">
        <v>4083</v>
      </c>
      <c r="E1867" s="2831" t="s">
        <v>2169</v>
      </c>
    </row>
    <row r="1868" spans="1:5">
      <c r="A1868" s="2831">
        <v>721</v>
      </c>
      <c r="B1868" s="2831" t="s">
        <v>4065</v>
      </c>
      <c r="C1868" s="2831">
        <v>4054</v>
      </c>
      <c r="D1868" s="2831" t="s">
        <v>4084</v>
      </c>
      <c r="E1868" s="2831" t="s">
        <v>2166</v>
      </c>
    </row>
    <row r="1869" spans="1:5">
      <c r="A1869" s="2831">
        <v>721</v>
      </c>
      <c r="B1869" s="2831" t="s">
        <v>4065</v>
      </c>
      <c r="C1869" s="2831">
        <v>102</v>
      </c>
      <c r="D1869" s="2831" t="s">
        <v>4085</v>
      </c>
      <c r="E1869" s="2831" t="s">
        <v>2169</v>
      </c>
    </row>
    <row r="1870" spans="1:5">
      <c r="A1870" s="2831">
        <v>721</v>
      </c>
      <c r="B1870" s="2831" t="s">
        <v>4065</v>
      </c>
      <c r="C1870" s="2831">
        <v>2056</v>
      </c>
      <c r="D1870" s="2831" t="s">
        <v>4086</v>
      </c>
      <c r="E1870" s="2831" t="s">
        <v>2169</v>
      </c>
    </row>
    <row r="1871" spans="1:5">
      <c r="A1871" s="2831">
        <v>721</v>
      </c>
      <c r="B1871" s="2831" t="s">
        <v>4065</v>
      </c>
      <c r="C1871" s="2831">
        <v>1156</v>
      </c>
      <c r="D1871" s="2831" t="s">
        <v>4087</v>
      </c>
      <c r="E1871" s="2831" t="s">
        <v>2166</v>
      </c>
    </row>
    <row r="1872" spans="1:5">
      <c r="A1872" s="2831">
        <v>721</v>
      </c>
      <c r="B1872" s="2831" t="s">
        <v>4065</v>
      </c>
      <c r="C1872" s="2831">
        <v>189</v>
      </c>
      <c r="D1872" s="2831" t="s">
        <v>4088</v>
      </c>
      <c r="E1872" s="2831" t="s">
        <v>2166</v>
      </c>
    </row>
    <row r="1873" spans="1:5">
      <c r="A1873" s="2831">
        <v>721</v>
      </c>
      <c r="B1873" s="2831" t="s">
        <v>4065</v>
      </c>
      <c r="C1873" s="2831">
        <v>301</v>
      </c>
      <c r="D1873" s="2831" t="s">
        <v>4089</v>
      </c>
      <c r="E1873" s="2831" t="s">
        <v>2166</v>
      </c>
    </row>
    <row r="1874" spans="1:5">
      <c r="A1874" s="2831">
        <v>721</v>
      </c>
      <c r="B1874" s="2831" t="s">
        <v>4065</v>
      </c>
      <c r="C1874" s="2831">
        <v>3556</v>
      </c>
      <c r="D1874" s="2831" t="s">
        <v>4090</v>
      </c>
      <c r="E1874" s="2831" t="s">
        <v>2166</v>
      </c>
    </row>
    <row r="1875" spans="1:5">
      <c r="A1875" s="2831">
        <v>721</v>
      </c>
      <c r="B1875" s="2831" t="s">
        <v>4065</v>
      </c>
      <c r="C1875" s="2831">
        <v>3756</v>
      </c>
      <c r="D1875" s="2831" t="s">
        <v>4091</v>
      </c>
      <c r="E1875" s="2831" t="s">
        <v>2169</v>
      </c>
    </row>
    <row r="1876" spans="1:5">
      <c r="A1876" s="2831">
        <v>721</v>
      </c>
      <c r="B1876" s="2831" t="s">
        <v>4065</v>
      </c>
      <c r="C1876" s="2831">
        <v>300</v>
      </c>
      <c r="D1876" s="2831" t="s">
        <v>4092</v>
      </c>
      <c r="E1876" s="2831" t="s">
        <v>2169</v>
      </c>
    </row>
    <row r="1877" spans="1:5">
      <c r="A1877" s="2831">
        <v>721</v>
      </c>
      <c r="B1877" s="2831" t="s">
        <v>4065</v>
      </c>
      <c r="C1877" s="2831">
        <v>116</v>
      </c>
      <c r="D1877" s="2831" t="s">
        <v>4093</v>
      </c>
      <c r="E1877" s="2831" t="s">
        <v>2166</v>
      </c>
    </row>
    <row r="1878" spans="1:5">
      <c r="A1878" s="2831">
        <v>721</v>
      </c>
      <c r="B1878" s="2831" t="s">
        <v>4065</v>
      </c>
      <c r="C1878" s="2831">
        <v>5566</v>
      </c>
      <c r="D1878" s="2831" t="s">
        <v>4094</v>
      </c>
      <c r="E1878" s="2831" t="s">
        <v>2166</v>
      </c>
    </row>
    <row r="1879" spans="1:5">
      <c r="A1879" s="2831">
        <v>721</v>
      </c>
      <c r="B1879" s="2831" t="s">
        <v>4065</v>
      </c>
      <c r="C1879" s="2831">
        <v>1058</v>
      </c>
      <c r="D1879" s="2831" t="s">
        <v>4095</v>
      </c>
      <c r="E1879" s="2831" t="s">
        <v>2169</v>
      </c>
    </row>
    <row r="1880" spans="1:5">
      <c r="A1880" s="2831">
        <v>721</v>
      </c>
      <c r="B1880" s="2831" t="s">
        <v>4065</v>
      </c>
      <c r="C1880" s="2831">
        <v>297</v>
      </c>
      <c r="D1880" s="2831" t="s">
        <v>4096</v>
      </c>
      <c r="E1880" s="2831" t="s">
        <v>2166</v>
      </c>
    </row>
    <row r="1881" spans="1:5">
      <c r="A1881" s="2831">
        <v>721</v>
      </c>
      <c r="B1881" s="2831" t="s">
        <v>4065</v>
      </c>
      <c r="C1881" s="2831">
        <v>177</v>
      </c>
      <c r="D1881" s="2831" t="s">
        <v>4097</v>
      </c>
      <c r="E1881" s="2831" t="s">
        <v>2166</v>
      </c>
    </row>
    <row r="1882" spans="1:5">
      <c r="A1882" s="2831">
        <v>721</v>
      </c>
      <c r="B1882" s="2831" t="s">
        <v>4065</v>
      </c>
      <c r="C1882" s="2831">
        <v>2058</v>
      </c>
      <c r="D1882" s="2831" t="s">
        <v>4098</v>
      </c>
      <c r="E1882" s="2831" t="s">
        <v>2166</v>
      </c>
    </row>
    <row r="1883" spans="1:5">
      <c r="A1883" s="2831">
        <v>721</v>
      </c>
      <c r="B1883" s="2831" t="s">
        <v>4065</v>
      </c>
      <c r="C1883" s="2831">
        <v>4058</v>
      </c>
      <c r="D1883" s="2831" t="s">
        <v>4099</v>
      </c>
      <c r="E1883" s="2831" t="s">
        <v>2169</v>
      </c>
    </row>
    <row r="1884" spans="1:5">
      <c r="A1884" s="2831">
        <v>721</v>
      </c>
      <c r="B1884" s="2831" t="s">
        <v>4065</v>
      </c>
      <c r="C1884" s="2831">
        <v>5058</v>
      </c>
      <c r="D1884" s="2831" t="s">
        <v>4100</v>
      </c>
      <c r="E1884" s="2831" t="s">
        <v>2166</v>
      </c>
    </row>
    <row r="1885" spans="1:5">
      <c r="A1885" s="2831">
        <v>721</v>
      </c>
      <c r="B1885" s="2831" t="s">
        <v>4065</v>
      </c>
      <c r="C1885" s="2831">
        <v>114</v>
      </c>
      <c r="D1885" s="2831" t="s">
        <v>4101</v>
      </c>
      <c r="E1885" s="2831" t="s">
        <v>2174</v>
      </c>
    </row>
    <row r="1886" spans="1:5">
      <c r="A1886" s="2831">
        <v>721</v>
      </c>
      <c r="B1886" s="2831" t="s">
        <v>4065</v>
      </c>
      <c r="C1886" s="2831">
        <v>213</v>
      </c>
      <c r="D1886" s="2831" t="s">
        <v>4102</v>
      </c>
      <c r="E1886" s="2831" t="s">
        <v>2174</v>
      </c>
    </row>
    <row r="1887" spans="1:5">
      <c r="A1887" s="2831">
        <v>721</v>
      </c>
      <c r="B1887" s="2831" t="s">
        <v>4065</v>
      </c>
      <c r="C1887" s="2831">
        <v>397</v>
      </c>
      <c r="D1887" s="2831" t="s">
        <v>4103</v>
      </c>
      <c r="E1887" s="2831" t="s">
        <v>2169</v>
      </c>
    </row>
    <row r="1888" spans="1:5">
      <c r="A1888" s="2831">
        <v>721</v>
      </c>
      <c r="B1888" s="2831" t="s">
        <v>4065</v>
      </c>
      <c r="C1888" s="2831">
        <v>390</v>
      </c>
      <c r="D1888" s="2831" t="s">
        <v>4104</v>
      </c>
      <c r="E1888" s="2831" t="s">
        <v>2166</v>
      </c>
    </row>
    <row r="1889" spans="1:5">
      <c r="A1889" s="2831">
        <v>721</v>
      </c>
      <c r="B1889" s="2831" t="s">
        <v>4065</v>
      </c>
      <c r="C1889" s="2831">
        <v>201</v>
      </c>
      <c r="D1889" s="2831" t="s">
        <v>4105</v>
      </c>
      <c r="E1889" s="2831" t="s">
        <v>2169</v>
      </c>
    </row>
    <row r="1890" spans="1:5">
      <c r="A1890" s="2831">
        <v>721</v>
      </c>
      <c r="B1890" s="2831" t="s">
        <v>4065</v>
      </c>
      <c r="C1890" s="2831">
        <v>294</v>
      </c>
      <c r="D1890" s="2831" t="s">
        <v>4106</v>
      </c>
      <c r="E1890" s="2831" t="s">
        <v>2169</v>
      </c>
    </row>
    <row r="1891" spans="1:5">
      <c r="A1891" s="2831">
        <v>721</v>
      </c>
      <c r="B1891" s="2831" t="s">
        <v>4065</v>
      </c>
      <c r="C1891" s="2831">
        <v>5564</v>
      </c>
      <c r="D1891" s="2831" t="s">
        <v>4107</v>
      </c>
      <c r="E1891" s="2831" t="s">
        <v>2169</v>
      </c>
    </row>
    <row r="1892" spans="1:5">
      <c r="A1892" s="2831">
        <v>721</v>
      </c>
      <c r="B1892" s="2831" t="s">
        <v>4065</v>
      </c>
      <c r="C1892" s="2831">
        <v>393</v>
      </c>
      <c r="D1892" s="2831" t="s">
        <v>4108</v>
      </c>
      <c r="E1892" s="2831" t="s">
        <v>2169</v>
      </c>
    </row>
    <row r="1893" spans="1:5">
      <c r="A1893" s="2831">
        <v>721</v>
      </c>
      <c r="B1893" s="2831" t="s">
        <v>4065</v>
      </c>
      <c r="C1893" s="2831">
        <v>115</v>
      </c>
      <c r="D1893" s="2831" t="s">
        <v>4109</v>
      </c>
      <c r="E1893" s="2831" t="s">
        <v>2166</v>
      </c>
    </row>
    <row r="1894" spans="1:5">
      <c r="A1894" s="2831">
        <v>721</v>
      </c>
      <c r="B1894" s="2831" t="s">
        <v>4065</v>
      </c>
      <c r="C1894" s="2831">
        <v>1064</v>
      </c>
      <c r="D1894" s="2831" t="s">
        <v>4110</v>
      </c>
      <c r="E1894" s="2831" t="s">
        <v>2166</v>
      </c>
    </row>
    <row r="1895" spans="1:5">
      <c r="A1895" s="2831">
        <v>721</v>
      </c>
      <c r="B1895" s="2831" t="s">
        <v>4065</v>
      </c>
      <c r="C1895" s="2831">
        <v>2064</v>
      </c>
      <c r="D1895" s="2831" t="s">
        <v>4111</v>
      </c>
      <c r="E1895" s="2831" t="s">
        <v>2166</v>
      </c>
    </row>
    <row r="1896" spans="1:5">
      <c r="A1896" s="2831">
        <v>721</v>
      </c>
      <c r="B1896" s="2831" t="s">
        <v>4065</v>
      </c>
      <c r="C1896" s="2831">
        <v>2574</v>
      </c>
      <c r="D1896" s="2831" t="s">
        <v>2366</v>
      </c>
      <c r="E1896" s="2831" t="s">
        <v>2169</v>
      </c>
    </row>
    <row r="1897" spans="1:5">
      <c r="A1897" s="2831">
        <v>721</v>
      </c>
      <c r="B1897" s="2831" t="s">
        <v>4065</v>
      </c>
      <c r="C1897" s="2831">
        <v>4064</v>
      </c>
      <c r="D1897" s="2831" t="s">
        <v>4112</v>
      </c>
      <c r="E1897" s="2831" t="s">
        <v>2169</v>
      </c>
    </row>
    <row r="1898" spans="1:5">
      <c r="A1898" s="2831">
        <v>721</v>
      </c>
      <c r="B1898" s="2831" t="s">
        <v>4065</v>
      </c>
      <c r="C1898" s="2831">
        <v>104</v>
      </c>
      <c r="D1898" s="2831" t="s">
        <v>4113</v>
      </c>
      <c r="E1898" s="2831" t="s">
        <v>2174</v>
      </c>
    </row>
    <row r="1899" spans="1:5">
      <c r="A1899" s="2831">
        <v>722</v>
      </c>
      <c r="B1899" s="2831" t="s">
        <v>4114</v>
      </c>
      <c r="C1899" s="2831">
        <v>178</v>
      </c>
      <c r="D1899" s="2831" t="s">
        <v>4115</v>
      </c>
      <c r="E1899" s="2831" t="s">
        <v>2166</v>
      </c>
    </row>
    <row r="1900" spans="1:5">
      <c r="A1900" s="2831">
        <v>722</v>
      </c>
      <c r="B1900" s="2831" t="s">
        <v>4114</v>
      </c>
      <c r="C1900" s="2831">
        <v>278</v>
      </c>
      <c r="D1900" s="2831" t="s">
        <v>4116</v>
      </c>
      <c r="E1900" s="2831" t="s">
        <v>2174</v>
      </c>
    </row>
    <row r="1901" spans="1:5">
      <c r="A1901" s="2831">
        <v>722</v>
      </c>
      <c r="B1901" s="2831" t="s">
        <v>4114</v>
      </c>
      <c r="C1901" s="2831">
        <v>378</v>
      </c>
      <c r="D1901" s="2831" t="s">
        <v>4117</v>
      </c>
      <c r="E1901" s="2831" t="s">
        <v>2166</v>
      </c>
    </row>
    <row r="1902" spans="1:5">
      <c r="A1902" s="2831">
        <v>722</v>
      </c>
      <c r="B1902" s="2831" t="s">
        <v>4114</v>
      </c>
      <c r="C1902" s="2831">
        <v>2050</v>
      </c>
      <c r="D1902" s="2831" t="s">
        <v>2957</v>
      </c>
      <c r="E1902" s="2831" t="s">
        <v>2166</v>
      </c>
    </row>
    <row r="1903" spans="1:5">
      <c r="A1903" s="2831">
        <v>722</v>
      </c>
      <c r="B1903" s="2831" t="s">
        <v>4114</v>
      </c>
      <c r="C1903" s="2831">
        <v>107</v>
      </c>
      <c r="D1903" s="2831" t="s">
        <v>4118</v>
      </c>
      <c r="E1903" s="2831" t="s">
        <v>2174</v>
      </c>
    </row>
    <row r="1904" spans="1:5">
      <c r="A1904" s="2831">
        <v>722</v>
      </c>
      <c r="B1904" s="2831" t="s">
        <v>4114</v>
      </c>
      <c r="C1904" s="2831">
        <v>176</v>
      </c>
      <c r="D1904" s="2831" t="s">
        <v>2502</v>
      </c>
      <c r="E1904" s="2831" t="s">
        <v>2166</v>
      </c>
    </row>
    <row r="1905" spans="1:5">
      <c r="A1905" s="2831">
        <v>722</v>
      </c>
      <c r="B1905" s="2831" t="s">
        <v>4114</v>
      </c>
      <c r="C1905" s="2831">
        <v>110</v>
      </c>
      <c r="D1905" s="2831" t="s">
        <v>4119</v>
      </c>
      <c r="E1905" s="2831" t="s">
        <v>2174</v>
      </c>
    </row>
    <row r="1906" spans="1:5">
      <c r="A1906" s="2831">
        <v>722</v>
      </c>
      <c r="B1906" s="2831" t="s">
        <v>4114</v>
      </c>
      <c r="C1906" s="2831">
        <v>289</v>
      </c>
      <c r="D1906" s="2831" t="s">
        <v>4120</v>
      </c>
      <c r="E1906" s="2831" t="s">
        <v>2166</v>
      </c>
    </row>
    <row r="1907" spans="1:5">
      <c r="A1907" s="2831">
        <v>722</v>
      </c>
      <c r="B1907" s="2831" t="s">
        <v>4114</v>
      </c>
      <c r="C1907" s="2831">
        <v>174</v>
      </c>
      <c r="D1907" s="2831" t="s">
        <v>4121</v>
      </c>
      <c r="E1907" s="2831" t="s">
        <v>2166</v>
      </c>
    </row>
    <row r="1908" spans="1:5">
      <c r="A1908" s="2831">
        <v>722</v>
      </c>
      <c r="B1908" s="2831" t="s">
        <v>4114</v>
      </c>
      <c r="C1908" s="2831">
        <v>5050</v>
      </c>
      <c r="D1908" s="2831" t="s">
        <v>4122</v>
      </c>
      <c r="E1908" s="2831" t="s">
        <v>2166</v>
      </c>
    </row>
    <row r="1909" spans="1:5">
      <c r="A1909" s="2831">
        <v>722</v>
      </c>
      <c r="B1909" s="2831" t="s">
        <v>4114</v>
      </c>
      <c r="C1909" s="2831">
        <v>197</v>
      </c>
      <c r="D1909" s="2831" t="s">
        <v>4123</v>
      </c>
      <c r="E1909" s="2831" t="s">
        <v>2169</v>
      </c>
    </row>
    <row r="1910" spans="1:5">
      <c r="A1910" s="2831">
        <v>722</v>
      </c>
      <c r="B1910" s="2831" t="s">
        <v>4114</v>
      </c>
      <c r="C1910" s="2831">
        <v>294</v>
      </c>
      <c r="D1910" s="2831" t="s">
        <v>4124</v>
      </c>
      <c r="E1910" s="2831" t="s">
        <v>2174</v>
      </c>
    </row>
    <row r="1911" spans="1:5">
      <c r="A1911" s="2831">
        <v>722</v>
      </c>
      <c r="B1911" s="2831" t="s">
        <v>4114</v>
      </c>
      <c r="C1911" s="2831">
        <v>102</v>
      </c>
      <c r="D1911" s="2831" t="s">
        <v>4125</v>
      </c>
      <c r="E1911" s="2831" t="s">
        <v>2174</v>
      </c>
    </row>
    <row r="1912" spans="1:5">
      <c r="A1912" s="2831">
        <v>722</v>
      </c>
      <c r="B1912" s="2831" t="s">
        <v>4114</v>
      </c>
      <c r="C1912" s="2831">
        <v>2052</v>
      </c>
      <c r="D1912" s="2831" t="s">
        <v>4126</v>
      </c>
      <c r="E1912" s="2831" t="s">
        <v>2174</v>
      </c>
    </row>
    <row r="1913" spans="1:5">
      <c r="A1913" s="2831">
        <v>722</v>
      </c>
      <c r="B1913" s="2831" t="s">
        <v>4114</v>
      </c>
      <c r="C1913" s="2831">
        <v>3052</v>
      </c>
      <c r="D1913" s="2831" t="s">
        <v>4127</v>
      </c>
      <c r="E1913" s="2831" t="s">
        <v>2166</v>
      </c>
    </row>
    <row r="1914" spans="1:5">
      <c r="A1914" s="2831">
        <v>722</v>
      </c>
      <c r="B1914" s="2831" t="s">
        <v>4114</v>
      </c>
      <c r="C1914" s="2831">
        <v>192</v>
      </c>
      <c r="D1914" s="2831" t="s">
        <v>4128</v>
      </c>
      <c r="E1914" s="2831" t="s">
        <v>2174</v>
      </c>
    </row>
    <row r="1915" spans="1:5">
      <c r="A1915" s="2831">
        <v>722</v>
      </c>
      <c r="B1915" s="2831" t="s">
        <v>4114</v>
      </c>
      <c r="C1915" s="2831">
        <v>194</v>
      </c>
      <c r="D1915" s="2831" t="s">
        <v>4129</v>
      </c>
      <c r="E1915" s="2831" t="s">
        <v>2174</v>
      </c>
    </row>
    <row r="1916" spans="1:5">
      <c r="A1916" s="2831">
        <v>722</v>
      </c>
      <c r="B1916" s="2831" t="s">
        <v>4114</v>
      </c>
      <c r="C1916" s="2831">
        <v>189</v>
      </c>
      <c r="D1916" s="2831" t="s">
        <v>4130</v>
      </c>
      <c r="E1916" s="2831" t="s">
        <v>2166</v>
      </c>
    </row>
    <row r="1917" spans="1:5">
      <c r="A1917" s="2831">
        <v>785</v>
      </c>
      <c r="B1917" s="2831" t="s">
        <v>4131</v>
      </c>
      <c r="C1917" s="2831">
        <v>376</v>
      </c>
      <c r="D1917" s="2831" t="s">
        <v>4132</v>
      </c>
      <c r="E1917" s="2831" t="s">
        <v>2174</v>
      </c>
    </row>
    <row r="1918" spans="1:5">
      <c r="A1918" s="2831">
        <v>785</v>
      </c>
      <c r="B1918" s="2831" t="s">
        <v>4131</v>
      </c>
      <c r="C1918" s="2831">
        <v>275</v>
      </c>
      <c r="D1918" s="2831" t="s">
        <v>4133</v>
      </c>
      <c r="E1918" s="2831" t="s">
        <v>2166</v>
      </c>
    </row>
    <row r="1919" spans="1:5">
      <c r="A1919" s="2831">
        <v>785</v>
      </c>
      <c r="B1919" s="2831" t="s">
        <v>4131</v>
      </c>
      <c r="C1919" s="2831">
        <v>105</v>
      </c>
      <c r="D1919" s="2831" t="s">
        <v>4134</v>
      </c>
      <c r="E1919" s="2831" t="s">
        <v>2166</v>
      </c>
    </row>
    <row r="1920" spans="1:5">
      <c r="A1920" s="2831">
        <v>785</v>
      </c>
      <c r="B1920" s="2831" t="s">
        <v>4131</v>
      </c>
      <c r="C1920" s="2831">
        <v>377</v>
      </c>
      <c r="D1920" s="2831" t="s">
        <v>4135</v>
      </c>
      <c r="E1920" s="2831" t="s">
        <v>2169</v>
      </c>
    </row>
    <row r="1921" spans="1:5">
      <c r="A1921" s="2831">
        <v>785</v>
      </c>
      <c r="B1921" s="2831" t="s">
        <v>4131</v>
      </c>
      <c r="C1921" s="2831">
        <v>193</v>
      </c>
      <c r="D1921" s="2831" t="s">
        <v>4136</v>
      </c>
      <c r="E1921" s="2831" t="s">
        <v>2166</v>
      </c>
    </row>
    <row r="1922" spans="1:5">
      <c r="A1922" s="2831">
        <v>785</v>
      </c>
      <c r="B1922" s="2831" t="s">
        <v>4131</v>
      </c>
      <c r="C1922" s="2831">
        <v>293</v>
      </c>
      <c r="D1922" s="2831" t="s">
        <v>4137</v>
      </c>
      <c r="E1922" s="2831" t="s">
        <v>2169</v>
      </c>
    </row>
    <row r="1923" spans="1:5">
      <c r="A1923" s="2831">
        <v>785</v>
      </c>
      <c r="B1923" s="2831" t="s">
        <v>4131</v>
      </c>
      <c r="C1923" s="2831">
        <v>173</v>
      </c>
      <c r="D1923" s="2831" t="s">
        <v>4138</v>
      </c>
      <c r="E1923" s="2831" t="s">
        <v>2166</v>
      </c>
    </row>
    <row r="1924" spans="1:5">
      <c r="A1924" s="2831">
        <v>785</v>
      </c>
      <c r="B1924" s="2831" t="s">
        <v>4131</v>
      </c>
      <c r="C1924" s="2831">
        <v>2054</v>
      </c>
      <c r="D1924" s="2831" t="s">
        <v>4139</v>
      </c>
      <c r="E1924" s="2831" t="s">
        <v>2166</v>
      </c>
    </row>
    <row r="1925" spans="1:5">
      <c r="A1925" s="2831">
        <v>625</v>
      </c>
      <c r="B1925" s="2831" t="s">
        <v>4140</v>
      </c>
      <c r="C1925" s="2831">
        <v>2068</v>
      </c>
      <c r="D1925" s="2831" t="s">
        <v>4141</v>
      </c>
      <c r="E1925" s="2831" t="s">
        <v>2174</v>
      </c>
    </row>
    <row r="1926" spans="1:5">
      <c r="A1926" s="2831">
        <v>625</v>
      </c>
      <c r="B1926" s="2831" t="s">
        <v>4140</v>
      </c>
      <c r="C1926" s="2831">
        <v>2052</v>
      </c>
      <c r="D1926" s="2831" t="s">
        <v>4142</v>
      </c>
      <c r="E1926" s="2831" t="s">
        <v>2174</v>
      </c>
    </row>
    <row r="1927" spans="1:5">
      <c r="A1927" s="2831">
        <v>625</v>
      </c>
      <c r="B1927" s="2831" t="s">
        <v>4140</v>
      </c>
      <c r="C1927" s="2831">
        <v>4052</v>
      </c>
      <c r="D1927" s="2831" t="s">
        <v>4143</v>
      </c>
      <c r="E1927" s="2831" t="s">
        <v>2166</v>
      </c>
    </row>
    <row r="1928" spans="1:5">
      <c r="A1928" s="2831">
        <v>625</v>
      </c>
      <c r="B1928" s="2831" t="s">
        <v>4140</v>
      </c>
      <c r="C1928" s="2831">
        <v>5052</v>
      </c>
      <c r="D1928" s="2831" t="s">
        <v>4144</v>
      </c>
      <c r="E1928" s="2831" t="s">
        <v>2174</v>
      </c>
    </row>
    <row r="1929" spans="1:5">
      <c r="A1929" s="2831">
        <v>625</v>
      </c>
      <c r="B1929" s="2831" t="s">
        <v>4140</v>
      </c>
      <c r="C1929" s="2831">
        <v>109</v>
      </c>
      <c r="D1929" s="2831" t="s">
        <v>4145</v>
      </c>
      <c r="E1929" s="2831" t="s">
        <v>2169</v>
      </c>
    </row>
    <row r="1930" spans="1:5">
      <c r="A1930" s="2831">
        <v>625</v>
      </c>
      <c r="B1930" s="2831" t="s">
        <v>4140</v>
      </c>
      <c r="C1930" s="2831">
        <v>311</v>
      </c>
      <c r="D1930" s="2831" t="s">
        <v>4146</v>
      </c>
      <c r="E1930" s="2831" t="s">
        <v>2174</v>
      </c>
    </row>
    <row r="1931" spans="1:5">
      <c r="A1931" s="2831">
        <v>625</v>
      </c>
      <c r="B1931" s="2831" t="s">
        <v>4140</v>
      </c>
      <c r="C1931" s="2831">
        <v>201</v>
      </c>
      <c r="D1931" s="2831" t="s">
        <v>4147</v>
      </c>
      <c r="E1931" s="2831" t="s">
        <v>2166</v>
      </c>
    </row>
    <row r="1932" spans="1:5">
      <c r="A1932" s="2831">
        <v>625</v>
      </c>
      <c r="B1932" s="2831" t="s">
        <v>4140</v>
      </c>
      <c r="C1932" s="2831">
        <v>4054</v>
      </c>
      <c r="D1932" s="2831" t="s">
        <v>4148</v>
      </c>
      <c r="E1932" s="2831" t="s">
        <v>2169</v>
      </c>
    </row>
    <row r="1933" spans="1:5">
      <c r="A1933" s="2831">
        <v>625</v>
      </c>
      <c r="B1933" s="2831" t="s">
        <v>4140</v>
      </c>
      <c r="C1933" s="2831">
        <v>192</v>
      </c>
      <c r="D1933" s="2831" t="s">
        <v>4149</v>
      </c>
      <c r="E1933" s="2831" t="s">
        <v>2174</v>
      </c>
    </row>
    <row r="1934" spans="1:5">
      <c r="A1934" s="2831">
        <v>625</v>
      </c>
      <c r="B1934" s="2831" t="s">
        <v>4140</v>
      </c>
      <c r="C1934" s="2831">
        <v>1056</v>
      </c>
      <c r="D1934" s="2831" t="s">
        <v>4150</v>
      </c>
      <c r="E1934" s="2831" t="s">
        <v>2169</v>
      </c>
    </row>
    <row r="1935" spans="1:5">
      <c r="A1935" s="2831">
        <v>625</v>
      </c>
      <c r="B1935" s="2831" t="s">
        <v>4140</v>
      </c>
      <c r="C1935" s="2831">
        <v>197</v>
      </c>
      <c r="D1935" s="2831" t="s">
        <v>4151</v>
      </c>
      <c r="E1935" s="2831" t="s">
        <v>2166</v>
      </c>
    </row>
    <row r="1936" spans="1:5">
      <c r="A1936" s="2831">
        <v>625</v>
      </c>
      <c r="B1936" s="2831" t="s">
        <v>4140</v>
      </c>
      <c r="C1936" s="2831">
        <v>194</v>
      </c>
      <c r="D1936" s="2831" t="s">
        <v>4152</v>
      </c>
      <c r="E1936" s="2831" t="s">
        <v>2174</v>
      </c>
    </row>
    <row r="1937" spans="1:5">
      <c r="A1937" s="2831">
        <v>625</v>
      </c>
      <c r="B1937" s="2831" t="s">
        <v>4140</v>
      </c>
      <c r="C1937" s="2831">
        <v>211</v>
      </c>
      <c r="D1937" s="2831" t="s">
        <v>4153</v>
      </c>
      <c r="E1937" s="2831" t="s">
        <v>2174</v>
      </c>
    </row>
    <row r="1938" spans="1:5">
      <c r="A1938" s="2831">
        <v>625</v>
      </c>
      <c r="B1938" s="2831" t="s">
        <v>4140</v>
      </c>
      <c r="C1938" s="2831">
        <v>2056</v>
      </c>
      <c r="D1938" s="2831" t="s">
        <v>4154</v>
      </c>
      <c r="E1938" s="2831" t="s">
        <v>2169</v>
      </c>
    </row>
    <row r="1939" spans="1:5">
      <c r="A1939" s="2831">
        <v>625</v>
      </c>
      <c r="B1939" s="2831" t="s">
        <v>4140</v>
      </c>
      <c r="C1939" s="2831">
        <v>3056</v>
      </c>
      <c r="D1939" s="2831" t="s">
        <v>4155</v>
      </c>
      <c r="E1939" s="2831" t="s">
        <v>2169</v>
      </c>
    </row>
    <row r="1940" spans="1:5">
      <c r="A1940" s="2831">
        <v>625</v>
      </c>
      <c r="B1940" s="2831" t="s">
        <v>4140</v>
      </c>
      <c r="C1940" s="2831">
        <v>4056</v>
      </c>
      <c r="D1940" s="2831" t="s">
        <v>4156</v>
      </c>
      <c r="E1940" s="2831" t="s">
        <v>2166</v>
      </c>
    </row>
    <row r="1941" spans="1:5">
      <c r="A1941" s="2831">
        <v>625</v>
      </c>
      <c r="B1941" s="2831" t="s">
        <v>4140</v>
      </c>
      <c r="C1941" s="2831">
        <v>1058</v>
      </c>
      <c r="D1941" s="2831" t="s">
        <v>2343</v>
      </c>
      <c r="E1941" s="2831" t="s">
        <v>2169</v>
      </c>
    </row>
    <row r="1942" spans="1:5">
      <c r="A1942" s="2831">
        <v>625</v>
      </c>
      <c r="B1942" s="2831" t="s">
        <v>4140</v>
      </c>
      <c r="C1942" s="2831">
        <v>4058</v>
      </c>
      <c r="D1942" s="2831" t="s">
        <v>4157</v>
      </c>
      <c r="E1942" s="2831" t="s">
        <v>2166</v>
      </c>
    </row>
    <row r="1943" spans="1:5">
      <c r="A1943" s="2831">
        <v>625</v>
      </c>
      <c r="B1943" s="2831" t="s">
        <v>4140</v>
      </c>
      <c r="C1943" s="2831">
        <v>5058</v>
      </c>
      <c r="D1943" s="2831" t="s">
        <v>4158</v>
      </c>
      <c r="E1943" s="2831" t="s">
        <v>2174</v>
      </c>
    </row>
    <row r="1944" spans="1:5">
      <c r="A1944" s="2831">
        <v>625</v>
      </c>
      <c r="B1944" s="2831" t="s">
        <v>4140</v>
      </c>
      <c r="C1944" s="2831">
        <v>2060</v>
      </c>
      <c r="D1944" s="2831" t="s">
        <v>4159</v>
      </c>
      <c r="E1944" s="2831" t="s">
        <v>2166</v>
      </c>
    </row>
    <row r="1945" spans="1:5">
      <c r="A1945" s="2831">
        <v>625</v>
      </c>
      <c r="B1945" s="2831" t="s">
        <v>4140</v>
      </c>
      <c r="C1945" s="2831">
        <v>411</v>
      </c>
      <c r="D1945" s="2831" t="s">
        <v>4160</v>
      </c>
      <c r="E1945" s="2831" t="s">
        <v>2166</v>
      </c>
    </row>
    <row r="1946" spans="1:5">
      <c r="A1946" s="2831">
        <v>625</v>
      </c>
      <c r="B1946" s="2831" t="s">
        <v>4140</v>
      </c>
      <c r="C1946" s="2831">
        <v>3060</v>
      </c>
      <c r="D1946" s="2831" t="s">
        <v>4161</v>
      </c>
      <c r="E1946" s="2831" t="s">
        <v>2169</v>
      </c>
    </row>
    <row r="1947" spans="1:5">
      <c r="A1947" s="2831">
        <v>625</v>
      </c>
      <c r="B1947" s="2831" t="s">
        <v>4140</v>
      </c>
      <c r="C1947" s="2831">
        <v>5066</v>
      </c>
      <c r="D1947" s="2831" t="s">
        <v>4162</v>
      </c>
      <c r="E1947" s="2831" t="s">
        <v>2169</v>
      </c>
    </row>
    <row r="1948" spans="1:5">
      <c r="A1948" s="2831">
        <v>625</v>
      </c>
      <c r="B1948" s="2831" t="s">
        <v>4140</v>
      </c>
      <c r="C1948" s="2831">
        <v>5060</v>
      </c>
      <c r="D1948" s="2831" t="s">
        <v>4163</v>
      </c>
      <c r="E1948" s="2831" t="s">
        <v>2169</v>
      </c>
    </row>
    <row r="1949" spans="1:5">
      <c r="A1949" s="2831">
        <v>625</v>
      </c>
      <c r="B1949" s="2831" t="s">
        <v>4140</v>
      </c>
      <c r="C1949" s="2831">
        <v>101</v>
      </c>
      <c r="D1949" s="2831" t="s">
        <v>3567</v>
      </c>
      <c r="E1949" s="2831" t="s">
        <v>2174</v>
      </c>
    </row>
    <row r="1950" spans="1:5">
      <c r="A1950" s="2831">
        <v>625</v>
      </c>
      <c r="B1950" s="2831" t="s">
        <v>4140</v>
      </c>
      <c r="C1950" s="2831">
        <v>2062</v>
      </c>
      <c r="D1950" s="2831" t="s">
        <v>4164</v>
      </c>
      <c r="E1950" s="2831" t="s">
        <v>2169</v>
      </c>
    </row>
    <row r="1951" spans="1:5">
      <c r="A1951" s="2831">
        <v>625</v>
      </c>
      <c r="B1951" s="2831" t="s">
        <v>4140</v>
      </c>
      <c r="C1951" s="2831">
        <v>298</v>
      </c>
      <c r="D1951" s="2831" t="s">
        <v>4165</v>
      </c>
      <c r="E1951" s="2831" t="s">
        <v>2174</v>
      </c>
    </row>
    <row r="1952" spans="1:5">
      <c r="A1952" s="2831">
        <v>625</v>
      </c>
      <c r="B1952" s="2831" t="s">
        <v>4140</v>
      </c>
      <c r="C1952" s="2831">
        <v>1060</v>
      </c>
      <c r="D1952" s="2831" t="s">
        <v>4166</v>
      </c>
      <c r="E1952" s="2831" t="s">
        <v>2166</v>
      </c>
    </row>
    <row r="1953" spans="1:5">
      <c r="A1953" s="2831">
        <v>625</v>
      </c>
      <c r="B1953" s="2831" t="s">
        <v>4140</v>
      </c>
      <c r="C1953" s="2831">
        <v>5062</v>
      </c>
      <c r="D1953" s="2831" t="s">
        <v>4167</v>
      </c>
      <c r="E1953" s="2831" t="s">
        <v>2166</v>
      </c>
    </row>
    <row r="1954" spans="1:5">
      <c r="A1954" s="2831">
        <v>625</v>
      </c>
      <c r="B1954" s="2831" t="s">
        <v>4140</v>
      </c>
      <c r="C1954" s="2831">
        <v>301</v>
      </c>
      <c r="D1954" s="2831" t="s">
        <v>4168</v>
      </c>
      <c r="E1954" s="2831" t="s">
        <v>2166</v>
      </c>
    </row>
    <row r="1955" spans="1:5">
      <c r="A1955" s="2831">
        <v>625</v>
      </c>
      <c r="B1955" s="2831" t="s">
        <v>4140</v>
      </c>
      <c r="C1955" s="2831">
        <v>117</v>
      </c>
      <c r="D1955" s="2831" t="s">
        <v>4169</v>
      </c>
      <c r="E1955" s="2831" t="s">
        <v>2174</v>
      </c>
    </row>
    <row r="1956" spans="1:5">
      <c r="A1956" s="2831">
        <v>625</v>
      </c>
      <c r="B1956" s="2831" t="s">
        <v>4140</v>
      </c>
      <c r="C1956" s="2831">
        <v>520</v>
      </c>
      <c r="D1956" s="2831" t="s">
        <v>4170</v>
      </c>
      <c r="E1956" s="2831" t="s">
        <v>2174</v>
      </c>
    </row>
    <row r="1957" spans="1:5">
      <c r="A1957" s="2831">
        <v>625</v>
      </c>
      <c r="B1957" s="2831" t="s">
        <v>4140</v>
      </c>
      <c r="C1957" s="2831">
        <v>118</v>
      </c>
      <c r="D1957" s="2831" t="s">
        <v>4171</v>
      </c>
      <c r="E1957" s="2831" t="s">
        <v>2166</v>
      </c>
    </row>
    <row r="1958" spans="1:5">
      <c r="A1958" s="2831">
        <v>625</v>
      </c>
      <c r="B1958" s="2831" t="s">
        <v>4140</v>
      </c>
      <c r="C1958" s="2831">
        <v>1052</v>
      </c>
      <c r="D1958" s="2831" t="s">
        <v>4172</v>
      </c>
      <c r="E1958" s="2831" t="s">
        <v>2174</v>
      </c>
    </row>
    <row r="1959" spans="1:5">
      <c r="A1959" s="2831">
        <v>625</v>
      </c>
      <c r="B1959" s="2831" t="s">
        <v>4140</v>
      </c>
      <c r="C1959" s="2831">
        <v>3064</v>
      </c>
      <c r="D1959" s="2831" t="s">
        <v>4173</v>
      </c>
      <c r="E1959" s="2831" t="s">
        <v>2166</v>
      </c>
    </row>
    <row r="1960" spans="1:5">
      <c r="A1960" s="2831">
        <v>625</v>
      </c>
      <c r="B1960" s="2831" t="s">
        <v>4140</v>
      </c>
      <c r="C1960" s="2831">
        <v>116</v>
      </c>
      <c r="D1960" s="2831" t="s">
        <v>4174</v>
      </c>
      <c r="E1960" s="2831" t="s">
        <v>2166</v>
      </c>
    </row>
    <row r="1961" spans="1:5">
      <c r="A1961" s="2831">
        <v>625</v>
      </c>
      <c r="B1961" s="2831" t="s">
        <v>4140</v>
      </c>
      <c r="C1961" s="2831">
        <v>512</v>
      </c>
      <c r="D1961" s="2831" t="s">
        <v>4175</v>
      </c>
      <c r="E1961" s="2831" t="s">
        <v>2174</v>
      </c>
    </row>
    <row r="1962" spans="1:5">
      <c r="A1962" s="2831">
        <v>625</v>
      </c>
      <c r="B1962" s="2831" t="s">
        <v>4140</v>
      </c>
      <c r="C1962" s="2831">
        <v>499</v>
      </c>
      <c r="D1962" s="2831" t="s">
        <v>4176</v>
      </c>
      <c r="E1962" s="2831" t="s">
        <v>2169</v>
      </c>
    </row>
    <row r="1963" spans="1:5">
      <c r="A1963" s="2831">
        <v>625</v>
      </c>
      <c r="B1963" s="2831" t="s">
        <v>4140</v>
      </c>
      <c r="C1963" s="2831">
        <v>516</v>
      </c>
      <c r="D1963" s="2831" t="s">
        <v>4177</v>
      </c>
      <c r="E1963" s="2831" t="s">
        <v>2174</v>
      </c>
    </row>
    <row r="1964" spans="1:5">
      <c r="A1964" s="2831">
        <v>625</v>
      </c>
      <c r="B1964" s="2831" t="s">
        <v>4140</v>
      </c>
      <c r="C1964" s="2831">
        <v>128</v>
      </c>
      <c r="D1964" s="2831" t="s">
        <v>4178</v>
      </c>
      <c r="E1964" s="2831" t="s">
        <v>2174</v>
      </c>
    </row>
    <row r="1965" spans="1:5">
      <c r="A1965" s="2831">
        <v>625</v>
      </c>
      <c r="B1965" s="2831" t="s">
        <v>4140</v>
      </c>
      <c r="C1965" s="2831">
        <v>513</v>
      </c>
      <c r="D1965" s="2831" t="s">
        <v>4179</v>
      </c>
      <c r="E1965" s="2831" t="s">
        <v>2174</v>
      </c>
    </row>
    <row r="1966" spans="1:5">
      <c r="A1966" s="2831">
        <v>625</v>
      </c>
      <c r="B1966" s="2831" t="s">
        <v>4140</v>
      </c>
      <c r="C1966" s="2831">
        <v>518</v>
      </c>
      <c r="D1966" s="2831" t="s">
        <v>4180</v>
      </c>
      <c r="E1966" s="2831" t="s">
        <v>2174</v>
      </c>
    </row>
    <row r="1967" spans="1:5">
      <c r="A1967" s="2831">
        <v>625</v>
      </c>
      <c r="B1967" s="2831" t="s">
        <v>4140</v>
      </c>
      <c r="C1967" s="2831">
        <v>514</v>
      </c>
      <c r="D1967" s="2831" t="s">
        <v>4181</v>
      </c>
      <c r="E1967" s="2831" t="s">
        <v>2174</v>
      </c>
    </row>
    <row r="1968" spans="1:5">
      <c r="A1968" s="2831">
        <v>625</v>
      </c>
      <c r="B1968" s="2831" t="s">
        <v>4140</v>
      </c>
      <c r="C1968" s="2831">
        <v>511</v>
      </c>
      <c r="D1968" s="2831" t="s">
        <v>4182</v>
      </c>
      <c r="E1968" s="2831" t="s">
        <v>2174</v>
      </c>
    </row>
    <row r="1969" spans="1:5">
      <c r="A1969" s="2831">
        <v>625</v>
      </c>
      <c r="B1969" s="2831" t="s">
        <v>4140</v>
      </c>
      <c r="C1969" s="2831">
        <v>300</v>
      </c>
      <c r="D1969" s="2831" t="s">
        <v>4183</v>
      </c>
      <c r="E1969" s="2831" t="s">
        <v>2169</v>
      </c>
    </row>
    <row r="1970" spans="1:5">
      <c r="A1970" s="2831">
        <v>625</v>
      </c>
      <c r="B1970" s="2831" t="s">
        <v>4140</v>
      </c>
      <c r="C1970" s="2831">
        <v>299</v>
      </c>
      <c r="D1970" s="2831" t="s">
        <v>4184</v>
      </c>
      <c r="E1970" s="2831" t="s">
        <v>2166</v>
      </c>
    </row>
    <row r="1971" spans="1:5">
      <c r="A1971" s="2831">
        <v>625</v>
      </c>
      <c r="B1971" s="2831" t="s">
        <v>4140</v>
      </c>
      <c r="C1971" s="2831">
        <v>515</v>
      </c>
      <c r="D1971" s="2831" t="s">
        <v>4185</v>
      </c>
      <c r="E1971" s="2831" t="s">
        <v>2174</v>
      </c>
    </row>
    <row r="1972" spans="1:5">
      <c r="A1972" s="2831">
        <v>625</v>
      </c>
      <c r="B1972" s="2831" t="s">
        <v>4140</v>
      </c>
      <c r="C1972" s="2831">
        <v>124</v>
      </c>
      <c r="D1972" s="2831" t="s">
        <v>4186</v>
      </c>
      <c r="E1972" s="2831" t="s">
        <v>2166</v>
      </c>
    </row>
    <row r="1973" spans="1:5">
      <c r="A1973" s="2831">
        <v>625</v>
      </c>
      <c r="B1973" s="2831" t="s">
        <v>4140</v>
      </c>
      <c r="C1973" s="2831">
        <v>210</v>
      </c>
      <c r="D1973" s="2831" t="s">
        <v>4187</v>
      </c>
      <c r="E1973" s="2831" t="s">
        <v>2174</v>
      </c>
    </row>
    <row r="1974" spans="1:5">
      <c r="A1974" s="2831">
        <v>625</v>
      </c>
      <c r="B1974" s="2831" t="s">
        <v>4140</v>
      </c>
      <c r="C1974" s="2831">
        <v>125</v>
      </c>
      <c r="D1974" s="2831" t="s">
        <v>4188</v>
      </c>
      <c r="E1974" s="2831" t="s">
        <v>2166</v>
      </c>
    </row>
    <row r="1975" spans="1:5">
      <c r="A1975" s="2831">
        <v>625</v>
      </c>
      <c r="B1975" s="2831" t="s">
        <v>4140</v>
      </c>
      <c r="C1975" s="2831">
        <v>200</v>
      </c>
      <c r="D1975" s="2831" t="s">
        <v>4189</v>
      </c>
      <c r="E1975" s="2831" t="s">
        <v>2169</v>
      </c>
    </row>
    <row r="1976" spans="1:5">
      <c r="A1976" s="2831">
        <v>625</v>
      </c>
      <c r="B1976" s="2831" t="s">
        <v>4140</v>
      </c>
      <c r="C1976" s="2831">
        <v>199</v>
      </c>
      <c r="D1976" s="2831" t="s">
        <v>4190</v>
      </c>
      <c r="E1976" s="2831" t="s">
        <v>2166</v>
      </c>
    </row>
    <row r="1977" spans="1:5">
      <c r="A1977" s="2831">
        <v>625</v>
      </c>
      <c r="B1977" s="2831" t="s">
        <v>4140</v>
      </c>
      <c r="C1977" s="2831">
        <v>1070</v>
      </c>
      <c r="D1977" s="2831" t="s">
        <v>4191</v>
      </c>
      <c r="E1977" s="2831" t="s">
        <v>2166</v>
      </c>
    </row>
    <row r="1978" spans="1:5">
      <c r="A1978" s="2831">
        <v>625</v>
      </c>
      <c r="B1978" s="2831" t="s">
        <v>4140</v>
      </c>
      <c r="C1978" s="2831">
        <v>4070</v>
      </c>
      <c r="D1978" s="2831" t="s">
        <v>4192</v>
      </c>
      <c r="E1978" s="2831" t="s">
        <v>2169</v>
      </c>
    </row>
    <row r="1979" spans="1:5">
      <c r="A1979" s="2831">
        <v>625</v>
      </c>
      <c r="B1979" s="2831" t="s">
        <v>4140</v>
      </c>
      <c r="C1979" s="2831">
        <v>5070</v>
      </c>
      <c r="D1979" s="2831" t="s">
        <v>4193</v>
      </c>
      <c r="E1979" s="2831" t="s">
        <v>2174</v>
      </c>
    </row>
    <row r="1980" spans="1:5">
      <c r="A1980" s="2831">
        <v>625</v>
      </c>
      <c r="B1980" s="2831" t="s">
        <v>4140</v>
      </c>
      <c r="C1980" s="2831">
        <v>115</v>
      </c>
      <c r="D1980" s="2831" t="s">
        <v>4194</v>
      </c>
      <c r="E1980" s="2831" t="s">
        <v>2174</v>
      </c>
    </row>
    <row r="1981" spans="1:5">
      <c r="A1981" s="2831">
        <v>723</v>
      </c>
      <c r="B1981" s="2831" t="s">
        <v>4195</v>
      </c>
      <c r="C1981" s="2831">
        <v>198</v>
      </c>
      <c r="D1981" s="2831" t="s">
        <v>4196</v>
      </c>
      <c r="E1981" s="2831" t="s">
        <v>2174</v>
      </c>
    </row>
    <row r="1982" spans="1:5">
      <c r="A1982" s="2831">
        <v>723</v>
      </c>
      <c r="B1982" s="2831" t="s">
        <v>4195</v>
      </c>
      <c r="C1982" s="2831">
        <v>101</v>
      </c>
      <c r="D1982" s="2831" t="s">
        <v>4197</v>
      </c>
      <c r="E1982" s="2831" t="s">
        <v>2174</v>
      </c>
    </row>
    <row r="1983" spans="1:5">
      <c r="A1983" s="2831">
        <v>724</v>
      </c>
      <c r="B1983" s="2831" t="s">
        <v>4198</v>
      </c>
      <c r="C1983" s="2831">
        <v>191</v>
      </c>
      <c r="D1983" s="2831" t="s">
        <v>4199</v>
      </c>
      <c r="E1983" s="2831" t="s">
        <v>2166</v>
      </c>
    </row>
    <row r="1984" spans="1:5">
      <c r="A1984" s="2831">
        <v>724</v>
      </c>
      <c r="B1984" s="2831" t="s">
        <v>4198</v>
      </c>
      <c r="C1984" s="2831">
        <v>4052</v>
      </c>
      <c r="D1984" s="2831" t="s">
        <v>4200</v>
      </c>
      <c r="E1984" s="2831" t="s">
        <v>2174</v>
      </c>
    </row>
    <row r="1985" spans="1:5">
      <c r="A1985" s="2831">
        <v>724</v>
      </c>
      <c r="B1985" s="2831" t="s">
        <v>4198</v>
      </c>
      <c r="C1985" s="2831">
        <v>197</v>
      </c>
      <c r="D1985" s="2831" t="s">
        <v>4201</v>
      </c>
      <c r="E1985" s="2831" t="s">
        <v>2166</v>
      </c>
    </row>
    <row r="1986" spans="1:5">
      <c r="A1986" s="2831">
        <v>725</v>
      </c>
      <c r="B1986" s="2831" t="s">
        <v>4202</v>
      </c>
      <c r="C1986" s="2831">
        <v>296</v>
      </c>
      <c r="D1986" s="2831" t="s">
        <v>4203</v>
      </c>
      <c r="E1986" s="2831" t="s">
        <v>2169</v>
      </c>
    </row>
    <row r="1987" spans="1:5">
      <c r="A1987" s="2831">
        <v>725</v>
      </c>
      <c r="B1987" s="2831" t="s">
        <v>4202</v>
      </c>
      <c r="C1987" s="2831">
        <v>196</v>
      </c>
      <c r="D1987" s="2831" t="s">
        <v>4204</v>
      </c>
      <c r="E1987" s="2831" t="s">
        <v>2166</v>
      </c>
    </row>
    <row r="1988" spans="1:5">
      <c r="A1988" s="2831">
        <v>786</v>
      </c>
      <c r="B1988" s="2831" t="s">
        <v>4205</v>
      </c>
      <c r="C1988" s="2831">
        <v>200</v>
      </c>
      <c r="D1988" s="2831" t="s">
        <v>4206</v>
      </c>
      <c r="E1988" s="2831" t="s">
        <v>2166</v>
      </c>
    </row>
    <row r="1989" spans="1:5">
      <c r="A1989" s="2831">
        <v>786</v>
      </c>
      <c r="B1989" s="2831" t="s">
        <v>4205</v>
      </c>
      <c r="C1989" s="2831">
        <v>300</v>
      </c>
      <c r="D1989" s="2831" t="s">
        <v>4207</v>
      </c>
      <c r="E1989" s="2831" t="s">
        <v>2169</v>
      </c>
    </row>
    <row r="1990" spans="1:5">
      <c r="A1990" s="2831">
        <v>786</v>
      </c>
      <c r="B1990" s="2831" t="s">
        <v>4205</v>
      </c>
      <c r="C1990" s="2831">
        <v>103</v>
      </c>
      <c r="D1990" s="2831" t="s">
        <v>4208</v>
      </c>
      <c r="E1990" s="2831" t="s">
        <v>2169</v>
      </c>
    </row>
    <row r="1991" spans="1:5">
      <c r="A1991" s="2831">
        <v>786</v>
      </c>
      <c r="B1991" s="2831" t="s">
        <v>4205</v>
      </c>
      <c r="C1991" s="2831">
        <v>100</v>
      </c>
      <c r="D1991" s="2831" t="s">
        <v>4209</v>
      </c>
      <c r="E1991" s="2831" t="s">
        <v>2169</v>
      </c>
    </row>
    <row r="1992" spans="1:5" ht="26.4">
      <c r="A1992" s="2831">
        <v>7830623</v>
      </c>
      <c r="B1992" s="2831" t="s">
        <v>4210</v>
      </c>
      <c r="C1992" s="2831">
        <v>623</v>
      </c>
      <c r="D1992" s="2831" t="s">
        <v>4211</v>
      </c>
      <c r="E1992" s="2831" t="s">
        <v>2169</v>
      </c>
    </row>
    <row r="1993" spans="1:5" ht="26.4">
      <c r="A1993" s="2831">
        <v>7830643</v>
      </c>
      <c r="B1993" s="2831" t="s">
        <v>4212</v>
      </c>
      <c r="C1993" s="2831">
        <v>643</v>
      </c>
      <c r="D1993" s="2831" t="s">
        <v>4213</v>
      </c>
      <c r="E1993" s="2831" t="s">
        <v>2166</v>
      </c>
    </row>
    <row r="1994" spans="1:5" ht="26.4">
      <c r="A1994" s="2831">
        <v>7830410</v>
      </c>
      <c r="B1994" s="2831" t="s">
        <v>4214</v>
      </c>
      <c r="C1994" s="2831">
        <v>410</v>
      </c>
      <c r="D1994" s="2831" t="s">
        <v>4215</v>
      </c>
      <c r="E1994" s="2831" t="s">
        <v>2169</v>
      </c>
    </row>
    <row r="1995" spans="1:5" ht="26.4">
      <c r="A1995" s="2831">
        <v>7830627</v>
      </c>
      <c r="B1995" s="2831" t="s">
        <v>4216</v>
      </c>
      <c r="C1995" s="2831">
        <v>627</v>
      </c>
      <c r="D1995" s="2831" t="s">
        <v>4217</v>
      </c>
      <c r="E1995" s="2831" t="s">
        <v>2174</v>
      </c>
    </row>
    <row r="1996" spans="1:5" ht="26.4">
      <c r="A1996" s="2831">
        <v>7830632</v>
      </c>
      <c r="B1996" s="2831" t="s">
        <v>4218</v>
      </c>
      <c r="C1996" s="2831">
        <v>632</v>
      </c>
      <c r="D1996" s="2831" t="s">
        <v>4219</v>
      </c>
      <c r="E1996" s="2831" t="s">
        <v>2169</v>
      </c>
    </row>
    <row r="1997" spans="1:5" ht="39.6">
      <c r="A1997" s="2831">
        <v>7830630</v>
      </c>
      <c r="B1997" s="2831" t="s">
        <v>4220</v>
      </c>
      <c r="C1997" s="2831">
        <v>630</v>
      </c>
      <c r="D1997" s="2831" t="s">
        <v>4221</v>
      </c>
      <c r="E1997" s="2831" t="s">
        <v>2174</v>
      </c>
    </row>
    <row r="1998" spans="1:5" ht="26.4">
      <c r="A1998" s="2831">
        <v>7830613</v>
      </c>
      <c r="B1998" s="2831" t="s">
        <v>4222</v>
      </c>
      <c r="C1998" s="2831">
        <v>613</v>
      </c>
      <c r="D1998" s="2831" t="s">
        <v>4223</v>
      </c>
      <c r="E1998" s="2831" t="s">
        <v>2174</v>
      </c>
    </row>
    <row r="1999" spans="1:5" ht="26.4">
      <c r="A1999" s="2831">
        <v>7830611</v>
      </c>
      <c r="B1999" s="2831" t="s">
        <v>4224</v>
      </c>
      <c r="C1999" s="2831">
        <v>611</v>
      </c>
      <c r="D1999" s="2831" t="s">
        <v>4225</v>
      </c>
      <c r="E1999" s="2831" t="s">
        <v>2166</v>
      </c>
    </row>
    <row r="2000" spans="1:5" ht="26.4">
      <c r="A2000" s="2831">
        <v>7830610</v>
      </c>
      <c r="B2000" s="2831" t="s">
        <v>4226</v>
      </c>
      <c r="C2000" s="2831">
        <v>610</v>
      </c>
      <c r="D2000" s="2831" t="s">
        <v>4227</v>
      </c>
      <c r="E2000" s="2831" t="s">
        <v>2169</v>
      </c>
    </row>
    <row r="2001" spans="1:5" ht="26.4">
      <c r="A2001" s="2831">
        <v>7830633</v>
      </c>
      <c r="B2001" s="2831" t="s">
        <v>4228</v>
      </c>
      <c r="C2001" s="2831">
        <v>633</v>
      </c>
      <c r="D2001" s="2831" t="s">
        <v>4229</v>
      </c>
      <c r="E2001" s="2831" t="s">
        <v>2169</v>
      </c>
    </row>
    <row r="2002" spans="1:5" ht="26.4">
      <c r="A2002" s="2831">
        <v>7830637</v>
      </c>
      <c r="B2002" s="2831" t="s">
        <v>4230</v>
      </c>
      <c r="C2002" s="2831">
        <v>637</v>
      </c>
      <c r="D2002" s="2831" t="s">
        <v>4231</v>
      </c>
      <c r="E2002" s="2831" t="s">
        <v>2169</v>
      </c>
    </row>
    <row r="2003" spans="1:5" ht="39.6">
      <c r="A2003" s="2831">
        <v>7830642</v>
      </c>
      <c r="B2003" s="2831" t="s">
        <v>4232</v>
      </c>
      <c r="C2003" s="2831">
        <v>642</v>
      </c>
      <c r="D2003" s="2831" t="s">
        <v>4233</v>
      </c>
      <c r="E2003" s="2831" t="s">
        <v>2169</v>
      </c>
    </row>
    <row r="2004" spans="1:5" ht="26.4">
      <c r="A2004" s="2831">
        <v>7830628</v>
      </c>
      <c r="B2004" s="2831" t="s">
        <v>4234</v>
      </c>
      <c r="C2004" s="2831">
        <v>628</v>
      </c>
      <c r="D2004" s="2831" t="s">
        <v>4235</v>
      </c>
      <c r="E2004" s="2831" t="s">
        <v>2169</v>
      </c>
    </row>
    <row r="2005" spans="1:5" ht="26.4">
      <c r="A2005" s="2831">
        <v>7830310</v>
      </c>
      <c r="B2005" s="2831" t="s">
        <v>4236</v>
      </c>
      <c r="C2005" s="2831">
        <v>310</v>
      </c>
      <c r="D2005" s="2831" t="s">
        <v>4237</v>
      </c>
      <c r="E2005" s="2831" t="s">
        <v>2166</v>
      </c>
    </row>
    <row r="2006" spans="1:5" ht="26.4">
      <c r="A2006" s="2831">
        <v>7830626</v>
      </c>
      <c r="B2006" s="2831" t="s">
        <v>4238</v>
      </c>
      <c r="C2006" s="2831">
        <v>626</v>
      </c>
      <c r="D2006" s="2831" t="s">
        <v>4239</v>
      </c>
      <c r="E2006" s="2831" t="s">
        <v>2174</v>
      </c>
    </row>
    <row r="2007" spans="1:5" ht="26.4">
      <c r="A2007" s="2831">
        <v>7830615</v>
      </c>
      <c r="B2007" s="2831" t="s">
        <v>4240</v>
      </c>
      <c r="C2007" s="2831">
        <v>615</v>
      </c>
      <c r="D2007" s="2831" t="s">
        <v>4241</v>
      </c>
      <c r="E2007" s="2831" t="s">
        <v>2174</v>
      </c>
    </row>
    <row r="2008" spans="1:5" ht="26.4">
      <c r="A2008" s="2831">
        <v>7830616</v>
      </c>
      <c r="B2008" s="2831" t="s">
        <v>4242</v>
      </c>
      <c r="C2008" s="2831">
        <v>616</v>
      </c>
      <c r="D2008" s="2831" t="s">
        <v>4243</v>
      </c>
      <c r="E2008" s="2831" t="s">
        <v>2169</v>
      </c>
    </row>
    <row r="2009" spans="1:5" ht="26.4">
      <c r="A2009" s="2831">
        <v>7830634</v>
      </c>
      <c r="B2009" s="2831" t="s">
        <v>4244</v>
      </c>
      <c r="C2009" s="2831">
        <v>634</v>
      </c>
      <c r="D2009" s="2831" t="s">
        <v>4245</v>
      </c>
      <c r="E2009" s="2831" t="s">
        <v>2169</v>
      </c>
    </row>
    <row r="2010" spans="1:5" ht="26.4">
      <c r="A2010" s="2831">
        <v>7830619</v>
      </c>
      <c r="B2010" s="2831" t="s">
        <v>4246</v>
      </c>
      <c r="C2010" s="2831">
        <v>619</v>
      </c>
      <c r="D2010" s="2831" t="s">
        <v>4247</v>
      </c>
      <c r="E2010" s="2831" t="s">
        <v>2169</v>
      </c>
    </row>
    <row r="2011" spans="1:5" ht="39.6">
      <c r="A2011" s="2831">
        <v>7830620</v>
      </c>
      <c r="B2011" s="2831" t="s">
        <v>4248</v>
      </c>
      <c r="C2011" s="2831">
        <v>620</v>
      </c>
      <c r="D2011" s="2831" t="s">
        <v>4249</v>
      </c>
      <c r="E2011" s="2831" t="s">
        <v>2166</v>
      </c>
    </row>
    <row r="2012" spans="1:5" ht="26.4">
      <c r="A2012" s="2831">
        <v>7830640</v>
      </c>
      <c r="B2012" s="2831" t="s">
        <v>4250</v>
      </c>
      <c r="C2012" s="2831">
        <v>640</v>
      </c>
      <c r="D2012" s="2831" t="s">
        <v>4251</v>
      </c>
      <c r="E2012" s="2831" t="s">
        <v>2169</v>
      </c>
    </row>
    <row r="2013" spans="1:5" ht="26.4">
      <c r="A2013" s="2831">
        <v>7830614</v>
      </c>
      <c r="B2013" s="2831" t="s">
        <v>4252</v>
      </c>
      <c r="C2013" s="2831">
        <v>614</v>
      </c>
      <c r="D2013" s="2831" t="s">
        <v>4253</v>
      </c>
      <c r="E2013" s="2831" t="s">
        <v>2166</v>
      </c>
    </row>
    <row r="2014" spans="1:5" ht="26.4">
      <c r="A2014" s="2831">
        <v>7830639</v>
      </c>
      <c r="B2014" s="2831" t="s">
        <v>4254</v>
      </c>
      <c r="C2014" s="2831">
        <v>639</v>
      </c>
      <c r="D2014" s="2831" t="s">
        <v>4255</v>
      </c>
      <c r="E2014" s="2831" t="s">
        <v>2169</v>
      </c>
    </row>
    <row r="2015" spans="1:5" ht="26.4">
      <c r="A2015" s="2831">
        <v>7830636</v>
      </c>
      <c r="B2015" s="2831" t="s">
        <v>4256</v>
      </c>
      <c r="C2015" s="2831">
        <v>636</v>
      </c>
      <c r="D2015" s="2831" t="s">
        <v>4257</v>
      </c>
      <c r="E2015" s="2831" t="s">
        <v>2166</v>
      </c>
    </row>
    <row r="2016" spans="1:5" ht="26.4">
      <c r="A2016" s="2831">
        <v>7830638</v>
      </c>
      <c r="B2016" s="2831" t="s">
        <v>4258</v>
      </c>
      <c r="C2016" s="2831">
        <v>638</v>
      </c>
      <c r="D2016" s="2831" t="s">
        <v>4259</v>
      </c>
      <c r="E2016" s="2831" t="s">
        <v>2169</v>
      </c>
    </row>
    <row r="2017" spans="1:5" ht="26.4">
      <c r="A2017" s="2831">
        <v>7830210</v>
      </c>
      <c r="B2017" s="2831" t="s">
        <v>4260</v>
      </c>
      <c r="C2017" s="2831">
        <v>210</v>
      </c>
      <c r="D2017" s="2831" t="s">
        <v>4261</v>
      </c>
      <c r="E2017" s="2831" t="s">
        <v>2166</v>
      </c>
    </row>
    <row r="2018" spans="1:5" ht="26.4">
      <c r="A2018" s="2831">
        <v>7830647</v>
      </c>
      <c r="B2018" s="2831" t="s">
        <v>4262</v>
      </c>
      <c r="C2018" s="2831">
        <v>647</v>
      </c>
      <c r="D2018" s="2831" t="s">
        <v>4263</v>
      </c>
      <c r="E2018" s="2831" t="s">
        <v>2166</v>
      </c>
    </row>
    <row r="2019" spans="1:5" ht="26.4">
      <c r="A2019" s="2831">
        <v>7830617</v>
      </c>
      <c r="B2019" s="2831" t="s">
        <v>4264</v>
      </c>
      <c r="C2019" s="2831">
        <v>617</v>
      </c>
      <c r="D2019" s="2831" t="s">
        <v>4265</v>
      </c>
      <c r="E2019" s="2831" t="s">
        <v>2166</v>
      </c>
    </row>
    <row r="2020" spans="1:5" ht="26.4">
      <c r="A2020" s="2831">
        <v>7830641</v>
      </c>
      <c r="B2020" s="2831" t="s">
        <v>4266</v>
      </c>
      <c r="C2020" s="2831">
        <v>641</v>
      </c>
      <c r="D2020" s="2831" t="s">
        <v>4267</v>
      </c>
      <c r="E2020" s="2831" t="s">
        <v>2174</v>
      </c>
    </row>
    <row r="2021" spans="1:5" ht="39.6">
      <c r="A2021" s="2831">
        <v>7830618</v>
      </c>
      <c r="B2021" s="2831" t="s">
        <v>4268</v>
      </c>
      <c r="C2021" s="2831">
        <v>618</v>
      </c>
      <c r="D2021" s="2831" t="s">
        <v>4269</v>
      </c>
      <c r="E2021" s="2831" t="s">
        <v>2169</v>
      </c>
    </row>
    <row r="2022" spans="1:5" ht="26.4">
      <c r="A2022" s="2831">
        <v>7830621</v>
      </c>
      <c r="B2022" s="2831" t="s">
        <v>4270</v>
      </c>
      <c r="C2022" s="2831">
        <v>621</v>
      </c>
      <c r="D2022" s="2831" t="s">
        <v>4271</v>
      </c>
      <c r="E2022" s="2831" t="s">
        <v>2166</v>
      </c>
    </row>
    <row r="2023" spans="1:5" ht="39.6">
      <c r="A2023" s="2831">
        <v>7830612</v>
      </c>
      <c r="B2023" s="2831" t="s">
        <v>4272</v>
      </c>
      <c r="C2023" s="2831">
        <v>612</v>
      </c>
      <c r="D2023" s="2831" t="s">
        <v>4273</v>
      </c>
      <c r="E2023" s="2831" t="s">
        <v>2174</v>
      </c>
    </row>
    <row r="2024" spans="1:5" ht="26.4">
      <c r="A2024" s="2831">
        <v>7830624</v>
      </c>
      <c r="B2024" s="2831" t="s">
        <v>4274</v>
      </c>
      <c r="C2024" s="2831">
        <v>624</v>
      </c>
      <c r="D2024" s="2831" t="s">
        <v>4275</v>
      </c>
      <c r="E2024" s="2831" t="s">
        <v>2166</v>
      </c>
    </row>
    <row r="2025" spans="1:5" ht="26.4">
      <c r="A2025" s="2831">
        <v>7830103</v>
      </c>
      <c r="B2025" s="2831" t="s">
        <v>4276</v>
      </c>
      <c r="C2025" s="2831">
        <v>103</v>
      </c>
      <c r="D2025" s="2831" t="s">
        <v>4277</v>
      </c>
      <c r="E2025" s="2831" t="s">
        <v>2169</v>
      </c>
    </row>
    <row r="2026" spans="1:5" ht="26.4">
      <c r="A2026" s="2831">
        <v>7830644</v>
      </c>
      <c r="B2026" s="2831" t="s">
        <v>4278</v>
      </c>
      <c r="C2026" s="2831">
        <v>644</v>
      </c>
      <c r="D2026" s="2831" t="s">
        <v>4279</v>
      </c>
      <c r="E2026" s="2831" t="s">
        <v>2166</v>
      </c>
    </row>
    <row r="2027" spans="1:5" ht="39.6">
      <c r="A2027" s="2831">
        <v>7830625</v>
      </c>
      <c r="B2027" s="2831" t="s">
        <v>4280</v>
      </c>
      <c r="C2027" s="2831">
        <v>625</v>
      </c>
      <c r="D2027" s="2831" t="s">
        <v>4281</v>
      </c>
      <c r="E2027" s="2831" t="s">
        <v>2166</v>
      </c>
    </row>
    <row r="2028" spans="1:5" ht="26.4">
      <c r="A2028" s="2831">
        <v>7830645</v>
      </c>
      <c r="B2028" s="2831" t="s">
        <v>4282</v>
      </c>
      <c r="C2028" s="2831">
        <v>645</v>
      </c>
      <c r="D2028" s="2831" t="s">
        <v>4283</v>
      </c>
      <c r="E2028" s="2831" t="s">
        <v>2169</v>
      </c>
    </row>
    <row r="2029" spans="1:5" ht="26.4">
      <c r="A2029" s="2831">
        <v>7820212</v>
      </c>
      <c r="B2029" s="2831" t="s">
        <v>4284</v>
      </c>
      <c r="C2029" s="2831">
        <v>212</v>
      </c>
      <c r="D2029" s="2831" t="s">
        <v>4285</v>
      </c>
      <c r="E2029" s="2831" t="s">
        <v>2169</v>
      </c>
    </row>
    <row r="2030" spans="1:5" ht="26.4">
      <c r="A2030" s="2831">
        <v>7820618</v>
      </c>
      <c r="B2030" s="2831" t="s">
        <v>4286</v>
      </c>
      <c r="C2030" s="2831">
        <v>618</v>
      </c>
      <c r="D2030" s="2831" t="s">
        <v>4287</v>
      </c>
      <c r="E2030" s="2831" t="s">
        <v>2169</v>
      </c>
    </row>
    <row r="2031" spans="1:5" ht="26.4">
      <c r="A2031" s="2831">
        <v>7820617</v>
      </c>
      <c r="B2031" s="2831" t="s">
        <v>4288</v>
      </c>
      <c r="C2031" s="2831">
        <v>617</v>
      </c>
      <c r="D2031" s="2831" t="s">
        <v>4289</v>
      </c>
      <c r="E2031" s="2831" t="s">
        <v>2169</v>
      </c>
    </row>
    <row r="2032" spans="1:5" ht="26.4">
      <c r="A2032" s="2831">
        <v>7820613</v>
      </c>
      <c r="B2032" s="2831" t="s">
        <v>4290</v>
      </c>
      <c r="C2032" s="2831">
        <v>613</v>
      </c>
      <c r="D2032" s="2831" t="s">
        <v>4291</v>
      </c>
      <c r="E2032" s="2831" t="s">
        <v>2169</v>
      </c>
    </row>
    <row r="2033" spans="1:5" ht="26.4">
      <c r="A2033" s="2831">
        <v>7820412</v>
      </c>
      <c r="B2033" s="2831" t="s">
        <v>4292</v>
      </c>
      <c r="C2033" s="2831">
        <v>412</v>
      </c>
      <c r="D2033" s="2831" t="s">
        <v>4293</v>
      </c>
      <c r="E2033" s="2831" t="s">
        <v>2166</v>
      </c>
    </row>
    <row r="2034" spans="1:5" ht="26.4">
      <c r="A2034" s="2831">
        <v>7820120</v>
      </c>
      <c r="B2034" s="2831" t="s">
        <v>4294</v>
      </c>
      <c r="C2034" s="2831">
        <v>120</v>
      </c>
      <c r="D2034" s="2831" t="s">
        <v>4295</v>
      </c>
      <c r="E2034" s="2831" t="s">
        <v>2166</v>
      </c>
    </row>
    <row r="2035" spans="1:5" ht="39.6">
      <c r="A2035" s="2831">
        <v>7820616</v>
      </c>
      <c r="B2035" s="2831" t="s">
        <v>4296</v>
      </c>
      <c r="C2035" s="2831">
        <v>616</v>
      </c>
      <c r="D2035" s="2831" t="s">
        <v>4297</v>
      </c>
      <c r="E2035" s="2831" t="s">
        <v>2169</v>
      </c>
    </row>
    <row r="2036" spans="1:5" ht="39.6">
      <c r="A2036" s="2831">
        <v>7820614</v>
      </c>
      <c r="B2036" s="2831" t="s">
        <v>4298</v>
      </c>
      <c r="C2036" s="2831">
        <v>614</v>
      </c>
      <c r="D2036" s="2831" t="s">
        <v>4299</v>
      </c>
      <c r="E2036" s="2831" t="s">
        <v>2166</v>
      </c>
    </row>
    <row r="2037" spans="1:5" ht="39.6">
      <c r="A2037" s="2831">
        <v>7820612</v>
      </c>
      <c r="B2037" s="2831" t="s">
        <v>4300</v>
      </c>
      <c r="C2037" s="2831">
        <v>612</v>
      </c>
      <c r="D2037" s="2831" t="s">
        <v>4301</v>
      </c>
      <c r="E2037" s="2831" t="s">
        <v>2166</v>
      </c>
    </row>
    <row r="2038" spans="1:5" ht="26.4">
      <c r="A2038" s="2831">
        <v>7820108</v>
      </c>
      <c r="B2038" s="2831" t="s">
        <v>4302</v>
      </c>
      <c r="C2038" s="2831">
        <v>108</v>
      </c>
      <c r="D2038" s="2831" t="s">
        <v>4303</v>
      </c>
      <c r="E2038" s="2831" t="s">
        <v>2166</v>
      </c>
    </row>
    <row r="2039" spans="1:5" ht="26.4">
      <c r="A2039" s="2831">
        <v>7820110</v>
      </c>
      <c r="B2039" s="2831" t="s">
        <v>4304</v>
      </c>
      <c r="C2039" s="2831">
        <v>110</v>
      </c>
      <c r="D2039" s="2831" t="s">
        <v>4305</v>
      </c>
      <c r="E2039" s="2831" t="s">
        <v>2169</v>
      </c>
    </row>
    <row r="2040" spans="1:5" ht="26.4">
      <c r="A2040" s="2831">
        <v>7820615</v>
      </c>
      <c r="B2040" s="2831" t="s">
        <v>4306</v>
      </c>
      <c r="C2040" s="2831">
        <v>615</v>
      </c>
      <c r="D2040" s="2831" t="s">
        <v>4307</v>
      </c>
      <c r="E2040" s="2831" t="s">
        <v>2166</v>
      </c>
    </row>
    <row r="2041" spans="1:5" ht="39.6">
      <c r="A2041" s="2831">
        <v>7820121</v>
      </c>
      <c r="B2041" s="2831" t="s">
        <v>4308</v>
      </c>
      <c r="C2041" s="2831">
        <v>121</v>
      </c>
      <c r="D2041" s="2831" t="s">
        <v>4309</v>
      </c>
      <c r="E2041" s="2831" t="s">
        <v>2169</v>
      </c>
    </row>
    <row r="2042" spans="1:5" ht="26.4">
      <c r="A2042" s="2831">
        <v>7820619</v>
      </c>
      <c r="B2042" s="2831" t="s">
        <v>4310</v>
      </c>
      <c r="C2042" s="2831">
        <v>619</v>
      </c>
      <c r="D2042" s="2831" t="s">
        <v>4311</v>
      </c>
      <c r="E2042" s="2831" t="s">
        <v>2174</v>
      </c>
    </row>
    <row r="2043" spans="1:5">
      <c r="A2043" s="2831">
        <v>799</v>
      </c>
      <c r="B2043" s="2831" t="s">
        <v>4312</v>
      </c>
      <c r="C2043" s="2831">
        <v>1893</v>
      </c>
      <c r="D2043" s="2831" t="s">
        <v>4313</v>
      </c>
      <c r="E2043" s="2831" t="s">
        <v>2169</v>
      </c>
    </row>
    <row r="2044" spans="1:5">
      <c r="A2044" s="2831">
        <v>799</v>
      </c>
      <c r="B2044" s="2831" t="s">
        <v>4312</v>
      </c>
      <c r="C2044" s="2831">
        <v>1894</v>
      </c>
      <c r="D2044" s="2831" t="s">
        <v>4314</v>
      </c>
      <c r="E2044" s="2831" t="s">
        <v>2166</v>
      </c>
    </row>
    <row r="2045" spans="1:5">
      <c r="A2045" s="2831">
        <v>799</v>
      </c>
      <c r="B2045" s="2831" t="s">
        <v>4312</v>
      </c>
      <c r="C2045" s="2831">
        <v>1895</v>
      </c>
      <c r="D2045" s="2831" t="s">
        <v>4315</v>
      </c>
      <c r="E2045" s="2831" t="s">
        <v>2169</v>
      </c>
    </row>
    <row r="2046" spans="1:5">
      <c r="A2046" s="2831">
        <v>727</v>
      </c>
      <c r="B2046" s="2831" t="s">
        <v>4316</v>
      </c>
      <c r="C2046" s="2831">
        <v>187</v>
      </c>
      <c r="D2046" s="2831" t="s">
        <v>2550</v>
      </c>
      <c r="E2046" s="2831" t="s">
        <v>2169</v>
      </c>
    </row>
    <row r="2047" spans="1:5">
      <c r="A2047" s="2831">
        <v>727</v>
      </c>
      <c r="B2047" s="2831" t="s">
        <v>4316</v>
      </c>
      <c r="C2047" s="2831">
        <v>296</v>
      </c>
      <c r="D2047" s="2831" t="s">
        <v>4317</v>
      </c>
      <c r="E2047" s="2831" t="s">
        <v>2166</v>
      </c>
    </row>
    <row r="2048" spans="1:5">
      <c r="A2048" s="2831">
        <v>727</v>
      </c>
      <c r="B2048" s="2831" t="s">
        <v>4316</v>
      </c>
      <c r="C2048" s="2831">
        <v>5050</v>
      </c>
      <c r="D2048" s="2831" t="s">
        <v>4318</v>
      </c>
      <c r="E2048" s="2831" t="s">
        <v>2166</v>
      </c>
    </row>
    <row r="2049" spans="1:5">
      <c r="A2049" s="2831">
        <v>727</v>
      </c>
      <c r="B2049" s="2831" t="s">
        <v>4316</v>
      </c>
      <c r="C2049" s="2831">
        <v>104</v>
      </c>
      <c r="D2049" s="2831" t="s">
        <v>4319</v>
      </c>
      <c r="E2049" s="2831" t="s">
        <v>2169</v>
      </c>
    </row>
    <row r="2050" spans="1:5">
      <c r="A2050" s="2831">
        <v>727</v>
      </c>
      <c r="B2050" s="2831" t="s">
        <v>4316</v>
      </c>
      <c r="C2050" s="2831">
        <v>197</v>
      </c>
      <c r="D2050" s="2831" t="s">
        <v>4320</v>
      </c>
      <c r="E2050" s="2831" t="s">
        <v>2169</v>
      </c>
    </row>
    <row r="2051" spans="1:5">
      <c r="A2051" s="2831">
        <v>728</v>
      </c>
      <c r="B2051" s="2831" t="s">
        <v>4321</v>
      </c>
      <c r="C2051" s="2831">
        <v>192</v>
      </c>
      <c r="D2051" s="2831" t="s">
        <v>4322</v>
      </c>
      <c r="E2051" s="2831" t="s">
        <v>2166</v>
      </c>
    </row>
    <row r="2052" spans="1:5">
      <c r="A2052" s="2831">
        <v>728</v>
      </c>
      <c r="B2052" s="2831" t="s">
        <v>4321</v>
      </c>
      <c r="C2052" s="2831">
        <v>201</v>
      </c>
      <c r="D2052" s="2831" t="s">
        <v>4323</v>
      </c>
      <c r="E2052" s="2831" t="s">
        <v>2166</v>
      </c>
    </row>
    <row r="2053" spans="1:5">
      <c r="A2053" s="2831">
        <v>728</v>
      </c>
      <c r="B2053" s="2831" t="s">
        <v>4321</v>
      </c>
      <c r="C2053" s="2831">
        <v>101</v>
      </c>
      <c r="D2053" s="2831" t="s">
        <v>4324</v>
      </c>
      <c r="E2053" s="2831" t="s">
        <v>2174</v>
      </c>
    </row>
    <row r="2054" spans="1:5">
      <c r="A2054" s="2831">
        <v>729</v>
      </c>
      <c r="B2054" s="2831" t="s">
        <v>4325</v>
      </c>
      <c r="C2054" s="2831">
        <v>188</v>
      </c>
      <c r="D2054" s="2831" t="s">
        <v>4326</v>
      </c>
      <c r="E2054" s="2831" t="s">
        <v>2174</v>
      </c>
    </row>
    <row r="2055" spans="1:5">
      <c r="A2055" s="2831">
        <v>729</v>
      </c>
      <c r="B2055" s="2831" t="s">
        <v>4325</v>
      </c>
      <c r="C2055" s="2831">
        <v>397</v>
      </c>
      <c r="D2055" s="2831" t="s">
        <v>4327</v>
      </c>
      <c r="E2055" s="2831" t="s">
        <v>2174</v>
      </c>
    </row>
    <row r="2056" spans="1:5">
      <c r="A2056" s="2831">
        <v>729</v>
      </c>
      <c r="B2056" s="2831" t="s">
        <v>4325</v>
      </c>
      <c r="C2056" s="2831">
        <v>595</v>
      </c>
      <c r="D2056" s="2831" t="s">
        <v>4328</v>
      </c>
      <c r="E2056" s="2831" t="s">
        <v>2166</v>
      </c>
    </row>
    <row r="2057" spans="1:5">
      <c r="A2057" s="2831">
        <v>729</v>
      </c>
      <c r="B2057" s="2831" t="s">
        <v>4325</v>
      </c>
      <c r="C2057" s="2831">
        <v>190</v>
      </c>
      <c r="D2057" s="2831" t="s">
        <v>4329</v>
      </c>
      <c r="E2057" s="2831" t="s">
        <v>2166</v>
      </c>
    </row>
    <row r="2058" spans="1:5">
      <c r="A2058" s="2831">
        <v>729</v>
      </c>
      <c r="B2058" s="2831" t="s">
        <v>4325</v>
      </c>
      <c r="C2058" s="2831">
        <v>100</v>
      </c>
      <c r="D2058" s="2831" t="s">
        <v>4330</v>
      </c>
      <c r="E2058" s="2831" t="s">
        <v>2174</v>
      </c>
    </row>
    <row r="2059" spans="1:5">
      <c r="A2059" s="2831">
        <v>730</v>
      </c>
      <c r="B2059" s="2831" t="s">
        <v>4331</v>
      </c>
      <c r="C2059" s="2831">
        <v>190</v>
      </c>
      <c r="D2059" s="2831" t="s">
        <v>4332</v>
      </c>
      <c r="E2059" s="2831" t="s">
        <v>2166</v>
      </c>
    </row>
    <row r="2060" spans="1:5">
      <c r="A2060" s="2831">
        <v>731</v>
      </c>
      <c r="B2060" s="2831" t="s">
        <v>4333</v>
      </c>
      <c r="C2060" s="2831">
        <v>102</v>
      </c>
      <c r="D2060" s="2831" t="s">
        <v>4334</v>
      </c>
      <c r="E2060" s="2831" t="s">
        <v>2174</v>
      </c>
    </row>
    <row r="2061" spans="1:5">
      <c r="A2061" s="2831">
        <v>732</v>
      </c>
      <c r="B2061" s="2831" t="s">
        <v>4335</v>
      </c>
      <c r="C2061" s="2831">
        <v>602</v>
      </c>
      <c r="D2061" s="2831" t="s">
        <v>4336</v>
      </c>
      <c r="E2061" s="2831" t="s">
        <v>2166</v>
      </c>
    </row>
    <row r="2062" spans="1:5">
      <c r="A2062" s="2831">
        <v>732</v>
      </c>
      <c r="B2062" s="2831" t="s">
        <v>4335</v>
      </c>
      <c r="C2062" s="2831">
        <v>101</v>
      </c>
      <c r="D2062" s="2831" t="s">
        <v>4337</v>
      </c>
      <c r="E2062" s="2831" t="s">
        <v>2169</v>
      </c>
    </row>
    <row r="2063" spans="1:5">
      <c r="A2063" s="2831">
        <v>732</v>
      </c>
      <c r="B2063" s="2831" t="s">
        <v>4335</v>
      </c>
      <c r="C2063" s="2831">
        <v>603</v>
      </c>
      <c r="D2063" s="2831" t="s">
        <v>4338</v>
      </c>
      <c r="E2063" s="2831" t="s">
        <v>2169</v>
      </c>
    </row>
    <row r="2064" spans="1:5">
      <c r="A2064" s="2831">
        <v>732</v>
      </c>
      <c r="B2064" s="2831" t="s">
        <v>4335</v>
      </c>
      <c r="C2064" s="2831">
        <v>201</v>
      </c>
      <c r="D2064" s="2831" t="s">
        <v>4339</v>
      </c>
      <c r="E2064" s="2831" t="s">
        <v>2174</v>
      </c>
    </row>
    <row r="2065" spans="1:5">
      <c r="A2065" s="2831">
        <v>732</v>
      </c>
      <c r="B2065" s="2831" t="s">
        <v>4335</v>
      </c>
      <c r="C2065" s="2831">
        <v>194</v>
      </c>
      <c r="D2065" s="2831" t="s">
        <v>4340</v>
      </c>
      <c r="E2065" s="2831" t="s">
        <v>2169</v>
      </c>
    </row>
    <row r="2066" spans="1:5">
      <c r="A2066" s="2831">
        <v>733</v>
      </c>
      <c r="B2066" s="2831" t="s">
        <v>4341</v>
      </c>
      <c r="C2066" s="2831">
        <v>105</v>
      </c>
      <c r="D2066" s="2831" t="s">
        <v>4342</v>
      </c>
      <c r="E2066" s="2831" t="s">
        <v>2166</v>
      </c>
    </row>
    <row r="2067" spans="1:5">
      <c r="A2067" s="2831">
        <v>733</v>
      </c>
      <c r="B2067" s="2831" t="s">
        <v>4341</v>
      </c>
      <c r="C2067" s="2831">
        <v>201</v>
      </c>
      <c r="D2067" s="2831" t="s">
        <v>4343</v>
      </c>
      <c r="E2067" s="2831" t="s">
        <v>2166</v>
      </c>
    </row>
    <row r="2068" spans="1:5">
      <c r="A2068" s="2831">
        <v>733</v>
      </c>
      <c r="B2068" s="2831" t="s">
        <v>4341</v>
      </c>
      <c r="C2068" s="2831">
        <v>205</v>
      </c>
      <c r="D2068" s="2831" t="s">
        <v>4344</v>
      </c>
      <c r="E2068" s="2831" t="s">
        <v>2166</v>
      </c>
    </row>
    <row r="2069" spans="1:5">
      <c r="A2069" s="2831">
        <v>733</v>
      </c>
      <c r="B2069" s="2831" t="s">
        <v>4341</v>
      </c>
      <c r="C2069" s="2831">
        <v>104</v>
      </c>
      <c r="D2069" s="2831" t="s">
        <v>4345</v>
      </c>
      <c r="E2069" s="2831" t="s">
        <v>2169</v>
      </c>
    </row>
    <row r="2070" spans="1:5">
      <c r="A2070" s="2831">
        <v>734</v>
      </c>
      <c r="B2070" s="2831" t="s">
        <v>4346</v>
      </c>
      <c r="C2070" s="2831">
        <v>104</v>
      </c>
      <c r="D2070" s="2831" t="s">
        <v>4347</v>
      </c>
      <c r="E2070" s="2831" t="s">
        <v>2166</v>
      </c>
    </row>
    <row r="2071" spans="1:5">
      <c r="A2071" s="2831">
        <v>734</v>
      </c>
      <c r="B2071" s="2831" t="s">
        <v>4346</v>
      </c>
      <c r="C2071" s="2831">
        <v>201</v>
      </c>
      <c r="D2071" s="2831" t="s">
        <v>4348</v>
      </c>
      <c r="E2071" s="2831" t="s">
        <v>2166</v>
      </c>
    </row>
    <row r="2072" spans="1:5">
      <c r="A2072" s="2831">
        <v>734</v>
      </c>
      <c r="B2072" s="2831" t="s">
        <v>4346</v>
      </c>
      <c r="C2072" s="2831">
        <v>101</v>
      </c>
      <c r="D2072" s="2831" t="s">
        <v>4349</v>
      </c>
      <c r="E2072" s="2831" t="s">
        <v>2174</v>
      </c>
    </row>
    <row r="2073" spans="1:5">
      <c r="A2073" s="2831">
        <v>735</v>
      </c>
      <c r="B2073" s="2831" t="s">
        <v>4350</v>
      </c>
      <c r="C2073" s="2831">
        <v>1051</v>
      </c>
      <c r="D2073" s="2831" t="s">
        <v>4351</v>
      </c>
      <c r="E2073" s="2831" t="s">
        <v>2174</v>
      </c>
    </row>
    <row r="2074" spans="1:5">
      <c r="A2074" s="2831">
        <v>735</v>
      </c>
      <c r="B2074" s="2831" t="s">
        <v>4350</v>
      </c>
      <c r="C2074" s="2831">
        <v>105</v>
      </c>
      <c r="D2074" s="2831" t="s">
        <v>4352</v>
      </c>
      <c r="E2074" s="2831" t="s">
        <v>2174</v>
      </c>
    </row>
    <row r="2075" spans="1:5">
      <c r="A2075" s="2831">
        <v>735</v>
      </c>
      <c r="B2075" s="2831" t="s">
        <v>4350</v>
      </c>
      <c r="C2075" s="2831">
        <v>109</v>
      </c>
      <c r="D2075" s="2831" t="s">
        <v>4353</v>
      </c>
      <c r="E2075" s="2831" t="s">
        <v>2169</v>
      </c>
    </row>
    <row r="2076" spans="1:5">
      <c r="A2076" s="2831">
        <v>736</v>
      </c>
      <c r="B2076" s="2831" t="s">
        <v>4354</v>
      </c>
      <c r="C2076" s="2831">
        <v>100</v>
      </c>
      <c r="D2076" s="2831" t="s">
        <v>4355</v>
      </c>
      <c r="E2076" s="2831" t="s">
        <v>2174</v>
      </c>
    </row>
    <row r="2077" spans="1:5">
      <c r="A2077" s="2831">
        <v>736</v>
      </c>
      <c r="B2077" s="2831" t="s">
        <v>4354</v>
      </c>
      <c r="C2077" s="2831">
        <v>194</v>
      </c>
      <c r="D2077" s="2831" t="s">
        <v>4356</v>
      </c>
      <c r="E2077" s="2831" t="s">
        <v>2174</v>
      </c>
    </row>
    <row r="2078" spans="1:5">
      <c r="A2078" s="2831">
        <v>736</v>
      </c>
      <c r="B2078" s="2831" t="s">
        <v>4354</v>
      </c>
      <c r="C2078" s="2831">
        <v>5050</v>
      </c>
      <c r="D2078" s="2831" t="s">
        <v>4357</v>
      </c>
      <c r="E2078" s="2831" t="s">
        <v>2174</v>
      </c>
    </row>
    <row r="2079" spans="1:5">
      <c r="A2079" s="2831">
        <v>736</v>
      </c>
      <c r="B2079" s="2831" t="s">
        <v>4354</v>
      </c>
      <c r="C2079" s="2831">
        <v>191</v>
      </c>
      <c r="D2079" s="2831" t="s">
        <v>4358</v>
      </c>
      <c r="E2079" s="2831" t="s">
        <v>2174</v>
      </c>
    </row>
    <row r="2080" spans="1:5">
      <c r="A2080" s="2831">
        <v>736</v>
      </c>
      <c r="B2080" s="2831" t="s">
        <v>4354</v>
      </c>
      <c r="C2080" s="2831">
        <v>205</v>
      </c>
      <c r="D2080" s="2831" t="s">
        <v>4359</v>
      </c>
      <c r="E2080" s="2831" t="s">
        <v>2166</v>
      </c>
    </row>
    <row r="2081" spans="1:5">
      <c r="A2081" s="2831">
        <v>745</v>
      </c>
      <c r="B2081" s="2831" t="s">
        <v>4360</v>
      </c>
      <c r="C2081" s="2831">
        <v>295</v>
      </c>
      <c r="D2081" s="2831" t="s">
        <v>4361</v>
      </c>
      <c r="E2081" s="2831" t="s">
        <v>2174</v>
      </c>
    </row>
    <row r="2082" spans="1:5">
      <c r="A2082" s="2831">
        <v>745</v>
      </c>
      <c r="B2082" s="2831" t="s">
        <v>4360</v>
      </c>
      <c r="C2082" s="2831">
        <v>195</v>
      </c>
      <c r="D2082" s="2831" t="s">
        <v>4362</v>
      </c>
      <c r="E2082" s="2831" t="s">
        <v>2169</v>
      </c>
    </row>
    <row r="2083" spans="1:5">
      <c r="A2083" s="2831">
        <v>745</v>
      </c>
      <c r="B2083" s="2831" t="s">
        <v>4360</v>
      </c>
      <c r="C2083" s="2831">
        <v>395</v>
      </c>
      <c r="D2083" s="2831" t="s">
        <v>4363</v>
      </c>
      <c r="E2083" s="2831" t="s">
        <v>2169</v>
      </c>
    </row>
    <row r="2084" spans="1:5">
      <c r="A2084" s="2831">
        <v>745</v>
      </c>
      <c r="B2084" s="2831" t="s">
        <v>4360</v>
      </c>
      <c r="C2084" s="2831">
        <v>105</v>
      </c>
      <c r="D2084" s="2831" t="s">
        <v>4364</v>
      </c>
      <c r="E2084" s="2831" t="s">
        <v>2174</v>
      </c>
    </row>
    <row r="2085" spans="1:5">
      <c r="A2085" s="2831">
        <v>789</v>
      </c>
      <c r="B2085" s="2831" t="s">
        <v>4365</v>
      </c>
      <c r="C2085" s="2831">
        <v>4050</v>
      </c>
      <c r="D2085" s="2831" t="s">
        <v>2622</v>
      </c>
      <c r="E2085" s="2831" t="s">
        <v>2169</v>
      </c>
    </row>
    <row r="2086" spans="1:5">
      <c r="A2086" s="2831">
        <v>789</v>
      </c>
      <c r="B2086" s="2831" t="s">
        <v>4365</v>
      </c>
      <c r="C2086" s="2831">
        <v>5050</v>
      </c>
      <c r="D2086" s="2831" t="s">
        <v>4366</v>
      </c>
      <c r="E2086" s="2831" t="s">
        <v>2166</v>
      </c>
    </row>
    <row r="2087" spans="1:5">
      <c r="A2087" s="2831">
        <v>789</v>
      </c>
      <c r="B2087" s="2831" t="s">
        <v>4365</v>
      </c>
      <c r="C2087" s="2831">
        <v>3050</v>
      </c>
      <c r="D2087" s="2831" t="s">
        <v>4367</v>
      </c>
      <c r="E2087" s="2831" t="s">
        <v>2169</v>
      </c>
    </row>
    <row r="2088" spans="1:5">
      <c r="A2088" s="2831">
        <v>789</v>
      </c>
      <c r="B2088" s="2831" t="s">
        <v>4365</v>
      </c>
      <c r="C2088" s="2831">
        <v>3052</v>
      </c>
      <c r="D2088" s="2831" t="s">
        <v>4368</v>
      </c>
      <c r="E2088" s="2831" t="s">
        <v>2174</v>
      </c>
    </row>
    <row r="2089" spans="1:5">
      <c r="A2089" s="2831">
        <v>789</v>
      </c>
      <c r="B2089" s="2831" t="s">
        <v>4365</v>
      </c>
      <c r="C2089" s="2831">
        <v>4052</v>
      </c>
      <c r="D2089" s="2831" t="s">
        <v>4369</v>
      </c>
      <c r="E2089" s="2831" t="s">
        <v>2166</v>
      </c>
    </row>
    <row r="2090" spans="1:5">
      <c r="A2090" s="2831">
        <v>737</v>
      </c>
      <c r="B2090" s="2831" t="s">
        <v>4370</v>
      </c>
      <c r="C2090" s="2831">
        <v>104</v>
      </c>
      <c r="D2090" s="2831" t="s">
        <v>4371</v>
      </c>
      <c r="E2090" s="2831" t="s">
        <v>2169</v>
      </c>
    </row>
    <row r="2091" spans="1:5">
      <c r="A2091" s="2831">
        <v>737</v>
      </c>
      <c r="B2091" s="2831" t="s">
        <v>4370</v>
      </c>
      <c r="C2091" s="2831">
        <v>5050</v>
      </c>
      <c r="D2091" s="2831" t="s">
        <v>4372</v>
      </c>
      <c r="E2091" s="2831" t="s">
        <v>2169</v>
      </c>
    </row>
    <row r="2092" spans="1:5">
      <c r="A2092" s="2831">
        <v>737</v>
      </c>
      <c r="B2092" s="2831" t="s">
        <v>4370</v>
      </c>
      <c r="C2092" s="2831">
        <v>299</v>
      </c>
      <c r="D2092" s="2831" t="s">
        <v>4373</v>
      </c>
      <c r="E2092" s="2831" t="s">
        <v>2166</v>
      </c>
    </row>
    <row r="2093" spans="1:5">
      <c r="A2093" s="2831">
        <v>737</v>
      </c>
      <c r="B2093" s="2831" t="s">
        <v>4370</v>
      </c>
      <c r="C2093" s="2831">
        <v>173</v>
      </c>
      <c r="D2093" s="2831" t="s">
        <v>4374</v>
      </c>
      <c r="E2093" s="2831" t="s">
        <v>2174</v>
      </c>
    </row>
    <row r="2094" spans="1:5">
      <c r="A2094" s="2831">
        <v>737</v>
      </c>
      <c r="B2094" s="2831" t="s">
        <v>4370</v>
      </c>
      <c r="C2094" s="2831">
        <v>1052</v>
      </c>
      <c r="D2094" s="2831" t="s">
        <v>4375</v>
      </c>
      <c r="E2094" s="2831" t="s">
        <v>2166</v>
      </c>
    </row>
    <row r="2095" spans="1:5">
      <c r="A2095" s="2831">
        <v>737</v>
      </c>
      <c r="B2095" s="2831" t="s">
        <v>4370</v>
      </c>
      <c r="C2095" s="2831">
        <v>2050</v>
      </c>
      <c r="D2095" s="2831" t="s">
        <v>4376</v>
      </c>
      <c r="E2095" s="2831" t="s">
        <v>2166</v>
      </c>
    </row>
    <row r="2096" spans="1:5">
      <c r="A2096" s="2831">
        <v>737</v>
      </c>
      <c r="B2096" s="2831" t="s">
        <v>4370</v>
      </c>
      <c r="C2096" s="2831">
        <v>4052</v>
      </c>
      <c r="D2096" s="2831" t="s">
        <v>4377</v>
      </c>
      <c r="E2096" s="2831" t="s">
        <v>2166</v>
      </c>
    </row>
    <row r="2097" spans="1:5">
      <c r="A2097" s="2831">
        <v>737</v>
      </c>
      <c r="B2097" s="2831" t="s">
        <v>4370</v>
      </c>
      <c r="C2097" s="2831">
        <v>3052</v>
      </c>
      <c r="D2097" s="2831" t="s">
        <v>4378</v>
      </c>
      <c r="E2097" s="2831" t="s">
        <v>2166</v>
      </c>
    </row>
    <row r="2098" spans="1:5">
      <c r="A2098" s="2831">
        <v>737</v>
      </c>
      <c r="B2098" s="2831" t="s">
        <v>4370</v>
      </c>
      <c r="C2098" s="2831">
        <v>3050</v>
      </c>
      <c r="D2098" s="2831" t="s">
        <v>2870</v>
      </c>
      <c r="E2098" s="2831" t="s">
        <v>2169</v>
      </c>
    </row>
    <row r="2099" spans="1:5">
      <c r="A2099" s="2831">
        <v>737</v>
      </c>
      <c r="B2099" s="2831" t="s">
        <v>4370</v>
      </c>
      <c r="C2099" s="2831">
        <v>4050</v>
      </c>
      <c r="D2099" s="2831" t="s">
        <v>4379</v>
      </c>
      <c r="E2099" s="2831" t="s">
        <v>2166</v>
      </c>
    </row>
    <row r="2100" spans="1:5">
      <c r="A2100" s="2831">
        <v>737</v>
      </c>
      <c r="B2100" s="2831" t="s">
        <v>4370</v>
      </c>
      <c r="C2100" s="2831">
        <v>199</v>
      </c>
      <c r="D2100" s="2831" t="s">
        <v>4380</v>
      </c>
      <c r="E2100" s="2831" t="s">
        <v>2169</v>
      </c>
    </row>
    <row r="2101" spans="1:5">
      <c r="A2101" s="2831">
        <v>738</v>
      </c>
      <c r="B2101" s="2831" t="s">
        <v>4381</v>
      </c>
      <c r="C2101" s="2831">
        <v>104</v>
      </c>
      <c r="D2101" s="2831" t="s">
        <v>4382</v>
      </c>
      <c r="E2101" s="2831" t="s">
        <v>2169</v>
      </c>
    </row>
    <row r="2102" spans="1:5">
      <c r="A2102" s="2831">
        <v>738</v>
      </c>
      <c r="B2102" s="2831" t="s">
        <v>4381</v>
      </c>
      <c r="C2102" s="2831">
        <v>204</v>
      </c>
      <c r="D2102" s="2831" t="s">
        <v>4383</v>
      </c>
      <c r="E2102" s="2831" t="s">
        <v>2166</v>
      </c>
    </row>
    <row r="2103" spans="1:5">
      <c r="A2103" s="2831">
        <v>738</v>
      </c>
      <c r="B2103" s="2831" t="s">
        <v>4381</v>
      </c>
      <c r="C2103" s="2831">
        <v>4050</v>
      </c>
      <c r="D2103" s="2831" t="s">
        <v>4384</v>
      </c>
      <c r="E2103" s="2831" t="s">
        <v>2174</v>
      </c>
    </row>
    <row r="2104" spans="1:5">
      <c r="A2104" s="2831">
        <v>738</v>
      </c>
      <c r="B2104" s="2831" t="s">
        <v>4381</v>
      </c>
      <c r="C2104" s="2831">
        <v>192</v>
      </c>
      <c r="D2104" s="2831" t="s">
        <v>4385</v>
      </c>
      <c r="E2104" s="2831" t="s">
        <v>2174</v>
      </c>
    </row>
    <row r="2105" spans="1:5">
      <c r="A2105" s="2831">
        <v>738</v>
      </c>
      <c r="B2105" s="2831" t="s">
        <v>4381</v>
      </c>
      <c r="C2105" s="2831">
        <v>103</v>
      </c>
      <c r="D2105" s="2831" t="s">
        <v>4386</v>
      </c>
      <c r="E2105" s="2831" t="s">
        <v>2169</v>
      </c>
    </row>
    <row r="2106" spans="1:5">
      <c r="A2106" s="2831">
        <v>739</v>
      </c>
      <c r="B2106" s="2831" t="s">
        <v>4387</v>
      </c>
      <c r="C2106" s="2831">
        <v>103</v>
      </c>
      <c r="D2106" s="2831" t="s">
        <v>4388</v>
      </c>
      <c r="E2106" s="2831" t="s">
        <v>2166</v>
      </c>
    </row>
    <row r="2107" spans="1:5">
      <c r="A2107" s="2831">
        <v>739</v>
      </c>
      <c r="B2107" s="2831" t="s">
        <v>4387</v>
      </c>
      <c r="C2107" s="2831">
        <v>204</v>
      </c>
      <c r="D2107" s="2831" t="s">
        <v>4389</v>
      </c>
      <c r="E2107" s="2831" t="s">
        <v>2166</v>
      </c>
    </row>
    <row r="2108" spans="1:5">
      <c r="A2108" s="2831">
        <v>739</v>
      </c>
      <c r="B2108" s="2831" t="s">
        <v>4387</v>
      </c>
      <c r="C2108" s="2831">
        <v>104</v>
      </c>
      <c r="D2108" s="2831" t="s">
        <v>4390</v>
      </c>
      <c r="E2108" s="2831" t="s">
        <v>2166</v>
      </c>
    </row>
    <row r="2109" spans="1:5">
      <c r="A2109" s="2831">
        <v>740</v>
      </c>
      <c r="B2109" s="2831" t="s">
        <v>4391</v>
      </c>
      <c r="C2109" s="2831">
        <v>113</v>
      </c>
      <c r="D2109" s="2831" t="s">
        <v>4392</v>
      </c>
      <c r="E2109" s="2831" t="s">
        <v>2174</v>
      </c>
    </row>
    <row r="2110" spans="1:5">
      <c r="A2110" s="2831">
        <v>740</v>
      </c>
      <c r="B2110" s="2831" t="s">
        <v>4391</v>
      </c>
      <c r="C2110" s="2831">
        <v>213</v>
      </c>
      <c r="D2110" s="2831" t="s">
        <v>4393</v>
      </c>
      <c r="E2110" s="2831" t="s">
        <v>2169</v>
      </c>
    </row>
    <row r="2111" spans="1:5">
      <c r="A2111" s="2831">
        <v>791</v>
      </c>
      <c r="B2111" s="2831" t="s">
        <v>4394</v>
      </c>
      <c r="C2111" s="2831">
        <v>101</v>
      </c>
      <c r="D2111" s="2831" t="s">
        <v>4395</v>
      </c>
      <c r="E2111" s="2831" t="s">
        <v>2166</v>
      </c>
    </row>
    <row r="2112" spans="1:5">
      <c r="A2112" s="2831">
        <v>791</v>
      </c>
      <c r="B2112" s="2831" t="s">
        <v>4394</v>
      </c>
      <c r="C2112" s="2831">
        <v>301</v>
      </c>
      <c r="D2112" s="2831" t="s">
        <v>4396</v>
      </c>
      <c r="E2112" s="2831" t="s">
        <v>2166</v>
      </c>
    </row>
    <row r="2113" spans="1:5">
      <c r="A2113" s="2831">
        <v>791</v>
      </c>
      <c r="B2113" s="2831" t="s">
        <v>4394</v>
      </c>
      <c r="C2113" s="2831">
        <v>201</v>
      </c>
      <c r="D2113" s="2831" t="s">
        <v>4397</v>
      </c>
      <c r="E2113" s="2831" t="s">
        <v>2174</v>
      </c>
    </row>
    <row r="2114" spans="1:5">
      <c r="A2114" s="2831">
        <v>741</v>
      </c>
      <c r="B2114" s="2831" t="s">
        <v>4398</v>
      </c>
      <c r="C2114" s="2831">
        <v>5052</v>
      </c>
      <c r="D2114" s="2831" t="s">
        <v>4399</v>
      </c>
      <c r="E2114" s="2831" t="s">
        <v>2166</v>
      </c>
    </row>
    <row r="2115" spans="1:5">
      <c r="A2115" s="2831">
        <v>741</v>
      </c>
      <c r="B2115" s="2831" t="s">
        <v>4398</v>
      </c>
      <c r="C2115" s="2831">
        <v>109</v>
      </c>
      <c r="D2115" s="2831" t="s">
        <v>2612</v>
      </c>
      <c r="E2115" s="2831" t="s">
        <v>2169</v>
      </c>
    </row>
    <row r="2116" spans="1:5">
      <c r="A2116" s="2831">
        <v>741</v>
      </c>
      <c r="B2116" s="2831" t="s">
        <v>4398</v>
      </c>
      <c r="C2116" s="2831">
        <v>201</v>
      </c>
      <c r="D2116" s="2831" t="s">
        <v>4400</v>
      </c>
      <c r="E2116" s="2831" t="s">
        <v>2174</v>
      </c>
    </row>
    <row r="2117" spans="1:5">
      <c r="A2117" s="2831">
        <v>741</v>
      </c>
      <c r="B2117" s="2831" t="s">
        <v>4398</v>
      </c>
      <c r="C2117" s="2831">
        <v>204</v>
      </c>
      <c r="D2117" s="2831" t="s">
        <v>4401</v>
      </c>
      <c r="E2117" s="2831" t="s">
        <v>2166</v>
      </c>
    </row>
    <row r="2118" spans="1:5">
      <c r="A2118" s="2831">
        <v>741</v>
      </c>
      <c r="B2118" s="2831" t="s">
        <v>4398</v>
      </c>
      <c r="C2118" s="2831">
        <v>698</v>
      </c>
      <c r="D2118" s="2831" t="s">
        <v>4402</v>
      </c>
      <c r="E2118" s="2831" t="s">
        <v>2169</v>
      </c>
    </row>
    <row r="2119" spans="1:5">
      <c r="A2119" s="2831">
        <v>741</v>
      </c>
      <c r="B2119" s="2831" t="s">
        <v>4398</v>
      </c>
      <c r="C2119" s="2831">
        <v>597</v>
      </c>
      <c r="D2119" s="2831" t="s">
        <v>4403</v>
      </c>
      <c r="E2119" s="2831" t="s">
        <v>2166</v>
      </c>
    </row>
    <row r="2120" spans="1:5">
      <c r="A2120" s="2831">
        <v>741</v>
      </c>
      <c r="B2120" s="2831" t="s">
        <v>4398</v>
      </c>
      <c r="C2120" s="2831">
        <v>205</v>
      </c>
      <c r="D2120" s="2831" t="s">
        <v>4404</v>
      </c>
      <c r="E2120" s="2831" t="s">
        <v>2166</v>
      </c>
    </row>
    <row r="2121" spans="1:5">
      <c r="A2121" s="2831">
        <v>741</v>
      </c>
      <c r="B2121" s="2831" t="s">
        <v>4398</v>
      </c>
      <c r="C2121" s="2831">
        <v>191</v>
      </c>
      <c r="D2121" s="2831" t="s">
        <v>4405</v>
      </c>
      <c r="E2121" s="2831" t="s">
        <v>2166</v>
      </c>
    </row>
    <row r="2122" spans="1:5">
      <c r="A2122" s="2831">
        <v>741</v>
      </c>
      <c r="B2122" s="2831" t="s">
        <v>4398</v>
      </c>
      <c r="C2122" s="2831">
        <v>3050</v>
      </c>
      <c r="D2122" s="2831" t="s">
        <v>4406</v>
      </c>
      <c r="E2122" s="2831" t="s">
        <v>2174</v>
      </c>
    </row>
    <row r="2123" spans="1:5">
      <c r="A2123" s="2831">
        <v>741</v>
      </c>
      <c r="B2123" s="2831" t="s">
        <v>4398</v>
      </c>
      <c r="C2123" s="2831">
        <v>397</v>
      </c>
      <c r="D2123" s="2831" t="s">
        <v>4407</v>
      </c>
      <c r="E2123" s="2831" t="s">
        <v>2174</v>
      </c>
    </row>
    <row r="2124" spans="1:5">
      <c r="A2124" s="2831">
        <v>741</v>
      </c>
      <c r="B2124" s="2831" t="s">
        <v>4398</v>
      </c>
      <c r="C2124" s="2831">
        <v>194</v>
      </c>
      <c r="D2124" s="2831" t="s">
        <v>4408</v>
      </c>
      <c r="E2124" s="2831" t="s">
        <v>2169</v>
      </c>
    </row>
    <row r="2125" spans="1:5">
      <c r="A2125" s="2831">
        <v>741</v>
      </c>
      <c r="B2125" s="2831" t="s">
        <v>4398</v>
      </c>
      <c r="C2125" s="2831">
        <v>1052</v>
      </c>
      <c r="D2125" s="2831" t="s">
        <v>4409</v>
      </c>
      <c r="E2125" s="2831" t="s">
        <v>2166</v>
      </c>
    </row>
    <row r="2126" spans="1:5">
      <c r="A2126" s="2831">
        <v>741</v>
      </c>
      <c r="B2126" s="2831" t="s">
        <v>4398</v>
      </c>
      <c r="C2126" s="2831">
        <v>189</v>
      </c>
      <c r="D2126" s="2831" t="s">
        <v>4410</v>
      </c>
      <c r="E2126" s="2831" t="s">
        <v>2174</v>
      </c>
    </row>
    <row r="2127" spans="1:5">
      <c r="A2127" s="2831">
        <v>741</v>
      </c>
      <c r="B2127" s="2831" t="s">
        <v>4398</v>
      </c>
      <c r="C2127" s="2831">
        <v>297</v>
      </c>
      <c r="D2127" s="2831" t="s">
        <v>4411</v>
      </c>
      <c r="E2127" s="2831" t="s">
        <v>2166</v>
      </c>
    </row>
    <row r="2128" spans="1:5">
      <c r="A2128" s="2831">
        <v>741</v>
      </c>
      <c r="B2128" s="2831" t="s">
        <v>4398</v>
      </c>
      <c r="C2128" s="2831">
        <v>5050</v>
      </c>
      <c r="D2128" s="2831" t="s">
        <v>4412</v>
      </c>
      <c r="E2128" s="2831" t="s">
        <v>2166</v>
      </c>
    </row>
    <row r="2129" spans="1:5">
      <c r="A2129" s="2831">
        <v>741</v>
      </c>
      <c r="B2129" s="2831" t="s">
        <v>4398</v>
      </c>
      <c r="C2129" s="2831">
        <v>387</v>
      </c>
      <c r="D2129" s="2831" t="s">
        <v>4413</v>
      </c>
      <c r="E2129" s="2831" t="s">
        <v>2169</v>
      </c>
    </row>
    <row r="2130" spans="1:5">
      <c r="A2130" s="2831">
        <v>741</v>
      </c>
      <c r="B2130" s="2831" t="s">
        <v>4398</v>
      </c>
      <c r="C2130" s="2831">
        <v>187</v>
      </c>
      <c r="D2130" s="2831" t="s">
        <v>4414</v>
      </c>
      <c r="E2130" s="2831" t="s">
        <v>2166</v>
      </c>
    </row>
    <row r="2131" spans="1:5">
      <c r="A2131" s="2831">
        <v>742</v>
      </c>
      <c r="B2131" s="2831" t="s">
        <v>4415</v>
      </c>
      <c r="C2131" s="2831">
        <v>196</v>
      </c>
      <c r="D2131" s="2831" t="s">
        <v>4416</v>
      </c>
      <c r="E2131" s="2831" t="s">
        <v>2169</v>
      </c>
    </row>
    <row r="2132" spans="1:5">
      <c r="A2132" s="2831">
        <v>742</v>
      </c>
      <c r="B2132" s="2831" t="s">
        <v>4415</v>
      </c>
      <c r="C2132" s="2831">
        <v>3050</v>
      </c>
      <c r="D2132" s="2831" t="s">
        <v>4417</v>
      </c>
      <c r="E2132" s="2831" t="s">
        <v>2174</v>
      </c>
    </row>
    <row r="2133" spans="1:5">
      <c r="A2133" s="2831">
        <v>742</v>
      </c>
      <c r="B2133" s="2831" t="s">
        <v>4415</v>
      </c>
      <c r="C2133" s="2831">
        <v>190</v>
      </c>
      <c r="D2133" s="2831" t="s">
        <v>4418</v>
      </c>
      <c r="E2133" s="2831" t="s">
        <v>2169</v>
      </c>
    </row>
    <row r="2134" spans="1:5">
      <c r="A2134" s="2831">
        <v>743</v>
      </c>
      <c r="B2134" s="2831" t="s">
        <v>4419</v>
      </c>
      <c r="C2134" s="2831">
        <v>107</v>
      </c>
      <c r="D2134" s="2831" t="s">
        <v>4420</v>
      </c>
      <c r="E2134" s="2831" t="s">
        <v>2169</v>
      </c>
    </row>
    <row r="2135" spans="1:5">
      <c r="A2135" s="2831">
        <v>743</v>
      </c>
      <c r="B2135" s="2831" t="s">
        <v>4419</v>
      </c>
      <c r="C2135" s="2831">
        <v>201</v>
      </c>
      <c r="D2135" s="2831" t="s">
        <v>4421</v>
      </c>
      <c r="E2135" s="2831" t="s">
        <v>2169</v>
      </c>
    </row>
    <row r="2136" spans="1:5">
      <c r="A2136" s="2831">
        <v>743</v>
      </c>
      <c r="B2136" s="2831" t="s">
        <v>4419</v>
      </c>
      <c r="C2136" s="2831">
        <v>207</v>
      </c>
      <c r="D2136" s="2831" t="s">
        <v>4422</v>
      </c>
      <c r="E2136" s="2831" t="s">
        <v>2166</v>
      </c>
    </row>
    <row r="2137" spans="1:5">
      <c r="A2137" s="2831">
        <v>744</v>
      </c>
      <c r="B2137" s="2831" t="s">
        <v>4423</v>
      </c>
      <c r="C2137" s="2831">
        <v>103</v>
      </c>
      <c r="D2137" s="2831" t="s">
        <v>4424</v>
      </c>
      <c r="E2137" s="2831" t="s">
        <v>2174</v>
      </c>
    </row>
    <row r="2138" spans="1:5">
      <c r="A2138" s="2831">
        <v>744</v>
      </c>
      <c r="B2138" s="2831" t="s">
        <v>4423</v>
      </c>
      <c r="C2138" s="2831">
        <v>101</v>
      </c>
      <c r="D2138" s="2831" t="s">
        <v>4425</v>
      </c>
      <c r="E2138" s="2831" t="s">
        <v>2166</v>
      </c>
    </row>
    <row r="2139" spans="1:5">
      <c r="A2139" s="2831">
        <v>744</v>
      </c>
      <c r="B2139" s="2831" t="s">
        <v>4423</v>
      </c>
      <c r="C2139" s="2831">
        <v>108</v>
      </c>
      <c r="D2139" s="2831" t="s">
        <v>4426</v>
      </c>
      <c r="E2139" s="2831" t="s">
        <v>2169</v>
      </c>
    </row>
    <row r="2140" spans="1:5">
      <c r="A2140" s="2831">
        <v>744</v>
      </c>
      <c r="B2140" s="2831" t="s">
        <v>4423</v>
      </c>
      <c r="C2140" s="2831">
        <v>1050</v>
      </c>
      <c r="D2140" s="2831" t="s">
        <v>4427</v>
      </c>
      <c r="E2140" s="2831" t="s">
        <v>2174</v>
      </c>
    </row>
    <row r="2141" spans="1:5">
      <c r="A2141" s="2831">
        <v>792</v>
      </c>
      <c r="B2141" s="2831" t="s">
        <v>4428</v>
      </c>
      <c r="C2141" s="2831">
        <v>106</v>
      </c>
      <c r="D2141" s="2831" t="s">
        <v>4429</v>
      </c>
      <c r="E2141" s="2831" t="s">
        <v>2174</v>
      </c>
    </row>
    <row r="2142" spans="1:5">
      <c r="A2142" s="2831">
        <v>792</v>
      </c>
      <c r="B2142" s="2831" t="s">
        <v>4428</v>
      </c>
      <c r="C2142" s="2831">
        <v>195</v>
      </c>
      <c r="D2142" s="2831" t="s">
        <v>4430</v>
      </c>
      <c r="E2142" s="2831" t="s">
        <v>2169</v>
      </c>
    </row>
    <row r="2143" spans="1:5">
      <c r="A2143" s="2831">
        <v>792</v>
      </c>
      <c r="B2143" s="2831" t="s">
        <v>4428</v>
      </c>
      <c r="C2143" s="2831">
        <v>117</v>
      </c>
      <c r="D2143" s="2831" t="s">
        <v>4431</v>
      </c>
      <c r="E2143" s="2831" t="s">
        <v>2174</v>
      </c>
    </row>
    <row r="2144" spans="1:5">
      <c r="A2144" s="2831">
        <v>792</v>
      </c>
      <c r="B2144" s="2831" t="s">
        <v>4428</v>
      </c>
      <c r="C2144" s="2831">
        <v>309</v>
      </c>
      <c r="D2144" s="2831" t="s">
        <v>4432</v>
      </c>
      <c r="E2144" s="2831" t="s">
        <v>2169</v>
      </c>
    </row>
    <row r="2145" spans="1:5">
      <c r="A2145" s="2831">
        <v>792</v>
      </c>
      <c r="B2145" s="2831" t="s">
        <v>4428</v>
      </c>
      <c r="C2145" s="2831">
        <v>101</v>
      </c>
      <c r="D2145" s="2831" t="s">
        <v>4433</v>
      </c>
      <c r="E2145" s="2831" t="s">
        <v>2174</v>
      </c>
    </row>
    <row r="2146" spans="1:5">
      <c r="A2146" s="2831">
        <v>792</v>
      </c>
      <c r="B2146" s="2831" t="s">
        <v>4428</v>
      </c>
      <c r="C2146" s="2831">
        <v>273</v>
      </c>
      <c r="D2146" s="2831" t="s">
        <v>4434</v>
      </c>
      <c r="E2146" s="2831" t="s">
        <v>2174</v>
      </c>
    </row>
    <row r="2147" spans="1:5">
      <c r="A2147" s="2831">
        <v>792</v>
      </c>
      <c r="B2147" s="2831" t="s">
        <v>4428</v>
      </c>
      <c r="C2147" s="2831">
        <v>103</v>
      </c>
      <c r="D2147" s="2831" t="s">
        <v>4435</v>
      </c>
      <c r="E2147" s="2831" t="s">
        <v>2166</v>
      </c>
    </row>
    <row r="2148" spans="1:5">
      <c r="A2148" s="2831">
        <v>792</v>
      </c>
      <c r="B2148" s="2831" t="s">
        <v>4428</v>
      </c>
      <c r="C2148" s="2831">
        <v>1052</v>
      </c>
      <c r="D2148" s="2831" t="s">
        <v>4436</v>
      </c>
      <c r="E2148" s="2831" t="s">
        <v>2174</v>
      </c>
    </row>
    <row r="2149" spans="1:5">
      <c r="A2149" s="2831">
        <v>793</v>
      </c>
      <c r="B2149" s="2831" t="s">
        <v>4437</v>
      </c>
      <c r="C2149" s="2831">
        <v>2050</v>
      </c>
      <c r="D2149" s="2831" t="s">
        <v>4438</v>
      </c>
      <c r="E2149" s="2831" t="s">
        <v>2169</v>
      </c>
    </row>
    <row r="2150" spans="1:5">
      <c r="A2150" s="2831">
        <v>793</v>
      </c>
      <c r="B2150" s="2831" t="s">
        <v>4437</v>
      </c>
      <c r="C2150" s="2831">
        <v>173</v>
      </c>
      <c r="D2150" s="2831" t="s">
        <v>4439</v>
      </c>
      <c r="E2150" s="2831" t="s">
        <v>2166</v>
      </c>
    </row>
    <row r="2151" spans="1:5">
      <c r="A2151" s="2831">
        <v>793</v>
      </c>
      <c r="B2151" s="2831" t="s">
        <v>4437</v>
      </c>
      <c r="C2151" s="2831">
        <v>5050</v>
      </c>
      <c r="D2151" s="2831" t="s">
        <v>4440</v>
      </c>
      <c r="E2151" s="2831" t="s">
        <v>2169</v>
      </c>
    </row>
    <row r="2152" spans="1:5">
      <c r="A2152" s="2831">
        <v>793</v>
      </c>
      <c r="B2152" s="2831" t="s">
        <v>4437</v>
      </c>
      <c r="C2152" s="2831">
        <v>273</v>
      </c>
      <c r="D2152" s="2831" t="s">
        <v>4441</v>
      </c>
      <c r="E2152" s="2831" t="s">
        <v>2169</v>
      </c>
    </row>
    <row r="2153" spans="1:5">
      <c r="A2153" s="2831">
        <v>746</v>
      </c>
      <c r="B2153" s="2831" t="s">
        <v>4442</v>
      </c>
      <c r="C2153" s="2831">
        <v>4050</v>
      </c>
      <c r="D2153" s="2831" t="s">
        <v>4443</v>
      </c>
      <c r="E2153" s="2831" t="s">
        <v>2169</v>
      </c>
    </row>
    <row r="2154" spans="1:5">
      <c r="A2154" s="2831">
        <v>746</v>
      </c>
      <c r="B2154" s="2831" t="s">
        <v>4442</v>
      </c>
      <c r="C2154" s="2831">
        <v>106</v>
      </c>
      <c r="D2154" s="2831" t="s">
        <v>4444</v>
      </c>
      <c r="E2154" s="2831" t="s">
        <v>2169</v>
      </c>
    </row>
    <row r="2155" spans="1:5">
      <c r="A2155" s="2831">
        <v>746</v>
      </c>
      <c r="B2155" s="2831" t="s">
        <v>4442</v>
      </c>
      <c r="C2155" s="2831">
        <v>199</v>
      </c>
      <c r="D2155" s="2831" t="s">
        <v>4445</v>
      </c>
      <c r="E2155" s="2831" t="s">
        <v>2174</v>
      </c>
    </row>
    <row r="2156" spans="1:5">
      <c r="A2156" s="2831">
        <v>746</v>
      </c>
      <c r="B2156" s="2831" t="s">
        <v>4442</v>
      </c>
      <c r="C2156" s="2831">
        <v>2052</v>
      </c>
      <c r="D2156" s="2831" t="s">
        <v>4446</v>
      </c>
      <c r="E2156" s="2831" t="s">
        <v>2174</v>
      </c>
    </row>
    <row r="2157" spans="1:5">
      <c r="A2157" s="2831">
        <v>746</v>
      </c>
      <c r="B2157" s="2831" t="s">
        <v>4442</v>
      </c>
      <c r="C2157" s="2831">
        <v>195</v>
      </c>
      <c r="D2157" s="2831" t="s">
        <v>4447</v>
      </c>
      <c r="E2157" s="2831" t="s">
        <v>2169</v>
      </c>
    </row>
    <row r="2158" spans="1:5">
      <c r="A2158" s="2831">
        <v>746</v>
      </c>
      <c r="B2158" s="2831" t="s">
        <v>4442</v>
      </c>
      <c r="C2158" s="2831">
        <v>198</v>
      </c>
      <c r="D2158" s="2831" t="s">
        <v>4448</v>
      </c>
      <c r="E2158" s="2831" t="s">
        <v>2174</v>
      </c>
    </row>
    <row r="2159" spans="1:5">
      <c r="A2159" s="2831">
        <v>746</v>
      </c>
      <c r="B2159" s="2831" t="s">
        <v>4442</v>
      </c>
      <c r="C2159" s="2831">
        <v>180</v>
      </c>
      <c r="D2159" s="2831" t="s">
        <v>4449</v>
      </c>
      <c r="E2159" s="2831" t="s">
        <v>2166</v>
      </c>
    </row>
    <row r="2160" spans="1:5">
      <c r="A2160" s="2831">
        <v>746</v>
      </c>
      <c r="B2160" s="2831" t="s">
        <v>4442</v>
      </c>
      <c r="C2160" s="2831">
        <v>2056</v>
      </c>
      <c r="D2160" s="2831" t="s">
        <v>4450</v>
      </c>
      <c r="E2160" s="2831" t="s">
        <v>2174</v>
      </c>
    </row>
    <row r="2161" spans="1:5">
      <c r="A2161" s="2831">
        <v>746</v>
      </c>
      <c r="B2161" s="2831" t="s">
        <v>4442</v>
      </c>
      <c r="C2161" s="2831">
        <v>200</v>
      </c>
      <c r="D2161" s="2831" t="s">
        <v>4451</v>
      </c>
      <c r="E2161" s="2831" t="s">
        <v>2169</v>
      </c>
    </row>
    <row r="2162" spans="1:5">
      <c r="A2162" s="2831">
        <v>746</v>
      </c>
      <c r="B2162" s="2831" t="s">
        <v>4442</v>
      </c>
      <c r="C2162" s="2831">
        <v>190</v>
      </c>
      <c r="D2162" s="2831" t="s">
        <v>4452</v>
      </c>
      <c r="E2162" s="2831" t="s">
        <v>2166</v>
      </c>
    </row>
    <row r="2163" spans="1:5">
      <c r="A2163" s="2831">
        <v>746</v>
      </c>
      <c r="B2163" s="2831" t="s">
        <v>4442</v>
      </c>
      <c r="C2163" s="2831">
        <v>100</v>
      </c>
      <c r="D2163" s="2831" t="s">
        <v>4453</v>
      </c>
      <c r="E2163" s="2831" t="s">
        <v>2169</v>
      </c>
    </row>
    <row r="2164" spans="1:5">
      <c r="A2164" s="2831">
        <v>746</v>
      </c>
      <c r="B2164" s="2831" t="s">
        <v>4442</v>
      </c>
      <c r="C2164" s="2831">
        <v>194</v>
      </c>
      <c r="D2164" s="2831" t="s">
        <v>4454</v>
      </c>
      <c r="E2164" s="2831" t="s">
        <v>2169</v>
      </c>
    </row>
    <row r="2165" spans="1:5">
      <c r="A2165" s="2831">
        <v>746</v>
      </c>
      <c r="B2165" s="2831" t="s">
        <v>4442</v>
      </c>
      <c r="C2165" s="2831">
        <v>206</v>
      </c>
      <c r="D2165" s="2831" t="s">
        <v>4455</v>
      </c>
      <c r="E2165" s="2831" t="s">
        <v>2166</v>
      </c>
    </row>
    <row r="2166" spans="1:5">
      <c r="A2166" s="2831">
        <v>746</v>
      </c>
      <c r="B2166" s="2831" t="s">
        <v>4442</v>
      </c>
      <c r="C2166" s="2831">
        <v>114</v>
      </c>
      <c r="D2166" s="2831" t="s">
        <v>4456</v>
      </c>
      <c r="E2166" s="2831" t="s">
        <v>2166</v>
      </c>
    </row>
    <row r="2167" spans="1:5">
      <c r="A2167" s="2831">
        <v>746</v>
      </c>
      <c r="B2167" s="2831" t="s">
        <v>4442</v>
      </c>
      <c r="C2167" s="2831">
        <v>5052</v>
      </c>
      <c r="D2167" s="2831" t="s">
        <v>4457</v>
      </c>
      <c r="E2167" s="2831" t="s">
        <v>2166</v>
      </c>
    </row>
    <row r="2168" spans="1:5">
      <c r="A2168" s="2831">
        <v>747</v>
      </c>
      <c r="B2168" s="2831" t="s">
        <v>4458</v>
      </c>
      <c r="C2168" s="2831">
        <v>101</v>
      </c>
      <c r="D2168" s="2831" t="s">
        <v>4459</v>
      </c>
      <c r="E2168" s="2831" t="s">
        <v>2174</v>
      </c>
    </row>
    <row r="2169" spans="1:5">
      <c r="A2169" s="2831">
        <v>747</v>
      </c>
      <c r="B2169" s="2831" t="s">
        <v>4458</v>
      </c>
      <c r="C2169" s="2831">
        <v>176</v>
      </c>
      <c r="D2169" s="2831" t="s">
        <v>4460</v>
      </c>
      <c r="E2169" s="2831" t="s">
        <v>2174</v>
      </c>
    </row>
    <row r="2170" spans="1:5">
      <c r="A2170" s="2831">
        <v>747</v>
      </c>
      <c r="B2170" s="2831" t="s">
        <v>4458</v>
      </c>
      <c r="C2170" s="2831">
        <v>193</v>
      </c>
      <c r="D2170" s="2831" t="s">
        <v>4461</v>
      </c>
      <c r="E2170" s="2831" t="s">
        <v>2166</v>
      </c>
    </row>
    <row r="2171" spans="1:5">
      <c r="A2171" s="2831">
        <v>747</v>
      </c>
      <c r="B2171" s="2831" t="s">
        <v>4458</v>
      </c>
      <c r="C2171" s="2831">
        <v>112</v>
      </c>
      <c r="D2171" s="2831" t="s">
        <v>3461</v>
      </c>
      <c r="E2171" s="2831" t="s">
        <v>2166</v>
      </c>
    </row>
    <row r="2172" spans="1:5">
      <c r="A2172" s="2831">
        <v>747</v>
      </c>
      <c r="B2172" s="2831" t="s">
        <v>4458</v>
      </c>
      <c r="C2172" s="2831">
        <v>191</v>
      </c>
      <c r="D2172" s="2831" t="s">
        <v>4462</v>
      </c>
      <c r="E2172" s="2831" t="s">
        <v>2174</v>
      </c>
    </row>
    <row r="2173" spans="1:5">
      <c r="A2173" s="2831">
        <v>747</v>
      </c>
      <c r="B2173" s="2831" t="s">
        <v>4458</v>
      </c>
      <c r="C2173" s="2831">
        <v>199</v>
      </c>
      <c r="D2173" s="2831" t="s">
        <v>4463</v>
      </c>
      <c r="E2173" s="2831" t="s">
        <v>2174</v>
      </c>
    </row>
    <row r="2174" spans="1:5">
      <c r="A2174" s="2831">
        <v>747</v>
      </c>
      <c r="B2174" s="2831" t="s">
        <v>4458</v>
      </c>
      <c r="C2174" s="2831">
        <v>291</v>
      </c>
      <c r="D2174" s="2831" t="s">
        <v>4464</v>
      </c>
      <c r="E2174" s="2831" t="s">
        <v>2166</v>
      </c>
    </row>
    <row r="2175" spans="1:5">
      <c r="A2175" s="2831">
        <v>747</v>
      </c>
      <c r="B2175" s="2831" t="s">
        <v>4458</v>
      </c>
      <c r="C2175" s="2831">
        <v>205</v>
      </c>
      <c r="D2175" s="2831" t="s">
        <v>4465</v>
      </c>
      <c r="E2175" s="2831" t="s">
        <v>2174</v>
      </c>
    </row>
    <row r="2176" spans="1:5">
      <c r="A2176" s="2831">
        <v>747</v>
      </c>
      <c r="B2176" s="2831" t="s">
        <v>4458</v>
      </c>
      <c r="C2176" s="2831">
        <v>105</v>
      </c>
      <c r="D2176" s="2831" t="s">
        <v>4466</v>
      </c>
      <c r="E2176" s="2831" t="s">
        <v>2174</v>
      </c>
    </row>
    <row r="2177" spans="1:5">
      <c r="A2177" s="2831">
        <v>747</v>
      </c>
      <c r="B2177" s="2831" t="s">
        <v>4458</v>
      </c>
      <c r="C2177" s="2831">
        <v>108</v>
      </c>
      <c r="D2177" s="2831" t="s">
        <v>3218</v>
      </c>
      <c r="E2177" s="2831" t="s">
        <v>2166</v>
      </c>
    </row>
    <row r="2178" spans="1:5">
      <c r="A2178" s="2831">
        <v>747</v>
      </c>
      <c r="B2178" s="2831" t="s">
        <v>4458</v>
      </c>
      <c r="C2178" s="2831">
        <v>2052</v>
      </c>
      <c r="D2178" s="2831" t="s">
        <v>4467</v>
      </c>
      <c r="E2178" s="2831" t="s">
        <v>2169</v>
      </c>
    </row>
    <row r="2179" spans="1:5">
      <c r="A2179" s="2831">
        <v>747</v>
      </c>
      <c r="B2179" s="2831" t="s">
        <v>4458</v>
      </c>
      <c r="C2179" s="2831">
        <v>195</v>
      </c>
      <c r="D2179" s="2831" t="s">
        <v>3537</v>
      </c>
      <c r="E2179" s="2831" t="s">
        <v>2166</v>
      </c>
    </row>
    <row r="2180" spans="1:5">
      <c r="A2180" s="2831">
        <v>747</v>
      </c>
      <c r="B2180" s="2831" t="s">
        <v>4458</v>
      </c>
      <c r="C2180" s="2831">
        <v>111</v>
      </c>
      <c r="D2180" s="2831" t="s">
        <v>4468</v>
      </c>
      <c r="E2180" s="2831" t="s">
        <v>2169</v>
      </c>
    </row>
    <row r="2181" spans="1:5">
      <c r="A2181" s="2831">
        <v>747</v>
      </c>
      <c r="B2181" s="2831" t="s">
        <v>4458</v>
      </c>
      <c r="C2181" s="2831">
        <v>202</v>
      </c>
      <c r="D2181" s="2831" t="s">
        <v>4469</v>
      </c>
      <c r="E2181" s="2831" t="s">
        <v>2174</v>
      </c>
    </row>
    <row r="2182" spans="1:5">
      <c r="A2182" s="2831">
        <v>747</v>
      </c>
      <c r="B2182" s="2831" t="s">
        <v>4458</v>
      </c>
      <c r="C2182" s="2831">
        <v>102</v>
      </c>
      <c r="D2182" s="2831" t="s">
        <v>4470</v>
      </c>
      <c r="E2182" s="2831" t="s">
        <v>2169</v>
      </c>
    </row>
    <row r="2183" spans="1:5">
      <c r="A2183" s="2831">
        <v>748</v>
      </c>
      <c r="B2183" s="2831" t="s">
        <v>4471</v>
      </c>
      <c r="C2183" s="2831">
        <v>296</v>
      </c>
      <c r="D2183" s="2831" t="s">
        <v>4472</v>
      </c>
      <c r="E2183" s="2831" t="s">
        <v>2174</v>
      </c>
    </row>
    <row r="2184" spans="1:5">
      <c r="A2184" s="2831">
        <v>748</v>
      </c>
      <c r="B2184" s="2831" t="s">
        <v>4471</v>
      </c>
      <c r="C2184" s="2831">
        <v>3050</v>
      </c>
      <c r="D2184" s="2831" t="s">
        <v>4473</v>
      </c>
      <c r="E2184" s="2831" t="s">
        <v>2174</v>
      </c>
    </row>
    <row r="2185" spans="1:5">
      <c r="A2185" s="2831">
        <v>748</v>
      </c>
      <c r="B2185" s="2831" t="s">
        <v>4471</v>
      </c>
      <c r="C2185" s="2831">
        <v>396</v>
      </c>
      <c r="D2185" s="2831" t="s">
        <v>4474</v>
      </c>
      <c r="E2185" s="2831" t="s">
        <v>2174</v>
      </c>
    </row>
    <row r="2186" spans="1:5">
      <c r="A2186" s="2831">
        <v>748</v>
      </c>
      <c r="B2186" s="2831" t="s">
        <v>4471</v>
      </c>
      <c r="C2186" s="2831">
        <v>5050</v>
      </c>
      <c r="D2186" s="2831" t="s">
        <v>4475</v>
      </c>
      <c r="E2186" s="2831" t="s">
        <v>2174</v>
      </c>
    </row>
    <row r="2187" spans="1:5">
      <c r="A2187" s="2831">
        <v>748</v>
      </c>
      <c r="B2187" s="2831" t="s">
        <v>4471</v>
      </c>
      <c r="C2187" s="2831">
        <v>195</v>
      </c>
      <c r="D2187" s="2831" t="s">
        <v>4476</v>
      </c>
      <c r="E2187" s="2831" t="s">
        <v>2174</v>
      </c>
    </row>
    <row r="2188" spans="1:5">
      <c r="A2188" s="2831">
        <v>748</v>
      </c>
      <c r="B2188" s="2831" t="s">
        <v>4471</v>
      </c>
      <c r="C2188" s="2831">
        <v>395</v>
      </c>
      <c r="D2188" s="2831" t="s">
        <v>4477</v>
      </c>
      <c r="E2188" s="2831" t="s">
        <v>2174</v>
      </c>
    </row>
    <row r="2189" spans="1:5">
      <c r="A2189" s="2831">
        <v>748</v>
      </c>
      <c r="B2189" s="2831" t="s">
        <v>4471</v>
      </c>
      <c r="C2189" s="2831">
        <v>3052</v>
      </c>
      <c r="D2189" s="2831" t="s">
        <v>4478</v>
      </c>
      <c r="E2189" s="2831" t="s">
        <v>2174</v>
      </c>
    </row>
    <row r="2190" spans="1:5">
      <c r="A2190" s="2831">
        <v>748</v>
      </c>
      <c r="B2190" s="2831" t="s">
        <v>4471</v>
      </c>
      <c r="C2190" s="2831">
        <v>295</v>
      </c>
      <c r="D2190" s="2831" t="s">
        <v>4479</v>
      </c>
      <c r="E2190" s="2831" t="s">
        <v>2166</v>
      </c>
    </row>
    <row r="2191" spans="1:5">
      <c r="A2191" s="2831">
        <v>748</v>
      </c>
      <c r="B2191" s="2831" t="s">
        <v>4471</v>
      </c>
      <c r="C2191" s="2831">
        <v>196</v>
      </c>
      <c r="D2191" s="2831" t="s">
        <v>4480</v>
      </c>
      <c r="E2191" s="2831" t="s">
        <v>2174</v>
      </c>
    </row>
    <row r="2192" spans="1:5">
      <c r="A2192" s="2831">
        <v>749</v>
      </c>
      <c r="B2192" s="2831" t="s">
        <v>4481</v>
      </c>
      <c r="C2192" s="2831">
        <v>3050</v>
      </c>
      <c r="D2192" s="2831" t="s">
        <v>4482</v>
      </c>
      <c r="E2192" s="2831" t="s">
        <v>2174</v>
      </c>
    </row>
    <row r="2193" spans="1:5">
      <c r="A2193" s="2831">
        <v>749</v>
      </c>
      <c r="B2193" s="2831" t="s">
        <v>4481</v>
      </c>
      <c r="C2193" s="2831">
        <v>205</v>
      </c>
      <c r="D2193" s="2831" t="s">
        <v>4483</v>
      </c>
      <c r="E2193" s="2831" t="s">
        <v>2166</v>
      </c>
    </row>
    <row r="2194" spans="1:5">
      <c r="A2194" s="2831">
        <v>749</v>
      </c>
      <c r="B2194" s="2831" t="s">
        <v>4481</v>
      </c>
      <c r="C2194" s="2831">
        <v>105</v>
      </c>
      <c r="D2194" s="2831" t="s">
        <v>4484</v>
      </c>
      <c r="E2194" s="2831" t="s">
        <v>2169</v>
      </c>
    </row>
    <row r="2195" spans="1:5">
      <c r="A2195" s="2831">
        <v>750</v>
      </c>
      <c r="B2195" s="2831" t="s">
        <v>4485</v>
      </c>
      <c r="C2195" s="2831">
        <v>4050</v>
      </c>
      <c r="D2195" s="2831" t="s">
        <v>4486</v>
      </c>
      <c r="E2195" s="2831" t="s">
        <v>2166</v>
      </c>
    </row>
    <row r="2196" spans="1:5">
      <c r="A2196" s="2831">
        <v>750</v>
      </c>
      <c r="B2196" s="2831" t="s">
        <v>4485</v>
      </c>
      <c r="C2196" s="2831">
        <v>2050</v>
      </c>
      <c r="D2196" s="2831" t="s">
        <v>4487</v>
      </c>
      <c r="E2196" s="2831" t="s">
        <v>2174</v>
      </c>
    </row>
    <row r="2197" spans="1:5">
      <c r="A2197" s="2831">
        <v>750</v>
      </c>
      <c r="B2197" s="2831" t="s">
        <v>4485</v>
      </c>
      <c r="C2197" s="2831">
        <v>199</v>
      </c>
      <c r="D2197" s="2831" t="s">
        <v>4488</v>
      </c>
      <c r="E2197" s="2831" t="s">
        <v>2166</v>
      </c>
    </row>
    <row r="2198" spans="1:5">
      <c r="A2198" s="2831">
        <v>750</v>
      </c>
      <c r="B2198" s="2831" t="s">
        <v>4485</v>
      </c>
      <c r="C2198" s="2831">
        <v>1052</v>
      </c>
      <c r="D2198" s="2831" t="s">
        <v>4489</v>
      </c>
      <c r="E2198" s="2831" t="s">
        <v>2166</v>
      </c>
    </row>
    <row r="2199" spans="1:5">
      <c r="A2199" s="2831">
        <v>751</v>
      </c>
      <c r="B2199" s="2831" t="s">
        <v>4490</v>
      </c>
      <c r="C2199" s="2831">
        <v>294</v>
      </c>
      <c r="D2199" s="2831" t="s">
        <v>4491</v>
      </c>
      <c r="E2199" s="2831" t="s">
        <v>2166</v>
      </c>
    </row>
    <row r="2200" spans="1:5">
      <c r="A2200" s="2831">
        <v>751</v>
      </c>
      <c r="B2200" s="2831" t="s">
        <v>4490</v>
      </c>
      <c r="C2200" s="2831">
        <v>494</v>
      </c>
      <c r="D2200" s="2831" t="s">
        <v>4492</v>
      </c>
      <c r="E2200" s="2831" t="s">
        <v>2174</v>
      </c>
    </row>
    <row r="2201" spans="1:5">
      <c r="A2201" s="2831">
        <v>751</v>
      </c>
      <c r="B2201" s="2831" t="s">
        <v>4490</v>
      </c>
      <c r="C2201" s="2831">
        <v>1050</v>
      </c>
      <c r="D2201" s="2831" t="s">
        <v>4493</v>
      </c>
      <c r="E2201" s="2831" t="s">
        <v>2169</v>
      </c>
    </row>
    <row r="2202" spans="1:5">
      <c r="A2202" s="2831">
        <v>751</v>
      </c>
      <c r="B2202" s="2831" t="s">
        <v>4490</v>
      </c>
      <c r="C2202" s="2831">
        <v>194</v>
      </c>
      <c r="D2202" s="2831" t="s">
        <v>4494</v>
      </c>
      <c r="E2202" s="2831" t="s">
        <v>2166</v>
      </c>
    </row>
    <row r="2203" spans="1:5">
      <c r="A2203" s="2831">
        <v>751</v>
      </c>
      <c r="B2203" s="2831" t="s">
        <v>4490</v>
      </c>
      <c r="C2203" s="2831">
        <v>394</v>
      </c>
      <c r="D2203" s="2831" t="s">
        <v>4495</v>
      </c>
      <c r="E2203" s="2831" t="s">
        <v>2166</v>
      </c>
    </row>
    <row r="2204" spans="1:5">
      <c r="A2204" s="2831">
        <v>751</v>
      </c>
      <c r="B2204" s="2831" t="s">
        <v>4490</v>
      </c>
      <c r="C2204" s="2831">
        <v>3050</v>
      </c>
      <c r="D2204" s="2831" t="s">
        <v>4496</v>
      </c>
      <c r="E2204" s="2831" t="s">
        <v>2174</v>
      </c>
    </row>
    <row r="2205" spans="1:5">
      <c r="A2205" s="2831">
        <v>751</v>
      </c>
      <c r="B2205" s="2831" t="s">
        <v>4490</v>
      </c>
      <c r="C2205" s="2831">
        <v>1052</v>
      </c>
      <c r="D2205" s="2831" t="s">
        <v>4497</v>
      </c>
      <c r="E2205" s="2831" t="s">
        <v>2169</v>
      </c>
    </row>
    <row r="2206" spans="1:5">
      <c r="A2206" s="2831">
        <v>751</v>
      </c>
      <c r="B2206" s="2831" t="s">
        <v>4490</v>
      </c>
      <c r="C2206" s="2831">
        <v>101</v>
      </c>
      <c r="D2206" s="2831" t="s">
        <v>4498</v>
      </c>
      <c r="E2206" s="2831" t="s">
        <v>2166</v>
      </c>
    </row>
    <row r="2207" spans="1:5">
      <c r="A2207" s="2831">
        <v>752</v>
      </c>
      <c r="B2207" s="2831" t="s">
        <v>4499</v>
      </c>
      <c r="C2207" s="2831">
        <v>104</v>
      </c>
      <c r="D2207" s="2831" t="s">
        <v>4500</v>
      </c>
      <c r="E2207" s="2831" t="s">
        <v>2169</v>
      </c>
    </row>
    <row r="2208" spans="1:5">
      <c r="A2208" s="2831">
        <v>752</v>
      </c>
      <c r="B2208" s="2831" t="s">
        <v>4499</v>
      </c>
      <c r="C2208" s="2831">
        <v>108</v>
      </c>
      <c r="D2208" s="2831" t="s">
        <v>4501</v>
      </c>
      <c r="E2208" s="2831" t="s">
        <v>2174</v>
      </c>
    </row>
    <row r="2209" spans="1:5">
      <c r="A2209" s="2831">
        <v>753</v>
      </c>
      <c r="B2209" s="2831" t="s">
        <v>4502</v>
      </c>
      <c r="C2209" s="2831">
        <v>1052</v>
      </c>
      <c r="D2209" s="2831" t="s">
        <v>4503</v>
      </c>
      <c r="E2209" s="2831" t="s">
        <v>2166</v>
      </c>
    </row>
    <row r="2210" spans="1:5">
      <c r="A2210" s="2831">
        <v>753</v>
      </c>
      <c r="B2210" s="2831" t="s">
        <v>4502</v>
      </c>
      <c r="C2210" s="2831">
        <v>3052</v>
      </c>
      <c r="D2210" s="2831" t="s">
        <v>4504</v>
      </c>
      <c r="E2210" s="2831" t="s">
        <v>2174</v>
      </c>
    </row>
    <row r="2211" spans="1:5">
      <c r="A2211" s="2831">
        <v>753</v>
      </c>
      <c r="B2211" s="2831" t="s">
        <v>4502</v>
      </c>
      <c r="C2211" s="2831">
        <v>1053</v>
      </c>
      <c r="D2211" s="2831" t="s">
        <v>4505</v>
      </c>
      <c r="E2211" s="2831" t="s">
        <v>2174</v>
      </c>
    </row>
    <row r="2212" spans="1:5">
      <c r="A2212" s="2831">
        <v>754</v>
      </c>
      <c r="B2212" s="2831" t="s">
        <v>4506</v>
      </c>
      <c r="C2212" s="2831">
        <v>200</v>
      </c>
      <c r="D2212" s="2831" t="s">
        <v>4507</v>
      </c>
      <c r="E2212" s="2831" t="s">
        <v>2174</v>
      </c>
    </row>
    <row r="2213" spans="1:5">
      <c r="A2213" s="2831">
        <v>754</v>
      </c>
      <c r="B2213" s="2831" t="s">
        <v>4506</v>
      </c>
      <c r="C2213" s="2831">
        <v>109</v>
      </c>
      <c r="D2213" s="2831" t="s">
        <v>4508</v>
      </c>
      <c r="E2213" s="2831" t="s">
        <v>2174</v>
      </c>
    </row>
    <row r="2214" spans="1:5">
      <c r="A2214" s="2831">
        <v>754</v>
      </c>
      <c r="B2214" s="2831" t="s">
        <v>4506</v>
      </c>
      <c r="C2214" s="2831">
        <v>104</v>
      </c>
      <c r="D2214" s="2831" t="s">
        <v>4509</v>
      </c>
      <c r="E2214" s="2831" t="s">
        <v>2166</v>
      </c>
    </row>
    <row r="2215" spans="1:5">
      <c r="A2215" s="2831">
        <v>754</v>
      </c>
      <c r="B2215" s="2831" t="s">
        <v>4506</v>
      </c>
      <c r="C2215" s="2831">
        <v>100</v>
      </c>
      <c r="D2215" s="2831" t="s">
        <v>4510</v>
      </c>
      <c r="E2215" s="2831" t="s">
        <v>2169</v>
      </c>
    </row>
    <row r="2216" spans="1:5">
      <c r="A2216" s="2831">
        <v>754</v>
      </c>
      <c r="B2216" s="2831" t="s">
        <v>4506</v>
      </c>
      <c r="C2216" s="2831">
        <v>105</v>
      </c>
      <c r="D2216" s="2831" t="s">
        <v>4511</v>
      </c>
      <c r="E2216" s="2831" t="s">
        <v>2166</v>
      </c>
    </row>
    <row r="2217" spans="1:5">
      <c r="A2217" s="2831">
        <v>754</v>
      </c>
      <c r="B2217" s="2831" t="s">
        <v>4506</v>
      </c>
      <c r="C2217" s="2831">
        <v>174</v>
      </c>
      <c r="D2217" s="2831" t="s">
        <v>4512</v>
      </c>
      <c r="E2217" s="2831" t="s">
        <v>2169</v>
      </c>
    </row>
    <row r="2218" spans="1:5">
      <c r="A2218" s="2831">
        <v>755</v>
      </c>
      <c r="B2218" s="2831" t="s">
        <v>4513</v>
      </c>
      <c r="C2218" s="2831">
        <v>1050</v>
      </c>
      <c r="D2218" s="2831" t="s">
        <v>4514</v>
      </c>
      <c r="E2218" s="2831" t="s">
        <v>2169</v>
      </c>
    </row>
    <row r="2219" spans="1:5">
      <c r="A2219" s="2831">
        <v>755</v>
      </c>
      <c r="B2219" s="2831" t="s">
        <v>4513</v>
      </c>
      <c r="C2219" s="2831">
        <v>206</v>
      </c>
      <c r="D2219" s="2831" t="s">
        <v>4515</v>
      </c>
      <c r="E2219" s="2831" t="s">
        <v>2174</v>
      </c>
    </row>
    <row r="2220" spans="1:5">
      <c r="A2220" s="2831">
        <v>755</v>
      </c>
      <c r="B2220" s="2831" t="s">
        <v>4513</v>
      </c>
      <c r="C2220" s="2831">
        <v>211</v>
      </c>
      <c r="D2220" s="2831" t="s">
        <v>4516</v>
      </c>
      <c r="E2220" s="2831" t="s">
        <v>2174</v>
      </c>
    </row>
    <row r="2221" spans="1:5">
      <c r="A2221" s="2831">
        <v>755</v>
      </c>
      <c r="B2221" s="2831" t="s">
        <v>4513</v>
      </c>
      <c r="C2221" s="2831">
        <v>112</v>
      </c>
      <c r="D2221" s="2831" t="s">
        <v>4517</v>
      </c>
      <c r="E2221" s="2831" t="s">
        <v>2169</v>
      </c>
    </row>
    <row r="2222" spans="1:5">
      <c r="A2222" s="2831">
        <v>755</v>
      </c>
      <c r="B2222" s="2831" t="s">
        <v>4513</v>
      </c>
      <c r="C2222" s="2831">
        <v>2050</v>
      </c>
      <c r="D2222" s="2831" t="s">
        <v>4518</v>
      </c>
      <c r="E2222" s="2831" t="s">
        <v>2166</v>
      </c>
    </row>
    <row r="2223" spans="1:5">
      <c r="A2223" s="2831">
        <v>755</v>
      </c>
      <c r="B2223" s="2831" t="s">
        <v>4513</v>
      </c>
      <c r="C2223" s="2831">
        <v>3050</v>
      </c>
      <c r="D2223" s="2831" t="s">
        <v>4519</v>
      </c>
      <c r="E2223" s="2831" t="s">
        <v>2169</v>
      </c>
    </row>
    <row r="2224" spans="1:5">
      <c r="A2224" s="2831">
        <v>755</v>
      </c>
      <c r="B2224" s="2831" t="s">
        <v>4513</v>
      </c>
      <c r="C2224" s="2831">
        <v>4050</v>
      </c>
      <c r="D2224" s="2831" t="s">
        <v>4520</v>
      </c>
      <c r="E2224" s="2831" t="s">
        <v>2174</v>
      </c>
    </row>
    <row r="2225" spans="1:5">
      <c r="A2225" s="2831">
        <v>755</v>
      </c>
      <c r="B2225" s="2831" t="s">
        <v>4513</v>
      </c>
      <c r="C2225" s="2831">
        <v>475</v>
      </c>
      <c r="D2225" s="2831" t="s">
        <v>4521</v>
      </c>
      <c r="E2225" s="2831" t="s">
        <v>2166</v>
      </c>
    </row>
    <row r="2226" spans="1:5">
      <c r="A2226" s="2831">
        <v>755</v>
      </c>
      <c r="B2226" s="2831" t="s">
        <v>4513</v>
      </c>
      <c r="C2226" s="2831">
        <v>1052</v>
      </c>
      <c r="D2226" s="2831" t="s">
        <v>2790</v>
      </c>
      <c r="E2226" s="2831" t="s">
        <v>2166</v>
      </c>
    </row>
    <row r="2227" spans="1:5">
      <c r="A2227" s="2831">
        <v>755</v>
      </c>
      <c r="B2227" s="2831" t="s">
        <v>4513</v>
      </c>
      <c r="C2227" s="2831">
        <v>199</v>
      </c>
      <c r="D2227" s="2831" t="s">
        <v>3209</v>
      </c>
      <c r="E2227" s="2831" t="s">
        <v>2166</v>
      </c>
    </row>
    <row r="2228" spans="1:5">
      <c r="A2228" s="2831">
        <v>755</v>
      </c>
      <c r="B2228" s="2831" t="s">
        <v>4513</v>
      </c>
      <c r="C2228" s="2831">
        <v>106</v>
      </c>
      <c r="D2228" s="2831" t="s">
        <v>4522</v>
      </c>
      <c r="E2228" s="2831" t="s">
        <v>2174</v>
      </c>
    </row>
    <row r="2229" spans="1:5">
      <c r="A2229" s="2831">
        <v>755</v>
      </c>
      <c r="B2229" s="2831" t="s">
        <v>4513</v>
      </c>
      <c r="C2229" s="2831">
        <v>575</v>
      </c>
      <c r="D2229" s="2831" t="s">
        <v>4523</v>
      </c>
      <c r="E2229" s="2831" t="s">
        <v>2166</v>
      </c>
    </row>
    <row r="2230" spans="1:5">
      <c r="A2230" s="2831">
        <v>755</v>
      </c>
      <c r="B2230" s="2831" t="s">
        <v>4513</v>
      </c>
      <c r="C2230" s="2831">
        <v>175</v>
      </c>
      <c r="D2230" s="2831" t="s">
        <v>4524</v>
      </c>
      <c r="E2230" s="2831" t="s">
        <v>2169</v>
      </c>
    </row>
    <row r="2231" spans="1:5">
      <c r="A2231" s="2831">
        <v>755</v>
      </c>
      <c r="B2231" s="2831" t="s">
        <v>4513</v>
      </c>
      <c r="C2231" s="2831">
        <v>212</v>
      </c>
      <c r="D2231" s="2831" t="s">
        <v>3510</v>
      </c>
      <c r="E2231" s="2831" t="s">
        <v>2169</v>
      </c>
    </row>
    <row r="2232" spans="1:5">
      <c r="A2232" s="2831">
        <v>755</v>
      </c>
      <c r="B2232" s="2831" t="s">
        <v>4513</v>
      </c>
      <c r="C2232" s="2831">
        <v>2052</v>
      </c>
      <c r="D2232" s="2831" t="s">
        <v>3647</v>
      </c>
      <c r="E2232" s="2831" t="s">
        <v>2166</v>
      </c>
    </row>
    <row r="2233" spans="1:5">
      <c r="A2233" s="2831">
        <v>755</v>
      </c>
      <c r="B2233" s="2831" t="s">
        <v>4513</v>
      </c>
      <c r="C2233" s="2831">
        <v>275</v>
      </c>
      <c r="D2233" s="2831" t="s">
        <v>4525</v>
      </c>
      <c r="E2233" s="2831" t="s">
        <v>2166</v>
      </c>
    </row>
    <row r="2234" spans="1:5">
      <c r="A2234" s="2831">
        <v>755</v>
      </c>
      <c r="B2234" s="2831" t="s">
        <v>4513</v>
      </c>
      <c r="C2234" s="2831">
        <v>3052</v>
      </c>
      <c r="D2234" s="2831" t="s">
        <v>4526</v>
      </c>
      <c r="E2234" s="2831" t="s">
        <v>2174</v>
      </c>
    </row>
    <row r="2235" spans="1:5">
      <c r="A2235" s="2831">
        <v>755</v>
      </c>
      <c r="B2235" s="2831" t="s">
        <v>4513</v>
      </c>
      <c r="C2235" s="2831">
        <v>4052</v>
      </c>
      <c r="D2235" s="2831" t="s">
        <v>4527</v>
      </c>
      <c r="E2235" s="2831" t="s">
        <v>2174</v>
      </c>
    </row>
    <row r="2236" spans="1:5">
      <c r="A2236" s="2831">
        <v>755</v>
      </c>
      <c r="B2236" s="2831" t="s">
        <v>4513</v>
      </c>
      <c r="C2236" s="2831">
        <v>675</v>
      </c>
      <c r="D2236" s="2831" t="s">
        <v>4528</v>
      </c>
      <c r="E2236" s="2831" t="s">
        <v>2169</v>
      </c>
    </row>
    <row r="2237" spans="1:5">
      <c r="A2237" s="2831">
        <v>755</v>
      </c>
      <c r="B2237" s="2831" t="s">
        <v>4513</v>
      </c>
      <c r="C2237" s="2831">
        <v>1054</v>
      </c>
      <c r="D2237" s="2831" t="s">
        <v>4529</v>
      </c>
      <c r="E2237" s="2831" t="s">
        <v>2166</v>
      </c>
    </row>
    <row r="2238" spans="1:5">
      <c r="A2238" s="2831">
        <v>755</v>
      </c>
      <c r="B2238" s="2831" t="s">
        <v>4513</v>
      </c>
      <c r="C2238" s="2831">
        <v>2054</v>
      </c>
      <c r="D2238" s="2831" t="s">
        <v>2796</v>
      </c>
      <c r="E2238" s="2831" t="s">
        <v>2169</v>
      </c>
    </row>
    <row r="2239" spans="1:5">
      <c r="A2239" s="2831">
        <v>755</v>
      </c>
      <c r="B2239" s="2831" t="s">
        <v>4513</v>
      </c>
      <c r="C2239" s="2831">
        <v>775</v>
      </c>
      <c r="D2239" s="2831" t="s">
        <v>2298</v>
      </c>
      <c r="E2239" s="2831" t="s">
        <v>2174</v>
      </c>
    </row>
    <row r="2240" spans="1:5">
      <c r="A2240" s="2831">
        <v>756</v>
      </c>
      <c r="B2240" s="2831" t="s">
        <v>4530</v>
      </c>
      <c r="C2240" s="2831">
        <v>195</v>
      </c>
      <c r="D2240" s="2831" t="s">
        <v>4531</v>
      </c>
      <c r="E2240" s="2831" t="s">
        <v>2174</v>
      </c>
    </row>
    <row r="2241" spans="1:5">
      <c r="A2241" s="2831">
        <v>756</v>
      </c>
      <c r="B2241" s="2831" t="s">
        <v>4530</v>
      </c>
      <c r="C2241" s="2831">
        <v>201</v>
      </c>
      <c r="D2241" s="2831" t="s">
        <v>4532</v>
      </c>
      <c r="E2241" s="2831" t="s">
        <v>2174</v>
      </c>
    </row>
    <row r="2242" spans="1:5">
      <c r="A2242" s="2831">
        <v>756</v>
      </c>
      <c r="B2242" s="2831" t="s">
        <v>4530</v>
      </c>
      <c r="C2242" s="2831">
        <v>101</v>
      </c>
      <c r="D2242" s="2831" t="s">
        <v>4533</v>
      </c>
      <c r="E2242" s="2831" t="s">
        <v>2169</v>
      </c>
    </row>
    <row r="2243" spans="1:5">
      <c r="A2243" s="2831">
        <v>757</v>
      </c>
      <c r="B2243" s="2831" t="s">
        <v>4534</v>
      </c>
      <c r="C2243" s="2831">
        <v>110</v>
      </c>
      <c r="D2243" s="2831" t="s">
        <v>4535</v>
      </c>
      <c r="E2243" s="2831" t="s">
        <v>2166</v>
      </c>
    </row>
    <row r="2244" spans="1:5">
      <c r="A2244" s="2831">
        <v>757</v>
      </c>
      <c r="B2244" s="2831" t="s">
        <v>4534</v>
      </c>
      <c r="C2244" s="2831">
        <v>205</v>
      </c>
      <c r="D2244" s="2831" t="s">
        <v>4536</v>
      </c>
      <c r="E2244" s="2831" t="s">
        <v>2174</v>
      </c>
    </row>
    <row r="2245" spans="1:5">
      <c r="A2245" s="2831">
        <v>757</v>
      </c>
      <c r="B2245" s="2831" t="s">
        <v>4534</v>
      </c>
      <c r="C2245" s="2831">
        <v>210</v>
      </c>
      <c r="D2245" s="2831" t="s">
        <v>4537</v>
      </c>
      <c r="E2245" s="2831" t="s">
        <v>2166</v>
      </c>
    </row>
    <row r="2246" spans="1:5">
      <c r="A2246" s="2831">
        <v>757</v>
      </c>
      <c r="B2246" s="2831" t="s">
        <v>4534</v>
      </c>
      <c r="C2246" s="2831">
        <v>105</v>
      </c>
      <c r="D2246" s="2831" t="s">
        <v>4538</v>
      </c>
      <c r="E2246" s="2831" t="s">
        <v>2174</v>
      </c>
    </row>
    <row r="2247" spans="1:5">
      <c r="A2247" s="2831">
        <v>758</v>
      </c>
      <c r="B2247" s="2831" t="s">
        <v>4539</v>
      </c>
      <c r="C2247" s="2831">
        <v>175</v>
      </c>
      <c r="D2247" s="2831" t="s">
        <v>4540</v>
      </c>
      <c r="E2247" s="2831" t="s">
        <v>2169</v>
      </c>
    </row>
    <row r="2248" spans="1:5">
      <c r="A2248" s="2831">
        <v>758</v>
      </c>
      <c r="B2248" s="2831" t="s">
        <v>4539</v>
      </c>
      <c r="C2248" s="2831">
        <v>3050</v>
      </c>
      <c r="D2248" s="2831" t="s">
        <v>4541</v>
      </c>
      <c r="E2248" s="2831" t="s">
        <v>2174</v>
      </c>
    </row>
    <row r="2249" spans="1:5">
      <c r="A2249" s="2831">
        <v>758</v>
      </c>
      <c r="B2249" s="2831" t="s">
        <v>4539</v>
      </c>
      <c r="C2249" s="2831">
        <v>275</v>
      </c>
      <c r="D2249" s="2831" t="s">
        <v>4542</v>
      </c>
      <c r="E2249" s="2831" t="s">
        <v>2166</v>
      </c>
    </row>
    <row r="2250" spans="1:5">
      <c r="A2250" s="2831">
        <v>758</v>
      </c>
      <c r="B2250" s="2831" t="s">
        <v>4539</v>
      </c>
      <c r="C2250" s="2831">
        <v>1050</v>
      </c>
      <c r="D2250" s="2831" t="s">
        <v>4543</v>
      </c>
      <c r="E2250" s="2831" t="s">
        <v>2169</v>
      </c>
    </row>
    <row r="2251" spans="1:5">
      <c r="A2251" s="2831">
        <v>759</v>
      </c>
      <c r="B2251" s="2831" t="s">
        <v>4544</v>
      </c>
      <c r="C2251" s="2831">
        <v>111</v>
      </c>
      <c r="D2251" s="2831" t="s">
        <v>4545</v>
      </c>
      <c r="E2251" s="2831" t="s">
        <v>2169</v>
      </c>
    </row>
    <row r="2252" spans="1:5">
      <c r="A2252" s="2831">
        <v>759</v>
      </c>
      <c r="B2252" s="2831" t="s">
        <v>4544</v>
      </c>
      <c r="C2252" s="2831">
        <v>176</v>
      </c>
      <c r="D2252" s="2831" t="s">
        <v>4546</v>
      </c>
      <c r="E2252" s="2831" t="s">
        <v>2166</v>
      </c>
    </row>
    <row r="2253" spans="1:5">
      <c r="A2253" s="2831">
        <v>759</v>
      </c>
      <c r="B2253" s="2831" t="s">
        <v>4544</v>
      </c>
      <c r="C2253" s="2831">
        <v>193</v>
      </c>
      <c r="D2253" s="2831" t="s">
        <v>4547</v>
      </c>
      <c r="E2253" s="2831" t="s">
        <v>2166</v>
      </c>
    </row>
    <row r="2254" spans="1:5">
      <c r="A2254" s="2831">
        <v>759</v>
      </c>
      <c r="B2254" s="2831" t="s">
        <v>4544</v>
      </c>
      <c r="C2254" s="2831">
        <v>196</v>
      </c>
      <c r="D2254" s="2831" t="s">
        <v>4548</v>
      </c>
      <c r="E2254" s="2831" t="s">
        <v>2169</v>
      </c>
    </row>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C3DD-2117-4674-83C0-F72FCA74F18C}">
  <sheetPr codeName="Sheet30"/>
  <dimension ref="A1:Z49"/>
  <sheetViews>
    <sheetView showGridLines="0" workbookViewId="0"/>
  </sheetViews>
  <sheetFormatPr defaultColWidth="8.77734375" defaultRowHeight="15.6"/>
  <cols>
    <col min="1" max="1" width="2.21875" style="592" customWidth="1"/>
    <col min="2" max="13" width="7.77734375" style="592" customWidth="1"/>
    <col min="14" max="15" width="5.77734375" style="592" customWidth="1"/>
    <col min="16" max="16384" width="8.77734375" style="592"/>
  </cols>
  <sheetData>
    <row r="1" spans="1:26" ht="18">
      <c r="N1" s="593" t="s">
        <v>4549</v>
      </c>
      <c r="O1" s="593"/>
      <c r="P1" s="593"/>
      <c r="Q1" s="593"/>
      <c r="R1" s="593"/>
      <c r="S1" s="593"/>
      <c r="T1" s="593"/>
      <c r="U1" s="593"/>
      <c r="V1" s="593"/>
      <c r="W1" s="593"/>
      <c r="X1" s="593"/>
      <c r="Y1" s="593"/>
      <c r="Z1" s="593"/>
    </row>
    <row r="2" spans="1:26">
      <c r="N2" s="594" t="s">
        <v>4550</v>
      </c>
      <c r="O2" s="594"/>
      <c r="P2" s="594"/>
      <c r="Q2" s="594"/>
      <c r="R2" s="594"/>
      <c r="S2" s="594"/>
      <c r="T2" s="594"/>
      <c r="U2" s="594"/>
      <c r="V2" s="594"/>
      <c r="W2" s="594"/>
      <c r="X2" s="594"/>
      <c r="Y2" s="594"/>
      <c r="Z2" s="594"/>
    </row>
    <row r="3" spans="1:26">
      <c r="N3" s="595" t="s">
        <v>4551</v>
      </c>
      <c r="O3" s="595"/>
      <c r="P3" s="595"/>
      <c r="Q3" s="595"/>
      <c r="R3" s="595"/>
      <c r="S3" s="595"/>
      <c r="T3" s="595"/>
      <c r="U3" s="595"/>
      <c r="V3" s="595"/>
      <c r="W3" s="595"/>
      <c r="X3" s="595"/>
      <c r="Y3" s="595"/>
      <c r="Z3" s="595"/>
    </row>
    <row r="4" spans="1:26">
      <c r="B4" s="596"/>
      <c r="C4" s="596"/>
      <c r="D4" s="596"/>
      <c r="E4" s="596"/>
      <c r="F4" s="596"/>
      <c r="G4" s="596"/>
      <c r="H4" s="596"/>
      <c r="I4" s="596"/>
      <c r="J4" s="596"/>
      <c r="K4" s="596"/>
      <c r="L4" s="596"/>
      <c r="M4" s="596"/>
      <c r="N4" s="597" t="s">
        <v>4552</v>
      </c>
    </row>
    <row r="5" spans="1:26" ht="59.25" customHeight="1">
      <c r="A5" s="4224" t="s">
        <v>4553</v>
      </c>
      <c r="B5" s="4224"/>
      <c r="C5" s="4224"/>
      <c r="D5" s="4224"/>
      <c r="E5" s="4224"/>
      <c r="F5" s="4224"/>
      <c r="G5" s="4224"/>
      <c r="H5" s="4224"/>
      <c r="I5" s="4224"/>
      <c r="J5" s="4224"/>
      <c r="K5" s="4224"/>
      <c r="L5" s="4224"/>
      <c r="M5" s="4224"/>
    </row>
    <row r="6" spans="1:26" ht="11.7" customHeight="1">
      <c r="A6" s="596"/>
      <c r="B6" s="596"/>
      <c r="C6" s="596"/>
      <c r="D6" s="596"/>
      <c r="E6" s="596"/>
      <c r="F6" s="596"/>
      <c r="G6" s="596"/>
      <c r="H6" s="596"/>
      <c r="I6" s="596"/>
      <c r="J6" s="596"/>
      <c r="K6" s="596"/>
      <c r="L6" s="596"/>
      <c r="M6" s="596"/>
    </row>
    <row r="7" spans="1:26">
      <c r="A7" s="596" t="s">
        <v>4554</v>
      </c>
      <c r="B7" s="596"/>
      <c r="C7" s="596"/>
      <c r="D7" s="596"/>
      <c r="E7" s="596"/>
      <c r="F7" s="596"/>
      <c r="G7" s="596"/>
      <c r="H7" s="596"/>
      <c r="I7" s="596"/>
      <c r="J7" s="596"/>
      <c r="K7" s="596"/>
      <c r="L7" s="596"/>
      <c r="M7" s="596"/>
    </row>
    <row r="8" spans="1:26" ht="11.7" customHeight="1">
      <c r="A8" s="596"/>
      <c r="B8" s="596"/>
      <c r="C8" s="596"/>
      <c r="D8" s="596"/>
      <c r="E8" s="596"/>
      <c r="F8" s="596"/>
      <c r="G8" s="596"/>
      <c r="H8" s="596"/>
      <c r="I8" s="596"/>
      <c r="J8" s="596"/>
      <c r="K8" s="596"/>
      <c r="L8" s="596"/>
      <c r="M8" s="596"/>
    </row>
    <row r="9" spans="1:26">
      <c r="A9" s="4220" t="s">
        <v>4555</v>
      </c>
      <c r="B9" s="4220"/>
      <c r="C9" s="4220"/>
      <c r="D9" s="4220"/>
      <c r="E9" s="4220"/>
      <c r="F9" s="4220"/>
      <c r="G9" s="4220"/>
      <c r="H9" s="4220"/>
      <c r="I9" s="4220"/>
      <c r="J9" s="4220"/>
      <c r="K9" s="4220"/>
      <c r="L9" s="4220"/>
      <c r="M9" s="4220"/>
    </row>
    <row r="10" spans="1:26" ht="6.75" customHeight="1">
      <c r="A10" s="4220"/>
      <c r="B10" s="4220"/>
      <c r="C10" s="4220"/>
      <c r="D10" s="4220"/>
      <c r="E10" s="4220"/>
      <c r="F10" s="4220"/>
      <c r="G10" s="4220"/>
      <c r="H10" s="4220"/>
      <c r="I10" s="4220"/>
      <c r="J10" s="4220"/>
      <c r="K10" s="4220"/>
      <c r="L10" s="4220"/>
      <c r="M10" s="4220"/>
    </row>
    <row r="11" spans="1:26" ht="44.25" customHeight="1">
      <c r="A11" s="4225" t="s">
        <v>4556</v>
      </c>
      <c r="B11" s="4225"/>
      <c r="C11" s="4225"/>
      <c r="D11" s="4225"/>
      <c r="E11" s="4225"/>
      <c r="F11" s="4225"/>
      <c r="G11" s="4225"/>
      <c r="H11" s="4225"/>
      <c r="I11" s="4225"/>
      <c r="J11" s="4225"/>
      <c r="K11" s="4225"/>
      <c r="L11" s="4225"/>
      <c r="M11" s="4225"/>
    </row>
    <row r="12" spans="1:26" ht="3" customHeight="1">
      <c r="A12" s="4220"/>
      <c r="B12" s="4220"/>
      <c r="C12" s="4220"/>
      <c r="D12" s="4220"/>
      <c r="E12" s="4220"/>
      <c r="F12" s="4220"/>
      <c r="G12" s="4220"/>
      <c r="H12" s="4220"/>
      <c r="I12" s="4220"/>
      <c r="J12" s="4220"/>
      <c r="K12" s="4220"/>
      <c r="L12" s="4220"/>
      <c r="M12" s="4220"/>
    </row>
    <row r="13" spans="1:26" ht="101.25" customHeight="1">
      <c r="A13" s="598" t="s">
        <v>1511</v>
      </c>
      <c r="B13" s="4222" t="s">
        <v>4557</v>
      </c>
      <c r="C13" s="4222"/>
      <c r="D13" s="4222"/>
      <c r="E13" s="4222"/>
      <c r="F13" s="4222"/>
      <c r="G13" s="4222"/>
      <c r="H13" s="4222"/>
      <c r="I13" s="4222"/>
      <c r="J13" s="4222"/>
      <c r="K13" s="4222"/>
      <c r="L13" s="4222"/>
      <c r="M13" s="4222"/>
      <c r="U13" s="592" t="s">
        <v>4558</v>
      </c>
    </row>
    <row r="14" spans="1:26" ht="47.25" customHeight="1">
      <c r="A14" s="598" t="s">
        <v>1513</v>
      </c>
      <c r="B14" s="4222" t="s">
        <v>4559</v>
      </c>
      <c r="C14" s="4222"/>
      <c r="D14" s="4222"/>
      <c r="E14" s="4222"/>
      <c r="F14" s="4222"/>
      <c r="G14" s="4222"/>
      <c r="H14" s="4222"/>
      <c r="I14" s="4222"/>
      <c r="J14" s="4222"/>
      <c r="K14" s="4222"/>
      <c r="L14" s="4222"/>
      <c r="M14" s="4222"/>
    </row>
    <row r="15" spans="1:26" ht="117" customHeight="1">
      <c r="A15" s="598" t="s">
        <v>1514</v>
      </c>
      <c r="B15" s="4222" t="s">
        <v>4560</v>
      </c>
      <c r="C15" s="4222"/>
      <c r="D15" s="4222"/>
      <c r="E15" s="4222"/>
      <c r="F15" s="4222"/>
      <c r="G15" s="4222"/>
      <c r="H15" s="4222"/>
      <c r="I15" s="4222"/>
      <c r="J15" s="4222"/>
      <c r="K15" s="4222"/>
      <c r="L15" s="4222"/>
      <c r="M15" s="4222"/>
    </row>
    <row r="16" spans="1:26" ht="147" customHeight="1">
      <c r="A16" s="598" t="s">
        <v>1515</v>
      </c>
      <c r="B16" s="4222" t="s">
        <v>4561</v>
      </c>
      <c r="C16" s="4222"/>
      <c r="D16" s="4222"/>
      <c r="E16" s="4222"/>
      <c r="F16" s="4222"/>
      <c r="G16" s="4222"/>
      <c r="H16" s="4222"/>
      <c r="I16" s="4222"/>
      <c r="J16" s="4222"/>
      <c r="K16" s="4222"/>
      <c r="L16" s="4222"/>
      <c r="M16" s="4222"/>
    </row>
    <row r="17" spans="1:13" ht="48.75" customHeight="1">
      <c r="A17" s="598" t="s">
        <v>4562</v>
      </c>
      <c r="B17" s="4222" t="s">
        <v>4563</v>
      </c>
      <c r="C17" s="4222"/>
      <c r="D17" s="4222"/>
      <c r="E17" s="4222"/>
      <c r="F17" s="4222"/>
      <c r="G17" s="4222"/>
      <c r="H17" s="4222"/>
      <c r="I17" s="4222"/>
      <c r="J17" s="4222"/>
      <c r="K17" s="4222"/>
      <c r="L17" s="4222"/>
      <c r="M17" s="4222"/>
    </row>
    <row r="18" spans="1:13" ht="165" customHeight="1">
      <c r="A18" s="598" t="s">
        <v>4564</v>
      </c>
      <c r="B18" s="4222" t="s">
        <v>4565</v>
      </c>
      <c r="C18" s="4222"/>
      <c r="D18" s="4222"/>
      <c r="E18" s="4222"/>
      <c r="F18" s="4222"/>
      <c r="G18" s="4222"/>
      <c r="H18" s="4222"/>
      <c r="I18" s="4222"/>
      <c r="J18" s="4222"/>
      <c r="K18" s="4222"/>
      <c r="L18" s="4222"/>
      <c r="M18" s="4222"/>
    </row>
    <row r="19" spans="1:13" ht="48.75" customHeight="1">
      <c r="A19" s="598" t="s">
        <v>4566</v>
      </c>
      <c r="B19" s="4223" t="s">
        <v>4567</v>
      </c>
      <c r="C19" s="4223"/>
      <c r="D19" s="4223"/>
      <c r="E19" s="4223"/>
      <c r="F19" s="4223"/>
      <c r="G19" s="4223"/>
      <c r="H19" s="4223"/>
      <c r="I19" s="4223"/>
      <c r="J19" s="4223"/>
      <c r="K19" s="4223"/>
      <c r="L19" s="4223"/>
      <c r="M19" s="4223"/>
    </row>
    <row r="20" spans="1:13" ht="50.25" customHeight="1">
      <c r="A20" s="598" t="s">
        <v>4568</v>
      </c>
      <c r="B20" s="4222" t="s">
        <v>4569</v>
      </c>
      <c r="C20" s="4222"/>
      <c r="D20" s="4222"/>
      <c r="E20" s="4222"/>
      <c r="F20" s="4222"/>
      <c r="G20" s="4222"/>
      <c r="H20" s="4222"/>
      <c r="I20" s="4222"/>
      <c r="J20" s="4222"/>
      <c r="K20" s="4222"/>
      <c r="L20" s="4222"/>
      <c r="M20" s="4222"/>
    </row>
    <row r="21" spans="1:13" ht="31.5" customHeight="1">
      <c r="A21" s="598" t="s">
        <v>4570</v>
      </c>
      <c r="B21" s="4222" t="s">
        <v>4571</v>
      </c>
      <c r="C21" s="4222"/>
      <c r="D21" s="4222"/>
      <c r="E21" s="4222"/>
      <c r="F21" s="4222"/>
      <c r="G21" s="4222"/>
      <c r="H21" s="4222"/>
      <c r="I21" s="4222"/>
      <c r="J21" s="4222"/>
      <c r="K21" s="4222"/>
      <c r="L21" s="4222"/>
      <c r="M21" s="4222"/>
    </row>
    <row r="22" spans="1:13" ht="1.5" customHeight="1">
      <c r="A22" s="4220"/>
      <c r="B22" s="4220"/>
      <c r="C22" s="4220"/>
      <c r="D22" s="4220"/>
      <c r="E22" s="4220"/>
      <c r="F22" s="4220"/>
      <c r="G22" s="4220"/>
      <c r="H22" s="4220"/>
      <c r="I22" s="4220"/>
      <c r="J22" s="4220"/>
      <c r="K22" s="4220"/>
      <c r="L22" s="4220"/>
      <c r="M22" s="4220"/>
    </row>
    <row r="23" spans="1:13" ht="3" customHeight="1">
      <c r="A23" s="4220"/>
      <c r="B23" s="4220"/>
      <c r="C23" s="4220"/>
      <c r="D23" s="4220"/>
      <c r="E23" s="4220"/>
      <c r="F23" s="4220"/>
      <c r="G23" s="4220"/>
      <c r="H23" s="4220"/>
      <c r="I23" s="4220"/>
      <c r="J23" s="4220"/>
      <c r="K23" s="4220"/>
      <c r="L23" s="4220"/>
      <c r="M23" s="4220"/>
    </row>
    <row r="24" spans="1:13" ht="13.5" customHeight="1">
      <c r="A24" s="4220" t="s">
        <v>4572</v>
      </c>
      <c r="B24" s="4220"/>
      <c r="C24" s="4220"/>
      <c r="D24" s="4220"/>
      <c r="E24" s="4220"/>
      <c r="F24" s="4220"/>
      <c r="G24" s="4220"/>
      <c r="H24" s="4220"/>
      <c r="I24" s="4220"/>
      <c r="J24" s="4220"/>
      <c r="K24" s="4220"/>
      <c r="L24" s="4220"/>
      <c r="M24" s="4220"/>
    </row>
    <row r="25" spans="1:13" ht="32.25" customHeight="1">
      <c r="A25" s="598" t="s">
        <v>4573</v>
      </c>
      <c r="B25" s="4222" t="s">
        <v>4574</v>
      </c>
      <c r="C25" s="4222"/>
      <c r="D25" s="4222"/>
      <c r="E25" s="4222"/>
      <c r="F25" s="4222"/>
      <c r="G25" s="4222"/>
      <c r="H25" s="4222"/>
      <c r="I25" s="4222"/>
      <c r="J25" s="4222"/>
      <c r="K25" s="4222"/>
      <c r="L25" s="4222"/>
      <c r="M25" s="4222"/>
    </row>
    <row r="26" spans="1:13" ht="31.5" customHeight="1">
      <c r="A26" s="598" t="s">
        <v>4573</v>
      </c>
      <c r="B26" s="4222" t="s">
        <v>4575</v>
      </c>
      <c r="C26" s="4222"/>
      <c r="D26" s="4222"/>
      <c r="E26" s="4222"/>
      <c r="F26" s="4222"/>
      <c r="G26" s="4222"/>
      <c r="H26" s="4222"/>
      <c r="I26" s="4222"/>
      <c r="J26" s="4222"/>
      <c r="K26" s="4222"/>
      <c r="L26" s="4222"/>
      <c r="M26" s="4222"/>
    </row>
    <row r="27" spans="1:13" ht="78.75" customHeight="1">
      <c r="A27" s="598" t="s">
        <v>4573</v>
      </c>
      <c r="B27" s="4222" t="s">
        <v>4576</v>
      </c>
      <c r="C27" s="4222"/>
      <c r="D27" s="4222"/>
      <c r="E27" s="4222"/>
      <c r="F27" s="4222"/>
      <c r="G27" s="4222"/>
      <c r="H27" s="4222"/>
      <c r="I27" s="4222"/>
      <c r="J27" s="4222"/>
      <c r="K27" s="4222"/>
      <c r="L27" s="4222"/>
      <c r="M27" s="4222"/>
    </row>
    <row r="28" spans="1:13" ht="7.5" customHeight="1">
      <c r="A28" s="4220"/>
      <c r="B28" s="4220"/>
      <c r="C28" s="4220"/>
      <c r="D28" s="4220"/>
      <c r="E28" s="4220"/>
      <c r="F28" s="4220"/>
      <c r="G28" s="4220"/>
      <c r="H28" s="4220"/>
      <c r="I28" s="4220"/>
      <c r="J28" s="4220"/>
      <c r="K28" s="4220"/>
      <c r="L28" s="4220"/>
      <c r="M28" s="4220"/>
    </row>
    <row r="29" spans="1:13" ht="43.5" customHeight="1">
      <c r="A29" s="4222" t="s">
        <v>4577</v>
      </c>
      <c r="B29" s="4222"/>
      <c r="C29" s="4222"/>
      <c r="D29" s="4222"/>
      <c r="E29" s="4222"/>
      <c r="F29" s="4222"/>
      <c r="G29" s="4222"/>
      <c r="H29" s="4222"/>
      <c r="I29" s="4222"/>
      <c r="J29" s="4222"/>
      <c r="K29" s="4222"/>
      <c r="L29" s="4222"/>
      <c r="M29" s="4222"/>
    </row>
    <row r="30" spans="1:13" ht="3" customHeight="1">
      <c r="A30" s="4220"/>
      <c r="B30" s="4220"/>
      <c r="C30" s="4220"/>
      <c r="D30" s="4220"/>
      <c r="E30" s="4220"/>
      <c r="F30" s="4220"/>
      <c r="G30" s="4220"/>
      <c r="H30" s="4220"/>
      <c r="I30" s="4220"/>
      <c r="J30" s="4220"/>
      <c r="K30" s="4220"/>
      <c r="L30" s="4220"/>
      <c r="M30" s="4220"/>
    </row>
    <row r="31" spans="1:13" ht="32.25" customHeight="1">
      <c r="A31" s="4222" t="s">
        <v>4578</v>
      </c>
      <c r="B31" s="4222"/>
      <c r="C31" s="4222"/>
      <c r="D31" s="4222"/>
      <c r="E31" s="4222"/>
      <c r="F31" s="4222"/>
      <c r="G31" s="4222"/>
      <c r="H31" s="4222"/>
      <c r="I31" s="4222"/>
      <c r="J31" s="4222"/>
      <c r="K31" s="4222"/>
      <c r="L31" s="4222"/>
      <c r="M31" s="4222"/>
    </row>
    <row r="32" spans="1:13" ht="4.5" customHeight="1">
      <c r="A32" s="4220"/>
      <c r="B32" s="4220"/>
      <c r="C32" s="4220"/>
      <c r="D32" s="4220"/>
      <c r="E32" s="4220"/>
      <c r="F32" s="4220"/>
      <c r="G32" s="4220"/>
      <c r="H32" s="4220"/>
      <c r="I32" s="4220"/>
      <c r="J32" s="4220"/>
      <c r="K32" s="4220"/>
      <c r="L32" s="4220"/>
      <c r="M32" s="4220"/>
    </row>
    <row r="33" spans="1:13">
      <c r="A33" s="4220" t="s">
        <v>4579</v>
      </c>
      <c r="B33" s="4220"/>
      <c r="C33" s="4220"/>
      <c r="D33" s="4220"/>
      <c r="E33" s="4220"/>
      <c r="F33" s="4220"/>
      <c r="G33" s="4220"/>
      <c r="H33" s="4220"/>
      <c r="I33" s="4220"/>
      <c r="J33" s="4220"/>
      <c r="K33" s="4220"/>
      <c r="L33" s="4220"/>
      <c r="M33" s="4220"/>
    </row>
    <row r="34" spans="1:13" ht="6" customHeight="1">
      <c r="A34" s="2577"/>
      <c r="B34" s="2577"/>
      <c r="C34" s="2577"/>
      <c r="D34" s="2577"/>
      <c r="E34" s="2577"/>
      <c r="F34" s="2577"/>
      <c r="G34" s="2577"/>
      <c r="H34" s="2577"/>
      <c r="I34" s="2577"/>
      <c r="J34" s="2577"/>
      <c r="K34" s="2577"/>
      <c r="L34" s="2577"/>
      <c r="M34" s="2577"/>
    </row>
    <row r="35" spans="1:13">
      <c r="A35" s="4221"/>
      <c r="B35" s="4221"/>
      <c r="C35" s="4221"/>
      <c r="D35" s="4221"/>
      <c r="E35" s="4221"/>
      <c r="F35" s="4221"/>
      <c r="G35" s="596"/>
      <c r="H35" s="4221"/>
      <c r="I35" s="4221"/>
      <c r="J35" s="4221"/>
      <c r="K35" s="4221"/>
      <c r="L35" s="4221"/>
      <c r="M35" s="4221"/>
    </row>
    <row r="36" spans="1:13" ht="12" customHeight="1">
      <c r="A36" s="4218" t="s">
        <v>4580</v>
      </c>
      <c r="B36" s="4218"/>
      <c r="C36" s="4218"/>
      <c r="D36" s="4218"/>
      <c r="E36" s="4218"/>
      <c r="F36" s="4218"/>
      <c r="G36" s="596"/>
      <c r="H36" s="4218" t="s">
        <v>37</v>
      </c>
      <c r="I36" s="4218"/>
      <c r="J36" s="4218"/>
      <c r="K36" s="4218"/>
      <c r="L36" s="4218"/>
      <c r="M36" s="4218"/>
    </row>
    <row r="37" spans="1:13" ht="6" customHeight="1">
      <c r="A37" s="596"/>
      <c r="B37" s="596"/>
      <c r="C37" s="596"/>
      <c r="D37" s="596"/>
      <c r="E37" s="596"/>
      <c r="F37" s="596"/>
      <c r="G37" s="596"/>
      <c r="H37" s="596"/>
      <c r="I37" s="596"/>
      <c r="J37" s="596"/>
      <c r="K37" s="596"/>
      <c r="L37" s="596"/>
      <c r="M37" s="596"/>
    </row>
    <row r="38" spans="1:13">
      <c r="A38" s="4216"/>
      <c r="B38" s="4216"/>
      <c r="C38" s="4216"/>
      <c r="D38" s="4216"/>
      <c r="E38" s="4216"/>
      <c r="F38" s="4216"/>
      <c r="G38" s="596"/>
      <c r="H38" s="4217"/>
      <c r="I38" s="4217"/>
      <c r="J38" s="4217"/>
      <c r="K38" s="4217"/>
      <c r="L38" s="4217"/>
      <c r="M38" s="4217"/>
    </row>
    <row r="39" spans="1:13" ht="12" customHeight="1">
      <c r="A39" s="4218" t="s">
        <v>4581</v>
      </c>
      <c r="B39" s="4218"/>
      <c r="C39" s="4218"/>
      <c r="D39" s="4218"/>
      <c r="E39" s="4218"/>
      <c r="F39" s="4218"/>
      <c r="G39" s="596"/>
      <c r="H39" s="4218" t="s">
        <v>4582</v>
      </c>
      <c r="I39" s="4218"/>
      <c r="J39" s="4218"/>
      <c r="K39" s="4218"/>
      <c r="L39" s="4218"/>
      <c r="M39" s="4218"/>
    </row>
    <row r="40" spans="1:13" ht="3" customHeight="1">
      <c r="A40" s="599"/>
      <c r="B40" s="599"/>
      <c r="C40" s="599"/>
      <c r="D40" s="599"/>
      <c r="E40" s="599"/>
      <c r="F40" s="599"/>
      <c r="G40" s="596"/>
      <c r="H40" s="599"/>
      <c r="I40" s="599"/>
      <c r="J40" s="599"/>
      <c r="K40" s="599"/>
      <c r="L40" s="599"/>
      <c r="M40" s="599"/>
    </row>
    <row r="41" spans="1:13" ht="11.7" customHeight="1">
      <c r="A41" s="596"/>
      <c r="B41" s="596"/>
      <c r="C41" s="596"/>
      <c r="D41" s="596"/>
      <c r="E41" s="596"/>
      <c r="F41" s="596"/>
      <c r="G41" s="596"/>
      <c r="H41" s="4219" t="s">
        <v>4583</v>
      </c>
      <c r="I41" s="4219"/>
      <c r="J41" s="4219"/>
      <c r="K41" s="4219"/>
      <c r="L41" s="4219"/>
      <c r="M41" s="4219"/>
    </row>
    <row r="42" spans="1:13" ht="11.7" customHeight="1">
      <c r="A42" s="596"/>
      <c r="B42" s="596"/>
      <c r="C42" s="596"/>
      <c r="D42" s="596"/>
      <c r="E42" s="596"/>
      <c r="F42" s="596"/>
      <c r="G42" s="596"/>
    </row>
    <row r="43" spans="1:13" ht="11.7" customHeight="1">
      <c r="A43" s="596"/>
      <c r="B43" s="596"/>
      <c r="C43" s="596"/>
      <c r="D43" s="596"/>
      <c r="E43" s="596"/>
      <c r="F43" s="596"/>
      <c r="G43" s="596"/>
      <c r="H43" s="596"/>
      <c r="I43" s="596"/>
      <c r="J43" s="596"/>
      <c r="K43" s="596"/>
      <c r="L43" s="596"/>
      <c r="M43" s="596"/>
    </row>
    <row r="44" spans="1:13" ht="11.7" customHeight="1">
      <c r="A44" s="596"/>
      <c r="B44" s="596"/>
      <c r="C44" s="596"/>
      <c r="D44" s="596"/>
      <c r="E44" s="596"/>
      <c r="F44" s="596"/>
      <c r="G44" s="596"/>
      <c r="H44" s="596"/>
      <c r="I44" s="596"/>
      <c r="J44" s="596"/>
      <c r="K44" s="596"/>
      <c r="L44" s="596"/>
      <c r="M44" s="596"/>
    </row>
    <row r="45" spans="1:13" ht="11.7" customHeight="1"/>
    <row r="46" spans="1:13" ht="11.7" customHeight="1"/>
    <row r="47" spans="1:13" ht="11.7" customHeight="1"/>
    <row r="48" spans="1:13" ht="11.7" customHeight="1"/>
    <row r="49" ht="11.7" customHeight="1"/>
  </sheetData>
  <sheetProtection algorithmName="SHA-512" hashValue="G6pZDrhFW0V36QROoWwOZQj3DdBHUcO+NOlRXvdnQOthEU9SjBwDSuMcfuzG/ngimOp1eJl9q3pJSp0Sz7b5RQ==" saltValue="2EzuCX57Bmp0Wwp56cjBbQ==" spinCount="100000" sheet="1" objects="1" scenarios="1"/>
  <mergeCells count="35">
    <mergeCell ref="B19:M19"/>
    <mergeCell ref="A5:M5"/>
    <mergeCell ref="A9:M9"/>
    <mergeCell ref="A10:M10"/>
    <mergeCell ref="A11:M11"/>
    <mergeCell ref="A12:M12"/>
    <mergeCell ref="B13:M13"/>
    <mergeCell ref="B14:M14"/>
    <mergeCell ref="B15:M15"/>
    <mergeCell ref="B16:M16"/>
    <mergeCell ref="B17:M17"/>
    <mergeCell ref="B18:M18"/>
    <mergeCell ref="A31:M31"/>
    <mergeCell ref="B20:M20"/>
    <mergeCell ref="B21:M21"/>
    <mergeCell ref="A22:M22"/>
    <mergeCell ref="A23:M23"/>
    <mergeCell ref="A24:M24"/>
    <mergeCell ref="B25:M25"/>
    <mergeCell ref="B26:M26"/>
    <mergeCell ref="B27:M27"/>
    <mergeCell ref="A28:M28"/>
    <mergeCell ref="A29:M29"/>
    <mergeCell ref="A30:M30"/>
    <mergeCell ref="A32:M32"/>
    <mergeCell ref="A33:M33"/>
    <mergeCell ref="A35:F35"/>
    <mergeCell ref="H35:M35"/>
    <mergeCell ref="A36:F36"/>
    <mergeCell ref="H36:M36"/>
    <mergeCell ref="A38:F38"/>
    <mergeCell ref="H38:M38"/>
    <mergeCell ref="A39:F39"/>
    <mergeCell ref="H39:M39"/>
    <mergeCell ref="H41:M41"/>
  </mergeCells>
  <printOptions horizontalCentered="1"/>
  <pageMargins left="0.5" right="0.5" top="0.8" bottom="0.7" header="0.3" footer="0.3"/>
  <pageSetup orientation="portrait" horizontalDpi="1200" verticalDpi="1200" r:id="rId1"/>
  <headerFooter>
    <oddFooter>&amp;L&amp;9&amp;G  2025 OHF Funding Application&amp;C&amp;9DCA Housing Finance and Development Division&amp;R&amp;9Page &amp;P of &amp;N</oddFooter>
  </headerFooter>
  <legacyDrawingHF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1025-F85C-4959-81C7-DB3D3845ECC0}">
  <sheetPr codeName="Sheet25">
    <pageSetUpPr fitToPage="1"/>
  </sheetPr>
  <dimension ref="A1:N79"/>
  <sheetViews>
    <sheetView showGridLines="0" workbookViewId="0"/>
  </sheetViews>
  <sheetFormatPr defaultColWidth="9.21875" defaultRowHeight="13.8"/>
  <cols>
    <col min="1" max="1" width="5.44140625" style="904" customWidth="1"/>
    <col min="2" max="2" width="6.21875" style="904" customWidth="1"/>
    <col min="3" max="3" width="9.77734375" style="904" customWidth="1"/>
    <col min="4" max="4" width="10.44140625" style="904" customWidth="1"/>
    <col min="5" max="5" width="7.77734375" style="905" customWidth="1"/>
    <col min="6" max="6" width="8" style="904" customWidth="1"/>
    <col min="7" max="7" width="8.77734375" style="904" customWidth="1"/>
    <col min="8" max="8" width="10.21875" style="904" customWidth="1"/>
    <col min="9" max="9" width="10.77734375" style="904" customWidth="1"/>
    <col min="10" max="11" width="11.77734375" style="904" customWidth="1"/>
    <col min="12" max="16384" width="9.21875" style="904"/>
  </cols>
  <sheetData>
    <row r="1" spans="1:11" ht="18">
      <c r="A1" s="925" t="s">
        <v>4584</v>
      </c>
      <c r="B1" s="925"/>
      <c r="C1" s="925"/>
      <c r="D1" s="925"/>
      <c r="E1" s="925"/>
      <c r="F1" s="925"/>
      <c r="G1" s="925"/>
      <c r="H1" s="925"/>
    </row>
    <row r="2" spans="1:11" ht="18.600000000000001" thickBot="1">
      <c r="A2" s="925" t="s">
        <v>4585</v>
      </c>
      <c r="B2" s="925"/>
      <c r="C2" s="925"/>
      <c r="D2" s="925"/>
      <c r="E2" s="925"/>
      <c r="F2" s="925"/>
      <c r="G2" s="925"/>
      <c r="H2" s="925"/>
    </row>
    <row r="3" spans="1:11" ht="15" customHeight="1" thickBot="1">
      <c r="A3" s="2832" t="s">
        <v>4586</v>
      </c>
      <c r="B3" s="2833"/>
      <c r="C3" s="2834"/>
      <c r="D3" s="4285" t="str">
        <f>'Part I-Project Identification'!F27</f>
        <v>The Groves</v>
      </c>
      <c r="E3" s="4286"/>
      <c r="F3" s="4286"/>
      <c r="G3" s="4286"/>
      <c r="H3" s="4286"/>
      <c r="I3" s="4286"/>
      <c r="J3" s="4287" t="s">
        <v>4587</v>
      </c>
      <c r="K3" s="4288"/>
    </row>
    <row r="4" spans="1:11" ht="15" customHeight="1">
      <c r="A4" s="906" t="s">
        <v>4588</v>
      </c>
      <c r="B4" s="907"/>
      <c r="C4" s="908"/>
      <c r="D4" s="4289"/>
      <c r="E4" s="4290"/>
      <c r="F4" s="4290"/>
      <c r="G4" s="4290"/>
      <c r="H4" s="4290"/>
      <c r="I4" s="4290"/>
      <c r="J4" s="4291" t="s">
        <v>4589</v>
      </c>
      <c r="K4" s="4292"/>
    </row>
    <row r="5" spans="1:11" ht="15" customHeight="1" thickBot="1">
      <c r="A5" s="909" t="s">
        <v>4590</v>
      </c>
      <c r="B5" s="910"/>
      <c r="C5" s="911"/>
      <c r="D5" s="4295"/>
      <c r="E5" s="4296"/>
      <c r="F5" s="4296"/>
      <c r="G5" s="4296"/>
      <c r="H5" s="4296"/>
      <c r="I5" s="4296"/>
      <c r="J5" s="4293"/>
      <c r="K5" s="4294"/>
    </row>
    <row r="6" spans="1:11" ht="9" customHeight="1" thickBot="1">
      <c r="E6" s="904"/>
    </row>
    <row r="7" spans="1:11">
      <c r="A7" s="4279" t="s">
        <v>4591</v>
      </c>
      <c r="B7" s="4280"/>
      <c r="C7" s="4280"/>
      <c r="D7" s="4280"/>
      <c r="E7" s="4280"/>
      <c r="F7" s="4280"/>
      <c r="G7" s="4280"/>
      <c r="H7" s="4280"/>
      <c r="I7" s="4280"/>
      <c r="J7" s="4280"/>
      <c r="K7" s="4281"/>
    </row>
    <row r="8" spans="1:11" ht="14.25" customHeight="1">
      <c r="A8" s="907"/>
      <c r="B8" s="907"/>
      <c r="C8" s="2835">
        <v>1</v>
      </c>
      <c r="D8" s="2836" t="s">
        <v>4592</v>
      </c>
      <c r="E8" s="2836"/>
      <c r="F8" s="2836"/>
      <c r="G8" s="2836"/>
      <c r="H8" s="2836"/>
      <c r="I8" s="2836"/>
      <c r="J8" s="4299"/>
      <c r="K8" s="4300"/>
    </row>
    <row r="9" spans="1:11" ht="7.2" customHeight="1">
      <c r="A9" s="4275"/>
      <c r="B9" s="4275"/>
      <c r="C9" s="4275"/>
      <c r="D9" s="4276"/>
      <c r="E9" s="4276"/>
      <c r="F9" s="4276"/>
      <c r="G9" s="4276"/>
      <c r="H9" s="4276"/>
      <c r="I9" s="4276"/>
      <c r="J9" s="4276"/>
      <c r="K9" s="2838"/>
    </row>
    <row r="10" spans="1:11">
      <c r="A10" s="4301" t="s">
        <v>4593</v>
      </c>
      <c r="B10" s="4302"/>
      <c r="C10" s="4302"/>
      <c r="D10" s="4302"/>
      <c r="E10" s="4302"/>
      <c r="F10" s="4302"/>
      <c r="G10" s="4302"/>
      <c r="H10" s="4302"/>
      <c r="I10" s="4302"/>
      <c r="J10" s="4302"/>
      <c r="K10" s="4303"/>
    </row>
    <row r="11" spans="1:11" ht="14.25" customHeight="1">
      <c r="A11" s="907"/>
      <c r="B11" s="907"/>
      <c r="C11" s="2835">
        <v>2</v>
      </c>
      <c r="D11" s="2836" t="s">
        <v>4594</v>
      </c>
      <c r="E11" s="2839"/>
      <c r="F11" s="2839"/>
      <c r="G11" s="2839"/>
      <c r="H11" s="2839"/>
      <c r="I11" s="2839"/>
      <c r="J11" s="4304"/>
      <c r="K11" s="4305"/>
    </row>
    <row r="12" spans="1:11" ht="7.2" customHeight="1">
      <c r="A12" s="4275"/>
      <c r="B12" s="4275"/>
      <c r="C12" s="4275"/>
      <c r="D12" s="4276"/>
      <c r="E12" s="4276"/>
      <c r="F12" s="4276"/>
      <c r="G12" s="4276"/>
      <c r="H12" s="4276"/>
      <c r="I12" s="4276"/>
      <c r="J12" s="4276"/>
      <c r="K12" s="2837"/>
    </row>
    <row r="13" spans="1:11">
      <c r="A13" s="4301" t="s">
        <v>4595</v>
      </c>
      <c r="B13" s="4302"/>
      <c r="C13" s="4302"/>
      <c r="D13" s="4302"/>
      <c r="E13" s="4302"/>
      <c r="F13" s="4302"/>
      <c r="G13" s="4302"/>
      <c r="H13" s="4302"/>
      <c r="I13" s="4302"/>
      <c r="J13" s="4302"/>
      <c r="K13" s="4303"/>
    </row>
    <row r="14" spans="1:11" ht="14.25" customHeight="1">
      <c r="A14" s="907"/>
      <c r="B14" s="907"/>
      <c r="C14" s="2840">
        <v>3</v>
      </c>
      <c r="D14" s="2841" t="s">
        <v>4596</v>
      </c>
      <c r="E14" s="2841"/>
      <c r="F14" s="2841"/>
      <c r="G14" s="2841"/>
      <c r="H14" s="2841"/>
      <c r="I14" s="2841"/>
      <c r="J14" s="4306"/>
      <c r="K14" s="4307"/>
    </row>
    <row r="15" spans="1:11" ht="14.25" customHeight="1">
      <c r="A15" s="907"/>
      <c r="B15" s="907"/>
      <c r="C15" s="1050">
        <v>4</v>
      </c>
      <c r="D15" s="907" t="s">
        <v>4597</v>
      </c>
      <c r="E15" s="907"/>
      <c r="F15" s="907"/>
      <c r="G15" s="907"/>
      <c r="H15" s="907"/>
      <c r="I15" s="907"/>
      <c r="J15" s="4308">
        <f>'Part III-A-Uses of Funds'!G130+'Part III-A-Uses of Funds'!G131+'Part III-A-Uses of Funds'!G133+'Part III-A-Uses of Funds'!G120</f>
        <v>560889.17929746769</v>
      </c>
      <c r="K15" s="4309"/>
    </row>
    <row r="16" spans="1:11" ht="14.25" customHeight="1">
      <c r="A16" s="907"/>
      <c r="B16" s="907"/>
      <c r="C16" s="1050">
        <v>5</v>
      </c>
      <c r="D16" s="907" t="s">
        <v>4598</v>
      </c>
      <c r="E16" s="907"/>
      <c r="F16" s="907"/>
      <c r="G16" s="907"/>
      <c r="H16" s="907"/>
      <c r="I16" s="907"/>
      <c r="J16" s="4271"/>
      <c r="K16" s="4272"/>
    </row>
    <row r="17" spans="1:13" ht="14.25" customHeight="1">
      <c r="A17" s="907"/>
      <c r="B17" s="907"/>
      <c r="C17" s="1051">
        <v>6</v>
      </c>
      <c r="D17" s="910" t="s">
        <v>4599</v>
      </c>
      <c r="E17" s="910"/>
      <c r="F17" s="910"/>
      <c r="G17" s="910"/>
      <c r="H17" s="910"/>
      <c r="I17" s="910"/>
      <c r="J17" s="4273"/>
      <c r="K17" s="4274"/>
    </row>
    <row r="18" spans="1:13" ht="7.2" customHeight="1">
      <c r="A18" s="4275"/>
      <c r="B18" s="4275"/>
      <c r="C18" s="4275"/>
      <c r="D18" s="4276"/>
      <c r="E18" s="4276"/>
      <c r="F18" s="4276"/>
      <c r="G18" s="4276"/>
      <c r="H18" s="4276"/>
      <c r="I18" s="4276"/>
      <c r="J18" s="4276"/>
      <c r="K18" s="2837"/>
    </row>
    <row r="19" spans="1:13" ht="14.25" customHeight="1">
      <c r="A19" s="907"/>
      <c r="B19" s="907"/>
      <c r="C19" s="2840">
        <v>7</v>
      </c>
      <c r="D19" s="2841" t="s">
        <v>4600</v>
      </c>
      <c r="E19" s="2841"/>
      <c r="F19" s="2841"/>
      <c r="G19" s="2841"/>
      <c r="H19" s="2841"/>
      <c r="I19" s="2841"/>
      <c r="J19" s="4297" t="str">
        <f>IF(J17="No",J14-J15,IF(J17="Yes",J14-J15-J16,"Error"))</f>
        <v>Error</v>
      </c>
      <c r="K19" s="4298"/>
    </row>
    <row r="20" spans="1:13" ht="14.25" customHeight="1">
      <c r="A20" s="907"/>
      <c r="B20" s="907"/>
      <c r="C20" s="1051">
        <v>8</v>
      </c>
      <c r="D20" s="910" t="s">
        <v>4601</v>
      </c>
      <c r="E20" s="910"/>
      <c r="F20" s="910"/>
      <c r="G20" s="910"/>
      <c r="H20" s="910"/>
      <c r="I20" s="910"/>
      <c r="J20" s="4277" t="e">
        <f>ROUNDDOWN(J19/J8,2)</f>
        <v>#VALUE!</v>
      </c>
      <c r="K20" s="4278"/>
    </row>
    <row r="21" spans="1:13" ht="7.2" customHeight="1">
      <c r="A21" s="4275"/>
      <c r="B21" s="4275"/>
      <c r="C21" s="4275"/>
      <c r="D21" s="4276"/>
      <c r="E21" s="4276"/>
      <c r="F21" s="4276"/>
      <c r="G21" s="4276"/>
      <c r="H21" s="4276"/>
      <c r="I21" s="4276"/>
      <c r="J21" s="4276"/>
      <c r="K21" s="2837"/>
    </row>
    <row r="22" spans="1:13" ht="14.25" customHeight="1" thickBot="1">
      <c r="A22" s="907"/>
      <c r="B22" s="907"/>
      <c r="C22" s="2835">
        <v>9</v>
      </c>
      <c r="D22" s="2842" t="s">
        <v>4602</v>
      </c>
      <c r="E22" s="2842"/>
      <c r="F22" s="2842"/>
      <c r="G22" s="2842"/>
      <c r="H22" s="2842"/>
      <c r="I22" s="2842"/>
      <c r="J22" s="4260" t="e">
        <f>J11/J19</f>
        <v>#VALUE!</v>
      </c>
      <c r="K22" s="4261"/>
    </row>
    <row r="23" spans="1:13" ht="9" customHeight="1">
      <c r="A23" s="2578"/>
      <c r="C23" s="913"/>
      <c r="D23" s="913"/>
      <c r="E23" s="913"/>
      <c r="F23" s="913"/>
      <c r="G23" s="913"/>
      <c r="H23" s="913"/>
      <c r="I23" s="913"/>
      <c r="J23" s="913"/>
      <c r="K23" s="914"/>
    </row>
    <row r="24" spans="1:13" ht="18">
      <c r="A24" s="915" t="s">
        <v>4603</v>
      </c>
      <c r="C24" s="913"/>
      <c r="D24" s="913"/>
      <c r="E24" s="913"/>
      <c r="F24" s="913"/>
      <c r="G24" s="913"/>
      <c r="H24" s="913"/>
      <c r="I24" s="913"/>
      <c r="J24" s="913"/>
      <c r="K24" s="914"/>
    </row>
    <row r="25" spans="1:13" ht="14.25" customHeight="1">
      <c r="A25" s="940" t="s">
        <v>4604</v>
      </c>
      <c r="C25" s="913"/>
      <c r="D25" s="913"/>
      <c r="E25" s="913"/>
      <c r="F25" s="913"/>
      <c r="G25" s="913"/>
      <c r="H25" s="913"/>
      <c r="I25" s="913"/>
      <c r="J25" s="913"/>
      <c r="K25" s="914"/>
    </row>
    <row r="26" spans="1:13" ht="14.25" customHeight="1">
      <c r="A26" s="940" t="s">
        <v>4605</v>
      </c>
      <c r="C26" s="913"/>
      <c r="D26" s="913"/>
      <c r="E26" s="913"/>
      <c r="F26" s="913"/>
      <c r="G26" s="913"/>
      <c r="H26" s="913"/>
      <c r="I26" s="913"/>
      <c r="J26" s="913"/>
      <c r="K26" s="914"/>
    </row>
    <row r="27" spans="1:13" ht="14.25" customHeight="1">
      <c r="A27" s="940" t="s">
        <v>4606</v>
      </c>
      <c r="C27" s="913"/>
      <c r="D27" s="913"/>
      <c r="E27" s="913"/>
      <c r="F27" s="913"/>
      <c r="G27" s="913"/>
      <c r="H27" s="913"/>
      <c r="I27" s="913"/>
      <c r="J27" s="913"/>
      <c r="K27" s="914"/>
    </row>
    <row r="28" spans="1:13" ht="14.25" customHeight="1">
      <c r="A28" s="940" t="s">
        <v>4607</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2" t="s">
        <v>4608</v>
      </c>
      <c r="B30" s="4263"/>
      <c r="C30" s="4263"/>
      <c r="D30" s="4263"/>
      <c r="E30" s="4263"/>
      <c r="F30" s="4263"/>
      <c r="G30" s="4263"/>
      <c r="H30" s="4263"/>
      <c r="I30" s="4263"/>
      <c r="J30" s="4263"/>
      <c r="K30" s="4264"/>
    </row>
    <row r="31" spans="1:13">
      <c r="B31" s="4265" t="s">
        <v>4587</v>
      </c>
      <c r="C31" s="4265"/>
      <c r="D31" s="4265"/>
      <c r="E31" s="4265"/>
      <c r="F31" s="4265"/>
      <c r="G31" s="4266" t="s">
        <v>4609</v>
      </c>
      <c r="H31" s="4267"/>
      <c r="I31" s="4267"/>
      <c r="J31" s="4267"/>
      <c r="K31" s="4268"/>
    </row>
    <row r="32" spans="1:13" ht="56.25" customHeight="1">
      <c r="A32" s="2510"/>
      <c r="B32" s="921" t="s">
        <v>4610</v>
      </c>
      <c r="C32" s="922" t="s">
        <v>4611</v>
      </c>
      <c r="D32" s="922" t="s">
        <v>4612</v>
      </c>
      <c r="E32" s="4269" t="s">
        <v>4613</v>
      </c>
      <c r="F32" s="4270"/>
      <c r="G32" s="923" t="s">
        <v>4614</v>
      </c>
      <c r="H32" s="923" t="s">
        <v>4615</v>
      </c>
      <c r="J32" s="923" t="s">
        <v>4616</v>
      </c>
      <c r="K32" s="923" t="s">
        <v>4617</v>
      </c>
      <c r="L32" s="4255" t="s">
        <v>4618</v>
      </c>
      <c r="M32" s="4255"/>
    </row>
    <row r="33" spans="2:14" ht="12.75" customHeight="1">
      <c r="B33" s="2843"/>
      <c r="C33" s="2844"/>
      <c r="D33" s="2845"/>
      <c r="E33" s="4256"/>
      <c r="F33" s="4257"/>
      <c r="G33" s="2846" t="e">
        <f t="shared" ref="G33:G51" si="0">$J$22*B33</f>
        <v>#VALUE!</v>
      </c>
      <c r="H33" s="2847" t="e">
        <f>ROUNDUP(G33,0)</f>
        <v>#VALUE!</v>
      </c>
      <c r="I33" s="933"/>
      <c r="J33" s="2848" t="e">
        <f t="shared" ref="J33:J51" si="1">$J$20*E33</f>
        <v>#VALUE!</v>
      </c>
      <c r="K33" s="2848" t="e">
        <f t="shared" ref="K33:K51" si="2">ROUNDDOWN(J33*H33,0)</f>
        <v>#VALUE!</v>
      </c>
      <c r="L33" s="4255"/>
      <c r="M33" s="4255"/>
    </row>
    <row r="34" spans="2:14" ht="12.75" customHeight="1">
      <c r="B34" s="1044"/>
      <c r="C34" s="1045"/>
      <c r="D34" s="1046"/>
      <c r="E34" s="4251"/>
      <c r="F34" s="4252"/>
      <c r="G34" s="934" t="e">
        <f t="shared" si="0"/>
        <v>#VALUE!</v>
      </c>
      <c r="H34" s="935" t="e">
        <f t="shared" ref="H34:H51" si="3">ROUNDUP(G34,0)</f>
        <v>#VALUE!</v>
      </c>
      <c r="I34" s="933"/>
      <c r="J34" s="936" t="e">
        <f t="shared" si="1"/>
        <v>#VALUE!</v>
      </c>
      <c r="K34" s="936" t="e">
        <f t="shared" si="2"/>
        <v>#VALUE!</v>
      </c>
      <c r="L34" s="4255"/>
      <c r="M34" s="4255"/>
    </row>
    <row r="35" spans="2:14" ht="12.75" customHeight="1">
      <c r="B35" s="1044"/>
      <c r="C35" s="1045"/>
      <c r="D35" s="1046"/>
      <c r="E35" s="4251"/>
      <c r="F35" s="4252"/>
      <c r="G35" s="934" t="e">
        <f t="shared" si="0"/>
        <v>#VALUE!</v>
      </c>
      <c r="H35" s="935" t="e">
        <f t="shared" si="3"/>
        <v>#VALUE!</v>
      </c>
      <c r="I35" s="933"/>
      <c r="J35" s="936" t="e">
        <f t="shared" si="1"/>
        <v>#VALUE!</v>
      </c>
      <c r="K35" s="936" t="e">
        <f t="shared" si="2"/>
        <v>#VALUE!</v>
      </c>
      <c r="L35" s="4255"/>
      <c r="M35" s="4255"/>
    </row>
    <row r="36" spans="2:14" ht="12.75" customHeight="1">
      <c r="B36" s="1044"/>
      <c r="C36" s="1045"/>
      <c r="D36" s="1046"/>
      <c r="E36" s="4251"/>
      <c r="F36" s="4252"/>
      <c r="G36" s="934" t="e">
        <f t="shared" si="0"/>
        <v>#VALUE!</v>
      </c>
      <c r="H36" s="935" t="e">
        <f t="shared" si="3"/>
        <v>#VALUE!</v>
      </c>
      <c r="I36" s="933"/>
      <c r="J36" s="936" t="e">
        <f t="shared" si="1"/>
        <v>#VALUE!</v>
      </c>
      <c r="K36" s="936" t="e">
        <f t="shared" si="2"/>
        <v>#VALUE!</v>
      </c>
      <c r="L36" s="4255"/>
      <c r="M36" s="4255"/>
      <c r="N36" s="916"/>
    </row>
    <row r="37" spans="2:14" ht="12.75" customHeight="1">
      <c r="B37" s="1044"/>
      <c r="C37" s="1045"/>
      <c r="D37" s="1046"/>
      <c r="E37" s="4251"/>
      <c r="F37" s="4252"/>
      <c r="G37" s="934" t="e">
        <f t="shared" si="0"/>
        <v>#VALUE!</v>
      </c>
      <c r="H37" s="935" t="e">
        <f t="shared" si="3"/>
        <v>#VALUE!</v>
      </c>
      <c r="I37" s="933"/>
      <c r="J37" s="936" t="e">
        <f t="shared" si="1"/>
        <v>#VALUE!</v>
      </c>
      <c r="K37" s="936" t="e">
        <f t="shared" si="2"/>
        <v>#VALUE!</v>
      </c>
      <c r="L37" s="4255"/>
      <c r="M37" s="4255"/>
    </row>
    <row r="38" spans="2:14" ht="12.75" customHeight="1">
      <c r="B38" s="1044"/>
      <c r="C38" s="1045"/>
      <c r="D38" s="1046"/>
      <c r="E38" s="4251"/>
      <c r="F38" s="4252"/>
      <c r="G38" s="934" t="e">
        <f t="shared" si="0"/>
        <v>#VALUE!</v>
      </c>
      <c r="H38" s="935" t="e">
        <f t="shared" si="3"/>
        <v>#VALUE!</v>
      </c>
      <c r="I38" s="933"/>
      <c r="J38" s="936" t="e">
        <f t="shared" si="1"/>
        <v>#VALUE!</v>
      </c>
      <c r="K38" s="936" t="e">
        <f t="shared" si="2"/>
        <v>#VALUE!</v>
      </c>
      <c r="L38" s="4255"/>
      <c r="M38" s="4255"/>
    </row>
    <row r="39" spans="2:14" ht="12.75" customHeight="1">
      <c r="B39" s="1044"/>
      <c r="C39" s="1045"/>
      <c r="D39" s="1046"/>
      <c r="E39" s="4251"/>
      <c r="F39" s="4252"/>
      <c r="G39" s="934" t="e">
        <f t="shared" si="0"/>
        <v>#VALUE!</v>
      </c>
      <c r="H39" s="935" t="e">
        <f t="shared" si="3"/>
        <v>#VALUE!</v>
      </c>
      <c r="I39" s="933"/>
      <c r="J39" s="936" t="e">
        <f t="shared" si="1"/>
        <v>#VALUE!</v>
      </c>
      <c r="K39" s="936" t="e">
        <f t="shared" si="2"/>
        <v>#VALUE!</v>
      </c>
      <c r="L39" s="4255"/>
      <c r="M39" s="4255"/>
    </row>
    <row r="40" spans="2:14" ht="12.75" customHeight="1">
      <c r="B40" s="1044"/>
      <c r="C40" s="1045"/>
      <c r="D40" s="1046"/>
      <c r="E40" s="4251"/>
      <c r="F40" s="4252"/>
      <c r="G40" s="934" t="e">
        <f t="shared" si="0"/>
        <v>#VALUE!</v>
      </c>
      <c r="H40" s="935" t="e">
        <f t="shared" si="3"/>
        <v>#VALUE!</v>
      </c>
      <c r="I40" s="933"/>
      <c r="J40" s="936" t="e">
        <f t="shared" si="1"/>
        <v>#VALUE!</v>
      </c>
      <c r="K40" s="936" t="e">
        <f t="shared" si="2"/>
        <v>#VALUE!</v>
      </c>
      <c r="L40" s="4255"/>
      <c r="M40" s="4255"/>
    </row>
    <row r="41" spans="2:14" ht="12.75" customHeight="1">
      <c r="B41" s="1044"/>
      <c r="C41" s="1045"/>
      <c r="D41" s="1046"/>
      <c r="E41" s="4251"/>
      <c r="F41" s="4252"/>
      <c r="G41" s="934" t="e">
        <f t="shared" si="0"/>
        <v>#VALUE!</v>
      </c>
      <c r="H41" s="935" t="e">
        <f t="shared" si="3"/>
        <v>#VALUE!</v>
      </c>
      <c r="I41" s="933"/>
      <c r="J41" s="936" t="e">
        <f t="shared" si="1"/>
        <v>#VALUE!</v>
      </c>
      <c r="K41" s="936" t="e">
        <f t="shared" si="2"/>
        <v>#VALUE!</v>
      </c>
      <c r="L41" s="4255"/>
      <c r="M41" s="4255"/>
    </row>
    <row r="42" spans="2:14" ht="12.75" customHeight="1">
      <c r="B42" s="1044"/>
      <c r="C42" s="1045"/>
      <c r="D42" s="1046"/>
      <c r="E42" s="4251"/>
      <c r="F42" s="4252"/>
      <c r="G42" s="934" t="e">
        <f t="shared" si="0"/>
        <v>#VALUE!</v>
      </c>
      <c r="H42" s="935" t="e">
        <f t="shared" si="3"/>
        <v>#VALUE!</v>
      </c>
      <c r="I42" s="933"/>
      <c r="J42" s="936" t="e">
        <f t="shared" si="1"/>
        <v>#VALUE!</v>
      </c>
      <c r="K42" s="936" t="e">
        <f t="shared" si="2"/>
        <v>#VALUE!</v>
      </c>
      <c r="L42" s="4255"/>
      <c r="M42" s="4255"/>
    </row>
    <row r="43" spans="2:14" ht="12.75" customHeight="1">
      <c r="B43" s="1044"/>
      <c r="C43" s="1045"/>
      <c r="D43" s="1046"/>
      <c r="E43" s="4251"/>
      <c r="F43" s="4252"/>
      <c r="G43" s="934" t="e">
        <f t="shared" si="0"/>
        <v>#VALUE!</v>
      </c>
      <c r="H43" s="935" t="e">
        <f t="shared" si="3"/>
        <v>#VALUE!</v>
      </c>
      <c r="I43" s="933"/>
      <c r="J43" s="936" t="e">
        <f t="shared" si="1"/>
        <v>#VALUE!</v>
      </c>
      <c r="K43" s="936" t="e">
        <f t="shared" si="2"/>
        <v>#VALUE!</v>
      </c>
      <c r="L43" s="4255"/>
      <c r="M43" s="4255"/>
    </row>
    <row r="44" spans="2:14" ht="12.75" customHeight="1">
      <c r="B44" s="1044"/>
      <c r="C44" s="1045"/>
      <c r="D44" s="1046"/>
      <c r="E44" s="4251"/>
      <c r="F44" s="4252"/>
      <c r="G44" s="934" t="e">
        <f t="shared" si="0"/>
        <v>#VALUE!</v>
      </c>
      <c r="H44" s="935" t="e">
        <f t="shared" si="3"/>
        <v>#VALUE!</v>
      </c>
      <c r="I44" s="933"/>
      <c r="J44" s="936" t="e">
        <f t="shared" si="1"/>
        <v>#VALUE!</v>
      </c>
      <c r="K44" s="936" t="e">
        <f t="shared" si="2"/>
        <v>#VALUE!</v>
      </c>
      <c r="L44" s="4255"/>
      <c r="M44" s="4255"/>
    </row>
    <row r="45" spans="2:14" ht="12.75" customHeight="1">
      <c r="B45" s="1044"/>
      <c r="C45" s="1045"/>
      <c r="D45" s="1046"/>
      <c r="E45" s="4251"/>
      <c r="F45" s="4252"/>
      <c r="G45" s="934" t="e">
        <f t="shared" si="0"/>
        <v>#VALUE!</v>
      </c>
      <c r="H45" s="935" t="e">
        <f t="shared" si="3"/>
        <v>#VALUE!</v>
      </c>
      <c r="I45" s="933"/>
      <c r="J45" s="936" t="e">
        <f t="shared" si="1"/>
        <v>#VALUE!</v>
      </c>
      <c r="K45" s="936" t="e">
        <f t="shared" si="2"/>
        <v>#VALUE!</v>
      </c>
      <c r="L45" s="4255"/>
      <c r="M45" s="4255"/>
    </row>
    <row r="46" spans="2:14" ht="12.75" customHeight="1">
      <c r="B46" s="1044"/>
      <c r="C46" s="1045"/>
      <c r="D46" s="1046"/>
      <c r="E46" s="4251"/>
      <c r="F46" s="4252"/>
      <c r="G46" s="934" t="e">
        <f t="shared" si="0"/>
        <v>#VALUE!</v>
      </c>
      <c r="H46" s="935" t="e">
        <f t="shared" si="3"/>
        <v>#VALUE!</v>
      </c>
      <c r="I46" s="933"/>
      <c r="J46" s="936" t="e">
        <f t="shared" si="1"/>
        <v>#VALUE!</v>
      </c>
      <c r="K46" s="936" t="e">
        <f t="shared" si="2"/>
        <v>#VALUE!</v>
      </c>
      <c r="L46" s="4255"/>
      <c r="M46" s="4255"/>
    </row>
    <row r="47" spans="2:14" ht="12.75" customHeight="1">
      <c r="B47" s="1044"/>
      <c r="C47" s="1045"/>
      <c r="D47" s="1046"/>
      <c r="E47" s="4251"/>
      <c r="F47" s="4252"/>
      <c r="G47" s="934" t="e">
        <f t="shared" si="0"/>
        <v>#VALUE!</v>
      </c>
      <c r="H47" s="935" t="e">
        <f t="shared" si="3"/>
        <v>#VALUE!</v>
      </c>
      <c r="I47" s="933"/>
      <c r="J47" s="936" t="e">
        <f t="shared" si="1"/>
        <v>#VALUE!</v>
      </c>
      <c r="K47" s="936" t="e">
        <f t="shared" si="2"/>
        <v>#VALUE!</v>
      </c>
      <c r="L47" s="4255"/>
      <c r="M47" s="4255"/>
    </row>
    <row r="48" spans="2:14" ht="12.75" customHeight="1">
      <c r="B48" s="1044"/>
      <c r="C48" s="1045"/>
      <c r="D48" s="1046"/>
      <c r="E48" s="4251"/>
      <c r="F48" s="4252"/>
      <c r="G48" s="934" t="e">
        <f t="shared" si="0"/>
        <v>#VALUE!</v>
      </c>
      <c r="H48" s="935" t="e">
        <f t="shared" si="3"/>
        <v>#VALUE!</v>
      </c>
      <c r="I48" s="933"/>
      <c r="J48" s="936" t="e">
        <f t="shared" si="1"/>
        <v>#VALUE!</v>
      </c>
      <c r="K48" s="936" t="e">
        <f t="shared" si="2"/>
        <v>#VALUE!</v>
      </c>
      <c r="L48" s="4255"/>
      <c r="M48" s="4255"/>
    </row>
    <row r="49" spans="1:13" ht="12.75" customHeight="1">
      <c r="B49" s="1044"/>
      <c r="C49" s="1045"/>
      <c r="D49" s="1046"/>
      <c r="E49" s="4251"/>
      <c r="F49" s="4252"/>
      <c r="G49" s="934" t="e">
        <f t="shared" si="0"/>
        <v>#VALUE!</v>
      </c>
      <c r="H49" s="935" t="e">
        <f t="shared" si="3"/>
        <v>#VALUE!</v>
      </c>
      <c r="I49" s="933"/>
      <c r="J49" s="936" t="e">
        <f t="shared" si="1"/>
        <v>#VALUE!</v>
      </c>
      <c r="K49" s="936" t="e">
        <f t="shared" si="2"/>
        <v>#VALUE!</v>
      </c>
      <c r="L49" s="4255"/>
      <c r="M49" s="4255"/>
    </row>
    <row r="50" spans="1:13" ht="12.75" customHeight="1">
      <c r="B50" s="1044"/>
      <c r="C50" s="1045"/>
      <c r="D50" s="1046"/>
      <c r="E50" s="4251"/>
      <c r="F50" s="4252"/>
      <c r="G50" s="934" t="e">
        <f t="shared" si="0"/>
        <v>#VALUE!</v>
      </c>
      <c r="H50" s="935" t="e">
        <f t="shared" si="3"/>
        <v>#VALUE!</v>
      </c>
      <c r="I50" s="933"/>
      <c r="J50" s="936" t="e">
        <f t="shared" si="1"/>
        <v>#VALUE!</v>
      </c>
      <c r="K50" s="936" t="e">
        <f t="shared" si="2"/>
        <v>#VALUE!</v>
      </c>
      <c r="L50" s="4255"/>
      <c r="M50" s="4255"/>
    </row>
    <row r="51" spans="1:13" ht="12.75" customHeight="1" thickBot="1">
      <c r="B51" s="1047"/>
      <c r="C51" s="1048"/>
      <c r="D51" s="1049"/>
      <c r="E51" s="4253"/>
      <c r="F51" s="4254"/>
      <c r="G51" s="937" t="e">
        <f t="shared" si="0"/>
        <v>#VALUE!</v>
      </c>
      <c r="H51" s="938" t="e">
        <f t="shared" si="3"/>
        <v>#VALUE!</v>
      </c>
      <c r="I51" s="933"/>
      <c r="J51" s="939" t="e">
        <f t="shared" si="1"/>
        <v>#VALUE!</v>
      </c>
      <c r="K51" s="939" t="e">
        <f t="shared" si="2"/>
        <v>#VALUE!</v>
      </c>
      <c r="L51" s="4255"/>
      <c r="M51" s="4255"/>
    </row>
    <row r="52" spans="1:13" ht="15" customHeight="1" thickBot="1">
      <c r="B52" s="2849"/>
      <c r="D52" s="2841"/>
      <c r="E52" s="2841"/>
      <c r="F52" s="2841"/>
      <c r="G52" s="2850" t="s">
        <v>4619</v>
      </c>
      <c r="H52" s="924" t="e">
        <f>SUM(H33:H51)</f>
        <v>#VALUE!</v>
      </c>
      <c r="I52" s="2841"/>
      <c r="J52" s="2849" t="s">
        <v>4620</v>
      </c>
      <c r="K52" s="2851" t="e">
        <f>SUM(K33:K51)</f>
        <v>#VALUE!</v>
      </c>
      <c r="L52" s="4255"/>
      <c r="M52" s="4255"/>
    </row>
    <row r="53" spans="1:13" ht="15" customHeight="1">
      <c r="B53" s="2580"/>
      <c r="C53" s="4258" t="s">
        <v>4621</v>
      </c>
      <c r="D53" s="4258"/>
      <c r="E53" s="4258"/>
      <c r="F53" s="4258"/>
      <c r="G53" s="4258"/>
      <c r="H53" s="4258"/>
      <c r="I53" s="4258"/>
      <c r="J53" s="4259"/>
      <c r="K53" s="2852" t="str">
        <f>IF(J17="no",0,IF(J17="yes",J16,"Error"))</f>
        <v>Error</v>
      </c>
      <c r="L53" s="4255"/>
      <c r="M53" s="4255"/>
    </row>
    <row r="54" spans="1:13" ht="15" customHeight="1" thickBot="1">
      <c r="B54" s="2580"/>
      <c r="C54" s="4239" t="s">
        <v>4622</v>
      </c>
      <c r="D54" s="4239"/>
      <c r="E54" s="4239"/>
      <c r="F54" s="4239"/>
      <c r="G54" s="4239"/>
      <c r="H54" s="4239"/>
      <c r="I54" s="4239"/>
      <c r="J54" s="4240"/>
      <c r="K54" s="2853" t="e">
        <f>K52+K53</f>
        <v>#VALUE!</v>
      </c>
    </row>
    <row r="55" spans="1:13" ht="7.95" customHeight="1">
      <c r="A55" s="4241"/>
      <c r="B55" s="4235"/>
      <c r="C55" s="4235"/>
      <c r="D55" s="4235"/>
      <c r="E55" s="4235"/>
      <c r="F55" s="4235"/>
      <c r="G55" s="4235"/>
      <c r="H55" s="4235"/>
      <c r="I55" s="4235"/>
      <c r="J55" s="4235"/>
      <c r="K55" s="932"/>
    </row>
    <row r="56" spans="1:13" ht="15" customHeight="1">
      <c r="A56" s="4236" t="s">
        <v>4623</v>
      </c>
      <c r="B56" s="4237"/>
      <c r="C56" s="4237"/>
      <c r="D56" s="4237"/>
      <c r="E56" s="4237"/>
      <c r="F56" s="4237"/>
      <c r="G56" s="4237"/>
      <c r="H56" s="4237"/>
      <c r="I56" s="4237"/>
      <c r="J56" s="4237"/>
      <c r="K56" s="4238"/>
    </row>
    <row r="57" spans="1:13" ht="48" customHeight="1">
      <c r="A57" s="2854"/>
      <c r="B57" s="2855"/>
      <c r="C57" s="2856" t="s">
        <v>4624</v>
      </c>
      <c r="D57" s="989" t="s">
        <v>4625</v>
      </c>
      <c r="E57" s="4242" t="s">
        <v>4626</v>
      </c>
      <c r="F57" s="4243"/>
      <c r="G57" s="4244" t="s">
        <v>4627</v>
      </c>
      <c r="H57" s="4245"/>
      <c r="I57" s="4242" t="s">
        <v>4628</v>
      </c>
      <c r="J57" s="4243"/>
      <c r="K57" s="4246"/>
      <c r="L57" s="4282" t="s">
        <v>4629</v>
      </c>
      <c r="M57" s="4283"/>
    </row>
    <row r="58" spans="1:13" ht="15" customHeight="1">
      <c r="A58" s="2579"/>
      <c r="B58" s="928"/>
      <c r="C58" s="2857">
        <f>SUMIF(C33:C51, "0", H33:H51)</f>
        <v>0</v>
      </c>
      <c r="D58" s="2858">
        <f t="shared" ref="D58:D63" si="4">ROUNDUP(C58*1.1,0)</f>
        <v>0</v>
      </c>
      <c r="E58" s="4248" t="s">
        <v>4630</v>
      </c>
      <c r="F58" s="4249"/>
      <c r="G58" s="4229">
        <f>'DCA Underwriting Assumptions'!H156</f>
        <v>181488</v>
      </c>
      <c r="H58" s="4230"/>
      <c r="I58" s="4250">
        <f t="shared" ref="I58:I63" si="5">D58*G58</f>
        <v>0</v>
      </c>
      <c r="J58" s="4250"/>
      <c r="K58" s="4247"/>
      <c r="L58" s="4284"/>
      <c r="M58" s="4283"/>
    </row>
    <row r="59" spans="1:13">
      <c r="A59" s="2579"/>
      <c r="B59" s="928"/>
      <c r="C59" s="917">
        <f>SUMIF(C33:C51, "1", H33:H51)</f>
        <v>0</v>
      </c>
      <c r="D59" s="990">
        <f t="shared" si="4"/>
        <v>0</v>
      </c>
      <c r="E59" s="4227" t="s">
        <v>4631</v>
      </c>
      <c r="F59" s="4228"/>
      <c r="G59" s="4229">
        <f>'DCA Underwriting Assumptions'!H157</f>
        <v>208048.8</v>
      </c>
      <c r="H59" s="4230"/>
      <c r="I59" s="4231">
        <f t="shared" si="5"/>
        <v>0</v>
      </c>
      <c r="J59" s="4231"/>
      <c r="K59" s="4247"/>
      <c r="L59" s="4284"/>
      <c r="M59" s="4283"/>
    </row>
    <row r="60" spans="1:13" ht="15" customHeight="1">
      <c r="A60" s="2579"/>
      <c r="B60" s="928"/>
      <c r="C60" s="917">
        <f>SUMIF(C33:C51, "2", H33:H51)</f>
        <v>0</v>
      </c>
      <c r="D60" s="990">
        <f t="shared" si="4"/>
        <v>0</v>
      </c>
      <c r="E60" s="4227" t="s">
        <v>4632</v>
      </c>
      <c r="F60" s="4228"/>
      <c r="G60" s="4229">
        <f>'DCA Underwriting Assumptions'!H158</f>
        <v>252993.59999999998</v>
      </c>
      <c r="H60" s="4230"/>
      <c r="I60" s="4231">
        <f t="shared" si="5"/>
        <v>0</v>
      </c>
      <c r="J60" s="4231"/>
      <c r="K60" s="4247"/>
      <c r="L60" s="4284"/>
      <c r="M60" s="4283"/>
    </row>
    <row r="61" spans="1:13">
      <c r="A61" s="2579"/>
      <c r="B61" s="928"/>
      <c r="C61" s="917">
        <f>SUMIF(C33:C51, "3", H33:H51)</f>
        <v>0</v>
      </c>
      <c r="D61" s="990">
        <f t="shared" si="4"/>
        <v>0</v>
      </c>
      <c r="E61" s="4227" t="s">
        <v>4633</v>
      </c>
      <c r="F61" s="4228"/>
      <c r="G61" s="4229">
        <f>'DCA Underwriting Assumptions'!H159</f>
        <v>327292.79999999999</v>
      </c>
      <c r="H61" s="4230"/>
      <c r="I61" s="4231">
        <f t="shared" si="5"/>
        <v>0</v>
      </c>
      <c r="J61" s="4231"/>
      <c r="K61" s="4247"/>
      <c r="L61" s="4284"/>
      <c r="M61" s="4283"/>
    </row>
    <row r="62" spans="1:13">
      <c r="A62" s="2579"/>
      <c r="B62" s="928"/>
      <c r="C62" s="917">
        <f>SUMIF(C33:C51, "4", H33:H51)</f>
        <v>0</v>
      </c>
      <c r="D62" s="990">
        <f t="shared" si="4"/>
        <v>0</v>
      </c>
      <c r="E62" s="4227" t="s">
        <v>4634</v>
      </c>
      <c r="F62" s="4228"/>
      <c r="G62" s="4229">
        <f>'DCA Underwriting Assumptions'!H160</f>
        <v>359263.2</v>
      </c>
      <c r="H62" s="4230"/>
      <c r="I62" s="4231">
        <f t="shared" si="5"/>
        <v>0</v>
      </c>
      <c r="J62" s="4231"/>
      <c r="K62" s="4247"/>
      <c r="L62" s="4284"/>
      <c r="M62" s="4283"/>
    </row>
    <row r="63" spans="1:13">
      <c r="A63" s="988"/>
      <c r="B63" s="929"/>
      <c r="C63" s="918">
        <f>SUMIF(C33:C51, "5", H33:H51)</f>
        <v>0</v>
      </c>
      <c r="D63" s="991">
        <f t="shared" si="4"/>
        <v>0</v>
      </c>
      <c r="E63" s="4232" t="s">
        <v>4635</v>
      </c>
      <c r="F63" s="4233"/>
      <c r="G63" s="4229">
        <f>'DCA Underwriting Assumptions'!H160</f>
        <v>359263.2</v>
      </c>
      <c r="H63" s="4230"/>
      <c r="I63" s="4234">
        <f t="shared" si="5"/>
        <v>0</v>
      </c>
      <c r="J63" s="4234"/>
      <c r="K63" s="931"/>
      <c r="L63" s="4284"/>
      <c r="M63" s="4283"/>
    </row>
    <row r="64" spans="1:13" ht="14.4" thickBot="1">
      <c r="A64" s="2859" t="s">
        <v>4636</v>
      </c>
      <c r="B64" s="2860">
        <f>SUM(C58:C63)</f>
        <v>0</v>
      </c>
      <c r="C64" s="2861"/>
      <c r="D64" s="2861">
        <f>SUM(D58:D63)</f>
        <v>0</v>
      </c>
      <c r="E64" s="2862"/>
      <c r="F64" s="2862"/>
      <c r="G64" s="2862"/>
      <c r="H64" s="2862"/>
      <c r="I64" s="2862"/>
      <c r="J64" s="2863" t="s">
        <v>4637</v>
      </c>
      <c r="K64" s="2864">
        <f>SUM(I58:I62)</f>
        <v>0</v>
      </c>
    </row>
    <row r="65" spans="1:11">
      <c r="A65" s="4235"/>
      <c r="B65" s="4235"/>
      <c r="C65" s="4235"/>
      <c r="D65" s="4235"/>
      <c r="E65" s="4235"/>
      <c r="F65" s="4235"/>
      <c r="G65" s="4235"/>
      <c r="H65" s="4235"/>
      <c r="I65" s="4235"/>
      <c r="J65" s="4235"/>
    </row>
    <row r="66" spans="1:11">
      <c r="A66" s="4236" t="s">
        <v>4638</v>
      </c>
      <c r="B66" s="4237"/>
      <c r="C66" s="4237"/>
      <c r="D66" s="4237"/>
      <c r="E66" s="4237"/>
      <c r="F66" s="4237"/>
      <c r="G66" s="4237"/>
      <c r="H66" s="4237"/>
      <c r="I66" s="4237"/>
      <c r="J66" s="4237"/>
      <c r="K66" s="4238"/>
    </row>
    <row r="67" spans="1:11" ht="15" customHeight="1">
      <c r="A67" s="2865"/>
      <c r="B67" s="2866"/>
      <c r="C67" s="2866"/>
      <c r="D67" s="2866"/>
      <c r="E67" s="2866" t="s">
        <v>4639</v>
      </c>
      <c r="F67" s="2866"/>
      <c r="G67" s="2866"/>
      <c r="H67" s="2866"/>
      <c r="I67" s="2866"/>
      <c r="J67" s="2855"/>
      <c r="K67" s="2867">
        <f>J11</f>
        <v>0</v>
      </c>
    </row>
    <row r="68" spans="1:11">
      <c r="A68" s="926"/>
      <c r="E68" s="904" t="s">
        <v>4640</v>
      </c>
      <c r="J68" s="928"/>
      <c r="K68" s="2867" t="e">
        <f>K54</f>
        <v>#VALUE!</v>
      </c>
    </row>
    <row r="69" spans="1:11" ht="14.4" thickBot="1">
      <c r="A69" s="927"/>
      <c r="B69" s="912"/>
      <c r="C69" s="912"/>
      <c r="D69" s="912"/>
      <c r="E69" s="912" t="s">
        <v>4641</v>
      </c>
      <c r="F69" s="912"/>
      <c r="G69" s="912"/>
      <c r="H69" s="912"/>
      <c r="I69" s="912"/>
      <c r="J69" s="929"/>
      <c r="K69" s="2868">
        <f>K64</f>
        <v>0</v>
      </c>
    </row>
    <row r="70" spans="1:11" ht="14.4" thickBot="1">
      <c r="A70" s="2869"/>
      <c r="B70" s="2870"/>
      <c r="C70" s="4226" t="s">
        <v>4642</v>
      </c>
      <c r="D70" s="4226"/>
      <c r="E70" s="4226"/>
      <c r="F70" s="4226"/>
      <c r="G70" s="4226"/>
      <c r="H70" s="4226"/>
      <c r="I70" s="4226"/>
      <c r="J70" s="4226"/>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lUktQWglN5bSvx5tKcJM0gHq4zQDMnLd0PPsYkPVWAytFqg/ybuHjxIOvu3suH8acTLhr37lC/24ibCtQuwp5g==" saltValue="Ni3b0WyM0mFb4BjSEh+LDw==" spinCount="100000" sheet="1" objects="1" scenarios="1" formatRows="0"/>
  <mergeCells count="75">
    <mergeCell ref="A7:K7"/>
    <mergeCell ref="L57:M63"/>
    <mergeCell ref="D3:I3"/>
    <mergeCell ref="J3:K3"/>
    <mergeCell ref="D4:I4"/>
    <mergeCell ref="J4:K5"/>
    <mergeCell ref="D5:I5"/>
    <mergeCell ref="J19:K19"/>
    <mergeCell ref="J8:K8"/>
    <mergeCell ref="A9:J9"/>
    <mergeCell ref="A10:K10"/>
    <mergeCell ref="J11:K11"/>
    <mergeCell ref="A12:J12"/>
    <mergeCell ref="A13:K13"/>
    <mergeCell ref="J14:K14"/>
    <mergeCell ref="J15:K15"/>
    <mergeCell ref="J16:K16"/>
    <mergeCell ref="J17:K17"/>
    <mergeCell ref="A18:J18"/>
    <mergeCell ref="J20:K20"/>
    <mergeCell ref="A21:J21"/>
    <mergeCell ref="J22:K22"/>
    <mergeCell ref="A30:K30"/>
    <mergeCell ref="B31:F31"/>
    <mergeCell ref="G31:K31"/>
    <mergeCell ref="E32:F32"/>
    <mergeCell ref="L32:M53"/>
    <mergeCell ref="E33:F33"/>
    <mergeCell ref="E34:F34"/>
    <mergeCell ref="E35:F35"/>
    <mergeCell ref="E36:F36"/>
    <mergeCell ref="E37:F37"/>
    <mergeCell ref="E38:F38"/>
    <mergeCell ref="E39:F39"/>
    <mergeCell ref="E40:F40"/>
    <mergeCell ref="C53:J53"/>
    <mergeCell ref="E41:F41"/>
    <mergeCell ref="E42:F42"/>
    <mergeCell ref="E43:F43"/>
    <mergeCell ref="E44:F44"/>
    <mergeCell ref="E45:F45"/>
    <mergeCell ref="E46:F46"/>
    <mergeCell ref="E47:F47"/>
    <mergeCell ref="E48:F48"/>
    <mergeCell ref="E49:F49"/>
    <mergeCell ref="E50:F50"/>
    <mergeCell ref="E51:F51"/>
    <mergeCell ref="C54:J54"/>
    <mergeCell ref="A55:J55"/>
    <mergeCell ref="A56:K56"/>
    <mergeCell ref="E57:F57"/>
    <mergeCell ref="G57:H57"/>
    <mergeCell ref="I57:J57"/>
    <mergeCell ref="K57:K62"/>
    <mergeCell ref="E58:F58"/>
    <mergeCell ref="G58:H58"/>
    <mergeCell ref="I58:J58"/>
    <mergeCell ref="E59:F59"/>
    <mergeCell ref="G59:H59"/>
    <mergeCell ref="I59:J59"/>
    <mergeCell ref="E60:F60"/>
    <mergeCell ref="G60:H60"/>
    <mergeCell ref="I60:J60"/>
    <mergeCell ref="C70:J70"/>
    <mergeCell ref="E61:F61"/>
    <mergeCell ref="G61:H61"/>
    <mergeCell ref="I61:J61"/>
    <mergeCell ref="E62:F62"/>
    <mergeCell ref="G62:H62"/>
    <mergeCell ref="I62:J62"/>
    <mergeCell ref="E63:F63"/>
    <mergeCell ref="G63:H63"/>
    <mergeCell ref="I63:J63"/>
    <mergeCell ref="A65:J65"/>
    <mergeCell ref="A66:K66"/>
  </mergeCells>
  <dataValidations count="2">
    <dataValidation type="list" showInputMessage="1" showErrorMessage="1" promptTitle="Response Required" prompt="To treat relocation as common cost of project, choose No.  To treat relocation as a cost exclusive to the HOME-assisted units, enter Yes." sqref="J17" xr:uid="{FAFCE5C4-D432-4CBF-BB2F-B2CAFE334BC1}">
      <formula1>"No,Yes"</formula1>
    </dataValidation>
    <dataValidation type="list" allowBlank="1" showInputMessage="1" showErrorMessage="1" sqref="C33:C51" xr:uid="{5794CEFE-2045-472F-A589-2024FFE6CAD5}">
      <formula1>"0,1,2,3,4,5"</formula1>
    </dataValidation>
  </dataValidations>
  <printOptions horizontalCentered="1"/>
  <pageMargins left="0.25" right="0.25" top="0.25" bottom="0.25" header="0.25" footer="0.25"/>
  <pageSetup fitToHeight="0" orientation="landscape" horizontalDpi="1200" verticalDpi="1200" r:id="rId1"/>
  <headerFooter>
    <oddHeader>&amp;LGeorgia Department of Community Affairs&amp;C2025 OHF Office of Housing Finance Funding Application&amp;RHousing Finance and Development Division</oddHeader>
    <oddFooter>&amp;L&amp;G &amp;F&amp;C&amp;A&amp;R&amp;P of &amp;N</oddFooter>
  </headerFooter>
  <drawing r:id="rId2"/>
  <legacyDrawing r:id="rId3"/>
  <legacyDrawingHF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EA73-C12E-43C4-9AFC-714B08D33BBE}">
  <sheetPr codeName="Sheet26"/>
  <dimension ref="A1:AK2303"/>
  <sheetViews>
    <sheetView showGridLines="0" topLeftCell="G1" zoomScale="130" zoomScaleNormal="130" workbookViewId="0">
      <selection activeCell="M87" sqref="M87"/>
    </sheetView>
  </sheetViews>
  <sheetFormatPr defaultColWidth="8.77734375" defaultRowHeight="13.2"/>
  <cols>
    <col min="1" max="1" width="1.77734375" customWidth="1"/>
    <col min="2" max="2" width="5.21875" customWidth="1"/>
    <col min="3" max="3" width="9.77734375" customWidth="1"/>
    <col min="4" max="6" width="7.77734375" customWidth="1"/>
    <col min="7" max="7" width="10.77734375" customWidth="1"/>
    <col min="8" max="8" width="7.77734375" customWidth="1"/>
    <col min="9" max="9" width="17.5546875" customWidth="1"/>
    <col min="10" max="10" width="7.77734375" customWidth="1"/>
    <col min="11" max="11" width="7.21875" customWidth="1"/>
    <col min="12" max="12" width="7.77734375" customWidth="1"/>
    <col min="13" max="13" width="7.44140625" customWidth="1"/>
    <col min="14" max="16" width="7.77734375" customWidth="1"/>
    <col min="17" max="17" width="8.21875" customWidth="1"/>
    <col min="18" max="18" width="8.44140625" customWidth="1"/>
    <col min="27" max="28" width="8.77734375" style="40"/>
  </cols>
  <sheetData>
    <row r="1" spans="1:28" s="93" customFormat="1" ht="3" customHeight="1">
      <c r="A1" s="94"/>
      <c r="B1" s="94"/>
      <c r="C1" s="94"/>
      <c r="D1" s="94"/>
      <c r="E1" s="94"/>
      <c r="F1" s="94"/>
      <c r="G1" s="94"/>
      <c r="H1" s="94"/>
      <c r="I1" s="94"/>
      <c r="J1" s="94"/>
      <c r="K1" s="94"/>
      <c r="L1" s="94"/>
      <c r="M1" s="94"/>
      <c r="N1" s="94"/>
      <c r="O1" s="94"/>
      <c r="P1" s="94"/>
      <c r="AA1" s="40"/>
      <c r="AB1" s="40"/>
    </row>
    <row r="2" spans="1:28" s="96" customFormat="1" ht="13.35" customHeight="1">
      <c r="A2" s="4366" t="s">
        <v>4643</v>
      </c>
      <c r="B2" s="4367"/>
      <c r="C2" s="4367"/>
      <c r="D2" s="4367"/>
      <c r="E2" s="4367"/>
      <c r="F2" s="4367"/>
      <c r="G2" s="4367"/>
      <c r="H2" s="4367"/>
      <c r="I2" s="4367"/>
      <c r="J2" s="4367"/>
      <c r="K2" s="4367"/>
      <c r="L2" s="4367"/>
      <c r="M2" s="4367"/>
      <c r="N2" s="4367"/>
      <c r="O2" s="4367"/>
      <c r="P2" s="4367"/>
      <c r="Q2" s="4367"/>
      <c r="R2" s="4368"/>
      <c r="S2" s="95"/>
      <c r="T2" s="95"/>
      <c r="U2" s="95"/>
      <c r="AA2" s="40"/>
      <c r="AB2" s="40"/>
    </row>
    <row r="3" spans="1:28" s="96" customFormat="1" ht="4.3499999999999996" customHeight="1">
      <c r="A3" s="97"/>
      <c r="B3" s="97"/>
      <c r="C3" s="97"/>
      <c r="D3" s="97"/>
      <c r="E3" s="97"/>
      <c r="F3" s="97"/>
      <c r="G3" s="97"/>
      <c r="H3" s="97"/>
      <c r="I3" s="97"/>
      <c r="J3" s="97"/>
      <c r="K3" s="97"/>
      <c r="L3" s="97"/>
      <c r="M3" s="97"/>
      <c r="N3" s="97"/>
      <c r="O3" s="97"/>
      <c r="P3" s="97"/>
      <c r="Q3" s="95"/>
      <c r="R3" s="95"/>
      <c r="S3" s="95"/>
      <c r="T3" s="95"/>
      <c r="U3" s="95"/>
      <c r="AA3" s="40"/>
      <c r="AB3" s="40"/>
    </row>
    <row r="4" spans="1:28" s="96" customFormat="1" ht="12" customHeight="1">
      <c r="A4" s="137" t="s">
        <v>4644</v>
      </c>
      <c r="B4" s="137"/>
      <c r="C4" s="137"/>
      <c r="D4" s="95"/>
      <c r="E4" s="95"/>
      <c r="F4" s="137" t="s">
        <v>4645</v>
      </c>
      <c r="G4" s="137"/>
      <c r="H4" s="95"/>
      <c r="I4" s="95"/>
      <c r="J4" s="137" t="s">
        <v>4646</v>
      </c>
      <c r="K4" s="137"/>
      <c r="L4" s="137"/>
      <c r="M4" s="137"/>
      <c r="N4" s="137"/>
      <c r="O4" s="137"/>
      <c r="P4" s="95"/>
      <c r="Q4" s="99" t="s">
        <v>4647</v>
      </c>
      <c r="R4" s="99" t="s">
        <v>4648</v>
      </c>
      <c r="S4" s="95"/>
      <c r="T4" s="95"/>
      <c r="U4" s="95"/>
      <c r="W4" s="140"/>
      <c r="X4" s="140"/>
      <c r="Y4" s="140"/>
      <c r="Z4" s="140"/>
      <c r="AA4" s="40"/>
      <c r="AB4" s="40"/>
    </row>
    <row r="5" spans="1:28" s="96" customFormat="1" ht="4.3499999999999996" customHeight="1">
      <c r="A5" s="137"/>
      <c r="B5" s="137"/>
      <c r="C5" s="137"/>
      <c r="D5" s="137"/>
      <c r="E5" s="95"/>
      <c r="F5" s="137"/>
      <c r="G5" s="137"/>
      <c r="H5" s="95"/>
      <c r="I5" s="95"/>
      <c r="J5" s="137"/>
      <c r="K5" s="137"/>
      <c r="L5" s="137"/>
      <c r="M5" s="137"/>
      <c r="N5" s="137"/>
      <c r="O5" s="137"/>
      <c r="P5" s="95"/>
      <c r="Q5" s="138"/>
      <c r="R5" s="139"/>
      <c r="S5" s="95"/>
      <c r="T5" s="95"/>
      <c r="U5" s="95"/>
      <c r="W5" s="140"/>
      <c r="X5" s="140"/>
      <c r="Y5" s="140"/>
      <c r="Z5" s="140"/>
      <c r="AA5" s="40"/>
      <c r="AB5" s="40"/>
    </row>
    <row r="6" spans="1:28" s="96" customFormat="1" ht="10.95" customHeight="1">
      <c r="A6" s="137"/>
      <c r="B6" s="137"/>
      <c r="C6" s="137"/>
      <c r="D6" s="137"/>
      <c r="E6" s="95"/>
      <c r="F6" s="137"/>
      <c r="G6" s="137"/>
      <c r="H6" s="95"/>
      <c r="I6" s="95"/>
      <c r="J6" s="137"/>
      <c r="K6" s="137"/>
      <c r="L6" s="137"/>
      <c r="M6" s="137"/>
      <c r="N6" s="137"/>
      <c r="O6" s="137"/>
      <c r="P6" s="95"/>
      <c r="Q6" s="138"/>
      <c r="R6" s="139"/>
      <c r="S6" s="95"/>
      <c r="T6" s="95"/>
      <c r="U6" s="95"/>
      <c r="W6" s="140"/>
      <c r="X6" s="140"/>
      <c r="Y6" s="140"/>
      <c r="Z6" s="140"/>
      <c r="AA6" s="40"/>
      <c r="AB6" s="40"/>
    </row>
    <row r="7" spans="1:28" s="96" customFormat="1" ht="10.95" customHeight="1">
      <c r="A7" s="141" t="s">
        <v>4649</v>
      </c>
      <c r="B7" s="137"/>
      <c r="C7" s="98"/>
      <c r="D7" s="98"/>
      <c r="E7" s="95"/>
      <c r="F7" s="98" t="s">
        <v>4650</v>
      </c>
      <c r="G7" s="98"/>
      <c r="H7" s="95"/>
      <c r="I7" s="95"/>
      <c r="J7" s="98" t="s">
        <v>4651</v>
      </c>
      <c r="K7" s="98"/>
      <c r="L7" s="98" t="s">
        <v>4652</v>
      </c>
      <c r="M7" s="98"/>
      <c r="N7" s="98"/>
      <c r="O7" s="98"/>
      <c r="P7" s="95"/>
      <c r="Q7" s="2871">
        <v>0</v>
      </c>
      <c r="R7" s="2872">
        <v>4</v>
      </c>
      <c r="S7" s="95"/>
      <c r="T7" s="95"/>
      <c r="U7" s="95"/>
      <c r="W7" s="140"/>
      <c r="X7" s="140"/>
      <c r="Y7" s="140"/>
      <c r="Z7" s="140"/>
      <c r="AA7" s="40"/>
      <c r="AB7" s="40"/>
    </row>
    <row r="8" spans="1:28" s="96" customFormat="1" ht="10.95" customHeight="1">
      <c r="A8" s="137"/>
      <c r="B8" s="137"/>
      <c r="C8" s="137"/>
      <c r="D8" s="137"/>
      <c r="E8" s="95"/>
      <c r="F8" s="137"/>
      <c r="G8" s="137"/>
      <c r="H8" s="95"/>
      <c r="I8" s="95"/>
      <c r="J8" s="137"/>
      <c r="K8" s="137"/>
      <c r="L8" s="137"/>
      <c r="M8" s="137"/>
      <c r="N8" s="137"/>
      <c r="O8" s="137"/>
      <c r="P8" s="95"/>
      <c r="Q8" s="138"/>
      <c r="R8" s="139"/>
      <c r="S8" s="95"/>
      <c r="T8" s="95"/>
      <c r="U8" s="95"/>
      <c r="W8" s="140"/>
      <c r="X8" s="140"/>
      <c r="Y8" s="140"/>
      <c r="Z8" s="140"/>
      <c r="AA8" s="40"/>
      <c r="AB8" s="40"/>
    </row>
    <row r="9" spans="1:28" s="96" customFormat="1" ht="11.7" customHeight="1">
      <c r="A9" s="141" t="s">
        <v>4653</v>
      </c>
      <c r="B9" s="98"/>
      <c r="C9" s="98"/>
      <c r="D9" s="95"/>
      <c r="E9" s="95"/>
      <c r="F9" s="98" t="s">
        <v>4650</v>
      </c>
      <c r="G9" s="98"/>
      <c r="H9" s="95"/>
      <c r="I9" s="95"/>
      <c r="J9" s="98" t="s">
        <v>4654</v>
      </c>
      <c r="K9" s="98"/>
      <c r="L9" s="98" t="s">
        <v>4655</v>
      </c>
      <c r="M9" s="98"/>
      <c r="N9" s="98"/>
      <c r="O9" s="98"/>
      <c r="P9" s="95"/>
      <c r="Q9" s="2871">
        <v>0</v>
      </c>
      <c r="R9" s="2872">
        <v>2</v>
      </c>
      <c r="S9" s="95"/>
      <c r="U9" s="95"/>
      <c r="V9" s="521"/>
      <c r="W9" s="521"/>
      <c r="X9" s="99"/>
      <c r="AA9" s="40"/>
      <c r="AB9" s="40"/>
    </row>
    <row r="10" spans="1:28" s="96" customFormat="1" ht="11.7" customHeight="1">
      <c r="A10" s="141"/>
      <c r="B10" s="98"/>
      <c r="C10" s="98"/>
      <c r="D10" s="95"/>
      <c r="E10" s="95"/>
      <c r="F10" s="98"/>
      <c r="G10" s="98"/>
      <c r="H10" s="95"/>
      <c r="I10" s="95"/>
      <c r="J10" s="98" t="s">
        <v>4656</v>
      </c>
      <c r="K10" s="98"/>
      <c r="L10" s="98" t="s">
        <v>4655</v>
      </c>
      <c r="M10" s="98"/>
      <c r="N10" s="98"/>
      <c r="O10" s="98"/>
      <c r="P10" s="95"/>
      <c r="Q10" s="2871">
        <v>0</v>
      </c>
      <c r="R10" s="2872">
        <v>1</v>
      </c>
      <c r="S10" s="95"/>
      <c r="U10" s="95"/>
      <c r="V10" s="521"/>
      <c r="W10" s="521"/>
      <c r="X10" s="99"/>
      <c r="AA10" s="40"/>
      <c r="AB10" s="40"/>
    </row>
    <row r="11" spans="1:28" s="96" customFormat="1" ht="11.7" customHeight="1">
      <c r="A11" s="141"/>
      <c r="B11" s="98"/>
      <c r="C11" s="98"/>
      <c r="D11" s="95"/>
      <c r="E11" s="95"/>
      <c r="F11" s="98"/>
      <c r="G11" s="98"/>
      <c r="H11" s="95"/>
      <c r="I11" s="95"/>
      <c r="J11" s="98"/>
      <c r="K11" s="98"/>
      <c r="L11" s="98"/>
      <c r="M11" s="98"/>
      <c r="N11" s="98"/>
      <c r="O11" s="98"/>
      <c r="P11" s="98"/>
      <c r="Q11" s="98"/>
      <c r="R11" s="98"/>
      <c r="S11" s="98"/>
      <c r="U11" s="95"/>
      <c r="V11" s="521"/>
      <c r="W11" s="521"/>
      <c r="X11" s="99"/>
      <c r="AA11" s="40"/>
      <c r="AB11" s="40"/>
    </row>
    <row r="12" spans="1:28" s="96" customFormat="1" ht="11.7" customHeight="1">
      <c r="A12" s="141"/>
      <c r="B12" s="98"/>
      <c r="C12" s="98"/>
      <c r="D12" s="95"/>
      <c r="E12" s="95"/>
      <c r="F12" s="98"/>
      <c r="G12" s="98"/>
      <c r="H12" s="95"/>
      <c r="I12" s="95"/>
      <c r="J12" s="98"/>
      <c r="K12" s="98"/>
      <c r="L12" s="98"/>
      <c r="M12" s="98"/>
      <c r="N12" s="98"/>
      <c r="O12" s="98"/>
      <c r="P12" s="98"/>
      <c r="Q12" s="1500" t="s">
        <v>4657</v>
      </c>
      <c r="R12" s="1500" t="s">
        <v>4658</v>
      </c>
      <c r="S12" s="98"/>
      <c r="U12" s="95"/>
      <c r="V12" s="521"/>
      <c r="W12" s="521"/>
      <c r="X12" s="99"/>
      <c r="AA12" s="40"/>
      <c r="AB12" s="40"/>
    </row>
    <row r="13" spans="1:28" s="96" customFormat="1" ht="11.7" customHeight="1">
      <c r="A13" s="141"/>
      <c r="B13" s="98"/>
      <c r="C13" s="98"/>
      <c r="D13" s="95"/>
      <c r="E13" s="95"/>
      <c r="F13" s="98" t="s">
        <v>4659</v>
      </c>
      <c r="G13" s="98"/>
      <c r="H13" s="95"/>
      <c r="I13" s="95"/>
      <c r="J13" s="98" t="s">
        <v>4660</v>
      </c>
      <c r="K13" s="98"/>
      <c r="L13" s="98" t="s">
        <v>1255</v>
      </c>
      <c r="M13" s="98"/>
      <c r="N13" s="98" t="s">
        <v>4661</v>
      </c>
      <c r="O13" s="98"/>
      <c r="P13" s="95"/>
      <c r="Q13" s="2872">
        <v>1300000</v>
      </c>
      <c r="R13" s="2872">
        <v>1350000</v>
      </c>
      <c r="S13" s="95"/>
      <c r="U13" s="95"/>
      <c r="V13" s="521"/>
      <c r="W13" s="521"/>
      <c r="X13" s="99"/>
      <c r="AA13" s="40"/>
      <c r="AB13" s="40"/>
    </row>
    <row r="14" spans="1:28" s="96" customFormat="1" ht="11.7" customHeight="1">
      <c r="A14" s="141"/>
      <c r="B14" s="98"/>
      <c r="C14" s="98"/>
      <c r="D14" s="95"/>
      <c r="E14" s="95"/>
      <c r="F14" s="98"/>
      <c r="G14" s="98"/>
      <c r="H14" s="95"/>
      <c r="I14" s="95"/>
      <c r="J14" s="98"/>
      <c r="K14" s="98"/>
      <c r="L14" s="98"/>
      <c r="M14" s="98"/>
      <c r="N14" s="98" t="s">
        <v>4662</v>
      </c>
      <c r="O14" s="98"/>
      <c r="P14" s="95"/>
      <c r="Q14" s="2872">
        <v>1170000</v>
      </c>
      <c r="R14" s="2872">
        <v>1215000</v>
      </c>
      <c r="S14" s="95"/>
      <c r="U14" s="95"/>
      <c r="V14" s="521"/>
      <c r="W14" s="521"/>
      <c r="X14" s="99"/>
      <c r="AA14" s="40"/>
      <c r="AB14" s="40"/>
    </row>
    <row r="15" spans="1:28" s="96" customFormat="1" ht="11.7" customHeight="1">
      <c r="A15" s="141"/>
      <c r="B15" s="98"/>
      <c r="C15" s="98"/>
      <c r="D15" s="95"/>
      <c r="E15" s="95"/>
      <c r="F15" s="98"/>
      <c r="G15" s="98"/>
      <c r="H15" s="95"/>
      <c r="I15" s="95"/>
      <c r="J15" s="98"/>
      <c r="K15" s="98"/>
      <c r="L15" s="98" t="s">
        <v>4663</v>
      </c>
      <c r="M15" s="98"/>
      <c r="N15" s="98"/>
      <c r="O15" s="98"/>
      <c r="P15" s="95"/>
      <c r="Q15" s="2872">
        <v>1225000</v>
      </c>
      <c r="R15" s="2872">
        <v>1270000</v>
      </c>
      <c r="S15" s="95"/>
      <c r="U15" s="95"/>
      <c r="V15" s="521"/>
      <c r="W15" s="521"/>
      <c r="X15" s="99"/>
      <c r="AA15" s="40"/>
      <c r="AB15" s="40"/>
    </row>
    <row r="16" spans="1:28" s="96" customFormat="1" ht="11.7" customHeight="1">
      <c r="A16" s="141"/>
      <c r="B16" s="98"/>
      <c r="C16" s="98"/>
      <c r="D16" s="95"/>
      <c r="E16" s="95"/>
      <c r="F16" s="98"/>
      <c r="G16" s="98"/>
      <c r="H16" s="95"/>
      <c r="I16" s="95"/>
      <c r="J16" s="98"/>
      <c r="K16" s="98"/>
      <c r="L16" s="98" t="s">
        <v>4664</v>
      </c>
      <c r="M16" s="98"/>
      <c r="N16" s="98"/>
      <c r="O16" s="98"/>
      <c r="P16" s="98"/>
      <c r="Q16" s="2872">
        <v>1105000</v>
      </c>
      <c r="R16" s="2872">
        <v>1145000</v>
      </c>
      <c r="S16" s="98"/>
      <c r="U16" s="95"/>
      <c r="V16" s="521"/>
      <c r="W16" s="521"/>
      <c r="X16" s="99"/>
      <c r="AA16" s="40"/>
      <c r="AB16" s="40"/>
    </row>
    <row r="17" spans="1:28" s="96" customFormat="1" ht="11.7" customHeight="1">
      <c r="A17" s="141"/>
      <c r="B17" s="98"/>
      <c r="C17" s="98"/>
      <c r="D17" s="95"/>
      <c r="E17" s="95"/>
      <c r="F17" s="98"/>
      <c r="G17" s="98"/>
      <c r="H17" s="95"/>
      <c r="I17" s="95"/>
      <c r="J17" s="98"/>
      <c r="K17" s="98"/>
      <c r="L17" s="98"/>
      <c r="M17" s="98"/>
      <c r="N17" s="98"/>
      <c r="O17" s="98"/>
      <c r="P17" s="98"/>
      <c r="Q17" s="99" t="s">
        <v>4647</v>
      </c>
      <c r="R17" s="99" t="s">
        <v>4648</v>
      </c>
      <c r="S17" s="98"/>
      <c r="U17" s="95"/>
      <c r="V17" s="521"/>
      <c r="W17" s="521"/>
      <c r="X17" s="99"/>
      <c r="AA17" s="40"/>
      <c r="AB17" s="40"/>
    </row>
    <row r="18" spans="1:28" s="96" customFormat="1" ht="11.7" customHeight="1">
      <c r="A18" s="141"/>
      <c r="B18" s="98"/>
      <c r="C18" s="98"/>
      <c r="D18" s="95"/>
      <c r="E18" s="95"/>
      <c r="F18" s="98"/>
      <c r="G18" s="98"/>
      <c r="H18" s="95"/>
      <c r="I18" s="95"/>
      <c r="J18" s="98" t="s">
        <v>4665</v>
      </c>
      <c r="K18" s="98"/>
      <c r="L18" s="98" t="s">
        <v>4666</v>
      </c>
      <c r="M18" s="98"/>
      <c r="N18" s="98"/>
      <c r="O18" s="98"/>
      <c r="P18" s="98"/>
      <c r="Q18" s="2872" t="s">
        <v>4667</v>
      </c>
      <c r="R18" s="2872">
        <v>40000000</v>
      </c>
      <c r="S18" s="95"/>
      <c r="U18" s="95"/>
      <c r="V18" s="521"/>
      <c r="W18" s="521"/>
      <c r="X18" s="99"/>
      <c r="AA18" s="40"/>
      <c r="AB18" s="40"/>
    </row>
    <row r="19" spans="1:28" s="96" customFormat="1" ht="11.7" customHeight="1">
      <c r="A19" s="141"/>
      <c r="B19" s="98"/>
      <c r="C19" s="98"/>
      <c r="D19" s="95"/>
      <c r="E19" s="95"/>
      <c r="F19" s="98"/>
      <c r="G19" s="98"/>
      <c r="H19" s="95"/>
      <c r="I19" s="95"/>
      <c r="J19" s="98"/>
      <c r="K19" s="98"/>
      <c r="L19" s="658" t="s">
        <v>4668</v>
      </c>
      <c r="M19" s="98"/>
      <c r="N19" s="98"/>
      <c r="O19" s="98"/>
      <c r="P19" s="98"/>
      <c r="Q19" s="98"/>
      <c r="R19" s="98"/>
      <c r="S19" s="95"/>
      <c r="U19" s="95"/>
      <c r="V19" s="521"/>
      <c r="W19" s="521"/>
      <c r="X19" s="99"/>
      <c r="AA19" s="40"/>
      <c r="AB19" s="40"/>
    </row>
    <row r="20" spans="1:28" s="96" customFormat="1" ht="11.7" customHeight="1">
      <c r="A20" s="98"/>
      <c r="B20" s="98"/>
      <c r="C20" s="98"/>
      <c r="D20" s="95"/>
      <c r="E20" s="95"/>
      <c r="L20" s="146" t="s">
        <v>4669</v>
      </c>
      <c r="O20" s="98"/>
      <c r="Q20" s="2873" t="s">
        <v>671</v>
      </c>
      <c r="R20" s="2874">
        <v>0.55000000000000004</v>
      </c>
      <c r="T20" s="142"/>
      <c r="U20" s="95"/>
      <c r="V20" s="222"/>
      <c r="W20" s="222"/>
      <c r="X20" s="222"/>
      <c r="AA20" s="40"/>
      <c r="AB20" s="40"/>
    </row>
    <row r="21" spans="1:28" s="96" customFormat="1" ht="11.55" customHeight="1">
      <c r="F21" s="98"/>
      <c r="G21" s="98"/>
      <c r="H21" s="95"/>
      <c r="I21" s="95"/>
      <c r="J21" s="95"/>
      <c r="K21" s="95"/>
      <c r="L21" s="95"/>
      <c r="M21" s="95"/>
      <c r="N21" s="95"/>
      <c r="O21" s="95"/>
      <c r="P21" s="95"/>
      <c r="Q21" s="95"/>
      <c r="R21" s="95"/>
      <c r="S21" s="95"/>
      <c r="T21" s="95"/>
      <c r="U21" s="95"/>
      <c r="V21" s="521"/>
      <c r="W21" s="521"/>
      <c r="X21" s="99"/>
      <c r="AA21" s="40"/>
      <c r="AB21" s="40"/>
    </row>
    <row r="22" spans="1:28" s="96" customFormat="1" ht="11.55" hidden="1" customHeight="1">
      <c r="F22" s="98" t="s">
        <v>4670</v>
      </c>
      <c r="G22" s="98"/>
      <c r="H22" s="95"/>
      <c r="I22" s="95"/>
      <c r="J22" s="98" t="s">
        <v>4671</v>
      </c>
      <c r="K22" s="98"/>
      <c r="L22" s="98"/>
      <c r="M22" s="98"/>
      <c r="N22" s="98"/>
      <c r="O22" s="98"/>
      <c r="P22" s="95"/>
      <c r="Q22" s="2875">
        <v>1000000</v>
      </c>
      <c r="R22" s="2875">
        <v>2000000</v>
      </c>
      <c r="S22" s="142"/>
      <c r="T22" s="142"/>
      <c r="U22" s="95"/>
      <c r="V22" s="222"/>
      <c r="W22" s="222"/>
      <c r="X22" s="222"/>
      <c r="AA22" s="40"/>
      <c r="AB22" s="40"/>
    </row>
    <row r="23" spans="1:28" s="96" customFormat="1" ht="11.55" hidden="1" customHeight="1">
      <c r="F23" s="98"/>
      <c r="G23" s="98"/>
      <c r="H23" s="95"/>
      <c r="I23" s="95"/>
      <c r="J23" s="98" t="s">
        <v>4672</v>
      </c>
      <c r="K23" s="98"/>
      <c r="L23" s="98"/>
      <c r="M23" s="98"/>
      <c r="N23" s="98"/>
      <c r="O23" s="98"/>
      <c r="P23" s="95"/>
      <c r="Q23" s="2876" t="s">
        <v>2062</v>
      </c>
      <c r="R23" s="2877">
        <v>0.25</v>
      </c>
      <c r="S23" s="95"/>
      <c r="T23" s="95"/>
      <c r="U23" s="95"/>
      <c r="V23" s="521"/>
      <c r="W23" s="521"/>
      <c r="X23" s="99"/>
      <c r="AA23" s="40"/>
      <c r="AB23" s="40"/>
    </row>
    <row r="24" spans="1:28" s="96" customFormat="1" ht="11.25" hidden="1" customHeight="1">
      <c r="A24" s="98"/>
      <c r="B24" s="98"/>
      <c r="C24" s="98"/>
      <c r="D24" s="95"/>
      <c r="E24" s="95"/>
      <c r="F24" s="98" t="s">
        <v>4673</v>
      </c>
      <c r="G24" s="98"/>
      <c r="H24" s="95"/>
      <c r="I24" s="95"/>
      <c r="J24" s="315" t="s">
        <v>4674</v>
      </c>
      <c r="K24" s="2611"/>
      <c r="M24" s="2611"/>
      <c r="N24" s="2611"/>
      <c r="O24" s="98"/>
      <c r="Q24" s="4369" t="s">
        <v>4675</v>
      </c>
      <c r="R24" s="4370"/>
      <c r="S24" s="150"/>
      <c r="T24" s="95"/>
      <c r="U24" s="95"/>
      <c r="V24" s="222"/>
      <c r="W24" s="222"/>
      <c r="X24" s="222"/>
      <c r="AA24" s="40"/>
      <c r="AB24" s="40"/>
    </row>
    <row r="25" spans="1:28" s="96" customFormat="1" ht="11.25" hidden="1" customHeight="1">
      <c r="A25" s="98"/>
      <c r="B25" s="98"/>
      <c r="C25" s="98"/>
      <c r="D25" s="95"/>
      <c r="E25" s="95"/>
      <c r="F25" s="98" t="s">
        <v>4676</v>
      </c>
      <c r="G25" s="98"/>
      <c r="H25" s="95"/>
      <c r="I25" s="95"/>
      <c r="J25" s="315" t="s">
        <v>4677</v>
      </c>
      <c r="K25" s="2611"/>
      <c r="M25" s="2611"/>
      <c r="N25" s="2611"/>
      <c r="O25" s="98"/>
      <c r="Q25" s="4371">
        <v>0.1</v>
      </c>
      <c r="R25" s="4372"/>
      <c r="S25" s="150"/>
      <c r="T25" s="95"/>
      <c r="U25" s="95"/>
      <c r="V25" s="222"/>
      <c r="W25" s="222"/>
      <c r="X25" s="222"/>
      <c r="AA25" s="40"/>
      <c r="AB25" s="40"/>
    </row>
    <row r="26" spans="1:28" s="96" customFormat="1" ht="12.75" hidden="1" customHeight="1">
      <c r="A26" s="98"/>
      <c r="B26" s="98"/>
      <c r="C26" s="98"/>
      <c r="J26" s="1274" t="s">
        <v>1330</v>
      </c>
      <c r="K26" s="146"/>
      <c r="L26" s="146"/>
      <c r="N26" s="2611"/>
      <c r="O26" s="98"/>
      <c r="Q26" s="4373" t="s">
        <v>4678</v>
      </c>
      <c r="R26" s="4373"/>
      <c r="S26" s="95"/>
      <c r="T26" s="95"/>
      <c r="U26" s="95"/>
      <c r="AA26" s="40"/>
      <c r="AB26" s="40"/>
    </row>
    <row r="27" spans="1:28" s="96" customFormat="1" ht="12.75" hidden="1" customHeight="1">
      <c r="A27" s="98"/>
      <c r="B27" s="98"/>
      <c r="C27" s="98"/>
      <c r="K27" s="146" t="s">
        <v>4679</v>
      </c>
      <c r="L27" s="146"/>
      <c r="N27" s="2611"/>
      <c r="O27" s="98"/>
      <c r="P27" s="95"/>
      <c r="Q27" s="4374">
        <v>0.2</v>
      </c>
      <c r="R27" s="4375"/>
      <c r="S27" s="95"/>
      <c r="T27" s="95"/>
      <c r="U27" s="95"/>
      <c r="AA27" s="40"/>
      <c r="AB27" s="40"/>
    </row>
    <row r="28" spans="1:28" s="96" customFormat="1" ht="12.75" hidden="1" customHeight="1">
      <c r="A28" s="98"/>
      <c r="B28" s="98"/>
      <c r="C28" s="98"/>
      <c r="K28" s="146" t="s">
        <v>4680</v>
      </c>
      <c r="L28" s="146"/>
      <c r="N28" s="2611"/>
      <c r="O28" s="98"/>
      <c r="P28" s="95"/>
      <c r="Q28" s="4358">
        <v>0.15</v>
      </c>
      <c r="R28" s="4359"/>
      <c r="S28" s="95"/>
      <c r="T28" s="95"/>
      <c r="U28" s="95"/>
      <c r="AA28" s="40"/>
      <c r="AB28" s="40"/>
    </row>
    <row r="29" spans="1:28" s="96" customFormat="1" ht="12.75" hidden="1" customHeight="1">
      <c r="A29" s="98"/>
      <c r="B29" s="98"/>
      <c r="C29" s="98"/>
      <c r="K29" s="146" t="s">
        <v>4681</v>
      </c>
      <c r="L29" s="146"/>
      <c r="N29" s="2611"/>
      <c r="O29" s="98"/>
      <c r="P29" s="95"/>
      <c r="Q29" s="4358">
        <v>0.15</v>
      </c>
      <c r="R29" s="4359"/>
      <c r="S29" s="95"/>
      <c r="T29" s="95"/>
      <c r="U29" s="95"/>
      <c r="AA29" s="40"/>
      <c r="AB29" s="40"/>
    </row>
    <row r="30" spans="1:28" s="96" customFormat="1" ht="12.75" hidden="1" customHeight="1">
      <c r="A30" s="98"/>
      <c r="B30" s="98"/>
      <c r="C30" s="98"/>
      <c r="K30" s="146" t="s">
        <v>4682</v>
      </c>
      <c r="L30" s="146"/>
      <c r="N30" s="2611"/>
      <c r="O30" s="98"/>
      <c r="P30" s="95"/>
      <c r="Q30" s="4358">
        <v>0.1</v>
      </c>
      <c r="R30" s="4359"/>
      <c r="S30" s="95"/>
      <c r="T30" s="95"/>
      <c r="U30" s="95"/>
      <c r="AA30" s="40"/>
      <c r="AB30" s="40"/>
    </row>
    <row r="31" spans="1:28" s="96" customFormat="1" ht="12.75" hidden="1" customHeight="1">
      <c r="A31" s="98"/>
      <c r="B31" s="98"/>
      <c r="C31" s="98"/>
      <c r="K31" s="146" t="s">
        <v>4683</v>
      </c>
      <c r="L31" s="146"/>
      <c r="N31" s="2611"/>
      <c r="O31" s="98"/>
      <c r="P31" s="95"/>
      <c r="Q31" s="4360">
        <v>0.1</v>
      </c>
      <c r="R31" s="4361"/>
      <c r="S31" s="95"/>
      <c r="T31" s="95"/>
      <c r="U31" s="95"/>
      <c r="AA31" s="40"/>
      <c r="AB31" s="40"/>
    </row>
    <row r="32" spans="1:28" s="96" customFormat="1" ht="11.7" customHeight="1">
      <c r="A32" s="98"/>
      <c r="B32" s="98"/>
      <c r="C32" s="98"/>
      <c r="D32" s="95"/>
      <c r="E32" s="95"/>
      <c r="O32" s="98"/>
      <c r="T32" s="142"/>
      <c r="U32" s="95"/>
      <c r="V32" s="222"/>
      <c r="W32" s="222"/>
      <c r="X32" s="222"/>
      <c r="AA32" s="40"/>
      <c r="AB32" s="40"/>
    </row>
    <row r="33" spans="1:28" s="96" customFormat="1" ht="11.7" customHeight="1">
      <c r="A33" s="137" t="s">
        <v>4644</v>
      </c>
      <c r="B33" s="137"/>
      <c r="C33" s="137"/>
      <c r="D33" s="95"/>
      <c r="E33" s="95"/>
      <c r="F33" s="137" t="s">
        <v>4645</v>
      </c>
      <c r="G33" s="137"/>
      <c r="H33" s="95"/>
      <c r="I33" s="95"/>
      <c r="J33" s="137" t="s">
        <v>4646</v>
      </c>
      <c r="K33" s="137"/>
      <c r="L33" s="137"/>
      <c r="M33" s="137"/>
      <c r="N33" s="137"/>
      <c r="O33" s="137"/>
      <c r="P33" s="95"/>
      <c r="Q33" s="99" t="s">
        <v>4647</v>
      </c>
      <c r="R33" s="99" t="s">
        <v>4648</v>
      </c>
      <c r="S33" s="150"/>
      <c r="T33" s="142"/>
      <c r="U33" s="95"/>
      <c r="V33" s="222"/>
      <c r="W33" s="222"/>
      <c r="X33" s="222"/>
      <c r="AA33" s="40"/>
      <c r="AB33" s="40"/>
    </row>
    <row r="34" spans="1:28" s="96" customFormat="1" ht="3" customHeight="1">
      <c r="A34" s="98"/>
      <c r="B34" s="98"/>
      <c r="C34" s="98"/>
      <c r="D34" s="98"/>
      <c r="E34" s="95"/>
      <c r="F34" s="98"/>
      <c r="G34" s="98"/>
      <c r="H34" s="145"/>
      <c r="I34" s="95"/>
      <c r="J34" s="98"/>
      <c r="K34" s="2611"/>
      <c r="L34" s="2611"/>
      <c r="M34" s="2611"/>
      <c r="N34" s="2611"/>
      <c r="O34" s="98"/>
      <c r="P34" s="95"/>
      <c r="Q34" s="144"/>
      <c r="R34" s="144"/>
      <c r="S34" s="95"/>
      <c r="T34" s="95"/>
      <c r="U34" s="95"/>
      <c r="AA34" s="40"/>
      <c r="AB34" s="40"/>
    </row>
    <row r="35" spans="1:28" s="96" customFormat="1" ht="12" customHeight="1">
      <c r="A35" s="141" t="s">
        <v>4684</v>
      </c>
      <c r="B35" s="137"/>
      <c r="C35" s="137"/>
      <c r="D35" s="137"/>
      <c r="E35" s="95"/>
      <c r="F35" s="137"/>
      <c r="G35" s="137"/>
      <c r="H35" s="137"/>
      <c r="I35" s="95"/>
      <c r="J35" s="98"/>
      <c r="K35" s="137"/>
      <c r="L35" s="137"/>
      <c r="M35" s="137"/>
      <c r="N35" s="137"/>
      <c r="O35" s="137"/>
      <c r="P35" s="95"/>
      <c r="Q35" s="138"/>
      <c r="R35" s="139"/>
      <c r="S35" s="140"/>
      <c r="AA35" s="40"/>
      <c r="AB35" s="40"/>
    </row>
    <row r="36" spans="1:28" s="96" customFormat="1" ht="11.7" customHeight="1">
      <c r="A36" s="95"/>
      <c r="B36" s="98" t="s">
        <v>4684</v>
      </c>
      <c r="C36" s="98"/>
      <c r="D36" s="95"/>
      <c r="E36" s="95"/>
      <c r="F36" s="98" t="s">
        <v>4685</v>
      </c>
      <c r="G36" s="98" t="s">
        <v>4686</v>
      </c>
      <c r="H36" s="95"/>
      <c r="I36" s="95"/>
      <c r="J36" s="98" t="s">
        <v>680</v>
      </c>
      <c r="K36" s="98"/>
      <c r="L36" s="98"/>
      <c r="M36" s="98"/>
      <c r="N36" s="98"/>
      <c r="O36" s="98"/>
      <c r="P36" s="95"/>
      <c r="Q36" s="2878">
        <v>5000</v>
      </c>
      <c r="R36" s="2879" t="s">
        <v>2062</v>
      </c>
      <c r="S36" s="146"/>
      <c r="AA36" s="40"/>
      <c r="AB36" s="40"/>
    </row>
    <row r="37" spans="1:28" s="96" customFormat="1" ht="11.7" customHeight="1">
      <c r="A37" s="95"/>
      <c r="B37" s="98"/>
      <c r="C37" s="98"/>
      <c r="D37" s="95"/>
      <c r="E37" s="95"/>
      <c r="F37" s="98"/>
      <c r="G37" s="98" t="s">
        <v>4687</v>
      </c>
      <c r="H37" s="95"/>
      <c r="I37" s="95"/>
      <c r="J37" s="98" t="s">
        <v>680</v>
      </c>
      <c r="K37" s="98"/>
      <c r="L37" s="98"/>
      <c r="M37" s="98"/>
      <c r="N37" s="98"/>
      <c r="O37" s="98"/>
      <c r="P37" s="95"/>
      <c r="Q37" s="1493">
        <v>4500</v>
      </c>
      <c r="R37" s="1492" t="s">
        <v>2062</v>
      </c>
      <c r="S37" s="146"/>
      <c r="AA37" s="40"/>
      <c r="AB37" s="40"/>
    </row>
    <row r="38" spans="1:28" s="96" customFormat="1" ht="11.7" customHeight="1">
      <c r="A38" s="95"/>
      <c r="B38" s="98"/>
      <c r="C38" s="98"/>
      <c r="D38" s="95"/>
      <c r="E38" s="95"/>
      <c r="F38" s="98" t="s">
        <v>4688</v>
      </c>
      <c r="G38" s="98" t="s">
        <v>4689</v>
      </c>
      <c r="H38" s="95"/>
      <c r="I38" s="95"/>
      <c r="J38" s="98" t="s">
        <v>680</v>
      </c>
      <c r="K38" s="98"/>
      <c r="L38" s="98"/>
      <c r="M38" s="98"/>
      <c r="N38" s="98"/>
      <c r="O38" s="98"/>
      <c r="P38" s="95"/>
      <c r="Q38" s="2878">
        <v>3750</v>
      </c>
      <c r="R38" s="2879" t="s">
        <v>2062</v>
      </c>
      <c r="S38" s="146"/>
      <c r="AA38" s="40"/>
      <c r="AB38" s="40"/>
    </row>
    <row r="39" spans="1:28" s="96" customFormat="1" ht="11.7" customHeight="1">
      <c r="A39" s="98"/>
      <c r="B39" s="98"/>
      <c r="C39" s="98"/>
      <c r="D39" s="95"/>
      <c r="E39" s="95"/>
      <c r="G39" s="98" t="s">
        <v>4690</v>
      </c>
      <c r="H39" s="95"/>
      <c r="I39" s="95"/>
      <c r="J39" s="98" t="s">
        <v>680</v>
      </c>
      <c r="K39" s="98"/>
      <c r="L39" s="98"/>
      <c r="M39" s="98"/>
      <c r="N39" s="98"/>
      <c r="O39" s="98"/>
      <c r="P39" s="95"/>
      <c r="Q39" s="1494">
        <v>3250</v>
      </c>
      <c r="R39" s="1495" t="s">
        <v>2062</v>
      </c>
      <c r="S39" s="146"/>
      <c r="AA39" s="40"/>
      <c r="AB39" s="40"/>
    </row>
    <row r="40" spans="1:28" s="96" customFormat="1" ht="11.7" customHeight="1">
      <c r="A40" s="98"/>
      <c r="B40" s="98"/>
      <c r="C40" s="98"/>
      <c r="D40" s="95"/>
      <c r="E40" s="95"/>
      <c r="G40" s="98" t="s">
        <v>4691</v>
      </c>
      <c r="H40" s="95"/>
      <c r="I40" s="95"/>
      <c r="J40" s="98" t="s">
        <v>680</v>
      </c>
      <c r="K40" s="98"/>
      <c r="L40" s="98"/>
      <c r="M40" s="98"/>
      <c r="N40" s="98"/>
      <c r="O40" s="98"/>
      <c r="P40" s="95"/>
      <c r="Q40" s="1493" t="s">
        <v>4692</v>
      </c>
      <c r="R40" s="1492" t="s">
        <v>2062</v>
      </c>
      <c r="S40" s="146"/>
      <c r="T40" s="146"/>
      <c r="U40" s="146"/>
      <c r="AA40" s="40"/>
      <c r="AB40" s="40"/>
    </row>
    <row r="41" spans="1:28" s="96" customFormat="1" ht="11.7" customHeight="1">
      <c r="A41" s="98"/>
      <c r="B41" s="98" t="s">
        <v>4693</v>
      </c>
      <c r="C41" s="98"/>
      <c r="D41" s="95"/>
      <c r="E41" s="95"/>
      <c r="F41" s="98" t="s">
        <v>4694</v>
      </c>
      <c r="G41" s="98"/>
      <c r="H41" s="95"/>
      <c r="I41" s="95"/>
      <c r="J41" s="98" t="s">
        <v>680</v>
      </c>
      <c r="K41" s="98"/>
      <c r="L41" s="98"/>
      <c r="M41" s="98"/>
      <c r="N41" s="98"/>
      <c r="O41" s="98"/>
      <c r="P41" s="95"/>
      <c r="Q41" s="2878">
        <v>400</v>
      </c>
      <c r="R41" s="2879" t="s">
        <v>2062</v>
      </c>
      <c r="S41" s="146"/>
      <c r="T41" s="146"/>
      <c r="U41" s="146"/>
      <c r="AA41" s="40"/>
      <c r="AB41" s="40"/>
    </row>
    <row r="42" spans="1:28" s="96" customFormat="1" ht="11.7" customHeight="1">
      <c r="A42" s="98"/>
      <c r="B42" s="98"/>
      <c r="C42" s="98"/>
      <c r="D42" s="95"/>
      <c r="E42" s="95"/>
      <c r="F42" s="98" t="s">
        <v>2158</v>
      </c>
      <c r="G42" s="98"/>
      <c r="H42" s="95"/>
      <c r="I42" s="95"/>
      <c r="J42" s="98" t="s">
        <v>680</v>
      </c>
      <c r="K42" s="98"/>
      <c r="L42" s="98"/>
      <c r="M42" s="98"/>
      <c r="N42" s="98"/>
      <c r="O42" s="98"/>
      <c r="P42" s="95"/>
      <c r="Q42" s="1494">
        <v>300</v>
      </c>
      <c r="R42" s="1495" t="s">
        <v>2062</v>
      </c>
      <c r="S42" s="146"/>
      <c r="T42" s="146"/>
      <c r="U42" s="146"/>
      <c r="AA42" s="40"/>
      <c r="AB42" s="40"/>
    </row>
    <row r="43" spans="1:28" s="96" customFormat="1" ht="11.7" customHeight="1">
      <c r="A43" s="98"/>
      <c r="B43" s="98"/>
      <c r="C43" s="98"/>
      <c r="D43" s="98"/>
      <c r="E43" s="95"/>
      <c r="F43" s="98" t="s">
        <v>4695</v>
      </c>
      <c r="G43" s="98"/>
      <c r="H43" s="95"/>
      <c r="I43" s="95"/>
      <c r="J43" s="98" t="s">
        <v>680</v>
      </c>
      <c r="K43" s="98"/>
      <c r="L43" s="98"/>
      <c r="M43" s="98"/>
      <c r="N43" s="98"/>
      <c r="O43" s="98"/>
      <c r="P43" s="95"/>
      <c r="Q43" s="1494">
        <v>470</v>
      </c>
      <c r="R43" s="1495" t="s">
        <v>2062</v>
      </c>
      <c r="S43" s="146"/>
      <c r="T43" s="146"/>
      <c r="U43" s="146"/>
      <c r="AA43" s="40"/>
      <c r="AB43" s="40"/>
    </row>
    <row r="44" spans="1:28" s="96" customFormat="1" ht="11.7" customHeight="1">
      <c r="A44" s="98"/>
      <c r="B44" s="98"/>
      <c r="C44" s="98"/>
      <c r="D44" s="98"/>
      <c r="E44" s="95"/>
      <c r="F44" s="98" t="s">
        <v>4696</v>
      </c>
      <c r="G44" s="98"/>
      <c r="H44" s="95"/>
      <c r="I44" s="95"/>
      <c r="J44" s="98" t="s">
        <v>680</v>
      </c>
      <c r="K44" s="98"/>
      <c r="L44" s="98"/>
      <c r="M44" s="98"/>
      <c r="N44" s="98"/>
      <c r="O44" s="98"/>
      <c r="P44" s="95"/>
      <c r="Q44" s="1493">
        <v>420</v>
      </c>
      <c r="R44" s="1492" t="s">
        <v>2062</v>
      </c>
      <c r="S44" s="146"/>
      <c r="T44" s="146"/>
      <c r="U44" s="146"/>
      <c r="AA44" s="40"/>
      <c r="AB44" s="40"/>
    </row>
    <row r="45" spans="1:28" s="96" customFormat="1" ht="11.55" customHeight="1">
      <c r="A45" s="95"/>
      <c r="B45" s="98"/>
      <c r="C45" s="98"/>
      <c r="D45" s="98"/>
      <c r="E45" s="95"/>
      <c r="F45" s="98"/>
      <c r="G45" s="98"/>
      <c r="H45" s="95"/>
      <c r="I45" s="95"/>
      <c r="J45" s="98"/>
      <c r="K45" s="98"/>
      <c r="L45" s="98"/>
      <c r="M45" s="98"/>
      <c r="N45" s="98"/>
      <c r="O45" s="98"/>
      <c r="P45" s="95"/>
      <c r="Q45" s="98"/>
      <c r="R45" s="143"/>
      <c r="S45" s="146"/>
      <c r="T45" s="146"/>
      <c r="U45" s="146"/>
      <c r="AA45" s="40"/>
      <c r="AB45" s="40"/>
    </row>
    <row r="46" spans="1:28" s="96" customFormat="1" ht="12" customHeight="1">
      <c r="A46" s="141" t="s">
        <v>4697</v>
      </c>
      <c r="B46" s="98"/>
      <c r="C46" s="98"/>
      <c r="D46" s="98"/>
      <c r="E46" s="95"/>
      <c r="F46" s="98"/>
      <c r="G46" s="98"/>
      <c r="H46" s="95"/>
      <c r="I46" s="95"/>
      <c r="J46" s="98"/>
      <c r="K46" s="98"/>
      <c r="L46" s="98"/>
      <c r="M46" s="98"/>
      <c r="N46" s="98"/>
      <c r="O46" s="98"/>
      <c r="P46" s="95"/>
      <c r="Q46" s="98"/>
      <c r="R46" s="143"/>
      <c r="S46" s="146"/>
      <c r="T46" s="146"/>
      <c r="U46" s="146"/>
      <c r="AA46" s="40"/>
      <c r="AB46" s="40"/>
    </row>
    <row r="47" spans="1:28" s="96" customFormat="1" ht="11.7" customHeight="1">
      <c r="A47" s="98"/>
      <c r="B47" s="98" t="s">
        <v>4698</v>
      </c>
      <c r="C47" s="98"/>
      <c r="D47" s="95"/>
      <c r="E47" s="95"/>
      <c r="F47" s="98" t="s">
        <v>4694</v>
      </c>
      <c r="G47" s="98"/>
      <c r="H47" s="95"/>
      <c r="I47" s="95"/>
      <c r="J47" s="98" t="s">
        <v>4699</v>
      </c>
      <c r="K47" s="98"/>
      <c r="L47" s="98"/>
      <c r="M47" s="98"/>
      <c r="N47" s="98"/>
      <c r="O47" s="98"/>
      <c r="P47" s="95"/>
      <c r="Q47" s="2872">
        <v>35000</v>
      </c>
      <c r="R47" s="2871" t="s">
        <v>4700</v>
      </c>
      <c r="S47" s="146"/>
      <c r="T47" s="146"/>
      <c r="U47" s="146"/>
      <c r="AA47" s="40"/>
      <c r="AB47" s="40"/>
    </row>
    <row r="48" spans="1:28" s="96" customFormat="1" ht="11.7" customHeight="1">
      <c r="A48" s="98"/>
      <c r="B48" s="98"/>
      <c r="C48" s="98"/>
      <c r="D48" s="95"/>
      <c r="E48" s="95"/>
      <c r="F48" s="98" t="s">
        <v>4701</v>
      </c>
      <c r="G48" s="98"/>
      <c r="H48" s="95"/>
      <c r="I48" s="95"/>
      <c r="J48" s="98" t="s">
        <v>4702</v>
      </c>
      <c r="K48" s="98"/>
      <c r="L48" s="98"/>
      <c r="M48" s="98"/>
      <c r="N48" s="98"/>
      <c r="O48" s="98"/>
      <c r="P48" s="95"/>
      <c r="Q48" s="2873" t="s">
        <v>2062</v>
      </c>
      <c r="R48" s="2872">
        <v>1250000</v>
      </c>
      <c r="S48" s="146"/>
      <c r="T48" s="146"/>
      <c r="U48" s="146"/>
      <c r="AA48" s="40"/>
      <c r="AB48" s="40"/>
    </row>
    <row r="49" spans="1:28" s="96" customFormat="1" ht="11.7" customHeight="1">
      <c r="A49" s="98"/>
      <c r="B49" s="98" t="s">
        <v>576</v>
      </c>
      <c r="C49" s="98"/>
      <c r="D49" s="95"/>
      <c r="E49" s="95"/>
      <c r="F49" s="98" t="s">
        <v>2158</v>
      </c>
      <c r="G49" s="98"/>
      <c r="H49" s="95"/>
      <c r="I49" s="95"/>
      <c r="J49" s="98" t="s">
        <v>4703</v>
      </c>
      <c r="K49" s="98"/>
      <c r="L49" s="98"/>
      <c r="M49" s="98"/>
      <c r="N49" s="98"/>
      <c r="O49" s="98"/>
      <c r="P49" s="95"/>
      <c r="Q49" s="2880" t="s">
        <v>2062</v>
      </c>
      <c r="R49" s="2881">
        <v>0.05</v>
      </c>
      <c r="S49" s="146"/>
      <c r="T49" s="146"/>
      <c r="U49" s="146"/>
      <c r="AA49" s="40"/>
      <c r="AB49" s="40"/>
    </row>
    <row r="50" spans="1:28" s="96" customFormat="1" ht="11.7" customHeight="1">
      <c r="A50" s="98"/>
      <c r="B50" s="98"/>
      <c r="C50" s="98"/>
      <c r="D50" s="95"/>
      <c r="E50" s="95"/>
      <c r="F50" s="98" t="s">
        <v>4694</v>
      </c>
      <c r="G50" s="98"/>
      <c r="H50" s="95"/>
      <c r="I50" s="95"/>
      <c r="J50" s="98" t="s">
        <v>4703</v>
      </c>
      <c r="K50" s="98"/>
      <c r="L50" s="98"/>
      <c r="M50" s="98"/>
      <c r="N50" s="98"/>
      <c r="O50" s="98"/>
      <c r="P50" s="95"/>
      <c r="Q50" s="2582" t="s">
        <v>2062</v>
      </c>
      <c r="R50" s="2584">
        <v>0.1</v>
      </c>
      <c r="S50" s="146"/>
      <c r="T50" s="146"/>
      <c r="U50" s="146"/>
      <c r="AA50" s="40"/>
      <c r="AB50" s="40"/>
    </row>
    <row r="51" spans="1:28" s="96" customFormat="1" ht="11.7" customHeight="1">
      <c r="A51" s="98"/>
      <c r="B51" s="98"/>
      <c r="C51" s="98"/>
      <c r="D51" s="95"/>
      <c r="E51" s="95"/>
      <c r="F51" s="98" t="s">
        <v>4704</v>
      </c>
      <c r="G51" s="98"/>
      <c r="H51" s="95"/>
      <c r="I51" s="95"/>
      <c r="J51" s="98" t="s">
        <v>4703</v>
      </c>
      <c r="K51" s="98"/>
      <c r="L51" s="98"/>
      <c r="M51" s="98"/>
      <c r="N51" s="98"/>
      <c r="O51" s="98"/>
      <c r="P51" s="95"/>
      <c r="Q51" s="2583">
        <v>0.03</v>
      </c>
      <c r="R51" s="2583" t="s">
        <v>2062</v>
      </c>
      <c r="S51" s="146"/>
      <c r="T51" s="146"/>
      <c r="U51" s="146"/>
      <c r="AA51" s="40"/>
      <c r="AB51" s="40"/>
    </row>
    <row r="52" spans="1:28" s="96" customFormat="1" ht="11.7" customHeight="1">
      <c r="A52" s="98"/>
      <c r="B52" s="98" t="s">
        <v>4705</v>
      </c>
      <c r="C52" s="98"/>
      <c r="D52" s="95"/>
      <c r="E52" s="95"/>
      <c r="F52" s="98" t="s">
        <v>2062</v>
      </c>
      <c r="G52" s="98"/>
      <c r="H52" s="95"/>
      <c r="I52" s="95"/>
      <c r="J52" s="98" t="s">
        <v>4706</v>
      </c>
      <c r="K52" s="98"/>
      <c r="L52" s="98"/>
      <c r="M52" s="98"/>
      <c r="N52" s="98"/>
      <c r="O52" s="98"/>
      <c r="P52" s="95"/>
      <c r="Q52" s="2871" t="s">
        <v>2062</v>
      </c>
      <c r="R52" s="2874">
        <v>0.06</v>
      </c>
      <c r="S52" s="146"/>
      <c r="T52" s="146"/>
      <c r="U52" s="146"/>
      <c r="AA52" s="40"/>
      <c r="AB52" s="40"/>
    </row>
    <row r="53" spans="1:28" s="96" customFormat="1" ht="11.7" customHeight="1">
      <c r="A53" s="98"/>
      <c r="B53" s="98" t="s">
        <v>4707</v>
      </c>
      <c r="C53" s="98"/>
      <c r="D53" s="95"/>
      <c r="E53" s="95"/>
      <c r="F53" s="98" t="s">
        <v>2062</v>
      </c>
      <c r="G53" s="98"/>
      <c r="H53" s="95"/>
      <c r="I53" s="95"/>
      <c r="J53" s="98" t="s">
        <v>4706</v>
      </c>
      <c r="K53" s="98"/>
      <c r="L53" s="98"/>
      <c r="M53" s="98"/>
      <c r="N53" s="98"/>
      <c r="O53" s="98"/>
      <c r="P53" s="95"/>
      <c r="Q53" s="2871" t="s">
        <v>2062</v>
      </c>
      <c r="R53" s="2874">
        <v>0.02</v>
      </c>
      <c r="S53" s="146"/>
      <c r="T53" s="146"/>
      <c r="U53" s="146"/>
      <c r="AA53" s="40"/>
      <c r="AB53" s="40"/>
    </row>
    <row r="54" spans="1:28" s="96" customFormat="1" ht="11.7" customHeight="1">
      <c r="A54" s="98"/>
      <c r="B54" s="98" t="s">
        <v>4708</v>
      </c>
      <c r="C54" s="98"/>
      <c r="D54" s="95"/>
      <c r="E54" s="95"/>
      <c r="F54" s="98" t="s">
        <v>2062</v>
      </c>
      <c r="G54" s="98"/>
      <c r="H54" s="95"/>
      <c r="I54" s="95"/>
      <c r="J54" s="98" t="s">
        <v>4706</v>
      </c>
      <c r="K54" s="98"/>
      <c r="L54" s="98"/>
      <c r="M54" s="98"/>
      <c r="N54" s="98"/>
      <c r="O54" s="98"/>
      <c r="P54" s="95"/>
      <c r="Q54" s="2871" t="s">
        <v>2062</v>
      </c>
      <c r="R54" s="2874">
        <v>0.06</v>
      </c>
      <c r="S54" s="146"/>
      <c r="T54" s="146"/>
      <c r="U54" s="146"/>
      <c r="AA54" s="40"/>
      <c r="AB54" s="40"/>
    </row>
    <row r="55" spans="1:28" s="96" customFormat="1" ht="11.7" customHeight="1">
      <c r="A55" s="98"/>
      <c r="B55" s="98" t="s">
        <v>1307</v>
      </c>
      <c r="C55" s="98"/>
      <c r="D55" s="95"/>
      <c r="E55" s="95"/>
      <c r="F55" s="98" t="s">
        <v>599</v>
      </c>
      <c r="G55" s="98"/>
      <c r="H55" s="95"/>
      <c r="I55" s="95"/>
      <c r="J55" s="98"/>
      <c r="K55" s="98"/>
      <c r="L55" s="98"/>
      <c r="M55" s="98"/>
      <c r="N55" s="98"/>
      <c r="O55" s="98"/>
      <c r="P55" s="95"/>
      <c r="Q55" s="2882" t="s">
        <v>2062</v>
      </c>
      <c r="R55" s="2875"/>
      <c r="S55" s="146"/>
      <c r="T55" s="146"/>
      <c r="U55" s="146"/>
      <c r="AA55" s="40"/>
      <c r="AB55" s="40"/>
    </row>
    <row r="56" spans="1:28" s="96" customFormat="1" ht="11.7" customHeight="1">
      <c r="A56" s="95"/>
      <c r="B56" s="146" t="s">
        <v>4709</v>
      </c>
      <c r="C56" s="98"/>
      <c r="D56" s="98"/>
      <c r="E56" s="95"/>
      <c r="F56" s="98"/>
      <c r="G56" s="98"/>
      <c r="H56" s="95"/>
      <c r="I56" s="95"/>
      <c r="J56" s="98"/>
      <c r="K56" s="98"/>
      <c r="L56" s="98"/>
      <c r="M56" s="98"/>
      <c r="N56" s="98"/>
      <c r="O56" s="98"/>
      <c r="P56" s="95"/>
      <c r="S56" s="146"/>
      <c r="T56" s="146"/>
      <c r="U56" s="146"/>
      <c r="AA56" s="40"/>
      <c r="AB56" s="40"/>
    </row>
    <row r="57" spans="1:28" s="96" customFormat="1" ht="11.7" customHeight="1">
      <c r="A57" s="98"/>
      <c r="B57" s="98"/>
      <c r="C57" s="146" t="s">
        <v>4710</v>
      </c>
      <c r="D57" s="98"/>
      <c r="E57" s="95"/>
      <c r="F57" s="146" t="s">
        <v>4711</v>
      </c>
      <c r="G57" s="98"/>
      <c r="H57" s="95"/>
      <c r="I57" s="95"/>
      <c r="K57" s="98"/>
      <c r="L57" s="98"/>
      <c r="M57" s="98"/>
      <c r="N57" s="98"/>
      <c r="O57" s="98"/>
      <c r="P57" s="95"/>
      <c r="Q57" s="4362">
        <v>2000</v>
      </c>
      <c r="R57" s="4363"/>
      <c r="S57" s="146"/>
      <c r="T57" s="146"/>
      <c r="U57" s="146"/>
      <c r="AA57" s="40"/>
      <c r="AB57" s="40"/>
    </row>
    <row r="58" spans="1:28" s="96" customFormat="1" ht="11.7" customHeight="1">
      <c r="A58" s="98"/>
      <c r="B58" s="98"/>
      <c r="C58" s="146" t="s">
        <v>4712</v>
      </c>
      <c r="D58" s="98"/>
      <c r="E58" s="95"/>
      <c r="F58" s="98" t="s">
        <v>4713</v>
      </c>
      <c r="G58" s="98"/>
      <c r="H58" s="95"/>
      <c r="I58" s="95"/>
      <c r="J58" s="98" t="s">
        <v>4714</v>
      </c>
      <c r="K58" s="98"/>
      <c r="L58" s="98"/>
      <c r="M58" s="98" t="s">
        <v>4715</v>
      </c>
      <c r="N58" s="98"/>
      <c r="O58" s="98"/>
      <c r="P58" s="95"/>
      <c r="Q58" s="4364">
        <v>10000</v>
      </c>
      <c r="R58" s="4365"/>
      <c r="S58" s="146"/>
      <c r="T58" s="146"/>
      <c r="U58" s="146"/>
      <c r="AA58" s="40"/>
      <c r="AB58" s="40"/>
    </row>
    <row r="59" spans="1:28" s="96" customFormat="1" ht="11.7" customHeight="1">
      <c r="A59" s="98"/>
      <c r="B59" s="98"/>
      <c r="C59" s="98"/>
      <c r="D59" s="98"/>
      <c r="E59" s="95"/>
      <c r="F59" s="98"/>
      <c r="G59" s="98"/>
      <c r="H59" s="95"/>
      <c r="I59" s="95"/>
      <c r="K59" s="98"/>
      <c r="L59" s="98"/>
      <c r="M59" s="98" t="s">
        <v>4716</v>
      </c>
      <c r="N59" s="98"/>
      <c r="O59" s="98"/>
      <c r="P59" s="95"/>
      <c r="Q59" s="4356">
        <v>8000</v>
      </c>
      <c r="R59" s="4357"/>
      <c r="S59" s="146"/>
      <c r="T59" s="146"/>
      <c r="U59" s="146"/>
      <c r="AA59" s="40"/>
      <c r="AB59" s="40"/>
    </row>
    <row r="60" spans="1:28" s="96" customFormat="1" ht="11.7" customHeight="1">
      <c r="A60" s="98"/>
      <c r="B60" s="98"/>
      <c r="C60" s="98"/>
      <c r="D60" s="98"/>
      <c r="E60" s="95"/>
      <c r="G60" s="98"/>
      <c r="H60" s="95"/>
      <c r="I60" s="95"/>
      <c r="J60" s="146" t="s">
        <v>4717</v>
      </c>
      <c r="K60" s="98"/>
      <c r="L60" s="98"/>
      <c r="M60" s="98" t="s">
        <v>4715</v>
      </c>
      <c r="N60" s="98"/>
      <c r="O60" s="98"/>
      <c r="P60" s="95"/>
      <c r="Q60" s="4356">
        <v>10000</v>
      </c>
      <c r="R60" s="4357"/>
      <c r="S60" s="146"/>
      <c r="T60" s="146"/>
      <c r="U60" s="146"/>
      <c r="AA60" s="40"/>
      <c r="AB60" s="40"/>
    </row>
    <row r="61" spans="1:28" s="96" customFormat="1" ht="11.7" customHeight="1">
      <c r="A61" s="98"/>
      <c r="B61" s="98"/>
      <c r="C61" s="98"/>
      <c r="D61" s="98"/>
      <c r="E61" s="95"/>
      <c r="H61" s="95"/>
      <c r="I61" s="95"/>
      <c r="J61" s="98"/>
      <c r="K61" s="98"/>
      <c r="L61" s="98"/>
      <c r="M61" s="98" t="s">
        <v>4716</v>
      </c>
      <c r="N61" s="98"/>
      <c r="O61" s="98"/>
      <c r="P61" s="95"/>
      <c r="Q61" s="4338">
        <v>8000</v>
      </c>
      <c r="R61" s="4339"/>
      <c r="S61" s="146"/>
      <c r="T61" s="146"/>
      <c r="U61" s="146"/>
      <c r="AA61" s="40"/>
      <c r="AB61" s="40"/>
    </row>
    <row r="62" spans="1:28" s="96" customFormat="1" ht="11.7" customHeight="1">
      <c r="A62" s="98"/>
      <c r="B62" s="98"/>
      <c r="C62" s="98" t="s">
        <v>4718</v>
      </c>
      <c r="D62" s="98"/>
      <c r="E62" s="95"/>
      <c r="F62" s="98" t="s">
        <v>4719</v>
      </c>
      <c r="G62" s="98"/>
      <c r="H62" s="95"/>
      <c r="I62" s="95"/>
      <c r="K62" s="98"/>
      <c r="L62" s="98"/>
      <c r="M62" s="98"/>
      <c r="N62" s="98"/>
      <c r="O62" s="98"/>
      <c r="P62" s="95"/>
      <c r="Q62" s="4364">
        <v>2500</v>
      </c>
      <c r="R62" s="4365"/>
      <c r="S62" s="146"/>
      <c r="T62" s="146"/>
      <c r="U62" s="146"/>
      <c r="AA62" s="40"/>
      <c r="AB62" s="40"/>
    </row>
    <row r="63" spans="1:28" s="96" customFormat="1" ht="11.7" customHeight="1">
      <c r="A63" s="98"/>
      <c r="B63" s="98"/>
      <c r="C63" s="98"/>
      <c r="D63" s="98"/>
      <c r="E63" s="95"/>
      <c r="F63" s="98" t="s">
        <v>4720</v>
      </c>
      <c r="G63" s="98"/>
      <c r="H63" s="95"/>
      <c r="I63" s="95"/>
      <c r="K63" s="98"/>
      <c r="L63" s="98"/>
      <c r="M63" s="98"/>
      <c r="N63" s="98"/>
      <c r="O63" s="98"/>
      <c r="P63" s="95"/>
      <c r="Q63" s="4356">
        <v>2500</v>
      </c>
      <c r="R63" s="4357"/>
      <c r="S63" s="146"/>
      <c r="T63" s="146"/>
      <c r="U63" s="146"/>
      <c r="AA63" s="40"/>
      <c r="AB63" s="40"/>
    </row>
    <row r="64" spans="1:28" s="96" customFormat="1" ht="11.7" customHeight="1">
      <c r="A64" s="98"/>
      <c r="B64" s="98"/>
      <c r="C64" s="98"/>
      <c r="D64" s="98"/>
      <c r="E64" s="95"/>
      <c r="F64" s="146" t="s">
        <v>4721</v>
      </c>
      <c r="G64" s="98"/>
      <c r="H64" s="95"/>
      <c r="I64" s="95"/>
      <c r="Q64" s="4356">
        <v>1500</v>
      </c>
      <c r="R64" s="4357"/>
      <c r="S64" s="146"/>
      <c r="T64" s="146"/>
      <c r="U64" s="146"/>
      <c r="AA64" s="40"/>
      <c r="AB64" s="40"/>
    </row>
    <row r="65" spans="1:28" s="96" customFormat="1" ht="11.7" customHeight="1">
      <c r="A65" s="95"/>
      <c r="B65" s="146"/>
      <c r="C65" s="98"/>
      <c r="D65" s="98"/>
      <c r="E65" s="95"/>
      <c r="F65" s="98" t="s">
        <v>4722</v>
      </c>
      <c r="G65" s="98"/>
      <c r="H65" s="95"/>
      <c r="I65" s="95"/>
      <c r="J65" s="98" t="s">
        <v>4723</v>
      </c>
      <c r="K65" s="98"/>
      <c r="L65" s="98"/>
      <c r="M65" s="98"/>
      <c r="N65" s="98"/>
      <c r="O65" s="98"/>
      <c r="P65" s="95"/>
      <c r="Q65" s="4356">
        <v>15000</v>
      </c>
      <c r="R65" s="4357"/>
      <c r="S65" s="146"/>
      <c r="T65" s="146"/>
      <c r="U65" s="146"/>
      <c r="AA65" s="40"/>
      <c r="AB65" s="40"/>
    </row>
    <row r="66" spans="1:28" s="96" customFormat="1" ht="11.7" customHeight="1">
      <c r="A66" s="98"/>
      <c r="B66" s="98"/>
      <c r="C66" s="98"/>
      <c r="D66" s="98"/>
      <c r="E66" s="95"/>
      <c r="F66" s="98" t="s">
        <v>4724</v>
      </c>
      <c r="G66" s="98"/>
      <c r="H66" s="95"/>
      <c r="I66" s="95"/>
      <c r="K66" s="98"/>
      <c r="L66" s="98"/>
      <c r="M66" s="98"/>
      <c r="N66" s="98"/>
      <c r="O66" s="98"/>
      <c r="P66" s="95"/>
      <c r="Q66" s="4348">
        <v>1500</v>
      </c>
      <c r="R66" s="4349"/>
      <c r="S66" s="146"/>
      <c r="T66" s="146"/>
      <c r="U66" s="146"/>
      <c r="AA66" s="40"/>
      <c r="AB66" s="40"/>
    </row>
    <row r="67" spans="1:28" s="96" customFormat="1" ht="11.7" customHeight="1">
      <c r="A67" s="95"/>
      <c r="B67" s="146"/>
      <c r="C67" s="98"/>
      <c r="D67" s="98"/>
      <c r="E67" s="95"/>
      <c r="F67" s="98" t="s">
        <v>4725</v>
      </c>
      <c r="G67" s="98"/>
      <c r="H67" s="95"/>
      <c r="I67" s="95"/>
      <c r="J67" s="98"/>
      <c r="K67" s="98"/>
      <c r="L67" s="98"/>
      <c r="M67" s="98"/>
      <c r="N67" s="98"/>
      <c r="O67" s="98"/>
      <c r="P67" s="95"/>
      <c r="Q67" s="4350" t="s">
        <v>4726</v>
      </c>
      <c r="R67" s="4351"/>
      <c r="S67" s="146"/>
      <c r="T67" s="146"/>
      <c r="U67" s="146"/>
      <c r="AA67" s="40"/>
      <c r="AB67" s="40"/>
    </row>
    <row r="68" spans="1:28" s="96" customFormat="1" ht="11.7" customHeight="1">
      <c r="A68" s="95"/>
      <c r="B68" s="146"/>
      <c r="C68" s="98"/>
      <c r="D68" s="98"/>
      <c r="E68" s="95"/>
      <c r="F68" s="98" t="s">
        <v>4727</v>
      </c>
      <c r="G68" s="98"/>
      <c r="H68" s="95"/>
      <c r="I68" s="95"/>
      <c r="J68" s="98"/>
      <c r="K68" s="98"/>
      <c r="L68" s="98"/>
      <c r="M68" s="98"/>
      <c r="N68" s="98"/>
      <c r="O68" s="98"/>
      <c r="P68" s="95"/>
      <c r="Q68" s="4352" t="s">
        <v>4726</v>
      </c>
      <c r="R68" s="4353"/>
      <c r="S68" s="146"/>
      <c r="T68" s="146"/>
      <c r="U68" s="146"/>
      <c r="AA68" s="40"/>
      <c r="AB68" s="40"/>
    </row>
    <row r="69" spans="1:28" s="96" customFormat="1" ht="11.7" customHeight="1">
      <c r="A69" s="98"/>
      <c r="B69" s="98"/>
      <c r="D69" s="98"/>
      <c r="E69" s="95"/>
      <c r="F69" s="98" t="s">
        <v>4728</v>
      </c>
      <c r="G69" s="98"/>
      <c r="H69" s="95"/>
      <c r="I69" s="95"/>
      <c r="J69" s="98"/>
      <c r="K69" s="98"/>
      <c r="L69" s="98"/>
      <c r="M69" s="98"/>
      <c r="N69" s="98"/>
      <c r="O69" s="98"/>
      <c r="P69" s="95"/>
      <c r="Q69" s="4354">
        <v>1500</v>
      </c>
      <c r="R69" s="4355"/>
      <c r="S69" s="146"/>
      <c r="T69" s="146"/>
      <c r="U69" s="146"/>
      <c r="AA69" s="40"/>
      <c r="AB69" s="40"/>
    </row>
    <row r="70" spans="1:28" s="96" customFormat="1" ht="11.7" customHeight="1">
      <c r="A70" s="98"/>
      <c r="C70" s="98" t="s">
        <v>4729</v>
      </c>
      <c r="D70" s="95"/>
      <c r="E70" s="95"/>
      <c r="F70" s="98" t="s">
        <v>4730</v>
      </c>
      <c r="H70" s="98"/>
      <c r="I70" s="95"/>
      <c r="J70" s="98" t="s">
        <v>4731</v>
      </c>
      <c r="K70" s="98"/>
      <c r="L70" s="98"/>
      <c r="M70" s="98"/>
      <c r="N70" s="98"/>
      <c r="O70" s="98"/>
      <c r="P70" s="95"/>
      <c r="Q70" s="4325">
        <v>0.08</v>
      </c>
      <c r="R70" s="4325"/>
      <c r="S70" s="146"/>
      <c r="T70" s="146"/>
      <c r="U70" s="146"/>
      <c r="AA70" s="40"/>
      <c r="AB70" s="40"/>
    </row>
    <row r="71" spans="1:28" s="96" customFormat="1" ht="11.7" customHeight="1">
      <c r="A71" s="98"/>
      <c r="C71" s="98"/>
      <c r="D71" s="95"/>
      <c r="E71" s="95"/>
      <c r="F71" s="98" t="s">
        <v>4732</v>
      </c>
      <c r="H71" s="98"/>
      <c r="I71" s="95"/>
      <c r="J71" s="98" t="s">
        <v>4731</v>
      </c>
      <c r="K71" s="98"/>
      <c r="L71" s="98"/>
      <c r="M71" s="98"/>
      <c r="N71" s="98"/>
      <c r="O71" s="98"/>
      <c r="P71" s="95"/>
      <c r="Q71" s="4319">
        <v>0.08</v>
      </c>
      <c r="R71" s="4319"/>
      <c r="S71" s="146"/>
      <c r="T71" s="146"/>
      <c r="U71" s="146"/>
      <c r="AA71" s="40"/>
      <c r="AB71" s="40"/>
    </row>
    <row r="72" spans="1:28" s="96" customFormat="1" ht="11.7" customHeight="1">
      <c r="A72" s="98"/>
      <c r="C72" s="98"/>
      <c r="D72" s="95"/>
      <c r="E72" s="95"/>
      <c r="F72" s="98" t="s">
        <v>4733</v>
      </c>
      <c r="H72" s="98"/>
      <c r="I72" s="95"/>
      <c r="J72" s="98"/>
      <c r="K72" s="98"/>
      <c r="L72" s="98"/>
      <c r="M72" s="98"/>
      <c r="N72" s="98"/>
      <c r="O72" s="98"/>
      <c r="P72" s="95"/>
      <c r="Q72" s="4356">
        <v>2500</v>
      </c>
      <c r="R72" s="4357"/>
      <c r="S72" s="146"/>
      <c r="T72" s="146"/>
      <c r="U72" s="146"/>
      <c r="AA72" s="40"/>
      <c r="AB72" s="40"/>
    </row>
    <row r="73" spans="1:28" s="96" customFormat="1" ht="11.7" customHeight="1">
      <c r="A73" s="98"/>
      <c r="B73" s="98"/>
      <c r="C73" s="98"/>
      <c r="D73" s="95"/>
      <c r="E73" s="95"/>
      <c r="F73" s="98" t="s">
        <v>4734</v>
      </c>
      <c r="I73" s="95"/>
      <c r="J73" s="98" t="s">
        <v>4671</v>
      </c>
      <c r="K73" s="98"/>
      <c r="L73" s="98"/>
      <c r="M73" s="98"/>
      <c r="N73" s="98"/>
      <c r="O73" s="98"/>
      <c r="P73" s="95"/>
      <c r="Q73" s="4356">
        <v>8000</v>
      </c>
      <c r="R73" s="4357"/>
      <c r="S73" s="146"/>
      <c r="T73" s="146"/>
      <c r="U73" s="146"/>
      <c r="AA73" s="40"/>
      <c r="AB73" s="40"/>
    </row>
    <row r="74" spans="1:28" s="96" customFormat="1" ht="11.7" customHeight="1">
      <c r="A74" s="98"/>
      <c r="C74" s="98" t="s">
        <v>4735</v>
      </c>
      <c r="D74" s="95"/>
      <c r="E74" s="95"/>
      <c r="F74" s="98" t="s">
        <v>4736</v>
      </c>
      <c r="H74" s="98" t="s">
        <v>4737</v>
      </c>
      <c r="I74" s="95"/>
      <c r="J74" s="98" t="s">
        <v>680</v>
      </c>
      <c r="K74" s="98"/>
      <c r="L74" s="98"/>
      <c r="M74" s="98"/>
      <c r="N74" s="98"/>
      <c r="O74" s="98"/>
      <c r="P74" s="95"/>
      <c r="Q74" s="4356">
        <v>800</v>
      </c>
      <c r="R74" s="4357"/>
      <c r="S74" s="146"/>
      <c r="T74" s="146"/>
      <c r="U74" s="146"/>
      <c r="AA74" s="40"/>
      <c r="AB74" s="40"/>
    </row>
    <row r="75" spans="1:28" s="96" customFormat="1" ht="11.7" customHeight="1">
      <c r="A75" s="98"/>
      <c r="C75" s="98"/>
      <c r="D75" s="95"/>
      <c r="E75" s="95"/>
      <c r="F75" s="98"/>
      <c r="H75" s="98"/>
      <c r="I75" s="98" t="s">
        <v>4738</v>
      </c>
      <c r="J75" s="98" t="s">
        <v>680</v>
      </c>
      <c r="K75" s="98"/>
      <c r="L75" s="98"/>
      <c r="M75" s="98"/>
      <c r="N75" s="98"/>
      <c r="O75" s="98"/>
      <c r="P75" s="95"/>
      <c r="Q75" s="4356">
        <v>1000</v>
      </c>
      <c r="R75" s="4357"/>
      <c r="S75" s="146"/>
      <c r="T75" s="146"/>
      <c r="U75" s="146"/>
      <c r="AA75" s="40"/>
      <c r="AB75" s="40"/>
    </row>
    <row r="76" spans="1:28" s="96" customFormat="1" ht="11.7" customHeight="1">
      <c r="A76" s="98"/>
      <c r="B76" s="98"/>
      <c r="C76" s="98"/>
      <c r="D76" s="95"/>
      <c r="E76" s="95"/>
      <c r="H76" s="98" t="s">
        <v>4739</v>
      </c>
      <c r="I76" s="95"/>
      <c r="J76" s="98" t="s">
        <v>680</v>
      </c>
      <c r="K76" s="98" t="s">
        <v>4740</v>
      </c>
      <c r="L76" s="98"/>
      <c r="M76" s="98"/>
      <c r="N76" s="98"/>
      <c r="O76" s="98"/>
      <c r="P76" s="95"/>
      <c r="Q76" s="4346">
        <v>800</v>
      </c>
      <c r="R76" s="4347"/>
      <c r="S76" s="146"/>
      <c r="T76" s="146"/>
      <c r="U76" s="146"/>
      <c r="AA76" s="40"/>
      <c r="AB76" s="40"/>
    </row>
    <row r="77" spans="1:28" s="96" customFormat="1" ht="11.7" customHeight="1">
      <c r="A77" s="98"/>
      <c r="B77" s="98"/>
      <c r="C77" s="98"/>
      <c r="D77" s="95"/>
      <c r="E77" s="95"/>
      <c r="H77" s="98" t="s">
        <v>4741</v>
      </c>
      <c r="I77" s="95"/>
      <c r="J77" s="98" t="s">
        <v>4742</v>
      </c>
      <c r="K77" s="98"/>
      <c r="L77" s="98"/>
      <c r="M77" s="98"/>
      <c r="N77" s="98"/>
      <c r="O77" s="98"/>
      <c r="P77" s="95"/>
      <c r="Q77" s="4346">
        <v>1500</v>
      </c>
      <c r="R77" s="4347"/>
      <c r="S77" s="146"/>
      <c r="T77" s="146"/>
      <c r="U77" s="146"/>
      <c r="AA77" s="40"/>
      <c r="AB77" s="40"/>
    </row>
    <row r="78" spans="1:28" s="96" customFormat="1" ht="11.7" customHeight="1">
      <c r="A78" s="98"/>
      <c r="B78" s="98"/>
      <c r="C78" s="98"/>
      <c r="D78" s="98"/>
      <c r="E78" s="95"/>
      <c r="F78" s="98" t="s">
        <v>4743</v>
      </c>
      <c r="H78" s="95"/>
      <c r="I78" s="95"/>
      <c r="J78" s="98" t="s">
        <v>4744</v>
      </c>
      <c r="K78" s="98"/>
      <c r="L78" s="98"/>
      <c r="M78" s="98"/>
      <c r="N78" s="98"/>
      <c r="O78" s="98"/>
      <c r="P78" s="95"/>
      <c r="Q78" s="4338">
        <v>1500</v>
      </c>
      <c r="R78" s="4339"/>
      <c r="S78" s="146"/>
      <c r="T78" s="146"/>
      <c r="U78" s="146"/>
      <c r="AA78" s="40"/>
      <c r="AB78" s="40"/>
    </row>
    <row r="79" spans="1:28" s="96" customFormat="1" ht="11.7" customHeight="1">
      <c r="A79" s="98"/>
      <c r="B79" s="98"/>
      <c r="C79" s="98"/>
      <c r="D79" s="95"/>
      <c r="E79" s="95"/>
      <c r="F79" s="98" t="s">
        <v>4745</v>
      </c>
      <c r="I79" s="95"/>
      <c r="J79" s="98" t="s">
        <v>4746</v>
      </c>
      <c r="K79" s="98"/>
      <c r="L79" s="98"/>
      <c r="M79" s="98"/>
      <c r="N79" s="98"/>
      <c r="O79" s="98"/>
      <c r="P79" s="95"/>
      <c r="Q79" s="4340">
        <v>1500</v>
      </c>
      <c r="R79" s="4341"/>
      <c r="S79" s="146"/>
      <c r="T79" s="146"/>
      <c r="U79" s="146"/>
      <c r="AA79" s="40"/>
      <c r="AB79" s="40"/>
    </row>
    <row r="80" spans="1:28" s="96" customFormat="1" ht="11.7" customHeight="1">
      <c r="A80" s="98"/>
      <c r="B80" s="98"/>
      <c r="C80" s="98"/>
      <c r="D80" s="95"/>
      <c r="E80" s="95"/>
      <c r="F80" s="98" t="s">
        <v>4747</v>
      </c>
      <c r="I80" s="95"/>
      <c r="J80" s="98" t="s">
        <v>4748</v>
      </c>
      <c r="K80" s="98"/>
      <c r="L80" s="98" t="s">
        <v>4749</v>
      </c>
      <c r="M80" s="98"/>
      <c r="N80" s="98"/>
      <c r="O80" s="98"/>
      <c r="P80" s="95"/>
      <c r="Q80" s="4335">
        <v>75</v>
      </c>
      <c r="R80" s="4336"/>
      <c r="S80" s="146"/>
      <c r="T80" s="146"/>
      <c r="U80" s="146"/>
      <c r="AA80" s="40"/>
      <c r="AB80" s="40"/>
    </row>
    <row r="81" spans="1:28" ht="11.25" customHeight="1">
      <c r="B81" s="98" t="s">
        <v>4750</v>
      </c>
      <c r="F81" s="882" t="s">
        <v>664</v>
      </c>
      <c r="G81" s="146"/>
      <c r="H81" s="146"/>
      <c r="J81" s="98"/>
      <c r="K81" s="98"/>
      <c r="L81" s="25"/>
      <c r="M81" s="25"/>
      <c r="AA81"/>
      <c r="AB81"/>
    </row>
    <row r="82" spans="1:28" ht="11.25" customHeight="1">
      <c r="F82" s="77"/>
      <c r="H82" s="883">
        <v>0.09</v>
      </c>
      <c r="I82" s="146" t="s">
        <v>670</v>
      </c>
      <c r="J82" s="279"/>
      <c r="K82" s="279"/>
      <c r="N82" s="25"/>
      <c r="O82" s="886" t="s">
        <v>4751</v>
      </c>
      <c r="Q82" s="4342">
        <v>38000</v>
      </c>
      <c r="R82" s="4342"/>
      <c r="AA82"/>
      <c r="AB82"/>
    </row>
    <row r="83" spans="1:28" ht="11.25" customHeight="1">
      <c r="F83" s="77"/>
      <c r="H83" s="509"/>
      <c r="I83" s="146"/>
      <c r="J83" s="279"/>
      <c r="K83" s="279"/>
      <c r="O83" s="146" t="s">
        <v>4752</v>
      </c>
      <c r="Q83" s="4343">
        <v>0.13</v>
      </c>
      <c r="R83" s="4343"/>
      <c r="AA83"/>
      <c r="AB83"/>
    </row>
    <row r="84" spans="1:28" ht="11.25" customHeight="1">
      <c r="F84" s="77"/>
      <c r="H84" s="1017"/>
      <c r="I84" s="1169" t="s">
        <v>4694</v>
      </c>
      <c r="J84" s="1018"/>
      <c r="K84" s="1019"/>
      <c r="L84" s="111"/>
      <c r="M84" s="111"/>
      <c r="N84" s="111"/>
      <c r="O84" s="1169" t="s">
        <v>4753</v>
      </c>
      <c r="P84" s="1020"/>
      <c r="Q84" s="4344">
        <v>0.3</v>
      </c>
      <c r="R84" s="4344"/>
      <c r="AA84"/>
      <c r="AB84"/>
    </row>
    <row r="85" spans="1:28" ht="11.25" customHeight="1">
      <c r="H85" s="1021">
        <v>0.04</v>
      </c>
      <c r="I85" s="146" t="s">
        <v>670</v>
      </c>
      <c r="J85" s="1023"/>
      <c r="K85" s="1023"/>
      <c r="L85" s="1022"/>
      <c r="M85" s="1022"/>
      <c r="N85" s="1022"/>
      <c r="O85" s="886" t="s">
        <v>4751</v>
      </c>
      <c r="P85" s="1024"/>
      <c r="Q85" s="4342">
        <v>38000</v>
      </c>
      <c r="R85" s="4342"/>
      <c r="AA85"/>
      <c r="AB85"/>
    </row>
    <row r="86" spans="1:28" ht="11.25" customHeight="1">
      <c r="H86" s="884"/>
      <c r="I86" s="146"/>
      <c r="J86" s="279"/>
      <c r="K86" s="279"/>
      <c r="O86" s="146" t="s">
        <v>4752</v>
      </c>
      <c r="Q86" s="4344">
        <v>0.13</v>
      </c>
      <c r="R86" s="4344"/>
      <c r="AA86"/>
      <c r="AB86"/>
    </row>
    <row r="87" spans="1:28" ht="11.25" customHeight="1">
      <c r="H87" s="884"/>
      <c r="I87" s="146" t="s">
        <v>4694</v>
      </c>
      <c r="J87" s="279"/>
      <c r="K87" s="884"/>
      <c r="O87" s="1169" t="s">
        <v>4753</v>
      </c>
      <c r="Q87" s="4344">
        <v>0.3</v>
      </c>
      <c r="R87" s="4344"/>
      <c r="AA87"/>
      <c r="AB87"/>
    </row>
    <row r="88" spans="1:28" ht="11.25" customHeight="1">
      <c r="F88" s="146" t="s">
        <v>661</v>
      </c>
      <c r="H88" s="263"/>
      <c r="I88" s="25"/>
      <c r="AA88"/>
      <c r="AB88"/>
    </row>
    <row r="89" spans="1:28" ht="11.25" customHeight="1">
      <c r="H89" s="885">
        <v>0.09</v>
      </c>
      <c r="I89" s="146"/>
      <c r="Q89" s="4342">
        <v>2700000</v>
      </c>
      <c r="R89" s="4342"/>
      <c r="AA89"/>
      <c r="AB89"/>
    </row>
    <row r="90" spans="1:28" ht="11.25" customHeight="1">
      <c r="H90" s="885">
        <v>0.04</v>
      </c>
      <c r="I90" s="146"/>
      <c r="Q90" s="4345">
        <v>4500000</v>
      </c>
      <c r="R90" s="4345"/>
      <c r="AA90"/>
      <c r="AB90"/>
    </row>
    <row r="91" spans="1:28">
      <c r="AA91"/>
      <c r="AB91"/>
    </row>
    <row r="92" spans="1:28" s="96" customFormat="1" ht="13.8">
      <c r="A92" s="98"/>
      <c r="B92" s="98"/>
      <c r="C92" s="98"/>
      <c r="D92" s="95"/>
      <c r="E92" s="95"/>
      <c r="F92" s="98"/>
      <c r="G92" s="98"/>
      <c r="H92" s="98"/>
      <c r="I92" s="95"/>
      <c r="J92" s="98" t="s">
        <v>4754</v>
      </c>
      <c r="K92" s="98"/>
      <c r="L92" s="98"/>
      <c r="M92" s="98"/>
      <c r="N92" s="98"/>
      <c r="O92" s="98"/>
      <c r="P92" s="95"/>
      <c r="Q92" s="4335">
        <v>3500000</v>
      </c>
      <c r="R92" s="4336"/>
      <c r="S92" s="146"/>
      <c r="T92" s="146"/>
      <c r="U92" s="146"/>
      <c r="AA92" s="40"/>
      <c r="AB92" s="40"/>
    </row>
    <row r="93" spans="1:28" s="96" customFormat="1" ht="13.8" hidden="1">
      <c r="A93" s="98"/>
      <c r="B93" s="98"/>
      <c r="C93" s="98"/>
      <c r="D93" s="95"/>
      <c r="E93" s="95"/>
      <c r="F93" s="98" t="s">
        <v>4755</v>
      </c>
      <c r="G93" s="98"/>
      <c r="H93" s="98" t="s">
        <v>670</v>
      </c>
      <c r="I93" s="95"/>
      <c r="J93" s="98" t="s">
        <v>4756</v>
      </c>
      <c r="K93" s="98"/>
      <c r="L93" s="98"/>
      <c r="M93" s="98"/>
      <c r="N93" s="98"/>
      <c r="O93" s="98"/>
      <c r="P93" s="95"/>
      <c r="Q93" s="4333">
        <v>0.15</v>
      </c>
      <c r="R93" s="4334"/>
      <c r="S93" s="146"/>
      <c r="T93" s="146"/>
      <c r="U93" s="146"/>
      <c r="AA93" s="40"/>
      <c r="AB93" s="40"/>
    </row>
    <row r="94" spans="1:28" s="96" customFormat="1" ht="13.8" hidden="1">
      <c r="A94" s="98"/>
      <c r="B94" s="215"/>
      <c r="C94" s="98"/>
      <c r="D94" s="95"/>
      <c r="E94" s="95"/>
      <c r="F94" s="98"/>
      <c r="G94" s="98"/>
      <c r="H94" s="98" t="s">
        <v>4757</v>
      </c>
      <c r="I94" s="98" t="s">
        <v>4758</v>
      </c>
      <c r="J94" s="98" t="s">
        <v>4759</v>
      </c>
      <c r="K94" s="98"/>
      <c r="L94" s="98"/>
      <c r="M94" s="98"/>
      <c r="N94" s="98"/>
      <c r="O94" s="98"/>
      <c r="P94" s="95"/>
      <c r="Q94" s="4333">
        <v>0.15</v>
      </c>
      <c r="R94" s="4334"/>
      <c r="S94" s="146"/>
      <c r="T94" s="146"/>
      <c r="U94" s="146"/>
      <c r="AA94" s="40"/>
      <c r="AB94" s="40"/>
    </row>
    <row r="95" spans="1:28" s="96" customFormat="1" ht="13.8" hidden="1">
      <c r="A95" s="98"/>
      <c r="B95" s="215"/>
      <c r="C95" s="98"/>
      <c r="D95" s="95"/>
      <c r="E95" s="95"/>
      <c r="F95" s="98"/>
      <c r="G95" s="98"/>
      <c r="H95" s="98"/>
      <c r="I95" s="98" t="s">
        <v>4760</v>
      </c>
      <c r="J95" s="98" t="s">
        <v>4761</v>
      </c>
      <c r="K95" s="98"/>
      <c r="L95" s="98"/>
      <c r="M95" s="98"/>
      <c r="N95" s="98"/>
      <c r="O95" s="98"/>
      <c r="P95" s="95"/>
      <c r="Q95" s="4333">
        <v>0.15</v>
      </c>
      <c r="R95" s="4334"/>
      <c r="S95" s="146"/>
      <c r="T95" s="146"/>
      <c r="U95" s="146"/>
      <c r="AA95" s="40"/>
      <c r="AB95" s="40"/>
    </row>
    <row r="96" spans="1:28" s="96" customFormat="1" ht="13.8" hidden="1">
      <c r="A96" s="98"/>
      <c r="B96" s="215"/>
      <c r="C96" s="98"/>
      <c r="D96" s="95"/>
      <c r="E96" s="95"/>
      <c r="F96" s="98"/>
      <c r="G96" s="98"/>
      <c r="H96" s="98" t="s">
        <v>4762</v>
      </c>
      <c r="I96" s="95"/>
      <c r="J96" s="98" t="s">
        <v>4761</v>
      </c>
      <c r="K96" s="98"/>
      <c r="L96" s="98"/>
      <c r="M96" s="98"/>
      <c r="N96" s="98"/>
      <c r="O96" s="98"/>
      <c r="P96" s="95"/>
      <c r="Q96" s="4333">
        <v>0.15</v>
      </c>
      <c r="R96" s="4334"/>
      <c r="S96" s="146"/>
      <c r="T96" s="146"/>
      <c r="U96" s="146"/>
      <c r="AA96" s="40"/>
      <c r="AB96" s="40"/>
    </row>
    <row r="97" spans="1:28" s="96" customFormat="1" ht="13.8" hidden="1">
      <c r="A97" s="98"/>
      <c r="B97" s="215"/>
      <c r="C97" s="98"/>
      <c r="D97" s="95"/>
      <c r="E97" s="95"/>
      <c r="F97" s="98"/>
      <c r="G97" s="98"/>
      <c r="H97" s="98"/>
      <c r="I97" s="98" t="s">
        <v>4763</v>
      </c>
      <c r="J97" s="98" t="s">
        <v>4764</v>
      </c>
      <c r="K97" s="98"/>
      <c r="L97" s="98"/>
      <c r="M97" s="98"/>
      <c r="N97" s="98"/>
      <c r="O97" s="98"/>
      <c r="P97" s="95"/>
      <c r="Q97" s="4333">
        <v>0.15</v>
      </c>
      <c r="R97" s="4334"/>
      <c r="S97" s="146"/>
      <c r="T97" s="146"/>
      <c r="U97" s="146"/>
      <c r="AA97" s="40"/>
      <c r="AB97" s="40"/>
    </row>
    <row r="98" spans="1:28" s="96" customFormat="1" ht="13.8" hidden="1">
      <c r="A98" s="98"/>
      <c r="B98" s="215"/>
      <c r="C98" s="98"/>
      <c r="D98" s="95"/>
      <c r="E98" s="95"/>
      <c r="F98" s="98" t="s">
        <v>4765</v>
      </c>
      <c r="G98" s="98"/>
      <c r="H98" s="98"/>
      <c r="I98" s="95"/>
      <c r="J98" s="98" t="s">
        <v>4766</v>
      </c>
      <c r="K98" s="98"/>
      <c r="L98" s="98"/>
      <c r="M98" s="98"/>
      <c r="N98" s="98"/>
      <c r="O98" s="98"/>
      <c r="P98" s="95"/>
      <c r="Q98" s="4333">
        <v>0.15</v>
      </c>
      <c r="R98" s="4334"/>
      <c r="S98" s="146"/>
      <c r="T98" s="146"/>
      <c r="U98" s="146"/>
      <c r="AA98" s="40"/>
      <c r="AB98" s="40"/>
    </row>
    <row r="99" spans="1:28" s="96" customFormat="1" ht="13.8" hidden="1">
      <c r="A99" s="98"/>
      <c r="B99" s="215"/>
      <c r="C99" s="98"/>
      <c r="D99" s="95"/>
      <c r="E99" s="95"/>
      <c r="G99" s="98"/>
      <c r="H99" s="98"/>
      <c r="I99" s="95"/>
      <c r="J99" s="98" t="s">
        <v>4767</v>
      </c>
      <c r="K99" s="98"/>
      <c r="L99" s="98"/>
      <c r="M99" s="98"/>
      <c r="N99" s="98"/>
      <c r="O99" s="98"/>
      <c r="P99" s="95"/>
      <c r="Q99" s="4333" t="s">
        <v>4768</v>
      </c>
      <c r="R99" s="4334"/>
      <c r="S99" s="146"/>
      <c r="T99" s="146"/>
      <c r="U99" s="146"/>
      <c r="AA99" s="40"/>
      <c r="AB99" s="40"/>
    </row>
    <row r="100" spans="1:28" s="96" customFormat="1" ht="11.25" customHeight="1">
      <c r="A100" s="98"/>
      <c r="B100" s="215"/>
      <c r="C100" s="98"/>
      <c r="D100" s="95"/>
      <c r="E100" s="95"/>
      <c r="F100" s="98" t="s">
        <v>4769</v>
      </c>
      <c r="G100" s="98"/>
      <c r="H100" s="98"/>
      <c r="I100" s="95"/>
      <c r="J100" s="98"/>
      <c r="K100" s="98"/>
      <c r="L100" s="98"/>
      <c r="M100" s="98"/>
      <c r="N100" s="98"/>
      <c r="O100" s="98"/>
      <c r="P100" s="95"/>
      <c r="Q100" s="2883">
        <v>0</v>
      </c>
      <c r="R100" s="2883">
        <v>15</v>
      </c>
      <c r="S100" s="146"/>
      <c r="T100" s="146"/>
      <c r="U100" s="146"/>
      <c r="AA100" s="40"/>
      <c r="AB100" s="40"/>
    </row>
    <row r="101" spans="1:28" s="96" customFormat="1" ht="11.25" hidden="1" customHeight="1">
      <c r="A101" s="98"/>
      <c r="B101" s="215"/>
      <c r="C101" s="98"/>
      <c r="D101" s="95"/>
      <c r="E101" s="95"/>
      <c r="F101" s="98" t="s">
        <v>4770</v>
      </c>
      <c r="G101" s="98"/>
      <c r="I101" s="95"/>
      <c r="J101" s="98"/>
      <c r="K101" s="98"/>
      <c r="L101" s="98"/>
      <c r="M101" s="98"/>
      <c r="N101" s="98"/>
      <c r="O101" s="98"/>
      <c r="P101" s="95"/>
      <c r="Q101" s="2877">
        <v>0</v>
      </c>
      <c r="R101" s="2877">
        <v>0.5</v>
      </c>
      <c r="S101" s="146"/>
      <c r="T101" s="146"/>
      <c r="U101" s="146"/>
      <c r="AA101" s="40"/>
      <c r="AB101" s="40"/>
    </row>
    <row r="102" spans="1:28" s="96" customFormat="1" ht="11.25" customHeight="1">
      <c r="A102" s="98"/>
      <c r="B102" s="98" t="s">
        <v>4771</v>
      </c>
      <c r="C102" s="98"/>
      <c r="D102" s="98"/>
      <c r="E102" s="98"/>
      <c r="F102" s="98"/>
      <c r="G102" s="98"/>
      <c r="H102" s="95"/>
      <c r="I102" s="95"/>
      <c r="J102" s="98" t="s">
        <v>4772</v>
      </c>
      <c r="K102" s="98"/>
      <c r="L102" s="98"/>
      <c r="M102" s="98"/>
      <c r="N102" s="98"/>
      <c r="O102" s="98"/>
      <c r="P102" s="95"/>
      <c r="Q102" s="2879">
        <v>6</v>
      </c>
      <c r="R102" s="2879" t="s">
        <v>2062</v>
      </c>
      <c r="S102" s="146"/>
      <c r="T102" s="146"/>
      <c r="U102" s="146"/>
      <c r="AA102" s="40"/>
      <c r="AB102" s="40"/>
    </row>
    <row r="103" spans="1:28" s="96" customFormat="1" ht="11.25" customHeight="1">
      <c r="A103" s="98"/>
      <c r="C103" s="98"/>
      <c r="D103" s="98"/>
      <c r="E103" s="98"/>
      <c r="F103" s="98"/>
      <c r="G103" s="98"/>
      <c r="H103" s="95"/>
      <c r="I103" s="95"/>
      <c r="J103" s="98" t="s">
        <v>4773</v>
      </c>
      <c r="K103" s="98"/>
      <c r="L103" s="98"/>
      <c r="M103" s="98"/>
      <c r="N103" s="98"/>
      <c r="O103" s="98"/>
      <c r="P103" s="95"/>
      <c r="Q103" s="1495">
        <v>6</v>
      </c>
      <c r="R103" s="1495" t="s">
        <v>2062</v>
      </c>
      <c r="S103" s="146"/>
      <c r="T103" s="146"/>
      <c r="U103" s="146"/>
      <c r="AA103" s="40"/>
      <c r="AB103" s="40"/>
    </row>
    <row r="104" spans="1:28" s="96" customFormat="1" ht="11.25" customHeight="1">
      <c r="A104" s="98"/>
      <c r="B104" s="98" t="s">
        <v>690</v>
      </c>
      <c r="C104" s="98"/>
      <c r="D104" s="98"/>
      <c r="E104" s="98"/>
      <c r="F104" s="98"/>
      <c r="G104" s="98"/>
      <c r="H104" s="95"/>
      <c r="I104" s="95"/>
      <c r="J104" s="98" t="s">
        <v>4774</v>
      </c>
      <c r="K104" s="98"/>
      <c r="L104" s="98"/>
      <c r="M104" s="98"/>
      <c r="N104" s="98"/>
      <c r="O104" s="98"/>
      <c r="P104" s="95"/>
      <c r="Q104" s="1495">
        <v>12</v>
      </c>
      <c r="R104" s="1495">
        <v>12</v>
      </c>
      <c r="S104" s="146"/>
      <c r="T104" s="146"/>
      <c r="U104" s="146"/>
      <c r="AA104" s="40"/>
      <c r="AB104" s="40"/>
    </row>
    <row r="105" spans="1:28" s="96" customFormat="1" ht="11.25" customHeight="1">
      <c r="A105" s="98"/>
      <c r="B105" s="216" t="s">
        <v>4775</v>
      </c>
      <c r="C105" s="98"/>
      <c r="D105" s="95"/>
      <c r="E105" s="95"/>
      <c r="F105" s="98"/>
      <c r="G105" s="98"/>
      <c r="I105" s="95"/>
      <c r="J105" s="98" t="s">
        <v>4776</v>
      </c>
      <c r="K105" s="98"/>
      <c r="L105" s="98"/>
      <c r="M105" s="98"/>
      <c r="N105" s="98"/>
      <c r="O105" s="98"/>
      <c r="P105" s="95"/>
      <c r="Q105" s="1492">
        <v>3</v>
      </c>
      <c r="R105" s="1492" t="s">
        <v>2062</v>
      </c>
      <c r="S105" s="146"/>
      <c r="T105" s="146"/>
      <c r="U105" s="146"/>
      <c r="AA105" s="40"/>
      <c r="AB105" s="40"/>
    </row>
    <row r="106" spans="1:28" s="96" customFormat="1" ht="11.7" customHeight="1">
      <c r="A106" s="98"/>
      <c r="B106" s="98" t="s">
        <v>4777</v>
      </c>
      <c r="C106" s="98"/>
      <c r="D106" s="95"/>
      <c r="E106" s="98"/>
      <c r="F106" s="98"/>
      <c r="G106" s="98"/>
      <c r="H106" s="95"/>
      <c r="I106" s="95"/>
      <c r="J106" s="98" t="s">
        <v>4671</v>
      </c>
      <c r="K106" s="98"/>
      <c r="L106" s="98"/>
      <c r="M106" s="98"/>
      <c r="N106" s="98"/>
      <c r="O106" s="98"/>
      <c r="P106" s="95"/>
      <c r="Q106" s="4335">
        <v>3000</v>
      </c>
      <c r="R106" s="4336"/>
      <c r="S106" s="146"/>
      <c r="T106" s="146"/>
      <c r="U106" s="146"/>
      <c r="AA106" s="40"/>
      <c r="AB106" s="40"/>
    </row>
    <row r="107" spans="1:28" s="96" customFormat="1" ht="11.7" customHeight="1">
      <c r="A107" s="98"/>
      <c r="B107" s="98"/>
      <c r="C107" s="98"/>
      <c r="D107" s="95"/>
      <c r="E107" s="95"/>
      <c r="O107" s="98"/>
      <c r="T107" s="142"/>
      <c r="U107" s="95"/>
      <c r="V107" s="222"/>
      <c r="W107" s="222"/>
      <c r="X107" s="222"/>
      <c r="AA107" s="40"/>
      <c r="AB107" s="40"/>
    </row>
    <row r="108" spans="1:28" s="96" customFormat="1" ht="11.7" customHeight="1">
      <c r="A108" s="137" t="s">
        <v>4644</v>
      </c>
      <c r="B108" s="137"/>
      <c r="C108" s="137"/>
      <c r="D108" s="95"/>
      <c r="E108" s="95"/>
      <c r="F108" s="137" t="s">
        <v>4645</v>
      </c>
      <c r="G108" s="137"/>
      <c r="H108" s="95"/>
      <c r="I108" s="95"/>
      <c r="J108" s="137" t="s">
        <v>4646</v>
      </c>
      <c r="K108" s="137"/>
      <c r="L108" s="137"/>
      <c r="M108" s="137"/>
      <c r="N108" s="137"/>
      <c r="O108" s="137"/>
      <c r="P108" s="95"/>
      <c r="Q108" s="99" t="s">
        <v>4647</v>
      </c>
      <c r="R108" s="99" t="s">
        <v>4648</v>
      </c>
      <c r="S108" s="150"/>
      <c r="T108" s="142"/>
      <c r="U108" s="95"/>
      <c r="V108" s="222"/>
      <c r="W108" s="222"/>
      <c r="X108" s="222"/>
      <c r="AA108" s="40"/>
      <c r="AB108" s="40"/>
    </row>
    <row r="109" spans="1:28" s="96" customFormat="1" ht="3" customHeight="1">
      <c r="A109" s="98"/>
      <c r="B109" s="98"/>
      <c r="C109" s="98"/>
      <c r="D109" s="98"/>
      <c r="E109" s="95"/>
      <c r="F109" s="98"/>
      <c r="G109" s="98"/>
      <c r="H109" s="145"/>
      <c r="I109" s="95"/>
      <c r="J109" s="98"/>
      <c r="K109" s="2611"/>
      <c r="L109" s="2611"/>
      <c r="M109" s="2611"/>
      <c r="N109" s="2611"/>
      <c r="O109" s="98"/>
      <c r="P109" s="95"/>
      <c r="Q109" s="144"/>
      <c r="R109" s="144"/>
      <c r="S109" s="95"/>
      <c r="T109" s="95"/>
      <c r="U109" s="95"/>
      <c r="AA109" s="40"/>
      <c r="AB109" s="40"/>
    </row>
    <row r="110" spans="1:28" s="96" customFormat="1" ht="3" customHeight="1">
      <c r="A110" s="95"/>
      <c r="B110" s="98"/>
      <c r="C110" s="98"/>
      <c r="D110" s="98"/>
      <c r="E110" s="98"/>
      <c r="F110" s="98"/>
      <c r="G110" s="98"/>
      <c r="H110" s="98"/>
      <c r="I110" s="95"/>
      <c r="J110" s="98"/>
      <c r="K110" s="98"/>
      <c r="L110" s="98"/>
      <c r="M110" s="98"/>
      <c r="N110" s="98"/>
      <c r="O110" s="98"/>
      <c r="P110" s="95"/>
      <c r="Q110" s="98"/>
      <c r="R110" s="98"/>
      <c r="S110" s="146"/>
      <c r="T110" s="146"/>
      <c r="U110" s="146"/>
      <c r="AA110" s="40"/>
      <c r="AB110" s="40"/>
    </row>
    <row r="111" spans="1:28" s="96" customFormat="1" ht="12" customHeight="1">
      <c r="A111" s="141" t="s">
        <v>4778</v>
      </c>
      <c r="B111" s="98"/>
      <c r="C111" s="98"/>
      <c r="D111" s="98"/>
      <c r="E111" s="98"/>
      <c r="F111" s="98"/>
      <c r="G111" s="98"/>
      <c r="H111" s="98"/>
      <c r="I111" s="95"/>
      <c r="J111" s="98"/>
      <c r="K111" s="98"/>
      <c r="L111" s="98"/>
      <c r="M111" s="98"/>
      <c r="N111" s="98"/>
      <c r="O111" s="98"/>
      <c r="P111" s="95"/>
      <c r="Q111" s="98"/>
      <c r="R111" s="98"/>
      <c r="S111" s="146"/>
      <c r="T111" s="146"/>
      <c r="U111" s="146"/>
      <c r="AA111" s="40"/>
      <c r="AB111" s="40"/>
    </row>
    <row r="112" spans="1:28" ht="11.7" customHeight="1">
      <c r="B112" s="147" t="s">
        <v>4779</v>
      </c>
      <c r="C112" s="78"/>
      <c r="D112" s="78"/>
      <c r="E112" s="78"/>
      <c r="F112" s="78"/>
      <c r="G112" s="78"/>
      <c r="J112" s="2884">
        <v>1</v>
      </c>
      <c r="K112" s="2884">
        <v>2</v>
      </c>
      <c r="L112" s="2884">
        <v>3</v>
      </c>
      <c r="M112" s="2884">
        <v>4</v>
      </c>
      <c r="N112" s="2884">
        <v>5</v>
      </c>
      <c r="O112" s="2884">
        <v>6</v>
      </c>
      <c r="P112" s="2884">
        <v>7</v>
      </c>
      <c r="Q112" s="2884">
        <v>8</v>
      </c>
    </row>
    <row r="113" spans="1:28" ht="11.1" customHeight="1">
      <c r="B113" s="78"/>
      <c r="C113" s="78"/>
      <c r="D113" s="78"/>
      <c r="E113" s="78"/>
      <c r="F113" s="78"/>
      <c r="G113" s="78"/>
      <c r="J113" s="2885">
        <v>0.7</v>
      </c>
      <c r="K113" s="2885">
        <v>0.8</v>
      </c>
      <c r="L113" s="2885">
        <v>0.9</v>
      </c>
      <c r="M113" s="2886" t="s">
        <v>4780</v>
      </c>
      <c r="N113" s="2885">
        <v>1.08</v>
      </c>
      <c r="O113" s="2885">
        <v>1.1599999999999999</v>
      </c>
      <c r="P113" s="2885">
        <v>1.24</v>
      </c>
      <c r="Q113" s="2885">
        <v>1.32</v>
      </c>
    </row>
    <row r="114" spans="1:28" s="96" customFormat="1" ht="11.7" customHeight="1">
      <c r="A114" s="98"/>
      <c r="B114" s="98" t="s">
        <v>1281</v>
      </c>
      <c r="C114" s="98"/>
      <c r="D114" s="95"/>
      <c r="E114" s="95"/>
      <c r="F114" s="95"/>
      <c r="G114" s="98"/>
      <c r="H114" s="95"/>
      <c r="I114" s="95"/>
      <c r="J114" s="98" t="s">
        <v>4781</v>
      </c>
      <c r="K114" s="98"/>
      <c r="L114" s="98"/>
      <c r="M114" s="98"/>
      <c r="N114" s="98"/>
      <c r="O114" s="98"/>
      <c r="P114" s="95"/>
      <c r="Q114" s="4337">
        <v>0.02</v>
      </c>
      <c r="R114" s="4337"/>
      <c r="S114" s="146"/>
      <c r="T114" s="146"/>
      <c r="U114" s="146"/>
      <c r="AA114" s="40"/>
      <c r="AB114" s="40"/>
    </row>
    <row r="115" spans="1:28" s="146" customFormat="1" ht="11.7" customHeight="1">
      <c r="A115" s="98"/>
      <c r="B115" s="98" t="s">
        <v>4782</v>
      </c>
      <c r="C115" s="98"/>
      <c r="D115" s="98"/>
      <c r="E115" s="98"/>
      <c r="F115" s="98"/>
      <c r="G115" s="98"/>
      <c r="H115" s="98"/>
      <c r="J115" s="98" t="s">
        <v>4783</v>
      </c>
      <c r="K115" s="98"/>
      <c r="L115" s="98"/>
      <c r="M115" s="98"/>
      <c r="N115" s="98"/>
      <c r="O115" s="98"/>
      <c r="Q115" s="4325">
        <v>0.02</v>
      </c>
      <c r="R115" s="4325"/>
      <c r="AA115" s="40"/>
      <c r="AB115" s="40"/>
    </row>
    <row r="116" spans="1:28" s="146" customFormat="1" ht="11.7" customHeight="1">
      <c r="A116" s="98"/>
      <c r="B116" s="98" t="s">
        <v>4784</v>
      </c>
      <c r="C116" s="98"/>
      <c r="D116" s="98"/>
      <c r="E116" s="98"/>
      <c r="F116" s="98" t="s">
        <v>4785</v>
      </c>
      <c r="G116" s="98"/>
      <c r="H116" s="98"/>
      <c r="J116" s="98" t="s">
        <v>4783</v>
      </c>
      <c r="K116" s="98"/>
      <c r="L116" s="98"/>
      <c r="M116" s="98"/>
      <c r="N116" s="98"/>
      <c r="O116" s="98"/>
      <c r="Q116" s="1490">
        <v>7.0000000000000007E-2</v>
      </c>
      <c r="R116" s="1491" t="s">
        <v>4692</v>
      </c>
      <c r="AA116" s="40"/>
      <c r="AB116" s="40"/>
    </row>
    <row r="117" spans="1:28" s="146" customFormat="1" ht="11.7" customHeight="1">
      <c r="A117" s="98"/>
      <c r="B117" s="98"/>
      <c r="C117" s="98"/>
      <c r="D117" s="98"/>
      <c r="E117" s="98"/>
      <c r="F117" s="98" t="s">
        <v>4786</v>
      </c>
      <c r="G117" s="98"/>
      <c r="H117" s="98"/>
      <c r="J117" s="98" t="s">
        <v>4783</v>
      </c>
      <c r="K117" s="98"/>
      <c r="L117" s="98"/>
      <c r="M117" s="98"/>
      <c r="N117" s="98"/>
      <c r="O117" s="98"/>
      <c r="Q117" s="1490">
        <v>7.0000000000000007E-2</v>
      </c>
      <c r="R117" s="1491" t="s">
        <v>4692</v>
      </c>
      <c r="AA117" s="40"/>
      <c r="AB117" s="40"/>
    </row>
    <row r="118" spans="1:28" s="96" customFormat="1" ht="11.7" customHeight="1">
      <c r="A118" s="98"/>
      <c r="B118" s="98" t="s">
        <v>4787</v>
      </c>
      <c r="C118" s="98"/>
      <c r="D118" s="95"/>
      <c r="E118" s="95"/>
      <c r="F118" s="95"/>
      <c r="G118" s="98"/>
      <c r="H118" s="95"/>
      <c r="I118" s="95"/>
      <c r="J118" s="98" t="s">
        <v>4783</v>
      </c>
      <c r="K118" s="98"/>
      <c r="L118" s="98"/>
      <c r="M118" s="98"/>
      <c r="N118" s="98"/>
      <c r="O118" s="98"/>
      <c r="P118" s="95"/>
      <c r="Q118" s="4319">
        <v>0.03</v>
      </c>
      <c r="R118" s="4319"/>
      <c r="S118" s="146"/>
      <c r="T118" s="146"/>
      <c r="U118" s="146"/>
      <c r="AA118" s="40"/>
      <c r="AB118" s="40"/>
    </row>
    <row r="119" spans="1:28" s="96" customFormat="1" ht="11.7" customHeight="1">
      <c r="A119" s="98"/>
      <c r="B119" s="98" t="s">
        <v>4788</v>
      </c>
      <c r="C119" s="98"/>
      <c r="D119" s="95"/>
      <c r="E119" s="95"/>
      <c r="F119" s="95"/>
      <c r="G119" s="98"/>
      <c r="H119" s="95"/>
      <c r="I119" s="95"/>
      <c r="J119" s="98" t="s">
        <v>4783</v>
      </c>
      <c r="K119" s="98"/>
      <c r="L119" s="98"/>
      <c r="M119" s="98"/>
      <c r="N119" s="98"/>
      <c r="O119" s="98"/>
      <c r="P119" s="95"/>
      <c r="Q119" s="4319">
        <v>0.03</v>
      </c>
      <c r="R119" s="4319"/>
      <c r="S119" s="146"/>
      <c r="T119" s="146"/>
      <c r="U119" s="146"/>
      <c r="AA119" s="40"/>
      <c r="AB119" s="40"/>
    </row>
    <row r="120" spans="1:28" s="96" customFormat="1" ht="11.7" customHeight="1">
      <c r="A120" s="98"/>
      <c r="B120" s="98" t="s">
        <v>4789</v>
      </c>
      <c r="C120" s="98"/>
      <c r="D120" s="95"/>
      <c r="E120" s="95"/>
      <c r="F120" s="95"/>
      <c r="G120" s="98"/>
      <c r="H120" s="95"/>
      <c r="I120" s="95"/>
      <c r="J120" s="98" t="s">
        <v>4783</v>
      </c>
      <c r="K120" s="98"/>
      <c r="L120" s="98"/>
      <c r="M120" s="98"/>
      <c r="N120" s="98"/>
      <c r="O120" s="98"/>
      <c r="P120" s="95"/>
      <c r="Q120" s="4320">
        <v>0</v>
      </c>
      <c r="R120" s="4320"/>
      <c r="S120" s="146"/>
      <c r="T120" s="146"/>
      <c r="U120" s="146"/>
      <c r="AA120" s="40"/>
      <c r="AB120" s="40"/>
    </row>
    <row r="121" spans="1:28" s="96" customFormat="1" ht="11.55" customHeight="1">
      <c r="A121" s="95"/>
      <c r="B121" s="98" t="s">
        <v>4790</v>
      </c>
      <c r="C121" s="98"/>
      <c r="D121" s="98"/>
      <c r="E121" s="95"/>
      <c r="F121" s="98" t="s">
        <v>4791</v>
      </c>
      <c r="G121" s="98"/>
      <c r="H121" s="95"/>
      <c r="I121" s="95"/>
      <c r="J121" s="98" t="s">
        <v>670</v>
      </c>
      <c r="K121" s="98"/>
      <c r="L121" s="98"/>
      <c r="M121" s="98"/>
      <c r="N121" s="98"/>
      <c r="O121" s="98"/>
      <c r="P121" s="95"/>
      <c r="Q121" s="1496">
        <v>1.2</v>
      </c>
      <c r="R121" s="1497"/>
      <c r="S121" s="146"/>
      <c r="T121" s="146"/>
      <c r="U121" s="146"/>
      <c r="AA121" s="40"/>
      <c r="AB121" s="40"/>
    </row>
    <row r="122" spans="1:28" s="96" customFormat="1" ht="11.55" customHeight="1">
      <c r="A122" s="95"/>
      <c r="B122" s="98"/>
      <c r="C122" s="98"/>
      <c r="D122" s="98"/>
      <c r="E122" s="95"/>
      <c r="F122" s="98"/>
      <c r="G122" s="98"/>
      <c r="H122" s="95"/>
      <c r="I122" s="95"/>
      <c r="J122" s="98" t="s">
        <v>4694</v>
      </c>
      <c r="K122" s="98"/>
      <c r="L122" s="98"/>
      <c r="M122" s="98"/>
      <c r="N122" s="98"/>
      <c r="O122" s="98"/>
      <c r="P122" s="95"/>
      <c r="Q122" s="1498">
        <v>1.25</v>
      </c>
      <c r="R122" s="1499"/>
      <c r="S122" s="146"/>
      <c r="T122" s="146"/>
      <c r="U122" s="146"/>
      <c r="AA122" s="40"/>
      <c r="AB122" s="40"/>
    </row>
    <row r="123" spans="1:28" s="96" customFormat="1" ht="11.55" customHeight="1">
      <c r="A123" s="95"/>
      <c r="B123" s="98" t="s">
        <v>4792</v>
      </c>
      <c r="C123" s="98"/>
      <c r="D123" s="98"/>
      <c r="E123" s="95"/>
      <c r="F123" s="98"/>
      <c r="G123" s="98"/>
      <c r="H123" s="95"/>
      <c r="I123" s="95"/>
      <c r="J123" s="98" t="s">
        <v>670</v>
      </c>
      <c r="K123" s="98"/>
      <c r="L123" s="98"/>
      <c r="M123" s="98"/>
      <c r="N123" s="98"/>
      <c r="O123" s="98"/>
      <c r="P123" s="95"/>
      <c r="Q123" s="1496">
        <v>1.1000000000000001</v>
      </c>
      <c r="R123" s="1497"/>
      <c r="S123" s="146"/>
      <c r="T123" s="146"/>
      <c r="U123" s="146"/>
      <c r="AA123" s="40"/>
      <c r="AB123" s="40"/>
    </row>
    <row r="124" spans="1:28" s="96" customFormat="1" ht="11.55" customHeight="1">
      <c r="A124" s="95"/>
      <c r="B124" s="98"/>
      <c r="C124" s="98"/>
      <c r="D124" s="98"/>
      <c r="E124" s="95"/>
      <c r="F124" s="98"/>
      <c r="G124" s="98"/>
      <c r="H124" s="95"/>
      <c r="I124" s="95"/>
      <c r="J124" s="98" t="s">
        <v>4694</v>
      </c>
      <c r="K124" s="98"/>
      <c r="L124" s="98"/>
      <c r="M124" s="98"/>
      <c r="N124" s="98"/>
      <c r="O124" s="98"/>
      <c r="P124" s="95"/>
      <c r="Q124" s="1498">
        <v>1.1499999999999999</v>
      </c>
      <c r="R124" s="1499"/>
      <c r="S124" s="146"/>
      <c r="T124" s="146"/>
      <c r="U124" s="146"/>
      <c r="AA124" s="40"/>
      <c r="AB124" s="40"/>
    </row>
    <row r="125" spans="1:28" s="96" customFormat="1" ht="4.3499999999999996" customHeight="1">
      <c r="A125" s="137"/>
      <c r="B125" s="137"/>
      <c r="C125" s="137"/>
      <c r="D125" s="137"/>
      <c r="E125" s="95"/>
      <c r="F125" s="137"/>
      <c r="G125" s="137"/>
      <c r="H125" s="95"/>
      <c r="I125" s="95"/>
      <c r="J125" s="137"/>
      <c r="K125" s="137"/>
      <c r="L125" s="137"/>
      <c r="M125" s="137"/>
      <c r="N125" s="137"/>
      <c r="O125" s="137"/>
      <c r="P125" s="95"/>
      <c r="Q125" s="138"/>
      <c r="R125" s="139"/>
      <c r="S125" s="95"/>
      <c r="T125" s="95"/>
      <c r="U125" s="95"/>
      <c r="W125" s="140"/>
      <c r="X125" s="140"/>
      <c r="Y125" s="140"/>
      <c r="Z125" s="140"/>
      <c r="AA125" s="40"/>
      <c r="AB125" s="40"/>
    </row>
    <row r="126" spans="1:28" s="96" customFormat="1" ht="11.7" customHeight="1">
      <c r="A126" s="141" t="s">
        <v>4793</v>
      </c>
      <c r="B126" s="98"/>
      <c r="C126" s="98"/>
      <c r="D126" s="98" t="s">
        <v>4794</v>
      </c>
      <c r="G126" s="98" t="s">
        <v>2043</v>
      </c>
      <c r="I126" s="95"/>
      <c r="J126" s="150" t="s">
        <v>4795</v>
      </c>
      <c r="K126" s="98"/>
      <c r="L126" s="98"/>
      <c r="M126" s="98"/>
      <c r="N126" s="98"/>
      <c r="P126" s="95"/>
      <c r="Q126" s="4321"/>
      <c r="R126" s="4321"/>
      <c r="S126" s="4321"/>
      <c r="T126" s="4321"/>
      <c r="U126" s="95"/>
      <c r="V126" s="521"/>
      <c r="W126" s="521"/>
      <c r="X126" s="99"/>
      <c r="AA126" s="40"/>
      <c r="AB126" s="40"/>
    </row>
    <row r="127" spans="1:28" s="96" customFormat="1" ht="11.7" customHeight="1">
      <c r="A127" s="141"/>
      <c r="B127" s="98"/>
      <c r="C127" s="98"/>
      <c r="D127" s="95"/>
      <c r="F127" s="98"/>
      <c r="G127" s="98" t="s">
        <v>4796</v>
      </c>
      <c r="I127" s="95"/>
      <c r="J127" s="150" t="s">
        <v>4797</v>
      </c>
      <c r="K127" s="98"/>
      <c r="L127" s="98"/>
      <c r="M127" s="98"/>
      <c r="P127" s="95"/>
      <c r="Q127" s="4321"/>
      <c r="R127" s="4321"/>
      <c r="S127" s="4321"/>
      <c r="T127" s="4321"/>
      <c r="U127" s="95"/>
      <c r="V127" s="521"/>
      <c r="W127" s="521"/>
      <c r="X127" s="99"/>
      <c r="AA127" s="40"/>
      <c r="AB127" s="40"/>
    </row>
    <row r="128" spans="1:28" s="96" customFormat="1" ht="11.25" customHeight="1">
      <c r="A128" s="141"/>
      <c r="B128" s="98"/>
      <c r="C128" s="98"/>
      <c r="D128" s="95"/>
      <c r="E128" s="95"/>
      <c r="G128" s="98"/>
      <c r="I128" s="95"/>
      <c r="S128" s="95"/>
      <c r="T128" s="95"/>
      <c r="U128" s="95"/>
      <c r="V128" s="521"/>
      <c r="W128" s="521"/>
      <c r="X128" s="99"/>
      <c r="AA128" s="40"/>
      <c r="AB128" s="40"/>
    </row>
    <row r="129" spans="1:28" s="96" customFormat="1" ht="11.7" customHeight="1">
      <c r="A129" s="141"/>
      <c r="B129" s="98"/>
      <c r="C129" s="98"/>
      <c r="D129" s="98" t="s">
        <v>4798</v>
      </c>
      <c r="F129" s="98" t="s">
        <v>4659</v>
      </c>
      <c r="G129" s="98" t="s">
        <v>4799</v>
      </c>
      <c r="I129" s="95"/>
      <c r="J129" s="98" t="s">
        <v>4800</v>
      </c>
      <c r="K129" s="98"/>
      <c r="L129" s="98"/>
      <c r="M129" s="98"/>
      <c r="N129" s="98"/>
      <c r="O129" s="98"/>
      <c r="P129" s="95"/>
      <c r="Q129" s="4331">
        <v>0.15</v>
      </c>
      <c r="R129" s="4331"/>
      <c r="S129" s="95"/>
      <c r="T129" s="95"/>
      <c r="U129" s="95"/>
      <c r="V129" s="521"/>
      <c r="W129" s="521"/>
      <c r="X129" s="99"/>
      <c r="AA129" s="40"/>
      <c r="AB129" s="40"/>
    </row>
    <row r="130" spans="1:28" s="96" customFormat="1" ht="11.7" customHeight="1">
      <c r="A130" s="98"/>
      <c r="B130" s="98"/>
      <c r="C130" s="98"/>
      <c r="D130" s="95"/>
      <c r="E130" s="95"/>
      <c r="F130" s="98"/>
      <c r="G130" s="98" t="s">
        <v>2019</v>
      </c>
      <c r="H130" s="98" t="s">
        <v>4801</v>
      </c>
      <c r="J130" s="98" t="s">
        <v>4802</v>
      </c>
      <c r="K130" s="98"/>
      <c r="L130" s="98"/>
      <c r="M130" s="98"/>
      <c r="O130" s="143" t="s">
        <v>4803</v>
      </c>
      <c r="P130" s="95"/>
      <c r="Q130" s="4332">
        <v>1105000</v>
      </c>
      <c r="R130" s="4332"/>
      <c r="S130" s="142"/>
      <c r="T130" s="142"/>
      <c r="U130" s="95"/>
      <c r="V130" s="222"/>
      <c r="W130" s="222"/>
      <c r="X130" s="222"/>
      <c r="AA130" s="40"/>
      <c r="AB130" s="40"/>
    </row>
    <row r="131" spans="1:28" s="96" customFormat="1" ht="11.7" customHeight="1">
      <c r="A131" s="98"/>
      <c r="B131" s="98"/>
      <c r="C131" s="98"/>
      <c r="D131" s="95"/>
      <c r="E131" s="95"/>
      <c r="F131" s="98"/>
      <c r="G131" s="98"/>
      <c r="H131" s="98" t="s">
        <v>4804</v>
      </c>
      <c r="J131" s="98" t="s">
        <v>4802</v>
      </c>
      <c r="K131" s="98"/>
      <c r="L131" s="98"/>
      <c r="M131" s="98"/>
      <c r="O131" s="143" t="s">
        <v>4805</v>
      </c>
      <c r="P131" s="95"/>
      <c r="Q131" s="4322">
        <v>1225000</v>
      </c>
      <c r="R131" s="4322"/>
      <c r="S131" s="142"/>
      <c r="T131" s="142"/>
      <c r="U131" s="95"/>
      <c r="V131" s="222"/>
      <c r="W131" s="222"/>
      <c r="X131" s="222"/>
      <c r="AA131" s="40"/>
      <c r="AB131" s="40"/>
    </row>
    <row r="132" spans="1:28" s="96" customFormat="1" ht="11.7" customHeight="1">
      <c r="A132" s="98"/>
      <c r="B132" s="98"/>
      <c r="C132" s="98"/>
      <c r="D132" s="95"/>
      <c r="E132" s="95"/>
      <c r="F132" s="98"/>
      <c r="G132" s="98"/>
      <c r="H132" s="98" t="s">
        <v>4806</v>
      </c>
      <c r="I132" s="95"/>
      <c r="J132" s="98" t="s">
        <v>4802</v>
      </c>
      <c r="K132" s="98"/>
      <c r="O132" s="143" t="s">
        <v>4807</v>
      </c>
      <c r="Q132" s="4322">
        <v>1105000</v>
      </c>
      <c r="R132" s="4322"/>
      <c r="S132" s="142"/>
      <c r="T132" s="142"/>
      <c r="U132" s="95"/>
      <c r="V132" s="222"/>
      <c r="W132" s="222"/>
      <c r="X132" s="222"/>
      <c r="AA132" s="40"/>
      <c r="AB132" s="40"/>
    </row>
    <row r="133" spans="1:28" s="96" customFormat="1" ht="11.7" customHeight="1">
      <c r="A133" s="98"/>
      <c r="B133" s="98"/>
      <c r="C133" s="98"/>
      <c r="D133" s="95"/>
      <c r="E133" s="95"/>
      <c r="F133" s="98"/>
      <c r="G133" s="98"/>
      <c r="H133" s="98" t="s">
        <v>4808</v>
      </c>
      <c r="I133" s="95"/>
      <c r="J133" s="98" t="s">
        <v>4802</v>
      </c>
      <c r="K133" s="98"/>
      <c r="O133" s="143" t="s">
        <v>4805</v>
      </c>
      <c r="Q133" s="4323">
        <v>1105000</v>
      </c>
      <c r="R133" s="4324"/>
      <c r="S133" s="142"/>
      <c r="T133" s="142"/>
      <c r="U133" s="95"/>
      <c r="V133" s="222"/>
      <c r="W133" s="222"/>
      <c r="X133" s="222"/>
      <c r="AA133" s="40"/>
      <c r="AB133" s="40"/>
    </row>
    <row r="134" spans="1:28" s="96" customFormat="1" ht="11.7" customHeight="1">
      <c r="A134" s="98"/>
      <c r="B134" s="98"/>
      <c r="C134" s="98"/>
      <c r="D134" s="95"/>
      <c r="E134" s="95"/>
      <c r="F134" s="98"/>
      <c r="G134" s="98" t="s">
        <v>1255</v>
      </c>
      <c r="H134" s="137" t="s">
        <v>4809</v>
      </c>
      <c r="I134" s="95"/>
      <c r="J134" s="137" t="s">
        <v>4800</v>
      </c>
      <c r="K134" s="98"/>
      <c r="L134" s="98"/>
      <c r="M134" s="98"/>
      <c r="O134" s="98"/>
      <c r="P134" s="98"/>
      <c r="Q134" s="98"/>
      <c r="R134" s="98"/>
      <c r="S134" s="142"/>
      <c r="T134" s="142"/>
      <c r="U134" s="95"/>
      <c r="V134" s="222"/>
      <c r="W134" s="222"/>
      <c r="X134" s="222"/>
      <c r="AA134" s="40"/>
      <c r="AB134" s="40"/>
    </row>
    <row r="135" spans="1:28" ht="12.75" customHeight="1">
      <c r="G135" s="1378"/>
      <c r="H135" s="98" t="s">
        <v>4688</v>
      </c>
      <c r="J135" s="4325">
        <v>0.35</v>
      </c>
      <c r="K135" s="4325"/>
      <c r="L135" s="98"/>
      <c r="M135" s="98"/>
      <c r="N135" s="98"/>
      <c r="O135" s="98"/>
      <c r="P135" s="98"/>
      <c r="Q135" s="98"/>
      <c r="R135" s="98"/>
    </row>
    <row r="136" spans="1:28" ht="11.25" customHeight="1">
      <c r="G136" s="98"/>
      <c r="H136" s="98" t="s">
        <v>4810</v>
      </c>
      <c r="I136" s="95"/>
      <c r="J136" s="4319">
        <v>0.35</v>
      </c>
      <c r="K136" s="4319"/>
      <c r="L136" s="98"/>
      <c r="M136" s="98"/>
      <c r="N136" s="98"/>
      <c r="O136" s="98"/>
      <c r="P136" s="98"/>
      <c r="Q136" s="98"/>
      <c r="R136" s="98"/>
    </row>
    <row r="137" spans="1:28" ht="11.25" customHeight="1">
      <c r="A137" s="141"/>
      <c r="G137" s="98"/>
      <c r="H137" s="98" t="s">
        <v>4811</v>
      </c>
      <c r="I137" s="95"/>
      <c r="J137" s="4316">
        <v>0.3</v>
      </c>
      <c r="K137" s="4316"/>
      <c r="L137" s="98"/>
      <c r="M137" s="98"/>
      <c r="N137" s="98"/>
      <c r="O137" s="98"/>
      <c r="P137" s="98"/>
      <c r="Q137" s="98"/>
      <c r="R137" s="98"/>
    </row>
    <row r="138" spans="1:28" s="96" customFormat="1" ht="11.25" customHeight="1">
      <c r="A138" s="141"/>
      <c r="B138" s="98"/>
      <c r="C138" s="98"/>
      <c r="D138" s="95"/>
      <c r="E138" s="95"/>
      <c r="G138" s="98"/>
      <c r="I138" s="95"/>
      <c r="S138" s="95"/>
      <c r="T138" s="95"/>
      <c r="U138" s="95"/>
      <c r="V138" s="521"/>
      <c r="W138" s="521"/>
      <c r="X138" s="99"/>
      <c r="AA138" s="40"/>
      <c r="AB138" s="40"/>
    </row>
    <row r="139" spans="1:28" s="96" customFormat="1" ht="11.25" customHeight="1">
      <c r="A139" s="141"/>
      <c r="B139" s="98"/>
      <c r="C139" s="98"/>
      <c r="D139" s="98" t="s">
        <v>4812</v>
      </c>
      <c r="E139" s="95"/>
      <c r="G139" s="98" t="s">
        <v>4813</v>
      </c>
      <c r="I139" s="95"/>
      <c r="J139" s="98" t="s">
        <v>4814</v>
      </c>
      <c r="Q139" s="1489"/>
      <c r="R139" s="1489"/>
      <c r="S139" s="95"/>
      <c r="T139" s="95"/>
      <c r="U139" s="95"/>
      <c r="V139" s="521"/>
      <c r="W139" s="521"/>
      <c r="X139" s="99"/>
      <c r="AA139" s="40"/>
      <c r="AB139" s="40"/>
    </row>
    <row r="140" spans="1:28" s="96" customFormat="1" ht="11.25" customHeight="1">
      <c r="A140" s="141"/>
      <c r="B140" s="98"/>
      <c r="C140" s="98"/>
      <c r="D140" s="95"/>
      <c r="E140" s="95"/>
      <c r="G140" s="98" t="s">
        <v>4815</v>
      </c>
      <c r="I140" s="95"/>
      <c r="J140" s="98" t="s">
        <v>4816</v>
      </c>
      <c r="P140" s="482" t="s">
        <v>4817</v>
      </c>
      <c r="Q140" s="4326">
        <v>30000000</v>
      </c>
      <c r="R140" s="4326"/>
      <c r="S140" s="95"/>
      <c r="T140" s="95"/>
      <c r="U140" s="95"/>
      <c r="V140" s="521"/>
      <c r="W140" s="521"/>
      <c r="X140" s="99"/>
      <c r="AA140" s="40"/>
      <c r="AB140" s="40"/>
    </row>
    <row r="141" spans="1:28" s="96" customFormat="1" ht="11.25" customHeight="1">
      <c r="A141" s="141"/>
      <c r="B141" s="98"/>
      <c r="C141" s="98"/>
      <c r="D141" s="95"/>
      <c r="E141" s="95"/>
      <c r="G141" s="98" t="s">
        <v>4818</v>
      </c>
      <c r="I141" s="95"/>
      <c r="J141" s="98" t="s">
        <v>4819</v>
      </c>
      <c r="S141" s="95"/>
      <c r="T141" s="95"/>
      <c r="U141" s="95"/>
      <c r="V141" s="521"/>
      <c r="W141" s="521"/>
      <c r="X141" s="99"/>
      <c r="AA141" s="40"/>
      <c r="AB141" s="40"/>
    </row>
    <row r="142" spans="1:28" s="96" customFormat="1" ht="11.25" customHeight="1">
      <c r="A142" s="141"/>
      <c r="B142" s="98"/>
      <c r="C142" s="98"/>
      <c r="D142" s="95"/>
      <c r="E142" s="95"/>
      <c r="G142" s="98"/>
      <c r="I142" s="95"/>
      <c r="J142" s="658" t="s">
        <v>4820</v>
      </c>
      <c r="S142" s="95"/>
      <c r="T142" s="95"/>
      <c r="U142" s="95"/>
      <c r="V142" s="521"/>
      <c r="W142" s="521"/>
      <c r="X142" s="99"/>
      <c r="AA142" s="40"/>
      <c r="AB142" s="40"/>
    </row>
    <row r="143" spans="1:28" s="96" customFormat="1" ht="11.25" customHeight="1">
      <c r="A143" s="141"/>
      <c r="B143" s="98"/>
      <c r="C143" s="98"/>
      <c r="D143" s="95"/>
      <c r="E143" s="95"/>
      <c r="G143" s="98"/>
      <c r="I143" s="95"/>
      <c r="S143" s="95"/>
      <c r="T143" s="95"/>
      <c r="U143" s="95"/>
      <c r="V143" s="521"/>
      <c r="W143" s="521"/>
      <c r="X143" s="99"/>
      <c r="AA143" s="40"/>
      <c r="AB143" s="40"/>
    </row>
    <row r="144" spans="1:28" s="96" customFormat="1" ht="11.7" customHeight="1">
      <c r="A144" s="98"/>
      <c r="B144" s="98"/>
      <c r="C144" s="98"/>
      <c r="D144" s="95"/>
      <c r="E144" s="95"/>
      <c r="G144" s="98" t="s">
        <v>4821</v>
      </c>
      <c r="H144" s="98"/>
      <c r="I144" s="95"/>
      <c r="J144" s="98" t="s">
        <v>4822</v>
      </c>
      <c r="K144" s="98"/>
      <c r="L144" s="98"/>
      <c r="M144" s="98"/>
      <c r="N144" s="98"/>
      <c r="O144" s="98"/>
      <c r="P144" s="95"/>
      <c r="Q144" s="4327"/>
      <c r="R144" s="4328"/>
      <c r="S144" s="142"/>
      <c r="T144" s="142"/>
      <c r="U144" s="95"/>
      <c r="V144" s="222"/>
      <c r="W144" s="222"/>
      <c r="X144" s="222"/>
      <c r="AA144" s="40"/>
      <c r="AB144" s="40"/>
    </row>
    <row r="145" spans="1:28" s="96" customFormat="1" ht="11.7" customHeight="1">
      <c r="A145" s="98"/>
      <c r="B145" s="98"/>
      <c r="C145" s="98"/>
      <c r="D145" s="95"/>
      <c r="E145" s="95"/>
      <c r="F145" s="98" t="s">
        <v>4670</v>
      </c>
      <c r="G145" s="98" t="s">
        <v>2067</v>
      </c>
      <c r="I145" s="95"/>
      <c r="J145" s="98" t="s">
        <v>4823</v>
      </c>
      <c r="K145" s="98"/>
      <c r="L145" s="98"/>
      <c r="M145" s="98"/>
      <c r="N145" s="98"/>
      <c r="O145" s="98"/>
      <c r="P145" s="95"/>
      <c r="Q145" s="4329">
        <v>4000000</v>
      </c>
      <c r="R145" s="4329"/>
      <c r="S145" s="142"/>
      <c r="T145" s="142"/>
      <c r="U145" s="95"/>
      <c r="V145" s="222"/>
      <c r="W145" s="222"/>
      <c r="X145" s="222"/>
      <c r="AA145" s="40"/>
      <c r="AB145" s="40"/>
    </row>
    <row r="146" spans="1:28" s="96" customFormat="1" ht="11.7" customHeight="1">
      <c r="A146" s="98"/>
      <c r="B146" s="98"/>
      <c r="C146" s="98"/>
      <c r="D146" s="95"/>
      <c r="E146" s="95"/>
      <c r="F146" s="98"/>
      <c r="G146" s="98" t="s">
        <v>4824</v>
      </c>
      <c r="H146" s="95"/>
      <c r="I146" s="95"/>
      <c r="J146" s="98" t="s">
        <v>4802</v>
      </c>
      <c r="K146" s="98"/>
      <c r="O146" s="98" t="s">
        <v>4825</v>
      </c>
      <c r="Q146" s="4323">
        <v>1035000</v>
      </c>
      <c r="R146" s="4324"/>
      <c r="S146" s="142"/>
      <c r="T146" s="142"/>
      <c r="U146" s="95"/>
      <c r="V146" s="222"/>
      <c r="W146" s="222"/>
      <c r="X146" s="222"/>
      <c r="AA146" s="40"/>
      <c r="AB146" s="40"/>
    </row>
    <row r="147" spans="1:28" s="96" customFormat="1" ht="12.75" customHeight="1">
      <c r="A147" s="141"/>
      <c r="B147" s="98"/>
      <c r="C147" s="98"/>
      <c r="D147" s="95"/>
      <c r="E147" s="95"/>
      <c r="F147" s="98"/>
      <c r="G147" s="98"/>
      <c r="H147" s="95"/>
      <c r="I147" s="95"/>
      <c r="J147" s="98"/>
      <c r="K147" s="98"/>
      <c r="L147" s="98"/>
      <c r="M147" s="98"/>
      <c r="N147" s="98"/>
      <c r="O147" s="98"/>
      <c r="P147" s="95"/>
      <c r="Q147" s="215"/>
      <c r="R147" s="215"/>
      <c r="S147" s="95"/>
      <c r="T147" s="95"/>
      <c r="U147" s="95"/>
      <c r="V147" s="521"/>
      <c r="W147" s="521"/>
      <c r="X147" s="99"/>
      <c r="AA147" s="40"/>
      <c r="AB147" s="40"/>
    </row>
    <row r="148" spans="1:28" s="96" customFormat="1" ht="12.75" customHeight="1">
      <c r="A148" s="141" t="s">
        <v>4826</v>
      </c>
      <c r="B148" s="98"/>
      <c r="C148" s="98"/>
      <c r="D148" s="95"/>
      <c r="E148" s="95"/>
      <c r="F148" s="98" t="s">
        <v>4827</v>
      </c>
      <c r="G148" s="98"/>
      <c r="H148" s="95"/>
      <c r="I148" s="95"/>
      <c r="J148" s="98" t="s">
        <v>4828</v>
      </c>
      <c r="K148" s="98"/>
      <c r="L148" s="98"/>
      <c r="M148" s="98"/>
      <c r="N148" s="98"/>
      <c r="O148" s="98"/>
      <c r="P148" s="95"/>
      <c r="Q148" s="4330">
        <v>0.05</v>
      </c>
      <c r="R148" s="4330"/>
      <c r="S148" s="95"/>
      <c r="T148" s="95"/>
      <c r="U148" s="95"/>
      <c r="V148" s="521"/>
      <c r="W148" s="521"/>
      <c r="X148" s="99"/>
      <c r="AA148" s="40"/>
      <c r="AB148" s="40"/>
    </row>
    <row r="149" spans="1:28" s="96" customFormat="1" ht="12.75" customHeight="1">
      <c r="A149" s="141"/>
      <c r="B149" s="98"/>
      <c r="C149" s="98"/>
      <c r="D149" s="95"/>
      <c r="E149" s="95"/>
      <c r="F149" s="98"/>
      <c r="G149" s="98" t="s">
        <v>4829</v>
      </c>
      <c r="H149" s="95"/>
      <c r="I149" s="95"/>
      <c r="J149" s="98" t="s">
        <v>4830</v>
      </c>
      <c r="K149" s="98"/>
      <c r="L149" s="98"/>
      <c r="M149" s="98"/>
      <c r="N149" s="98"/>
      <c r="O149" s="98"/>
      <c r="P149" s="95"/>
      <c r="Q149" s="4317">
        <v>0.4</v>
      </c>
      <c r="R149" s="4317"/>
      <c r="S149" s="95"/>
      <c r="T149" s="95"/>
      <c r="U149" s="95"/>
      <c r="V149" s="521"/>
      <c r="W149" s="521"/>
      <c r="X149" s="99"/>
      <c r="AA149" s="40"/>
      <c r="AB149" s="40"/>
    </row>
    <row r="150" spans="1:28" s="96" customFormat="1" ht="12.75" customHeight="1">
      <c r="A150" s="141"/>
      <c r="B150" s="98"/>
      <c r="C150" s="98"/>
      <c r="E150" s="95"/>
      <c r="F150" s="98" t="s">
        <v>4831</v>
      </c>
      <c r="G150" s="98"/>
      <c r="H150" s="95"/>
      <c r="I150" s="95"/>
      <c r="J150" s="98" t="s">
        <v>4828</v>
      </c>
      <c r="K150" s="98"/>
      <c r="L150" s="98"/>
      <c r="M150" s="98"/>
      <c r="N150" s="98"/>
      <c r="O150" s="98"/>
      <c r="P150" s="95"/>
      <c r="Q150" s="4318">
        <v>0.02</v>
      </c>
      <c r="R150" s="4318"/>
      <c r="S150" s="95"/>
      <c r="T150" s="95"/>
      <c r="U150" s="95"/>
      <c r="V150" s="521"/>
      <c r="W150" s="521"/>
      <c r="X150" s="99"/>
      <c r="AA150" s="40"/>
      <c r="AB150" s="40"/>
    </row>
    <row r="151" spans="1:28" s="96" customFormat="1" ht="12.75" customHeight="1">
      <c r="A151" s="141"/>
      <c r="B151" s="98"/>
      <c r="C151" s="98"/>
      <c r="E151" s="95"/>
      <c r="F151" s="98"/>
      <c r="G151" s="98"/>
      <c r="H151" s="95"/>
      <c r="I151" s="95"/>
      <c r="J151" s="98"/>
      <c r="K151" s="98"/>
      <c r="L151" s="98"/>
      <c r="M151" s="98"/>
      <c r="N151" s="98"/>
      <c r="O151" s="98"/>
      <c r="P151" s="95"/>
      <c r="Q151" s="215"/>
      <c r="R151" s="215"/>
      <c r="S151" s="95"/>
      <c r="T151" s="95"/>
      <c r="U151" s="95"/>
      <c r="V151" s="521"/>
      <c r="W151" s="521"/>
      <c r="X151" s="99"/>
      <c r="AA151" s="40"/>
      <c r="AB151" s="40"/>
    </row>
    <row r="152" spans="1:28" s="96" customFormat="1" ht="12.75" customHeight="1">
      <c r="A152" s="4310" t="s">
        <v>4832</v>
      </c>
      <c r="B152" s="4310"/>
      <c r="C152" s="2887">
        <v>2024</v>
      </c>
      <c r="D152" s="4311" t="s">
        <v>4833</v>
      </c>
      <c r="E152" s="1776" t="s">
        <v>4834</v>
      </c>
      <c r="F152" s="98"/>
      <c r="G152" s="98"/>
      <c r="H152" s="95"/>
      <c r="I152" s="95"/>
      <c r="J152" s="98"/>
      <c r="K152" s="98"/>
      <c r="L152" s="98"/>
      <c r="M152" s="98"/>
      <c r="N152" s="98"/>
      <c r="O152" s="98"/>
      <c r="P152" s="95"/>
      <c r="Q152" s="215"/>
      <c r="R152" s="215"/>
      <c r="S152" s="95"/>
      <c r="T152" s="95"/>
      <c r="U152" s="95"/>
      <c r="V152" s="521"/>
      <c r="W152" s="521"/>
      <c r="X152" s="99"/>
      <c r="AA152" s="40"/>
      <c r="AB152" s="40"/>
    </row>
    <row r="153" spans="1:28" ht="13.35" customHeight="1">
      <c r="A153" s="4310"/>
      <c r="B153" s="4310"/>
      <c r="D153" s="4312"/>
      <c r="E153" s="1777" t="s">
        <v>4835</v>
      </c>
      <c r="F153" s="148"/>
      <c r="G153" s="148"/>
      <c r="H153" s="148"/>
      <c r="I153" s="148"/>
    </row>
    <row r="154" spans="1:28" ht="13.8">
      <c r="A154" s="4310"/>
      <c r="B154" s="4310"/>
      <c r="C154" s="98"/>
      <c r="D154" s="4312"/>
      <c r="H154" s="4313" t="s">
        <v>4836</v>
      </c>
      <c r="J154" s="93" t="s">
        <v>4837</v>
      </c>
      <c r="K154" s="93"/>
      <c r="L154" s="135"/>
    </row>
    <row r="155" spans="1:28" ht="13.8">
      <c r="A155" s="4310"/>
      <c r="B155" s="4310"/>
      <c r="C155" s="521" t="s">
        <v>4838</v>
      </c>
      <c r="D155" s="887" t="s">
        <v>1269</v>
      </c>
      <c r="F155" s="521" t="s">
        <v>4839</v>
      </c>
      <c r="H155" s="4314"/>
      <c r="J155" s="214" t="s">
        <v>4838</v>
      </c>
      <c r="K155" s="214" t="s">
        <v>4840</v>
      </c>
      <c r="L155" s="2516" t="s">
        <v>4841</v>
      </c>
    </row>
    <row r="156" spans="1:28" ht="10.5" customHeight="1">
      <c r="C156" s="222">
        <v>0</v>
      </c>
      <c r="D156" s="486">
        <v>75620</v>
      </c>
      <c r="E156" s="2591" t="s">
        <v>4842</v>
      </c>
      <c r="F156" s="1375">
        <v>2.4</v>
      </c>
      <c r="G156" s="2596" t="s">
        <v>741</v>
      </c>
      <c r="H156" s="1376">
        <f>D156*F156</f>
        <v>181488</v>
      </c>
      <c r="J156" s="222">
        <v>0</v>
      </c>
      <c r="K156" s="222">
        <v>0.7</v>
      </c>
      <c r="L156" s="222">
        <v>1</v>
      </c>
    </row>
    <row r="157" spans="1:28" ht="10.5" customHeight="1">
      <c r="C157" s="222">
        <v>1</v>
      </c>
      <c r="D157" s="486">
        <v>86687</v>
      </c>
      <c r="E157" s="2591" t="s">
        <v>4842</v>
      </c>
      <c r="F157" s="1375">
        <v>2.4</v>
      </c>
      <c r="G157" s="2596" t="s">
        <v>741</v>
      </c>
      <c r="H157" s="1376">
        <f t="shared" ref="H157:H160" si="0">D157*F157</f>
        <v>208048.8</v>
      </c>
      <c r="J157" s="222">
        <v>1</v>
      </c>
      <c r="K157" s="222">
        <v>0.75</v>
      </c>
      <c r="L157" s="222">
        <v>1.5</v>
      </c>
    </row>
    <row r="158" spans="1:28" ht="10.5" customHeight="1">
      <c r="C158" s="222">
        <v>2</v>
      </c>
      <c r="D158" s="486">
        <v>105414</v>
      </c>
      <c r="E158" s="2591" t="s">
        <v>4842</v>
      </c>
      <c r="F158" s="1375">
        <v>2.4</v>
      </c>
      <c r="G158" s="2596" t="s">
        <v>741</v>
      </c>
      <c r="H158" s="1376">
        <f t="shared" si="0"/>
        <v>252993.59999999998</v>
      </c>
      <c r="J158" s="222">
        <v>2</v>
      </c>
      <c r="K158" s="222">
        <v>0.9</v>
      </c>
      <c r="L158" s="222">
        <v>3</v>
      </c>
    </row>
    <row r="159" spans="1:28" ht="10.5" customHeight="1">
      <c r="C159" s="222">
        <v>3</v>
      </c>
      <c r="D159" s="486">
        <v>136372</v>
      </c>
      <c r="E159" s="2591" t="s">
        <v>4842</v>
      </c>
      <c r="F159" s="1375">
        <v>2.4</v>
      </c>
      <c r="G159" s="2596" t="s">
        <v>741</v>
      </c>
      <c r="H159" s="1376">
        <f t="shared" si="0"/>
        <v>327292.79999999999</v>
      </c>
      <c r="J159" s="222">
        <v>3</v>
      </c>
      <c r="K159" s="222">
        <v>1.04</v>
      </c>
      <c r="L159" s="222">
        <v>4.5</v>
      </c>
    </row>
    <row r="160" spans="1:28" ht="10.5" customHeight="1">
      <c r="C160" s="222" t="s">
        <v>4843</v>
      </c>
      <c r="D160" s="486">
        <v>149693</v>
      </c>
      <c r="E160" s="2591" t="s">
        <v>4842</v>
      </c>
      <c r="F160" s="1375">
        <v>2.4</v>
      </c>
      <c r="G160" s="2596" t="s">
        <v>741</v>
      </c>
      <c r="H160" s="1377">
        <f t="shared" si="0"/>
        <v>359263.2</v>
      </c>
      <c r="J160" s="222">
        <v>4</v>
      </c>
      <c r="K160" s="222">
        <v>1.1599999999999999</v>
      </c>
      <c r="L160" s="222">
        <v>6</v>
      </c>
    </row>
    <row r="161" spans="2:37" ht="10.5" customHeight="1">
      <c r="E161" s="222"/>
      <c r="F161" s="486"/>
      <c r="J161" s="222">
        <v>5</v>
      </c>
      <c r="K161" s="222">
        <v>1.28</v>
      </c>
      <c r="L161" s="222">
        <v>7.5</v>
      </c>
    </row>
    <row r="162" spans="2:37" ht="10.5" customHeight="1">
      <c r="E162" s="146"/>
      <c r="F162" s="146"/>
      <c r="J162" s="222"/>
      <c r="K162" s="222"/>
      <c r="L162" s="222"/>
    </row>
    <row r="163" spans="2:37" ht="10.5" customHeight="1">
      <c r="C163" s="4315" t="s">
        <v>4844</v>
      </c>
      <c r="E163" s="146"/>
      <c r="F163" s="146"/>
    </row>
    <row r="164" spans="2:37" ht="10.5" customHeight="1">
      <c r="C164" s="4315"/>
      <c r="E164" s="146"/>
      <c r="F164" s="146"/>
    </row>
    <row r="165" spans="2:37" ht="10.5" customHeight="1">
      <c r="C165" s="4315"/>
      <c r="D165" s="674"/>
      <c r="E165" s="333"/>
      <c r="F165" s="146"/>
    </row>
    <row r="166" spans="2:37" ht="27.75" customHeight="1">
      <c r="C166" s="273" t="s">
        <v>1148</v>
      </c>
      <c r="D166" s="213"/>
      <c r="E166" s="146"/>
      <c r="F166" s="307" t="s">
        <v>193</v>
      </c>
      <c r="G166" s="307" t="s">
        <v>1994</v>
      </c>
      <c r="H166" s="307" t="s">
        <v>4845</v>
      </c>
      <c r="I166" s="307" t="s">
        <v>4846</v>
      </c>
      <c r="J166" s="307" t="s">
        <v>4847</v>
      </c>
      <c r="K166" s="307" t="s">
        <v>4848</v>
      </c>
      <c r="L166" s="308" t="s">
        <v>4849</v>
      </c>
      <c r="M166" s="1345" t="s">
        <v>4850</v>
      </c>
      <c r="N166" s="308" t="s">
        <v>4851</v>
      </c>
      <c r="O166" s="308" t="s">
        <v>4852</v>
      </c>
      <c r="P166" s="307" t="s">
        <v>4853</v>
      </c>
      <c r="Q166" s="307"/>
      <c r="R166" s="98"/>
      <c r="S166" s="146"/>
      <c r="T166" s="804" t="s">
        <v>48</v>
      </c>
      <c r="U166" s="309" t="s">
        <v>50</v>
      </c>
      <c r="W166" s="327"/>
      <c r="Z166" s="25"/>
      <c r="AA166" s="25"/>
      <c r="AB166" s="77"/>
      <c r="AC166" s="40"/>
      <c r="AD166" s="40"/>
      <c r="AE166" s="77"/>
      <c r="AF166" s="77"/>
      <c r="AG166" s="77"/>
      <c r="AH166" s="77"/>
      <c r="AI166" s="77"/>
      <c r="AJ166" s="77"/>
      <c r="AK166" s="77"/>
    </row>
    <row r="167" spans="2:37" ht="10.5" customHeight="1">
      <c r="B167" s="146"/>
      <c r="C167" s="211" t="s">
        <v>2057</v>
      </c>
      <c r="D167" s="247"/>
      <c r="E167" s="146"/>
      <c r="F167" s="146" t="s">
        <v>291</v>
      </c>
      <c r="G167" s="578" t="s">
        <v>4854</v>
      </c>
      <c r="H167" s="578" t="s">
        <v>4855</v>
      </c>
      <c r="I167" s="579" t="s">
        <v>4856</v>
      </c>
      <c r="J167" s="579" t="s">
        <v>4690</v>
      </c>
      <c r="K167" s="580" t="s">
        <v>4857</v>
      </c>
      <c r="L167" s="581" t="s">
        <v>4858</v>
      </c>
      <c r="M167" s="1346" t="s">
        <v>4688</v>
      </c>
      <c r="N167" s="581" t="s">
        <v>4859</v>
      </c>
      <c r="O167" s="721" t="s">
        <v>4860</v>
      </c>
      <c r="P167" s="150" t="s">
        <v>4861</v>
      </c>
      <c r="Q167" s="150"/>
      <c r="R167" s="98"/>
      <c r="S167" s="146"/>
      <c r="T167" s="279" t="s">
        <v>49</v>
      </c>
      <c r="U167" s="279" t="s">
        <v>4862</v>
      </c>
      <c r="W167" s="25"/>
      <c r="X167" s="25"/>
      <c r="Z167" s="25"/>
      <c r="AA167" s="77"/>
      <c r="AB167" s="77"/>
      <c r="AC167" s="272"/>
      <c r="AD167" s="40"/>
      <c r="AE167" s="77"/>
      <c r="AF167" s="77"/>
      <c r="AG167" s="77"/>
      <c r="AH167" s="77"/>
      <c r="AI167" s="77"/>
      <c r="AJ167" s="77"/>
      <c r="AK167" s="77"/>
    </row>
    <row r="168" spans="2:37" ht="10.5" customHeight="1">
      <c r="B168" s="146"/>
      <c r="C168" s="211" t="s">
        <v>4856</v>
      </c>
      <c r="D168" s="247"/>
      <c r="E168" s="146"/>
      <c r="F168" s="146" t="s">
        <v>290</v>
      </c>
      <c r="G168" s="578" t="s">
        <v>4863</v>
      </c>
      <c r="H168" s="578" t="s">
        <v>4855</v>
      </c>
      <c r="I168" s="579" t="s">
        <v>4864</v>
      </c>
      <c r="J168" s="579" t="s">
        <v>4690</v>
      </c>
      <c r="K168" s="580" t="s">
        <v>4865</v>
      </c>
      <c r="L168" s="581" t="s">
        <v>4858</v>
      </c>
      <c r="M168" s="1346" t="s">
        <v>4688</v>
      </c>
      <c r="N168" s="581" t="s">
        <v>2143</v>
      </c>
      <c r="O168" s="721" t="s">
        <v>4866</v>
      </c>
      <c r="P168" s="150" t="s">
        <v>4867</v>
      </c>
      <c r="Q168" s="150"/>
      <c r="R168" s="98"/>
      <c r="S168" s="146"/>
      <c r="T168" s="279" t="s">
        <v>4868</v>
      </c>
      <c r="U168" s="279" t="s">
        <v>4869</v>
      </c>
      <c r="W168" s="25"/>
      <c r="X168" s="25"/>
      <c r="Z168" s="25"/>
      <c r="AA168" s="77"/>
      <c r="AB168" s="77"/>
      <c r="AC168" s="272"/>
      <c r="AD168" s="40"/>
      <c r="AE168" s="77"/>
      <c r="AF168" s="77"/>
      <c r="AG168" s="77"/>
      <c r="AH168" s="77"/>
      <c r="AI168" s="77"/>
      <c r="AJ168" s="77"/>
      <c r="AK168" s="77"/>
    </row>
    <row r="169" spans="2:37" ht="10.5" customHeight="1">
      <c r="B169" s="146"/>
      <c r="C169" s="211" t="s">
        <v>2065</v>
      </c>
      <c r="D169" s="247"/>
      <c r="E169" s="146"/>
      <c r="F169" s="146" t="s">
        <v>293</v>
      </c>
      <c r="G169" s="578" t="s">
        <v>4870</v>
      </c>
      <c r="H169" s="578" t="s">
        <v>4855</v>
      </c>
      <c r="I169" s="579" t="s">
        <v>4871</v>
      </c>
      <c r="J169" s="579" t="s">
        <v>4690</v>
      </c>
      <c r="K169" s="580" t="s">
        <v>4872</v>
      </c>
      <c r="L169" s="581" t="s">
        <v>4858</v>
      </c>
      <c r="M169" s="1346" t="s">
        <v>4688</v>
      </c>
      <c r="N169" s="581" t="s">
        <v>2143</v>
      </c>
      <c r="O169" s="721" t="s">
        <v>4873</v>
      </c>
      <c r="P169" s="150" t="s">
        <v>4874</v>
      </c>
      <c r="Q169" s="150"/>
      <c r="R169" s="98"/>
      <c r="S169" s="146"/>
      <c r="T169" s="279" t="s">
        <v>4875</v>
      </c>
      <c r="U169" s="279" t="s">
        <v>110</v>
      </c>
      <c r="W169" s="25"/>
      <c r="X169" s="25"/>
      <c r="Z169" s="25"/>
      <c r="AA169" s="77"/>
      <c r="AB169" s="77"/>
      <c r="AC169" s="272"/>
      <c r="AD169" s="40"/>
      <c r="AE169" s="77"/>
      <c r="AF169" s="77"/>
      <c r="AG169" s="77"/>
      <c r="AH169" s="77"/>
      <c r="AI169" s="77"/>
      <c r="AJ169" s="77"/>
      <c r="AK169" s="77"/>
    </row>
    <row r="170" spans="2:37" ht="10.5" customHeight="1">
      <c r="B170" s="146"/>
      <c r="C170" s="211" t="s">
        <v>4864</v>
      </c>
      <c r="D170" s="247"/>
      <c r="E170" s="146"/>
      <c r="F170" s="146" t="s">
        <v>292</v>
      </c>
      <c r="G170" s="578" t="s">
        <v>4876</v>
      </c>
      <c r="H170" s="578" t="s">
        <v>4855</v>
      </c>
      <c r="I170" s="582" t="s">
        <v>4877</v>
      </c>
      <c r="J170" s="582" t="s">
        <v>4690</v>
      </c>
      <c r="K170" s="580" t="s">
        <v>4878</v>
      </c>
      <c r="L170" s="581" t="s">
        <v>4879</v>
      </c>
      <c r="M170" s="1346" t="s">
        <v>4685</v>
      </c>
      <c r="N170" s="581" t="s">
        <v>2057</v>
      </c>
      <c r="O170" s="721" t="s">
        <v>4880</v>
      </c>
      <c r="P170" s="150" t="s">
        <v>4881</v>
      </c>
      <c r="Q170" s="150"/>
      <c r="R170" s="98"/>
      <c r="S170" s="146"/>
      <c r="T170" s="279" t="s">
        <v>4882</v>
      </c>
      <c r="U170" s="279" t="s">
        <v>4883</v>
      </c>
      <c r="W170" s="25"/>
      <c r="X170" s="25"/>
      <c r="Z170" s="25"/>
      <c r="AA170" s="77"/>
      <c r="AB170" s="77"/>
      <c r="AC170" s="272"/>
      <c r="AD170" s="40"/>
      <c r="AE170" s="77"/>
      <c r="AF170" s="77"/>
      <c r="AG170" s="77"/>
      <c r="AH170" s="77"/>
      <c r="AI170" s="77"/>
      <c r="AJ170" s="77"/>
      <c r="AK170" s="77"/>
    </row>
    <row r="171" spans="2:37" ht="10.5" customHeight="1">
      <c r="B171" s="146"/>
      <c r="C171" s="211" t="s">
        <v>4884</v>
      </c>
      <c r="D171" s="247"/>
      <c r="E171" s="146"/>
      <c r="F171" s="146" t="s">
        <v>294</v>
      </c>
      <c r="G171" s="578" t="s">
        <v>4885</v>
      </c>
      <c r="H171" s="578" t="s">
        <v>4855</v>
      </c>
      <c r="I171" s="582" t="s">
        <v>4886</v>
      </c>
      <c r="J171" s="582" t="s">
        <v>4690</v>
      </c>
      <c r="K171" s="580" t="s">
        <v>4887</v>
      </c>
      <c r="L171" s="581" t="s">
        <v>4858</v>
      </c>
      <c r="M171" s="1346" t="s">
        <v>4688</v>
      </c>
      <c r="N171" s="581" t="s">
        <v>4888</v>
      </c>
      <c r="O171" s="721" t="s">
        <v>4889</v>
      </c>
      <c r="P171" s="150" t="s">
        <v>4890</v>
      </c>
      <c r="Q171" s="150"/>
      <c r="R171" s="98"/>
      <c r="S171" s="146"/>
      <c r="T171" s="279" t="s">
        <v>2053</v>
      </c>
      <c r="U171" s="279" t="s">
        <v>4891</v>
      </c>
      <c r="W171" s="25"/>
      <c r="X171" s="25"/>
      <c r="Z171" s="25"/>
      <c r="AA171" s="77"/>
      <c r="AB171" s="77"/>
      <c r="AC171" s="272"/>
      <c r="AD171" s="40"/>
      <c r="AE171" s="77"/>
      <c r="AF171" s="77"/>
      <c r="AG171" s="77"/>
      <c r="AH171" s="77"/>
      <c r="AI171" s="77"/>
      <c r="AJ171" s="77"/>
      <c r="AK171" s="77"/>
    </row>
    <row r="172" spans="2:37" ht="10.5" customHeight="1">
      <c r="B172" s="146"/>
      <c r="C172" s="211" t="s">
        <v>4892</v>
      </c>
      <c r="D172" s="247"/>
      <c r="E172" s="146"/>
      <c r="F172" s="146" t="s">
        <v>295</v>
      </c>
      <c r="G172" s="578" t="s">
        <v>4893</v>
      </c>
      <c r="H172" s="578" t="s">
        <v>4894</v>
      </c>
      <c r="I172" s="579" t="s">
        <v>4895</v>
      </c>
      <c r="J172" s="579" t="s">
        <v>4690</v>
      </c>
      <c r="K172" s="580" t="s">
        <v>4896</v>
      </c>
      <c r="L172" s="581" t="s">
        <v>4858</v>
      </c>
      <c r="M172" s="1346" t="s">
        <v>4688</v>
      </c>
      <c r="N172" s="581" t="s">
        <v>4897</v>
      </c>
      <c r="O172" s="721" t="s">
        <v>4898</v>
      </c>
      <c r="P172" s="150" t="s">
        <v>4899</v>
      </c>
      <c r="Q172" s="150"/>
      <c r="R172" s="98"/>
      <c r="S172" s="146"/>
      <c r="T172" s="279" t="s">
        <v>4900</v>
      </c>
      <c r="U172" s="279" t="s">
        <v>4901</v>
      </c>
      <c r="W172" s="25"/>
      <c r="X172" s="25"/>
      <c r="Z172" s="25"/>
      <c r="AA172" s="77"/>
      <c r="AB172" s="77"/>
      <c r="AC172" s="272"/>
      <c r="AD172" s="40"/>
      <c r="AE172" s="77"/>
      <c r="AF172" s="77"/>
      <c r="AG172" s="77"/>
      <c r="AH172" s="77"/>
      <c r="AI172" s="77"/>
      <c r="AJ172" s="77"/>
      <c r="AK172" s="77"/>
    </row>
    <row r="173" spans="2:37" ht="10.5" customHeight="1">
      <c r="B173" s="146"/>
      <c r="C173" s="211" t="s">
        <v>4871</v>
      </c>
      <c r="D173" s="247"/>
      <c r="E173" s="146"/>
      <c r="F173" s="146" t="s">
        <v>296</v>
      </c>
      <c r="G173" s="578" t="s">
        <v>160</v>
      </c>
      <c r="H173" s="578" t="s">
        <v>4894</v>
      </c>
      <c r="I173" s="582" t="s">
        <v>4884</v>
      </c>
      <c r="J173" s="582" t="s">
        <v>4689</v>
      </c>
      <c r="K173" s="580" t="s">
        <v>4902</v>
      </c>
      <c r="L173" s="581" t="s">
        <v>4879</v>
      </c>
      <c r="M173" s="1346" t="s">
        <v>4685</v>
      </c>
      <c r="N173" s="581" t="s">
        <v>4903</v>
      </c>
      <c r="O173" s="721" t="s">
        <v>4904</v>
      </c>
      <c r="P173" s="150" t="s">
        <v>4905</v>
      </c>
      <c r="Q173" s="150"/>
      <c r="R173" s="98"/>
      <c r="S173" s="146"/>
      <c r="T173" s="279" t="s">
        <v>4906</v>
      </c>
      <c r="U173" s="279" t="s">
        <v>139</v>
      </c>
      <c r="W173" s="25"/>
      <c r="X173" s="25"/>
      <c r="Z173" s="25"/>
      <c r="AA173" s="77"/>
      <c r="AB173" s="77"/>
      <c r="AC173" s="272"/>
      <c r="AD173" s="40"/>
      <c r="AE173" s="77"/>
      <c r="AF173" s="77"/>
      <c r="AG173" s="77"/>
      <c r="AH173" s="77"/>
      <c r="AI173" s="77"/>
      <c r="AJ173" s="77"/>
      <c r="AK173" s="77"/>
    </row>
    <row r="174" spans="2:37" ht="10.5" customHeight="1">
      <c r="B174" s="146"/>
      <c r="C174" s="211" t="s">
        <v>4886</v>
      </c>
      <c r="D174" s="247"/>
      <c r="E174" s="146"/>
      <c r="F174" s="146" t="s">
        <v>298</v>
      </c>
      <c r="G174" s="578" t="s">
        <v>4883</v>
      </c>
      <c r="H174" s="578" t="s">
        <v>4894</v>
      </c>
      <c r="I174" s="582" t="s">
        <v>4884</v>
      </c>
      <c r="J174" s="582" t="s">
        <v>4689</v>
      </c>
      <c r="K174" s="580" t="s">
        <v>4902</v>
      </c>
      <c r="L174" s="581" t="s">
        <v>4879</v>
      </c>
      <c r="M174" s="1346" t="s">
        <v>4685</v>
      </c>
      <c r="N174" s="581" t="s">
        <v>4903</v>
      </c>
      <c r="O174" s="721" t="s">
        <v>4907</v>
      </c>
      <c r="P174" s="150" t="s">
        <v>4908</v>
      </c>
      <c r="Q174" s="150"/>
      <c r="R174" s="98"/>
      <c r="S174" s="146"/>
      <c r="T174" s="279" t="s">
        <v>4909</v>
      </c>
      <c r="U174" s="279" t="s">
        <v>4910</v>
      </c>
      <c r="W174" s="25"/>
      <c r="X174" s="25"/>
      <c r="Z174" s="25"/>
      <c r="AA174" s="77"/>
      <c r="AB174" s="77"/>
      <c r="AC174" s="272"/>
      <c r="AD174" s="40"/>
      <c r="AE174" s="77"/>
      <c r="AF174" s="77"/>
      <c r="AG174" s="77"/>
      <c r="AH174" s="77"/>
      <c r="AI174" s="77"/>
      <c r="AJ174" s="77"/>
      <c r="AK174" s="77"/>
    </row>
    <row r="175" spans="2:37" ht="10.5" customHeight="1">
      <c r="B175" s="146"/>
      <c r="C175" s="211" t="s">
        <v>4895</v>
      </c>
      <c r="D175" s="247"/>
      <c r="E175" s="146"/>
      <c r="F175" s="146" t="s">
        <v>297</v>
      </c>
      <c r="G175" s="578" t="s">
        <v>4911</v>
      </c>
      <c r="H175" s="578" t="s">
        <v>4855</v>
      </c>
      <c r="I175" s="579" t="s">
        <v>4912</v>
      </c>
      <c r="J175" s="579" t="s">
        <v>4690</v>
      </c>
      <c r="K175" s="580" t="s">
        <v>4913</v>
      </c>
      <c r="L175" s="581" t="s">
        <v>4858</v>
      </c>
      <c r="M175" s="1346" t="s">
        <v>4688</v>
      </c>
      <c r="N175" s="581" t="s">
        <v>2057</v>
      </c>
      <c r="O175" s="721" t="s">
        <v>4914</v>
      </c>
      <c r="P175" s="150" t="s">
        <v>4915</v>
      </c>
      <c r="Q175" s="279"/>
      <c r="R175" s="98"/>
      <c r="S175" s="146"/>
      <c r="T175" s="279" t="s">
        <v>4916</v>
      </c>
      <c r="U175" s="279" t="s">
        <v>4917</v>
      </c>
      <c r="W175" s="25"/>
      <c r="X175" s="25"/>
      <c r="Z175" s="25"/>
      <c r="AA175" s="77"/>
      <c r="AB175" s="77"/>
      <c r="AC175" s="272"/>
      <c r="AD175" s="40"/>
      <c r="AE175" s="77"/>
      <c r="AF175" s="77"/>
      <c r="AG175" s="77"/>
      <c r="AH175" s="77"/>
      <c r="AI175" s="77"/>
      <c r="AJ175" s="77"/>
      <c r="AK175" s="77"/>
    </row>
    <row r="176" spans="2:37" ht="10.5" customHeight="1">
      <c r="B176" s="146"/>
      <c r="C176" s="212" t="s">
        <v>4918</v>
      </c>
      <c r="D176" s="247"/>
      <c r="E176" s="146"/>
      <c r="F176" s="146" t="s">
        <v>299</v>
      </c>
      <c r="G176" s="578" t="s">
        <v>4917</v>
      </c>
      <c r="H176" s="578" t="s">
        <v>4855</v>
      </c>
      <c r="I176" s="579" t="s">
        <v>4919</v>
      </c>
      <c r="J176" s="579" t="s">
        <v>4690</v>
      </c>
      <c r="K176" s="580" t="s">
        <v>4920</v>
      </c>
      <c r="L176" s="581" t="s">
        <v>4858</v>
      </c>
      <c r="M176" s="1346" t="s">
        <v>4688</v>
      </c>
      <c r="N176" s="581" t="s">
        <v>2143</v>
      </c>
      <c r="O176" s="721" t="s">
        <v>4921</v>
      </c>
      <c r="P176" s="150" t="s">
        <v>4922</v>
      </c>
      <c r="Q176" s="279"/>
      <c r="R176" s="146"/>
      <c r="S176" s="146"/>
      <c r="T176" s="279" t="s">
        <v>2057</v>
      </c>
      <c r="U176" s="279" t="s">
        <v>151</v>
      </c>
      <c r="W176" s="25"/>
      <c r="X176" s="25"/>
      <c r="Z176" s="25"/>
      <c r="AA176" s="77"/>
      <c r="AB176" s="77"/>
      <c r="AC176" s="272"/>
      <c r="AD176" s="40"/>
      <c r="AE176" s="77"/>
      <c r="AF176" s="77"/>
      <c r="AG176" s="77"/>
      <c r="AH176" s="77"/>
      <c r="AI176" s="77"/>
      <c r="AJ176" s="77"/>
      <c r="AK176" s="77"/>
    </row>
    <row r="177" spans="2:37" ht="10.5" customHeight="1">
      <c r="B177" s="146"/>
      <c r="C177" s="212" t="s">
        <v>4919</v>
      </c>
      <c r="D177" s="247"/>
      <c r="E177" s="146"/>
      <c r="F177" s="146" t="s">
        <v>300</v>
      </c>
      <c r="G177" s="578" t="s">
        <v>4923</v>
      </c>
      <c r="H177" s="578" t="s">
        <v>4924</v>
      </c>
      <c r="I177" s="582" t="s">
        <v>4888</v>
      </c>
      <c r="J177" s="582" t="s">
        <v>4689</v>
      </c>
      <c r="K177" s="580" t="s">
        <v>4925</v>
      </c>
      <c r="L177" s="581" t="s">
        <v>4879</v>
      </c>
      <c r="M177" s="1346" t="s">
        <v>4685</v>
      </c>
      <c r="N177" s="581" t="s">
        <v>4888</v>
      </c>
      <c r="O177" s="721" t="s">
        <v>4926</v>
      </c>
      <c r="P177" s="150" t="s">
        <v>4927</v>
      </c>
      <c r="Q177" s="279"/>
      <c r="R177" s="98"/>
      <c r="S177" s="146"/>
      <c r="T177" s="279" t="s">
        <v>4928</v>
      </c>
      <c r="U177" s="279" t="s">
        <v>4929</v>
      </c>
      <c r="W177" s="25"/>
      <c r="X177" s="25"/>
      <c r="Z177" s="25"/>
      <c r="AA177" s="77"/>
      <c r="AB177" s="77"/>
      <c r="AC177" s="272"/>
      <c r="AD177" s="40"/>
      <c r="AE177" s="77"/>
      <c r="AF177" s="77"/>
      <c r="AG177" s="77"/>
      <c r="AH177" s="77"/>
      <c r="AI177" s="77"/>
      <c r="AJ177" s="77"/>
      <c r="AK177" s="77"/>
    </row>
    <row r="178" spans="2:37" ht="10.5" customHeight="1">
      <c r="B178" s="146"/>
      <c r="C178" s="212" t="s">
        <v>4930</v>
      </c>
      <c r="D178" s="247"/>
      <c r="E178" s="146"/>
      <c r="F178" s="146" t="s">
        <v>301</v>
      </c>
      <c r="G178" s="578" t="s">
        <v>4931</v>
      </c>
      <c r="H178" s="578" t="s">
        <v>4855</v>
      </c>
      <c r="I178" s="582" t="s">
        <v>4930</v>
      </c>
      <c r="J178" s="582" t="s">
        <v>4690</v>
      </c>
      <c r="K178" s="580" t="s">
        <v>4932</v>
      </c>
      <c r="L178" s="581" t="s">
        <v>4858</v>
      </c>
      <c r="M178" s="1346" t="s">
        <v>4688</v>
      </c>
      <c r="N178" s="581" t="s">
        <v>4888</v>
      </c>
      <c r="O178" s="721" t="s">
        <v>4933</v>
      </c>
      <c r="P178" s="150" t="s">
        <v>4934</v>
      </c>
      <c r="Q178" s="150"/>
      <c r="R178" s="98"/>
      <c r="S178" s="146"/>
      <c r="T178" s="279" t="s">
        <v>4935</v>
      </c>
      <c r="U178" s="279" t="s">
        <v>113</v>
      </c>
      <c r="W178" s="25"/>
      <c r="X178" s="25"/>
      <c r="Z178" s="25"/>
      <c r="AA178" s="77"/>
      <c r="AB178" s="77"/>
      <c r="AC178" s="272"/>
      <c r="AD178" s="40"/>
      <c r="AE178" s="77"/>
      <c r="AF178" s="77"/>
      <c r="AG178" s="77"/>
      <c r="AH178" s="77"/>
      <c r="AI178" s="77"/>
      <c r="AJ178" s="77"/>
      <c r="AK178" s="77"/>
    </row>
    <row r="179" spans="2:37" ht="10.5" customHeight="1">
      <c r="B179" s="146"/>
      <c r="C179" s="211" t="s">
        <v>4936</v>
      </c>
      <c r="D179" s="247"/>
      <c r="E179" s="146"/>
      <c r="F179" s="146" t="s">
        <v>305</v>
      </c>
      <c r="G179" s="578" t="s">
        <v>4937</v>
      </c>
      <c r="H179" s="578" t="s">
        <v>4855</v>
      </c>
      <c r="I179" s="579" t="s">
        <v>4936</v>
      </c>
      <c r="J179" s="579" t="s">
        <v>4689</v>
      </c>
      <c r="K179" s="580" t="s">
        <v>4938</v>
      </c>
      <c r="L179" s="581" t="s">
        <v>4879</v>
      </c>
      <c r="M179" s="1346" t="s">
        <v>4685</v>
      </c>
      <c r="N179" s="581" t="s">
        <v>2143</v>
      </c>
      <c r="O179" s="721" t="s">
        <v>4939</v>
      </c>
      <c r="P179" s="150" t="s">
        <v>4940</v>
      </c>
      <c r="Q179" s="150"/>
      <c r="R179" s="98"/>
      <c r="S179" s="146"/>
      <c r="T179" s="279" t="s">
        <v>4941</v>
      </c>
      <c r="U179" s="279" t="s">
        <v>4942</v>
      </c>
      <c r="W179" s="25"/>
      <c r="X179" s="25"/>
      <c r="Z179" s="25"/>
      <c r="AA179" s="77"/>
      <c r="AB179" s="77"/>
      <c r="AC179" s="272"/>
      <c r="AD179" s="40"/>
      <c r="AE179" s="77"/>
      <c r="AF179" s="77"/>
      <c r="AG179" s="77"/>
      <c r="AH179" s="77"/>
      <c r="AI179" s="77"/>
      <c r="AJ179" s="77"/>
      <c r="AK179" s="77"/>
    </row>
    <row r="180" spans="2:37" ht="10.5" customHeight="1">
      <c r="B180" s="146"/>
      <c r="C180" s="212" t="s">
        <v>4943</v>
      </c>
      <c r="D180" s="247"/>
      <c r="E180" s="146"/>
      <c r="F180" s="146" t="s">
        <v>302</v>
      </c>
      <c r="G180" s="578" t="s">
        <v>4944</v>
      </c>
      <c r="H180" s="578" t="s">
        <v>4855</v>
      </c>
      <c r="I180" s="579" t="s">
        <v>2143</v>
      </c>
      <c r="J180" s="579" t="s">
        <v>4689</v>
      </c>
      <c r="K180" s="580" t="s">
        <v>4945</v>
      </c>
      <c r="L180" s="581" t="s">
        <v>4879</v>
      </c>
      <c r="M180" s="1346" t="s">
        <v>4685</v>
      </c>
      <c r="N180" s="581" t="s">
        <v>2143</v>
      </c>
      <c r="O180" s="721" t="s">
        <v>4946</v>
      </c>
      <c r="P180" s="150" t="s">
        <v>4947</v>
      </c>
      <c r="Q180" s="150"/>
      <c r="R180" s="98"/>
      <c r="S180" s="146"/>
      <c r="T180" s="279" t="s">
        <v>4948</v>
      </c>
      <c r="U180" s="279" t="s">
        <v>4870</v>
      </c>
      <c r="W180" s="25"/>
      <c r="X180" s="25"/>
      <c r="Z180" s="25"/>
      <c r="AA180" s="77"/>
      <c r="AB180" s="77"/>
      <c r="AC180" s="272"/>
      <c r="AD180" s="40"/>
      <c r="AE180" s="77"/>
      <c r="AF180" s="77"/>
      <c r="AG180" s="77"/>
      <c r="AH180" s="77"/>
      <c r="AI180" s="77"/>
      <c r="AJ180" s="77"/>
      <c r="AK180" s="77"/>
    </row>
    <row r="181" spans="2:37" ht="10.5" customHeight="1">
      <c r="B181" s="146"/>
      <c r="C181" s="211" t="s">
        <v>4949</v>
      </c>
      <c r="D181" s="247"/>
      <c r="E181" s="146"/>
      <c r="F181" s="146" t="s">
        <v>303</v>
      </c>
      <c r="G181" s="578" t="s">
        <v>4950</v>
      </c>
      <c r="H181" s="578" t="s">
        <v>4855</v>
      </c>
      <c r="I181" s="582" t="s">
        <v>4859</v>
      </c>
      <c r="J181" s="582" t="s">
        <v>4689</v>
      </c>
      <c r="K181" s="580" t="s">
        <v>4951</v>
      </c>
      <c r="L181" s="581" t="s">
        <v>4879</v>
      </c>
      <c r="M181" s="1346" t="s">
        <v>4685</v>
      </c>
      <c r="N181" s="581" t="s">
        <v>4859</v>
      </c>
      <c r="O181" s="721" t="s">
        <v>4952</v>
      </c>
      <c r="P181" s="150" t="s">
        <v>4953</v>
      </c>
      <c r="Q181" s="150"/>
      <c r="R181" s="98"/>
      <c r="S181" s="146"/>
      <c r="T181" s="279" t="s">
        <v>4954</v>
      </c>
      <c r="U181" s="279" t="s">
        <v>143</v>
      </c>
      <c r="W181" s="25"/>
      <c r="X181" s="25"/>
      <c r="Z181" s="25"/>
      <c r="AA181" s="77"/>
      <c r="AB181" s="77"/>
      <c r="AC181" s="272"/>
      <c r="AD181" s="40"/>
      <c r="AE181" s="77"/>
      <c r="AF181" s="77"/>
      <c r="AG181" s="77"/>
      <c r="AH181" s="77"/>
      <c r="AI181" s="77"/>
      <c r="AJ181" s="77"/>
      <c r="AK181" s="77"/>
    </row>
    <row r="182" spans="2:37" ht="10.5" customHeight="1">
      <c r="B182" s="146"/>
      <c r="C182" s="212" t="s">
        <v>4955</v>
      </c>
      <c r="D182" s="247"/>
      <c r="E182" s="146"/>
      <c r="F182" s="146" t="s">
        <v>304</v>
      </c>
      <c r="G182" s="578" t="s">
        <v>96</v>
      </c>
      <c r="H182" s="578" t="s">
        <v>4855</v>
      </c>
      <c r="I182" s="582" t="s">
        <v>4943</v>
      </c>
      <c r="J182" s="582" t="s">
        <v>4690</v>
      </c>
      <c r="K182" s="580" t="s">
        <v>4956</v>
      </c>
      <c r="L182" s="581" t="s">
        <v>4858</v>
      </c>
      <c r="M182" s="1346" t="s">
        <v>4688</v>
      </c>
      <c r="N182" s="581" t="s">
        <v>4859</v>
      </c>
      <c r="O182" s="721" t="s">
        <v>4957</v>
      </c>
      <c r="P182" s="150" t="s">
        <v>4958</v>
      </c>
      <c r="Q182" s="150"/>
      <c r="R182" s="98"/>
      <c r="S182" s="146"/>
      <c r="T182" s="279" t="s">
        <v>4959</v>
      </c>
      <c r="U182" s="279" t="s">
        <v>139</v>
      </c>
      <c r="W182" s="25"/>
      <c r="X182" s="25"/>
      <c r="Z182" s="25"/>
      <c r="AA182" s="77"/>
      <c r="AB182" s="77"/>
      <c r="AC182" s="272"/>
      <c r="AD182" s="40"/>
      <c r="AE182" s="77"/>
      <c r="AF182" s="77"/>
      <c r="AG182" s="77"/>
      <c r="AH182" s="77"/>
      <c r="AI182" s="77"/>
      <c r="AJ182" s="77"/>
      <c r="AK182" s="77"/>
    </row>
    <row r="183" spans="2:37" ht="10.5" customHeight="1">
      <c r="B183" s="146"/>
      <c r="C183" s="212" t="s">
        <v>4960</v>
      </c>
      <c r="D183" s="247"/>
      <c r="E183" s="146"/>
      <c r="F183" s="146" t="s">
        <v>306</v>
      </c>
      <c r="G183" s="578" t="s">
        <v>4961</v>
      </c>
      <c r="H183" s="578" t="s">
        <v>4855</v>
      </c>
      <c r="I183" s="582" t="s">
        <v>4892</v>
      </c>
      <c r="J183" s="582" t="s">
        <v>4689</v>
      </c>
      <c r="K183" s="580" t="s">
        <v>4962</v>
      </c>
      <c r="L183" s="581" t="s">
        <v>4879</v>
      </c>
      <c r="M183" s="1346" t="s">
        <v>4688</v>
      </c>
      <c r="N183" s="581" t="s">
        <v>4963</v>
      </c>
      <c r="O183" s="721" t="s">
        <v>4964</v>
      </c>
      <c r="P183" s="150" t="s">
        <v>4965</v>
      </c>
      <c r="Q183" s="150"/>
      <c r="R183" s="98"/>
      <c r="S183" s="146"/>
      <c r="T183" s="279" t="s">
        <v>4966</v>
      </c>
      <c r="U183" s="279" t="s">
        <v>153</v>
      </c>
      <c r="W183" s="25"/>
      <c r="X183" s="25"/>
      <c r="Z183" s="25"/>
      <c r="AA183" s="77"/>
      <c r="AB183" s="77"/>
      <c r="AC183" s="272"/>
      <c r="AD183" s="40"/>
      <c r="AE183" s="77"/>
      <c r="AF183" s="77"/>
      <c r="AG183" s="77"/>
      <c r="AH183" s="77"/>
      <c r="AI183" s="77"/>
      <c r="AJ183" s="77"/>
      <c r="AK183" s="77"/>
    </row>
    <row r="184" spans="2:37" ht="10.5" customHeight="1">
      <c r="B184" s="146"/>
      <c r="C184" s="212" t="s">
        <v>4967</v>
      </c>
      <c r="D184" s="247"/>
      <c r="E184" s="146"/>
      <c r="F184" s="146" t="s">
        <v>307</v>
      </c>
      <c r="G184" s="578" t="s">
        <v>4968</v>
      </c>
      <c r="H184" s="578" t="s">
        <v>4894</v>
      </c>
      <c r="I184" s="582" t="s">
        <v>4949</v>
      </c>
      <c r="J184" s="582" t="s">
        <v>4689</v>
      </c>
      <c r="K184" s="580" t="s">
        <v>4969</v>
      </c>
      <c r="L184" s="581" t="s">
        <v>4879</v>
      </c>
      <c r="M184" s="1346" t="s">
        <v>4688</v>
      </c>
      <c r="N184" s="581" t="s">
        <v>4903</v>
      </c>
      <c r="O184" s="721" t="s">
        <v>4970</v>
      </c>
      <c r="P184" s="150" t="s">
        <v>4971</v>
      </c>
      <c r="Q184" s="150"/>
      <c r="R184" s="98"/>
      <c r="S184" s="146"/>
      <c r="T184" s="279" t="s">
        <v>4972</v>
      </c>
      <c r="U184" s="279" t="s">
        <v>4973</v>
      </c>
      <c r="W184" s="25"/>
      <c r="X184" s="25"/>
      <c r="Z184" s="25"/>
      <c r="AA184" s="77"/>
      <c r="AB184" s="77"/>
      <c r="AC184" s="272"/>
      <c r="AD184" s="40"/>
      <c r="AE184" s="77"/>
      <c r="AF184" s="77"/>
      <c r="AG184" s="77"/>
      <c r="AH184" s="77"/>
      <c r="AI184" s="77"/>
      <c r="AJ184" s="77"/>
      <c r="AK184" s="77"/>
    </row>
    <row r="185" spans="2:37" ht="10.5" customHeight="1">
      <c r="B185" s="146"/>
      <c r="C185" s="211" t="s">
        <v>4974</v>
      </c>
      <c r="D185" s="247"/>
      <c r="E185" s="146"/>
      <c r="F185" s="146" t="s">
        <v>308</v>
      </c>
      <c r="G185" s="578" t="s">
        <v>4975</v>
      </c>
      <c r="H185" s="578" t="s">
        <v>4855</v>
      </c>
      <c r="I185" s="579" t="s">
        <v>4955</v>
      </c>
      <c r="J185" s="579" t="s">
        <v>4690</v>
      </c>
      <c r="K185" s="580" t="s">
        <v>4976</v>
      </c>
      <c r="L185" s="581" t="s">
        <v>4858</v>
      </c>
      <c r="M185" s="1346" t="s">
        <v>4688</v>
      </c>
      <c r="N185" s="581" t="s">
        <v>2057</v>
      </c>
      <c r="O185" s="721" t="s">
        <v>4977</v>
      </c>
      <c r="P185" s="150" t="s">
        <v>4978</v>
      </c>
      <c r="Q185" s="150"/>
      <c r="R185" s="98"/>
      <c r="S185" s="146"/>
      <c r="T185" s="279" t="s">
        <v>4979</v>
      </c>
      <c r="U185" s="279" t="s">
        <v>4980</v>
      </c>
      <c r="W185" s="25"/>
      <c r="X185" s="25"/>
      <c r="Z185" s="25"/>
      <c r="AA185" s="77"/>
      <c r="AB185" s="77"/>
      <c r="AC185" s="272"/>
      <c r="AD185" s="40"/>
      <c r="AE185" s="77"/>
      <c r="AF185" s="77"/>
      <c r="AG185" s="77"/>
      <c r="AH185" s="77"/>
      <c r="AI185" s="77"/>
      <c r="AJ185" s="77"/>
      <c r="AK185" s="77"/>
    </row>
    <row r="186" spans="2:37" ht="10.5" customHeight="1">
      <c r="B186" s="146"/>
      <c r="C186" s="211" t="s">
        <v>4981</v>
      </c>
      <c r="D186" s="247"/>
      <c r="E186" s="146"/>
      <c r="F186" s="146" t="s">
        <v>311</v>
      </c>
      <c r="G186" s="578" t="s">
        <v>129</v>
      </c>
      <c r="H186" s="578" t="s">
        <v>4855</v>
      </c>
      <c r="I186" s="582" t="s">
        <v>4960</v>
      </c>
      <c r="J186" s="582" t="s">
        <v>4690</v>
      </c>
      <c r="K186" s="580" t="s">
        <v>4982</v>
      </c>
      <c r="L186" s="581" t="s">
        <v>4858</v>
      </c>
      <c r="M186" s="1346" t="s">
        <v>4688</v>
      </c>
      <c r="N186" s="581" t="s">
        <v>2143</v>
      </c>
      <c r="O186" s="721" t="s">
        <v>4983</v>
      </c>
      <c r="P186" s="150" t="s">
        <v>4984</v>
      </c>
      <c r="Q186" s="150"/>
      <c r="R186" s="98"/>
      <c r="S186" s="146"/>
      <c r="T186" s="279" t="s">
        <v>4985</v>
      </c>
      <c r="U186" s="279" t="s">
        <v>4980</v>
      </c>
      <c r="W186" s="25"/>
      <c r="X186" s="25"/>
      <c r="Z186" s="25"/>
      <c r="AA186" s="77"/>
      <c r="AB186" s="77"/>
      <c r="AC186" s="272"/>
      <c r="AD186" s="40"/>
      <c r="AE186" s="77"/>
      <c r="AF186" s="77"/>
      <c r="AG186" s="77"/>
      <c r="AH186" s="77"/>
      <c r="AI186" s="77"/>
      <c r="AJ186" s="77"/>
      <c r="AK186" s="77"/>
    </row>
    <row r="187" spans="2:37" ht="10.5" customHeight="1">
      <c r="B187" s="146"/>
      <c r="C187" s="211" t="s">
        <v>4986</v>
      </c>
      <c r="D187" s="247"/>
      <c r="E187" s="146"/>
      <c r="F187" s="146" t="s">
        <v>310</v>
      </c>
      <c r="G187" s="578" t="s">
        <v>4987</v>
      </c>
      <c r="H187" s="578" t="s">
        <v>4855</v>
      </c>
      <c r="I187" s="579" t="s">
        <v>4967</v>
      </c>
      <c r="J187" s="579" t="s">
        <v>4690</v>
      </c>
      <c r="K187" s="580" t="s">
        <v>4988</v>
      </c>
      <c r="L187" s="581" t="s">
        <v>4858</v>
      </c>
      <c r="M187" s="1346" t="s">
        <v>4688</v>
      </c>
      <c r="N187" s="581" t="s">
        <v>4859</v>
      </c>
      <c r="O187" s="721" t="s">
        <v>4989</v>
      </c>
      <c r="P187" s="150" t="s">
        <v>4990</v>
      </c>
      <c r="Q187" s="150"/>
      <c r="R187" s="98"/>
      <c r="S187" s="146"/>
      <c r="T187" s="279" t="s">
        <v>4854</v>
      </c>
      <c r="U187" s="279" t="s">
        <v>107</v>
      </c>
      <c r="W187" s="25"/>
      <c r="X187" s="25"/>
      <c r="Z187" s="25"/>
      <c r="AA187" s="77"/>
      <c r="AB187" s="77"/>
      <c r="AC187" s="272"/>
      <c r="AD187" s="40"/>
      <c r="AE187" s="77"/>
      <c r="AF187" s="77"/>
      <c r="AG187" s="77"/>
      <c r="AH187" s="77"/>
      <c r="AI187" s="77"/>
      <c r="AJ187" s="77"/>
      <c r="AK187" s="77"/>
    </row>
    <row r="188" spans="2:37" ht="10.5" customHeight="1">
      <c r="B188" s="146"/>
      <c r="C188" s="211" t="s">
        <v>4991</v>
      </c>
      <c r="D188" s="247"/>
      <c r="E188" s="146"/>
      <c r="F188" s="146" t="s">
        <v>309</v>
      </c>
      <c r="G188" s="578" t="s">
        <v>4992</v>
      </c>
      <c r="H188" s="578" t="s">
        <v>4894</v>
      </c>
      <c r="I188" s="582" t="s">
        <v>4884</v>
      </c>
      <c r="J188" s="582" t="s">
        <v>4689</v>
      </c>
      <c r="K188" s="580" t="s">
        <v>4902</v>
      </c>
      <c r="L188" s="581" t="s">
        <v>4879</v>
      </c>
      <c r="M188" s="1346" t="s">
        <v>4685</v>
      </c>
      <c r="N188" s="581" t="s">
        <v>4903</v>
      </c>
      <c r="O188" s="721" t="s">
        <v>4993</v>
      </c>
      <c r="P188" s="150" t="s">
        <v>4994</v>
      </c>
      <c r="Q188" s="150"/>
      <c r="R188" s="98"/>
      <c r="S188" s="146"/>
      <c r="T188" s="279" t="s">
        <v>4995</v>
      </c>
      <c r="U188" s="279" t="s">
        <v>4996</v>
      </c>
      <c r="W188" s="25"/>
      <c r="X188" s="25"/>
      <c r="Z188" s="25"/>
      <c r="AA188" s="77"/>
      <c r="AB188" s="77"/>
      <c r="AC188" s="272"/>
      <c r="AD188" s="40"/>
      <c r="AE188" s="77"/>
      <c r="AF188" s="77"/>
      <c r="AG188" s="77"/>
      <c r="AH188" s="77"/>
      <c r="AI188" s="77"/>
      <c r="AJ188" s="77"/>
      <c r="AK188" s="77"/>
    </row>
    <row r="189" spans="2:37" ht="10.5" customHeight="1">
      <c r="B189" s="146"/>
      <c r="C189" s="212" t="s">
        <v>4997</v>
      </c>
      <c r="D189" s="247"/>
      <c r="E189" s="146"/>
      <c r="F189" s="146" t="s">
        <v>312</v>
      </c>
      <c r="G189" s="578" t="s">
        <v>124</v>
      </c>
      <c r="H189" s="578" t="s">
        <v>4894</v>
      </c>
      <c r="I189" s="582" t="s">
        <v>4981</v>
      </c>
      <c r="J189" s="582" t="s">
        <v>4689</v>
      </c>
      <c r="K189" s="580" t="s">
        <v>4998</v>
      </c>
      <c r="L189" s="581" t="s">
        <v>4879</v>
      </c>
      <c r="M189" s="1346" t="s">
        <v>4688</v>
      </c>
      <c r="N189" s="581" t="s">
        <v>4981</v>
      </c>
      <c r="O189" s="721" t="s">
        <v>4999</v>
      </c>
      <c r="P189" s="150" t="s">
        <v>5000</v>
      </c>
      <c r="Q189" s="150"/>
      <c r="R189" s="98"/>
      <c r="S189" s="146"/>
      <c r="T189" s="279" t="s">
        <v>5001</v>
      </c>
      <c r="U189" s="279" t="s">
        <v>5002</v>
      </c>
      <c r="W189" s="25"/>
      <c r="X189" s="25"/>
      <c r="Z189" s="25"/>
      <c r="AA189" s="77"/>
      <c r="AB189" s="77"/>
      <c r="AC189" s="272"/>
      <c r="AD189" s="40"/>
      <c r="AE189" s="77"/>
      <c r="AF189" s="77"/>
      <c r="AG189" s="77"/>
      <c r="AH189" s="77"/>
      <c r="AI189" s="77"/>
      <c r="AJ189" s="77"/>
      <c r="AK189" s="77"/>
    </row>
    <row r="190" spans="2:37" ht="10.5" customHeight="1">
      <c r="B190" s="146"/>
      <c r="C190" s="212" t="s">
        <v>5003</v>
      </c>
      <c r="D190" s="247"/>
      <c r="E190" s="146"/>
      <c r="F190" s="146" t="s">
        <v>313</v>
      </c>
      <c r="G190" s="578" t="s">
        <v>5004</v>
      </c>
      <c r="H190" s="578" t="s">
        <v>4855</v>
      </c>
      <c r="I190" s="579" t="s">
        <v>4974</v>
      </c>
      <c r="J190" s="579" t="s">
        <v>4690</v>
      </c>
      <c r="K190" s="580" t="s">
        <v>5005</v>
      </c>
      <c r="L190" s="581" t="s">
        <v>4858</v>
      </c>
      <c r="M190" s="1346" t="s">
        <v>4688</v>
      </c>
      <c r="N190" s="581" t="s">
        <v>2143</v>
      </c>
      <c r="O190" s="721" t="s">
        <v>5006</v>
      </c>
      <c r="P190" s="150" t="s">
        <v>5007</v>
      </c>
      <c r="Q190" s="150"/>
      <c r="R190" s="98"/>
      <c r="S190" s="146"/>
      <c r="T190" s="279" t="s">
        <v>5008</v>
      </c>
      <c r="U190" s="279" t="s">
        <v>5009</v>
      </c>
      <c r="W190" s="25"/>
      <c r="X190" s="25"/>
      <c r="Z190" s="25"/>
      <c r="AA190" s="77"/>
      <c r="AB190" s="77"/>
      <c r="AC190" s="272"/>
      <c r="AD190" s="40"/>
      <c r="AE190" s="77"/>
      <c r="AF190" s="77"/>
      <c r="AG190" s="77"/>
      <c r="AH190" s="77"/>
      <c r="AI190" s="77"/>
      <c r="AJ190" s="77"/>
      <c r="AK190" s="77"/>
    </row>
    <row r="191" spans="2:37" ht="10.5" customHeight="1">
      <c r="B191" s="146"/>
      <c r="C191" s="212" t="s">
        <v>5010</v>
      </c>
      <c r="D191" s="247"/>
      <c r="E191" s="146"/>
      <c r="F191" s="146" t="s">
        <v>315</v>
      </c>
      <c r="G191" s="578" t="s">
        <v>127</v>
      </c>
      <c r="H191" s="578" t="s">
        <v>4924</v>
      </c>
      <c r="I191" s="582" t="s">
        <v>4859</v>
      </c>
      <c r="J191" s="582" t="s">
        <v>4689</v>
      </c>
      <c r="K191" s="580" t="s">
        <v>4951</v>
      </c>
      <c r="L191" s="581" t="s">
        <v>4879</v>
      </c>
      <c r="M191" s="1346" t="s">
        <v>4685</v>
      </c>
      <c r="N191" s="581" t="s">
        <v>4859</v>
      </c>
      <c r="O191" s="721" t="s">
        <v>5011</v>
      </c>
      <c r="P191" s="150" t="s">
        <v>5012</v>
      </c>
      <c r="Q191" s="150"/>
      <c r="R191" s="98"/>
      <c r="S191" s="146"/>
      <c r="T191" s="279" t="s">
        <v>5013</v>
      </c>
      <c r="U191" s="279" t="s">
        <v>5014</v>
      </c>
      <c r="W191" s="25"/>
      <c r="X191" s="25"/>
      <c r="Z191" s="25"/>
      <c r="AA191" s="77"/>
      <c r="AB191" s="77"/>
      <c r="AC191" s="272"/>
      <c r="AD191" s="40"/>
      <c r="AE191" s="77"/>
      <c r="AF191" s="77"/>
      <c r="AG191" s="77"/>
      <c r="AH191" s="77"/>
      <c r="AI191" s="77"/>
      <c r="AJ191" s="77"/>
      <c r="AK191" s="77"/>
    </row>
    <row r="192" spans="2:37" ht="10.5" customHeight="1">
      <c r="B192" s="146"/>
      <c r="C192" s="211" t="s">
        <v>5015</v>
      </c>
      <c r="D192" s="247"/>
      <c r="E192" s="146"/>
      <c r="F192" s="146" t="s">
        <v>314</v>
      </c>
      <c r="G192" s="578" t="s">
        <v>5016</v>
      </c>
      <c r="H192" s="578" t="s">
        <v>4855</v>
      </c>
      <c r="I192" s="582" t="s">
        <v>5015</v>
      </c>
      <c r="J192" s="582" t="s">
        <v>4689</v>
      </c>
      <c r="K192" s="580" t="s">
        <v>5017</v>
      </c>
      <c r="L192" s="581" t="s">
        <v>4879</v>
      </c>
      <c r="M192" s="1346" t="s">
        <v>4688</v>
      </c>
      <c r="N192" s="581" t="s">
        <v>5015</v>
      </c>
      <c r="O192" s="721" t="s">
        <v>5018</v>
      </c>
      <c r="P192" s="150" t="s">
        <v>5019</v>
      </c>
      <c r="Q192" s="150"/>
      <c r="R192" s="98"/>
      <c r="S192" s="146"/>
      <c r="T192" s="279" t="s">
        <v>2061</v>
      </c>
      <c r="U192" s="279" t="s">
        <v>4975</v>
      </c>
      <c r="W192" s="25"/>
      <c r="X192" s="25"/>
      <c r="Z192" s="25"/>
      <c r="AA192" s="77"/>
      <c r="AB192" s="77"/>
      <c r="AC192" s="272"/>
      <c r="AD192" s="40"/>
      <c r="AE192" s="77"/>
      <c r="AF192" s="77"/>
      <c r="AG192" s="77"/>
      <c r="AH192" s="77"/>
      <c r="AI192" s="77"/>
      <c r="AJ192" s="77"/>
      <c r="AK192" s="77"/>
    </row>
    <row r="193" spans="2:37" ht="10.5" customHeight="1">
      <c r="B193" s="146"/>
      <c r="C193" s="212" t="s">
        <v>5020</v>
      </c>
      <c r="D193" s="247"/>
      <c r="E193" s="146"/>
      <c r="F193" s="146" t="s">
        <v>316</v>
      </c>
      <c r="G193" s="578" t="s">
        <v>5021</v>
      </c>
      <c r="H193" s="578" t="s">
        <v>4894</v>
      </c>
      <c r="I193" s="579" t="s">
        <v>4986</v>
      </c>
      <c r="J193" s="579" t="s">
        <v>4690</v>
      </c>
      <c r="K193" s="580" t="s">
        <v>5022</v>
      </c>
      <c r="L193" s="581" t="s">
        <v>4858</v>
      </c>
      <c r="M193" s="1346" t="s">
        <v>4688</v>
      </c>
      <c r="N193" s="581" t="s">
        <v>4981</v>
      </c>
      <c r="O193" s="721" t="s">
        <v>5023</v>
      </c>
      <c r="P193" s="150" t="s">
        <v>5024</v>
      </c>
      <c r="Q193" s="150"/>
      <c r="R193" s="98"/>
      <c r="S193" s="146"/>
      <c r="T193" s="279" t="s">
        <v>5025</v>
      </c>
      <c r="U193" s="279" t="s">
        <v>5026</v>
      </c>
      <c r="W193" s="25"/>
      <c r="X193" s="25"/>
      <c r="Z193" s="25"/>
      <c r="AA193" s="77"/>
      <c r="AB193" s="77"/>
      <c r="AC193" s="272"/>
      <c r="AD193" s="40"/>
      <c r="AE193" s="77"/>
      <c r="AF193" s="77"/>
      <c r="AG193" s="77"/>
      <c r="AH193" s="77"/>
      <c r="AI193" s="77"/>
      <c r="AJ193" s="77"/>
      <c r="AK193" s="77"/>
    </row>
    <row r="194" spans="2:37" ht="10.5" customHeight="1">
      <c r="B194" s="146"/>
      <c r="C194" s="212" t="s">
        <v>5027</v>
      </c>
      <c r="D194" s="247"/>
      <c r="E194" s="146"/>
      <c r="F194" s="146" t="s">
        <v>323</v>
      </c>
      <c r="G194" s="578" t="s">
        <v>5028</v>
      </c>
      <c r="H194" s="578" t="s">
        <v>4894</v>
      </c>
      <c r="I194" s="582" t="s">
        <v>4884</v>
      </c>
      <c r="J194" s="582" t="s">
        <v>4689</v>
      </c>
      <c r="K194" s="580" t="s">
        <v>4902</v>
      </c>
      <c r="L194" s="581" t="s">
        <v>4879</v>
      </c>
      <c r="M194" s="1346" t="s">
        <v>4685</v>
      </c>
      <c r="N194" s="581" t="s">
        <v>4903</v>
      </c>
      <c r="O194" s="721" t="s">
        <v>5029</v>
      </c>
      <c r="P194" s="150" t="s">
        <v>5030</v>
      </c>
      <c r="Q194" s="150"/>
      <c r="R194" s="98"/>
      <c r="S194" s="146"/>
      <c r="T194" s="279" t="s">
        <v>5031</v>
      </c>
      <c r="U194" s="279" t="s">
        <v>5032</v>
      </c>
      <c r="W194" s="25"/>
      <c r="X194" s="25"/>
      <c r="Z194" s="25"/>
      <c r="AA194" s="77"/>
      <c r="AB194" s="77"/>
      <c r="AC194" s="272"/>
      <c r="AD194" s="40"/>
      <c r="AE194" s="77"/>
      <c r="AF194" s="77"/>
      <c r="AG194" s="77"/>
      <c r="AH194" s="77"/>
      <c r="AI194" s="77"/>
      <c r="AJ194" s="77"/>
      <c r="AK194" s="77"/>
    </row>
    <row r="195" spans="2:37" ht="10.5" customHeight="1">
      <c r="B195" s="146"/>
      <c r="C195" s="212" t="s">
        <v>2097</v>
      </c>
      <c r="D195" s="247"/>
      <c r="E195" s="146"/>
      <c r="F195" s="146" t="s">
        <v>324</v>
      </c>
      <c r="G195" s="578" t="s">
        <v>5033</v>
      </c>
      <c r="H195" s="578" t="s">
        <v>4894</v>
      </c>
      <c r="I195" s="579" t="s">
        <v>5034</v>
      </c>
      <c r="J195" s="579" t="s">
        <v>4689</v>
      </c>
      <c r="K195" s="580" t="s">
        <v>5035</v>
      </c>
      <c r="L195" s="581" t="s">
        <v>4879</v>
      </c>
      <c r="M195" s="1346" t="s">
        <v>4685</v>
      </c>
      <c r="N195" s="581" t="s">
        <v>4897</v>
      </c>
      <c r="O195" s="721" t="s">
        <v>5036</v>
      </c>
      <c r="P195" s="150" t="s">
        <v>5037</v>
      </c>
      <c r="Q195" s="150"/>
      <c r="R195" s="146"/>
      <c r="S195" s="146"/>
      <c r="T195" s="279" t="s">
        <v>4897</v>
      </c>
      <c r="U195" s="279" t="s">
        <v>5033</v>
      </c>
      <c r="W195" s="25"/>
      <c r="X195" s="25"/>
      <c r="Z195" s="25"/>
      <c r="AA195" s="77"/>
      <c r="AB195" s="77"/>
      <c r="AC195" s="272"/>
      <c r="AD195" s="40"/>
      <c r="AE195" s="77"/>
      <c r="AF195" s="77"/>
      <c r="AG195" s="77"/>
      <c r="AH195" s="77"/>
      <c r="AI195" s="77"/>
      <c r="AJ195" s="77"/>
      <c r="AK195" s="77"/>
    </row>
    <row r="196" spans="2:37" ht="10.5" customHeight="1">
      <c r="B196" s="146"/>
      <c r="C196" s="211" t="s">
        <v>5038</v>
      </c>
      <c r="D196" s="247"/>
      <c r="E196" s="146"/>
      <c r="F196" s="146" t="s">
        <v>317</v>
      </c>
      <c r="G196" s="578" t="s">
        <v>5039</v>
      </c>
      <c r="H196" s="578" t="s">
        <v>4855</v>
      </c>
      <c r="I196" s="579" t="s">
        <v>4991</v>
      </c>
      <c r="J196" s="579" t="s">
        <v>4690</v>
      </c>
      <c r="K196" s="580" t="s">
        <v>5040</v>
      </c>
      <c r="L196" s="581" t="s">
        <v>4858</v>
      </c>
      <c r="M196" s="1346" t="s">
        <v>4688</v>
      </c>
      <c r="N196" s="581" t="s">
        <v>2057</v>
      </c>
      <c r="O196" s="721" t="s">
        <v>5041</v>
      </c>
      <c r="P196" s="150" t="s">
        <v>5042</v>
      </c>
      <c r="Q196" s="279"/>
      <c r="R196" s="98"/>
      <c r="S196" s="146"/>
      <c r="T196" s="279" t="s">
        <v>4903</v>
      </c>
      <c r="U196" s="279" t="s">
        <v>143</v>
      </c>
      <c r="W196" s="25"/>
      <c r="X196" s="25"/>
      <c r="Z196" s="25"/>
      <c r="AA196" s="77"/>
      <c r="AB196" s="77"/>
      <c r="AC196" s="272"/>
      <c r="AD196" s="40"/>
      <c r="AE196" s="77"/>
      <c r="AF196" s="77"/>
      <c r="AG196" s="77"/>
      <c r="AH196" s="77"/>
      <c r="AI196" s="77"/>
      <c r="AJ196" s="77"/>
      <c r="AK196" s="77"/>
    </row>
    <row r="197" spans="2:37" ht="10.5" customHeight="1">
      <c r="B197" s="146"/>
      <c r="C197" s="211" t="s">
        <v>5043</v>
      </c>
      <c r="D197" s="247"/>
      <c r="E197" s="146"/>
      <c r="F197" s="146" t="s">
        <v>319</v>
      </c>
      <c r="G197" s="578" t="s">
        <v>90</v>
      </c>
      <c r="H197" s="578" t="s">
        <v>4924</v>
      </c>
      <c r="I197" s="582" t="s">
        <v>4884</v>
      </c>
      <c r="J197" s="582" t="s">
        <v>4689</v>
      </c>
      <c r="K197" s="580" t="s">
        <v>4902</v>
      </c>
      <c r="L197" s="581" t="s">
        <v>4879</v>
      </c>
      <c r="M197" s="1346" t="s">
        <v>4685</v>
      </c>
      <c r="N197" s="581" t="s">
        <v>4903</v>
      </c>
      <c r="O197" s="721" t="s">
        <v>5044</v>
      </c>
      <c r="P197" s="150" t="s">
        <v>5045</v>
      </c>
      <c r="Q197" s="279"/>
      <c r="R197" s="98"/>
      <c r="S197" s="146"/>
      <c r="T197" s="279" t="s">
        <v>5046</v>
      </c>
      <c r="U197" s="279" t="s">
        <v>5047</v>
      </c>
      <c r="W197" s="25"/>
      <c r="X197" s="25"/>
      <c r="Z197" s="25"/>
      <c r="AA197" s="77"/>
      <c r="AB197" s="77"/>
      <c r="AC197" s="272"/>
      <c r="AD197" s="40"/>
      <c r="AE197" s="77"/>
      <c r="AF197" s="77"/>
      <c r="AG197" s="77"/>
      <c r="AH197" s="77"/>
      <c r="AI197" s="77"/>
      <c r="AJ197" s="77"/>
      <c r="AK197" s="77"/>
    </row>
    <row r="198" spans="2:37" ht="10.5" customHeight="1">
      <c r="B198" s="146"/>
      <c r="C198" s="212" t="s">
        <v>5048</v>
      </c>
      <c r="D198" s="247"/>
      <c r="E198" s="146"/>
      <c r="F198" s="146" t="s">
        <v>320</v>
      </c>
      <c r="G198" s="578" t="s">
        <v>5014</v>
      </c>
      <c r="H198" s="578" t="s">
        <v>4855</v>
      </c>
      <c r="I198" s="579" t="s">
        <v>4997</v>
      </c>
      <c r="J198" s="579" t="s">
        <v>4690</v>
      </c>
      <c r="K198" s="580" t="s">
        <v>5049</v>
      </c>
      <c r="L198" s="581" t="s">
        <v>4858</v>
      </c>
      <c r="M198" s="1346" t="s">
        <v>4688</v>
      </c>
      <c r="N198" s="581" t="s">
        <v>2143</v>
      </c>
      <c r="O198" s="721" t="s">
        <v>5050</v>
      </c>
      <c r="P198" s="150" t="s">
        <v>5051</v>
      </c>
      <c r="Q198" s="279"/>
      <c r="R198" s="98"/>
      <c r="S198" s="146"/>
      <c r="T198" s="279" t="s">
        <v>5052</v>
      </c>
      <c r="U198" s="279" t="s">
        <v>160</v>
      </c>
      <c r="W198" s="25"/>
      <c r="X198" s="25"/>
      <c r="Z198" s="25"/>
      <c r="AA198" s="77"/>
      <c r="AB198" s="77"/>
      <c r="AC198" s="272"/>
      <c r="AD198" s="40"/>
      <c r="AE198" s="77"/>
      <c r="AF198" s="77"/>
      <c r="AG198" s="77"/>
      <c r="AH198" s="77"/>
      <c r="AI198" s="77"/>
      <c r="AJ198" s="77"/>
      <c r="AK198" s="77"/>
    </row>
    <row r="199" spans="2:37" ht="10.5" customHeight="1">
      <c r="B199" s="146"/>
      <c r="C199" s="211" t="s">
        <v>5053</v>
      </c>
      <c r="D199" s="247"/>
      <c r="E199" s="146"/>
      <c r="F199" s="146" t="s">
        <v>321</v>
      </c>
      <c r="G199" s="578" t="s">
        <v>110</v>
      </c>
      <c r="H199" s="578" t="s">
        <v>4924</v>
      </c>
      <c r="I199" s="582" t="s">
        <v>4884</v>
      </c>
      <c r="J199" s="582" t="s">
        <v>4689</v>
      </c>
      <c r="K199" s="580" t="s">
        <v>4902</v>
      </c>
      <c r="L199" s="581" t="s">
        <v>4879</v>
      </c>
      <c r="M199" s="1346" t="s">
        <v>4685</v>
      </c>
      <c r="N199" s="581" t="s">
        <v>4903</v>
      </c>
      <c r="O199" s="721" t="s">
        <v>5054</v>
      </c>
      <c r="P199" s="150" t="s">
        <v>5055</v>
      </c>
      <c r="Q199" s="279"/>
      <c r="R199" s="98"/>
      <c r="S199" s="146"/>
      <c r="T199" s="279" t="s">
        <v>4963</v>
      </c>
      <c r="U199" s="279" t="s">
        <v>5056</v>
      </c>
      <c r="W199" s="25"/>
      <c r="X199" s="25"/>
      <c r="Z199" s="25"/>
      <c r="AA199" s="77"/>
      <c r="AB199" s="77"/>
      <c r="AC199" s="272"/>
      <c r="AD199" s="40"/>
      <c r="AE199" s="77"/>
      <c r="AF199" s="77"/>
      <c r="AG199" s="77"/>
      <c r="AH199" s="77"/>
      <c r="AI199" s="77"/>
      <c r="AJ199" s="77"/>
      <c r="AK199" s="77"/>
    </row>
    <row r="200" spans="2:37" ht="10.5" customHeight="1">
      <c r="B200" s="146"/>
      <c r="C200" s="212" t="s">
        <v>5057</v>
      </c>
      <c r="D200" s="247"/>
      <c r="E200" s="146"/>
      <c r="F200" s="146" t="s">
        <v>318</v>
      </c>
      <c r="G200" s="578" t="s">
        <v>4973</v>
      </c>
      <c r="H200" s="578" t="s">
        <v>4855</v>
      </c>
      <c r="I200" s="579" t="s">
        <v>5003</v>
      </c>
      <c r="J200" s="579" t="s">
        <v>4690</v>
      </c>
      <c r="K200" s="580" t="s">
        <v>5058</v>
      </c>
      <c r="L200" s="581" t="s">
        <v>4858</v>
      </c>
      <c r="M200" s="1346" t="s">
        <v>4688</v>
      </c>
      <c r="N200" s="581" t="s">
        <v>2143</v>
      </c>
      <c r="O200" s="721" t="s">
        <v>5059</v>
      </c>
      <c r="P200" s="150" t="s">
        <v>5060</v>
      </c>
      <c r="Q200" s="279"/>
      <c r="R200" s="98"/>
      <c r="S200" s="146"/>
      <c r="T200" s="279" t="s">
        <v>5061</v>
      </c>
      <c r="U200" s="279" t="s">
        <v>110</v>
      </c>
      <c r="W200" s="25"/>
      <c r="X200" s="25"/>
      <c r="Z200" s="25"/>
      <c r="AA200" s="77"/>
      <c r="AB200" s="77"/>
      <c r="AC200" s="272"/>
      <c r="AD200" s="40"/>
      <c r="AE200" s="77"/>
      <c r="AF200" s="77"/>
      <c r="AG200" s="77"/>
      <c r="AH200" s="77"/>
      <c r="AI200" s="77"/>
      <c r="AJ200" s="77"/>
      <c r="AK200" s="77"/>
    </row>
    <row r="201" spans="2:37" ht="10.5" customHeight="1">
      <c r="B201" s="146"/>
      <c r="C201" s="212" t="s">
        <v>5062</v>
      </c>
      <c r="D201" s="247"/>
      <c r="E201" s="146"/>
      <c r="F201" s="146" t="s">
        <v>322</v>
      </c>
      <c r="G201" s="578" t="s">
        <v>5063</v>
      </c>
      <c r="H201" s="578" t="s">
        <v>4855</v>
      </c>
      <c r="I201" s="579" t="s">
        <v>5010</v>
      </c>
      <c r="J201" s="579" t="s">
        <v>4690</v>
      </c>
      <c r="K201" s="580" t="s">
        <v>5064</v>
      </c>
      <c r="L201" s="581" t="s">
        <v>4858</v>
      </c>
      <c r="M201" s="1346" t="s">
        <v>4688</v>
      </c>
      <c r="N201" s="581" t="s">
        <v>2057</v>
      </c>
      <c r="O201" s="721" t="s">
        <v>5065</v>
      </c>
      <c r="P201" s="150" t="s">
        <v>5066</v>
      </c>
      <c r="Q201" s="279"/>
      <c r="R201" s="98"/>
      <c r="S201" s="146"/>
      <c r="T201" s="279" t="s">
        <v>5067</v>
      </c>
      <c r="U201" s="279" t="s">
        <v>5068</v>
      </c>
      <c r="W201" s="25"/>
      <c r="X201" s="25"/>
      <c r="Z201" s="25"/>
      <c r="AA201" s="77"/>
      <c r="AB201" s="77"/>
      <c r="AC201" s="272"/>
      <c r="AD201" s="40"/>
      <c r="AE201" s="77"/>
      <c r="AF201" s="77"/>
      <c r="AG201" s="77"/>
      <c r="AH201" s="77"/>
      <c r="AI201" s="77"/>
      <c r="AJ201" s="77"/>
      <c r="AK201" s="77"/>
    </row>
    <row r="202" spans="2:37" ht="10.5" customHeight="1">
      <c r="B202" s="146"/>
      <c r="C202" s="212" t="s">
        <v>5069</v>
      </c>
      <c r="D202" s="247"/>
      <c r="E202" s="146"/>
      <c r="F202" s="146" t="s">
        <v>325</v>
      </c>
      <c r="G202" s="578" t="s">
        <v>107</v>
      </c>
      <c r="H202" s="578" t="s">
        <v>4894</v>
      </c>
      <c r="I202" s="582" t="s">
        <v>4892</v>
      </c>
      <c r="J202" s="582" t="s">
        <v>4689</v>
      </c>
      <c r="K202" s="580" t="s">
        <v>4962</v>
      </c>
      <c r="L202" s="581" t="s">
        <v>4879</v>
      </c>
      <c r="M202" s="1346" t="s">
        <v>4688</v>
      </c>
      <c r="N202" s="581" t="s">
        <v>4963</v>
      </c>
      <c r="O202" s="721" t="s">
        <v>5070</v>
      </c>
      <c r="P202" s="150" t="s">
        <v>5071</v>
      </c>
      <c r="Q202" s="279"/>
      <c r="R202" s="98"/>
      <c r="S202" s="146"/>
      <c r="T202" s="279" t="s">
        <v>5072</v>
      </c>
      <c r="U202" s="279" t="s">
        <v>5073</v>
      </c>
      <c r="W202" s="25"/>
      <c r="X202" s="25"/>
      <c r="Z202" s="25"/>
      <c r="AA202" s="77"/>
      <c r="AB202" s="77"/>
      <c r="AC202" s="272"/>
      <c r="AD202" s="40"/>
      <c r="AE202" s="77"/>
      <c r="AF202" s="77"/>
      <c r="AG202" s="77"/>
      <c r="AH202" s="77"/>
      <c r="AI202" s="77"/>
      <c r="AJ202" s="77"/>
      <c r="AK202" s="77"/>
    </row>
    <row r="203" spans="2:37" ht="10.5" customHeight="1">
      <c r="B203" s="146"/>
      <c r="C203" s="212" t="s">
        <v>5074</v>
      </c>
      <c r="D203" s="247"/>
      <c r="E203" s="146"/>
      <c r="F203" s="146" t="s">
        <v>326</v>
      </c>
      <c r="G203" s="578" t="s">
        <v>4891</v>
      </c>
      <c r="H203" s="578" t="s">
        <v>4855</v>
      </c>
      <c r="I203" s="579" t="s">
        <v>5020</v>
      </c>
      <c r="J203" s="579" t="s">
        <v>4690</v>
      </c>
      <c r="K203" s="580" t="s">
        <v>5075</v>
      </c>
      <c r="L203" s="581" t="s">
        <v>4858</v>
      </c>
      <c r="M203" s="1346" t="s">
        <v>4688</v>
      </c>
      <c r="N203" s="581" t="s">
        <v>2143</v>
      </c>
      <c r="O203" s="721" t="s">
        <v>5076</v>
      </c>
      <c r="P203" s="150" t="s">
        <v>5077</v>
      </c>
      <c r="Q203" s="279"/>
      <c r="R203" s="98"/>
      <c r="S203" s="146"/>
      <c r="T203" s="279" t="s">
        <v>5078</v>
      </c>
      <c r="U203" s="279" t="s">
        <v>85</v>
      </c>
      <c r="W203" s="25"/>
      <c r="X203" s="25"/>
      <c r="Z203" s="25"/>
      <c r="AA203" s="77"/>
      <c r="AB203" s="77"/>
      <c r="AC203" s="272"/>
      <c r="AD203" s="40"/>
      <c r="AE203" s="77"/>
      <c r="AF203" s="77"/>
      <c r="AG203" s="77"/>
      <c r="AH203" s="77"/>
      <c r="AI203" s="77"/>
      <c r="AJ203" s="77"/>
      <c r="AK203" s="77"/>
    </row>
    <row r="204" spans="2:37" ht="10.5" customHeight="1">
      <c r="B204" s="146"/>
      <c r="C204" s="212" t="s">
        <v>5079</v>
      </c>
      <c r="D204" s="247"/>
      <c r="E204" s="146"/>
      <c r="F204" s="146" t="s">
        <v>327</v>
      </c>
      <c r="G204" s="578" t="s">
        <v>105</v>
      </c>
      <c r="H204" s="578" t="s">
        <v>4855</v>
      </c>
      <c r="I204" s="582" t="s">
        <v>4884</v>
      </c>
      <c r="J204" s="582" t="s">
        <v>4689</v>
      </c>
      <c r="K204" s="580" t="s">
        <v>4902</v>
      </c>
      <c r="L204" s="581" t="s">
        <v>4879</v>
      </c>
      <c r="M204" s="1346" t="s">
        <v>4685</v>
      </c>
      <c r="N204" s="581" t="s">
        <v>4903</v>
      </c>
      <c r="O204" s="721" t="s">
        <v>5080</v>
      </c>
      <c r="P204" s="150" t="s">
        <v>5081</v>
      </c>
      <c r="Q204" s="279"/>
      <c r="R204" s="98"/>
      <c r="S204" s="146"/>
      <c r="T204" s="279" t="s">
        <v>5082</v>
      </c>
      <c r="U204" s="279" t="s">
        <v>5083</v>
      </c>
      <c r="W204" s="25"/>
      <c r="X204" s="25"/>
      <c r="Z204" s="25"/>
      <c r="AA204" s="77"/>
      <c r="AB204" s="77"/>
      <c r="AC204" s="272"/>
      <c r="AD204" s="40"/>
      <c r="AE204" s="77"/>
      <c r="AF204" s="77"/>
      <c r="AG204" s="77"/>
      <c r="AH204" s="77"/>
      <c r="AI204" s="77"/>
      <c r="AJ204" s="77"/>
      <c r="AK204" s="77"/>
    </row>
    <row r="205" spans="2:37" ht="10.5" customHeight="1">
      <c r="B205" s="146"/>
      <c r="C205" s="212" t="s">
        <v>5084</v>
      </c>
      <c r="D205" s="247"/>
      <c r="E205" s="146"/>
      <c r="F205" s="146" t="s">
        <v>328</v>
      </c>
      <c r="G205" s="578" t="s">
        <v>5085</v>
      </c>
      <c r="H205" s="578" t="s">
        <v>4894</v>
      </c>
      <c r="I205" s="582" t="s">
        <v>4888</v>
      </c>
      <c r="J205" s="582" t="s">
        <v>4689</v>
      </c>
      <c r="K205" s="580" t="s">
        <v>4925</v>
      </c>
      <c r="L205" s="581" t="s">
        <v>4879</v>
      </c>
      <c r="M205" s="1346" t="s">
        <v>4688</v>
      </c>
      <c r="N205" s="581" t="s">
        <v>4888</v>
      </c>
      <c r="O205" s="721" t="s">
        <v>5086</v>
      </c>
      <c r="P205" s="150" t="s">
        <v>5087</v>
      </c>
      <c r="Q205" s="279"/>
      <c r="R205" s="98"/>
      <c r="S205" s="146"/>
      <c r="T205" s="279" t="s">
        <v>5088</v>
      </c>
      <c r="U205" s="279" t="s">
        <v>5047</v>
      </c>
      <c r="W205" s="25"/>
      <c r="X205" s="25"/>
      <c r="Z205" s="25"/>
      <c r="AA205" s="77"/>
      <c r="AB205" s="77"/>
      <c r="AC205" s="272"/>
      <c r="AD205" s="40"/>
      <c r="AE205" s="77"/>
      <c r="AF205" s="77"/>
      <c r="AG205" s="77"/>
      <c r="AH205" s="77"/>
      <c r="AI205" s="77"/>
      <c r="AJ205" s="77"/>
      <c r="AK205" s="77"/>
    </row>
    <row r="206" spans="2:37" ht="10.5" customHeight="1">
      <c r="B206" s="146"/>
      <c r="C206" s="212" t="s">
        <v>5089</v>
      </c>
      <c r="D206" s="247"/>
      <c r="E206" s="146"/>
      <c r="F206" s="146" t="s">
        <v>329</v>
      </c>
      <c r="G206" s="578" t="s">
        <v>4996</v>
      </c>
      <c r="H206" s="578" t="s">
        <v>4855</v>
      </c>
      <c r="I206" s="579" t="s">
        <v>5027</v>
      </c>
      <c r="J206" s="579" t="s">
        <v>4690</v>
      </c>
      <c r="K206" s="580" t="s">
        <v>5090</v>
      </c>
      <c r="L206" s="581" t="s">
        <v>4858</v>
      </c>
      <c r="M206" s="1346" t="s">
        <v>4688</v>
      </c>
      <c r="N206" s="581" t="s">
        <v>2057</v>
      </c>
      <c r="O206" s="721" t="s">
        <v>5091</v>
      </c>
      <c r="P206" s="150" t="s">
        <v>5092</v>
      </c>
      <c r="Q206" s="279"/>
      <c r="R206" s="98"/>
      <c r="S206" s="146"/>
      <c r="T206" s="279" t="s">
        <v>4885</v>
      </c>
      <c r="U206" s="279" t="s">
        <v>153</v>
      </c>
      <c r="W206" s="25"/>
      <c r="X206" s="25"/>
      <c r="Z206" s="25"/>
      <c r="AA206" s="77"/>
      <c r="AB206" s="77"/>
      <c r="AC206" s="272"/>
      <c r="AD206" s="40"/>
      <c r="AE206" s="77"/>
      <c r="AF206" s="77"/>
      <c r="AG206" s="77"/>
      <c r="AH206" s="77"/>
      <c r="AI206" s="77"/>
      <c r="AJ206" s="77"/>
      <c r="AK206" s="77"/>
    </row>
    <row r="207" spans="2:37" ht="10.5" customHeight="1">
      <c r="B207" s="146"/>
      <c r="C207" s="212" t="s">
        <v>5093</v>
      </c>
      <c r="D207" s="247"/>
      <c r="E207" s="146"/>
      <c r="F207" s="146" t="s">
        <v>330</v>
      </c>
      <c r="G207" s="578" t="s">
        <v>5094</v>
      </c>
      <c r="H207" s="578" t="s">
        <v>4894</v>
      </c>
      <c r="I207" s="582" t="s">
        <v>4981</v>
      </c>
      <c r="J207" s="582" t="s">
        <v>4689</v>
      </c>
      <c r="K207" s="580" t="s">
        <v>4998</v>
      </c>
      <c r="L207" s="581" t="s">
        <v>4879</v>
      </c>
      <c r="M207" s="1346" t="s">
        <v>4688</v>
      </c>
      <c r="N207" s="581" t="s">
        <v>4981</v>
      </c>
      <c r="O207" s="721" t="s">
        <v>5095</v>
      </c>
      <c r="P207" s="150" t="s">
        <v>5096</v>
      </c>
      <c r="Q207" s="279"/>
      <c r="R207" s="98"/>
      <c r="S207" s="146"/>
      <c r="T207" s="279" t="s">
        <v>5097</v>
      </c>
      <c r="U207" s="279" t="s">
        <v>5028</v>
      </c>
      <c r="W207" s="25"/>
      <c r="X207" s="25"/>
      <c r="Z207" s="25"/>
      <c r="AA207" s="77"/>
      <c r="AB207" s="77"/>
      <c r="AC207" s="272"/>
      <c r="AD207" s="40"/>
      <c r="AE207" s="77"/>
      <c r="AF207" s="77"/>
      <c r="AG207" s="77"/>
      <c r="AH207" s="77"/>
      <c r="AI207" s="77"/>
      <c r="AJ207" s="77"/>
      <c r="AK207" s="77"/>
    </row>
    <row r="208" spans="2:37" ht="10.5" customHeight="1">
      <c r="B208" s="146"/>
      <c r="C208" s="212" t="s">
        <v>5098</v>
      </c>
      <c r="D208" s="247"/>
      <c r="E208" s="146"/>
      <c r="F208" s="146" t="s">
        <v>331</v>
      </c>
      <c r="G208" s="578" t="s">
        <v>5099</v>
      </c>
      <c r="H208" s="578" t="s">
        <v>4894</v>
      </c>
      <c r="I208" s="582" t="s">
        <v>4884</v>
      </c>
      <c r="J208" s="582" t="s">
        <v>4689</v>
      </c>
      <c r="K208" s="580" t="s">
        <v>4902</v>
      </c>
      <c r="L208" s="581" t="s">
        <v>4879</v>
      </c>
      <c r="M208" s="1346" t="s">
        <v>4685</v>
      </c>
      <c r="N208" s="581" t="s">
        <v>4903</v>
      </c>
      <c r="O208" s="721" t="s">
        <v>5100</v>
      </c>
      <c r="P208" s="150" t="s">
        <v>5101</v>
      </c>
      <c r="Q208" s="279"/>
      <c r="R208" s="98"/>
      <c r="S208" s="146"/>
      <c r="T208" s="279" t="s">
        <v>5102</v>
      </c>
      <c r="U208" s="279" t="s">
        <v>4929</v>
      </c>
      <c r="W208" s="25"/>
      <c r="X208" s="25"/>
      <c r="Z208" s="25"/>
      <c r="AA208" s="77"/>
      <c r="AB208" s="77"/>
      <c r="AC208" s="272"/>
      <c r="AD208" s="40"/>
      <c r="AE208" s="77"/>
      <c r="AF208" s="77"/>
      <c r="AG208" s="77"/>
      <c r="AH208" s="77"/>
      <c r="AI208" s="77"/>
      <c r="AJ208" s="77"/>
      <c r="AK208" s="77"/>
    </row>
    <row r="209" spans="2:37" ht="10.5" customHeight="1">
      <c r="B209" s="146"/>
      <c r="C209" s="212" t="s">
        <v>5103</v>
      </c>
      <c r="D209" s="247"/>
      <c r="E209" s="146"/>
      <c r="F209" s="146" t="s">
        <v>332</v>
      </c>
      <c r="G209" s="578" t="s">
        <v>5047</v>
      </c>
      <c r="H209" s="578" t="s">
        <v>4855</v>
      </c>
      <c r="I209" s="579" t="s">
        <v>5038</v>
      </c>
      <c r="J209" s="579" t="s">
        <v>4690</v>
      </c>
      <c r="K209" s="580" t="s">
        <v>5104</v>
      </c>
      <c r="L209" s="581" t="s">
        <v>4858</v>
      </c>
      <c r="M209" s="1346" t="s">
        <v>4688</v>
      </c>
      <c r="N209" s="581" t="s">
        <v>2057</v>
      </c>
      <c r="O209" s="721" t="s">
        <v>5105</v>
      </c>
      <c r="P209" s="150" t="s">
        <v>5106</v>
      </c>
      <c r="Q209" s="279"/>
      <c r="R209" s="98"/>
      <c r="S209" s="146"/>
      <c r="T209" s="279" t="s">
        <v>4883</v>
      </c>
      <c r="U209" s="279" t="s">
        <v>5073</v>
      </c>
      <c r="W209" s="25"/>
      <c r="X209" s="25"/>
      <c r="Z209" s="25"/>
      <c r="AA209" s="77"/>
      <c r="AB209" s="77"/>
      <c r="AC209" s="272"/>
      <c r="AD209" s="40"/>
      <c r="AE209" s="77"/>
      <c r="AF209" s="77"/>
      <c r="AG209" s="77"/>
      <c r="AH209" s="77"/>
      <c r="AI209" s="77"/>
      <c r="AJ209" s="77"/>
      <c r="AK209" s="77"/>
    </row>
    <row r="210" spans="2:37" ht="10.5" customHeight="1">
      <c r="B210" s="146"/>
      <c r="C210" s="212" t="s">
        <v>5107</v>
      </c>
      <c r="D210" s="247"/>
      <c r="E210" s="146"/>
      <c r="F210" s="146" t="s">
        <v>333</v>
      </c>
      <c r="G210" s="578" t="s">
        <v>5108</v>
      </c>
      <c r="H210" s="578" t="s">
        <v>4924</v>
      </c>
      <c r="I210" s="582" t="s">
        <v>4884</v>
      </c>
      <c r="J210" s="582" t="s">
        <v>4689</v>
      </c>
      <c r="K210" s="580" t="s">
        <v>4902</v>
      </c>
      <c r="L210" s="581" t="s">
        <v>4879</v>
      </c>
      <c r="M210" s="1346" t="s">
        <v>4685</v>
      </c>
      <c r="N210" s="581" t="s">
        <v>4903</v>
      </c>
      <c r="O210" s="721" t="s">
        <v>5109</v>
      </c>
      <c r="P210" s="150" t="s">
        <v>5110</v>
      </c>
      <c r="Q210" s="279"/>
      <c r="R210" s="98"/>
      <c r="S210" s="146"/>
      <c r="T210" s="279" t="s">
        <v>5111</v>
      </c>
      <c r="U210" s="279" t="s">
        <v>5112</v>
      </c>
      <c r="W210" s="25"/>
      <c r="X210" s="25"/>
      <c r="Z210" s="25"/>
      <c r="AA210" s="77"/>
      <c r="AB210" s="77"/>
      <c r="AC210" s="272"/>
      <c r="AD210" s="40"/>
      <c r="AE210" s="77"/>
      <c r="AF210" s="77"/>
      <c r="AG210" s="77"/>
      <c r="AH210" s="77"/>
      <c r="AI210" s="77"/>
      <c r="AJ210" s="77"/>
      <c r="AK210" s="77"/>
    </row>
    <row r="211" spans="2:37" ht="10.5" customHeight="1">
      <c r="B211" s="146"/>
      <c r="C211" s="212" t="s">
        <v>5113</v>
      </c>
      <c r="D211" s="247"/>
      <c r="E211" s="146"/>
      <c r="F211" s="146" t="s">
        <v>334</v>
      </c>
      <c r="G211" s="578" t="s">
        <v>5114</v>
      </c>
      <c r="H211" s="578" t="s">
        <v>4855</v>
      </c>
      <c r="I211" s="579" t="s">
        <v>5043</v>
      </c>
      <c r="J211" s="579" t="s">
        <v>4690</v>
      </c>
      <c r="K211" s="580" t="s">
        <v>5115</v>
      </c>
      <c r="L211" s="581" t="s">
        <v>4858</v>
      </c>
      <c r="M211" s="1346" t="s">
        <v>4688</v>
      </c>
      <c r="N211" s="581" t="s">
        <v>4888</v>
      </c>
      <c r="O211" s="721" t="s">
        <v>5116</v>
      </c>
      <c r="P211" s="150" t="s">
        <v>5117</v>
      </c>
      <c r="Q211" s="279"/>
      <c r="R211" s="98"/>
      <c r="S211" s="146"/>
      <c r="T211" s="146" t="s">
        <v>5118</v>
      </c>
      <c r="U211" s="146" t="s">
        <v>4854</v>
      </c>
      <c r="W211" s="25"/>
      <c r="X211" s="25"/>
      <c r="Z211" s="25"/>
      <c r="AA211" s="77"/>
      <c r="AB211" s="77"/>
      <c r="AC211" s="40"/>
      <c r="AD211" s="40"/>
      <c r="AE211" s="77"/>
      <c r="AF211" s="77"/>
      <c r="AG211" s="77"/>
      <c r="AH211" s="77"/>
      <c r="AI211" s="77"/>
      <c r="AJ211" s="77"/>
      <c r="AK211" s="77"/>
    </row>
    <row r="212" spans="2:37" ht="10.5" customHeight="1">
      <c r="B212" s="146"/>
      <c r="C212" s="212" t="s">
        <v>5119</v>
      </c>
      <c r="D212" s="247"/>
      <c r="E212" s="146"/>
      <c r="F212" s="146" t="s">
        <v>336</v>
      </c>
      <c r="G212" s="578" t="s">
        <v>5120</v>
      </c>
      <c r="H212" s="578" t="s">
        <v>4855</v>
      </c>
      <c r="I212" s="579" t="s">
        <v>5048</v>
      </c>
      <c r="J212" s="579" t="s">
        <v>4690</v>
      </c>
      <c r="K212" s="580" t="s">
        <v>5121</v>
      </c>
      <c r="L212" s="581" t="s">
        <v>4858</v>
      </c>
      <c r="M212" s="1346" t="s">
        <v>4688</v>
      </c>
      <c r="N212" s="581" t="s">
        <v>2057</v>
      </c>
      <c r="O212" s="721" t="s">
        <v>5122</v>
      </c>
      <c r="P212" s="150" t="s">
        <v>5123</v>
      </c>
      <c r="Q212" s="279"/>
      <c r="R212" s="98"/>
      <c r="S212" s="146"/>
      <c r="T212" s="279" t="s">
        <v>5124</v>
      </c>
      <c r="U212" s="279" t="s">
        <v>106</v>
      </c>
      <c r="W212" s="25"/>
      <c r="X212" s="25"/>
      <c r="Z212" s="25"/>
      <c r="AA212" s="77"/>
      <c r="AB212" s="77"/>
      <c r="AC212" s="272"/>
      <c r="AD212" s="40"/>
      <c r="AE212" s="77"/>
      <c r="AF212" s="77"/>
      <c r="AG212" s="77"/>
      <c r="AH212" s="77"/>
      <c r="AI212" s="77"/>
      <c r="AJ212" s="77"/>
      <c r="AK212" s="77"/>
    </row>
    <row r="213" spans="2:37" ht="10.5" customHeight="1">
      <c r="B213" s="146"/>
      <c r="C213" s="212" t="s">
        <v>5125</v>
      </c>
      <c r="D213" s="247"/>
      <c r="E213" s="146"/>
      <c r="F213" s="146" t="s">
        <v>335</v>
      </c>
      <c r="G213" s="578" t="s">
        <v>151</v>
      </c>
      <c r="H213" s="578" t="s">
        <v>4855</v>
      </c>
      <c r="I213" s="582" t="s">
        <v>2057</v>
      </c>
      <c r="J213" s="582" t="s">
        <v>4689</v>
      </c>
      <c r="K213" s="580" t="s">
        <v>5126</v>
      </c>
      <c r="L213" s="581" t="s">
        <v>4879</v>
      </c>
      <c r="M213" s="1346" t="s">
        <v>4685</v>
      </c>
      <c r="N213" s="581" t="s">
        <v>2057</v>
      </c>
      <c r="O213" s="721" t="s">
        <v>5127</v>
      </c>
      <c r="P213" s="150" t="s">
        <v>5128</v>
      </c>
      <c r="Q213" s="279"/>
      <c r="R213" s="98"/>
      <c r="S213" s="146"/>
      <c r="T213" s="279" t="s">
        <v>84</v>
      </c>
      <c r="U213" s="279" t="s">
        <v>85</v>
      </c>
      <c r="W213" s="25"/>
      <c r="X213" s="25"/>
      <c r="Z213" s="25"/>
      <c r="AA213" s="77"/>
      <c r="AB213" s="77"/>
      <c r="AC213" s="272"/>
      <c r="AD213" s="40"/>
      <c r="AE213" s="77"/>
      <c r="AF213" s="77"/>
      <c r="AG213" s="77"/>
      <c r="AH213" s="77"/>
      <c r="AI213" s="77"/>
      <c r="AJ213" s="77"/>
      <c r="AK213" s="77"/>
    </row>
    <row r="214" spans="2:37" ht="10.5" customHeight="1">
      <c r="B214" s="146"/>
      <c r="C214" s="212" t="s">
        <v>5129</v>
      </c>
      <c r="D214" s="247"/>
      <c r="E214" s="146"/>
      <c r="F214" s="146" t="s">
        <v>337</v>
      </c>
      <c r="G214" s="578" t="s">
        <v>135</v>
      </c>
      <c r="H214" s="578" t="s">
        <v>4894</v>
      </c>
      <c r="I214" s="582" t="s">
        <v>4884</v>
      </c>
      <c r="J214" s="582" t="s">
        <v>4689</v>
      </c>
      <c r="K214" s="580" t="s">
        <v>4902</v>
      </c>
      <c r="L214" s="581" t="s">
        <v>4879</v>
      </c>
      <c r="M214" s="1346" t="s">
        <v>4685</v>
      </c>
      <c r="N214" s="581" t="s">
        <v>4903</v>
      </c>
      <c r="O214" s="721" t="s">
        <v>5130</v>
      </c>
      <c r="P214" s="150" t="s">
        <v>5131</v>
      </c>
      <c r="Q214" s="279"/>
      <c r="R214" s="98"/>
      <c r="S214" s="146"/>
      <c r="T214" s="279" t="s">
        <v>5132</v>
      </c>
      <c r="U214" s="279" t="s">
        <v>5133</v>
      </c>
      <c r="W214" s="25"/>
      <c r="X214" s="25"/>
      <c r="Z214" s="25"/>
      <c r="AA214" s="77"/>
      <c r="AB214" s="77"/>
      <c r="AC214" s="272"/>
      <c r="AD214" s="40"/>
      <c r="AE214" s="77"/>
      <c r="AF214" s="77"/>
      <c r="AG214" s="77"/>
      <c r="AH214" s="77"/>
      <c r="AI214" s="77"/>
      <c r="AJ214" s="77"/>
      <c r="AK214" s="77"/>
    </row>
    <row r="215" spans="2:37" ht="10.5" customHeight="1">
      <c r="B215" s="146"/>
      <c r="C215" s="212" t="s">
        <v>5134</v>
      </c>
      <c r="D215" s="247"/>
      <c r="E215" s="146"/>
      <c r="F215" s="146" t="s">
        <v>339</v>
      </c>
      <c r="G215" s="578" t="s">
        <v>5135</v>
      </c>
      <c r="H215" s="578" t="s">
        <v>4855</v>
      </c>
      <c r="I215" s="579" t="s">
        <v>5053</v>
      </c>
      <c r="J215" s="579" t="s">
        <v>4690</v>
      </c>
      <c r="K215" s="580" t="s">
        <v>5136</v>
      </c>
      <c r="L215" s="581" t="s">
        <v>4858</v>
      </c>
      <c r="M215" s="1346" t="s">
        <v>4688</v>
      </c>
      <c r="N215" s="581" t="s">
        <v>2057</v>
      </c>
      <c r="O215" s="721" t="s">
        <v>5137</v>
      </c>
      <c r="P215" s="150" t="s">
        <v>5138</v>
      </c>
      <c r="Q215" s="279"/>
      <c r="R215" s="98"/>
      <c r="S215" s="146"/>
      <c r="T215" s="279" t="s">
        <v>5139</v>
      </c>
      <c r="U215" s="279" t="s">
        <v>5063</v>
      </c>
      <c r="W215" s="25"/>
      <c r="X215" s="25"/>
      <c r="Z215" s="25"/>
      <c r="AA215" s="77"/>
      <c r="AB215" s="77"/>
      <c r="AC215" s="272"/>
      <c r="AD215" s="40"/>
      <c r="AE215" s="77"/>
      <c r="AF215" s="77"/>
      <c r="AG215" s="77"/>
      <c r="AH215" s="77"/>
      <c r="AI215" s="77"/>
      <c r="AJ215" s="77"/>
      <c r="AK215" s="77"/>
    </row>
    <row r="216" spans="2:37" ht="10.5" customHeight="1">
      <c r="B216" s="146"/>
      <c r="C216" s="212" t="s">
        <v>5140</v>
      </c>
      <c r="D216" s="247"/>
      <c r="E216" s="146"/>
      <c r="F216" s="146" t="s">
        <v>338</v>
      </c>
      <c r="G216" s="578" t="s">
        <v>5141</v>
      </c>
      <c r="H216" s="578" t="s">
        <v>4855</v>
      </c>
      <c r="I216" s="579" t="s">
        <v>2143</v>
      </c>
      <c r="J216" s="579" t="s">
        <v>4689</v>
      </c>
      <c r="K216" s="580" t="s">
        <v>4945</v>
      </c>
      <c r="L216" s="581" t="s">
        <v>4879</v>
      </c>
      <c r="M216" s="1346" t="s">
        <v>4688</v>
      </c>
      <c r="N216" s="581" t="s">
        <v>2143</v>
      </c>
      <c r="O216" s="721" t="s">
        <v>5142</v>
      </c>
      <c r="P216" s="150" t="s">
        <v>5143</v>
      </c>
      <c r="Q216" s="279"/>
      <c r="R216" s="98"/>
      <c r="S216" s="146"/>
      <c r="T216" s="279" t="s">
        <v>5144</v>
      </c>
      <c r="U216" s="279" t="s">
        <v>160</v>
      </c>
      <c r="W216" s="25"/>
      <c r="X216" s="25"/>
      <c r="Z216" s="25"/>
      <c r="AA216" s="77"/>
      <c r="AB216" s="77"/>
      <c r="AC216" s="272"/>
      <c r="AD216" s="40"/>
      <c r="AE216" s="77"/>
      <c r="AF216" s="77"/>
      <c r="AG216" s="77"/>
      <c r="AH216" s="77"/>
      <c r="AI216" s="77"/>
      <c r="AJ216" s="77"/>
      <c r="AK216" s="77"/>
    </row>
    <row r="217" spans="2:37" ht="10.5" customHeight="1">
      <c r="B217" s="146"/>
      <c r="C217" s="211" t="s">
        <v>5145</v>
      </c>
      <c r="D217" s="247"/>
      <c r="E217" s="146"/>
      <c r="F217" s="146" t="s">
        <v>340</v>
      </c>
      <c r="G217" s="578" t="s">
        <v>5146</v>
      </c>
      <c r="H217" s="578" t="s">
        <v>4855</v>
      </c>
      <c r="I217" s="582" t="s">
        <v>4859</v>
      </c>
      <c r="J217" s="582" t="s">
        <v>4689</v>
      </c>
      <c r="K217" s="580" t="s">
        <v>4951</v>
      </c>
      <c r="L217" s="581" t="s">
        <v>4879</v>
      </c>
      <c r="M217" s="1346" t="s">
        <v>4688</v>
      </c>
      <c r="N217" s="581" t="s">
        <v>4859</v>
      </c>
      <c r="O217" s="721" t="s">
        <v>5147</v>
      </c>
      <c r="P217" s="150" t="s">
        <v>5148</v>
      </c>
      <c r="Q217" s="150"/>
      <c r="R217" s="98"/>
      <c r="S217" s="146"/>
      <c r="T217" s="279" t="s">
        <v>5149</v>
      </c>
      <c r="U217" s="279" t="s">
        <v>5150</v>
      </c>
      <c r="W217" s="25"/>
      <c r="X217" s="25"/>
      <c r="Z217" s="25"/>
      <c r="AA217" s="77"/>
      <c r="AB217" s="77"/>
      <c r="AC217" s="272"/>
      <c r="AD217" s="272"/>
      <c r="AE217" s="77"/>
      <c r="AF217" s="77"/>
      <c r="AG217" s="77"/>
      <c r="AH217" s="77"/>
      <c r="AI217" s="77"/>
      <c r="AJ217" s="77"/>
      <c r="AK217" s="77"/>
    </row>
    <row r="218" spans="2:37" ht="10.5" customHeight="1">
      <c r="B218" s="146"/>
      <c r="C218" s="212" t="s">
        <v>5151</v>
      </c>
      <c r="D218" s="247"/>
      <c r="E218" s="146"/>
      <c r="F218" s="294"/>
      <c r="G218" s="578" t="s">
        <v>5152</v>
      </c>
      <c r="H218" s="578" t="s">
        <v>4894</v>
      </c>
      <c r="I218" s="579" t="s">
        <v>5057</v>
      </c>
      <c r="J218" s="579" t="s">
        <v>4690</v>
      </c>
      <c r="K218" s="580" t="s">
        <v>5153</v>
      </c>
      <c r="L218" s="581" t="s">
        <v>4858</v>
      </c>
      <c r="M218" s="1346" t="s">
        <v>4688</v>
      </c>
      <c r="N218" s="581" t="s">
        <v>4897</v>
      </c>
      <c r="O218" s="721" t="s">
        <v>5154</v>
      </c>
      <c r="P218" s="150" t="s">
        <v>5155</v>
      </c>
      <c r="Q218" s="150"/>
      <c r="R218" s="98"/>
      <c r="S218" s="146"/>
      <c r="T218" s="279" t="s">
        <v>5156</v>
      </c>
      <c r="U218" s="279" t="s">
        <v>5157</v>
      </c>
      <c r="W218" s="25"/>
      <c r="X218" s="25"/>
      <c r="Z218" s="25"/>
      <c r="AA218" s="77"/>
      <c r="AB218" s="77"/>
      <c r="AC218" s="272"/>
      <c r="AD218" s="40"/>
      <c r="AE218" s="77"/>
      <c r="AF218" s="77"/>
      <c r="AG218" s="77"/>
      <c r="AH218" s="77"/>
      <c r="AI218" s="77"/>
      <c r="AJ218" s="77"/>
      <c r="AK218" s="77"/>
    </row>
    <row r="219" spans="2:37" ht="10.5" customHeight="1">
      <c r="B219" s="146"/>
      <c r="C219" s="211" t="s">
        <v>5158</v>
      </c>
      <c r="D219" s="247"/>
      <c r="E219" s="146"/>
      <c r="F219" s="294"/>
      <c r="G219" s="578" t="s">
        <v>5159</v>
      </c>
      <c r="H219" s="578" t="s">
        <v>4855</v>
      </c>
      <c r="I219" s="579" t="s">
        <v>5062</v>
      </c>
      <c r="J219" s="579" t="s">
        <v>4690</v>
      </c>
      <c r="K219" s="580" t="s">
        <v>5160</v>
      </c>
      <c r="L219" s="581" t="s">
        <v>4858</v>
      </c>
      <c r="M219" s="1346" t="s">
        <v>4688</v>
      </c>
      <c r="N219" s="581" t="s">
        <v>4963</v>
      </c>
      <c r="O219" s="721" t="s">
        <v>5161</v>
      </c>
      <c r="P219" s="150" t="s">
        <v>5162</v>
      </c>
      <c r="Q219" s="150"/>
      <c r="R219" s="98"/>
      <c r="S219" s="146"/>
      <c r="T219" s="146" t="s">
        <v>5163</v>
      </c>
      <c r="U219" s="146" t="s">
        <v>5164</v>
      </c>
      <c r="W219" s="25"/>
      <c r="X219" s="25"/>
      <c r="Z219" s="25"/>
      <c r="AA219" s="77"/>
      <c r="AB219" s="77"/>
      <c r="AC219" s="40"/>
      <c r="AD219" s="40"/>
      <c r="AE219" s="77"/>
      <c r="AF219" s="77"/>
      <c r="AG219" s="77"/>
      <c r="AH219" s="77"/>
      <c r="AI219" s="77"/>
      <c r="AJ219" s="77"/>
      <c r="AK219" s="77"/>
    </row>
    <row r="220" spans="2:37" ht="10.5" customHeight="1">
      <c r="B220" s="146"/>
      <c r="C220" s="212" t="s">
        <v>5165</v>
      </c>
      <c r="D220" s="247"/>
      <c r="E220" s="146"/>
      <c r="F220" s="294"/>
      <c r="G220" s="578" t="s">
        <v>106</v>
      </c>
      <c r="H220" s="578" t="s">
        <v>4855</v>
      </c>
      <c r="I220" s="579" t="s">
        <v>5069</v>
      </c>
      <c r="J220" s="579" t="s">
        <v>4690</v>
      </c>
      <c r="K220" s="580" t="s">
        <v>5166</v>
      </c>
      <c r="L220" s="581" t="s">
        <v>4858</v>
      </c>
      <c r="M220" s="1346" t="s">
        <v>4688</v>
      </c>
      <c r="N220" s="581" t="s">
        <v>4859</v>
      </c>
      <c r="O220" s="721" t="s">
        <v>5167</v>
      </c>
      <c r="P220" s="150" t="s">
        <v>5168</v>
      </c>
      <c r="Q220" s="150"/>
      <c r="R220" s="98"/>
      <c r="S220" s="146"/>
      <c r="T220" s="279" t="s">
        <v>5169</v>
      </c>
      <c r="U220" s="279" t="s">
        <v>5170</v>
      </c>
      <c r="W220" s="25"/>
      <c r="X220" s="25"/>
      <c r="Z220" s="25"/>
      <c r="AA220" s="77"/>
      <c r="AB220" s="77"/>
      <c r="AC220" s="272"/>
      <c r="AD220" s="272"/>
      <c r="AE220" s="77"/>
      <c r="AF220" s="77"/>
      <c r="AG220" s="77"/>
      <c r="AH220" s="77"/>
      <c r="AI220" s="77"/>
      <c r="AJ220" s="77"/>
      <c r="AK220" s="77"/>
    </row>
    <row r="221" spans="2:37" ht="10.5" customHeight="1">
      <c r="B221" s="146"/>
      <c r="C221" s="212" t="s">
        <v>5171</v>
      </c>
      <c r="D221" s="247"/>
      <c r="E221" s="146"/>
      <c r="F221" s="294"/>
      <c r="G221" s="578" t="s">
        <v>5172</v>
      </c>
      <c r="H221" s="578" t="s">
        <v>4894</v>
      </c>
      <c r="I221" s="579" t="s">
        <v>5074</v>
      </c>
      <c r="J221" s="579" t="s">
        <v>4690</v>
      </c>
      <c r="K221" s="580" t="s">
        <v>5173</v>
      </c>
      <c r="L221" s="581" t="s">
        <v>4858</v>
      </c>
      <c r="M221" s="1346" t="s">
        <v>4688</v>
      </c>
      <c r="N221" s="581" t="s">
        <v>4903</v>
      </c>
      <c r="O221" s="721" t="s">
        <v>5174</v>
      </c>
      <c r="P221" s="150" t="s">
        <v>5175</v>
      </c>
      <c r="Q221" s="150"/>
      <c r="R221" s="98"/>
      <c r="S221" s="146"/>
      <c r="T221" s="279" t="s">
        <v>87</v>
      </c>
      <c r="U221" s="279" t="s">
        <v>88</v>
      </c>
      <c r="W221" s="25"/>
      <c r="X221" s="25"/>
      <c r="Z221" s="25"/>
      <c r="AA221" s="77"/>
      <c r="AB221" s="77"/>
      <c r="AC221" s="272"/>
      <c r="AD221" s="40"/>
      <c r="AE221" s="77"/>
      <c r="AF221" s="77"/>
      <c r="AG221" s="77"/>
      <c r="AH221" s="77"/>
      <c r="AI221" s="77"/>
      <c r="AJ221" s="77"/>
      <c r="AK221" s="77"/>
    </row>
    <row r="222" spans="2:37" ht="10.5" customHeight="1">
      <c r="B222" s="146"/>
      <c r="C222" s="212" t="s">
        <v>5176</v>
      </c>
      <c r="D222" s="247"/>
      <c r="E222" s="146"/>
      <c r="F222" s="294"/>
      <c r="G222" s="578" t="s">
        <v>5177</v>
      </c>
      <c r="H222" s="578" t="s">
        <v>4894</v>
      </c>
      <c r="I222" s="582" t="s">
        <v>4884</v>
      </c>
      <c r="J222" s="582" t="s">
        <v>4689</v>
      </c>
      <c r="K222" s="580" t="s">
        <v>4902</v>
      </c>
      <c r="L222" s="581" t="s">
        <v>4879</v>
      </c>
      <c r="M222" s="1346" t="s">
        <v>4685</v>
      </c>
      <c r="N222" s="581" t="s">
        <v>4903</v>
      </c>
      <c r="O222" s="721" t="s">
        <v>5178</v>
      </c>
      <c r="P222" s="150" t="s">
        <v>5179</v>
      </c>
      <c r="Q222" s="150"/>
      <c r="R222" s="98"/>
      <c r="S222" s="146"/>
      <c r="T222" s="279" t="s">
        <v>5180</v>
      </c>
      <c r="U222" s="279" t="s">
        <v>5181</v>
      </c>
      <c r="W222" s="25"/>
      <c r="X222" s="25"/>
      <c r="Z222" s="25"/>
      <c r="AA222" s="77"/>
      <c r="AB222" s="77"/>
      <c r="AC222" s="272"/>
      <c r="AD222" s="40"/>
      <c r="AE222" s="77"/>
      <c r="AF222" s="77"/>
      <c r="AG222" s="77"/>
      <c r="AH222" s="77"/>
      <c r="AI222" s="77"/>
      <c r="AJ222" s="77"/>
      <c r="AK222" s="77"/>
    </row>
    <row r="223" spans="2:37" ht="10.5" customHeight="1">
      <c r="B223" s="146"/>
      <c r="C223" s="212" t="s">
        <v>5182</v>
      </c>
      <c r="D223" s="247"/>
      <c r="E223" s="146"/>
      <c r="F223" s="294"/>
      <c r="G223" s="578" t="s">
        <v>165</v>
      </c>
      <c r="H223" s="578" t="s">
        <v>4894</v>
      </c>
      <c r="I223" s="582" t="s">
        <v>2132</v>
      </c>
      <c r="J223" s="582" t="s">
        <v>4689</v>
      </c>
      <c r="K223" s="580" t="s">
        <v>5183</v>
      </c>
      <c r="L223" s="581" t="s">
        <v>4879</v>
      </c>
      <c r="M223" s="1346" t="s">
        <v>4685</v>
      </c>
      <c r="N223" s="581" t="s">
        <v>4903</v>
      </c>
      <c r="O223" s="721" t="s">
        <v>5184</v>
      </c>
      <c r="P223" s="150" t="s">
        <v>5185</v>
      </c>
      <c r="Q223" s="150"/>
      <c r="R223" s="98"/>
      <c r="S223" s="146"/>
      <c r="T223" s="279" t="s">
        <v>5186</v>
      </c>
      <c r="U223" s="279" t="s">
        <v>5135</v>
      </c>
      <c r="W223" s="25"/>
      <c r="X223" s="25"/>
      <c r="Z223" s="25"/>
      <c r="AA223" s="77"/>
      <c r="AB223" s="77"/>
      <c r="AC223" s="272"/>
      <c r="AD223" s="40"/>
      <c r="AE223" s="77"/>
      <c r="AF223" s="77"/>
      <c r="AG223" s="77"/>
      <c r="AH223" s="77"/>
      <c r="AI223" s="77"/>
      <c r="AJ223" s="77"/>
      <c r="AK223" s="77"/>
    </row>
    <row r="224" spans="2:37" ht="10.5" customHeight="1">
      <c r="B224" s="146"/>
      <c r="C224" s="212" t="s">
        <v>5187</v>
      </c>
      <c r="D224" s="247"/>
      <c r="E224" s="146"/>
      <c r="F224" s="294"/>
      <c r="G224" s="578" t="s">
        <v>5188</v>
      </c>
      <c r="H224" s="578" t="s">
        <v>4894</v>
      </c>
      <c r="I224" s="582" t="s">
        <v>4884</v>
      </c>
      <c r="J224" s="582" t="s">
        <v>4689</v>
      </c>
      <c r="K224" s="580" t="s">
        <v>4902</v>
      </c>
      <c r="L224" s="581" t="s">
        <v>4879</v>
      </c>
      <c r="M224" s="1346" t="s">
        <v>4685</v>
      </c>
      <c r="N224" s="581" t="s">
        <v>4903</v>
      </c>
      <c r="O224" s="721" t="s">
        <v>5189</v>
      </c>
      <c r="P224" s="150" t="s">
        <v>5190</v>
      </c>
      <c r="Q224" s="150"/>
      <c r="R224" s="98"/>
      <c r="S224" s="146"/>
      <c r="T224" s="279" t="s">
        <v>5191</v>
      </c>
      <c r="U224" s="279" t="s">
        <v>127</v>
      </c>
      <c r="W224" s="25"/>
      <c r="X224" s="25"/>
      <c r="Z224" s="25"/>
      <c r="AA224" s="77"/>
      <c r="AB224" s="77"/>
      <c r="AC224" s="272"/>
      <c r="AD224" s="40"/>
      <c r="AE224" s="77"/>
      <c r="AF224" s="77"/>
      <c r="AG224" s="77"/>
      <c r="AH224" s="77"/>
      <c r="AI224" s="77"/>
      <c r="AJ224" s="77"/>
      <c r="AK224" s="77"/>
    </row>
    <row r="225" spans="2:37" ht="10.5" customHeight="1">
      <c r="B225" s="146"/>
      <c r="C225" s="212" t="s">
        <v>5192</v>
      </c>
      <c r="D225" s="247"/>
      <c r="E225" s="146"/>
      <c r="F225" s="294"/>
      <c r="G225" s="578" t="s">
        <v>5193</v>
      </c>
      <c r="H225" s="578" t="s">
        <v>4894</v>
      </c>
      <c r="I225" s="582" t="s">
        <v>5079</v>
      </c>
      <c r="J225" s="582" t="s">
        <v>4690</v>
      </c>
      <c r="K225" s="580" t="s">
        <v>5194</v>
      </c>
      <c r="L225" s="581" t="s">
        <v>4858</v>
      </c>
      <c r="M225" s="1346" t="s">
        <v>4688</v>
      </c>
      <c r="N225" s="581" t="s">
        <v>4897</v>
      </c>
      <c r="O225" s="721" t="s">
        <v>5195</v>
      </c>
      <c r="P225" s="150" t="s">
        <v>5196</v>
      </c>
      <c r="Q225" s="150"/>
      <c r="R225" s="98"/>
      <c r="S225" s="146"/>
      <c r="T225" s="279" t="s">
        <v>5197</v>
      </c>
      <c r="U225" s="279" t="s">
        <v>5172</v>
      </c>
      <c r="W225" s="25"/>
      <c r="X225" s="25"/>
      <c r="Z225" s="25"/>
      <c r="AA225" s="77"/>
      <c r="AB225" s="77"/>
      <c r="AC225" s="272"/>
      <c r="AD225" s="40"/>
      <c r="AE225" s="77"/>
      <c r="AF225" s="77"/>
      <c r="AG225" s="77"/>
      <c r="AH225" s="77"/>
      <c r="AI225" s="77"/>
      <c r="AJ225" s="77"/>
      <c r="AK225" s="77"/>
    </row>
    <row r="226" spans="2:37" ht="10.5" customHeight="1">
      <c r="B226" s="146"/>
      <c r="C226" s="212" t="s">
        <v>5198</v>
      </c>
      <c r="D226" s="247"/>
      <c r="E226" s="146"/>
      <c r="F226" s="294"/>
      <c r="G226" s="578" t="s">
        <v>143</v>
      </c>
      <c r="H226" s="578" t="s">
        <v>4924</v>
      </c>
      <c r="I226" s="582" t="s">
        <v>4884</v>
      </c>
      <c r="J226" s="582" t="s">
        <v>4689</v>
      </c>
      <c r="K226" s="580" t="s">
        <v>4902</v>
      </c>
      <c r="L226" s="581" t="s">
        <v>4879</v>
      </c>
      <c r="M226" s="1346" t="s">
        <v>4685</v>
      </c>
      <c r="N226" s="581" t="s">
        <v>4903</v>
      </c>
      <c r="O226" s="721" t="s">
        <v>5199</v>
      </c>
      <c r="P226" s="150" t="s">
        <v>5200</v>
      </c>
      <c r="Q226" s="150"/>
      <c r="R226" s="98"/>
      <c r="S226" s="146"/>
      <c r="T226" s="279" t="s">
        <v>5201</v>
      </c>
      <c r="U226" s="279" t="s">
        <v>5039</v>
      </c>
      <c r="W226" s="25"/>
      <c r="X226" s="25"/>
      <c r="Z226" s="25"/>
      <c r="AA226" s="77"/>
      <c r="AB226" s="77"/>
      <c r="AC226" s="272"/>
      <c r="AD226" s="40"/>
      <c r="AE226" s="77"/>
      <c r="AF226" s="77"/>
      <c r="AG226" s="77"/>
      <c r="AH226" s="77"/>
      <c r="AI226" s="77"/>
      <c r="AJ226" s="77"/>
      <c r="AK226" s="77"/>
    </row>
    <row r="227" spans="2:37" ht="10.5" customHeight="1">
      <c r="B227" s="146"/>
      <c r="C227" s="212" t="s">
        <v>4888</v>
      </c>
      <c r="D227" s="247"/>
      <c r="E227" s="146"/>
      <c r="F227" s="294"/>
      <c r="G227" s="578" t="s">
        <v>5202</v>
      </c>
      <c r="H227" s="578" t="s">
        <v>4894</v>
      </c>
      <c r="I227" s="579" t="s">
        <v>5089</v>
      </c>
      <c r="J227" s="579" t="s">
        <v>4690</v>
      </c>
      <c r="K227" s="580" t="s">
        <v>5203</v>
      </c>
      <c r="L227" s="581" t="s">
        <v>4858</v>
      </c>
      <c r="M227" s="1346" t="s">
        <v>4688</v>
      </c>
      <c r="N227" s="581" t="s">
        <v>4903</v>
      </c>
      <c r="O227" s="721" t="s">
        <v>5204</v>
      </c>
      <c r="P227" s="150" t="s">
        <v>5205</v>
      </c>
      <c r="Q227" s="150"/>
      <c r="R227" s="98"/>
      <c r="S227" s="146"/>
      <c r="T227" s="146" t="s">
        <v>5206</v>
      </c>
      <c r="U227" s="146" t="s">
        <v>5056</v>
      </c>
      <c r="W227" s="25"/>
      <c r="X227" s="25"/>
      <c r="Z227" s="25"/>
      <c r="AA227" s="77"/>
      <c r="AB227" s="77"/>
      <c r="AC227" s="40"/>
      <c r="AD227" s="40"/>
      <c r="AE227" s="77"/>
      <c r="AF227" s="77"/>
      <c r="AG227" s="77"/>
      <c r="AH227" s="77"/>
      <c r="AI227" s="77"/>
      <c r="AJ227" s="77"/>
      <c r="AK227" s="77"/>
    </row>
    <row r="228" spans="2:37" ht="10.5" customHeight="1">
      <c r="B228" s="146"/>
      <c r="C228" s="212" t="s">
        <v>5207</v>
      </c>
      <c r="D228" s="247"/>
      <c r="E228" s="146"/>
      <c r="F228" s="294"/>
      <c r="G228" s="578" t="s">
        <v>5208</v>
      </c>
      <c r="H228" s="578" t="s">
        <v>4894</v>
      </c>
      <c r="I228" s="582" t="s">
        <v>5093</v>
      </c>
      <c r="J228" s="582" t="s">
        <v>4690</v>
      </c>
      <c r="K228" s="580" t="s">
        <v>5209</v>
      </c>
      <c r="L228" s="581" t="s">
        <v>4858</v>
      </c>
      <c r="M228" s="1346" t="s">
        <v>4688</v>
      </c>
      <c r="N228" s="581" t="s">
        <v>4963</v>
      </c>
      <c r="O228" s="721" t="s">
        <v>5210</v>
      </c>
      <c r="P228" s="150" t="s">
        <v>5211</v>
      </c>
      <c r="Q228" s="150"/>
      <c r="R228" s="98"/>
      <c r="S228" s="146"/>
      <c r="T228" s="279" t="s">
        <v>5212</v>
      </c>
      <c r="U228" s="279" t="s">
        <v>5164</v>
      </c>
      <c r="W228" s="25"/>
      <c r="X228" s="25"/>
      <c r="Z228" s="25"/>
      <c r="AA228" s="77"/>
      <c r="AB228" s="77"/>
      <c r="AC228" s="272"/>
      <c r="AD228" s="40"/>
      <c r="AE228" s="77"/>
      <c r="AF228" s="77"/>
      <c r="AG228" s="77"/>
      <c r="AH228" s="77"/>
      <c r="AI228" s="77"/>
      <c r="AJ228" s="77"/>
      <c r="AK228" s="77"/>
    </row>
    <row r="229" spans="2:37" ht="10.5" customHeight="1">
      <c r="B229" s="146"/>
      <c r="C229" s="212" t="s">
        <v>5213</v>
      </c>
      <c r="D229" s="247"/>
      <c r="E229" s="146"/>
      <c r="F229" s="294"/>
      <c r="G229" s="578" t="s">
        <v>100</v>
      </c>
      <c r="H229" s="578" t="s">
        <v>4924</v>
      </c>
      <c r="I229" s="579" t="s">
        <v>4936</v>
      </c>
      <c r="J229" s="579" t="s">
        <v>4689</v>
      </c>
      <c r="K229" s="580" t="s">
        <v>4938</v>
      </c>
      <c r="L229" s="581" t="s">
        <v>4879</v>
      </c>
      <c r="M229" s="1346" t="s">
        <v>4685</v>
      </c>
      <c r="N229" s="581" t="s">
        <v>4859</v>
      </c>
      <c r="O229" s="721" t="s">
        <v>5214</v>
      </c>
      <c r="P229" s="150" t="s">
        <v>5215</v>
      </c>
      <c r="Q229" s="150"/>
      <c r="R229" s="98"/>
      <c r="S229" s="146"/>
      <c r="T229" s="279" t="s">
        <v>89</v>
      </c>
      <c r="U229" s="279" t="s">
        <v>90</v>
      </c>
      <c r="W229" s="25"/>
      <c r="X229" s="25"/>
      <c r="Z229" s="25"/>
      <c r="AA229" s="77"/>
      <c r="AB229" s="77"/>
      <c r="AC229" s="272"/>
      <c r="AD229" s="40"/>
      <c r="AE229" s="77"/>
      <c r="AF229" s="77"/>
      <c r="AG229" s="77"/>
      <c r="AH229" s="77"/>
      <c r="AI229" s="77"/>
      <c r="AJ229" s="77"/>
      <c r="AK229" s="77"/>
    </row>
    <row r="230" spans="2:37" ht="10.5" customHeight="1">
      <c r="B230" s="146"/>
      <c r="C230" s="212" t="s">
        <v>5216</v>
      </c>
      <c r="D230" s="247"/>
      <c r="E230" s="146"/>
      <c r="F230" s="294"/>
      <c r="G230" s="578" t="s">
        <v>5217</v>
      </c>
      <c r="H230" s="578" t="s">
        <v>4894</v>
      </c>
      <c r="I230" s="579" t="s">
        <v>5098</v>
      </c>
      <c r="J230" s="579" t="s">
        <v>4690</v>
      </c>
      <c r="K230" s="580" t="s">
        <v>5218</v>
      </c>
      <c r="L230" s="581" t="s">
        <v>4858</v>
      </c>
      <c r="M230" s="1346" t="s">
        <v>4688</v>
      </c>
      <c r="N230" s="581" t="s">
        <v>4903</v>
      </c>
      <c r="O230" s="721" t="s">
        <v>5219</v>
      </c>
      <c r="P230" s="150" t="s">
        <v>5220</v>
      </c>
      <c r="Q230" s="150"/>
      <c r="R230" s="98"/>
      <c r="S230" s="146"/>
      <c r="T230" s="279" t="s">
        <v>5221</v>
      </c>
      <c r="U230" s="279" t="s">
        <v>5112</v>
      </c>
      <c r="W230" s="25"/>
      <c r="X230" s="25"/>
      <c r="Z230" s="25"/>
      <c r="AA230" s="77"/>
      <c r="AB230" s="77"/>
      <c r="AC230" s="272"/>
      <c r="AD230" s="40"/>
      <c r="AE230" s="77"/>
      <c r="AF230" s="77"/>
      <c r="AG230" s="77"/>
      <c r="AH230" s="77"/>
      <c r="AI230" s="77"/>
      <c r="AJ230" s="77"/>
      <c r="AK230" s="77"/>
    </row>
    <row r="231" spans="2:37" ht="10.5" customHeight="1">
      <c r="B231" s="146"/>
      <c r="C231" s="212" t="s">
        <v>5222</v>
      </c>
      <c r="D231" s="247"/>
      <c r="E231" s="146"/>
      <c r="F231" s="294"/>
      <c r="G231" s="578" t="s">
        <v>5223</v>
      </c>
      <c r="H231" s="578" t="s">
        <v>4855</v>
      </c>
      <c r="I231" s="579" t="s">
        <v>5103</v>
      </c>
      <c r="J231" s="579" t="s">
        <v>4690</v>
      </c>
      <c r="K231" s="580" t="s">
        <v>5224</v>
      </c>
      <c r="L231" s="581" t="s">
        <v>4858</v>
      </c>
      <c r="M231" s="1346" t="s">
        <v>4688</v>
      </c>
      <c r="N231" s="581" t="s">
        <v>2057</v>
      </c>
      <c r="O231" s="721" t="s">
        <v>5225</v>
      </c>
      <c r="P231" s="150" t="s">
        <v>5226</v>
      </c>
      <c r="Q231" s="150"/>
      <c r="R231" s="98"/>
      <c r="S231" s="146"/>
      <c r="T231" s="279" t="s">
        <v>5227</v>
      </c>
      <c r="U231" s="279" t="s">
        <v>5228</v>
      </c>
      <c r="W231" s="25"/>
      <c r="X231" s="25"/>
      <c r="Z231" s="25"/>
      <c r="AA231" s="77"/>
      <c r="AB231" s="77"/>
      <c r="AC231" s="272"/>
      <c r="AD231" s="40"/>
      <c r="AE231" s="77"/>
      <c r="AF231" s="77"/>
      <c r="AG231" s="77"/>
      <c r="AH231" s="77"/>
      <c r="AI231" s="77"/>
      <c r="AJ231" s="77"/>
      <c r="AK231" s="77"/>
    </row>
    <row r="232" spans="2:37" ht="10.5" customHeight="1">
      <c r="B232" s="146"/>
      <c r="C232" s="212" t="s">
        <v>5229</v>
      </c>
      <c r="D232" s="247"/>
      <c r="E232" s="146"/>
      <c r="F232" s="294"/>
      <c r="G232" s="578" t="s">
        <v>5230</v>
      </c>
      <c r="H232" s="578" t="s">
        <v>4894</v>
      </c>
      <c r="I232" s="579" t="s">
        <v>5107</v>
      </c>
      <c r="J232" s="579" t="s">
        <v>4690</v>
      </c>
      <c r="K232" s="580" t="s">
        <v>5231</v>
      </c>
      <c r="L232" s="581" t="s">
        <v>4858</v>
      </c>
      <c r="M232" s="1346" t="s">
        <v>4688</v>
      </c>
      <c r="N232" s="581" t="s">
        <v>4897</v>
      </c>
      <c r="O232" s="721" t="s">
        <v>5232</v>
      </c>
      <c r="P232" s="150" t="s">
        <v>5233</v>
      </c>
      <c r="Q232" s="150"/>
      <c r="R232" s="98"/>
      <c r="S232" s="146"/>
      <c r="T232" s="279" t="s">
        <v>5234</v>
      </c>
      <c r="U232" s="279" t="s">
        <v>4992</v>
      </c>
      <c r="W232" s="25"/>
      <c r="X232" s="25"/>
      <c r="Z232" s="25"/>
      <c r="AA232" s="77"/>
      <c r="AB232" s="77"/>
      <c r="AC232" s="272"/>
      <c r="AD232" s="40"/>
      <c r="AE232" s="77"/>
      <c r="AF232" s="77"/>
      <c r="AG232" s="77"/>
      <c r="AH232" s="77"/>
      <c r="AI232" s="77"/>
      <c r="AJ232" s="77"/>
      <c r="AK232" s="77"/>
    </row>
    <row r="233" spans="2:37" ht="10.5" customHeight="1">
      <c r="B233" s="146"/>
      <c r="C233" s="212" t="s">
        <v>5235</v>
      </c>
      <c r="D233" s="247"/>
      <c r="E233" s="146"/>
      <c r="F233" s="294"/>
      <c r="G233" s="578" t="s">
        <v>5133</v>
      </c>
      <c r="H233" s="578" t="s">
        <v>4894</v>
      </c>
      <c r="I233" s="582" t="s">
        <v>4884</v>
      </c>
      <c r="J233" s="582" t="s">
        <v>4689</v>
      </c>
      <c r="K233" s="580" t="s">
        <v>4902</v>
      </c>
      <c r="L233" s="581" t="s">
        <v>4879</v>
      </c>
      <c r="M233" s="1346" t="s">
        <v>4685</v>
      </c>
      <c r="N233" s="581" t="s">
        <v>4903</v>
      </c>
      <c r="O233" s="721" t="s">
        <v>5236</v>
      </c>
      <c r="P233" s="150" t="s">
        <v>5237</v>
      </c>
      <c r="Q233" s="150"/>
      <c r="R233" s="98"/>
      <c r="S233" s="146"/>
      <c r="T233" s="279" t="s">
        <v>5238</v>
      </c>
      <c r="U233" s="279" t="s">
        <v>156</v>
      </c>
      <c r="W233" s="25"/>
      <c r="X233" s="25"/>
      <c r="Z233" s="25"/>
      <c r="AA233" s="77"/>
      <c r="AB233" s="77"/>
      <c r="AC233" s="272"/>
      <c r="AD233" s="40"/>
      <c r="AE233" s="77"/>
      <c r="AF233" s="77"/>
      <c r="AG233" s="77"/>
      <c r="AH233" s="77"/>
      <c r="AI233" s="77"/>
      <c r="AJ233" s="77"/>
      <c r="AK233" s="77"/>
    </row>
    <row r="234" spans="2:37" ht="10.5" customHeight="1">
      <c r="B234" s="146"/>
      <c r="C234" s="211" t="s">
        <v>5239</v>
      </c>
      <c r="D234" s="247"/>
      <c r="E234" s="146"/>
      <c r="F234" s="294"/>
      <c r="G234" s="578" t="s">
        <v>153</v>
      </c>
      <c r="H234" s="578" t="s">
        <v>4894</v>
      </c>
      <c r="I234" s="579" t="s">
        <v>5113</v>
      </c>
      <c r="J234" s="579" t="s">
        <v>4690</v>
      </c>
      <c r="K234" s="580" t="s">
        <v>5240</v>
      </c>
      <c r="L234" s="581" t="s">
        <v>4858</v>
      </c>
      <c r="M234" s="1346" t="s">
        <v>4688</v>
      </c>
      <c r="N234" s="581" t="s">
        <v>4897</v>
      </c>
      <c r="O234" s="721" t="s">
        <v>5241</v>
      </c>
      <c r="P234" s="150" t="s">
        <v>5242</v>
      </c>
      <c r="Q234" s="150"/>
      <c r="R234" s="98"/>
      <c r="S234" s="146"/>
      <c r="T234" s="279" t="s">
        <v>5243</v>
      </c>
      <c r="U234" s="279" t="s">
        <v>5152</v>
      </c>
      <c r="W234" s="25"/>
      <c r="X234" s="25"/>
      <c r="Z234" s="25"/>
      <c r="AA234" s="77"/>
      <c r="AB234" s="77"/>
      <c r="AC234" s="40"/>
      <c r="AD234" s="40"/>
      <c r="AE234" s="77"/>
      <c r="AF234" s="77"/>
      <c r="AG234" s="77"/>
      <c r="AH234" s="77"/>
      <c r="AI234" s="77"/>
      <c r="AJ234" s="77"/>
      <c r="AK234" s="77"/>
    </row>
    <row r="235" spans="2:37" ht="10.5" customHeight="1">
      <c r="B235" s="146"/>
      <c r="C235" s="212" t="s">
        <v>5244</v>
      </c>
      <c r="D235" s="247"/>
      <c r="E235" s="146"/>
      <c r="F235" s="294"/>
      <c r="G235" s="578" t="s">
        <v>5245</v>
      </c>
      <c r="H235" s="578" t="s">
        <v>4894</v>
      </c>
      <c r="I235" s="579" t="s">
        <v>5084</v>
      </c>
      <c r="J235" s="579" t="s">
        <v>4689</v>
      </c>
      <c r="K235" s="580" t="s">
        <v>5246</v>
      </c>
      <c r="L235" s="581" t="s">
        <v>4879</v>
      </c>
      <c r="M235" s="1346" t="s">
        <v>4685</v>
      </c>
      <c r="N235" s="581" t="s">
        <v>4903</v>
      </c>
      <c r="O235" s="721" t="s">
        <v>5247</v>
      </c>
      <c r="P235" s="150" t="s">
        <v>5248</v>
      </c>
      <c r="Q235" s="150"/>
      <c r="R235" s="98"/>
      <c r="S235" s="146"/>
      <c r="T235" s="279" t="s">
        <v>5249</v>
      </c>
      <c r="U235" s="279" t="s">
        <v>5009</v>
      </c>
      <c r="W235" s="25"/>
      <c r="X235" s="25"/>
      <c r="Z235" s="25"/>
      <c r="AA235" s="77"/>
      <c r="AB235" s="77"/>
      <c r="AC235" s="272"/>
      <c r="AD235" s="40"/>
      <c r="AE235" s="77"/>
      <c r="AF235" s="77"/>
      <c r="AG235" s="77"/>
      <c r="AH235" s="77"/>
      <c r="AI235" s="77"/>
      <c r="AJ235" s="77"/>
      <c r="AK235" s="77"/>
    </row>
    <row r="236" spans="2:37" ht="10.5" customHeight="1">
      <c r="B236" s="146"/>
      <c r="C236" s="212" t="s">
        <v>5250</v>
      </c>
      <c r="D236" s="247"/>
      <c r="E236" s="146"/>
      <c r="F236" s="294"/>
      <c r="G236" s="583" t="s">
        <v>5251</v>
      </c>
      <c r="H236" s="578" t="s">
        <v>4894</v>
      </c>
      <c r="I236" s="579" t="s">
        <v>5119</v>
      </c>
      <c r="J236" s="579" t="s">
        <v>4690</v>
      </c>
      <c r="K236" s="580" t="s">
        <v>5252</v>
      </c>
      <c r="L236" s="581" t="s">
        <v>4858</v>
      </c>
      <c r="M236" s="1346" t="s">
        <v>4688</v>
      </c>
      <c r="N236" s="581" t="s">
        <v>4888</v>
      </c>
      <c r="O236" s="721" t="s">
        <v>5253</v>
      </c>
      <c r="P236" s="150" t="s">
        <v>5254</v>
      </c>
      <c r="Q236" s="150"/>
      <c r="R236" s="98"/>
      <c r="S236" s="146"/>
      <c r="T236" s="279" t="s">
        <v>5255</v>
      </c>
      <c r="U236" s="279" t="s">
        <v>5256</v>
      </c>
      <c r="W236" s="25"/>
      <c r="X236" s="25"/>
      <c r="Z236" s="25"/>
      <c r="AA236" s="77"/>
      <c r="AB236" s="77"/>
      <c r="AC236" s="272"/>
      <c r="AD236" s="40"/>
      <c r="AE236" s="77"/>
      <c r="AF236" s="77"/>
      <c r="AG236" s="77"/>
      <c r="AH236" s="77"/>
      <c r="AI236" s="77"/>
      <c r="AJ236" s="77"/>
      <c r="AK236" s="77"/>
    </row>
    <row r="237" spans="2:37" ht="10.5" customHeight="1">
      <c r="B237" s="146"/>
      <c r="C237" s="212" t="s">
        <v>5257</v>
      </c>
      <c r="D237" s="247"/>
      <c r="E237" s="146"/>
      <c r="F237" s="294"/>
      <c r="G237" s="578" t="s">
        <v>5258</v>
      </c>
      <c r="H237" s="578" t="s">
        <v>4894</v>
      </c>
      <c r="I237" s="582" t="s">
        <v>5125</v>
      </c>
      <c r="J237" s="582" t="s">
        <v>4689</v>
      </c>
      <c r="K237" s="580" t="s">
        <v>5259</v>
      </c>
      <c r="L237" s="581" t="s">
        <v>4879</v>
      </c>
      <c r="M237" s="1346" t="s">
        <v>4688</v>
      </c>
      <c r="N237" s="581" t="s">
        <v>4903</v>
      </c>
      <c r="O237" s="721" t="s">
        <v>5260</v>
      </c>
      <c r="P237" s="150" t="s">
        <v>5261</v>
      </c>
      <c r="Q237" s="150"/>
      <c r="R237" s="98"/>
      <c r="S237" s="146"/>
      <c r="T237" s="279" t="s">
        <v>5262</v>
      </c>
      <c r="U237" s="279" t="s">
        <v>5258</v>
      </c>
      <c r="W237" s="25"/>
      <c r="X237" s="25"/>
      <c r="Z237" s="25"/>
      <c r="AA237" s="77"/>
      <c r="AB237" s="77"/>
      <c r="AC237" s="272"/>
      <c r="AD237" s="40"/>
      <c r="AE237" s="77"/>
      <c r="AF237" s="77"/>
      <c r="AG237" s="77"/>
      <c r="AH237" s="77"/>
      <c r="AI237" s="77"/>
      <c r="AJ237" s="77"/>
      <c r="AK237" s="77"/>
    </row>
    <row r="238" spans="2:37" ht="10.5" customHeight="1">
      <c r="B238" s="146"/>
      <c r="C238" s="212" t="s">
        <v>5263</v>
      </c>
      <c r="D238" s="247"/>
      <c r="E238" s="146"/>
      <c r="F238" s="294"/>
      <c r="G238" s="578" t="s">
        <v>5264</v>
      </c>
      <c r="H238" s="578" t="s">
        <v>4855</v>
      </c>
      <c r="I238" s="582" t="s">
        <v>5015</v>
      </c>
      <c r="J238" s="582" t="s">
        <v>4689</v>
      </c>
      <c r="K238" s="580" t="s">
        <v>5017</v>
      </c>
      <c r="L238" s="581" t="s">
        <v>4879</v>
      </c>
      <c r="M238" s="1346" t="s">
        <v>4688</v>
      </c>
      <c r="N238" s="581" t="s">
        <v>5015</v>
      </c>
      <c r="O238" s="721" t="s">
        <v>5265</v>
      </c>
      <c r="P238" s="150" t="s">
        <v>5266</v>
      </c>
      <c r="Q238" s="150"/>
      <c r="R238" s="98"/>
      <c r="S238" s="146"/>
      <c r="T238" s="279" t="s">
        <v>5267</v>
      </c>
      <c r="U238" s="279" t="s">
        <v>5047</v>
      </c>
      <c r="W238" s="25"/>
      <c r="X238" s="25"/>
      <c r="Z238" s="25"/>
      <c r="AA238" s="77"/>
      <c r="AB238" s="77"/>
      <c r="AC238" s="272"/>
      <c r="AD238" s="40"/>
      <c r="AE238" s="77"/>
      <c r="AF238" s="77"/>
      <c r="AG238" s="77"/>
      <c r="AH238" s="77"/>
      <c r="AI238" s="77"/>
      <c r="AJ238" s="77"/>
      <c r="AK238" s="77"/>
    </row>
    <row r="239" spans="2:37" ht="10.5" customHeight="1">
      <c r="B239" s="146"/>
      <c r="C239" s="211" t="s">
        <v>5268</v>
      </c>
      <c r="D239" s="247"/>
      <c r="E239" s="146"/>
      <c r="F239" s="294"/>
      <c r="G239" s="578" t="s">
        <v>156</v>
      </c>
      <c r="H239" s="578" t="s">
        <v>4894</v>
      </c>
      <c r="I239" s="579" t="s">
        <v>5129</v>
      </c>
      <c r="J239" s="579" t="s">
        <v>4690</v>
      </c>
      <c r="K239" s="580" t="s">
        <v>5269</v>
      </c>
      <c r="L239" s="581" t="s">
        <v>4858</v>
      </c>
      <c r="M239" s="1346" t="s">
        <v>4688</v>
      </c>
      <c r="N239" s="581" t="s">
        <v>4897</v>
      </c>
      <c r="O239" s="721" t="s">
        <v>5270</v>
      </c>
      <c r="P239" s="150" t="s">
        <v>5271</v>
      </c>
      <c r="Q239" s="150"/>
      <c r="R239" s="98"/>
      <c r="S239" s="146"/>
      <c r="T239" s="279" t="s">
        <v>5272</v>
      </c>
      <c r="U239" s="279" t="s">
        <v>5273</v>
      </c>
      <c r="W239" s="25"/>
      <c r="X239" s="25"/>
      <c r="Z239" s="25"/>
      <c r="AA239" s="77"/>
      <c r="AB239" s="77"/>
      <c r="AC239" s="272"/>
      <c r="AD239" s="40"/>
      <c r="AE239" s="77"/>
      <c r="AF239" s="77"/>
      <c r="AG239" s="77"/>
      <c r="AH239" s="77"/>
      <c r="AI239" s="77"/>
      <c r="AJ239" s="77"/>
      <c r="AK239" s="77"/>
    </row>
    <row r="240" spans="2:37" ht="10.5" customHeight="1">
      <c r="B240" s="146"/>
      <c r="C240" s="212" t="s">
        <v>5274</v>
      </c>
      <c r="D240" s="247"/>
      <c r="E240" s="146"/>
      <c r="F240" s="294"/>
      <c r="G240" s="578" t="s">
        <v>5275</v>
      </c>
      <c r="H240" s="578" t="s">
        <v>4855</v>
      </c>
      <c r="I240" s="582" t="s">
        <v>4884</v>
      </c>
      <c r="J240" s="582" t="s">
        <v>4689</v>
      </c>
      <c r="K240" s="580" t="s">
        <v>4902</v>
      </c>
      <c r="L240" s="581" t="s">
        <v>4879</v>
      </c>
      <c r="M240" s="1346" t="s">
        <v>4685</v>
      </c>
      <c r="N240" s="581" t="s">
        <v>4903</v>
      </c>
      <c r="O240" s="721" t="s">
        <v>5276</v>
      </c>
      <c r="P240" s="150" t="s">
        <v>5277</v>
      </c>
      <c r="Q240" s="150"/>
      <c r="R240" s="98"/>
      <c r="S240" s="146"/>
      <c r="T240" s="279" t="s">
        <v>5278</v>
      </c>
      <c r="U240" s="279" t="s">
        <v>85</v>
      </c>
      <c r="W240" s="25"/>
      <c r="X240" s="25"/>
      <c r="Z240" s="25"/>
      <c r="AA240" s="77"/>
      <c r="AB240" s="77"/>
      <c r="AC240" s="272"/>
      <c r="AD240" s="40"/>
      <c r="AE240" s="77"/>
      <c r="AF240" s="77"/>
      <c r="AG240" s="77"/>
      <c r="AH240" s="77"/>
      <c r="AI240" s="77"/>
      <c r="AJ240" s="77"/>
      <c r="AK240" s="77"/>
    </row>
    <row r="241" spans="2:37" ht="10.5" customHeight="1">
      <c r="B241" s="146"/>
      <c r="C241" s="212" t="s">
        <v>5279</v>
      </c>
      <c r="D241" s="247"/>
      <c r="E241" s="146"/>
      <c r="F241" s="294"/>
      <c r="G241" s="578" t="s">
        <v>88</v>
      </c>
      <c r="H241" s="578" t="s">
        <v>4894</v>
      </c>
      <c r="I241" s="582" t="s">
        <v>4884</v>
      </c>
      <c r="J241" s="582" t="s">
        <v>4689</v>
      </c>
      <c r="K241" s="580" t="s">
        <v>4902</v>
      </c>
      <c r="L241" s="581" t="s">
        <v>4879</v>
      </c>
      <c r="M241" s="1346" t="s">
        <v>4685</v>
      </c>
      <c r="N241" s="581" t="s">
        <v>4903</v>
      </c>
      <c r="O241" s="721" t="s">
        <v>5280</v>
      </c>
      <c r="P241" s="150" t="s">
        <v>5281</v>
      </c>
      <c r="Q241" s="150"/>
      <c r="R241" s="98"/>
      <c r="S241" s="146"/>
      <c r="T241" s="279" t="s">
        <v>5282</v>
      </c>
      <c r="U241" s="279" t="s">
        <v>96</v>
      </c>
      <c r="W241" s="25"/>
      <c r="X241" s="25"/>
      <c r="Z241" s="25"/>
      <c r="AA241" s="77"/>
      <c r="AB241" s="77"/>
      <c r="AC241" s="272"/>
      <c r="AD241" s="40"/>
      <c r="AE241" s="77"/>
      <c r="AF241" s="77"/>
      <c r="AG241" s="77"/>
      <c r="AH241" s="77"/>
      <c r="AI241" s="77"/>
      <c r="AJ241" s="77"/>
      <c r="AK241" s="77"/>
    </row>
    <row r="242" spans="2:37" ht="10.5" customHeight="1">
      <c r="B242" s="146"/>
      <c r="C242" s="212" t="s">
        <v>5283</v>
      </c>
      <c r="D242" s="247"/>
      <c r="E242" s="146"/>
      <c r="F242" s="294"/>
      <c r="G242" s="578" t="s">
        <v>158</v>
      </c>
      <c r="H242" s="578" t="s">
        <v>4855</v>
      </c>
      <c r="I242" s="582" t="s">
        <v>2145</v>
      </c>
      <c r="J242" s="582" t="s">
        <v>4689</v>
      </c>
      <c r="K242" s="580" t="s">
        <v>5284</v>
      </c>
      <c r="L242" s="581" t="s">
        <v>4879</v>
      </c>
      <c r="M242" s="1346" t="s">
        <v>4685</v>
      </c>
      <c r="N242" s="581" t="s">
        <v>4888</v>
      </c>
      <c r="O242" s="721" t="s">
        <v>5285</v>
      </c>
      <c r="P242" s="150" t="s">
        <v>5286</v>
      </c>
      <c r="Q242" s="150"/>
      <c r="R242" s="98"/>
      <c r="S242" s="146"/>
      <c r="T242" s="279" t="s">
        <v>4944</v>
      </c>
      <c r="U242" s="279" t="s">
        <v>5177</v>
      </c>
      <c r="W242" s="25"/>
      <c r="X242" s="25"/>
      <c r="Z242" s="25"/>
      <c r="AA242" s="77"/>
      <c r="AB242" s="77"/>
      <c r="AC242" s="272"/>
      <c r="AD242" s="40"/>
      <c r="AE242" s="77"/>
      <c r="AF242" s="77"/>
      <c r="AG242" s="77"/>
      <c r="AH242" s="77"/>
      <c r="AI242" s="77"/>
      <c r="AJ242" s="77"/>
      <c r="AK242" s="77"/>
    </row>
    <row r="243" spans="2:37" ht="10.5" customHeight="1">
      <c r="B243" s="146"/>
      <c r="C243" s="211" t="s">
        <v>5287</v>
      </c>
      <c r="D243" s="247"/>
      <c r="E243" s="146"/>
      <c r="F243" s="294"/>
      <c r="G243" s="578" t="s">
        <v>5288</v>
      </c>
      <c r="H243" s="578" t="s">
        <v>4855</v>
      </c>
      <c r="I243" s="579" t="s">
        <v>5140</v>
      </c>
      <c r="J243" s="579" t="s">
        <v>4690</v>
      </c>
      <c r="K243" s="580" t="s">
        <v>5289</v>
      </c>
      <c r="L243" s="581" t="s">
        <v>4858</v>
      </c>
      <c r="M243" s="1346" t="s">
        <v>4688</v>
      </c>
      <c r="N243" s="581" t="s">
        <v>2057</v>
      </c>
      <c r="O243" s="721" t="s">
        <v>5290</v>
      </c>
      <c r="P243" s="150" t="s">
        <v>5291</v>
      </c>
      <c r="Q243" s="150"/>
      <c r="R243" s="98"/>
      <c r="S243" s="146"/>
      <c r="T243" s="279" t="s">
        <v>5292</v>
      </c>
      <c r="U243" s="279" t="s">
        <v>4973</v>
      </c>
      <c r="W243" s="25"/>
      <c r="X243" s="25"/>
      <c r="Z243" s="25"/>
      <c r="AA243" s="77"/>
      <c r="AB243" s="77"/>
      <c r="AC243" s="272"/>
      <c r="AD243" s="40"/>
      <c r="AE243" s="77"/>
      <c r="AF243" s="77"/>
      <c r="AG243" s="77"/>
      <c r="AH243" s="77"/>
      <c r="AI243" s="77"/>
      <c r="AJ243" s="77"/>
      <c r="AK243" s="77"/>
    </row>
    <row r="244" spans="2:37" ht="10.5" customHeight="1">
      <c r="B244" s="146"/>
      <c r="C244" s="211" t="s">
        <v>2132</v>
      </c>
      <c r="D244" s="247"/>
      <c r="E244" s="146"/>
      <c r="F244" s="294"/>
      <c r="G244" s="578" t="s">
        <v>5009</v>
      </c>
      <c r="H244" s="578" t="s">
        <v>4894</v>
      </c>
      <c r="I244" s="579" t="s">
        <v>5145</v>
      </c>
      <c r="J244" s="579" t="s">
        <v>4690</v>
      </c>
      <c r="K244" s="580" t="s">
        <v>5293</v>
      </c>
      <c r="L244" s="581" t="s">
        <v>4858</v>
      </c>
      <c r="M244" s="1346" t="s">
        <v>4688</v>
      </c>
      <c r="N244" s="581" t="s">
        <v>4903</v>
      </c>
      <c r="O244" s="721" t="s">
        <v>5294</v>
      </c>
      <c r="P244" s="150" t="s">
        <v>5295</v>
      </c>
      <c r="Q244" s="150"/>
      <c r="R244" s="98"/>
      <c r="S244" s="146"/>
      <c r="T244" s="279" t="s">
        <v>4936</v>
      </c>
      <c r="U244" s="279" t="s">
        <v>100</v>
      </c>
      <c r="W244" s="25"/>
      <c r="X244" s="25"/>
      <c r="Z244" s="25"/>
      <c r="AA244" s="77"/>
      <c r="AB244" s="77"/>
      <c r="AC244" s="272"/>
      <c r="AD244" s="40"/>
      <c r="AE244" s="77"/>
      <c r="AF244" s="77"/>
      <c r="AG244" s="77"/>
      <c r="AH244" s="77"/>
      <c r="AI244" s="77"/>
      <c r="AJ244" s="77"/>
      <c r="AK244" s="77"/>
    </row>
    <row r="245" spans="2:37" ht="10.5" customHeight="1">
      <c r="B245" s="146"/>
      <c r="C245" s="212" t="s">
        <v>4859</v>
      </c>
      <c r="D245" s="247"/>
      <c r="E245" s="146"/>
      <c r="F245" s="294"/>
      <c r="G245" s="578" t="s">
        <v>5296</v>
      </c>
      <c r="H245" s="578" t="s">
        <v>4894</v>
      </c>
      <c r="I245" s="582" t="s">
        <v>4884</v>
      </c>
      <c r="J245" s="582" t="s">
        <v>4689</v>
      </c>
      <c r="K245" s="580" t="s">
        <v>4902</v>
      </c>
      <c r="L245" s="581" t="s">
        <v>4879</v>
      </c>
      <c r="M245" s="1346" t="s">
        <v>4685</v>
      </c>
      <c r="N245" s="581" t="s">
        <v>4903</v>
      </c>
      <c r="O245" s="721" t="s">
        <v>5297</v>
      </c>
      <c r="P245" s="150" t="s">
        <v>5298</v>
      </c>
      <c r="Q245" s="150"/>
      <c r="R245" s="98"/>
      <c r="S245" s="146"/>
      <c r="T245" s="279" t="s">
        <v>5299</v>
      </c>
      <c r="U245" s="279" t="s">
        <v>5258</v>
      </c>
      <c r="W245" s="25"/>
      <c r="X245" s="25"/>
      <c r="Z245" s="25"/>
      <c r="AA245" s="77"/>
      <c r="AB245" s="77"/>
      <c r="AC245" s="272"/>
      <c r="AD245" s="40"/>
      <c r="AE245" s="77"/>
      <c r="AF245" s="77"/>
      <c r="AG245" s="77"/>
      <c r="AH245" s="77"/>
      <c r="AI245" s="77"/>
      <c r="AJ245" s="77"/>
      <c r="AK245" s="77"/>
    </row>
    <row r="246" spans="2:37" ht="10.5" customHeight="1">
      <c r="B246" s="146"/>
      <c r="C246" s="212" t="s">
        <v>5300</v>
      </c>
      <c r="D246" s="247"/>
      <c r="E246" s="146"/>
      <c r="F246" s="294"/>
      <c r="G246" s="578" t="s">
        <v>5301</v>
      </c>
      <c r="H246" s="578" t="s">
        <v>4855</v>
      </c>
      <c r="I246" s="579" t="s">
        <v>5151</v>
      </c>
      <c r="J246" s="579" t="s">
        <v>4690</v>
      </c>
      <c r="K246" s="580" t="s">
        <v>5302</v>
      </c>
      <c r="L246" s="581" t="s">
        <v>4858</v>
      </c>
      <c r="M246" s="1346" t="s">
        <v>4688</v>
      </c>
      <c r="N246" s="581" t="s">
        <v>2143</v>
      </c>
      <c r="O246" s="721" t="s">
        <v>5303</v>
      </c>
      <c r="P246" s="150" t="s">
        <v>5304</v>
      </c>
      <c r="Q246" s="150"/>
      <c r="R246" s="98"/>
      <c r="S246" s="146"/>
      <c r="T246" s="279" t="s">
        <v>5305</v>
      </c>
      <c r="U246" s="279" t="s">
        <v>5228</v>
      </c>
      <c r="W246" s="25"/>
      <c r="X246" s="25"/>
      <c r="Z246" s="25"/>
      <c r="AA246" s="77"/>
      <c r="AB246" s="77"/>
      <c r="AC246" s="272"/>
      <c r="AD246" s="40"/>
      <c r="AE246" s="77"/>
      <c r="AF246" s="77"/>
      <c r="AG246" s="77"/>
      <c r="AH246" s="77"/>
      <c r="AI246" s="77"/>
      <c r="AJ246" s="77"/>
      <c r="AK246" s="77"/>
    </row>
    <row r="247" spans="2:37" ht="10.5" customHeight="1">
      <c r="B247" s="146"/>
      <c r="C247" s="212" t="s">
        <v>5306</v>
      </c>
      <c r="D247" s="247"/>
      <c r="E247" s="146"/>
      <c r="F247" s="294"/>
      <c r="G247" s="578" t="s">
        <v>5073</v>
      </c>
      <c r="H247" s="578" t="s">
        <v>4855</v>
      </c>
      <c r="I247" s="579" t="s">
        <v>5158</v>
      </c>
      <c r="J247" s="579" t="s">
        <v>4690</v>
      </c>
      <c r="K247" s="580" t="s">
        <v>5307</v>
      </c>
      <c r="L247" s="581" t="s">
        <v>4858</v>
      </c>
      <c r="M247" s="1346" t="s">
        <v>4688</v>
      </c>
      <c r="N247" s="581" t="s">
        <v>4963</v>
      </c>
      <c r="O247" s="721" t="s">
        <v>5308</v>
      </c>
      <c r="P247" s="150" t="s">
        <v>5309</v>
      </c>
      <c r="Q247" s="150"/>
      <c r="R247" s="98"/>
      <c r="S247" s="146"/>
      <c r="T247" s="279" t="s">
        <v>5310</v>
      </c>
      <c r="U247" s="279" t="s">
        <v>5311</v>
      </c>
      <c r="W247" s="25"/>
      <c r="X247" s="25"/>
      <c r="Z247" s="25"/>
      <c r="AA247" s="77"/>
      <c r="AB247" s="77"/>
      <c r="AC247" s="272"/>
      <c r="AD247" s="40"/>
      <c r="AE247" s="77"/>
      <c r="AF247" s="77"/>
      <c r="AG247" s="77"/>
      <c r="AH247" s="77"/>
      <c r="AI247" s="77"/>
      <c r="AJ247" s="77"/>
      <c r="AK247" s="77"/>
    </row>
    <row r="248" spans="2:37" ht="10.5" customHeight="1">
      <c r="B248" s="146"/>
      <c r="C248" s="212" t="s">
        <v>5312</v>
      </c>
      <c r="D248" s="247"/>
      <c r="E248" s="146"/>
      <c r="F248" s="294"/>
      <c r="G248" s="578" t="s">
        <v>5313</v>
      </c>
      <c r="H248" s="578" t="s">
        <v>4855</v>
      </c>
      <c r="I248" s="579" t="s">
        <v>5165</v>
      </c>
      <c r="J248" s="579" t="s">
        <v>4690</v>
      </c>
      <c r="K248" s="580" t="s">
        <v>5314</v>
      </c>
      <c r="L248" s="581" t="s">
        <v>4858</v>
      </c>
      <c r="M248" s="1346" t="s">
        <v>4688</v>
      </c>
      <c r="N248" s="581" t="s">
        <v>4963</v>
      </c>
      <c r="O248" s="721" t="s">
        <v>5315</v>
      </c>
      <c r="P248" s="150" t="s">
        <v>5316</v>
      </c>
      <c r="Q248" s="150"/>
      <c r="R248" s="98"/>
      <c r="S248" s="146"/>
      <c r="T248" s="279" t="s">
        <v>5317</v>
      </c>
      <c r="U248" s="279" t="s">
        <v>5133</v>
      </c>
      <c r="W248" s="25"/>
      <c r="X248" s="25"/>
      <c r="Z248" s="25"/>
      <c r="AA248" s="77"/>
      <c r="AB248" s="77"/>
      <c r="AC248" s="272"/>
      <c r="AD248" s="40"/>
      <c r="AE248" s="77"/>
      <c r="AF248" s="77"/>
      <c r="AG248" s="77"/>
      <c r="AH248" s="77"/>
      <c r="AI248" s="77"/>
      <c r="AJ248" s="77"/>
      <c r="AK248" s="77"/>
    </row>
    <row r="249" spans="2:37" ht="10.5" customHeight="1">
      <c r="B249" s="146"/>
      <c r="C249" s="212" t="s">
        <v>5318</v>
      </c>
      <c r="D249" s="247"/>
      <c r="E249" s="146"/>
      <c r="F249" s="294"/>
      <c r="G249" s="578" t="s">
        <v>4901</v>
      </c>
      <c r="H249" s="578" t="s">
        <v>4855</v>
      </c>
      <c r="I249" s="579" t="s">
        <v>5171</v>
      </c>
      <c r="J249" s="579" t="s">
        <v>4690</v>
      </c>
      <c r="K249" s="580" t="s">
        <v>5319</v>
      </c>
      <c r="L249" s="581" t="s">
        <v>4858</v>
      </c>
      <c r="M249" s="1346" t="s">
        <v>4688</v>
      </c>
      <c r="N249" s="581" t="s">
        <v>4888</v>
      </c>
      <c r="O249" s="721" t="s">
        <v>5320</v>
      </c>
      <c r="P249" s="150" t="s">
        <v>5321</v>
      </c>
      <c r="Q249" s="150"/>
      <c r="R249" s="98"/>
      <c r="S249" s="146"/>
      <c r="T249" s="279" t="s">
        <v>5322</v>
      </c>
      <c r="U249" s="279" t="s">
        <v>5323</v>
      </c>
      <c r="W249" s="25"/>
      <c r="X249" s="25"/>
      <c r="Z249" s="25"/>
      <c r="AA249" s="77"/>
      <c r="AB249" s="77"/>
      <c r="AC249" s="272"/>
      <c r="AD249" s="40"/>
      <c r="AE249" s="77"/>
      <c r="AF249" s="77"/>
      <c r="AG249" s="77"/>
      <c r="AH249" s="77"/>
      <c r="AI249" s="77"/>
      <c r="AJ249" s="77"/>
      <c r="AK249" s="77"/>
    </row>
    <row r="250" spans="2:37" ht="10.5" customHeight="1">
      <c r="B250" s="146"/>
      <c r="C250" s="211" t="s">
        <v>5324</v>
      </c>
      <c r="D250" s="247"/>
      <c r="E250" s="146"/>
      <c r="F250" s="294"/>
      <c r="G250" s="578" t="s">
        <v>5325</v>
      </c>
      <c r="H250" s="578" t="s">
        <v>4855</v>
      </c>
      <c r="I250" s="582" t="s">
        <v>4888</v>
      </c>
      <c r="J250" s="582" t="s">
        <v>4689</v>
      </c>
      <c r="K250" s="580" t="s">
        <v>4925</v>
      </c>
      <c r="L250" s="581" t="s">
        <v>4879</v>
      </c>
      <c r="M250" s="1346" t="s">
        <v>4688</v>
      </c>
      <c r="N250" s="581" t="s">
        <v>4888</v>
      </c>
      <c r="O250" s="721" t="s">
        <v>5326</v>
      </c>
      <c r="P250" s="150" t="s">
        <v>5327</v>
      </c>
      <c r="Q250" s="150"/>
      <c r="R250" s="98"/>
      <c r="S250" s="146"/>
      <c r="T250" s="279" t="s">
        <v>5328</v>
      </c>
      <c r="U250" s="279" t="s">
        <v>5120</v>
      </c>
      <c r="W250" s="25"/>
      <c r="X250" s="25"/>
      <c r="Z250" s="25"/>
      <c r="AA250" s="77"/>
      <c r="AB250" s="77"/>
      <c r="AC250" s="272"/>
      <c r="AD250" s="40"/>
      <c r="AE250" s="77"/>
      <c r="AF250" s="77"/>
      <c r="AG250" s="77"/>
      <c r="AH250" s="77"/>
      <c r="AI250" s="77"/>
      <c r="AJ250" s="77"/>
      <c r="AK250" s="77"/>
    </row>
    <row r="251" spans="2:37" ht="10.5" customHeight="1">
      <c r="B251" s="146"/>
      <c r="C251" s="211" t="s">
        <v>5329</v>
      </c>
      <c r="D251" s="247"/>
      <c r="E251" s="146"/>
      <c r="F251" s="294"/>
      <c r="G251" s="578" t="s">
        <v>4929</v>
      </c>
      <c r="H251" s="578" t="s">
        <v>4894</v>
      </c>
      <c r="I251" s="582" t="s">
        <v>5176</v>
      </c>
      <c r="J251" s="582" t="s">
        <v>4689</v>
      </c>
      <c r="K251" s="580" t="s">
        <v>5330</v>
      </c>
      <c r="L251" s="581" t="s">
        <v>4879</v>
      </c>
      <c r="M251" s="1346" t="s">
        <v>4688</v>
      </c>
      <c r="N251" s="581" t="s">
        <v>4903</v>
      </c>
      <c r="O251" s="721" t="s">
        <v>5331</v>
      </c>
      <c r="P251" s="150" t="s">
        <v>5332</v>
      </c>
      <c r="Q251" s="150"/>
      <c r="R251" s="98"/>
      <c r="S251" s="146"/>
      <c r="T251" s="279" t="s">
        <v>2072</v>
      </c>
      <c r="U251" s="279" t="s">
        <v>5333</v>
      </c>
      <c r="W251" s="25"/>
      <c r="X251" s="25"/>
      <c r="Z251" s="25"/>
      <c r="AA251" s="77"/>
      <c r="AB251" s="77"/>
      <c r="AC251" s="272"/>
      <c r="AD251" s="40"/>
      <c r="AE251" s="77"/>
      <c r="AF251" s="77"/>
      <c r="AG251" s="77"/>
      <c r="AH251" s="77"/>
      <c r="AI251" s="77"/>
      <c r="AJ251" s="77"/>
      <c r="AK251" s="77"/>
    </row>
    <row r="252" spans="2:37" ht="10.5" customHeight="1">
      <c r="B252" s="146"/>
      <c r="C252" s="212" t="s">
        <v>5334</v>
      </c>
      <c r="D252" s="247"/>
      <c r="E252" s="146"/>
      <c r="F252" s="294"/>
      <c r="G252" s="578" t="s">
        <v>5335</v>
      </c>
      <c r="H252" s="578" t="s">
        <v>4855</v>
      </c>
      <c r="I252" s="579" t="s">
        <v>2143</v>
      </c>
      <c r="J252" s="579" t="s">
        <v>4689</v>
      </c>
      <c r="K252" s="580" t="s">
        <v>4945</v>
      </c>
      <c r="L252" s="581" t="s">
        <v>4879</v>
      </c>
      <c r="M252" s="1346" t="s">
        <v>4688</v>
      </c>
      <c r="N252" s="581" t="s">
        <v>2143</v>
      </c>
      <c r="O252" s="721" t="s">
        <v>5336</v>
      </c>
      <c r="P252" s="150" t="s">
        <v>5337</v>
      </c>
      <c r="Q252" s="150"/>
      <c r="R252" s="98"/>
      <c r="S252" s="146"/>
      <c r="T252" s="279" t="s">
        <v>5338</v>
      </c>
      <c r="U252" s="279" t="s">
        <v>5339</v>
      </c>
      <c r="W252" s="25"/>
      <c r="X252" s="25"/>
      <c r="Z252" s="25"/>
      <c r="AA252" s="77"/>
      <c r="AB252" s="77"/>
      <c r="AC252" s="272"/>
      <c r="AD252" s="40"/>
      <c r="AE252" s="77"/>
      <c r="AF252" s="77"/>
      <c r="AG252" s="77"/>
      <c r="AH252" s="77"/>
      <c r="AI252" s="77"/>
      <c r="AJ252" s="77"/>
      <c r="AK252" s="77"/>
    </row>
    <row r="253" spans="2:37" ht="10.5" customHeight="1">
      <c r="B253" s="146"/>
      <c r="C253" s="212" t="s">
        <v>5340</v>
      </c>
      <c r="D253" s="247"/>
      <c r="E253" s="146"/>
      <c r="F253" s="294"/>
      <c r="G253" s="578" t="s">
        <v>5339</v>
      </c>
      <c r="H253" s="578" t="s">
        <v>4855</v>
      </c>
      <c r="I253" s="579" t="s">
        <v>5182</v>
      </c>
      <c r="J253" s="579" t="s">
        <v>4690</v>
      </c>
      <c r="K253" s="580" t="s">
        <v>5341</v>
      </c>
      <c r="L253" s="581" t="s">
        <v>4858</v>
      </c>
      <c r="M253" s="1346" t="s">
        <v>4688</v>
      </c>
      <c r="N253" s="581" t="s">
        <v>4888</v>
      </c>
      <c r="O253" s="721" t="s">
        <v>5342</v>
      </c>
      <c r="P253" s="150" t="s">
        <v>5343</v>
      </c>
      <c r="Q253" s="150"/>
      <c r="R253" s="98"/>
      <c r="S253" s="146"/>
      <c r="T253" s="279" t="s">
        <v>5344</v>
      </c>
      <c r="U253" s="279" t="s">
        <v>5223</v>
      </c>
      <c r="W253" s="25"/>
      <c r="X253" s="25"/>
      <c r="Z253" s="25"/>
      <c r="AA253" s="77"/>
      <c r="AB253" s="77"/>
      <c r="AC253" s="272"/>
      <c r="AD253" s="40"/>
      <c r="AE253" s="77"/>
      <c r="AF253" s="77"/>
      <c r="AG253" s="77"/>
      <c r="AH253" s="77"/>
      <c r="AI253" s="77"/>
      <c r="AJ253" s="77"/>
      <c r="AK253" s="77"/>
    </row>
    <row r="254" spans="2:37" ht="10.5" customHeight="1">
      <c r="B254" s="146"/>
      <c r="C254" s="212" t="s">
        <v>5345</v>
      </c>
      <c r="D254" s="247"/>
      <c r="E254" s="146"/>
      <c r="F254" s="294"/>
      <c r="G254" s="578" t="s">
        <v>5346</v>
      </c>
      <c r="H254" s="578" t="s">
        <v>4855</v>
      </c>
      <c r="I254" s="582" t="s">
        <v>2057</v>
      </c>
      <c r="J254" s="582" t="s">
        <v>4689</v>
      </c>
      <c r="K254" s="580" t="s">
        <v>5126</v>
      </c>
      <c r="L254" s="581" t="s">
        <v>4879</v>
      </c>
      <c r="M254" s="1346" t="s">
        <v>4688</v>
      </c>
      <c r="N254" s="581" t="s">
        <v>2057</v>
      </c>
      <c r="O254" s="721" t="s">
        <v>5347</v>
      </c>
      <c r="P254" s="150" t="s">
        <v>5348</v>
      </c>
      <c r="Q254" s="150"/>
      <c r="R254" s="98"/>
      <c r="S254" s="146"/>
      <c r="T254" s="279" t="s">
        <v>4975</v>
      </c>
      <c r="U254" s="279" t="s">
        <v>5217</v>
      </c>
      <c r="W254" s="25"/>
      <c r="X254" s="25"/>
      <c r="Z254" s="25"/>
      <c r="AA254" s="77"/>
      <c r="AB254" s="77"/>
      <c r="AC254" s="272"/>
      <c r="AD254" s="40"/>
      <c r="AE254" s="77"/>
      <c r="AF254" s="77"/>
      <c r="AG254" s="77"/>
      <c r="AH254" s="77"/>
      <c r="AI254" s="77"/>
      <c r="AJ254" s="77"/>
      <c r="AK254" s="77"/>
    </row>
    <row r="255" spans="2:37" ht="10.5" customHeight="1">
      <c r="B255" s="146"/>
      <c r="C255" s="212" t="s">
        <v>5349</v>
      </c>
      <c r="D255" s="247"/>
      <c r="E255" s="146"/>
      <c r="F255" s="294"/>
      <c r="G255" s="578" t="s">
        <v>113</v>
      </c>
      <c r="H255" s="578" t="s">
        <v>4855</v>
      </c>
      <c r="I255" s="579" t="s">
        <v>5350</v>
      </c>
      <c r="J255" s="579" t="s">
        <v>4689</v>
      </c>
      <c r="K255" s="580" t="s">
        <v>5351</v>
      </c>
      <c r="L255" s="581" t="s">
        <v>4879</v>
      </c>
      <c r="M255" s="1346" t="s">
        <v>4685</v>
      </c>
      <c r="N255" s="581" t="s">
        <v>4859</v>
      </c>
      <c r="O255" s="721" t="s">
        <v>5352</v>
      </c>
      <c r="P255" s="150" t="s">
        <v>5353</v>
      </c>
      <c r="Q255" s="150"/>
      <c r="R255" s="98"/>
      <c r="S255" s="146"/>
      <c r="T255" s="279" t="s">
        <v>5354</v>
      </c>
      <c r="U255" s="279" t="s">
        <v>5223</v>
      </c>
      <c r="W255" s="25"/>
      <c r="X255" s="25"/>
      <c r="Z255" s="25"/>
      <c r="AA255" s="77"/>
      <c r="AB255" s="77"/>
      <c r="AC255" s="272"/>
      <c r="AD255" s="40"/>
      <c r="AE255" s="77"/>
      <c r="AF255" s="77"/>
      <c r="AG255" s="77"/>
      <c r="AH255" s="77"/>
      <c r="AI255" s="77"/>
      <c r="AJ255" s="77"/>
      <c r="AK255" s="77"/>
    </row>
    <row r="256" spans="2:37" ht="10.5" customHeight="1">
      <c r="B256" s="146"/>
      <c r="C256" s="212" t="s">
        <v>5355</v>
      </c>
      <c r="D256" s="247"/>
      <c r="E256" s="146"/>
      <c r="F256" s="294"/>
      <c r="G256" s="578" t="s">
        <v>5356</v>
      </c>
      <c r="H256" s="578" t="s">
        <v>4894</v>
      </c>
      <c r="I256" s="579" t="s">
        <v>5187</v>
      </c>
      <c r="J256" s="579" t="s">
        <v>4689</v>
      </c>
      <c r="K256" s="580" t="s">
        <v>5357</v>
      </c>
      <c r="L256" s="581" t="s">
        <v>4879</v>
      </c>
      <c r="M256" s="1346" t="s">
        <v>4688</v>
      </c>
      <c r="N256" s="581" t="s">
        <v>4963</v>
      </c>
      <c r="O256" s="721" t="s">
        <v>5358</v>
      </c>
      <c r="P256" s="150" t="s">
        <v>5359</v>
      </c>
      <c r="Q256" s="150"/>
      <c r="R256" s="98"/>
      <c r="S256" s="146"/>
      <c r="T256" s="279" t="s">
        <v>5360</v>
      </c>
      <c r="U256" s="279" t="s">
        <v>5361</v>
      </c>
      <c r="W256" s="25"/>
      <c r="X256" s="25"/>
      <c r="Z256" s="25"/>
      <c r="AA256" s="77"/>
      <c r="AB256" s="77"/>
      <c r="AC256" s="272"/>
      <c r="AD256" s="40"/>
      <c r="AE256" s="77"/>
      <c r="AF256" s="77"/>
      <c r="AG256" s="77"/>
      <c r="AH256" s="77"/>
      <c r="AI256" s="77"/>
      <c r="AJ256" s="77"/>
      <c r="AK256" s="77"/>
    </row>
    <row r="257" spans="2:37" ht="10.5" customHeight="1">
      <c r="B257" s="146"/>
      <c r="C257" s="212" t="s">
        <v>5362</v>
      </c>
      <c r="D257" s="247"/>
      <c r="E257" s="146"/>
      <c r="F257" s="294"/>
      <c r="G257" s="578" t="s">
        <v>5363</v>
      </c>
      <c r="H257" s="578" t="s">
        <v>4855</v>
      </c>
      <c r="I257" s="579" t="s">
        <v>5192</v>
      </c>
      <c r="J257" s="579" t="s">
        <v>4689</v>
      </c>
      <c r="K257" s="580" t="s">
        <v>5364</v>
      </c>
      <c r="L257" s="581" t="s">
        <v>4879</v>
      </c>
      <c r="M257" s="1346" t="s">
        <v>4688</v>
      </c>
      <c r="N257" s="581" t="s">
        <v>4859</v>
      </c>
      <c r="O257" s="721" t="s">
        <v>5365</v>
      </c>
      <c r="P257" s="150" t="s">
        <v>5366</v>
      </c>
      <c r="Q257" s="150"/>
      <c r="R257" s="98"/>
      <c r="S257" s="146"/>
      <c r="T257" s="279" t="s">
        <v>5367</v>
      </c>
      <c r="U257" s="279" t="s">
        <v>5083</v>
      </c>
      <c r="W257" s="25"/>
      <c r="X257" s="25"/>
      <c r="Z257" s="25"/>
      <c r="AA257" s="77"/>
      <c r="AB257" s="77"/>
      <c r="AC257" s="272"/>
      <c r="AD257" s="40"/>
      <c r="AE257" s="77"/>
      <c r="AF257" s="77"/>
      <c r="AG257" s="77"/>
      <c r="AH257" s="77"/>
      <c r="AI257" s="77"/>
      <c r="AJ257" s="77"/>
      <c r="AK257" s="77"/>
    </row>
    <row r="258" spans="2:37" ht="10.5" customHeight="1">
      <c r="B258" s="146"/>
      <c r="C258" s="212" t="s">
        <v>5368</v>
      </c>
      <c r="D258" s="247"/>
      <c r="E258" s="146"/>
      <c r="F258" s="294"/>
      <c r="G258" s="578" t="s">
        <v>141</v>
      </c>
      <c r="H258" s="578" t="s">
        <v>4855</v>
      </c>
      <c r="I258" s="579" t="s">
        <v>2143</v>
      </c>
      <c r="J258" s="579" t="s">
        <v>4689</v>
      </c>
      <c r="K258" s="580" t="s">
        <v>4945</v>
      </c>
      <c r="L258" s="581" t="s">
        <v>4879</v>
      </c>
      <c r="M258" s="1346" t="s">
        <v>4685</v>
      </c>
      <c r="N258" s="581" t="s">
        <v>2143</v>
      </c>
      <c r="O258" s="721" t="s">
        <v>5369</v>
      </c>
      <c r="P258" s="150" t="s">
        <v>5370</v>
      </c>
      <c r="Q258" s="150"/>
      <c r="R258" s="98"/>
      <c r="S258" s="146"/>
      <c r="T258" s="279" t="s">
        <v>91</v>
      </c>
      <c r="U258" s="279" t="s">
        <v>85</v>
      </c>
      <c r="W258" s="25"/>
      <c r="X258" s="25"/>
      <c r="Z258" s="25"/>
      <c r="AA258" s="77"/>
      <c r="AB258" s="77"/>
      <c r="AC258" s="272"/>
      <c r="AD258" s="40"/>
      <c r="AE258" s="77"/>
      <c r="AF258" s="77"/>
      <c r="AG258" s="77"/>
      <c r="AH258" s="77"/>
      <c r="AI258" s="77"/>
      <c r="AJ258" s="77"/>
      <c r="AK258" s="77"/>
    </row>
    <row r="259" spans="2:37" ht="10.5" customHeight="1">
      <c r="B259" s="146"/>
      <c r="C259" s="211" t="s">
        <v>5371</v>
      </c>
      <c r="D259" s="247"/>
      <c r="E259" s="146"/>
      <c r="F259" s="294"/>
      <c r="G259" s="578" t="s">
        <v>5372</v>
      </c>
      <c r="H259" s="578" t="s">
        <v>4894</v>
      </c>
      <c r="I259" s="582" t="s">
        <v>5198</v>
      </c>
      <c r="J259" s="582" t="s">
        <v>4690</v>
      </c>
      <c r="K259" s="580" t="s">
        <v>5373</v>
      </c>
      <c r="L259" s="581" t="s">
        <v>4858</v>
      </c>
      <c r="M259" s="1346" t="s">
        <v>4688</v>
      </c>
      <c r="N259" s="581" t="s">
        <v>4903</v>
      </c>
      <c r="O259" s="721" t="s">
        <v>5374</v>
      </c>
      <c r="P259" s="150" t="s">
        <v>5375</v>
      </c>
      <c r="Q259" s="150"/>
      <c r="R259" s="98"/>
      <c r="S259" s="146"/>
      <c r="T259" s="279" t="s">
        <v>5376</v>
      </c>
      <c r="U259" s="279" t="s">
        <v>5193</v>
      </c>
      <c r="W259" s="25"/>
      <c r="X259" s="25"/>
      <c r="Z259" s="25"/>
      <c r="AA259" s="77"/>
      <c r="AB259" s="77"/>
      <c r="AC259" s="272"/>
      <c r="AD259" s="40"/>
      <c r="AE259" s="77"/>
      <c r="AF259" s="77"/>
      <c r="AG259" s="77"/>
      <c r="AH259" s="77"/>
      <c r="AI259" s="77"/>
      <c r="AJ259" s="77"/>
      <c r="AK259" s="77"/>
    </row>
    <row r="260" spans="2:37" ht="10.5" customHeight="1">
      <c r="B260" s="146"/>
      <c r="C260" s="211" t="s">
        <v>5377</v>
      </c>
      <c r="D260" s="247"/>
      <c r="E260" s="146"/>
      <c r="F260" s="294"/>
      <c r="G260" s="578" t="s">
        <v>4888</v>
      </c>
      <c r="H260" s="578" t="s">
        <v>4855</v>
      </c>
      <c r="I260" s="579" t="s">
        <v>5207</v>
      </c>
      <c r="J260" s="579" t="s">
        <v>4690</v>
      </c>
      <c r="K260" s="580" t="s">
        <v>5378</v>
      </c>
      <c r="L260" s="581" t="s">
        <v>4858</v>
      </c>
      <c r="M260" s="1346" t="s">
        <v>4688</v>
      </c>
      <c r="N260" s="581" t="s">
        <v>4888</v>
      </c>
      <c r="O260" s="721" t="s">
        <v>5379</v>
      </c>
      <c r="P260" s="150" t="s">
        <v>5380</v>
      </c>
      <c r="Q260" s="150"/>
      <c r="R260" s="98"/>
      <c r="S260" s="146"/>
      <c r="T260" s="279" t="s">
        <v>5381</v>
      </c>
      <c r="U260" s="279" t="s">
        <v>5159</v>
      </c>
      <c r="W260" s="25"/>
      <c r="X260" s="25"/>
      <c r="Z260" s="25"/>
      <c r="AA260" s="77"/>
      <c r="AB260" s="77"/>
      <c r="AC260" s="272"/>
      <c r="AD260" s="40"/>
      <c r="AE260" s="77"/>
      <c r="AF260" s="77"/>
      <c r="AG260" s="77"/>
      <c r="AH260" s="77"/>
      <c r="AI260" s="77"/>
      <c r="AJ260" s="77"/>
      <c r="AK260" s="77"/>
    </row>
    <row r="261" spans="2:37" ht="10.5" customHeight="1">
      <c r="B261" s="146"/>
      <c r="C261" s="211" t="s">
        <v>5382</v>
      </c>
      <c r="D261" s="247"/>
      <c r="E261" s="146"/>
      <c r="F261" s="294"/>
      <c r="G261" s="578" t="s">
        <v>2114</v>
      </c>
      <c r="H261" s="578" t="s">
        <v>4894</v>
      </c>
      <c r="I261" s="579" t="s">
        <v>5034</v>
      </c>
      <c r="J261" s="579" t="s">
        <v>4689</v>
      </c>
      <c r="K261" s="580" t="s">
        <v>5035</v>
      </c>
      <c r="L261" s="581" t="s">
        <v>4879</v>
      </c>
      <c r="M261" s="1346" t="s">
        <v>4688</v>
      </c>
      <c r="N261" s="581" t="s">
        <v>4897</v>
      </c>
      <c r="O261" s="721" t="s">
        <v>5383</v>
      </c>
      <c r="P261" s="150" t="s">
        <v>5384</v>
      </c>
      <c r="Q261" s="150"/>
      <c r="R261" s="98"/>
      <c r="S261" s="146"/>
      <c r="T261" s="279" t="s">
        <v>5385</v>
      </c>
      <c r="U261" s="279" t="s">
        <v>5028</v>
      </c>
      <c r="W261" s="25"/>
      <c r="X261" s="25"/>
      <c r="Z261" s="25"/>
      <c r="AA261" s="77"/>
      <c r="AB261" s="77"/>
      <c r="AC261" s="272"/>
      <c r="AD261" s="40"/>
      <c r="AE261" s="77"/>
      <c r="AF261" s="77"/>
      <c r="AG261" s="77"/>
      <c r="AH261" s="77"/>
      <c r="AI261" s="77"/>
      <c r="AJ261" s="77"/>
      <c r="AK261" s="77"/>
    </row>
    <row r="262" spans="2:37" ht="10.5" customHeight="1">
      <c r="B262" s="146"/>
      <c r="C262" s="211" t="s">
        <v>5386</v>
      </c>
      <c r="D262" s="247"/>
      <c r="E262" s="146"/>
      <c r="F262" s="294"/>
      <c r="G262" s="578" t="s">
        <v>5311</v>
      </c>
      <c r="H262" s="578" t="s">
        <v>4855</v>
      </c>
      <c r="I262" s="582" t="s">
        <v>5015</v>
      </c>
      <c r="J262" s="582" t="s">
        <v>4689</v>
      </c>
      <c r="K262" s="580" t="s">
        <v>5017</v>
      </c>
      <c r="L262" s="581" t="s">
        <v>4879</v>
      </c>
      <c r="M262" s="1346" t="s">
        <v>4688</v>
      </c>
      <c r="N262" s="581" t="s">
        <v>5015</v>
      </c>
      <c r="O262" s="721" t="s">
        <v>5387</v>
      </c>
      <c r="P262" s="150" t="s">
        <v>5388</v>
      </c>
      <c r="Q262" s="150"/>
      <c r="R262" s="98"/>
      <c r="S262" s="146"/>
      <c r="T262" s="279" t="s">
        <v>5389</v>
      </c>
      <c r="U262" s="279" t="s">
        <v>160</v>
      </c>
      <c r="W262" s="25"/>
      <c r="X262" s="25"/>
      <c r="Z262" s="25"/>
      <c r="AA262" s="77"/>
      <c r="AB262" s="77"/>
      <c r="AC262" s="272"/>
      <c r="AD262" s="40"/>
      <c r="AE262" s="77"/>
      <c r="AF262" s="77"/>
      <c r="AG262" s="77"/>
      <c r="AH262" s="77"/>
      <c r="AI262" s="77"/>
      <c r="AJ262" s="77"/>
      <c r="AK262" s="77"/>
    </row>
    <row r="263" spans="2:37" ht="10.5" customHeight="1">
      <c r="B263" s="146"/>
      <c r="C263" s="211" t="s">
        <v>5390</v>
      </c>
      <c r="D263" s="247"/>
      <c r="E263" s="146"/>
      <c r="F263" s="294"/>
      <c r="G263" s="578" t="s">
        <v>5391</v>
      </c>
      <c r="H263" s="578" t="s">
        <v>4894</v>
      </c>
      <c r="I263" s="582" t="s">
        <v>4892</v>
      </c>
      <c r="J263" s="582" t="s">
        <v>4689</v>
      </c>
      <c r="K263" s="580" t="s">
        <v>4962</v>
      </c>
      <c r="L263" s="581" t="s">
        <v>4879</v>
      </c>
      <c r="M263" s="1346" t="s">
        <v>4688</v>
      </c>
      <c r="N263" s="581" t="s">
        <v>4963</v>
      </c>
      <c r="O263" s="721" t="s">
        <v>5392</v>
      </c>
      <c r="P263" s="150" t="s">
        <v>5393</v>
      </c>
      <c r="Q263" s="150"/>
      <c r="R263" s="98"/>
      <c r="S263" s="146"/>
      <c r="T263" s="279" t="s">
        <v>5394</v>
      </c>
      <c r="U263" s="279" t="s">
        <v>2114</v>
      </c>
      <c r="W263" s="25"/>
      <c r="X263" s="25"/>
      <c r="Z263" s="25"/>
      <c r="AA263" s="77"/>
      <c r="AB263" s="77"/>
      <c r="AC263" s="272"/>
      <c r="AD263" s="40"/>
      <c r="AE263" s="77"/>
      <c r="AF263" s="77"/>
      <c r="AG263" s="77"/>
      <c r="AH263" s="77"/>
      <c r="AI263" s="77"/>
      <c r="AJ263" s="77"/>
      <c r="AK263" s="77"/>
    </row>
    <row r="264" spans="2:37" ht="10.5" customHeight="1">
      <c r="B264" s="146"/>
      <c r="C264" s="212" t="s">
        <v>5395</v>
      </c>
      <c r="D264" s="247"/>
      <c r="E264" s="146"/>
      <c r="F264" s="294"/>
      <c r="G264" s="578" t="s">
        <v>5396</v>
      </c>
      <c r="H264" s="578" t="s">
        <v>4855</v>
      </c>
      <c r="I264" s="579" t="s">
        <v>4936</v>
      </c>
      <c r="J264" s="579" t="s">
        <v>4689</v>
      </c>
      <c r="K264" s="580" t="s">
        <v>4938</v>
      </c>
      <c r="L264" s="581" t="s">
        <v>4879</v>
      </c>
      <c r="M264" s="1346" t="s">
        <v>4688</v>
      </c>
      <c r="N264" s="581" t="s">
        <v>4859</v>
      </c>
      <c r="O264" s="721" t="s">
        <v>5397</v>
      </c>
      <c r="P264" s="150" t="s">
        <v>5398</v>
      </c>
      <c r="Q264" s="150"/>
      <c r="R264" s="98"/>
      <c r="S264" s="146"/>
      <c r="T264" s="279" t="s">
        <v>5399</v>
      </c>
      <c r="U264" s="279" t="s">
        <v>5193</v>
      </c>
      <c r="W264" s="25"/>
      <c r="X264" s="25"/>
      <c r="Z264" s="25"/>
      <c r="AA264" s="77"/>
      <c r="AB264" s="77"/>
      <c r="AC264" s="272"/>
      <c r="AD264" s="40"/>
      <c r="AE264" s="77"/>
      <c r="AF264" s="77"/>
      <c r="AG264" s="77"/>
      <c r="AH264" s="77"/>
      <c r="AI264" s="77"/>
      <c r="AJ264" s="77"/>
      <c r="AK264" s="77"/>
    </row>
    <row r="265" spans="2:37" ht="10.5" customHeight="1">
      <c r="B265" s="146"/>
      <c r="C265" s="211" t="s">
        <v>5400</v>
      </c>
      <c r="D265" s="247"/>
      <c r="E265" s="146"/>
      <c r="F265" s="294"/>
      <c r="G265" s="578" t="s">
        <v>5401</v>
      </c>
      <c r="H265" s="578" t="s">
        <v>4855</v>
      </c>
      <c r="I265" s="582" t="s">
        <v>5213</v>
      </c>
      <c r="J265" s="582" t="s">
        <v>4689</v>
      </c>
      <c r="K265" s="580" t="s">
        <v>5402</v>
      </c>
      <c r="L265" s="581" t="s">
        <v>4879</v>
      </c>
      <c r="M265" s="1346" t="s">
        <v>4688</v>
      </c>
      <c r="N265" s="581" t="s">
        <v>4903</v>
      </c>
      <c r="O265" s="721" t="s">
        <v>5403</v>
      </c>
      <c r="P265" s="150" t="s">
        <v>5404</v>
      </c>
      <c r="Q265" s="150"/>
      <c r="R265" s="98"/>
      <c r="S265" s="146"/>
      <c r="T265" s="279" t="s">
        <v>5405</v>
      </c>
      <c r="U265" s="279" t="s">
        <v>4992</v>
      </c>
      <c r="W265" s="25"/>
      <c r="X265" s="25"/>
      <c r="Z265" s="25"/>
      <c r="AA265" s="77"/>
      <c r="AB265" s="77"/>
      <c r="AC265" s="272"/>
      <c r="AD265" s="40"/>
      <c r="AE265" s="77"/>
      <c r="AF265" s="77"/>
      <c r="AG265" s="77"/>
      <c r="AH265" s="77"/>
      <c r="AI265" s="77"/>
      <c r="AJ265" s="77"/>
      <c r="AK265" s="77"/>
    </row>
    <row r="266" spans="2:37" ht="10.5" customHeight="1">
      <c r="B266" s="146"/>
      <c r="C266" s="211" t="s">
        <v>2143</v>
      </c>
      <c r="D266" s="247"/>
      <c r="E266" s="146"/>
      <c r="F266" s="294"/>
      <c r="G266" s="578" t="s">
        <v>5406</v>
      </c>
      <c r="H266" s="578" t="s">
        <v>4855</v>
      </c>
      <c r="I266" s="579" t="s">
        <v>5216</v>
      </c>
      <c r="J266" s="579" t="s">
        <v>4690</v>
      </c>
      <c r="K266" s="580" t="s">
        <v>5407</v>
      </c>
      <c r="L266" s="581" t="s">
        <v>4858</v>
      </c>
      <c r="M266" s="1346" t="s">
        <v>4688</v>
      </c>
      <c r="N266" s="581" t="s">
        <v>2057</v>
      </c>
      <c r="O266" s="721" t="s">
        <v>5408</v>
      </c>
      <c r="P266" s="150" t="s">
        <v>5409</v>
      </c>
      <c r="Q266" s="150"/>
      <c r="R266" s="98"/>
      <c r="S266" s="146"/>
      <c r="T266" s="279" t="s">
        <v>5410</v>
      </c>
      <c r="U266" s="279" t="s">
        <v>4883</v>
      </c>
      <c r="W266" s="25"/>
      <c r="X266" s="25"/>
      <c r="Z266" s="25"/>
      <c r="AA266" s="77"/>
      <c r="AB266" s="77"/>
      <c r="AC266" s="272"/>
      <c r="AD266" s="40"/>
      <c r="AE266" s="77"/>
      <c r="AF266" s="77"/>
      <c r="AG266" s="77"/>
      <c r="AH266" s="77"/>
      <c r="AI266" s="77"/>
      <c r="AJ266" s="77"/>
      <c r="AK266" s="77"/>
    </row>
    <row r="267" spans="2:37" ht="10.5" customHeight="1">
      <c r="B267" s="146"/>
      <c r="C267" s="212" t="s">
        <v>5411</v>
      </c>
      <c r="D267" s="247"/>
      <c r="E267" s="146"/>
      <c r="F267" s="294"/>
      <c r="G267" s="578" t="s">
        <v>5083</v>
      </c>
      <c r="H267" s="578" t="s">
        <v>4855</v>
      </c>
      <c r="I267" s="579" t="s">
        <v>5222</v>
      </c>
      <c r="J267" s="579" t="s">
        <v>4690</v>
      </c>
      <c r="K267" s="580" t="s">
        <v>5412</v>
      </c>
      <c r="L267" s="581" t="s">
        <v>4858</v>
      </c>
      <c r="M267" s="1346" t="s">
        <v>4688</v>
      </c>
      <c r="N267" s="581" t="s">
        <v>2057</v>
      </c>
      <c r="O267" s="721" t="s">
        <v>5413</v>
      </c>
      <c r="P267" s="150" t="s">
        <v>5414</v>
      </c>
      <c r="Q267" s="150"/>
      <c r="R267" s="98"/>
      <c r="S267" s="146"/>
      <c r="T267" s="279" t="s">
        <v>5415</v>
      </c>
      <c r="U267" s="279" t="s">
        <v>165</v>
      </c>
      <c r="W267" s="25"/>
      <c r="X267" s="25"/>
      <c r="Z267" s="25"/>
      <c r="AA267" s="77"/>
      <c r="AB267" s="77"/>
      <c r="AC267" s="272"/>
      <c r="AD267" s="40"/>
      <c r="AE267" s="77"/>
      <c r="AF267" s="77"/>
      <c r="AG267" s="77"/>
      <c r="AH267" s="77"/>
      <c r="AI267" s="77"/>
      <c r="AJ267" s="77"/>
      <c r="AK267" s="77"/>
    </row>
    <row r="268" spans="2:37" ht="10.5" customHeight="1">
      <c r="B268" s="146"/>
      <c r="C268" s="211" t="s">
        <v>2145</v>
      </c>
      <c r="D268" s="247"/>
      <c r="E268" s="146"/>
      <c r="F268" s="294"/>
      <c r="G268" s="578" t="s">
        <v>5416</v>
      </c>
      <c r="H268" s="578" t="s">
        <v>4894</v>
      </c>
      <c r="I268" s="582" t="s">
        <v>5229</v>
      </c>
      <c r="J268" s="582" t="s">
        <v>4689</v>
      </c>
      <c r="K268" s="580" t="s">
        <v>5417</v>
      </c>
      <c r="L268" s="581" t="s">
        <v>4879</v>
      </c>
      <c r="M268" s="1346" t="s">
        <v>4688</v>
      </c>
      <c r="N268" s="581" t="s">
        <v>4903</v>
      </c>
      <c r="O268" s="721" t="s">
        <v>5418</v>
      </c>
      <c r="P268" s="150" t="s">
        <v>5419</v>
      </c>
      <c r="Q268" s="150"/>
      <c r="R268" s="98"/>
      <c r="S268" s="146"/>
      <c r="T268" s="279" t="s">
        <v>5420</v>
      </c>
      <c r="U268" s="279" t="s">
        <v>4891</v>
      </c>
      <c r="W268" s="25"/>
      <c r="X268" s="25"/>
      <c r="Z268" s="25"/>
      <c r="AA268" s="77"/>
      <c r="AB268" s="77"/>
      <c r="AC268" s="272"/>
      <c r="AD268" s="40"/>
      <c r="AE268" s="77"/>
      <c r="AF268" s="77"/>
      <c r="AG268" s="77"/>
      <c r="AH268" s="77"/>
      <c r="AI268" s="77"/>
      <c r="AJ268" s="77"/>
      <c r="AK268" s="77"/>
    </row>
    <row r="269" spans="2:37" ht="10.5" customHeight="1">
      <c r="B269" s="146"/>
      <c r="C269" s="211" t="s">
        <v>5421</v>
      </c>
      <c r="D269" s="247"/>
      <c r="F269" s="294"/>
      <c r="G269" s="578" t="s">
        <v>139</v>
      </c>
      <c r="H269" s="578" t="s">
        <v>4855</v>
      </c>
      <c r="I269" s="579" t="s">
        <v>5235</v>
      </c>
      <c r="J269" s="579" t="s">
        <v>4690</v>
      </c>
      <c r="K269" s="580" t="s">
        <v>5422</v>
      </c>
      <c r="L269" s="581" t="s">
        <v>4858</v>
      </c>
      <c r="M269" s="1346" t="s">
        <v>4688</v>
      </c>
      <c r="N269" s="581" t="s">
        <v>4859</v>
      </c>
      <c r="O269" s="721" t="s">
        <v>5423</v>
      </c>
      <c r="P269" s="150" t="s">
        <v>5424</v>
      </c>
      <c r="Q269" s="150"/>
      <c r="R269" s="98"/>
      <c r="S269" s="146"/>
      <c r="T269" s="146" t="s">
        <v>5425</v>
      </c>
      <c r="U269" s="146" t="s">
        <v>5135</v>
      </c>
      <c r="W269" s="25"/>
      <c r="X269" s="25"/>
      <c r="Z269" s="25"/>
      <c r="AA269" s="77"/>
      <c r="AB269" s="77"/>
      <c r="AC269" s="272"/>
      <c r="AD269" s="40"/>
      <c r="AE269" s="77"/>
      <c r="AF269" s="77"/>
      <c r="AG269" s="77"/>
      <c r="AH269" s="77"/>
      <c r="AI269" s="77"/>
      <c r="AJ269" s="77"/>
      <c r="AK269" s="77"/>
    </row>
    <row r="270" spans="2:37" ht="10.5" customHeight="1">
      <c r="B270" s="146"/>
      <c r="C270" s="211" t="s">
        <v>5426</v>
      </c>
      <c r="D270" s="247"/>
      <c r="F270" s="294"/>
      <c r="G270" s="578" t="s">
        <v>5228</v>
      </c>
      <c r="H270" s="578" t="s">
        <v>4894</v>
      </c>
      <c r="I270" s="582" t="s">
        <v>5239</v>
      </c>
      <c r="J270" s="579" t="s">
        <v>4689</v>
      </c>
      <c r="K270" s="580" t="s">
        <v>5427</v>
      </c>
      <c r="L270" s="581" t="s">
        <v>4879</v>
      </c>
      <c r="M270" s="1346" t="s">
        <v>4688</v>
      </c>
      <c r="N270" s="581" t="s">
        <v>4903</v>
      </c>
      <c r="O270" s="721" t="s">
        <v>5428</v>
      </c>
      <c r="P270" s="150" t="s">
        <v>5429</v>
      </c>
      <c r="Q270" s="150"/>
      <c r="R270" s="98"/>
      <c r="S270" s="146"/>
      <c r="T270" s="279" t="s">
        <v>2076</v>
      </c>
      <c r="U270" s="279" t="s">
        <v>5002</v>
      </c>
      <c r="W270" s="25"/>
      <c r="X270" s="25"/>
      <c r="Z270" s="25"/>
      <c r="AA270" s="77"/>
      <c r="AB270" s="77"/>
      <c r="AC270" s="40"/>
      <c r="AD270" s="40"/>
      <c r="AE270" s="77"/>
      <c r="AF270" s="77"/>
      <c r="AG270" s="77"/>
      <c r="AH270" s="77"/>
      <c r="AI270" s="77"/>
      <c r="AJ270" s="77"/>
      <c r="AK270" s="77"/>
    </row>
    <row r="271" spans="2:37" ht="10.5" customHeight="1">
      <c r="B271" s="146"/>
      <c r="C271" s="211" t="s">
        <v>5430</v>
      </c>
      <c r="D271" s="247"/>
      <c r="F271" s="294"/>
      <c r="G271" s="578" t="s">
        <v>5431</v>
      </c>
      <c r="H271" s="578" t="s">
        <v>4894</v>
      </c>
      <c r="I271" s="579" t="s">
        <v>5244</v>
      </c>
      <c r="J271" s="579" t="s">
        <v>4689</v>
      </c>
      <c r="K271" s="580" t="s">
        <v>5432</v>
      </c>
      <c r="L271" s="581" t="s">
        <v>4879</v>
      </c>
      <c r="M271" s="1346" t="s">
        <v>4688</v>
      </c>
      <c r="N271" s="581" t="s">
        <v>4903</v>
      </c>
      <c r="O271" s="721" t="s">
        <v>5433</v>
      </c>
      <c r="P271" s="150" t="s">
        <v>5434</v>
      </c>
      <c r="Q271" s="150"/>
      <c r="R271" s="98"/>
      <c r="S271" s="146"/>
      <c r="T271" s="279" t="s">
        <v>2079</v>
      </c>
      <c r="U271" s="279" t="s">
        <v>158</v>
      </c>
      <c r="W271" s="25"/>
      <c r="X271" s="25"/>
      <c r="Z271" s="25"/>
      <c r="AA271" s="77"/>
      <c r="AB271" s="77"/>
      <c r="AC271" s="272"/>
      <c r="AD271" s="40"/>
      <c r="AE271" s="77"/>
      <c r="AF271" s="77"/>
      <c r="AG271" s="77"/>
      <c r="AH271" s="77"/>
      <c r="AI271" s="77"/>
      <c r="AJ271" s="77"/>
      <c r="AK271" s="77"/>
    </row>
    <row r="272" spans="2:37" ht="10.5" customHeight="1">
      <c r="B272" s="146"/>
      <c r="C272" s="211" t="s">
        <v>5435</v>
      </c>
      <c r="D272" s="247"/>
      <c r="F272" s="294"/>
      <c r="G272" s="578" t="s">
        <v>5157</v>
      </c>
      <c r="H272" s="578" t="s">
        <v>4924</v>
      </c>
      <c r="I272" s="582" t="s">
        <v>5015</v>
      </c>
      <c r="J272" s="582" t="s">
        <v>4689</v>
      </c>
      <c r="K272" s="580" t="s">
        <v>5017</v>
      </c>
      <c r="L272" s="581" t="s">
        <v>4879</v>
      </c>
      <c r="M272" s="1346" t="s">
        <v>4685</v>
      </c>
      <c r="N272" s="581" t="s">
        <v>5015</v>
      </c>
      <c r="O272" s="721" t="s">
        <v>5436</v>
      </c>
      <c r="P272" s="150" t="s">
        <v>5437</v>
      </c>
      <c r="Q272" s="150"/>
      <c r="R272" s="98"/>
      <c r="S272" s="146"/>
      <c r="T272" s="279" t="s">
        <v>5438</v>
      </c>
      <c r="U272" s="279" t="s">
        <v>5275</v>
      </c>
      <c r="W272" s="25"/>
      <c r="X272" s="25"/>
      <c r="Z272" s="25"/>
      <c r="AA272" s="77"/>
      <c r="AB272" s="77"/>
      <c r="AC272" s="272"/>
      <c r="AD272" s="40"/>
      <c r="AE272" s="77"/>
      <c r="AF272" s="77"/>
      <c r="AG272" s="77"/>
      <c r="AH272" s="77"/>
      <c r="AI272" s="77"/>
      <c r="AJ272" s="77"/>
      <c r="AK272" s="77"/>
    </row>
    <row r="273" spans="2:37" ht="10.5" customHeight="1">
      <c r="B273" s="146"/>
      <c r="C273" s="211" t="s">
        <v>5439</v>
      </c>
      <c r="D273" s="247"/>
      <c r="F273" s="294"/>
      <c r="G273" s="578" t="s">
        <v>5440</v>
      </c>
      <c r="H273" s="578" t="s">
        <v>4894</v>
      </c>
      <c r="I273" s="582" t="s">
        <v>4884</v>
      </c>
      <c r="J273" s="582" t="s">
        <v>4689</v>
      </c>
      <c r="K273" s="580" t="s">
        <v>4902</v>
      </c>
      <c r="L273" s="581" t="s">
        <v>4879</v>
      </c>
      <c r="M273" s="1346" t="s">
        <v>4685</v>
      </c>
      <c r="N273" s="581" t="s">
        <v>4903</v>
      </c>
      <c r="O273" s="721" t="s">
        <v>5441</v>
      </c>
      <c r="P273" s="150" t="s">
        <v>5442</v>
      </c>
      <c r="Q273" s="150"/>
      <c r="R273" s="98"/>
      <c r="S273" s="146"/>
      <c r="T273" s="279" t="s">
        <v>5443</v>
      </c>
      <c r="U273" s="279" t="s">
        <v>85</v>
      </c>
      <c r="W273" s="25"/>
      <c r="X273" s="25"/>
      <c r="Z273" s="25"/>
      <c r="AA273" s="77"/>
      <c r="AB273" s="77"/>
      <c r="AC273" s="272"/>
      <c r="AD273" s="40"/>
      <c r="AE273" s="77"/>
      <c r="AF273" s="77"/>
      <c r="AG273" s="77"/>
      <c r="AH273" s="77"/>
      <c r="AI273" s="77"/>
      <c r="AJ273" s="77"/>
      <c r="AK273" s="77"/>
    </row>
    <row r="274" spans="2:37" ht="10.5" customHeight="1">
      <c r="B274" s="146"/>
      <c r="C274" s="211" t="s">
        <v>5444</v>
      </c>
      <c r="D274" s="247"/>
      <c r="F274" s="294"/>
      <c r="G274" s="578" t="s">
        <v>5164</v>
      </c>
      <c r="H274" s="578" t="s">
        <v>4894</v>
      </c>
      <c r="I274" s="579" t="s">
        <v>5034</v>
      </c>
      <c r="J274" s="579" t="s">
        <v>4689</v>
      </c>
      <c r="K274" s="580" t="s">
        <v>5035</v>
      </c>
      <c r="L274" s="581" t="s">
        <v>4879</v>
      </c>
      <c r="M274" s="1346" t="s">
        <v>4688</v>
      </c>
      <c r="N274" s="581" t="s">
        <v>4897</v>
      </c>
      <c r="O274" s="721" t="s">
        <v>5445</v>
      </c>
      <c r="P274" s="150" t="s">
        <v>5446</v>
      </c>
      <c r="Q274" s="150"/>
      <c r="R274" s="98"/>
      <c r="S274" s="146"/>
      <c r="T274" s="279" t="s">
        <v>5447</v>
      </c>
      <c r="U274" s="279" t="s">
        <v>5431</v>
      </c>
      <c r="W274" s="25"/>
      <c r="X274" s="25"/>
      <c r="Z274" s="25"/>
      <c r="AA274" s="77"/>
      <c r="AB274" s="77"/>
      <c r="AC274" s="272"/>
      <c r="AD274" s="40"/>
      <c r="AE274" s="77"/>
      <c r="AF274" s="77"/>
      <c r="AG274" s="77"/>
      <c r="AH274" s="77"/>
      <c r="AI274" s="77"/>
      <c r="AJ274" s="77"/>
      <c r="AK274" s="77"/>
    </row>
    <row r="275" spans="2:37" ht="10.5" customHeight="1">
      <c r="B275" s="146"/>
      <c r="C275" s="211" t="s">
        <v>5448</v>
      </c>
      <c r="D275" s="247"/>
      <c r="F275" s="294"/>
      <c r="G275" s="578" t="s">
        <v>5026</v>
      </c>
      <c r="H275" s="578" t="s">
        <v>4894</v>
      </c>
      <c r="I275" s="579" t="s">
        <v>5034</v>
      </c>
      <c r="J275" s="579" t="s">
        <v>4689</v>
      </c>
      <c r="K275" s="580" t="s">
        <v>5035</v>
      </c>
      <c r="L275" s="581" t="s">
        <v>4879</v>
      </c>
      <c r="M275" s="1346" t="s">
        <v>4688</v>
      </c>
      <c r="N275" s="581" t="s">
        <v>4897</v>
      </c>
      <c r="O275" s="721" t="s">
        <v>5449</v>
      </c>
      <c r="P275" s="150" t="s">
        <v>5450</v>
      </c>
      <c r="Q275" s="150"/>
      <c r="R275" s="98"/>
      <c r="S275" s="146"/>
      <c r="T275" s="279" t="s">
        <v>5451</v>
      </c>
      <c r="U275" s="279" t="s">
        <v>143</v>
      </c>
      <c r="W275" s="25"/>
      <c r="X275" s="25"/>
      <c r="Z275" s="25"/>
      <c r="AA275" s="77"/>
      <c r="AB275" s="77"/>
      <c r="AC275" s="272"/>
      <c r="AD275" s="40"/>
      <c r="AE275" s="77"/>
      <c r="AF275" s="77"/>
      <c r="AG275" s="77"/>
      <c r="AH275" s="77"/>
      <c r="AI275" s="77"/>
      <c r="AJ275" s="77"/>
      <c r="AK275" s="77"/>
    </row>
    <row r="276" spans="2:37" ht="10.5" customHeight="1">
      <c r="B276" s="146"/>
      <c r="C276" s="211" t="s">
        <v>5452</v>
      </c>
      <c r="D276" s="247"/>
      <c r="F276" s="294"/>
      <c r="G276" s="578" t="s">
        <v>5256</v>
      </c>
      <c r="H276" s="578" t="s">
        <v>4894</v>
      </c>
      <c r="I276" s="582" t="s">
        <v>4884</v>
      </c>
      <c r="J276" s="582" t="s">
        <v>4689</v>
      </c>
      <c r="K276" s="580" t="s">
        <v>4902</v>
      </c>
      <c r="L276" s="581" t="s">
        <v>4879</v>
      </c>
      <c r="M276" s="1346" t="s">
        <v>4685</v>
      </c>
      <c r="N276" s="581" t="s">
        <v>4903</v>
      </c>
      <c r="O276" s="721" t="s">
        <v>5453</v>
      </c>
      <c r="P276" s="150" t="s">
        <v>5454</v>
      </c>
      <c r="Q276" s="150"/>
      <c r="R276" s="98"/>
      <c r="S276" s="146"/>
      <c r="T276" s="279" t="s">
        <v>92</v>
      </c>
      <c r="U276" s="279" t="s">
        <v>93</v>
      </c>
      <c r="W276" s="25"/>
      <c r="X276" s="25"/>
      <c r="Z276" s="25"/>
      <c r="AA276" s="77"/>
      <c r="AB276" s="77"/>
      <c r="AC276" s="272"/>
      <c r="AD276" s="40"/>
      <c r="AE276" s="77"/>
      <c r="AF276" s="77"/>
      <c r="AG276" s="77"/>
      <c r="AH276" s="77"/>
      <c r="AI276" s="77"/>
      <c r="AJ276" s="77"/>
      <c r="AK276" s="77"/>
    </row>
    <row r="277" spans="2:37" ht="10.5" customHeight="1">
      <c r="B277" s="146"/>
      <c r="C277" s="211" t="s">
        <v>5455</v>
      </c>
      <c r="D277" s="247"/>
      <c r="F277" s="294"/>
      <c r="G277" s="578" t="s">
        <v>5333</v>
      </c>
      <c r="H277" s="578" t="s">
        <v>4894</v>
      </c>
      <c r="I277" s="582" t="s">
        <v>5250</v>
      </c>
      <c r="J277" s="582" t="s">
        <v>4689</v>
      </c>
      <c r="K277" s="580" t="s">
        <v>5456</v>
      </c>
      <c r="L277" s="581" t="s">
        <v>4879</v>
      </c>
      <c r="M277" s="1346" t="s">
        <v>4688</v>
      </c>
      <c r="N277" s="581" t="s">
        <v>4888</v>
      </c>
      <c r="O277" s="721" t="s">
        <v>5457</v>
      </c>
      <c r="P277" s="150" t="s">
        <v>5458</v>
      </c>
      <c r="Q277" s="150"/>
      <c r="R277" s="98"/>
      <c r="S277" s="146"/>
      <c r="T277" s="279" t="s">
        <v>5459</v>
      </c>
      <c r="U277" s="279" t="s">
        <v>5114</v>
      </c>
      <c r="W277" s="25"/>
      <c r="X277" s="25"/>
      <c r="Z277" s="25"/>
      <c r="AA277" s="77"/>
      <c r="AB277" s="77"/>
      <c r="AC277" s="272"/>
      <c r="AD277" s="40"/>
      <c r="AE277" s="77"/>
      <c r="AF277" s="77"/>
      <c r="AG277" s="77"/>
      <c r="AH277" s="77"/>
      <c r="AI277" s="77"/>
      <c r="AJ277" s="77"/>
      <c r="AK277" s="77"/>
    </row>
    <row r="278" spans="2:37" ht="10.5" customHeight="1">
      <c r="F278" s="294"/>
      <c r="G278" s="578" t="s">
        <v>5460</v>
      </c>
      <c r="H278" s="578" t="s">
        <v>4894</v>
      </c>
      <c r="I278" s="582" t="s">
        <v>4884</v>
      </c>
      <c r="J278" s="582" t="s">
        <v>4689</v>
      </c>
      <c r="K278" s="580" t="s">
        <v>4902</v>
      </c>
      <c r="L278" s="581" t="s">
        <v>4879</v>
      </c>
      <c r="M278" s="1346" t="s">
        <v>4685</v>
      </c>
      <c r="N278" s="581" t="s">
        <v>4903</v>
      </c>
      <c r="O278" s="721" t="s">
        <v>5461</v>
      </c>
      <c r="P278" s="150" t="s">
        <v>5462</v>
      </c>
      <c r="Q278" s="150"/>
      <c r="R278" s="98"/>
      <c r="S278" s="146"/>
      <c r="T278" s="279" t="s">
        <v>5463</v>
      </c>
      <c r="U278" s="279" t="s">
        <v>5202</v>
      </c>
      <c r="W278" s="25"/>
      <c r="X278" s="25"/>
      <c r="Z278" s="77"/>
      <c r="AA278" s="77"/>
      <c r="AB278" s="77"/>
      <c r="AC278" s="272"/>
      <c r="AD278" s="40"/>
      <c r="AE278" s="77"/>
      <c r="AF278" s="77"/>
      <c r="AG278" s="77"/>
      <c r="AH278" s="77"/>
      <c r="AI278" s="77"/>
      <c r="AJ278" s="77"/>
      <c r="AK278" s="77"/>
    </row>
    <row r="279" spans="2:37" ht="10.5" customHeight="1">
      <c r="F279" s="294"/>
      <c r="G279" s="578" t="s">
        <v>5170</v>
      </c>
      <c r="H279" s="578" t="s">
        <v>4855</v>
      </c>
      <c r="I279" s="579" t="s">
        <v>5257</v>
      </c>
      <c r="J279" s="579" t="s">
        <v>4690</v>
      </c>
      <c r="K279" s="580" t="s">
        <v>5464</v>
      </c>
      <c r="L279" s="581" t="s">
        <v>4858</v>
      </c>
      <c r="M279" s="1346" t="s">
        <v>4688</v>
      </c>
      <c r="N279" s="581" t="s">
        <v>2143</v>
      </c>
      <c r="O279" s="721" t="s">
        <v>5465</v>
      </c>
      <c r="P279" s="150" t="s">
        <v>5466</v>
      </c>
      <c r="Q279" s="150"/>
      <c r="R279" s="98"/>
      <c r="S279" s="146"/>
      <c r="T279" s="279" t="s">
        <v>5467</v>
      </c>
      <c r="U279" s="279" t="s">
        <v>5114</v>
      </c>
      <c r="W279" s="25"/>
      <c r="X279" s="25"/>
      <c r="Z279" s="77"/>
      <c r="AA279" s="77"/>
      <c r="AB279" s="77"/>
      <c r="AC279" s="272"/>
      <c r="AD279" s="40"/>
      <c r="AE279" s="77"/>
      <c r="AF279" s="77"/>
      <c r="AG279" s="77"/>
      <c r="AH279" s="77"/>
      <c r="AI279" s="77"/>
      <c r="AJ279" s="77"/>
      <c r="AK279" s="77"/>
    </row>
    <row r="280" spans="2:37" ht="10.5" customHeight="1">
      <c r="F280" s="294"/>
      <c r="G280" s="578" t="s">
        <v>122</v>
      </c>
      <c r="H280" s="578" t="s">
        <v>4855</v>
      </c>
      <c r="I280" s="582" t="s">
        <v>4884</v>
      </c>
      <c r="J280" s="582" t="s">
        <v>4689</v>
      </c>
      <c r="K280" s="580" t="s">
        <v>4902</v>
      </c>
      <c r="L280" s="581" t="s">
        <v>4879</v>
      </c>
      <c r="M280" s="1346" t="s">
        <v>4685</v>
      </c>
      <c r="N280" s="581" t="s">
        <v>4903</v>
      </c>
      <c r="O280" s="721" t="s">
        <v>5468</v>
      </c>
      <c r="P280" s="150" t="s">
        <v>5469</v>
      </c>
      <c r="Q280" s="150"/>
      <c r="R280" s="98"/>
      <c r="S280" s="146"/>
      <c r="T280" s="279" t="s">
        <v>5470</v>
      </c>
      <c r="U280" s="279" t="s">
        <v>93</v>
      </c>
      <c r="W280" s="25"/>
      <c r="X280" s="25"/>
      <c r="Z280" s="77"/>
      <c r="AA280" s="77"/>
      <c r="AB280" s="77"/>
      <c r="AC280" s="272"/>
      <c r="AD280" s="40"/>
      <c r="AE280" s="77"/>
      <c r="AF280" s="77"/>
      <c r="AG280" s="77"/>
      <c r="AH280" s="77"/>
      <c r="AI280" s="77"/>
      <c r="AJ280" s="77"/>
      <c r="AK280" s="77"/>
    </row>
    <row r="281" spans="2:37" ht="10.5" customHeight="1">
      <c r="F281" s="294"/>
      <c r="G281" s="578" t="s">
        <v>5002</v>
      </c>
      <c r="H281" s="578" t="s">
        <v>4894</v>
      </c>
      <c r="I281" s="579" t="s">
        <v>5263</v>
      </c>
      <c r="J281" s="579" t="s">
        <v>4690</v>
      </c>
      <c r="K281" s="580" t="s">
        <v>5471</v>
      </c>
      <c r="L281" s="581" t="s">
        <v>4858</v>
      </c>
      <c r="M281" s="1346" t="s">
        <v>4688</v>
      </c>
      <c r="N281" s="581" t="s">
        <v>4903</v>
      </c>
      <c r="O281" s="721" t="s">
        <v>5472</v>
      </c>
      <c r="P281" s="150" t="s">
        <v>5473</v>
      </c>
      <c r="Q281" s="150"/>
      <c r="R281" s="98"/>
      <c r="S281" s="146"/>
      <c r="T281" s="279" t="s">
        <v>5474</v>
      </c>
      <c r="U281" s="279" t="s">
        <v>153</v>
      </c>
      <c r="W281" s="25"/>
      <c r="X281" s="25"/>
      <c r="Z281" s="77"/>
      <c r="AA281" s="77"/>
      <c r="AB281" s="77"/>
      <c r="AC281" s="272"/>
      <c r="AD281" s="40"/>
      <c r="AE281" s="77"/>
      <c r="AF281" s="77"/>
      <c r="AG281" s="77"/>
      <c r="AH281" s="77"/>
      <c r="AI281" s="77"/>
      <c r="AJ281" s="77"/>
      <c r="AK281" s="77"/>
    </row>
    <row r="282" spans="2:37" ht="10.5" customHeight="1">
      <c r="F282" s="294"/>
      <c r="G282" s="578" t="s">
        <v>5475</v>
      </c>
      <c r="H282" s="578" t="s">
        <v>4855</v>
      </c>
      <c r="I282" s="582" t="s">
        <v>5268</v>
      </c>
      <c r="J282" s="582" t="s">
        <v>4689</v>
      </c>
      <c r="K282" s="580" t="s">
        <v>5476</v>
      </c>
      <c r="L282" s="581" t="s">
        <v>4879</v>
      </c>
      <c r="M282" s="1346" t="s">
        <v>4688</v>
      </c>
      <c r="N282" s="581" t="s">
        <v>4888</v>
      </c>
      <c r="O282" s="721" t="s">
        <v>5477</v>
      </c>
      <c r="P282" s="150" t="s">
        <v>5478</v>
      </c>
      <c r="Q282" s="150"/>
      <c r="R282" s="98"/>
      <c r="S282" s="146"/>
      <c r="T282" s="279" t="s">
        <v>5479</v>
      </c>
      <c r="U282" s="279" t="s">
        <v>85</v>
      </c>
      <c r="W282" s="25"/>
      <c r="X282" s="25"/>
      <c r="Z282" s="77"/>
      <c r="AA282" s="77"/>
      <c r="AB282" s="77"/>
      <c r="AC282" s="272"/>
      <c r="AD282" s="40"/>
      <c r="AE282" s="77"/>
      <c r="AF282" s="77"/>
      <c r="AG282" s="77"/>
      <c r="AH282" s="77"/>
      <c r="AI282" s="77"/>
      <c r="AJ282" s="77"/>
      <c r="AK282" s="77"/>
    </row>
    <row r="283" spans="2:37" ht="10.5" customHeight="1">
      <c r="F283" s="294"/>
      <c r="G283" s="578" t="s">
        <v>5480</v>
      </c>
      <c r="H283" s="578" t="s">
        <v>4894</v>
      </c>
      <c r="I283" s="582" t="s">
        <v>5274</v>
      </c>
      <c r="J283" s="582" t="s">
        <v>4690</v>
      </c>
      <c r="K283" s="580" t="s">
        <v>5481</v>
      </c>
      <c r="L283" s="581" t="s">
        <v>4858</v>
      </c>
      <c r="M283" s="1346" t="s">
        <v>4688</v>
      </c>
      <c r="N283" s="581" t="s">
        <v>4903</v>
      </c>
      <c r="O283" s="721" t="s">
        <v>5482</v>
      </c>
      <c r="P283" s="150" t="s">
        <v>5483</v>
      </c>
      <c r="Q283" s="150"/>
      <c r="R283" s="98"/>
      <c r="S283" s="146"/>
      <c r="T283" s="279" t="s">
        <v>5484</v>
      </c>
      <c r="U283" s="279" t="s">
        <v>106</v>
      </c>
      <c r="W283" s="25"/>
      <c r="X283" s="25"/>
      <c r="Z283" s="77"/>
      <c r="AA283" s="77"/>
      <c r="AB283" s="77"/>
      <c r="AC283" s="272"/>
      <c r="AD283" s="40"/>
      <c r="AE283" s="77"/>
      <c r="AF283" s="77"/>
      <c r="AG283" s="77"/>
      <c r="AH283" s="77"/>
      <c r="AI283" s="77"/>
      <c r="AJ283" s="77"/>
      <c r="AK283" s="77"/>
    </row>
    <row r="284" spans="2:37" ht="10.5" customHeight="1">
      <c r="F284" s="294"/>
      <c r="G284" s="578" t="s">
        <v>115</v>
      </c>
      <c r="H284" s="578" t="s">
        <v>4855</v>
      </c>
      <c r="I284" s="579" t="s">
        <v>5279</v>
      </c>
      <c r="J284" s="579" t="s">
        <v>4690</v>
      </c>
      <c r="K284" s="580" t="s">
        <v>5485</v>
      </c>
      <c r="L284" s="581" t="s">
        <v>4858</v>
      </c>
      <c r="M284" s="1346" t="s">
        <v>4688</v>
      </c>
      <c r="N284" s="581" t="s">
        <v>5015</v>
      </c>
      <c r="O284" s="721" t="s">
        <v>5486</v>
      </c>
      <c r="P284" s="150" t="s">
        <v>5487</v>
      </c>
      <c r="Q284" s="150"/>
      <c r="R284" s="98"/>
      <c r="S284" s="146"/>
      <c r="T284" s="279" t="s">
        <v>90</v>
      </c>
      <c r="U284" s="279" t="s">
        <v>5488</v>
      </c>
      <c r="W284" s="25"/>
      <c r="X284" s="25"/>
      <c r="Z284" s="77"/>
      <c r="AA284" s="77"/>
      <c r="AB284" s="77"/>
      <c r="AC284" s="272"/>
      <c r="AD284" s="40"/>
      <c r="AE284" s="77"/>
      <c r="AF284" s="77"/>
      <c r="AG284" s="77"/>
      <c r="AH284" s="77"/>
      <c r="AI284" s="77"/>
      <c r="AJ284" s="77"/>
      <c r="AK284" s="77"/>
    </row>
    <row r="285" spans="2:37" ht="10.5" customHeight="1">
      <c r="F285" s="294"/>
      <c r="G285" s="578" t="s">
        <v>5488</v>
      </c>
      <c r="H285" s="578" t="s">
        <v>4894</v>
      </c>
      <c r="I285" s="579" t="s">
        <v>5283</v>
      </c>
      <c r="J285" s="579" t="s">
        <v>4690</v>
      </c>
      <c r="K285" s="580" t="s">
        <v>5489</v>
      </c>
      <c r="L285" s="581" t="s">
        <v>4858</v>
      </c>
      <c r="M285" s="1346" t="s">
        <v>4688</v>
      </c>
      <c r="N285" s="581" t="s">
        <v>4897</v>
      </c>
      <c r="O285" s="721" t="s">
        <v>5490</v>
      </c>
      <c r="P285" s="150" t="s">
        <v>5491</v>
      </c>
      <c r="Q285" s="150"/>
      <c r="R285" s="98"/>
      <c r="S285" s="146"/>
      <c r="T285" s="279" t="s">
        <v>5492</v>
      </c>
      <c r="U285" s="279" t="s">
        <v>5245</v>
      </c>
      <c r="W285" s="25"/>
      <c r="X285" s="25"/>
      <c r="Z285" s="77"/>
      <c r="AA285" s="77"/>
      <c r="AB285" s="77"/>
      <c r="AC285" s="272"/>
      <c r="AD285" s="40"/>
      <c r="AE285" s="77"/>
      <c r="AF285" s="77"/>
      <c r="AG285" s="77"/>
      <c r="AH285" s="77"/>
      <c r="AI285" s="77"/>
      <c r="AJ285" s="77"/>
      <c r="AK285" s="77"/>
    </row>
    <row r="286" spans="2:37" ht="10.5" customHeight="1">
      <c r="F286" s="294"/>
      <c r="G286" s="578" t="s">
        <v>5493</v>
      </c>
      <c r="H286" s="578" t="s">
        <v>4855</v>
      </c>
      <c r="I286" s="579" t="s">
        <v>5287</v>
      </c>
      <c r="J286" s="579" t="s">
        <v>4690</v>
      </c>
      <c r="K286" s="580" t="s">
        <v>5494</v>
      </c>
      <c r="L286" s="581" t="s">
        <v>4858</v>
      </c>
      <c r="M286" s="1346" t="s">
        <v>4688</v>
      </c>
      <c r="N286" s="581" t="s">
        <v>2057</v>
      </c>
      <c r="O286" s="721" t="s">
        <v>5495</v>
      </c>
      <c r="P286" s="150" t="s">
        <v>5496</v>
      </c>
      <c r="Q286" s="150"/>
      <c r="R286" s="98"/>
      <c r="S286" s="146"/>
      <c r="T286" s="279" t="s">
        <v>5497</v>
      </c>
      <c r="U286" s="279" t="s">
        <v>5498</v>
      </c>
      <c r="W286" s="25"/>
      <c r="X286" s="25"/>
      <c r="Z286" s="77"/>
      <c r="AA286" s="77"/>
      <c r="AB286" s="77"/>
      <c r="AC286" s="272"/>
      <c r="AD286" s="40"/>
      <c r="AE286" s="77"/>
      <c r="AF286" s="77"/>
      <c r="AG286" s="77"/>
      <c r="AH286" s="77"/>
      <c r="AI286" s="77"/>
      <c r="AJ286" s="77"/>
      <c r="AK286" s="77"/>
    </row>
    <row r="287" spans="2:37" ht="10.5" customHeight="1">
      <c r="F287" s="294"/>
      <c r="G287" s="578" t="s">
        <v>5056</v>
      </c>
      <c r="H287" s="578" t="s">
        <v>4924</v>
      </c>
      <c r="I287" s="582" t="s">
        <v>4892</v>
      </c>
      <c r="J287" s="582" t="s">
        <v>4689</v>
      </c>
      <c r="K287" s="580" t="s">
        <v>4962</v>
      </c>
      <c r="L287" s="581" t="s">
        <v>4879</v>
      </c>
      <c r="M287" s="1346" t="s">
        <v>4685</v>
      </c>
      <c r="N287" s="581" t="s">
        <v>4963</v>
      </c>
      <c r="O287" s="721" t="s">
        <v>5499</v>
      </c>
      <c r="P287" s="150" t="s">
        <v>5500</v>
      </c>
      <c r="Q287" s="150"/>
      <c r="R287" s="98"/>
      <c r="S287" s="146"/>
      <c r="T287" s="279" t="s">
        <v>5501</v>
      </c>
      <c r="U287" s="279" t="s">
        <v>5047</v>
      </c>
      <c r="W287" s="25"/>
      <c r="X287" s="25"/>
      <c r="AA287"/>
      <c r="AB287"/>
      <c r="AC287" s="272"/>
      <c r="AD287" s="40"/>
    </row>
    <row r="288" spans="2:37" ht="10.5" customHeight="1">
      <c r="F288" s="294"/>
      <c r="G288" s="578" t="s">
        <v>132</v>
      </c>
      <c r="H288" s="578" t="s">
        <v>4894</v>
      </c>
      <c r="I288" s="582" t="s">
        <v>4884</v>
      </c>
      <c r="J288" s="582" t="s">
        <v>4689</v>
      </c>
      <c r="K288" s="580" t="s">
        <v>4902</v>
      </c>
      <c r="L288" s="581" t="s">
        <v>4879</v>
      </c>
      <c r="M288" s="1346" t="s">
        <v>4685</v>
      </c>
      <c r="N288" s="581" t="s">
        <v>4903</v>
      </c>
      <c r="O288" s="721" t="s">
        <v>5502</v>
      </c>
      <c r="P288" s="150" t="s">
        <v>5503</v>
      </c>
      <c r="Q288" s="150"/>
      <c r="R288" s="98"/>
      <c r="S288" s="146"/>
      <c r="T288" s="279" t="s">
        <v>5504</v>
      </c>
      <c r="U288" s="279" t="s">
        <v>5505</v>
      </c>
      <c r="W288" s="25"/>
      <c r="X288" s="25"/>
      <c r="AA288"/>
      <c r="AB288"/>
      <c r="AC288" s="272"/>
      <c r="AD288" s="40"/>
    </row>
    <row r="289" spans="6:30" ht="10.5" customHeight="1">
      <c r="F289" s="294"/>
      <c r="G289" s="578" t="s">
        <v>5506</v>
      </c>
      <c r="H289" s="578" t="s">
        <v>4855</v>
      </c>
      <c r="I289" s="579" t="s">
        <v>5300</v>
      </c>
      <c r="J289" s="579" t="s">
        <v>4690</v>
      </c>
      <c r="K289" s="580" t="s">
        <v>5507</v>
      </c>
      <c r="L289" s="581" t="s">
        <v>4858</v>
      </c>
      <c r="M289" s="1346" t="s">
        <v>4688</v>
      </c>
      <c r="N289" s="581" t="s">
        <v>5015</v>
      </c>
      <c r="O289" s="721" t="s">
        <v>5508</v>
      </c>
      <c r="P289" s="150" t="s">
        <v>5509</v>
      </c>
      <c r="Q289" s="150"/>
      <c r="R289" s="98"/>
      <c r="S289" s="146"/>
      <c r="T289" s="279" t="s">
        <v>2082</v>
      </c>
      <c r="U289" s="279" t="s">
        <v>4931</v>
      </c>
      <c r="W289" s="25"/>
      <c r="X289" s="25"/>
      <c r="AA289"/>
      <c r="AB289"/>
      <c r="AC289" s="272"/>
      <c r="AD289" s="40"/>
    </row>
    <row r="290" spans="6:30" ht="10.5" customHeight="1">
      <c r="F290" s="294"/>
      <c r="G290" s="578" t="s">
        <v>5510</v>
      </c>
      <c r="H290" s="578" t="s">
        <v>4855</v>
      </c>
      <c r="I290" s="579" t="s">
        <v>5306</v>
      </c>
      <c r="J290" s="579" t="s">
        <v>4690</v>
      </c>
      <c r="K290" s="580" t="s">
        <v>5511</v>
      </c>
      <c r="L290" s="581" t="s">
        <v>4858</v>
      </c>
      <c r="M290" s="1346" t="s">
        <v>4688</v>
      </c>
      <c r="N290" s="581" t="s">
        <v>4859</v>
      </c>
      <c r="O290" s="721" t="s">
        <v>5512</v>
      </c>
      <c r="P290" s="150" t="s">
        <v>5513</v>
      </c>
      <c r="Q290" s="150"/>
      <c r="R290" s="98"/>
      <c r="S290" s="146"/>
      <c r="T290" s="279" t="s">
        <v>5514</v>
      </c>
      <c r="U290" s="279" t="s">
        <v>5515</v>
      </c>
      <c r="W290" s="25"/>
      <c r="X290" s="25"/>
      <c r="AA290"/>
      <c r="AB290"/>
      <c r="AC290" s="272"/>
      <c r="AD290" s="40"/>
    </row>
    <row r="291" spans="6:30" ht="10.5" customHeight="1">
      <c r="F291" s="294"/>
      <c r="G291" s="578" t="s">
        <v>4862</v>
      </c>
      <c r="H291" s="578"/>
      <c r="I291" s="578" t="s">
        <v>4862</v>
      </c>
      <c r="J291" s="579"/>
      <c r="K291" s="580"/>
      <c r="L291" s="581"/>
      <c r="M291" s="1347" t="s">
        <v>4862</v>
      </c>
      <c r="N291" s="578" t="s">
        <v>4862</v>
      </c>
      <c r="O291" s="721" t="s">
        <v>5516</v>
      </c>
      <c r="P291" s="150" t="s">
        <v>5517</v>
      </c>
      <c r="Q291" s="150"/>
      <c r="R291" s="98"/>
      <c r="S291" s="146"/>
      <c r="T291" s="279" t="s">
        <v>5518</v>
      </c>
      <c r="U291" s="279" t="s">
        <v>2114</v>
      </c>
      <c r="W291" s="25"/>
      <c r="X291" s="25"/>
      <c r="AA291"/>
      <c r="AB291"/>
      <c r="AC291" s="272"/>
      <c r="AD291" s="40"/>
    </row>
    <row r="292" spans="6:30" ht="10.5" customHeight="1">
      <c r="F292" s="294"/>
      <c r="G292" s="578" t="s">
        <v>5519</v>
      </c>
      <c r="H292" s="578" t="s">
        <v>4855</v>
      </c>
      <c r="I292" s="582" t="s">
        <v>5312</v>
      </c>
      <c r="J292" s="579" t="s">
        <v>4690</v>
      </c>
      <c r="K292" s="580" t="s">
        <v>5520</v>
      </c>
      <c r="L292" s="581" t="s">
        <v>4858</v>
      </c>
      <c r="M292" s="1346" t="s">
        <v>4688</v>
      </c>
      <c r="N292" s="581" t="s">
        <v>2057</v>
      </c>
      <c r="O292" s="721" t="s">
        <v>5521</v>
      </c>
      <c r="P292" s="150" t="s">
        <v>5522</v>
      </c>
      <c r="Q292" s="150"/>
      <c r="R292" s="98"/>
      <c r="S292" s="146"/>
      <c r="T292" s="146" t="s">
        <v>5523</v>
      </c>
      <c r="U292" s="146" t="s">
        <v>5493</v>
      </c>
      <c r="W292" s="25"/>
      <c r="X292" s="25"/>
      <c r="AA292"/>
      <c r="AB292"/>
      <c r="AC292" s="272"/>
      <c r="AD292" s="40"/>
    </row>
    <row r="293" spans="6:30" ht="10.5" customHeight="1">
      <c r="F293" s="294"/>
      <c r="G293" s="578" t="s">
        <v>103</v>
      </c>
      <c r="H293" s="578" t="s">
        <v>4894</v>
      </c>
      <c r="I293" s="582" t="s">
        <v>4884</v>
      </c>
      <c r="J293" s="582" t="s">
        <v>4689</v>
      </c>
      <c r="K293" s="580" t="s">
        <v>4902</v>
      </c>
      <c r="L293" s="581" t="s">
        <v>4879</v>
      </c>
      <c r="M293" s="1346" t="s">
        <v>4685</v>
      </c>
      <c r="N293" s="581" t="s">
        <v>4903</v>
      </c>
      <c r="O293" s="721" t="s">
        <v>5524</v>
      </c>
      <c r="P293" s="150" t="s">
        <v>5525</v>
      </c>
      <c r="Q293" s="150"/>
      <c r="R293" s="98"/>
      <c r="S293" s="146"/>
      <c r="T293" s="279" t="s">
        <v>5526</v>
      </c>
      <c r="U293" s="279" t="s">
        <v>143</v>
      </c>
      <c r="W293" s="25"/>
      <c r="X293" s="25"/>
      <c r="AA293"/>
      <c r="AB293"/>
      <c r="AC293" s="40"/>
      <c r="AD293" s="40"/>
    </row>
    <row r="294" spans="6:30" ht="10.5" customHeight="1">
      <c r="F294" s="294"/>
      <c r="G294" s="578" t="s">
        <v>5068</v>
      </c>
      <c r="H294" s="578" t="s">
        <v>4894</v>
      </c>
      <c r="I294" s="582" t="s">
        <v>5318</v>
      </c>
      <c r="J294" s="582" t="s">
        <v>4690</v>
      </c>
      <c r="K294" s="580" t="s">
        <v>5527</v>
      </c>
      <c r="L294" s="581" t="s">
        <v>4858</v>
      </c>
      <c r="M294" s="1346" t="s">
        <v>4688</v>
      </c>
      <c r="N294" s="581" t="s">
        <v>4897</v>
      </c>
      <c r="O294" s="721" t="s">
        <v>5528</v>
      </c>
      <c r="P294" s="150" t="s">
        <v>5529</v>
      </c>
      <c r="Q294" s="150"/>
      <c r="R294" s="98"/>
      <c r="S294" s="146"/>
      <c r="T294" s="279" t="s">
        <v>5530</v>
      </c>
      <c r="U294" s="279" t="s">
        <v>5505</v>
      </c>
      <c r="W294" s="25"/>
      <c r="X294" s="25"/>
      <c r="AA294"/>
      <c r="AB294"/>
      <c r="AC294" s="272"/>
      <c r="AD294" s="40"/>
    </row>
    <row r="295" spans="6:30" ht="10.5" customHeight="1">
      <c r="F295" s="294"/>
      <c r="G295" s="578" t="s">
        <v>5531</v>
      </c>
      <c r="H295" s="578" t="s">
        <v>4855</v>
      </c>
      <c r="I295" s="579" t="s">
        <v>5324</v>
      </c>
      <c r="J295" s="582" t="s">
        <v>4689</v>
      </c>
      <c r="K295" s="580" t="s">
        <v>5532</v>
      </c>
      <c r="L295" s="581" t="s">
        <v>4858</v>
      </c>
      <c r="M295" s="1346" t="s">
        <v>4688</v>
      </c>
      <c r="N295" s="581" t="s">
        <v>5015</v>
      </c>
      <c r="O295" s="721" t="s">
        <v>5533</v>
      </c>
      <c r="P295" s="150" t="s">
        <v>5534</v>
      </c>
      <c r="Q295" s="150"/>
      <c r="R295" s="98"/>
      <c r="S295" s="146"/>
      <c r="T295" s="279" t="s">
        <v>5063</v>
      </c>
      <c r="U295" s="279" t="s">
        <v>5406</v>
      </c>
      <c r="W295" s="25"/>
      <c r="X295" s="25"/>
      <c r="AA295"/>
      <c r="AB295"/>
      <c r="AC295" s="272"/>
      <c r="AD295" s="40"/>
    </row>
    <row r="296" spans="6:30" ht="10.5" customHeight="1">
      <c r="F296" s="294"/>
      <c r="G296" s="578" t="s">
        <v>4980</v>
      </c>
      <c r="H296" s="578" t="s">
        <v>4924</v>
      </c>
      <c r="I296" s="579" t="s">
        <v>5329</v>
      </c>
      <c r="J296" s="579" t="s">
        <v>4690</v>
      </c>
      <c r="K296" s="580" t="s">
        <v>5535</v>
      </c>
      <c r="L296" s="581" t="s">
        <v>4858</v>
      </c>
      <c r="M296" s="1346" t="s">
        <v>4688</v>
      </c>
      <c r="N296" s="581" t="s">
        <v>2057</v>
      </c>
      <c r="O296" s="721" t="s">
        <v>5536</v>
      </c>
      <c r="P296" s="150" t="s">
        <v>5537</v>
      </c>
      <c r="Q296" s="150"/>
      <c r="R296" s="98"/>
      <c r="S296" s="146"/>
      <c r="T296" s="279" t="s">
        <v>5015</v>
      </c>
      <c r="U296" s="279" t="s">
        <v>5157</v>
      </c>
      <c r="W296" s="25"/>
      <c r="X296" s="25"/>
      <c r="AA296"/>
      <c r="AB296"/>
      <c r="AC296" s="272"/>
      <c r="AD296" s="40"/>
    </row>
    <row r="297" spans="6:30" ht="10.5" customHeight="1">
      <c r="F297" s="294"/>
      <c r="G297" s="578" t="s">
        <v>5538</v>
      </c>
      <c r="H297" s="578" t="s">
        <v>4855</v>
      </c>
      <c r="I297" s="579" t="s">
        <v>5334</v>
      </c>
      <c r="J297" s="579" t="s">
        <v>4689</v>
      </c>
      <c r="K297" s="580" t="s">
        <v>5539</v>
      </c>
      <c r="L297" s="581" t="s">
        <v>4858</v>
      </c>
      <c r="M297" s="1346" t="s">
        <v>4688</v>
      </c>
      <c r="N297" s="581" t="s">
        <v>5015</v>
      </c>
      <c r="O297" s="721" t="s">
        <v>5540</v>
      </c>
      <c r="P297" s="150" t="s">
        <v>5541</v>
      </c>
      <c r="Q297" s="150"/>
      <c r="R297" s="98"/>
      <c r="S297" s="146"/>
      <c r="T297" s="279" t="s">
        <v>5542</v>
      </c>
      <c r="U297" s="279" t="s">
        <v>2114</v>
      </c>
      <c r="W297" s="25"/>
      <c r="X297" s="25"/>
      <c r="AA297"/>
      <c r="AB297"/>
      <c r="AC297" s="272"/>
      <c r="AD297" s="40"/>
    </row>
    <row r="298" spans="6:30" ht="10.5" customHeight="1">
      <c r="F298" s="294"/>
      <c r="G298" s="578" t="s">
        <v>5543</v>
      </c>
      <c r="H298" s="578" t="s">
        <v>4894</v>
      </c>
      <c r="I298" s="579" t="s">
        <v>5340</v>
      </c>
      <c r="J298" s="579" t="s">
        <v>4690</v>
      </c>
      <c r="K298" s="580" t="s">
        <v>5544</v>
      </c>
      <c r="L298" s="581" t="s">
        <v>4858</v>
      </c>
      <c r="M298" s="1346" t="s">
        <v>4688</v>
      </c>
      <c r="N298" s="581" t="s">
        <v>4897</v>
      </c>
      <c r="O298" s="721" t="s">
        <v>5545</v>
      </c>
      <c r="P298" s="150" t="s">
        <v>5546</v>
      </c>
      <c r="Q298" s="150"/>
      <c r="R298" s="98"/>
      <c r="S298" s="146"/>
      <c r="T298" s="146" t="s">
        <v>2085</v>
      </c>
      <c r="U298" s="146" t="s">
        <v>5009</v>
      </c>
      <c r="W298" s="25"/>
      <c r="X298" s="25"/>
      <c r="AA298"/>
      <c r="AB298"/>
      <c r="AC298" s="272"/>
      <c r="AD298" s="40"/>
    </row>
    <row r="299" spans="6:30" ht="10.5" customHeight="1">
      <c r="F299" s="294"/>
      <c r="G299" s="578" t="s">
        <v>5505</v>
      </c>
      <c r="H299" s="578" t="s">
        <v>4855</v>
      </c>
      <c r="I299" s="579" t="s">
        <v>5345</v>
      </c>
      <c r="J299" s="579" t="s">
        <v>4690</v>
      </c>
      <c r="K299" s="580" t="s">
        <v>5547</v>
      </c>
      <c r="L299" s="581" t="s">
        <v>4858</v>
      </c>
      <c r="M299" s="1346" t="s">
        <v>4688</v>
      </c>
      <c r="N299" s="581" t="s">
        <v>4859</v>
      </c>
      <c r="O299" s="721" t="s">
        <v>5548</v>
      </c>
      <c r="P299" s="150" t="s">
        <v>5549</v>
      </c>
      <c r="Q299" s="150"/>
      <c r="R299" s="98"/>
      <c r="S299" s="146"/>
      <c r="T299" s="279" t="s">
        <v>5550</v>
      </c>
      <c r="U299" s="279" t="s">
        <v>122</v>
      </c>
      <c r="W299" s="25"/>
      <c r="X299" s="25"/>
      <c r="AA299"/>
      <c r="AB299"/>
      <c r="AC299" s="40"/>
      <c r="AD299" s="40"/>
    </row>
    <row r="300" spans="6:30" ht="10.5" customHeight="1">
      <c r="F300" s="294"/>
      <c r="G300" s="578" t="s">
        <v>5323</v>
      </c>
      <c r="H300" s="578" t="s">
        <v>4855</v>
      </c>
      <c r="I300" s="579" t="s">
        <v>5349</v>
      </c>
      <c r="J300" s="579" t="s">
        <v>4690</v>
      </c>
      <c r="K300" s="580" t="s">
        <v>5551</v>
      </c>
      <c r="L300" s="581" t="s">
        <v>4858</v>
      </c>
      <c r="M300" s="1346" t="s">
        <v>4688</v>
      </c>
      <c r="N300" s="581" t="s">
        <v>5015</v>
      </c>
      <c r="O300" s="721" t="s">
        <v>5552</v>
      </c>
      <c r="P300" s="150" t="s">
        <v>5553</v>
      </c>
      <c r="Q300" s="150"/>
      <c r="R300" s="98"/>
      <c r="S300" s="146"/>
      <c r="T300" s="279" t="s">
        <v>94</v>
      </c>
      <c r="U300" s="279" t="s">
        <v>90</v>
      </c>
      <c r="W300" s="25"/>
      <c r="X300" s="25"/>
      <c r="AA300"/>
      <c r="AB300"/>
      <c r="AC300" s="272"/>
      <c r="AD300" s="40"/>
    </row>
    <row r="301" spans="6:30" ht="10.5" customHeight="1">
      <c r="F301" s="294"/>
      <c r="G301" s="578" t="s">
        <v>5554</v>
      </c>
      <c r="H301" s="578" t="s">
        <v>4855</v>
      </c>
      <c r="I301" s="579" t="s">
        <v>5355</v>
      </c>
      <c r="J301" s="579" t="s">
        <v>4690</v>
      </c>
      <c r="K301" s="580" t="s">
        <v>5555</v>
      </c>
      <c r="L301" s="581" t="s">
        <v>4858</v>
      </c>
      <c r="M301" s="1346" t="s">
        <v>4688</v>
      </c>
      <c r="N301" s="581" t="s">
        <v>2057</v>
      </c>
      <c r="O301" s="721" t="s">
        <v>5556</v>
      </c>
      <c r="P301" s="150" t="s">
        <v>5557</v>
      </c>
      <c r="Q301" s="150"/>
      <c r="R301" s="98"/>
      <c r="S301" s="146"/>
      <c r="T301" s="279" t="s">
        <v>2089</v>
      </c>
      <c r="U301" s="279" t="s">
        <v>132</v>
      </c>
      <c r="W301" s="25"/>
      <c r="X301" s="25"/>
      <c r="AA301"/>
      <c r="AB301"/>
      <c r="AC301" s="272"/>
      <c r="AD301" s="40"/>
    </row>
    <row r="302" spans="6:30" ht="10.5" customHeight="1">
      <c r="F302" s="294"/>
      <c r="G302" s="578" t="s">
        <v>5273</v>
      </c>
      <c r="H302" s="578" t="s">
        <v>4855</v>
      </c>
      <c r="I302" s="582" t="s">
        <v>2057</v>
      </c>
      <c r="J302" s="579" t="s">
        <v>4689</v>
      </c>
      <c r="K302" s="580" t="s">
        <v>5126</v>
      </c>
      <c r="L302" s="581" t="s">
        <v>4879</v>
      </c>
      <c r="M302" s="1346" t="s">
        <v>4688</v>
      </c>
      <c r="N302" s="581" t="s">
        <v>2057</v>
      </c>
      <c r="O302" s="721" t="s">
        <v>5558</v>
      </c>
      <c r="P302" s="150" t="s">
        <v>5559</v>
      </c>
      <c r="Q302" s="150"/>
      <c r="R302" s="98"/>
      <c r="S302" s="146"/>
      <c r="T302" s="279" t="s">
        <v>5560</v>
      </c>
      <c r="U302" s="279" t="s">
        <v>5112</v>
      </c>
      <c r="W302" s="25"/>
      <c r="X302" s="25"/>
      <c r="AA302"/>
      <c r="AB302"/>
      <c r="AC302" s="272"/>
      <c r="AD302" s="40"/>
    </row>
    <row r="303" spans="6:30" ht="10.5" customHeight="1">
      <c r="F303" s="294"/>
      <c r="G303" s="578" t="s">
        <v>5112</v>
      </c>
      <c r="H303" s="578" t="s">
        <v>4855</v>
      </c>
      <c r="I303" s="582" t="s">
        <v>5362</v>
      </c>
      <c r="J303" s="582" t="s">
        <v>4690</v>
      </c>
      <c r="K303" s="580" t="s">
        <v>5561</v>
      </c>
      <c r="L303" s="581" t="s">
        <v>4858</v>
      </c>
      <c r="M303" s="1346" t="s">
        <v>4688</v>
      </c>
      <c r="N303" s="581" t="s">
        <v>2143</v>
      </c>
      <c r="O303" s="721" t="s">
        <v>5562</v>
      </c>
      <c r="P303" s="150" t="s">
        <v>5563</v>
      </c>
      <c r="Q303" s="150"/>
      <c r="R303" s="98"/>
      <c r="S303" s="146"/>
      <c r="T303" s="279" t="s">
        <v>2093</v>
      </c>
      <c r="U303" s="279" t="s">
        <v>4996</v>
      </c>
      <c r="W303" s="25"/>
      <c r="X303" s="25"/>
      <c r="AA303"/>
      <c r="AB303"/>
      <c r="AC303" s="272"/>
      <c r="AD303" s="40"/>
    </row>
    <row r="304" spans="6:30" ht="10.5" customHeight="1">
      <c r="F304" s="294"/>
      <c r="G304" s="578" t="s">
        <v>149</v>
      </c>
      <c r="H304" s="578" t="s">
        <v>4855</v>
      </c>
      <c r="I304" s="582" t="s">
        <v>5368</v>
      </c>
      <c r="J304" s="582" t="s">
        <v>4690</v>
      </c>
      <c r="K304" s="580" t="s">
        <v>5564</v>
      </c>
      <c r="L304" s="581" t="s">
        <v>4858</v>
      </c>
      <c r="M304" s="1346" t="s">
        <v>4688</v>
      </c>
      <c r="N304" s="581" t="s">
        <v>2057</v>
      </c>
      <c r="O304" s="721" t="s">
        <v>5565</v>
      </c>
      <c r="P304" s="150" t="s">
        <v>5566</v>
      </c>
      <c r="Q304" s="150"/>
      <c r="R304" s="98"/>
      <c r="S304" s="146"/>
      <c r="T304" s="279" t="s">
        <v>5567</v>
      </c>
      <c r="U304" s="279" t="s">
        <v>5275</v>
      </c>
      <c r="W304" s="25"/>
      <c r="X304" s="25"/>
      <c r="AA304"/>
      <c r="AB304"/>
      <c r="AC304" s="272"/>
      <c r="AD304" s="520"/>
    </row>
    <row r="305" spans="6:30" ht="10.5" customHeight="1">
      <c r="F305" s="294"/>
      <c r="G305" s="578" t="s">
        <v>5568</v>
      </c>
      <c r="H305" s="578" t="s">
        <v>4855</v>
      </c>
      <c r="I305" s="582" t="s">
        <v>5371</v>
      </c>
      <c r="J305" s="582" t="s">
        <v>4690</v>
      </c>
      <c r="K305" s="580" t="s">
        <v>5569</v>
      </c>
      <c r="L305" s="581" t="s">
        <v>4858</v>
      </c>
      <c r="M305" s="1346" t="s">
        <v>4688</v>
      </c>
      <c r="N305" s="581" t="s">
        <v>4859</v>
      </c>
      <c r="O305" s="721" t="s">
        <v>5570</v>
      </c>
      <c r="P305" s="150" t="s">
        <v>5571</v>
      </c>
      <c r="Q305" s="150"/>
      <c r="R305" s="98"/>
      <c r="S305" s="146"/>
      <c r="T305" s="279" t="s">
        <v>5572</v>
      </c>
      <c r="U305" s="279" t="s">
        <v>153</v>
      </c>
      <c r="W305" s="25"/>
      <c r="X305" s="25"/>
      <c r="AA305"/>
      <c r="AB305"/>
      <c r="AC305" s="272"/>
      <c r="AD305" s="40"/>
    </row>
    <row r="306" spans="6:30" ht="10.5" customHeight="1">
      <c r="F306" s="294"/>
      <c r="G306" s="578" t="s">
        <v>118</v>
      </c>
      <c r="H306" s="578" t="s">
        <v>4894</v>
      </c>
      <c r="I306" s="582" t="s">
        <v>5377</v>
      </c>
      <c r="J306" s="582" t="s">
        <v>4690</v>
      </c>
      <c r="K306" s="580" t="s">
        <v>5573</v>
      </c>
      <c r="L306" s="581" t="s">
        <v>4858</v>
      </c>
      <c r="M306" s="1346" t="s">
        <v>4688</v>
      </c>
      <c r="N306" s="581" t="s">
        <v>4897</v>
      </c>
      <c r="O306" s="721" t="s">
        <v>5574</v>
      </c>
      <c r="P306" s="150" t="s">
        <v>5575</v>
      </c>
      <c r="Q306" s="150"/>
      <c r="R306" s="98"/>
      <c r="S306" s="146"/>
      <c r="T306" s="279" t="s">
        <v>95</v>
      </c>
      <c r="U306" s="279" t="s">
        <v>96</v>
      </c>
      <c r="W306" s="25"/>
      <c r="X306" s="25"/>
      <c r="AA306"/>
      <c r="AB306"/>
      <c r="AC306" s="272"/>
      <c r="AD306" s="40"/>
    </row>
    <row r="307" spans="6:30" ht="10.5" customHeight="1">
      <c r="F307" s="294"/>
      <c r="G307" s="578" t="s">
        <v>5576</v>
      </c>
      <c r="H307" s="578" t="s">
        <v>4855</v>
      </c>
      <c r="I307" s="582" t="s">
        <v>5382</v>
      </c>
      <c r="J307" s="582" t="s">
        <v>4690</v>
      </c>
      <c r="K307" s="580" t="s">
        <v>5577</v>
      </c>
      <c r="L307" s="581" t="s">
        <v>4858</v>
      </c>
      <c r="M307" s="1346" t="s">
        <v>4688</v>
      </c>
      <c r="N307" s="581" t="s">
        <v>4888</v>
      </c>
      <c r="O307" s="721" t="s">
        <v>5578</v>
      </c>
      <c r="P307" s="150" t="s">
        <v>5579</v>
      </c>
      <c r="Q307" s="150"/>
      <c r="R307" s="98"/>
      <c r="S307" s="146"/>
      <c r="T307" s="279" t="s">
        <v>5580</v>
      </c>
      <c r="U307" s="279" t="s">
        <v>5440</v>
      </c>
      <c r="W307" s="25"/>
      <c r="X307" s="25"/>
      <c r="AA307"/>
      <c r="AB307"/>
      <c r="AC307" s="272"/>
      <c r="AD307" s="40"/>
    </row>
    <row r="308" spans="6:30" ht="10.5" customHeight="1">
      <c r="F308" s="294"/>
      <c r="G308" s="578" t="s">
        <v>5581</v>
      </c>
      <c r="H308" s="578" t="s">
        <v>4855</v>
      </c>
      <c r="I308" s="579" t="s">
        <v>5386</v>
      </c>
      <c r="J308" s="582" t="s">
        <v>4690</v>
      </c>
      <c r="K308" s="580" t="s">
        <v>5582</v>
      </c>
      <c r="L308" s="581" t="s">
        <v>4858</v>
      </c>
      <c r="M308" s="1346" t="s">
        <v>4688</v>
      </c>
      <c r="N308" s="581" t="s">
        <v>4903</v>
      </c>
      <c r="O308" s="721" t="s">
        <v>5583</v>
      </c>
      <c r="P308" s="150" t="s">
        <v>5584</v>
      </c>
      <c r="Q308" s="150"/>
      <c r="R308" s="98"/>
      <c r="S308" s="146"/>
      <c r="T308" s="279" t="s">
        <v>5085</v>
      </c>
      <c r="U308" s="279" t="s">
        <v>5026</v>
      </c>
      <c r="W308" s="25"/>
      <c r="X308" s="25"/>
      <c r="AA308"/>
      <c r="AB308"/>
      <c r="AC308" s="272"/>
      <c r="AD308" s="40"/>
    </row>
    <row r="309" spans="6:30" ht="10.5" customHeight="1">
      <c r="F309" s="294"/>
      <c r="G309" s="578" t="s">
        <v>5032</v>
      </c>
      <c r="H309" s="578" t="s">
        <v>4855</v>
      </c>
      <c r="I309" s="582" t="s">
        <v>5390</v>
      </c>
      <c r="J309" s="579" t="s">
        <v>4690</v>
      </c>
      <c r="K309" s="580" t="s">
        <v>5585</v>
      </c>
      <c r="L309" s="581" t="s">
        <v>4858</v>
      </c>
      <c r="M309" s="1346" t="s">
        <v>4688</v>
      </c>
      <c r="N309" s="581" t="s">
        <v>2057</v>
      </c>
      <c r="O309" s="721" t="s">
        <v>5586</v>
      </c>
      <c r="P309" s="150" t="s">
        <v>5587</v>
      </c>
      <c r="Q309" s="150"/>
      <c r="R309" s="98"/>
      <c r="S309" s="146"/>
      <c r="T309" s="279" t="s">
        <v>5588</v>
      </c>
      <c r="U309" s="279" t="s">
        <v>5543</v>
      </c>
      <c r="W309" s="25"/>
      <c r="X309" s="25"/>
      <c r="AA309"/>
      <c r="AB309"/>
      <c r="AC309" s="272"/>
      <c r="AD309" s="40"/>
    </row>
    <row r="310" spans="6:30" ht="10.5" customHeight="1">
      <c r="F310" s="294"/>
      <c r="G310" s="578" t="s">
        <v>5589</v>
      </c>
      <c r="H310" s="578" t="s">
        <v>4855</v>
      </c>
      <c r="I310" s="582" t="s">
        <v>4888</v>
      </c>
      <c r="J310" s="582" t="s">
        <v>4689</v>
      </c>
      <c r="K310" s="580" t="s">
        <v>4925</v>
      </c>
      <c r="L310" s="581" t="s">
        <v>4879</v>
      </c>
      <c r="M310" s="1346" t="s">
        <v>4688</v>
      </c>
      <c r="N310" s="581" t="s">
        <v>4888</v>
      </c>
      <c r="O310" s="721" t="s">
        <v>5590</v>
      </c>
      <c r="P310" s="150" t="s">
        <v>5591</v>
      </c>
      <c r="Q310" s="150"/>
      <c r="R310" s="98"/>
      <c r="S310" s="146"/>
      <c r="T310" s="279" t="s">
        <v>5592</v>
      </c>
      <c r="U310" s="279" t="s">
        <v>5480</v>
      </c>
      <c r="W310" s="25"/>
      <c r="X310" s="25"/>
      <c r="AA310"/>
      <c r="AB310"/>
      <c r="AC310" s="272"/>
      <c r="AD310" s="40"/>
    </row>
    <row r="311" spans="6:30" ht="10.5" customHeight="1">
      <c r="F311" s="294"/>
      <c r="G311" s="578" t="s">
        <v>5181</v>
      </c>
      <c r="H311" s="578" t="s">
        <v>4894</v>
      </c>
      <c r="I311" s="582" t="s">
        <v>5395</v>
      </c>
      <c r="J311" s="582" t="s">
        <v>4690</v>
      </c>
      <c r="K311" s="580" t="s">
        <v>5593</v>
      </c>
      <c r="L311" s="581" t="s">
        <v>4858</v>
      </c>
      <c r="M311" s="1346" t="s">
        <v>4688</v>
      </c>
      <c r="N311" s="581" t="s">
        <v>4897</v>
      </c>
      <c r="O311" s="721" t="s">
        <v>5594</v>
      </c>
      <c r="P311" s="150" t="s">
        <v>5595</v>
      </c>
      <c r="Q311" s="150"/>
      <c r="R311" s="98"/>
      <c r="S311" s="146"/>
      <c r="T311" s="279" t="s">
        <v>5596</v>
      </c>
      <c r="U311" s="279" t="s">
        <v>5416</v>
      </c>
      <c r="W311" s="25"/>
      <c r="X311" s="25"/>
      <c r="AA311"/>
      <c r="AB311"/>
      <c r="AC311" s="272"/>
      <c r="AD311" s="40"/>
    </row>
    <row r="312" spans="6:30" ht="10.5" customHeight="1">
      <c r="F312" s="294"/>
      <c r="G312" s="578" t="s">
        <v>120</v>
      </c>
      <c r="H312" s="578" t="s">
        <v>4855</v>
      </c>
      <c r="I312" s="579" t="s">
        <v>5400</v>
      </c>
      <c r="J312" s="582" t="s">
        <v>4690</v>
      </c>
      <c r="K312" s="580" t="s">
        <v>5597</v>
      </c>
      <c r="L312" s="581" t="s">
        <v>4858</v>
      </c>
      <c r="M312" s="1346" t="s">
        <v>4688</v>
      </c>
      <c r="N312" s="581" t="s">
        <v>4903</v>
      </c>
      <c r="O312" s="721" t="s">
        <v>5598</v>
      </c>
      <c r="P312" s="150" t="s">
        <v>5599</v>
      </c>
      <c r="Q312" s="150"/>
      <c r="R312" s="98"/>
      <c r="S312" s="146"/>
      <c r="T312" s="279" t="s">
        <v>5600</v>
      </c>
      <c r="U312" s="279" t="s">
        <v>5188</v>
      </c>
      <c r="W312" s="25"/>
      <c r="X312" s="25"/>
      <c r="AA312"/>
      <c r="AB312"/>
      <c r="AC312" s="272"/>
      <c r="AD312" s="40"/>
    </row>
    <row r="313" spans="6:30" ht="10.5" customHeight="1">
      <c r="F313" s="294"/>
      <c r="G313" s="578" t="s">
        <v>93</v>
      </c>
      <c r="H313" s="578" t="s">
        <v>4894</v>
      </c>
      <c r="I313" s="582" t="s">
        <v>4981</v>
      </c>
      <c r="J313" s="579" t="s">
        <v>4689</v>
      </c>
      <c r="K313" s="580" t="s">
        <v>4998</v>
      </c>
      <c r="L313" s="581" t="s">
        <v>4879</v>
      </c>
      <c r="M313" s="1346" t="s">
        <v>4688</v>
      </c>
      <c r="N313" s="581" t="s">
        <v>4981</v>
      </c>
      <c r="O313" s="721" t="s">
        <v>5601</v>
      </c>
      <c r="P313" s="150" t="s">
        <v>5602</v>
      </c>
      <c r="Q313" s="150"/>
      <c r="R313" s="98"/>
      <c r="S313" s="146"/>
      <c r="T313" s="279" t="s">
        <v>5603</v>
      </c>
      <c r="U313" s="279" t="s">
        <v>5016</v>
      </c>
      <c r="W313" s="25"/>
      <c r="X313" s="25"/>
      <c r="AA313"/>
      <c r="AB313"/>
      <c r="AC313" s="272"/>
      <c r="AD313" s="40"/>
    </row>
    <row r="314" spans="6:30" ht="10.5" customHeight="1">
      <c r="F314" s="294"/>
      <c r="G314" s="578" t="s">
        <v>5150</v>
      </c>
      <c r="H314" s="578" t="s">
        <v>4894</v>
      </c>
      <c r="I314" s="582" t="s">
        <v>4884</v>
      </c>
      <c r="J314" s="582" t="s">
        <v>4689</v>
      </c>
      <c r="K314" s="580" t="s">
        <v>4902</v>
      </c>
      <c r="L314" s="581" t="s">
        <v>4879</v>
      </c>
      <c r="M314" s="1346" t="s">
        <v>4685</v>
      </c>
      <c r="N314" s="581" t="s">
        <v>4903</v>
      </c>
      <c r="O314" s="721" t="s">
        <v>5604</v>
      </c>
      <c r="P314" s="150" t="s">
        <v>5605</v>
      </c>
      <c r="Q314" s="150"/>
      <c r="R314" s="98"/>
      <c r="S314" s="146"/>
      <c r="T314" s="279" t="s">
        <v>5606</v>
      </c>
      <c r="U314" s="279" t="s">
        <v>5493</v>
      </c>
      <c r="W314" s="25"/>
      <c r="X314" s="25"/>
      <c r="AA314"/>
      <c r="AB314"/>
      <c r="AC314" s="272"/>
      <c r="AD314" s="40"/>
    </row>
    <row r="315" spans="6:30" ht="10.5" customHeight="1">
      <c r="F315" s="294"/>
      <c r="G315" s="578" t="s">
        <v>98</v>
      </c>
      <c r="H315" s="578" t="s">
        <v>4855</v>
      </c>
      <c r="I315" s="582" t="s">
        <v>5411</v>
      </c>
      <c r="J315" s="582" t="s">
        <v>4690</v>
      </c>
      <c r="K315" s="580" t="s">
        <v>5607</v>
      </c>
      <c r="L315" s="581" t="s">
        <v>4858</v>
      </c>
      <c r="M315" s="1346" t="s">
        <v>4688</v>
      </c>
      <c r="N315" s="581" t="s">
        <v>2143</v>
      </c>
      <c r="O315" s="721" t="s">
        <v>5608</v>
      </c>
      <c r="P315" s="150" t="s">
        <v>5609</v>
      </c>
      <c r="Q315" s="150"/>
      <c r="R315" s="98"/>
      <c r="S315" s="146"/>
      <c r="T315" s="279" t="s">
        <v>5610</v>
      </c>
      <c r="U315" s="279" t="s">
        <v>5133</v>
      </c>
      <c r="W315" s="25"/>
      <c r="X315" s="25"/>
      <c r="AA315"/>
      <c r="AB315"/>
      <c r="AC315" s="272"/>
      <c r="AD315" s="40"/>
    </row>
    <row r="316" spans="6:30" ht="10.5" customHeight="1">
      <c r="F316" s="294"/>
      <c r="G316" s="578" t="s">
        <v>5361</v>
      </c>
      <c r="H316" s="578" t="s">
        <v>4894</v>
      </c>
      <c r="I316" s="582" t="s">
        <v>5421</v>
      </c>
      <c r="J316" s="582" t="s">
        <v>4690</v>
      </c>
      <c r="K316" s="580" t="s">
        <v>5611</v>
      </c>
      <c r="L316" s="581" t="s">
        <v>4858</v>
      </c>
      <c r="M316" s="1346" t="s">
        <v>4688</v>
      </c>
      <c r="N316" s="581" t="s">
        <v>4963</v>
      </c>
      <c r="O316" s="721" t="s">
        <v>5612</v>
      </c>
      <c r="P316" s="150" t="s">
        <v>5613</v>
      </c>
      <c r="Q316" s="150"/>
      <c r="R316" s="98"/>
      <c r="S316" s="146"/>
      <c r="T316" s="279" t="s">
        <v>5614</v>
      </c>
      <c r="U316" s="279" t="s">
        <v>5372</v>
      </c>
      <c r="W316" s="25"/>
      <c r="X316" s="25"/>
      <c r="AA316"/>
      <c r="AB316"/>
      <c r="AC316" s="272"/>
      <c r="AD316" s="40"/>
    </row>
    <row r="317" spans="6:30" ht="10.5" customHeight="1">
      <c r="F317" s="294"/>
      <c r="G317" s="578" t="s">
        <v>2147</v>
      </c>
      <c r="H317" s="578" t="s">
        <v>4855</v>
      </c>
      <c r="I317" s="582" t="s">
        <v>5426</v>
      </c>
      <c r="J317" s="582" t="s">
        <v>4690</v>
      </c>
      <c r="K317" s="580" t="s">
        <v>5615</v>
      </c>
      <c r="L317" s="581" t="s">
        <v>4858</v>
      </c>
      <c r="M317" s="1346" t="s">
        <v>4688</v>
      </c>
      <c r="N317" s="581" t="s">
        <v>4888</v>
      </c>
      <c r="O317" s="721" t="s">
        <v>5616</v>
      </c>
      <c r="P317" s="150" t="s">
        <v>5617</v>
      </c>
      <c r="Q317" s="150"/>
      <c r="R317" s="98"/>
      <c r="S317" s="146"/>
      <c r="T317" s="279" t="s">
        <v>5618</v>
      </c>
      <c r="U317" s="279" t="s">
        <v>106</v>
      </c>
      <c r="W317" s="25"/>
      <c r="X317" s="25"/>
      <c r="AA317"/>
      <c r="AB317"/>
      <c r="AC317" s="272"/>
      <c r="AD317" s="40"/>
    </row>
    <row r="318" spans="6:30" ht="10.5" customHeight="1">
      <c r="F318" s="294"/>
      <c r="G318" s="578" t="s">
        <v>5619</v>
      </c>
      <c r="H318" s="578" t="s">
        <v>4855</v>
      </c>
      <c r="I318" s="582" t="s">
        <v>5430</v>
      </c>
      <c r="J318" s="582" t="s">
        <v>4690</v>
      </c>
      <c r="K318" s="580" t="s">
        <v>5620</v>
      </c>
      <c r="L318" s="581" t="s">
        <v>4858</v>
      </c>
      <c r="M318" s="1346" t="s">
        <v>4688</v>
      </c>
      <c r="N318" s="581" t="s">
        <v>4859</v>
      </c>
      <c r="O318" s="721" t="s">
        <v>5621</v>
      </c>
      <c r="P318" s="150" t="s">
        <v>5622</v>
      </c>
      <c r="Q318" s="150"/>
      <c r="R318" s="98"/>
      <c r="S318" s="146"/>
      <c r="T318" s="279" t="s">
        <v>5623</v>
      </c>
      <c r="U318" s="279" t="s">
        <v>5256</v>
      </c>
      <c r="W318" s="25"/>
      <c r="X318" s="25"/>
      <c r="AA318"/>
      <c r="AB318"/>
      <c r="AC318" s="272"/>
      <c r="AD318" s="40"/>
    </row>
    <row r="319" spans="6:30" ht="10.5" customHeight="1">
      <c r="F319" s="294"/>
      <c r="G319" s="578" t="s">
        <v>5624</v>
      </c>
      <c r="H319" s="578" t="s">
        <v>4855</v>
      </c>
      <c r="I319" s="582" t="s">
        <v>5435</v>
      </c>
      <c r="J319" s="582" t="s">
        <v>4690</v>
      </c>
      <c r="K319" s="580" t="s">
        <v>5625</v>
      </c>
      <c r="L319" s="581" t="s">
        <v>4858</v>
      </c>
      <c r="M319" s="1346" t="s">
        <v>4688</v>
      </c>
      <c r="N319" s="581" t="s">
        <v>5015</v>
      </c>
      <c r="O319" s="721" t="s">
        <v>5626</v>
      </c>
      <c r="P319" s="150" t="s">
        <v>5627</v>
      </c>
      <c r="Q319" s="150"/>
      <c r="R319" s="98"/>
      <c r="S319" s="146"/>
      <c r="T319" s="279" t="s">
        <v>2097</v>
      </c>
      <c r="U319" s="279" t="s">
        <v>5515</v>
      </c>
      <c r="W319" s="25"/>
      <c r="X319" s="25"/>
      <c r="AA319"/>
      <c r="AB319"/>
      <c r="AC319" s="272"/>
      <c r="AD319" s="40"/>
    </row>
    <row r="320" spans="6:30" ht="10.5" customHeight="1">
      <c r="F320" s="294"/>
      <c r="G320" s="578" t="s">
        <v>4910</v>
      </c>
      <c r="H320" s="578" t="s">
        <v>4855</v>
      </c>
      <c r="I320" s="582" t="s">
        <v>5439</v>
      </c>
      <c r="J320" s="582" t="s">
        <v>4690</v>
      </c>
      <c r="K320" s="580" t="s">
        <v>5628</v>
      </c>
      <c r="L320" s="581" t="s">
        <v>4858</v>
      </c>
      <c r="M320" s="1346" t="s">
        <v>4688</v>
      </c>
      <c r="N320" s="581" t="s">
        <v>4888</v>
      </c>
      <c r="O320" s="721" t="s">
        <v>5629</v>
      </c>
      <c r="P320" s="150" t="s">
        <v>5630</v>
      </c>
      <c r="Q320" s="150"/>
      <c r="R320" s="98"/>
      <c r="S320" s="146"/>
      <c r="T320" s="279" t="s">
        <v>5631</v>
      </c>
      <c r="U320" s="279" t="s">
        <v>5135</v>
      </c>
      <c r="W320" s="25"/>
      <c r="X320" s="25"/>
      <c r="AA320"/>
      <c r="AB320"/>
      <c r="AC320" s="272"/>
      <c r="AD320" s="40"/>
    </row>
    <row r="321" spans="6:30" ht="10.5" customHeight="1">
      <c r="F321" s="294"/>
      <c r="G321" s="578" t="s">
        <v>5498</v>
      </c>
      <c r="H321" s="578" t="s">
        <v>4894</v>
      </c>
      <c r="I321" s="582" t="s">
        <v>5444</v>
      </c>
      <c r="J321" s="582" t="s">
        <v>4690</v>
      </c>
      <c r="K321" s="580" t="s">
        <v>5632</v>
      </c>
      <c r="L321" s="581" t="s">
        <v>4858</v>
      </c>
      <c r="M321" s="1346" t="s">
        <v>4688</v>
      </c>
      <c r="N321" s="581" t="s">
        <v>4897</v>
      </c>
      <c r="O321" s="721" t="s">
        <v>5633</v>
      </c>
      <c r="P321" s="150" t="s">
        <v>5634</v>
      </c>
      <c r="Q321" s="150"/>
      <c r="R321" s="98"/>
      <c r="S321" s="146"/>
      <c r="T321" s="279" t="s">
        <v>5635</v>
      </c>
      <c r="U321" s="279" t="s">
        <v>2114</v>
      </c>
      <c r="W321" s="25"/>
      <c r="X321" s="25"/>
      <c r="AA321"/>
      <c r="AB321"/>
      <c r="AC321" s="272"/>
      <c r="AD321" s="40"/>
    </row>
    <row r="322" spans="6:30" ht="10.5" customHeight="1">
      <c r="F322" s="294"/>
      <c r="G322" s="578" t="s">
        <v>5515</v>
      </c>
      <c r="H322" s="578" t="s">
        <v>4894</v>
      </c>
      <c r="I322" s="579" t="s">
        <v>2097</v>
      </c>
      <c r="J322" s="582" t="s">
        <v>4689</v>
      </c>
      <c r="K322" s="580" t="s">
        <v>5636</v>
      </c>
      <c r="L322" s="581" t="s">
        <v>4879</v>
      </c>
      <c r="M322" s="1346" t="s">
        <v>4685</v>
      </c>
      <c r="N322" s="581" t="s">
        <v>4981</v>
      </c>
      <c r="O322" s="721" t="s">
        <v>5637</v>
      </c>
      <c r="P322" s="150" t="s">
        <v>5638</v>
      </c>
      <c r="Q322" s="150"/>
      <c r="R322" s="98"/>
      <c r="S322" s="146"/>
      <c r="T322" s="146" t="s">
        <v>5639</v>
      </c>
      <c r="U322" s="146" t="s">
        <v>4942</v>
      </c>
      <c r="W322" s="25"/>
      <c r="X322" s="25"/>
      <c r="AA322"/>
      <c r="AB322"/>
      <c r="AC322" s="272"/>
      <c r="AD322" s="40"/>
    </row>
    <row r="323" spans="6:30" ht="10.5" customHeight="1">
      <c r="F323" s="294"/>
      <c r="G323" s="578" t="s">
        <v>4869</v>
      </c>
      <c r="H323" s="578" t="s">
        <v>4855</v>
      </c>
      <c r="I323" s="582" t="s">
        <v>5448</v>
      </c>
      <c r="J323" s="579" t="s">
        <v>4690</v>
      </c>
      <c r="K323" s="580" t="s">
        <v>5640</v>
      </c>
      <c r="L323" s="581" t="s">
        <v>4858</v>
      </c>
      <c r="M323" s="1346" t="s">
        <v>4688</v>
      </c>
      <c r="N323" s="581" t="s">
        <v>2057</v>
      </c>
      <c r="O323" s="721" t="s">
        <v>5641</v>
      </c>
      <c r="P323" s="150" t="s">
        <v>5642</v>
      </c>
      <c r="Q323" s="150"/>
      <c r="R323" s="98"/>
      <c r="S323" s="146"/>
      <c r="T323" s="279" t="s">
        <v>5643</v>
      </c>
      <c r="U323" s="279" t="s">
        <v>5396</v>
      </c>
      <c r="W323" s="25"/>
      <c r="X323" s="25"/>
      <c r="AA323"/>
      <c r="AB323"/>
      <c r="AC323" s="40"/>
      <c r="AD323" s="40"/>
    </row>
    <row r="324" spans="6:30" ht="10.5" customHeight="1">
      <c r="F324" s="294"/>
      <c r="G324" s="578" t="s">
        <v>5644</v>
      </c>
      <c r="H324" s="578" t="s">
        <v>4894</v>
      </c>
      <c r="I324" s="582" t="s">
        <v>5452</v>
      </c>
      <c r="J324" s="582" t="s">
        <v>4690</v>
      </c>
      <c r="K324" s="580" t="s">
        <v>5645</v>
      </c>
      <c r="L324" s="581" t="s">
        <v>4858</v>
      </c>
      <c r="M324" s="1346" t="s">
        <v>4688</v>
      </c>
      <c r="N324" s="581" t="s">
        <v>4963</v>
      </c>
      <c r="O324" s="721" t="s">
        <v>5646</v>
      </c>
      <c r="P324" s="150" t="s">
        <v>5647</v>
      </c>
      <c r="Q324" s="150"/>
      <c r="R324" s="98"/>
      <c r="S324" s="146"/>
      <c r="T324" s="279" t="s">
        <v>5648</v>
      </c>
      <c r="U324" s="279" t="s">
        <v>141</v>
      </c>
      <c r="W324" s="25"/>
      <c r="X324" s="25"/>
      <c r="AA324"/>
      <c r="AB324"/>
      <c r="AC324" s="272"/>
      <c r="AD324" s="40"/>
    </row>
    <row r="325" spans="6:30" ht="10.5" customHeight="1">
      <c r="F325" s="294"/>
      <c r="G325" s="578" t="s">
        <v>4942</v>
      </c>
      <c r="H325" s="578" t="s">
        <v>4855</v>
      </c>
      <c r="I325" s="582" t="s">
        <v>5455</v>
      </c>
      <c r="J325" s="582" t="s">
        <v>4690</v>
      </c>
      <c r="K325" s="580" t="s">
        <v>5649</v>
      </c>
      <c r="L325" s="581" t="s">
        <v>4858</v>
      </c>
      <c r="M325" s="1346" t="s">
        <v>4688</v>
      </c>
      <c r="N325" s="581" t="s">
        <v>4888</v>
      </c>
      <c r="O325" s="721" t="s">
        <v>5650</v>
      </c>
      <c r="P325" s="150" t="s">
        <v>5651</v>
      </c>
      <c r="Q325" s="150"/>
      <c r="R325" s="98"/>
      <c r="S325" s="146"/>
      <c r="T325" s="279" t="s">
        <v>5652</v>
      </c>
      <c r="U325" s="279" t="s">
        <v>2147</v>
      </c>
      <c r="W325" s="25"/>
      <c r="X325" s="25"/>
      <c r="AA325"/>
      <c r="AB325"/>
      <c r="AC325" s="272"/>
      <c r="AD325" s="40"/>
    </row>
    <row r="326" spans="6:30" ht="10.5" customHeight="1">
      <c r="F326" s="159"/>
      <c r="G326" s="578" t="s">
        <v>5653</v>
      </c>
      <c r="H326" s="578" t="s">
        <v>4855</v>
      </c>
      <c r="I326" s="582" t="s">
        <v>2057</v>
      </c>
      <c r="J326" s="582" t="s">
        <v>4689</v>
      </c>
      <c r="K326" s="580" t="s">
        <v>5126</v>
      </c>
      <c r="L326" s="581" t="s">
        <v>4879</v>
      </c>
      <c r="M326" s="1346" t="s">
        <v>4688</v>
      </c>
      <c r="N326" s="581" t="s">
        <v>2057</v>
      </c>
      <c r="O326" s="721" t="s">
        <v>5654</v>
      </c>
      <c r="P326" s="150" t="s">
        <v>5655</v>
      </c>
      <c r="Q326" s="150"/>
      <c r="R326" s="98"/>
      <c r="S326" s="146"/>
      <c r="T326" s="279" t="s">
        <v>5099</v>
      </c>
      <c r="U326" s="279" t="s">
        <v>5273</v>
      </c>
      <c r="W326" s="25"/>
      <c r="X326" s="25"/>
      <c r="AA326"/>
      <c r="AB326"/>
      <c r="AC326" s="272"/>
      <c r="AD326" s="40"/>
    </row>
    <row r="327" spans="6:30" ht="10.5" customHeight="1">
      <c r="P327" s="150" t="s">
        <v>5656</v>
      </c>
      <c r="Q327" s="150"/>
      <c r="R327" s="98"/>
      <c r="S327" s="146"/>
      <c r="T327" s="279" t="s">
        <v>5657</v>
      </c>
      <c r="U327" s="279" t="s">
        <v>5099</v>
      </c>
      <c r="W327" s="25"/>
      <c r="X327" s="25"/>
      <c r="AA327"/>
      <c r="AB327"/>
      <c r="AC327" s="272"/>
      <c r="AD327" s="40"/>
    </row>
    <row r="328" spans="6:30" ht="10.5" customHeight="1">
      <c r="P328" s="150" t="s">
        <v>5658</v>
      </c>
      <c r="Q328" s="150"/>
      <c r="R328" s="98"/>
      <c r="S328" s="146"/>
      <c r="T328" s="146" t="s">
        <v>5659</v>
      </c>
      <c r="U328" s="146" t="s">
        <v>4980</v>
      </c>
      <c r="W328" s="25"/>
      <c r="X328" s="25"/>
      <c r="AA328"/>
      <c r="AB328"/>
      <c r="AC328" s="272"/>
      <c r="AD328" s="40"/>
    </row>
    <row r="329" spans="6:30" ht="10.5" customHeight="1">
      <c r="P329" s="150" t="s">
        <v>5660</v>
      </c>
      <c r="Q329" s="150"/>
      <c r="R329" s="98"/>
      <c r="S329" s="146"/>
      <c r="T329" s="279" t="s">
        <v>5661</v>
      </c>
      <c r="U329" s="279" t="s">
        <v>5391</v>
      </c>
      <c r="W329" s="25"/>
      <c r="X329" s="25"/>
      <c r="AA329"/>
      <c r="AB329"/>
      <c r="AC329" s="40"/>
      <c r="AD329" s="40"/>
    </row>
    <row r="330" spans="6:30" ht="10.5" customHeight="1">
      <c r="P330" s="150" t="s">
        <v>5662</v>
      </c>
      <c r="Q330" s="150"/>
      <c r="R330" s="98"/>
      <c r="S330" s="146"/>
      <c r="T330" s="279" t="s">
        <v>5047</v>
      </c>
      <c r="U330" s="279" t="s">
        <v>85</v>
      </c>
      <c r="W330" s="25"/>
      <c r="X330" s="25"/>
      <c r="AA330"/>
      <c r="AB330"/>
      <c r="AC330" s="272"/>
      <c r="AD330" s="40"/>
    </row>
    <row r="331" spans="6:30" ht="10.5" customHeight="1">
      <c r="P331" s="150" t="s">
        <v>5663</v>
      </c>
      <c r="Q331" s="150"/>
      <c r="R331" s="98"/>
      <c r="S331" s="146"/>
      <c r="T331" s="279" t="s">
        <v>97</v>
      </c>
      <c r="U331" s="279" t="s">
        <v>98</v>
      </c>
      <c r="W331" s="25"/>
      <c r="X331" s="25"/>
      <c r="AA331"/>
      <c r="AB331"/>
      <c r="AC331" s="272"/>
      <c r="AD331" s="40"/>
    </row>
    <row r="332" spans="6:30" ht="10.5" customHeight="1">
      <c r="P332" s="150" t="s">
        <v>5664</v>
      </c>
      <c r="Q332" s="150"/>
      <c r="R332" s="98"/>
      <c r="S332" s="146"/>
      <c r="T332" s="279" t="s">
        <v>5665</v>
      </c>
      <c r="U332" s="279" t="s">
        <v>2147</v>
      </c>
      <c r="W332" s="25"/>
      <c r="X332" s="25"/>
      <c r="AA332"/>
      <c r="AB332"/>
      <c r="AC332" s="272"/>
      <c r="AD332" s="40"/>
    </row>
    <row r="333" spans="6:30" ht="10.5" customHeight="1">
      <c r="P333" s="150" t="s">
        <v>5666</v>
      </c>
      <c r="Q333" s="150"/>
      <c r="R333" s="98"/>
      <c r="S333" s="146"/>
      <c r="T333" s="279" t="s">
        <v>5667</v>
      </c>
      <c r="U333" s="279" t="s">
        <v>153</v>
      </c>
      <c r="W333" s="25"/>
      <c r="X333" s="25"/>
      <c r="AA333"/>
      <c r="AB333"/>
      <c r="AC333" s="272"/>
      <c r="AD333" s="40"/>
    </row>
    <row r="334" spans="6:30" ht="10.5" customHeight="1">
      <c r="P334" s="150" t="s">
        <v>5668</v>
      </c>
      <c r="Q334" s="150"/>
      <c r="R334" s="98"/>
      <c r="S334" s="146"/>
      <c r="T334" s="279" t="s">
        <v>5669</v>
      </c>
      <c r="U334" s="279" t="s">
        <v>5301</v>
      </c>
      <c r="W334" s="25"/>
      <c r="X334" s="25"/>
      <c r="AA334"/>
      <c r="AB334"/>
      <c r="AC334" s="272"/>
      <c r="AD334" s="40"/>
    </row>
    <row r="335" spans="6:30" ht="10.5" customHeight="1">
      <c r="P335" s="150" t="s">
        <v>5670</v>
      </c>
      <c r="Q335" s="150"/>
      <c r="R335" s="98"/>
      <c r="S335" s="146"/>
      <c r="T335" s="146" t="s">
        <v>5671</v>
      </c>
      <c r="U335" s="146" t="s">
        <v>5152</v>
      </c>
      <c r="W335" s="25"/>
      <c r="X335" s="25"/>
      <c r="AA335"/>
      <c r="AB335"/>
      <c r="AC335" s="272"/>
      <c r="AD335" s="40"/>
    </row>
    <row r="336" spans="6:30" ht="10.5" customHeight="1">
      <c r="P336" s="150" t="s">
        <v>5672</v>
      </c>
      <c r="Q336" s="150"/>
      <c r="R336" s="98"/>
      <c r="S336" s="146"/>
      <c r="T336" s="279" t="s">
        <v>5673</v>
      </c>
      <c r="U336" s="279" t="s">
        <v>5339</v>
      </c>
      <c r="W336" s="25"/>
      <c r="X336" s="25"/>
      <c r="AA336"/>
      <c r="AB336"/>
      <c r="AC336" s="40"/>
      <c r="AD336" s="40"/>
    </row>
    <row r="337" spans="16:30" ht="10.5" customHeight="1">
      <c r="P337" s="150" t="s">
        <v>5674</v>
      </c>
      <c r="Q337" s="150"/>
      <c r="R337" s="98"/>
      <c r="S337" s="146"/>
      <c r="T337" s="279" t="s">
        <v>5675</v>
      </c>
      <c r="U337" s="279" t="s">
        <v>5488</v>
      </c>
      <c r="W337" s="25"/>
      <c r="X337" s="25"/>
      <c r="AA337"/>
      <c r="AB337"/>
      <c r="AC337" s="272"/>
      <c r="AD337" s="40"/>
    </row>
    <row r="338" spans="16:30" ht="10.5" customHeight="1">
      <c r="P338" s="150" t="s">
        <v>5676</v>
      </c>
      <c r="Q338" s="150"/>
      <c r="R338" s="98"/>
      <c r="S338" s="146"/>
      <c r="T338" s="279" t="s">
        <v>99</v>
      </c>
      <c r="U338" s="279" t="s">
        <v>100</v>
      </c>
      <c r="W338" s="25"/>
      <c r="X338" s="25"/>
      <c r="AA338"/>
      <c r="AB338"/>
      <c r="AC338" s="272"/>
      <c r="AD338" s="40"/>
    </row>
    <row r="339" spans="16:30" ht="10.5" customHeight="1">
      <c r="P339" s="150" t="s">
        <v>5677</v>
      </c>
      <c r="Q339" s="150"/>
      <c r="R339" s="98"/>
      <c r="S339" s="146"/>
      <c r="T339" s="310" t="s">
        <v>5678</v>
      </c>
      <c r="U339" s="279" t="s">
        <v>5063</v>
      </c>
      <c r="W339" s="25"/>
      <c r="X339" s="25"/>
      <c r="AA339"/>
      <c r="AB339"/>
      <c r="AC339" s="272"/>
      <c r="AD339" s="40"/>
    </row>
    <row r="340" spans="16:30" ht="10.5" customHeight="1">
      <c r="P340" s="150" t="s">
        <v>5679</v>
      </c>
      <c r="Q340" s="150"/>
      <c r="R340" s="98"/>
      <c r="S340" s="146"/>
      <c r="T340" s="279" t="s">
        <v>5680</v>
      </c>
      <c r="U340" s="279" t="s">
        <v>5519</v>
      </c>
      <c r="W340" s="25"/>
      <c r="X340" s="25"/>
      <c r="AA340"/>
      <c r="AB340"/>
      <c r="AC340" s="519"/>
      <c r="AD340" s="40"/>
    </row>
    <row r="341" spans="16:30" ht="10.5" customHeight="1">
      <c r="P341" s="150" t="s">
        <v>5681</v>
      </c>
      <c r="Q341" s="150"/>
      <c r="R341" s="98"/>
      <c r="S341" s="146"/>
      <c r="T341" s="279" t="s">
        <v>5682</v>
      </c>
      <c r="U341" s="279" t="s">
        <v>5120</v>
      </c>
      <c r="W341" s="25"/>
      <c r="X341" s="25"/>
      <c r="AA341"/>
      <c r="AB341"/>
      <c r="AC341" s="272"/>
      <c r="AD341" s="40"/>
    </row>
    <row r="342" spans="16:30" ht="10.5" customHeight="1">
      <c r="P342" s="150" t="s">
        <v>5683</v>
      </c>
      <c r="Q342" s="150"/>
      <c r="R342" s="98"/>
      <c r="S342" s="146"/>
      <c r="T342" s="279" t="s">
        <v>5684</v>
      </c>
      <c r="U342" s="279" t="s">
        <v>85</v>
      </c>
      <c r="W342" s="25"/>
      <c r="X342" s="25"/>
      <c r="AA342"/>
      <c r="AB342"/>
      <c r="AC342" s="272"/>
      <c r="AD342" s="40"/>
    </row>
    <row r="343" spans="16:30" ht="10.5" customHeight="1">
      <c r="P343" s="150" t="s">
        <v>5685</v>
      </c>
      <c r="Q343" s="150"/>
      <c r="R343" s="98"/>
      <c r="S343" s="146"/>
      <c r="T343" s="146" t="s">
        <v>135</v>
      </c>
      <c r="U343" s="146" t="s">
        <v>4973</v>
      </c>
      <c r="W343" s="25"/>
      <c r="X343" s="25"/>
      <c r="AA343"/>
      <c r="AB343"/>
      <c r="AC343" s="272"/>
      <c r="AD343" s="40"/>
    </row>
    <row r="344" spans="16:30" ht="10.5" customHeight="1">
      <c r="P344" s="150" t="s">
        <v>5686</v>
      </c>
      <c r="Q344" s="150"/>
      <c r="R344" s="98"/>
      <c r="S344" s="146"/>
      <c r="T344" s="146" t="s">
        <v>5687</v>
      </c>
      <c r="U344" s="146" t="s">
        <v>135</v>
      </c>
      <c r="W344" s="25"/>
      <c r="X344" s="25"/>
      <c r="AA344"/>
      <c r="AB344"/>
      <c r="AC344" s="40"/>
      <c r="AD344" s="40"/>
    </row>
    <row r="345" spans="16:30" ht="10.5" customHeight="1">
      <c r="P345" s="150" t="s">
        <v>5688</v>
      </c>
      <c r="Q345" s="150"/>
      <c r="R345" s="98"/>
      <c r="S345" s="146"/>
      <c r="T345" s="279" t="s">
        <v>101</v>
      </c>
      <c r="U345" s="279" t="s">
        <v>85</v>
      </c>
      <c r="W345" s="25"/>
      <c r="X345" s="25"/>
      <c r="AA345"/>
      <c r="AB345"/>
      <c r="AC345" s="40"/>
      <c r="AD345" s="40"/>
    </row>
    <row r="346" spans="16:30" ht="10.5" customHeight="1">
      <c r="P346" s="150" t="s">
        <v>5689</v>
      </c>
      <c r="Q346" s="150"/>
      <c r="R346" s="98"/>
      <c r="S346" s="146"/>
      <c r="T346" s="279" t="s">
        <v>5690</v>
      </c>
      <c r="U346" s="279" t="s">
        <v>5014</v>
      </c>
      <c r="W346" s="25"/>
      <c r="X346" s="25"/>
      <c r="AA346"/>
      <c r="AB346"/>
      <c r="AC346" s="272"/>
      <c r="AD346" s="40"/>
    </row>
    <row r="347" spans="16:30" ht="10.5" customHeight="1">
      <c r="P347" s="150" t="s">
        <v>5691</v>
      </c>
      <c r="Q347" s="150"/>
      <c r="R347" s="98"/>
      <c r="S347" s="146"/>
      <c r="T347" s="279" t="s">
        <v>2101</v>
      </c>
      <c r="U347" s="279" t="s">
        <v>5339</v>
      </c>
      <c r="W347" s="25"/>
      <c r="X347" s="25"/>
      <c r="AA347"/>
      <c r="AB347"/>
      <c r="AC347" s="272"/>
      <c r="AD347" s="40"/>
    </row>
    <row r="348" spans="16:30" ht="10.5" customHeight="1">
      <c r="P348" s="150" t="s">
        <v>5692</v>
      </c>
      <c r="Q348" s="150"/>
      <c r="R348" s="98"/>
      <c r="S348" s="146"/>
      <c r="T348" s="279" t="s">
        <v>5693</v>
      </c>
      <c r="U348" s="279" t="s">
        <v>5339</v>
      </c>
      <c r="W348" s="25"/>
      <c r="X348" s="25"/>
      <c r="AA348"/>
      <c r="AB348"/>
      <c r="AC348" s="272"/>
      <c r="AD348" s="40"/>
    </row>
    <row r="349" spans="16:30" ht="10.5" customHeight="1">
      <c r="P349" s="150" t="s">
        <v>5694</v>
      </c>
      <c r="Q349" s="150"/>
      <c r="R349" s="98"/>
      <c r="S349" s="146"/>
      <c r="T349" s="279" t="s">
        <v>5695</v>
      </c>
      <c r="U349" s="279" t="s">
        <v>5133</v>
      </c>
      <c r="W349" s="25"/>
      <c r="X349" s="25"/>
      <c r="AA349"/>
      <c r="AB349"/>
      <c r="AC349" s="272"/>
      <c r="AD349" s="40"/>
    </row>
    <row r="350" spans="16:30" ht="10.5" customHeight="1">
      <c r="P350" s="150" t="s">
        <v>5696</v>
      </c>
      <c r="Q350" s="150"/>
      <c r="R350" s="98"/>
      <c r="S350" s="146"/>
      <c r="T350" s="279" t="s">
        <v>5697</v>
      </c>
      <c r="U350" s="279" t="s">
        <v>85</v>
      </c>
      <c r="W350" s="25"/>
      <c r="X350" s="25"/>
      <c r="AA350"/>
      <c r="AB350"/>
      <c r="AC350" s="272"/>
      <c r="AD350" s="40"/>
    </row>
    <row r="351" spans="16:30" ht="10.5" customHeight="1">
      <c r="P351" s="150" t="s">
        <v>5698</v>
      </c>
      <c r="Q351" s="150"/>
      <c r="R351" s="98"/>
      <c r="S351" s="146"/>
      <c r="T351" s="279" t="s">
        <v>5699</v>
      </c>
      <c r="U351" s="279" t="s">
        <v>127</v>
      </c>
      <c r="W351" s="25"/>
      <c r="X351" s="25"/>
      <c r="AA351"/>
      <c r="AB351"/>
      <c r="AC351" s="272"/>
      <c r="AD351" s="40"/>
    </row>
    <row r="352" spans="16:30" ht="10.5" customHeight="1">
      <c r="P352" s="150" t="s">
        <v>5700</v>
      </c>
      <c r="Q352" s="150"/>
      <c r="R352" s="98"/>
      <c r="S352" s="146"/>
      <c r="T352" s="279" t="s">
        <v>5701</v>
      </c>
      <c r="U352" s="279" t="s">
        <v>156</v>
      </c>
      <c r="W352" s="25"/>
      <c r="X352" s="25"/>
      <c r="AA352"/>
      <c r="AB352"/>
      <c r="AC352" s="272"/>
      <c r="AD352" s="40"/>
    </row>
    <row r="353" spans="16:30" ht="10.5" customHeight="1">
      <c r="P353" s="150" t="s">
        <v>5702</v>
      </c>
      <c r="Q353" s="150"/>
      <c r="R353" s="98"/>
      <c r="S353" s="146"/>
      <c r="T353" s="279" t="s">
        <v>5703</v>
      </c>
      <c r="U353" s="279" t="s">
        <v>5339</v>
      </c>
      <c r="W353" s="25"/>
      <c r="X353" s="25"/>
      <c r="AA353"/>
      <c r="AB353"/>
      <c r="AC353" s="272"/>
      <c r="AD353" s="40"/>
    </row>
    <row r="354" spans="16:30" ht="10.5" customHeight="1">
      <c r="P354" s="150" t="s">
        <v>5704</v>
      </c>
      <c r="Q354" s="150"/>
      <c r="R354" s="98"/>
      <c r="S354" s="146"/>
      <c r="T354" s="279" t="s">
        <v>5705</v>
      </c>
      <c r="U354" s="279" t="s">
        <v>5202</v>
      </c>
      <c r="W354" s="25"/>
      <c r="X354" s="25"/>
      <c r="AA354"/>
      <c r="AB354"/>
      <c r="AC354" s="272"/>
      <c r="AD354" s="40"/>
    </row>
    <row r="355" spans="16:30" ht="10.5" customHeight="1">
      <c r="P355" s="150" t="s">
        <v>5706</v>
      </c>
      <c r="Q355" s="150"/>
      <c r="R355" s="98"/>
      <c r="S355" s="146"/>
      <c r="T355" s="279" t="s">
        <v>102</v>
      </c>
      <c r="U355" s="279" t="s">
        <v>103</v>
      </c>
      <c r="W355" s="25"/>
      <c r="X355" s="25"/>
      <c r="AA355"/>
      <c r="AB355"/>
      <c r="AC355" s="272"/>
      <c r="AD355" s="40"/>
    </row>
    <row r="356" spans="16:30" ht="10.5" customHeight="1">
      <c r="P356" s="150" t="s">
        <v>5707</v>
      </c>
      <c r="Q356" s="150"/>
      <c r="R356" s="98"/>
      <c r="S356" s="146"/>
      <c r="T356" s="279" t="s">
        <v>104</v>
      </c>
      <c r="U356" s="279" t="s">
        <v>105</v>
      </c>
      <c r="W356" s="25"/>
      <c r="X356" s="25"/>
      <c r="AA356"/>
      <c r="AB356"/>
      <c r="AC356" s="272"/>
      <c r="AD356" s="40"/>
    </row>
    <row r="357" spans="16:30" ht="10.5" customHeight="1">
      <c r="P357" s="150" t="s">
        <v>5708</v>
      </c>
      <c r="Q357" s="150"/>
      <c r="R357" s="98"/>
      <c r="S357" s="146"/>
      <c r="T357" s="279" t="s">
        <v>5709</v>
      </c>
      <c r="U357" s="279" t="s">
        <v>143</v>
      </c>
      <c r="W357" s="25"/>
      <c r="X357" s="25"/>
      <c r="AA357"/>
      <c r="AB357"/>
      <c r="AC357" s="272"/>
      <c r="AD357" s="40"/>
    </row>
    <row r="358" spans="16:30" ht="10.5" customHeight="1">
      <c r="P358" s="150" t="s">
        <v>5710</v>
      </c>
      <c r="Q358" s="150"/>
      <c r="R358" s="98"/>
      <c r="S358" s="146"/>
      <c r="T358" s="279" t="s">
        <v>5711</v>
      </c>
      <c r="U358" s="279" t="s">
        <v>5114</v>
      </c>
      <c r="W358" s="25"/>
      <c r="X358" s="25"/>
      <c r="AA358"/>
      <c r="AB358"/>
      <c r="AC358" s="272"/>
      <c r="AD358" s="40"/>
    </row>
    <row r="359" spans="16:30" ht="10.5" customHeight="1">
      <c r="P359" s="150" t="s">
        <v>5712</v>
      </c>
      <c r="Q359" s="150"/>
      <c r="R359" s="98"/>
      <c r="S359" s="146"/>
      <c r="T359" s="146" t="s">
        <v>5713</v>
      </c>
      <c r="U359" s="146" t="s">
        <v>5480</v>
      </c>
      <c r="W359" s="25"/>
      <c r="X359" s="25"/>
      <c r="AA359"/>
      <c r="AB359"/>
      <c r="AC359" s="272"/>
      <c r="AD359" s="40"/>
    </row>
    <row r="360" spans="16:30" ht="10.5" customHeight="1">
      <c r="P360" s="150" t="s">
        <v>5714</v>
      </c>
      <c r="Q360" s="150"/>
      <c r="R360" s="98"/>
      <c r="S360" s="146"/>
      <c r="T360" s="146" t="s">
        <v>5715</v>
      </c>
      <c r="U360" s="146" t="s">
        <v>5208</v>
      </c>
      <c r="W360" s="25"/>
      <c r="X360" s="25"/>
      <c r="AA360"/>
      <c r="AB360"/>
      <c r="AC360" s="40"/>
      <c r="AD360" s="40"/>
    </row>
    <row r="361" spans="16:30" ht="10.5" customHeight="1">
      <c r="P361" s="150" t="s">
        <v>5716</v>
      </c>
      <c r="Q361" s="150"/>
      <c r="R361" s="98"/>
      <c r="S361" s="146"/>
      <c r="T361" s="146" t="s">
        <v>5717</v>
      </c>
      <c r="U361" s="146" t="s">
        <v>4975</v>
      </c>
      <c r="W361" s="25"/>
      <c r="X361" s="25"/>
      <c r="AA361"/>
      <c r="AB361"/>
      <c r="AC361" s="40"/>
      <c r="AD361" s="40"/>
    </row>
    <row r="362" spans="16:30" ht="10.5" customHeight="1">
      <c r="P362" s="150" t="s">
        <v>5718</v>
      </c>
      <c r="Q362" s="150"/>
      <c r="R362" s="98"/>
      <c r="S362" s="146"/>
      <c r="T362" s="279" t="s">
        <v>5719</v>
      </c>
      <c r="U362" s="279" t="s">
        <v>5152</v>
      </c>
      <c r="W362" s="25"/>
      <c r="X362" s="25"/>
      <c r="AA362"/>
      <c r="AB362"/>
      <c r="AC362" s="40"/>
      <c r="AD362" s="40"/>
    </row>
    <row r="363" spans="16:30" ht="10.5" customHeight="1">
      <c r="P363" s="150" t="s">
        <v>5720</v>
      </c>
      <c r="Q363" s="150"/>
      <c r="R363" s="98"/>
      <c r="S363" s="146"/>
      <c r="T363" s="279" t="s">
        <v>5721</v>
      </c>
      <c r="U363" s="279" t="s">
        <v>5506</v>
      </c>
      <c r="W363" s="25"/>
      <c r="X363" s="25"/>
      <c r="AA363"/>
      <c r="AB363"/>
      <c r="AC363" s="272"/>
      <c r="AD363" s="40"/>
    </row>
    <row r="364" spans="16:30" ht="10.5" customHeight="1">
      <c r="P364" s="150" t="s">
        <v>5722</v>
      </c>
      <c r="Q364" s="150"/>
      <c r="R364" s="98"/>
      <c r="S364" s="146"/>
      <c r="T364" s="146" t="s">
        <v>5723</v>
      </c>
      <c r="U364" s="146" t="s">
        <v>5063</v>
      </c>
      <c r="W364" s="25"/>
      <c r="X364" s="25"/>
      <c r="AA364"/>
      <c r="AB364"/>
      <c r="AC364" s="272"/>
      <c r="AD364" s="40"/>
    </row>
    <row r="365" spans="16:30" ht="10.5" customHeight="1">
      <c r="P365" s="150" t="s">
        <v>5724</v>
      </c>
      <c r="Q365" s="150"/>
      <c r="R365" s="98"/>
      <c r="S365" s="146"/>
      <c r="T365" s="146" t="s">
        <v>5725</v>
      </c>
      <c r="U365" s="146" t="s">
        <v>90</v>
      </c>
      <c r="W365" s="25"/>
      <c r="X365" s="25"/>
      <c r="AA365"/>
      <c r="AB365"/>
      <c r="AC365" s="40"/>
      <c r="AD365" s="40"/>
    </row>
    <row r="366" spans="16:30" ht="10.5" customHeight="1">
      <c r="P366" s="150" t="s">
        <v>5726</v>
      </c>
      <c r="Q366" s="150"/>
      <c r="R366" s="98"/>
      <c r="S366" s="146"/>
      <c r="T366" s="279" t="s">
        <v>5727</v>
      </c>
      <c r="U366" s="279" t="s">
        <v>5202</v>
      </c>
      <c r="W366" s="25"/>
      <c r="X366" s="25"/>
      <c r="AA366"/>
      <c r="AB366"/>
      <c r="AC366" s="272"/>
      <c r="AD366" s="40"/>
    </row>
    <row r="367" spans="16:30" ht="10.5" customHeight="1">
      <c r="P367" s="150" t="s">
        <v>5728</v>
      </c>
      <c r="Q367" s="150"/>
      <c r="R367" s="98"/>
      <c r="S367" s="146"/>
      <c r="T367" s="279" t="s">
        <v>5729</v>
      </c>
      <c r="U367" s="279" t="s">
        <v>4883</v>
      </c>
      <c r="W367" s="25"/>
      <c r="X367" s="25"/>
      <c r="AA367"/>
      <c r="AB367"/>
      <c r="AC367" s="272"/>
      <c r="AD367" s="40"/>
    </row>
    <row r="368" spans="16:30" ht="10.5" customHeight="1">
      <c r="P368" s="150" t="s">
        <v>5730</v>
      </c>
      <c r="Q368" s="150"/>
      <c r="R368" s="98"/>
      <c r="S368" s="146"/>
      <c r="T368" s="279" t="s">
        <v>5731</v>
      </c>
      <c r="U368" s="279" t="s">
        <v>5114</v>
      </c>
      <c r="W368" s="25"/>
      <c r="X368" s="25"/>
      <c r="AA368"/>
      <c r="AB368"/>
      <c r="AC368" s="272"/>
      <c r="AD368" s="40"/>
    </row>
    <row r="369" spans="16:30" ht="10.5" customHeight="1">
      <c r="P369" s="150" t="s">
        <v>5732</v>
      </c>
      <c r="Q369" s="150"/>
      <c r="R369" s="98"/>
      <c r="S369" s="146"/>
      <c r="T369" s="279" t="s">
        <v>5733</v>
      </c>
      <c r="U369" s="279" t="s">
        <v>4917</v>
      </c>
      <c r="W369" s="25"/>
      <c r="X369" s="25"/>
      <c r="AA369"/>
      <c r="AB369"/>
      <c r="AC369" s="272"/>
      <c r="AD369" s="40"/>
    </row>
    <row r="370" spans="16:30" ht="10.5" customHeight="1">
      <c r="P370" s="150" t="s">
        <v>5734</v>
      </c>
      <c r="Q370" s="150"/>
      <c r="R370" s="98"/>
      <c r="S370" s="146"/>
      <c r="T370" s="279" t="s">
        <v>5735</v>
      </c>
      <c r="U370" s="279" t="s">
        <v>5275</v>
      </c>
      <c r="W370" s="25"/>
      <c r="X370" s="25"/>
      <c r="AA370"/>
      <c r="AB370"/>
      <c r="AC370" s="272"/>
      <c r="AD370" s="40"/>
    </row>
    <row r="371" spans="16:30" ht="10.5" customHeight="1">
      <c r="P371" s="150" t="s">
        <v>5736</v>
      </c>
      <c r="Q371" s="150"/>
      <c r="R371" s="98"/>
      <c r="S371" s="146"/>
      <c r="T371" s="279" t="s">
        <v>5737</v>
      </c>
      <c r="U371" s="279" t="s">
        <v>5172</v>
      </c>
      <c r="W371" s="25"/>
      <c r="X371" s="25"/>
      <c r="AA371"/>
      <c r="AB371"/>
      <c r="AC371" s="272"/>
      <c r="AD371" s="40"/>
    </row>
    <row r="372" spans="16:30" ht="10.5" customHeight="1">
      <c r="P372" s="150" t="s">
        <v>5738</v>
      </c>
      <c r="Q372" s="150"/>
      <c r="R372" s="98"/>
      <c r="S372" s="146"/>
      <c r="T372" s="279" t="s">
        <v>5739</v>
      </c>
      <c r="U372" s="279" t="s">
        <v>5431</v>
      </c>
      <c r="W372" s="25"/>
      <c r="X372" s="25"/>
      <c r="AA372"/>
      <c r="AB372"/>
      <c r="AC372" s="272"/>
      <c r="AD372" s="40"/>
    </row>
    <row r="373" spans="16:30" ht="10.5" customHeight="1">
      <c r="P373" s="150" t="s">
        <v>5740</v>
      </c>
      <c r="Q373" s="150"/>
      <c r="R373" s="98"/>
      <c r="S373" s="146"/>
      <c r="T373" s="279" t="s">
        <v>5741</v>
      </c>
      <c r="U373" s="279" t="s">
        <v>4883</v>
      </c>
      <c r="W373" s="25"/>
      <c r="X373" s="25"/>
      <c r="AA373"/>
      <c r="AB373"/>
      <c r="AC373" s="272"/>
      <c r="AD373" s="40"/>
    </row>
    <row r="374" spans="16:30" ht="10.5" customHeight="1">
      <c r="P374" s="150" t="s">
        <v>5742</v>
      </c>
      <c r="Q374" s="150"/>
      <c r="R374" s="98"/>
      <c r="S374" s="146"/>
      <c r="T374" s="279" t="s">
        <v>106</v>
      </c>
      <c r="U374" s="279" t="s">
        <v>107</v>
      </c>
      <c r="W374" s="25"/>
      <c r="X374" s="25"/>
      <c r="AA374"/>
      <c r="AB374"/>
      <c r="AC374" s="272"/>
      <c r="AD374" s="40"/>
    </row>
    <row r="375" spans="16:30" ht="10.5" customHeight="1">
      <c r="P375" s="150" t="s">
        <v>5743</v>
      </c>
      <c r="Q375" s="150"/>
      <c r="R375" s="98"/>
      <c r="S375" s="146"/>
      <c r="T375" s="279" t="s">
        <v>108</v>
      </c>
      <c r="U375" s="279" t="s">
        <v>103</v>
      </c>
      <c r="W375" s="25"/>
      <c r="X375" s="25"/>
      <c r="AA375"/>
      <c r="AB375"/>
      <c r="AC375" s="272"/>
      <c r="AD375" s="40"/>
    </row>
    <row r="376" spans="16:30" ht="10.5" customHeight="1">
      <c r="P376" s="150" t="s">
        <v>5744</v>
      </c>
      <c r="Q376" s="150"/>
      <c r="R376" s="98"/>
      <c r="S376" s="146"/>
      <c r="T376" s="279" t="s">
        <v>109</v>
      </c>
      <c r="U376" s="279" t="s">
        <v>110</v>
      </c>
      <c r="W376" s="25"/>
      <c r="X376" s="25"/>
      <c r="AA376"/>
      <c r="AB376"/>
      <c r="AC376" s="272"/>
      <c r="AD376" s="40"/>
    </row>
    <row r="377" spans="16:30" ht="10.5" customHeight="1">
      <c r="P377" s="150" t="s">
        <v>5745</v>
      </c>
      <c r="Q377" s="150"/>
      <c r="R377" s="98"/>
      <c r="S377" s="146"/>
      <c r="T377" s="146" t="s">
        <v>2104</v>
      </c>
      <c r="U377" s="146" t="s">
        <v>143</v>
      </c>
      <c r="W377" s="25"/>
      <c r="X377" s="25"/>
      <c r="AA377"/>
      <c r="AB377"/>
      <c r="AC377" s="40"/>
      <c r="AD377" s="40"/>
    </row>
    <row r="378" spans="16:30" ht="10.5" customHeight="1">
      <c r="P378" s="150" t="s">
        <v>5746</v>
      </c>
      <c r="Q378" s="150"/>
      <c r="R378" s="98"/>
      <c r="S378" s="146"/>
      <c r="T378" s="279" t="s">
        <v>5747</v>
      </c>
      <c r="U378" s="279" t="s">
        <v>5217</v>
      </c>
      <c r="W378" s="25"/>
      <c r="X378" s="25"/>
      <c r="AA378"/>
      <c r="AB378"/>
      <c r="AC378" s="272"/>
      <c r="AD378" s="40"/>
    </row>
    <row r="379" spans="16:30" ht="10.5" customHeight="1">
      <c r="P379" s="150" t="s">
        <v>5748</v>
      </c>
      <c r="Q379" s="150"/>
      <c r="R379" s="98"/>
      <c r="S379" s="146"/>
      <c r="T379" s="279" t="s">
        <v>111</v>
      </c>
      <c r="U379" s="279" t="s">
        <v>93</v>
      </c>
      <c r="W379" s="25"/>
      <c r="X379" s="25"/>
      <c r="AA379"/>
      <c r="AB379"/>
      <c r="AC379" s="272"/>
      <c r="AD379" s="40"/>
    </row>
    <row r="380" spans="16:30" ht="10.5" customHeight="1">
      <c r="P380" s="150" t="s">
        <v>5749</v>
      </c>
      <c r="Q380" s="150"/>
      <c r="R380" s="98"/>
      <c r="S380" s="146"/>
      <c r="T380" s="279" t="s">
        <v>5750</v>
      </c>
      <c r="U380" s="279" t="s">
        <v>5014</v>
      </c>
      <c r="W380" s="25"/>
      <c r="X380" s="25"/>
      <c r="AA380"/>
      <c r="AB380"/>
      <c r="AC380" s="272"/>
      <c r="AD380" s="40"/>
    </row>
    <row r="381" spans="16:30" ht="10.5" customHeight="1">
      <c r="P381" s="150" t="s">
        <v>5751</v>
      </c>
      <c r="Q381" s="150"/>
      <c r="R381" s="98"/>
      <c r="S381" s="146"/>
      <c r="T381" s="279" t="s">
        <v>5752</v>
      </c>
      <c r="U381" s="279" t="s">
        <v>5177</v>
      </c>
      <c r="W381" s="25"/>
      <c r="X381" s="25"/>
      <c r="AA381"/>
      <c r="AB381"/>
      <c r="AC381" s="272"/>
      <c r="AD381" s="40"/>
    </row>
    <row r="382" spans="16:30" ht="10.5" customHeight="1">
      <c r="P382" s="150" t="s">
        <v>5753</v>
      </c>
      <c r="Q382" s="150"/>
      <c r="R382" s="98"/>
      <c r="S382" s="146"/>
      <c r="T382" s="279" t="s">
        <v>5754</v>
      </c>
      <c r="U382" s="279" t="s">
        <v>4911</v>
      </c>
      <c r="W382" s="25"/>
      <c r="X382" s="25"/>
      <c r="AA382"/>
      <c r="AB382"/>
      <c r="AC382" s="272"/>
      <c r="AD382" s="40"/>
    </row>
    <row r="383" spans="16:30" ht="10.5" customHeight="1">
      <c r="P383" s="150" t="s">
        <v>5755</v>
      </c>
      <c r="Q383" s="150"/>
      <c r="R383" s="98"/>
      <c r="S383" s="146"/>
      <c r="T383" s="279" t="s">
        <v>5756</v>
      </c>
      <c r="U383" s="279" t="s">
        <v>113</v>
      </c>
      <c r="W383" s="25"/>
      <c r="X383" s="25"/>
      <c r="AA383"/>
      <c r="AB383"/>
      <c r="AC383" s="272"/>
      <c r="AD383" s="40"/>
    </row>
    <row r="384" spans="16:30" ht="10.5" customHeight="1">
      <c r="P384" s="150" t="s">
        <v>5757</v>
      </c>
      <c r="Q384" s="150"/>
      <c r="R384" s="98"/>
      <c r="S384" s="146"/>
      <c r="T384" s="279" t="s">
        <v>5758</v>
      </c>
      <c r="U384" s="279" t="s">
        <v>4968</v>
      </c>
      <c r="W384" s="25"/>
      <c r="X384" s="25"/>
      <c r="AA384"/>
      <c r="AB384"/>
      <c r="AC384" s="272"/>
      <c r="AD384" s="40"/>
    </row>
    <row r="385" spans="16:30" ht="10.5" customHeight="1">
      <c r="P385" s="150" t="s">
        <v>5759</v>
      </c>
      <c r="Q385" s="150"/>
      <c r="R385" s="98"/>
      <c r="S385" s="146"/>
      <c r="T385" s="279" t="s">
        <v>5760</v>
      </c>
      <c r="U385" s="279" t="s">
        <v>5245</v>
      </c>
      <c r="W385" s="25"/>
      <c r="X385" s="25"/>
      <c r="AA385"/>
      <c r="AB385"/>
      <c r="AC385" s="272"/>
      <c r="AD385" s="40"/>
    </row>
    <row r="386" spans="16:30" ht="10.5" customHeight="1">
      <c r="P386" s="150" t="s">
        <v>5761</v>
      </c>
      <c r="Q386" s="150"/>
      <c r="R386" s="98"/>
      <c r="S386" s="146"/>
      <c r="T386" s="279" t="s">
        <v>5762</v>
      </c>
      <c r="U386" s="279" t="s">
        <v>5004</v>
      </c>
      <c r="W386" s="25"/>
      <c r="X386" s="25"/>
      <c r="AA386"/>
      <c r="AB386"/>
      <c r="AC386" s="272"/>
      <c r="AD386" s="40"/>
    </row>
    <row r="387" spans="16:30" ht="10.5" customHeight="1">
      <c r="P387" s="150" t="s">
        <v>5763</v>
      </c>
      <c r="Q387" s="150"/>
      <c r="R387" s="98"/>
      <c r="S387" s="146"/>
      <c r="T387" s="279" t="s">
        <v>5764</v>
      </c>
      <c r="U387" s="279" t="s">
        <v>90</v>
      </c>
      <c r="W387" s="25"/>
      <c r="X387" s="25"/>
      <c r="AA387"/>
      <c r="AB387"/>
      <c r="AC387" s="272"/>
      <c r="AD387" s="40"/>
    </row>
    <row r="388" spans="16:30" ht="10.5" customHeight="1">
      <c r="P388" s="150" t="s">
        <v>5765</v>
      </c>
      <c r="Q388" s="150"/>
      <c r="R388" s="98"/>
      <c r="S388" s="146"/>
      <c r="T388" s="279" t="s">
        <v>5188</v>
      </c>
      <c r="U388" s="279" t="s">
        <v>5416</v>
      </c>
      <c r="W388" s="25"/>
      <c r="X388" s="25"/>
      <c r="AA388"/>
      <c r="AB388"/>
      <c r="AC388" s="272"/>
      <c r="AD388" s="40"/>
    </row>
    <row r="389" spans="16:30" ht="10.5" customHeight="1">
      <c r="P389" s="150" t="s">
        <v>5766</v>
      </c>
      <c r="Q389" s="150"/>
      <c r="R389" s="98"/>
      <c r="S389" s="146"/>
      <c r="T389" s="279" t="s">
        <v>5767</v>
      </c>
      <c r="U389" s="279" t="s">
        <v>5039</v>
      </c>
      <c r="W389" s="25"/>
      <c r="X389" s="25"/>
      <c r="AA389"/>
      <c r="AB389"/>
      <c r="AC389" s="272"/>
      <c r="AD389" s="40"/>
    </row>
    <row r="390" spans="16:30" ht="10.5" customHeight="1">
      <c r="P390" s="150" t="s">
        <v>5768</v>
      </c>
      <c r="Q390" s="150"/>
      <c r="R390" s="98"/>
      <c r="S390" s="146"/>
      <c r="T390" s="279" t="s">
        <v>5769</v>
      </c>
      <c r="U390" s="279" t="s">
        <v>124</v>
      </c>
      <c r="W390" s="25"/>
      <c r="X390" s="25"/>
      <c r="AA390"/>
      <c r="AB390"/>
      <c r="AC390" s="272"/>
      <c r="AD390" s="40"/>
    </row>
    <row r="391" spans="16:30" ht="10.5" customHeight="1">
      <c r="P391" s="150" t="s">
        <v>5770</v>
      </c>
      <c r="Q391" s="150"/>
      <c r="R391" s="98"/>
      <c r="S391" s="146"/>
      <c r="T391" s="279" t="s">
        <v>112</v>
      </c>
      <c r="U391" s="279" t="s">
        <v>113</v>
      </c>
      <c r="W391" s="25"/>
      <c r="X391" s="25"/>
      <c r="AA391"/>
      <c r="AB391"/>
      <c r="AC391" s="272"/>
      <c r="AD391" s="40"/>
    </row>
    <row r="392" spans="16:30" ht="10.5" customHeight="1">
      <c r="P392" s="150" t="s">
        <v>5771</v>
      </c>
      <c r="Q392" s="150"/>
      <c r="R392" s="98"/>
      <c r="S392" s="146"/>
      <c r="T392" s="279" t="s">
        <v>5772</v>
      </c>
      <c r="U392" s="279" t="s">
        <v>5333</v>
      </c>
      <c r="W392" s="25"/>
      <c r="X392" s="25"/>
      <c r="AA392"/>
      <c r="AB392"/>
      <c r="AC392" s="272"/>
      <c r="AD392" s="40"/>
    </row>
    <row r="393" spans="16:30" ht="10.5" customHeight="1">
      <c r="P393" s="150" t="s">
        <v>5773</v>
      </c>
      <c r="Q393" s="150"/>
      <c r="R393" s="98"/>
      <c r="S393" s="146"/>
      <c r="T393" s="279" t="s">
        <v>5193</v>
      </c>
      <c r="U393" s="279" t="s">
        <v>5275</v>
      </c>
      <c r="W393" s="25"/>
      <c r="X393" s="25"/>
      <c r="AA393"/>
      <c r="AB393"/>
      <c r="AC393" s="272"/>
      <c r="AD393" s="40"/>
    </row>
    <row r="394" spans="16:30" ht="10.5" customHeight="1">
      <c r="P394" s="150" t="s">
        <v>5774</v>
      </c>
      <c r="Q394" s="150"/>
      <c r="R394" s="98"/>
      <c r="S394" s="146"/>
      <c r="T394" s="279" t="s">
        <v>5775</v>
      </c>
      <c r="U394" s="279" t="s">
        <v>5193</v>
      </c>
      <c r="W394" s="25"/>
      <c r="X394" s="25"/>
      <c r="AA394"/>
      <c r="AB394"/>
      <c r="AC394" s="272"/>
      <c r="AD394" s="40"/>
    </row>
    <row r="395" spans="16:30" ht="10.5" customHeight="1">
      <c r="P395" s="150" t="s">
        <v>5776</v>
      </c>
      <c r="Q395" s="150"/>
      <c r="R395" s="98"/>
      <c r="S395" s="146"/>
      <c r="T395" s="279" t="s">
        <v>5777</v>
      </c>
      <c r="U395" s="279" t="s">
        <v>5063</v>
      </c>
      <c r="W395" s="25"/>
      <c r="X395" s="25"/>
      <c r="AA395"/>
      <c r="AB395"/>
      <c r="AC395" s="272"/>
      <c r="AD395" s="40"/>
    </row>
    <row r="396" spans="16:30" ht="10.5" customHeight="1">
      <c r="P396" s="150" t="s">
        <v>5778</v>
      </c>
      <c r="Q396" s="150"/>
      <c r="R396" s="98"/>
      <c r="S396" s="146"/>
      <c r="T396" s="279" t="s">
        <v>5084</v>
      </c>
      <c r="U396" s="279" t="s">
        <v>5245</v>
      </c>
      <c r="W396" s="25"/>
      <c r="X396" s="25"/>
      <c r="AA396"/>
      <c r="AB396"/>
      <c r="AC396" s="272"/>
      <c r="AD396" s="40"/>
    </row>
    <row r="397" spans="16:30" ht="10.5" customHeight="1">
      <c r="P397" s="150" t="s">
        <v>5779</v>
      </c>
      <c r="Q397" s="150"/>
      <c r="R397" s="98"/>
      <c r="S397" s="146"/>
      <c r="T397" s="279" t="s">
        <v>5780</v>
      </c>
      <c r="U397" s="279" t="s">
        <v>127</v>
      </c>
      <c r="W397" s="25"/>
      <c r="X397" s="25"/>
      <c r="AA397"/>
      <c r="AB397"/>
      <c r="AC397" s="272"/>
      <c r="AD397" s="40"/>
    </row>
    <row r="398" spans="16:30" ht="10.5" customHeight="1">
      <c r="P398" s="150" t="s">
        <v>5781</v>
      </c>
      <c r="Q398" s="150"/>
      <c r="R398" s="98"/>
      <c r="S398" s="146"/>
      <c r="T398" s="279" t="s">
        <v>5782</v>
      </c>
      <c r="U398" s="279" t="s">
        <v>5159</v>
      </c>
      <c r="W398" s="25"/>
      <c r="X398" s="25"/>
      <c r="AA398"/>
      <c r="AB398"/>
      <c r="AC398" s="272"/>
      <c r="AD398" s="40"/>
    </row>
    <row r="399" spans="16:30" ht="10.5" customHeight="1">
      <c r="P399" s="150" t="s">
        <v>5783</v>
      </c>
      <c r="Q399" s="150"/>
      <c r="R399" s="98"/>
      <c r="S399" s="146"/>
      <c r="T399" s="279" t="s">
        <v>5784</v>
      </c>
      <c r="U399" s="279" t="s">
        <v>5401</v>
      </c>
      <c r="W399" s="25"/>
      <c r="X399" s="25"/>
      <c r="AA399"/>
      <c r="AB399"/>
      <c r="AC399" s="272"/>
      <c r="AD399" s="40"/>
    </row>
    <row r="400" spans="16:30" ht="10.5" customHeight="1">
      <c r="P400" s="150" t="s">
        <v>5785</v>
      </c>
      <c r="Q400" s="150"/>
      <c r="R400" s="98"/>
      <c r="S400" s="146"/>
      <c r="T400" s="146" t="s">
        <v>5786</v>
      </c>
      <c r="U400" s="146" t="s">
        <v>5538</v>
      </c>
      <c r="AA400"/>
      <c r="AB400"/>
      <c r="AC400" s="40"/>
      <c r="AD400" s="40"/>
    </row>
    <row r="401" spans="16:30" ht="10.5" customHeight="1">
      <c r="P401" s="150" t="s">
        <v>5787</v>
      </c>
      <c r="Q401" s="150"/>
      <c r="R401" s="98"/>
      <c r="S401" s="146"/>
      <c r="T401" s="279" t="s">
        <v>114</v>
      </c>
      <c r="U401" s="279" t="s">
        <v>115</v>
      </c>
      <c r="AA401"/>
      <c r="AB401"/>
      <c r="AC401" s="272"/>
      <c r="AD401" s="40"/>
    </row>
    <row r="402" spans="16:30" ht="10.5" customHeight="1">
      <c r="P402" s="150" t="s">
        <v>5788</v>
      </c>
      <c r="Q402" s="150"/>
      <c r="R402" s="98"/>
      <c r="S402" s="146"/>
      <c r="T402" s="279" t="s">
        <v>5789</v>
      </c>
      <c r="U402" s="279" t="s">
        <v>5208</v>
      </c>
      <c r="AA402"/>
      <c r="AB402"/>
      <c r="AC402" s="272"/>
      <c r="AD402" s="40"/>
    </row>
    <row r="403" spans="16:30" ht="10.5" customHeight="1">
      <c r="P403" s="150" t="s">
        <v>5790</v>
      </c>
      <c r="Q403" s="150"/>
      <c r="R403" s="98"/>
      <c r="S403" s="146"/>
      <c r="T403" s="279" t="s">
        <v>5791</v>
      </c>
      <c r="U403" s="279" t="s">
        <v>5245</v>
      </c>
      <c r="AA403"/>
      <c r="AB403"/>
      <c r="AC403" s="272"/>
      <c r="AD403" s="40"/>
    </row>
    <row r="404" spans="16:30" ht="10.5" customHeight="1">
      <c r="P404" s="150" t="s">
        <v>5792</v>
      </c>
      <c r="Q404" s="150"/>
      <c r="R404" s="98"/>
      <c r="S404" s="146"/>
      <c r="T404" s="146" t="s">
        <v>5793</v>
      </c>
      <c r="U404" s="146" t="s">
        <v>4961</v>
      </c>
      <c r="AA404"/>
      <c r="AB404"/>
      <c r="AC404" s="40"/>
      <c r="AD404" s="40"/>
    </row>
    <row r="405" spans="16:30" ht="10.5" customHeight="1">
      <c r="P405" s="150" t="s">
        <v>5794</v>
      </c>
      <c r="Q405" s="150"/>
      <c r="R405" s="98"/>
      <c r="S405" s="146"/>
      <c r="T405" s="279" t="s">
        <v>5795</v>
      </c>
      <c r="U405" s="279" t="s">
        <v>5505</v>
      </c>
      <c r="AA405"/>
      <c r="AB405"/>
      <c r="AC405" s="272"/>
      <c r="AD405" s="40"/>
    </row>
    <row r="406" spans="16:30" ht="10.5" customHeight="1">
      <c r="P406" s="150" t="s">
        <v>5796</v>
      </c>
      <c r="Q406" s="150"/>
      <c r="R406" s="98"/>
      <c r="S406" s="146"/>
      <c r="T406" s="279" t="s">
        <v>5797</v>
      </c>
      <c r="U406" s="279" t="s">
        <v>4910</v>
      </c>
      <c r="AA406"/>
      <c r="AB406"/>
      <c r="AC406" s="272"/>
      <c r="AD406" s="40"/>
    </row>
    <row r="407" spans="16:30" ht="10.5" customHeight="1">
      <c r="P407" s="150" t="s">
        <v>5798</v>
      </c>
      <c r="Q407" s="150"/>
      <c r="R407" s="98"/>
      <c r="S407" s="146"/>
      <c r="T407" s="279" t="s">
        <v>5799</v>
      </c>
      <c r="U407" s="279" t="s">
        <v>5150</v>
      </c>
      <c r="AA407"/>
      <c r="AB407"/>
      <c r="AC407" s="272"/>
      <c r="AD407" s="40"/>
    </row>
    <row r="408" spans="16:30" ht="10.5" customHeight="1">
      <c r="P408" s="150" t="s">
        <v>5800</v>
      </c>
      <c r="Q408" s="150"/>
      <c r="R408" s="98"/>
      <c r="S408" s="146"/>
      <c r="T408" s="279" t="s">
        <v>5217</v>
      </c>
      <c r="U408" s="279" t="s">
        <v>4942</v>
      </c>
      <c r="AA408"/>
      <c r="AB408"/>
      <c r="AC408" s="272"/>
      <c r="AD408" s="40"/>
    </row>
    <row r="409" spans="16:30" ht="10.5" customHeight="1">
      <c r="P409" s="150" t="s">
        <v>5801</v>
      </c>
      <c r="Q409" s="150"/>
      <c r="R409" s="98"/>
      <c r="S409" s="146"/>
      <c r="T409" s="279" t="s">
        <v>5802</v>
      </c>
      <c r="U409" s="279" t="s">
        <v>4854</v>
      </c>
      <c r="AA409"/>
      <c r="AB409"/>
      <c r="AC409" s="272"/>
      <c r="AD409" s="40"/>
    </row>
    <row r="410" spans="16:30" ht="10.5" customHeight="1">
      <c r="P410" s="150" t="s">
        <v>5803</v>
      </c>
      <c r="Q410" s="150"/>
      <c r="R410" s="98"/>
      <c r="S410" s="146"/>
      <c r="T410" s="146" t="s">
        <v>5804</v>
      </c>
      <c r="U410" s="146" t="s">
        <v>105</v>
      </c>
      <c r="AA410"/>
      <c r="AB410"/>
      <c r="AC410" s="40"/>
      <c r="AD410" s="40"/>
    </row>
    <row r="411" spans="16:30" ht="10.5" customHeight="1">
      <c r="P411" s="150" t="s">
        <v>5805</v>
      </c>
      <c r="Q411" s="150"/>
      <c r="R411" s="98"/>
      <c r="S411" s="146"/>
      <c r="T411" s="279" t="s">
        <v>5806</v>
      </c>
      <c r="U411" s="279" t="s">
        <v>5325</v>
      </c>
      <c r="AA411"/>
      <c r="AB411"/>
      <c r="AC411" s="272"/>
      <c r="AD411" s="40"/>
    </row>
    <row r="412" spans="16:30" ht="10.5" customHeight="1">
      <c r="P412" s="150" t="s">
        <v>5807</v>
      </c>
      <c r="Q412" s="150"/>
      <c r="R412" s="98"/>
      <c r="S412" s="146"/>
      <c r="T412" s="279" t="s">
        <v>5808</v>
      </c>
      <c r="U412" s="279" t="s">
        <v>5133</v>
      </c>
      <c r="AA412"/>
      <c r="AB412"/>
      <c r="AC412" s="272"/>
      <c r="AD412" s="40"/>
    </row>
    <row r="413" spans="16:30" ht="10.5" customHeight="1">
      <c r="P413" s="150" t="s">
        <v>5809</v>
      </c>
      <c r="Q413" s="150"/>
      <c r="R413" s="98"/>
      <c r="S413" s="146"/>
      <c r="T413" s="279" t="s">
        <v>2106</v>
      </c>
      <c r="U413" s="279" t="s">
        <v>5230</v>
      </c>
      <c r="AA413"/>
      <c r="AB413"/>
      <c r="AC413" s="272"/>
      <c r="AD413" s="40"/>
    </row>
    <row r="414" spans="16:30" ht="10.5" customHeight="1">
      <c r="P414" s="150" t="s">
        <v>5810</v>
      </c>
      <c r="Q414" s="150"/>
      <c r="R414" s="98"/>
      <c r="S414" s="146"/>
      <c r="T414" s="279" t="s">
        <v>5811</v>
      </c>
      <c r="U414" s="279" t="s">
        <v>5401</v>
      </c>
      <c r="AA414"/>
      <c r="AB414"/>
      <c r="AC414" s="272"/>
      <c r="AD414" s="40"/>
    </row>
    <row r="415" spans="16:30" ht="10.5" customHeight="1">
      <c r="P415" s="150" t="s">
        <v>5812</v>
      </c>
      <c r="Q415" s="150"/>
      <c r="R415" s="98"/>
      <c r="S415" s="146"/>
      <c r="T415" s="279" t="s">
        <v>116</v>
      </c>
      <c r="U415" s="279" t="s">
        <v>85</v>
      </c>
      <c r="AA415"/>
      <c r="AB415"/>
      <c r="AC415" s="272"/>
      <c r="AD415" s="40"/>
    </row>
    <row r="416" spans="16:30" ht="10.5" customHeight="1">
      <c r="P416" s="150" t="s">
        <v>5813</v>
      </c>
      <c r="Q416" s="150"/>
      <c r="R416" s="98"/>
      <c r="S416" s="146"/>
      <c r="T416" s="279" t="s">
        <v>2108</v>
      </c>
      <c r="U416" s="279" t="s">
        <v>103</v>
      </c>
      <c r="AA416"/>
      <c r="AB416"/>
      <c r="AC416" s="272"/>
      <c r="AD416" s="40"/>
    </row>
    <row r="417" spans="16:30" ht="10.5" customHeight="1">
      <c r="P417" s="150" t="s">
        <v>5814</v>
      </c>
      <c r="Q417" s="150"/>
      <c r="R417" s="98"/>
      <c r="S417" s="146"/>
      <c r="T417" s="279" t="s">
        <v>5815</v>
      </c>
      <c r="U417" s="279" t="s">
        <v>107</v>
      </c>
      <c r="AA417"/>
      <c r="AB417"/>
      <c r="AC417" s="272"/>
      <c r="AD417" s="40"/>
    </row>
    <row r="418" spans="16:30" ht="10.5" customHeight="1">
      <c r="P418" s="150" t="s">
        <v>5816</v>
      </c>
      <c r="Q418" s="150"/>
      <c r="R418" s="98"/>
      <c r="S418" s="146"/>
      <c r="T418" s="279" t="s">
        <v>5817</v>
      </c>
      <c r="U418" s="279" t="s">
        <v>113</v>
      </c>
      <c r="AA418"/>
      <c r="AB418"/>
      <c r="AC418" s="272"/>
      <c r="AD418" s="40"/>
    </row>
    <row r="419" spans="16:30" ht="10.5" customHeight="1">
      <c r="P419" s="150" t="s">
        <v>5818</v>
      </c>
      <c r="Q419" s="150"/>
      <c r="R419" s="98"/>
      <c r="S419" s="146"/>
      <c r="T419" s="279" t="s">
        <v>117</v>
      </c>
      <c r="U419" s="279" t="s">
        <v>118</v>
      </c>
      <c r="AA419"/>
      <c r="AB419"/>
      <c r="AC419" s="272"/>
      <c r="AD419" s="40"/>
    </row>
    <row r="420" spans="16:30" ht="10.5" customHeight="1">
      <c r="P420" s="150" t="s">
        <v>5819</v>
      </c>
      <c r="Q420" s="150"/>
      <c r="R420" s="98"/>
      <c r="S420" s="146"/>
      <c r="T420" s="279" t="s">
        <v>5820</v>
      </c>
      <c r="U420" s="279" t="s">
        <v>5146</v>
      </c>
      <c r="AA420"/>
      <c r="AB420"/>
      <c r="AC420" s="272"/>
      <c r="AD420" s="40"/>
    </row>
    <row r="421" spans="16:30" ht="10.5" customHeight="1">
      <c r="P421" s="150" t="s">
        <v>5821</v>
      </c>
      <c r="Q421" s="150"/>
      <c r="R421" s="98"/>
      <c r="S421" s="146"/>
      <c r="T421" s="279" t="s">
        <v>5822</v>
      </c>
      <c r="U421" s="279" t="s">
        <v>106</v>
      </c>
      <c r="AA421"/>
      <c r="AB421"/>
      <c r="AC421" s="272"/>
      <c r="AD421" s="40"/>
    </row>
    <row r="422" spans="16:30" ht="10.5" customHeight="1">
      <c r="P422" s="150" t="s">
        <v>5823</v>
      </c>
      <c r="Q422" s="150"/>
      <c r="R422" s="98"/>
      <c r="S422" s="146"/>
      <c r="T422" s="279" t="s">
        <v>5824</v>
      </c>
      <c r="U422" s="279" t="s">
        <v>141</v>
      </c>
      <c r="AA422"/>
      <c r="AB422"/>
      <c r="AC422" s="272"/>
      <c r="AD422" s="40"/>
    </row>
    <row r="423" spans="16:30" ht="10.5" customHeight="1">
      <c r="P423" s="150" t="s">
        <v>5825</v>
      </c>
      <c r="Q423" s="150"/>
      <c r="R423" s="98"/>
      <c r="S423" s="146"/>
      <c r="T423" s="146" t="s">
        <v>5826</v>
      </c>
      <c r="U423" s="146" t="s">
        <v>5264</v>
      </c>
      <c r="AA423"/>
      <c r="AB423"/>
      <c r="AC423" s="40"/>
      <c r="AD423" s="40"/>
    </row>
    <row r="424" spans="16:30" ht="10.5" customHeight="1">
      <c r="P424" s="150" t="s">
        <v>5827</v>
      </c>
      <c r="Q424" s="150"/>
      <c r="R424" s="98"/>
      <c r="S424" s="146"/>
      <c r="T424" s="279" t="s">
        <v>5828</v>
      </c>
      <c r="U424" s="279" t="s">
        <v>88</v>
      </c>
      <c r="AA424"/>
      <c r="AB424"/>
      <c r="AC424" s="272"/>
      <c r="AD424" s="40"/>
    </row>
    <row r="425" spans="16:30" ht="10.5" customHeight="1">
      <c r="P425" s="150" t="s">
        <v>5829</v>
      </c>
      <c r="Q425" s="150"/>
      <c r="R425" s="98"/>
      <c r="S425" s="146"/>
      <c r="T425" s="279" t="s">
        <v>119</v>
      </c>
      <c r="U425" s="279" t="s">
        <v>120</v>
      </c>
      <c r="AA425"/>
      <c r="AB425"/>
      <c r="AC425" s="272"/>
      <c r="AD425" s="40"/>
    </row>
    <row r="426" spans="16:30" ht="10.5" customHeight="1">
      <c r="P426" s="150" t="s">
        <v>5830</v>
      </c>
      <c r="Q426" s="150"/>
      <c r="R426" s="98"/>
      <c r="S426" s="146"/>
      <c r="T426" s="279" t="s">
        <v>5831</v>
      </c>
      <c r="U426" s="279" t="s">
        <v>143</v>
      </c>
      <c r="AA426"/>
      <c r="AB426"/>
      <c r="AC426" s="272"/>
      <c r="AD426" s="40"/>
    </row>
    <row r="427" spans="16:30" ht="10.5" customHeight="1">
      <c r="P427" s="150" t="s">
        <v>5832</v>
      </c>
      <c r="Q427" s="150"/>
      <c r="R427" s="98"/>
      <c r="S427" s="146"/>
      <c r="T427" s="279" t="s">
        <v>5258</v>
      </c>
      <c r="U427" s="279" t="s">
        <v>105</v>
      </c>
      <c r="AA427"/>
      <c r="AB427"/>
      <c r="AC427" s="272"/>
      <c r="AD427" s="40"/>
    </row>
    <row r="428" spans="16:30" ht="10.5" customHeight="1">
      <c r="P428" s="150" t="s">
        <v>5833</v>
      </c>
      <c r="Q428" s="150"/>
      <c r="R428" s="98"/>
      <c r="S428" s="146"/>
      <c r="T428" s="279" t="s">
        <v>5834</v>
      </c>
      <c r="U428" s="279" t="s">
        <v>4885</v>
      </c>
      <c r="AA428"/>
      <c r="AB428"/>
      <c r="AC428" s="272"/>
      <c r="AD428" s="40"/>
    </row>
    <row r="429" spans="16:30" ht="10.5" customHeight="1">
      <c r="P429" s="150" t="s">
        <v>5835</v>
      </c>
      <c r="Q429" s="150"/>
      <c r="R429" s="98"/>
      <c r="S429" s="146"/>
      <c r="T429" s="279" t="s">
        <v>5836</v>
      </c>
      <c r="U429" s="279" t="s">
        <v>107</v>
      </c>
      <c r="AA429"/>
      <c r="AB429"/>
      <c r="AC429" s="272"/>
      <c r="AD429" s="40"/>
    </row>
    <row r="430" spans="16:30" ht="10.5" customHeight="1">
      <c r="P430" s="150" t="s">
        <v>5837</v>
      </c>
      <c r="Q430" s="150"/>
      <c r="R430" s="98"/>
      <c r="S430" s="146"/>
      <c r="T430" s="279" t="s">
        <v>5838</v>
      </c>
      <c r="U430" s="279" t="s">
        <v>2147</v>
      </c>
      <c r="AA430"/>
      <c r="AB430"/>
      <c r="AC430" s="272"/>
      <c r="AD430" s="40"/>
    </row>
    <row r="431" spans="16:30" ht="10.5" customHeight="1">
      <c r="P431" s="150" t="s">
        <v>5839</v>
      </c>
      <c r="Q431" s="150"/>
      <c r="R431" s="98"/>
      <c r="S431" s="146"/>
      <c r="T431" s="279" t="s">
        <v>2109</v>
      </c>
      <c r="U431" s="279" t="s">
        <v>156</v>
      </c>
      <c r="AA431"/>
      <c r="AB431"/>
      <c r="AC431" s="272"/>
      <c r="AD431" s="40"/>
    </row>
    <row r="432" spans="16:30" ht="10.5" customHeight="1">
      <c r="P432" s="150" t="s">
        <v>5840</v>
      </c>
      <c r="Q432" s="150"/>
      <c r="R432" s="98"/>
      <c r="S432" s="146"/>
      <c r="T432" s="279" t="s">
        <v>5841</v>
      </c>
      <c r="U432" s="279" t="s">
        <v>5475</v>
      </c>
      <c r="AA432"/>
      <c r="AB432"/>
      <c r="AC432" s="272"/>
      <c r="AD432" s="40"/>
    </row>
    <row r="433" spans="16:30" ht="10.5" customHeight="1">
      <c r="P433" s="150" t="s">
        <v>5842</v>
      </c>
      <c r="Q433" s="150"/>
      <c r="R433" s="98"/>
      <c r="S433" s="146"/>
      <c r="T433" s="279" t="s">
        <v>5843</v>
      </c>
      <c r="U433" s="279" t="s">
        <v>5301</v>
      </c>
      <c r="AA433"/>
      <c r="AB433"/>
      <c r="AC433" s="272"/>
      <c r="AD433" s="40"/>
    </row>
    <row r="434" spans="16:30" ht="10.5" customHeight="1">
      <c r="P434" s="150" t="s">
        <v>5844</v>
      </c>
      <c r="Q434" s="150"/>
      <c r="R434" s="98"/>
      <c r="S434" s="146"/>
      <c r="T434" s="279" t="s">
        <v>5845</v>
      </c>
      <c r="U434" s="279" t="s">
        <v>5498</v>
      </c>
      <c r="AA434"/>
      <c r="AB434"/>
      <c r="AC434" s="272"/>
      <c r="AD434" s="40"/>
    </row>
    <row r="435" spans="16:30" ht="10.5" customHeight="1">
      <c r="P435" s="150" t="s">
        <v>5846</v>
      </c>
      <c r="Q435" s="150"/>
      <c r="R435" s="98"/>
      <c r="S435" s="146"/>
      <c r="T435" s="279" t="s">
        <v>5847</v>
      </c>
      <c r="U435" s="279" t="s">
        <v>127</v>
      </c>
      <c r="AA435"/>
      <c r="AB435"/>
      <c r="AC435" s="272"/>
      <c r="AD435" s="40"/>
    </row>
    <row r="436" spans="16:30" ht="10.5" customHeight="1">
      <c r="P436" s="150" t="s">
        <v>5848</v>
      </c>
      <c r="Q436" s="150"/>
      <c r="R436" s="98"/>
      <c r="S436" s="146"/>
      <c r="T436" s="279" t="s">
        <v>5849</v>
      </c>
      <c r="U436" s="279" t="s">
        <v>5056</v>
      </c>
      <c r="AA436"/>
      <c r="AB436"/>
      <c r="AC436" s="272"/>
      <c r="AD436" s="40"/>
    </row>
    <row r="437" spans="16:30" ht="10.5" customHeight="1">
      <c r="P437" s="150" t="s">
        <v>5850</v>
      </c>
      <c r="Q437" s="150"/>
      <c r="R437" s="98"/>
      <c r="S437" s="146"/>
      <c r="T437" s="146" t="s">
        <v>5851</v>
      </c>
      <c r="U437" s="146" t="s">
        <v>88</v>
      </c>
      <c r="AA437"/>
      <c r="AB437"/>
      <c r="AC437" s="40"/>
      <c r="AD437" s="40"/>
    </row>
    <row r="438" spans="16:30" ht="10.5" customHeight="1">
      <c r="P438" s="150" t="s">
        <v>5852</v>
      </c>
      <c r="Q438" s="150"/>
      <c r="R438" s="98"/>
      <c r="S438" s="146"/>
      <c r="T438" s="279" t="s">
        <v>5853</v>
      </c>
      <c r="U438" s="279" t="s">
        <v>118</v>
      </c>
      <c r="AA438"/>
      <c r="AB438"/>
      <c r="AC438" s="272"/>
      <c r="AD438" s="40"/>
    </row>
    <row r="439" spans="16:30" ht="10.5" customHeight="1">
      <c r="P439" s="150" t="s">
        <v>5854</v>
      </c>
      <c r="Q439" s="150"/>
      <c r="R439" s="98"/>
      <c r="S439" s="146"/>
      <c r="T439" s="146" t="s">
        <v>5855</v>
      </c>
      <c r="U439" s="146" t="s">
        <v>139</v>
      </c>
      <c r="AA439"/>
      <c r="AB439"/>
      <c r="AC439" s="40"/>
      <c r="AD439" s="40"/>
    </row>
    <row r="440" spans="16:30" ht="10.5" customHeight="1">
      <c r="P440" s="150" t="s">
        <v>5856</v>
      </c>
      <c r="Q440" s="150"/>
      <c r="R440" s="98"/>
      <c r="S440" s="146"/>
      <c r="T440" s="279" t="s">
        <v>121</v>
      </c>
      <c r="U440" s="279" t="s">
        <v>122</v>
      </c>
      <c r="AA440"/>
      <c r="AB440"/>
      <c r="AC440" s="272"/>
      <c r="AD440" s="40"/>
    </row>
    <row r="441" spans="16:30" ht="10.5" customHeight="1">
      <c r="P441" s="150" t="s">
        <v>5857</v>
      </c>
      <c r="Q441" s="150"/>
      <c r="R441" s="98"/>
      <c r="S441" s="146"/>
      <c r="T441" s="146" t="s">
        <v>5858</v>
      </c>
      <c r="U441" s="146" t="s">
        <v>5510</v>
      </c>
      <c r="AA441"/>
      <c r="AB441"/>
      <c r="AC441" s="40"/>
      <c r="AD441" s="40"/>
    </row>
    <row r="442" spans="16:30" ht="10.5" customHeight="1">
      <c r="P442" s="150" t="s">
        <v>5859</v>
      </c>
      <c r="Q442" s="150"/>
      <c r="R442" s="98"/>
      <c r="S442" s="146"/>
      <c r="T442" s="279" t="s">
        <v>5860</v>
      </c>
      <c r="U442" s="279" t="s">
        <v>113</v>
      </c>
      <c r="AA442"/>
      <c r="AB442"/>
      <c r="AC442" s="272"/>
      <c r="AD442" s="40"/>
    </row>
    <row r="443" spans="16:30" ht="10.5" customHeight="1">
      <c r="P443" s="150" t="s">
        <v>5861</v>
      </c>
      <c r="Q443" s="150"/>
      <c r="R443" s="98"/>
      <c r="S443" s="146"/>
      <c r="T443" s="279" t="s">
        <v>5862</v>
      </c>
      <c r="U443" s="279" t="s">
        <v>5256</v>
      </c>
      <c r="AA443"/>
      <c r="AB443"/>
      <c r="AC443" s="272"/>
      <c r="AD443" s="40"/>
    </row>
    <row r="444" spans="16:30" ht="10.5" customHeight="1">
      <c r="P444" s="150" t="s">
        <v>5863</v>
      </c>
      <c r="Q444" s="150"/>
      <c r="R444" s="98"/>
      <c r="S444" s="146"/>
      <c r="T444" s="279" t="s">
        <v>5864</v>
      </c>
      <c r="U444" s="279" t="s">
        <v>4937</v>
      </c>
      <c r="AA444"/>
      <c r="AB444"/>
      <c r="AC444" s="272"/>
      <c r="AD444" s="40"/>
    </row>
    <row r="445" spans="16:30" ht="10.5" customHeight="1">
      <c r="P445" s="150" t="s">
        <v>5865</v>
      </c>
      <c r="Q445" s="150"/>
      <c r="R445" s="98"/>
      <c r="S445" s="146"/>
      <c r="T445" s="279" t="s">
        <v>5866</v>
      </c>
      <c r="U445" s="279" t="s">
        <v>5581</v>
      </c>
      <c r="AA445"/>
      <c r="AB445"/>
      <c r="AC445" s="272"/>
      <c r="AD445" s="40"/>
    </row>
    <row r="446" spans="16:30" ht="10.5" customHeight="1">
      <c r="P446" s="150" t="s">
        <v>5867</v>
      </c>
      <c r="Q446" s="150"/>
      <c r="R446" s="98"/>
      <c r="S446" s="146"/>
      <c r="T446" s="279" t="s">
        <v>5868</v>
      </c>
      <c r="U446" s="279" t="s">
        <v>5028</v>
      </c>
      <c r="AA446"/>
      <c r="AB446"/>
      <c r="AC446" s="272"/>
      <c r="AD446" s="40"/>
    </row>
    <row r="447" spans="16:30" ht="10.5" customHeight="1">
      <c r="P447" s="150" t="s">
        <v>5869</v>
      </c>
      <c r="Q447" s="150"/>
      <c r="R447" s="98"/>
      <c r="S447" s="146"/>
      <c r="T447" s="279" t="s">
        <v>5870</v>
      </c>
      <c r="U447" s="279" t="s">
        <v>5004</v>
      </c>
      <c r="AA447"/>
      <c r="AB447"/>
      <c r="AC447" s="272"/>
      <c r="AD447" s="40"/>
    </row>
    <row r="448" spans="16:30" ht="10.5" customHeight="1">
      <c r="P448" s="150" t="s">
        <v>5871</v>
      </c>
      <c r="Q448" s="150"/>
      <c r="R448" s="98"/>
      <c r="S448" s="146"/>
      <c r="T448" s="279" t="s">
        <v>5872</v>
      </c>
      <c r="U448" s="279" t="s">
        <v>4893</v>
      </c>
      <c r="AA448"/>
      <c r="AB448"/>
      <c r="AC448" s="272"/>
      <c r="AD448" s="40"/>
    </row>
    <row r="449" spans="16:30" ht="10.5" customHeight="1">
      <c r="P449" s="150" t="s">
        <v>5873</v>
      </c>
      <c r="Q449" s="150"/>
      <c r="R449" s="98"/>
      <c r="S449" s="146"/>
      <c r="T449" s="279" t="s">
        <v>5874</v>
      </c>
      <c r="U449" s="279" t="s">
        <v>5014</v>
      </c>
      <c r="AA449"/>
      <c r="AB449"/>
      <c r="AC449" s="272"/>
      <c r="AD449" s="40"/>
    </row>
    <row r="450" spans="16:30" ht="10.5" customHeight="1">
      <c r="P450" s="150" t="s">
        <v>5875</v>
      </c>
      <c r="Q450" s="150"/>
      <c r="R450" s="98"/>
      <c r="S450" s="146"/>
      <c r="T450" s="279" t="s">
        <v>5876</v>
      </c>
      <c r="U450" s="279" t="s">
        <v>5009</v>
      </c>
      <c r="AA450"/>
      <c r="AB450"/>
      <c r="AC450" s="272"/>
      <c r="AD450" s="40"/>
    </row>
    <row r="451" spans="16:30" ht="10.5" customHeight="1">
      <c r="P451" s="150" t="s">
        <v>5877</v>
      </c>
      <c r="Q451" s="150"/>
      <c r="R451" s="98"/>
      <c r="S451" s="146"/>
      <c r="T451" s="279" t="s">
        <v>5878</v>
      </c>
      <c r="U451" s="279" t="s">
        <v>5323</v>
      </c>
      <c r="AA451"/>
      <c r="AB451"/>
      <c r="AC451" s="272"/>
      <c r="AD451" s="40"/>
    </row>
    <row r="452" spans="16:30" ht="10.5" customHeight="1">
      <c r="P452" s="150" t="s">
        <v>5879</v>
      </c>
      <c r="Q452" s="150"/>
      <c r="R452" s="98"/>
      <c r="S452" s="146"/>
      <c r="T452" s="310" t="s">
        <v>5880</v>
      </c>
      <c r="U452" s="279" t="s">
        <v>2114</v>
      </c>
      <c r="AA452"/>
      <c r="AB452"/>
      <c r="AC452" s="519"/>
      <c r="AD452" s="40"/>
    </row>
    <row r="453" spans="16:30" ht="10.5" customHeight="1">
      <c r="P453" s="150" t="s">
        <v>5881</v>
      </c>
      <c r="Q453" s="150"/>
      <c r="R453" s="98"/>
      <c r="S453" s="146"/>
      <c r="T453" s="279" t="s">
        <v>5882</v>
      </c>
      <c r="U453" s="279" t="s">
        <v>4888</v>
      </c>
      <c r="AA453"/>
      <c r="AB453"/>
      <c r="AC453" s="272"/>
      <c r="AD453" s="40"/>
    </row>
    <row r="454" spans="16:30" ht="10.5" customHeight="1">
      <c r="P454" s="150" t="s">
        <v>5883</v>
      </c>
      <c r="Q454" s="150"/>
      <c r="R454" s="98"/>
      <c r="S454" s="146"/>
      <c r="T454" s="279" t="s">
        <v>5884</v>
      </c>
      <c r="U454" s="279" t="s">
        <v>2114</v>
      </c>
      <c r="AA454"/>
      <c r="AB454"/>
      <c r="AC454" s="272"/>
      <c r="AD454" s="40"/>
    </row>
    <row r="455" spans="16:30" ht="10.5" customHeight="1">
      <c r="P455" s="150" t="s">
        <v>5885</v>
      </c>
      <c r="Q455" s="150"/>
      <c r="R455" s="98"/>
      <c r="S455" s="146"/>
      <c r="T455" s="279" t="s">
        <v>123</v>
      </c>
      <c r="U455" s="279" t="s">
        <v>124</v>
      </c>
      <c r="AA455"/>
      <c r="AB455"/>
      <c r="AC455" s="272"/>
      <c r="AD455" s="40"/>
    </row>
    <row r="456" spans="16:30" ht="10.5" customHeight="1">
      <c r="P456" s="150" t="s">
        <v>5886</v>
      </c>
      <c r="Q456" s="150"/>
      <c r="R456" s="98"/>
      <c r="S456" s="146"/>
      <c r="T456" s="279" t="s">
        <v>5887</v>
      </c>
      <c r="U456" s="279" t="s">
        <v>5519</v>
      </c>
      <c r="AA456"/>
      <c r="AB456"/>
      <c r="AC456" s="272"/>
      <c r="AD456" s="40"/>
    </row>
    <row r="457" spans="16:30" ht="10.5" customHeight="1">
      <c r="P457" s="150" t="s">
        <v>5888</v>
      </c>
      <c r="Q457" s="150"/>
      <c r="R457" s="98"/>
      <c r="S457" s="146"/>
      <c r="T457" s="146" t="s">
        <v>125</v>
      </c>
      <c r="U457" s="146" t="s">
        <v>90</v>
      </c>
      <c r="AA457"/>
      <c r="AB457"/>
      <c r="AC457" s="40"/>
      <c r="AD457" s="40"/>
    </row>
    <row r="458" spans="16:30" ht="10.5" customHeight="1">
      <c r="P458" s="150" t="s">
        <v>5889</v>
      </c>
      <c r="Q458" s="150"/>
      <c r="R458" s="98"/>
      <c r="S458" s="146"/>
      <c r="T458" s="279" t="s">
        <v>5890</v>
      </c>
      <c r="U458" s="279" t="s">
        <v>4942</v>
      </c>
      <c r="AA458"/>
      <c r="AB458"/>
      <c r="AC458" s="272"/>
      <c r="AD458" s="40"/>
    </row>
    <row r="459" spans="16:30" ht="10.5" customHeight="1">
      <c r="P459" s="150" t="s">
        <v>5891</v>
      </c>
      <c r="Q459" s="150"/>
      <c r="R459" s="98"/>
      <c r="S459" s="146"/>
      <c r="T459" s="279" t="s">
        <v>126</v>
      </c>
      <c r="U459" s="279" t="s">
        <v>127</v>
      </c>
      <c r="AA459"/>
      <c r="AB459"/>
      <c r="AC459" s="272"/>
      <c r="AD459" s="40"/>
    </row>
    <row r="460" spans="16:30" ht="10.5" customHeight="1">
      <c r="P460" s="150" t="s">
        <v>5892</v>
      </c>
      <c r="Q460" s="150"/>
      <c r="R460" s="98"/>
      <c r="S460" s="146"/>
      <c r="T460" s="279" t="s">
        <v>5893</v>
      </c>
      <c r="U460" s="279" t="s">
        <v>4942</v>
      </c>
      <c r="AA460"/>
      <c r="AB460"/>
      <c r="AC460" s="272"/>
      <c r="AD460" s="40"/>
    </row>
    <row r="461" spans="16:30" ht="10.5" customHeight="1">
      <c r="P461" s="150" t="s">
        <v>5894</v>
      </c>
      <c r="Q461" s="150"/>
      <c r="R461" s="98"/>
      <c r="S461" s="146"/>
      <c r="T461" s="279" t="s">
        <v>5009</v>
      </c>
      <c r="U461" s="279" t="s">
        <v>4968</v>
      </c>
      <c r="AA461"/>
      <c r="AB461"/>
      <c r="AC461" s="272"/>
      <c r="AD461" s="40"/>
    </row>
    <row r="462" spans="16:30" ht="10.5" customHeight="1">
      <c r="P462" s="150" t="s">
        <v>5895</v>
      </c>
      <c r="Q462" s="150"/>
      <c r="R462" s="98"/>
      <c r="S462" s="146"/>
      <c r="T462" s="279" t="s">
        <v>5896</v>
      </c>
      <c r="U462" s="279" t="s">
        <v>5554</v>
      </c>
      <c r="AA462"/>
      <c r="AB462"/>
      <c r="AC462" s="272"/>
      <c r="AD462" s="40"/>
    </row>
    <row r="463" spans="16:30" ht="10.5" customHeight="1">
      <c r="P463" s="150" t="s">
        <v>5897</v>
      </c>
      <c r="Q463" s="150"/>
      <c r="R463" s="98"/>
      <c r="S463" s="146"/>
      <c r="T463" s="279" t="s">
        <v>5898</v>
      </c>
      <c r="U463" s="279" t="s">
        <v>5135</v>
      </c>
      <c r="AA463"/>
      <c r="AB463"/>
      <c r="AC463" s="272"/>
      <c r="AD463" s="40"/>
    </row>
    <row r="464" spans="16:30" ht="10.5" customHeight="1">
      <c r="P464" s="150" t="s">
        <v>5899</v>
      </c>
      <c r="Q464" s="150"/>
      <c r="R464" s="98"/>
      <c r="S464" s="146"/>
      <c r="T464" s="279" t="s">
        <v>5296</v>
      </c>
      <c r="U464" s="279" t="s">
        <v>5460</v>
      </c>
      <c r="AA464"/>
      <c r="AB464"/>
      <c r="AC464" s="272"/>
      <c r="AD464" s="40"/>
    </row>
    <row r="465" spans="16:30" ht="10.5" customHeight="1">
      <c r="P465" s="150" t="s">
        <v>5900</v>
      </c>
      <c r="Q465" s="150"/>
      <c r="R465" s="98"/>
      <c r="S465" s="146"/>
      <c r="T465" s="279" t="s">
        <v>5073</v>
      </c>
      <c r="U465" s="279" t="s">
        <v>5009</v>
      </c>
      <c r="AA465"/>
      <c r="AB465"/>
      <c r="AC465" s="272"/>
      <c r="AD465" s="40"/>
    </row>
    <row r="466" spans="16:30" ht="10.5" customHeight="1">
      <c r="P466" s="150" t="s">
        <v>5901</v>
      </c>
      <c r="Q466" s="150"/>
      <c r="R466" s="98"/>
      <c r="S466" s="146"/>
      <c r="T466" s="146" t="s">
        <v>5902</v>
      </c>
      <c r="U466" s="146" t="s">
        <v>5589</v>
      </c>
      <c r="AA466"/>
      <c r="AB466"/>
      <c r="AC466" s="40"/>
      <c r="AD466" s="40"/>
    </row>
    <row r="467" spans="16:30" ht="10.5" customHeight="1">
      <c r="P467" s="150" t="s">
        <v>5903</v>
      </c>
      <c r="Q467" s="150"/>
      <c r="R467" s="98"/>
      <c r="S467" s="146"/>
      <c r="T467" s="146" t="s">
        <v>5904</v>
      </c>
      <c r="U467" s="146" t="s">
        <v>4968</v>
      </c>
      <c r="AA467"/>
      <c r="AB467"/>
      <c r="AC467" s="40"/>
      <c r="AD467" s="40"/>
    </row>
    <row r="468" spans="16:30" ht="10.5" customHeight="1">
      <c r="P468" s="150" t="s">
        <v>5905</v>
      </c>
      <c r="Q468" s="150"/>
      <c r="R468" s="98"/>
      <c r="S468" s="146"/>
      <c r="T468" s="279" t="s">
        <v>5906</v>
      </c>
      <c r="U468" s="279" t="s">
        <v>5150</v>
      </c>
      <c r="AA468"/>
      <c r="AB468"/>
      <c r="AC468" s="272"/>
      <c r="AD468" s="40"/>
    </row>
    <row r="469" spans="16:30" ht="10.5" customHeight="1">
      <c r="P469" s="150" t="s">
        <v>5907</v>
      </c>
      <c r="Q469" s="150"/>
      <c r="R469" s="98"/>
      <c r="S469" s="146"/>
      <c r="T469" s="279" t="s">
        <v>5908</v>
      </c>
      <c r="U469" s="279" t="s">
        <v>5619</v>
      </c>
      <c r="AA469"/>
      <c r="AB469"/>
      <c r="AC469" s="272"/>
      <c r="AD469" s="40"/>
    </row>
    <row r="470" spans="16:30" ht="10.5" customHeight="1">
      <c r="P470" s="150" t="s">
        <v>5909</v>
      </c>
      <c r="Q470" s="150"/>
      <c r="R470" s="98"/>
      <c r="S470" s="146"/>
      <c r="T470" s="279" t="s">
        <v>5910</v>
      </c>
      <c r="U470" s="279" t="s">
        <v>143</v>
      </c>
      <c r="AA470"/>
      <c r="AB470"/>
      <c r="AC470" s="272"/>
      <c r="AD470" s="40"/>
    </row>
    <row r="471" spans="16:30" ht="10.5" customHeight="1">
      <c r="P471" s="150" t="s">
        <v>5911</v>
      </c>
      <c r="Q471" s="150"/>
      <c r="R471" s="98"/>
      <c r="S471" s="146"/>
      <c r="T471" s="279" t="s">
        <v>5912</v>
      </c>
      <c r="U471" s="279" t="s">
        <v>90</v>
      </c>
      <c r="AA471"/>
      <c r="AB471"/>
      <c r="AC471" s="272"/>
      <c r="AD471" s="40"/>
    </row>
    <row r="472" spans="16:30" ht="10.5" customHeight="1">
      <c r="P472" s="150" t="s">
        <v>5913</v>
      </c>
      <c r="Q472" s="150"/>
      <c r="R472" s="98"/>
      <c r="S472" s="146"/>
      <c r="T472" s="279" t="s">
        <v>5914</v>
      </c>
      <c r="U472" s="279" t="s">
        <v>5538</v>
      </c>
      <c r="AA472"/>
      <c r="AB472"/>
      <c r="AC472" s="272"/>
      <c r="AD472" s="40"/>
    </row>
    <row r="473" spans="16:30" ht="10.5" customHeight="1">
      <c r="P473" s="150" t="s">
        <v>5915</v>
      </c>
      <c r="Q473" s="150"/>
      <c r="R473" s="98"/>
      <c r="S473" s="146"/>
      <c r="T473" s="279" t="s">
        <v>5916</v>
      </c>
      <c r="U473" s="279" t="s">
        <v>110</v>
      </c>
      <c r="AA473"/>
      <c r="AB473"/>
      <c r="AC473" s="272"/>
      <c r="AD473" s="40"/>
    </row>
    <row r="474" spans="16:30" ht="10.5" customHeight="1">
      <c r="P474" s="150" t="s">
        <v>5917</v>
      </c>
      <c r="Q474" s="150"/>
      <c r="R474" s="98"/>
      <c r="S474" s="146"/>
      <c r="T474" s="279" t="s">
        <v>5918</v>
      </c>
      <c r="U474" s="279" t="s">
        <v>4961</v>
      </c>
      <c r="AA474"/>
      <c r="AB474"/>
      <c r="AC474" s="272"/>
      <c r="AD474" s="40"/>
    </row>
    <row r="475" spans="16:30" ht="10.5" customHeight="1">
      <c r="P475" s="150" t="s">
        <v>5919</v>
      </c>
      <c r="Q475" s="150"/>
      <c r="R475" s="98"/>
      <c r="S475" s="146"/>
      <c r="T475" s="279" t="s">
        <v>128</v>
      </c>
      <c r="U475" s="279" t="s">
        <v>129</v>
      </c>
      <c r="AA475"/>
      <c r="AB475"/>
      <c r="AC475" s="272"/>
      <c r="AD475" s="40"/>
    </row>
    <row r="476" spans="16:30" ht="10.5" customHeight="1">
      <c r="P476" s="150" t="s">
        <v>5920</v>
      </c>
      <c r="Q476" s="150"/>
      <c r="R476" s="98"/>
      <c r="S476" s="146"/>
      <c r="T476" s="279" t="s">
        <v>5921</v>
      </c>
      <c r="U476" s="279" t="s">
        <v>129</v>
      </c>
      <c r="AA476"/>
      <c r="AB476"/>
      <c r="AC476" s="272"/>
      <c r="AD476" s="40"/>
    </row>
    <row r="477" spans="16:30" ht="10.5" customHeight="1">
      <c r="P477" s="150" t="s">
        <v>5922</v>
      </c>
      <c r="Q477" s="150"/>
      <c r="R477" s="98"/>
      <c r="S477" s="146"/>
      <c r="T477" s="146" t="s">
        <v>5923</v>
      </c>
      <c r="U477" s="146" t="s">
        <v>4883</v>
      </c>
      <c r="AA477"/>
      <c r="AB477"/>
      <c r="AC477" s="40"/>
      <c r="AD477" s="40"/>
    </row>
    <row r="478" spans="16:30" ht="10.5" customHeight="1">
      <c r="P478" s="150" t="s">
        <v>5924</v>
      </c>
      <c r="Q478" s="150"/>
      <c r="R478" s="98"/>
      <c r="S478" s="146"/>
      <c r="T478" s="279" t="s">
        <v>5925</v>
      </c>
      <c r="U478" s="279" t="s">
        <v>4901</v>
      </c>
      <c r="AA478"/>
      <c r="AB478"/>
      <c r="AC478" s="272"/>
      <c r="AD478" s="40"/>
    </row>
    <row r="479" spans="16:30" ht="10.5" customHeight="1">
      <c r="P479" s="150" t="s">
        <v>5926</v>
      </c>
      <c r="Q479" s="150"/>
      <c r="R479" s="98"/>
      <c r="S479" s="146"/>
      <c r="T479" s="279" t="s">
        <v>5927</v>
      </c>
      <c r="U479" s="279" t="s">
        <v>5085</v>
      </c>
      <c r="AA479"/>
      <c r="AB479"/>
      <c r="AC479" s="272"/>
      <c r="AD479" s="40"/>
    </row>
    <row r="480" spans="16:30" ht="10.5" customHeight="1">
      <c r="P480" s="150" t="s">
        <v>5928</v>
      </c>
      <c r="Q480" s="150"/>
      <c r="R480" s="98"/>
      <c r="S480" s="146"/>
      <c r="T480" s="279" t="s">
        <v>5929</v>
      </c>
      <c r="U480" s="279" t="s">
        <v>93</v>
      </c>
      <c r="AA480"/>
      <c r="AB480"/>
      <c r="AC480" s="272"/>
      <c r="AD480" s="40"/>
    </row>
    <row r="481" spans="16:30" ht="10.5" customHeight="1">
      <c r="P481" s="150" t="s">
        <v>5930</v>
      </c>
      <c r="Q481" s="150"/>
      <c r="R481" s="98"/>
      <c r="S481" s="146"/>
      <c r="T481" s="279" t="s">
        <v>5931</v>
      </c>
      <c r="U481" s="279" t="s">
        <v>5581</v>
      </c>
      <c r="AA481"/>
      <c r="AB481"/>
      <c r="AC481" s="272"/>
      <c r="AD481" s="40"/>
    </row>
    <row r="482" spans="16:30" ht="10.5" customHeight="1">
      <c r="P482" s="150" t="s">
        <v>5932</v>
      </c>
      <c r="Q482" s="150"/>
      <c r="R482" s="98"/>
      <c r="S482" s="146"/>
      <c r="T482" s="279" t="s">
        <v>5933</v>
      </c>
      <c r="U482" s="279" t="s">
        <v>90</v>
      </c>
      <c r="AA482"/>
      <c r="AB482"/>
      <c r="AC482" s="272"/>
      <c r="AD482" s="40"/>
    </row>
    <row r="483" spans="16:30" ht="10.5" customHeight="1">
      <c r="P483" s="150" t="s">
        <v>5934</v>
      </c>
      <c r="Q483" s="150"/>
      <c r="R483" s="98"/>
      <c r="S483" s="146"/>
      <c r="T483" s="279" t="s">
        <v>5935</v>
      </c>
      <c r="U483" s="279" t="s">
        <v>141</v>
      </c>
      <c r="AA483"/>
      <c r="AB483"/>
      <c r="AC483" s="272"/>
      <c r="AD483" s="40"/>
    </row>
    <row r="484" spans="16:30" ht="10.5" customHeight="1">
      <c r="P484" s="150" t="s">
        <v>5936</v>
      </c>
      <c r="Q484" s="150"/>
      <c r="R484" s="98"/>
      <c r="S484" s="146"/>
      <c r="T484" s="279" t="s">
        <v>5937</v>
      </c>
      <c r="U484" s="279" t="s">
        <v>5335</v>
      </c>
      <c r="AA484"/>
      <c r="AB484"/>
      <c r="AC484" s="272"/>
      <c r="AD484" s="40"/>
    </row>
    <row r="485" spans="16:30" ht="10.5" customHeight="1">
      <c r="P485" s="150" t="s">
        <v>5938</v>
      </c>
      <c r="Q485" s="150"/>
      <c r="R485" s="98"/>
      <c r="S485" s="146"/>
      <c r="T485" s="279" t="s">
        <v>130</v>
      </c>
      <c r="U485" s="279" t="s">
        <v>124</v>
      </c>
      <c r="AA485"/>
      <c r="AB485"/>
      <c r="AC485" s="272"/>
      <c r="AD485" s="40"/>
    </row>
    <row r="486" spans="16:30" ht="10.5" customHeight="1">
      <c r="P486" s="150" t="s">
        <v>5939</v>
      </c>
      <c r="Q486" s="150"/>
      <c r="R486" s="98"/>
      <c r="S486" s="146"/>
      <c r="T486" s="279" t="s">
        <v>131</v>
      </c>
      <c r="U486" s="279" t="s">
        <v>132</v>
      </c>
      <c r="AA486"/>
      <c r="AB486"/>
      <c r="AC486" s="272"/>
      <c r="AD486" s="40"/>
    </row>
    <row r="487" spans="16:30" ht="10.5" customHeight="1">
      <c r="P487" s="150" t="s">
        <v>5940</v>
      </c>
      <c r="Q487" s="150"/>
      <c r="R487" s="98"/>
      <c r="S487" s="146"/>
      <c r="T487" s="279" t="s">
        <v>5941</v>
      </c>
      <c r="U487" s="279" t="s">
        <v>5193</v>
      </c>
      <c r="AA487"/>
      <c r="AB487"/>
      <c r="AC487" s="272"/>
      <c r="AD487" s="40"/>
    </row>
    <row r="488" spans="16:30" ht="10.5" customHeight="1">
      <c r="P488" s="150" t="s">
        <v>5942</v>
      </c>
      <c r="Q488" s="150"/>
      <c r="R488" s="98"/>
      <c r="S488" s="146"/>
      <c r="T488" s="279" t="s">
        <v>5943</v>
      </c>
      <c r="U488" s="279" t="s">
        <v>5133</v>
      </c>
      <c r="AA488"/>
      <c r="AB488"/>
      <c r="AC488" s="272"/>
      <c r="AD488" s="40"/>
    </row>
    <row r="489" spans="16:30" ht="10.5" customHeight="1">
      <c r="P489" s="150" t="s">
        <v>5944</v>
      </c>
      <c r="Q489" s="150"/>
      <c r="R489" s="98"/>
      <c r="S489" s="146"/>
      <c r="T489" s="279" t="s">
        <v>5945</v>
      </c>
      <c r="U489" s="279" t="s">
        <v>4975</v>
      </c>
      <c r="AA489"/>
      <c r="AB489"/>
      <c r="AC489" s="272"/>
      <c r="AD489" s="40"/>
    </row>
    <row r="490" spans="16:30" ht="10.5" customHeight="1">
      <c r="P490" s="150" t="s">
        <v>5946</v>
      </c>
      <c r="Q490" s="150"/>
      <c r="R490" s="98"/>
      <c r="S490" s="146"/>
      <c r="T490" s="279" t="s">
        <v>5947</v>
      </c>
      <c r="U490" s="279" t="s">
        <v>5346</v>
      </c>
      <c r="AA490"/>
      <c r="AB490"/>
      <c r="AC490" s="272"/>
      <c r="AD490" s="40"/>
    </row>
    <row r="491" spans="16:30" ht="10.5" customHeight="1">
      <c r="P491" s="150" t="s">
        <v>5948</v>
      </c>
      <c r="Q491" s="150"/>
      <c r="R491" s="98"/>
      <c r="S491" s="146"/>
      <c r="T491" s="279" t="s">
        <v>5949</v>
      </c>
      <c r="U491" s="279" t="s">
        <v>4891</v>
      </c>
      <c r="AA491"/>
      <c r="AB491"/>
      <c r="AC491" s="272"/>
      <c r="AD491" s="40"/>
    </row>
    <row r="492" spans="16:30" ht="10.5" customHeight="1">
      <c r="P492" s="150" t="s">
        <v>5950</v>
      </c>
      <c r="Q492" s="150"/>
      <c r="R492" s="98"/>
      <c r="S492" s="146"/>
      <c r="T492" s="279" t="s">
        <v>5951</v>
      </c>
      <c r="U492" s="279" t="s">
        <v>4980</v>
      </c>
      <c r="AA492"/>
      <c r="AB492"/>
      <c r="AC492" s="272"/>
      <c r="AD492" s="40"/>
    </row>
    <row r="493" spans="16:30" ht="10.5" customHeight="1">
      <c r="P493" s="150" t="s">
        <v>5952</v>
      </c>
      <c r="Q493" s="150"/>
      <c r="R493" s="98"/>
      <c r="S493" s="146"/>
      <c r="T493" s="279" t="s">
        <v>5953</v>
      </c>
      <c r="U493" s="279" t="s">
        <v>5026</v>
      </c>
      <c r="AA493"/>
      <c r="AB493"/>
      <c r="AC493" s="272"/>
      <c r="AD493" s="40"/>
    </row>
    <row r="494" spans="16:30" ht="10.5" customHeight="1">
      <c r="P494" s="150" t="s">
        <v>5954</v>
      </c>
      <c r="Q494" s="150"/>
      <c r="R494" s="98"/>
      <c r="S494" s="146"/>
      <c r="T494" s="279" t="s">
        <v>5955</v>
      </c>
      <c r="U494" s="279" t="s">
        <v>5133</v>
      </c>
      <c r="AA494"/>
      <c r="AB494"/>
      <c r="AC494" s="272"/>
      <c r="AD494" s="40"/>
    </row>
    <row r="495" spans="16:30" ht="10.5" customHeight="1">
      <c r="P495" s="150" t="s">
        <v>5956</v>
      </c>
      <c r="Q495" s="150"/>
      <c r="R495" s="98"/>
      <c r="S495" s="146"/>
      <c r="T495" s="146" t="s">
        <v>5957</v>
      </c>
      <c r="U495" s="146" t="s">
        <v>5120</v>
      </c>
      <c r="AA495"/>
      <c r="AB495"/>
      <c r="AC495" s="40"/>
      <c r="AD495" s="40"/>
    </row>
    <row r="496" spans="16:30" ht="10.5" customHeight="1">
      <c r="P496" s="150" t="s">
        <v>5958</v>
      </c>
      <c r="Q496" s="150"/>
      <c r="R496" s="98"/>
      <c r="S496" s="146"/>
      <c r="T496" s="279" t="s">
        <v>133</v>
      </c>
      <c r="U496" s="279" t="s">
        <v>120</v>
      </c>
      <c r="AA496"/>
      <c r="AB496"/>
      <c r="AC496" s="272"/>
      <c r="AD496" s="40"/>
    </row>
    <row r="497" spans="16:30" ht="10.5" customHeight="1">
      <c r="P497" s="150" t="s">
        <v>5959</v>
      </c>
      <c r="Q497" s="150"/>
      <c r="R497" s="98"/>
      <c r="S497" s="146"/>
      <c r="T497" s="279" t="s">
        <v>5960</v>
      </c>
      <c r="U497" s="279" t="s">
        <v>5356</v>
      </c>
      <c r="AA497"/>
      <c r="AB497"/>
      <c r="AC497" s="272"/>
      <c r="AD497" s="40"/>
    </row>
    <row r="498" spans="16:30" ht="10.5" customHeight="1">
      <c r="P498" s="150" t="s">
        <v>5961</v>
      </c>
      <c r="Q498" s="150"/>
      <c r="R498" s="98"/>
      <c r="S498" s="146"/>
      <c r="T498" s="279" t="s">
        <v>5962</v>
      </c>
      <c r="U498" s="279" t="s">
        <v>93</v>
      </c>
      <c r="AA498"/>
      <c r="AB498"/>
      <c r="AC498" s="272"/>
      <c r="AD498" s="40"/>
    </row>
    <row r="499" spans="16:30" ht="10.5" customHeight="1">
      <c r="P499" s="150" t="s">
        <v>5963</v>
      </c>
      <c r="Q499" s="150"/>
      <c r="R499" s="98"/>
      <c r="S499" s="146"/>
      <c r="T499" s="279" t="s">
        <v>134</v>
      </c>
      <c r="U499" s="279" t="s">
        <v>135</v>
      </c>
      <c r="AA499"/>
      <c r="AB499"/>
      <c r="AC499" s="272"/>
      <c r="AD499" s="40"/>
    </row>
    <row r="500" spans="16:30" ht="10.5" customHeight="1">
      <c r="P500" s="150" t="s">
        <v>5964</v>
      </c>
      <c r="Q500" s="150"/>
      <c r="R500" s="98"/>
      <c r="S500" s="146"/>
      <c r="T500" s="279" t="s">
        <v>2112</v>
      </c>
      <c r="U500" s="279" t="s">
        <v>85</v>
      </c>
      <c r="AA500"/>
      <c r="AB500"/>
      <c r="AC500" s="272"/>
      <c r="AD500" s="40"/>
    </row>
    <row r="501" spans="16:30" ht="10.5" customHeight="1">
      <c r="P501" s="150" t="s">
        <v>5965</v>
      </c>
      <c r="Q501" s="150"/>
      <c r="R501" s="98"/>
      <c r="S501" s="146"/>
      <c r="T501" s="279" t="s">
        <v>5966</v>
      </c>
      <c r="U501" s="279" t="s">
        <v>88</v>
      </c>
      <c r="AA501"/>
      <c r="AB501"/>
      <c r="AC501" s="272"/>
      <c r="AD501" s="40"/>
    </row>
    <row r="502" spans="16:30" ht="10.5" customHeight="1">
      <c r="P502" s="150" t="s">
        <v>5967</v>
      </c>
      <c r="Q502" s="150"/>
      <c r="R502" s="98"/>
      <c r="S502" s="146"/>
      <c r="T502" s="279" t="s">
        <v>5968</v>
      </c>
      <c r="U502" s="279" t="s">
        <v>5150</v>
      </c>
      <c r="AA502"/>
      <c r="AB502"/>
      <c r="AC502" s="272"/>
      <c r="AD502" s="40"/>
    </row>
    <row r="503" spans="16:30" ht="10.5" customHeight="1">
      <c r="P503" s="150" t="s">
        <v>5969</v>
      </c>
      <c r="Q503" s="150"/>
      <c r="R503" s="98"/>
      <c r="S503" s="146"/>
      <c r="T503" s="279" t="s">
        <v>5970</v>
      </c>
      <c r="U503" s="279" t="s">
        <v>5401</v>
      </c>
      <c r="AA503"/>
      <c r="AB503"/>
      <c r="AC503" s="272"/>
      <c r="AD503" s="40"/>
    </row>
    <row r="504" spans="16:30" ht="10.5" customHeight="1">
      <c r="P504" s="150" t="s">
        <v>5971</v>
      </c>
      <c r="Q504" s="150"/>
      <c r="R504" s="98"/>
      <c r="S504" s="146"/>
      <c r="T504" s="146" t="s">
        <v>5972</v>
      </c>
      <c r="U504" s="146" t="s">
        <v>93</v>
      </c>
      <c r="AA504"/>
      <c r="AB504"/>
      <c r="AC504" s="40"/>
      <c r="AD504" s="40"/>
    </row>
    <row r="505" spans="16:30" ht="10.5" customHeight="1">
      <c r="P505" s="150" t="s">
        <v>5973</v>
      </c>
      <c r="Q505" s="150"/>
      <c r="R505" s="98"/>
      <c r="S505" s="146"/>
      <c r="T505" s="279" t="s">
        <v>5974</v>
      </c>
      <c r="U505" s="279" t="s">
        <v>5073</v>
      </c>
      <c r="AA505"/>
      <c r="AB505"/>
      <c r="AC505" s="272"/>
      <c r="AD505" s="40"/>
    </row>
    <row r="506" spans="16:30" ht="10.5" customHeight="1">
      <c r="P506" s="150" t="s">
        <v>5975</v>
      </c>
      <c r="Q506" s="150"/>
      <c r="R506" s="98"/>
      <c r="S506" s="146"/>
      <c r="T506" s="279" t="s">
        <v>5976</v>
      </c>
      <c r="U506" s="279" t="s">
        <v>90</v>
      </c>
      <c r="AA506"/>
      <c r="AB506"/>
      <c r="AC506" s="272"/>
      <c r="AD506" s="40"/>
    </row>
    <row r="507" spans="16:30" ht="10.5" customHeight="1">
      <c r="P507" s="150" t="s">
        <v>5977</v>
      </c>
      <c r="Q507" s="150"/>
      <c r="R507" s="98"/>
      <c r="S507" s="146"/>
      <c r="T507" s="279" t="s">
        <v>5978</v>
      </c>
      <c r="U507" s="279" t="s">
        <v>5363</v>
      </c>
      <c r="AA507"/>
      <c r="AB507"/>
      <c r="AC507" s="272"/>
      <c r="AD507" s="40"/>
    </row>
    <row r="508" spans="16:30" ht="10.5" customHeight="1">
      <c r="P508" s="150" t="s">
        <v>5979</v>
      </c>
      <c r="Q508" s="150"/>
      <c r="R508" s="98"/>
      <c r="S508" s="146"/>
      <c r="T508" s="279" t="s">
        <v>5980</v>
      </c>
      <c r="U508" s="279" t="s">
        <v>5245</v>
      </c>
      <c r="AA508"/>
      <c r="AB508"/>
      <c r="AC508" s="272"/>
      <c r="AD508" s="40"/>
    </row>
    <row r="509" spans="16:30" ht="10.5" customHeight="1">
      <c r="P509" s="150" t="s">
        <v>5981</v>
      </c>
      <c r="Q509" s="150"/>
      <c r="R509" s="98"/>
      <c r="S509" s="146"/>
      <c r="T509" s="279" t="s">
        <v>5982</v>
      </c>
      <c r="U509" s="279" t="s">
        <v>5554</v>
      </c>
      <c r="AA509"/>
      <c r="AB509"/>
      <c r="AC509" s="272"/>
      <c r="AD509" s="40"/>
    </row>
    <row r="510" spans="16:30" ht="10.5" customHeight="1">
      <c r="P510" s="150" t="s">
        <v>5983</v>
      </c>
      <c r="Q510" s="150"/>
      <c r="R510" s="98"/>
      <c r="S510" s="146"/>
      <c r="T510" s="279" t="s">
        <v>5372</v>
      </c>
      <c r="U510" s="279" t="s">
        <v>5531</v>
      </c>
      <c r="AA510"/>
      <c r="AB510"/>
      <c r="AC510" s="272"/>
      <c r="AD510" s="40"/>
    </row>
    <row r="511" spans="16:30" ht="10.5" customHeight="1">
      <c r="P511" s="150" t="s">
        <v>5984</v>
      </c>
      <c r="Q511" s="150"/>
      <c r="R511" s="98"/>
      <c r="S511" s="146"/>
      <c r="T511" s="279" t="s">
        <v>5985</v>
      </c>
      <c r="U511" s="279" t="s">
        <v>5401</v>
      </c>
      <c r="AA511"/>
      <c r="AB511"/>
      <c r="AC511" s="272"/>
      <c r="AD511" s="40"/>
    </row>
    <row r="512" spans="16:30" ht="10.5" customHeight="1">
      <c r="P512" s="150" t="s">
        <v>5986</v>
      </c>
      <c r="Q512" s="150"/>
      <c r="R512" s="98"/>
      <c r="S512" s="146"/>
      <c r="T512" s="279" t="s">
        <v>5987</v>
      </c>
      <c r="U512" s="279" t="s">
        <v>5021</v>
      </c>
      <c r="AA512"/>
      <c r="AB512"/>
      <c r="AC512" s="272"/>
      <c r="AD512" s="40"/>
    </row>
    <row r="513" spans="16:30" ht="10.5" customHeight="1">
      <c r="P513" s="150" t="s">
        <v>5988</v>
      </c>
      <c r="Q513" s="150"/>
      <c r="R513" s="98"/>
      <c r="S513" s="146"/>
      <c r="T513" s="279" t="s">
        <v>5989</v>
      </c>
      <c r="U513" s="279" t="s">
        <v>5568</v>
      </c>
      <c r="AA513"/>
      <c r="AB513"/>
      <c r="AC513" s="272"/>
      <c r="AD513" s="40"/>
    </row>
    <row r="514" spans="16:30" ht="10.5" customHeight="1">
      <c r="P514" s="150" t="s">
        <v>5990</v>
      </c>
      <c r="Q514" s="150"/>
      <c r="R514" s="98"/>
      <c r="S514" s="146"/>
      <c r="T514" s="279" t="s">
        <v>136</v>
      </c>
      <c r="U514" s="279" t="s">
        <v>110</v>
      </c>
      <c r="AA514"/>
      <c r="AB514"/>
      <c r="AC514" s="272"/>
      <c r="AD514" s="40"/>
    </row>
    <row r="515" spans="16:30" ht="10.5" customHeight="1">
      <c r="P515" s="150" t="s">
        <v>5991</v>
      </c>
      <c r="Q515" s="150"/>
      <c r="R515" s="98"/>
      <c r="S515" s="146"/>
      <c r="T515" s="279" t="s">
        <v>4888</v>
      </c>
      <c r="U515" s="279" t="s">
        <v>4923</v>
      </c>
      <c r="AA515"/>
      <c r="AB515"/>
      <c r="AC515" s="272"/>
      <c r="AD515" s="40"/>
    </row>
    <row r="516" spans="16:30" ht="10.5" customHeight="1">
      <c r="P516" s="150" t="s">
        <v>5992</v>
      </c>
      <c r="Q516" s="150"/>
      <c r="R516" s="98"/>
      <c r="S516" s="146"/>
      <c r="T516" s="279" t="s">
        <v>2114</v>
      </c>
      <c r="U516" s="279" t="s">
        <v>5228</v>
      </c>
      <c r="AA516"/>
      <c r="AB516"/>
      <c r="AC516" s="272"/>
      <c r="AD516" s="40"/>
    </row>
    <row r="517" spans="16:30" ht="10.5" customHeight="1">
      <c r="P517" s="150" t="s">
        <v>5993</v>
      </c>
      <c r="Q517" s="150"/>
      <c r="R517" s="98"/>
      <c r="S517" s="146"/>
      <c r="T517" s="279" t="s">
        <v>5994</v>
      </c>
      <c r="U517" s="279" t="s">
        <v>5505</v>
      </c>
      <c r="AA517"/>
      <c r="AB517"/>
      <c r="AC517" s="272"/>
      <c r="AD517" s="40"/>
    </row>
    <row r="518" spans="16:30" ht="10.5" customHeight="1">
      <c r="P518" s="150" t="s">
        <v>5995</v>
      </c>
      <c r="Q518" s="150"/>
      <c r="R518" s="98"/>
      <c r="S518" s="146"/>
      <c r="T518" s="279" t="s">
        <v>5996</v>
      </c>
      <c r="U518" s="279" t="s">
        <v>5401</v>
      </c>
      <c r="AA518"/>
      <c r="AB518"/>
      <c r="AC518" s="272"/>
      <c r="AD518" s="40"/>
    </row>
    <row r="519" spans="16:30" ht="10.5" customHeight="1">
      <c r="P519" s="150" t="s">
        <v>5997</v>
      </c>
      <c r="Q519" s="150"/>
      <c r="R519" s="98"/>
      <c r="S519" s="146"/>
      <c r="T519" s="279" t="s">
        <v>5998</v>
      </c>
      <c r="U519" s="279" t="s">
        <v>5440</v>
      </c>
      <c r="AA519"/>
      <c r="AB519"/>
      <c r="AC519" s="272"/>
      <c r="AD519" s="40"/>
    </row>
    <row r="520" spans="16:30" ht="10.5" customHeight="1">
      <c r="P520" s="150" t="s">
        <v>5999</v>
      </c>
      <c r="Q520" s="150"/>
      <c r="R520" s="98"/>
      <c r="S520" s="146"/>
      <c r="T520" s="279" t="s">
        <v>6000</v>
      </c>
      <c r="U520" s="279" t="s">
        <v>110</v>
      </c>
      <c r="AA520"/>
      <c r="AB520"/>
      <c r="AC520" s="272"/>
      <c r="AD520" s="40"/>
    </row>
    <row r="521" spans="16:30" ht="10.5" customHeight="1">
      <c r="P521" s="150" t="s">
        <v>6001</v>
      </c>
      <c r="Q521" s="150"/>
      <c r="R521" s="98"/>
      <c r="S521" s="146"/>
      <c r="T521" s="310" t="s">
        <v>6002</v>
      </c>
      <c r="U521" s="279" t="s">
        <v>4888</v>
      </c>
      <c r="AA521"/>
      <c r="AB521"/>
      <c r="AC521" s="519"/>
      <c r="AD521" s="40"/>
    </row>
    <row r="522" spans="16:30" ht="10.5" customHeight="1">
      <c r="P522" s="150" t="s">
        <v>6003</v>
      </c>
      <c r="Q522" s="150"/>
      <c r="R522" s="98"/>
      <c r="S522" s="146"/>
      <c r="T522" s="310" t="s">
        <v>6004</v>
      </c>
      <c r="U522" s="279" t="s">
        <v>5068</v>
      </c>
      <c r="AA522"/>
      <c r="AB522"/>
      <c r="AC522" s="519"/>
      <c r="AD522" s="40"/>
    </row>
    <row r="523" spans="16:30" ht="10.5" customHeight="1">
      <c r="P523" s="150" t="s">
        <v>6005</v>
      </c>
      <c r="Q523" s="150"/>
      <c r="R523" s="98"/>
      <c r="S523" s="146"/>
      <c r="T523" s="279" t="s">
        <v>137</v>
      </c>
      <c r="U523" s="279" t="s">
        <v>107</v>
      </c>
      <c r="AA523"/>
      <c r="AB523"/>
      <c r="AC523" s="272"/>
      <c r="AD523" s="40"/>
    </row>
    <row r="524" spans="16:30" ht="10.5" customHeight="1">
      <c r="P524" s="150" t="s">
        <v>6006</v>
      </c>
      <c r="Q524" s="150"/>
      <c r="R524" s="98"/>
      <c r="S524" s="146"/>
      <c r="T524" s="279" t="s">
        <v>6007</v>
      </c>
      <c r="U524" s="279" t="s">
        <v>5073</v>
      </c>
      <c r="AA524"/>
      <c r="AB524"/>
      <c r="AC524" s="272"/>
      <c r="AD524" s="40"/>
    </row>
    <row r="525" spans="16:30" ht="10.5" customHeight="1">
      <c r="P525" s="150" t="s">
        <v>6008</v>
      </c>
      <c r="Q525" s="150"/>
      <c r="R525" s="98"/>
      <c r="S525" s="146"/>
      <c r="T525" s="279" t="s">
        <v>6009</v>
      </c>
      <c r="U525" s="279" t="s">
        <v>5026</v>
      </c>
      <c r="AA525"/>
      <c r="AB525"/>
      <c r="AC525" s="272"/>
      <c r="AD525" s="40"/>
    </row>
    <row r="526" spans="16:30" ht="10.5" customHeight="1">
      <c r="P526" s="150" t="s">
        <v>6010</v>
      </c>
      <c r="Q526" s="150"/>
      <c r="R526" s="98"/>
      <c r="S526" s="146"/>
      <c r="T526" s="279" t="s">
        <v>6011</v>
      </c>
      <c r="U526" s="279" t="s">
        <v>4893</v>
      </c>
      <c r="AA526"/>
      <c r="AB526"/>
      <c r="AC526" s="272"/>
      <c r="AD526" s="40"/>
    </row>
    <row r="527" spans="16:30" ht="10.5" customHeight="1">
      <c r="P527" s="150" t="s">
        <v>6012</v>
      </c>
      <c r="Q527" s="150"/>
      <c r="R527" s="98"/>
      <c r="S527" s="146"/>
      <c r="T527" s="146" t="s">
        <v>6013</v>
      </c>
      <c r="U527" s="146" t="s">
        <v>5172</v>
      </c>
      <c r="AA527"/>
      <c r="AB527"/>
      <c r="AC527" s="40"/>
      <c r="AD527" s="40"/>
    </row>
    <row r="528" spans="16:30" ht="10.5" customHeight="1">
      <c r="P528" s="150" t="s">
        <v>6014</v>
      </c>
      <c r="Q528" s="150"/>
      <c r="R528" s="98"/>
      <c r="S528" s="146"/>
      <c r="T528" s="279" t="s">
        <v>6015</v>
      </c>
      <c r="U528" s="279" t="s">
        <v>88</v>
      </c>
      <c r="AA528"/>
      <c r="AB528"/>
      <c r="AC528" s="272"/>
      <c r="AD528" s="40"/>
    </row>
    <row r="529" spans="16:30" ht="10.5" customHeight="1">
      <c r="P529" s="150" t="s">
        <v>6016</v>
      </c>
      <c r="Q529" s="150"/>
      <c r="R529" s="98"/>
      <c r="S529" s="146"/>
      <c r="T529" s="279" t="s">
        <v>6017</v>
      </c>
      <c r="U529" s="279" t="s">
        <v>4942</v>
      </c>
      <c r="AA529"/>
      <c r="AB529"/>
      <c r="AC529" s="272"/>
      <c r="AD529" s="40"/>
    </row>
    <row r="530" spans="16:30" ht="10.5" customHeight="1">
      <c r="P530" s="150" t="s">
        <v>6018</v>
      </c>
      <c r="Q530" s="150"/>
      <c r="R530" s="98"/>
      <c r="S530" s="146"/>
      <c r="T530" s="146" t="s">
        <v>2115</v>
      </c>
      <c r="U530" s="146" t="s">
        <v>5554</v>
      </c>
      <c r="AA530"/>
      <c r="AB530"/>
      <c r="AC530" s="40"/>
      <c r="AD530" s="40"/>
    </row>
    <row r="531" spans="16:30" ht="10.5" customHeight="1">
      <c r="P531" s="150" t="s">
        <v>6019</v>
      </c>
      <c r="Q531" s="150"/>
      <c r="R531" s="98"/>
      <c r="S531" s="146"/>
      <c r="T531" s="279" t="s">
        <v>6020</v>
      </c>
      <c r="U531" s="279" t="s">
        <v>122</v>
      </c>
      <c r="AA531"/>
      <c r="AB531"/>
      <c r="AC531" s="272"/>
      <c r="AD531" s="40"/>
    </row>
    <row r="532" spans="16:30" ht="10.5" customHeight="1">
      <c r="P532" s="150" t="s">
        <v>6021</v>
      </c>
      <c r="Q532" s="150"/>
      <c r="R532" s="98"/>
      <c r="S532" s="146"/>
      <c r="T532" s="279" t="s">
        <v>6022</v>
      </c>
      <c r="U532" s="279" t="s">
        <v>5112</v>
      </c>
      <c r="AA532"/>
      <c r="AB532"/>
      <c r="AC532" s="272"/>
      <c r="AD532" s="40"/>
    </row>
    <row r="533" spans="16:30" ht="10.5" customHeight="1">
      <c r="P533" s="150" t="s">
        <v>6023</v>
      </c>
      <c r="Q533" s="150"/>
      <c r="R533" s="98"/>
      <c r="S533" s="146"/>
      <c r="T533" s="279" t="s">
        <v>6024</v>
      </c>
      <c r="U533" s="279" t="s">
        <v>5505</v>
      </c>
      <c r="AA533"/>
      <c r="AB533"/>
      <c r="AC533" s="272"/>
      <c r="AD533" s="40"/>
    </row>
    <row r="534" spans="16:30" ht="10.5" customHeight="1">
      <c r="P534" s="150" t="s">
        <v>6025</v>
      </c>
      <c r="Q534" s="150"/>
      <c r="R534" s="98"/>
      <c r="S534" s="146"/>
      <c r="T534" s="279" t="s">
        <v>6026</v>
      </c>
      <c r="U534" s="279" t="s">
        <v>5021</v>
      </c>
      <c r="AA534"/>
      <c r="AB534"/>
      <c r="AC534" s="272"/>
      <c r="AD534" s="40"/>
    </row>
    <row r="535" spans="16:30" ht="10.5" customHeight="1">
      <c r="P535" s="150" t="s">
        <v>6027</v>
      </c>
      <c r="Q535" s="150"/>
      <c r="R535" s="98"/>
      <c r="S535" s="146"/>
      <c r="T535" s="279" t="s">
        <v>6028</v>
      </c>
      <c r="U535" s="279" t="s">
        <v>4987</v>
      </c>
      <c r="AA535"/>
      <c r="AB535"/>
      <c r="AC535" s="272"/>
      <c r="AD535" s="40"/>
    </row>
    <row r="536" spans="16:30" ht="10.5" customHeight="1">
      <c r="P536" s="150" t="s">
        <v>6029</v>
      </c>
      <c r="Q536" s="150"/>
      <c r="R536" s="98"/>
      <c r="S536" s="146"/>
      <c r="T536" s="279" t="s">
        <v>6030</v>
      </c>
      <c r="U536" s="279" t="s">
        <v>4961</v>
      </c>
      <c r="AA536"/>
      <c r="AB536"/>
      <c r="AC536" s="272"/>
      <c r="AD536" s="40"/>
    </row>
    <row r="537" spans="16:30" ht="10.5" customHeight="1">
      <c r="P537" s="150" t="s">
        <v>6031</v>
      </c>
      <c r="Q537" s="150"/>
      <c r="R537" s="98"/>
      <c r="S537" s="146"/>
      <c r="T537" s="279" t="s">
        <v>6032</v>
      </c>
      <c r="U537" s="279" t="s">
        <v>113</v>
      </c>
      <c r="AA537"/>
      <c r="AB537"/>
      <c r="AC537" s="272"/>
      <c r="AD537" s="40"/>
    </row>
    <row r="538" spans="16:30" ht="10.5" customHeight="1">
      <c r="P538" s="150" t="s">
        <v>6033</v>
      </c>
      <c r="Q538" s="150"/>
      <c r="R538" s="98"/>
      <c r="S538" s="146"/>
      <c r="T538" s="279" t="s">
        <v>6034</v>
      </c>
      <c r="U538" s="279" t="s">
        <v>5554</v>
      </c>
      <c r="AA538"/>
      <c r="AB538"/>
      <c r="AC538" s="272"/>
      <c r="AD538" s="40"/>
    </row>
    <row r="539" spans="16:30" ht="10.5" customHeight="1">
      <c r="P539" s="150" t="s">
        <v>6035</v>
      </c>
      <c r="Q539" s="150"/>
      <c r="R539" s="98"/>
      <c r="S539" s="146"/>
      <c r="T539" s="279" t="s">
        <v>6036</v>
      </c>
      <c r="U539" s="279" t="s">
        <v>4885</v>
      </c>
      <c r="AA539"/>
      <c r="AB539"/>
      <c r="AC539" s="272"/>
      <c r="AD539" s="40"/>
    </row>
    <row r="540" spans="16:30" ht="10.5" customHeight="1">
      <c r="P540" s="150" t="s">
        <v>6037</v>
      </c>
      <c r="Q540" s="150"/>
      <c r="R540" s="98"/>
      <c r="S540" s="146"/>
      <c r="T540" s="279" t="s">
        <v>2117</v>
      </c>
      <c r="U540" s="279" t="s">
        <v>5313</v>
      </c>
      <c r="AA540"/>
      <c r="AB540"/>
      <c r="AC540" s="272"/>
      <c r="AD540" s="40"/>
    </row>
    <row r="541" spans="16:30" ht="10.5" customHeight="1">
      <c r="P541" s="150" t="s">
        <v>6038</v>
      </c>
      <c r="Q541" s="150"/>
      <c r="R541" s="98"/>
      <c r="S541" s="146"/>
      <c r="T541" s="279" t="s">
        <v>6039</v>
      </c>
      <c r="U541" s="279" t="s">
        <v>4929</v>
      </c>
      <c r="AA541"/>
      <c r="AB541"/>
      <c r="AC541" s="272"/>
      <c r="AD541" s="40"/>
    </row>
    <row r="542" spans="16:30" ht="10.5" customHeight="1">
      <c r="P542" s="150" t="s">
        <v>6040</v>
      </c>
      <c r="Q542" s="150"/>
      <c r="R542" s="98"/>
      <c r="S542" s="146"/>
      <c r="T542" s="146" t="s">
        <v>6041</v>
      </c>
      <c r="U542" s="146" t="s">
        <v>143</v>
      </c>
      <c r="AA542"/>
      <c r="AB542"/>
      <c r="AC542" s="40"/>
      <c r="AD542" s="40"/>
    </row>
    <row r="543" spans="16:30" ht="10.5" customHeight="1">
      <c r="P543" s="150" t="s">
        <v>6042</v>
      </c>
      <c r="Q543" s="150"/>
      <c r="R543" s="98"/>
      <c r="S543" s="146"/>
      <c r="T543" s="279" t="s">
        <v>6043</v>
      </c>
      <c r="U543" s="279" t="s">
        <v>5172</v>
      </c>
      <c r="AA543"/>
      <c r="AB543"/>
      <c r="AC543" s="272"/>
      <c r="AD543" s="40"/>
    </row>
    <row r="544" spans="16:30" ht="10.5" customHeight="1">
      <c r="P544" s="150" t="s">
        <v>6044</v>
      </c>
      <c r="Q544" s="150"/>
      <c r="R544" s="98"/>
      <c r="S544" s="146"/>
      <c r="T544" s="279" t="s">
        <v>5083</v>
      </c>
      <c r="U544" s="279" t="s">
        <v>5208</v>
      </c>
      <c r="AA544"/>
      <c r="AB544"/>
      <c r="AC544" s="272"/>
      <c r="AD544" s="40"/>
    </row>
    <row r="545" spans="16:30" ht="10.5" customHeight="1">
      <c r="P545" s="150" t="s">
        <v>6045</v>
      </c>
      <c r="Q545" s="150"/>
      <c r="R545" s="98"/>
      <c r="S545" s="146"/>
      <c r="T545" s="279" t="s">
        <v>6046</v>
      </c>
      <c r="U545" s="279" t="s">
        <v>122</v>
      </c>
      <c r="AA545"/>
      <c r="AB545"/>
      <c r="AC545" s="272"/>
      <c r="AD545" s="40"/>
    </row>
    <row r="546" spans="16:30" ht="10.5" customHeight="1">
      <c r="P546" s="150" t="s">
        <v>6047</v>
      </c>
      <c r="Q546" s="150"/>
      <c r="R546" s="98"/>
      <c r="S546" s="146"/>
      <c r="T546" s="279" t="s">
        <v>5416</v>
      </c>
      <c r="U546" s="279" t="s">
        <v>5150</v>
      </c>
      <c r="AA546"/>
      <c r="AB546"/>
      <c r="AC546" s="272"/>
      <c r="AD546" s="40"/>
    </row>
    <row r="547" spans="16:30" ht="10.5" customHeight="1">
      <c r="P547" s="150" t="s">
        <v>6048</v>
      </c>
      <c r="Q547" s="150"/>
      <c r="R547" s="98"/>
      <c r="S547" s="146"/>
      <c r="T547" s="279" t="s">
        <v>6049</v>
      </c>
      <c r="U547" s="279" t="s">
        <v>4888</v>
      </c>
      <c r="AA547"/>
      <c r="AB547"/>
      <c r="AC547" s="272"/>
      <c r="AD547" s="40"/>
    </row>
    <row r="548" spans="16:30" ht="10.5" customHeight="1">
      <c r="P548" s="150" t="s">
        <v>6050</v>
      </c>
      <c r="Q548" s="150"/>
      <c r="R548" s="98"/>
      <c r="S548" s="146"/>
      <c r="T548" s="279" t="s">
        <v>139</v>
      </c>
      <c r="U548" s="279" t="s">
        <v>127</v>
      </c>
      <c r="AA548"/>
      <c r="AB548"/>
      <c r="AC548" s="272"/>
      <c r="AD548" s="40"/>
    </row>
    <row r="549" spans="16:30" ht="10.5" customHeight="1">
      <c r="P549" s="150" t="s">
        <v>6051</v>
      </c>
      <c r="Q549" s="150"/>
      <c r="R549" s="98"/>
      <c r="S549" s="146"/>
      <c r="T549" s="279" t="s">
        <v>6052</v>
      </c>
      <c r="U549" s="279" t="s">
        <v>5296</v>
      </c>
      <c r="AA549"/>
      <c r="AB549"/>
      <c r="AC549" s="272"/>
      <c r="AD549" s="40"/>
    </row>
    <row r="550" spans="16:30" ht="10.5" customHeight="1">
      <c r="P550" s="150" t="s">
        <v>6053</v>
      </c>
      <c r="Q550" s="150"/>
      <c r="R550" s="98"/>
      <c r="S550" s="146"/>
      <c r="T550" s="279" t="s">
        <v>6054</v>
      </c>
      <c r="U550" s="279" t="s">
        <v>5339</v>
      </c>
      <c r="AA550"/>
      <c r="AB550"/>
      <c r="AC550" s="272"/>
      <c r="AD550" s="40"/>
    </row>
    <row r="551" spans="16:30" ht="10.5" customHeight="1">
      <c r="P551" s="150" t="s">
        <v>6055</v>
      </c>
      <c r="Q551" s="150"/>
      <c r="R551" s="98"/>
      <c r="S551" s="146"/>
      <c r="T551" s="279" t="s">
        <v>140</v>
      </c>
      <c r="U551" s="279" t="s">
        <v>141</v>
      </c>
      <c r="AA551"/>
      <c r="AB551"/>
      <c r="AC551" s="272"/>
      <c r="AD551" s="40"/>
    </row>
    <row r="552" spans="16:30" ht="10.5" customHeight="1">
      <c r="P552" s="150" t="s">
        <v>6056</v>
      </c>
      <c r="Q552" s="150"/>
      <c r="R552" s="98"/>
      <c r="S552" s="146"/>
      <c r="T552" s="279" t="s">
        <v>6057</v>
      </c>
      <c r="U552" s="279" t="s">
        <v>105</v>
      </c>
      <c r="AA552"/>
      <c r="AB552"/>
      <c r="AC552" s="272"/>
      <c r="AD552" s="40"/>
    </row>
    <row r="553" spans="16:30" ht="10.5" customHeight="1">
      <c r="P553" s="150" t="s">
        <v>6058</v>
      </c>
      <c r="Q553" s="150"/>
      <c r="R553" s="98"/>
      <c r="S553" s="146"/>
      <c r="T553" s="279" t="s">
        <v>5228</v>
      </c>
      <c r="U553" s="279" t="s">
        <v>4975</v>
      </c>
      <c r="AA553"/>
      <c r="AB553"/>
      <c r="AC553" s="272"/>
      <c r="AD553" s="40"/>
    </row>
    <row r="554" spans="16:30" ht="10.5" customHeight="1">
      <c r="P554" s="150" t="s">
        <v>6059</v>
      </c>
      <c r="Q554" s="150"/>
      <c r="R554" s="98"/>
      <c r="S554" s="146"/>
      <c r="T554" s="279" t="s">
        <v>6060</v>
      </c>
      <c r="U554" s="279" t="s">
        <v>5172</v>
      </c>
      <c r="AA554"/>
      <c r="AB554"/>
      <c r="AC554" s="272"/>
      <c r="AD554" s="40"/>
    </row>
    <row r="555" spans="16:30" ht="10.5" customHeight="1">
      <c r="P555" s="150" t="s">
        <v>6061</v>
      </c>
      <c r="Q555" s="150"/>
      <c r="R555" s="98"/>
      <c r="S555" s="146"/>
      <c r="T555" s="146" t="s">
        <v>6062</v>
      </c>
      <c r="U555" s="146" t="s">
        <v>90</v>
      </c>
      <c r="AA555"/>
      <c r="AB555"/>
      <c r="AC555" s="40"/>
      <c r="AD555" s="40"/>
    </row>
    <row r="556" spans="16:30" ht="10.5" customHeight="1">
      <c r="P556" s="150" t="s">
        <v>6063</v>
      </c>
      <c r="Q556" s="150"/>
      <c r="R556" s="98"/>
      <c r="S556" s="146"/>
      <c r="T556" s="146" t="s">
        <v>6064</v>
      </c>
      <c r="U556" s="146" t="s">
        <v>4944</v>
      </c>
      <c r="AA556"/>
      <c r="AB556"/>
      <c r="AC556" s="40"/>
      <c r="AD556" s="40"/>
    </row>
    <row r="557" spans="16:30" ht="10.5" customHeight="1">
      <c r="P557" s="150" t="s">
        <v>6065</v>
      </c>
      <c r="Q557" s="150"/>
      <c r="R557" s="98"/>
      <c r="S557" s="146"/>
      <c r="T557" s="146" t="s">
        <v>6066</v>
      </c>
      <c r="U557" s="146" t="s">
        <v>5063</v>
      </c>
      <c r="AA557"/>
      <c r="AB557"/>
      <c r="AC557" s="40"/>
      <c r="AD557" s="40"/>
    </row>
    <row r="558" spans="16:30" ht="10.5" customHeight="1">
      <c r="P558" s="150" t="s">
        <v>6067</v>
      </c>
      <c r="Q558" s="150"/>
      <c r="R558" s="98"/>
      <c r="S558" s="146"/>
      <c r="T558" s="279" t="s">
        <v>6068</v>
      </c>
      <c r="U558" s="279" t="s">
        <v>153</v>
      </c>
      <c r="AA558"/>
      <c r="AB558"/>
      <c r="AC558" s="272"/>
      <c r="AD558" s="40"/>
    </row>
    <row r="559" spans="16:30" ht="10.5" customHeight="1">
      <c r="P559" s="150" t="s">
        <v>6069</v>
      </c>
      <c r="Q559" s="150"/>
      <c r="R559" s="98"/>
      <c r="S559" s="146"/>
      <c r="T559" s="279" t="s">
        <v>6070</v>
      </c>
      <c r="U559" s="279" t="s">
        <v>139</v>
      </c>
      <c r="AA559"/>
      <c r="AB559"/>
      <c r="AC559" s="272"/>
      <c r="AD559" s="40"/>
    </row>
    <row r="560" spans="16:30" ht="10.5" customHeight="1">
      <c r="P560" s="150" t="s">
        <v>6071</v>
      </c>
      <c r="Q560" s="150"/>
      <c r="R560" s="98"/>
      <c r="S560" s="146"/>
      <c r="T560" s="279" t="s">
        <v>6072</v>
      </c>
      <c r="U560" s="279" t="s">
        <v>4992</v>
      </c>
      <c r="AA560"/>
      <c r="AB560"/>
      <c r="AC560" s="272"/>
      <c r="AD560" s="40"/>
    </row>
    <row r="561" spans="16:30" ht="10.5" customHeight="1">
      <c r="P561" s="150" t="s">
        <v>6073</v>
      </c>
      <c r="Q561" s="150"/>
      <c r="R561" s="98"/>
      <c r="S561" s="146"/>
      <c r="T561" s="279" t="s">
        <v>6074</v>
      </c>
      <c r="U561" s="279" t="s">
        <v>5488</v>
      </c>
      <c r="AA561"/>
      <c r="AB561"/>
      <c r="AC561" s="272"/>
      <c r="AD561" s="40"/>
    </row>
    <row r="562" spans="16:30" ht="10.5" customHeight="1">
      <c r="P562" s="150" t="s">
        <v>6075</v>
      </c>
      <c r="Q562" s="150"/>
      <c r="R562" s="98"/>
      <c r="S562" s="146"/>
      <c r="T562" s="279" t="s">
        <v>142</v>
      </c>
      <c r="U562" s="279" t="s">
        <v>143</v>
      </c>
      <c r="AA562"/>
      <c r="AB562"/>
      <c r="AC562" s="272"/>
      <c r="AD562" s="40"/>
    </row>
    <row r="563" spans="16:30" ht="10.5" customHeight="1">
      <c r="P563" s="150" t="s">
        <v>6076</v>
      </c>
      <c r="Q563" s="150"/>
      <c r="R563" s="98"/>
      <c r="S563" s="146"/>
      <c r="T563" s="279" t="s">
        <v>6077</v>
      </c>
      <c r="U563" s="279" t="s">
        <v>4937</v>
      </c>
      <c r="AA563"/>
      <c r="AB563"/>
      <c r="AC563" s="272"/>
      <c r="AD563" s="40"/>
    </row>
    <row r="564" spans="16:30" ht="10.5" customHeight="1">
      <c r="P564" s="150" t="s">
        <v>6078</v>
      </c>
      <c r="Q564" s="150"/>
      <c r="R564" s="98"/>
      <c r="S564" s="146"/>
      <c r="T564" s="279" t="s">
        <v>6079</v>
      </c>
      <c r="U564" s="279" t="s">
        <v>4917</v>
      </c>
      <c r="AA564"/>
      <c r="AB564"/>
      <c r="AC564" s="272"/>
      <c r="AD564" s="40"/>
    </row>
    <row r="565" spans="16:30" ht="10.5" customHeight="1">
      <c r="P565" s="150" t="s">
        <v>6080</v>
      </c>
      <c r="Q565" s="150"/>
      <c r="R565" s="98"/>
      <c r="S565" s="146"/>
      <c r="T565" s="279" t="s">
        <v>6081</v>
      </c>
      <c r="U565" s="279" t="s">
        <v>141</v>
      </c>
      <c r="AA565"/>
      <c r="AB565"/>
      <c r="AC565" s="272"/>
      <c r="AD565" s="40"/>
    </row>
    <row r="566" spans="16:30" ht="10.5" customHeight="1">
      <c r="P566" s="150" t="s">
        <v>6082</v>
      </c>
      <c r="Q566" s="150"/>
      <c r="R566" s="98"/>
      <c r="S566" s="146"/>
      <c r="T566" s="279" t="s">
        <v>6083</v>
      </c>
      <c r="U566" s="279" t="s">
        <v>5460</v>
      </c>
      <c r="AA566"/>
      <c r="AB566"/>
      <c r="AC566" s="272"/>
      <c r="AD566" s="40"/>
    </row>
    <row r="567" spans="16:30" ht="10.5" customHeight="1">
      <c r="P567" s="150" t="s">
        <v>6084</v>
      </c>
      <c r="Q567" s="150"/>
      <c r="R567" s="98"/>
      <c r="S567" s="146"/>
      <c r="T567" s="279" t="s">
        <v>6085</v>
      </c>
      <c r="U567" s="279" t="s">
        <v>5440</v>
      </c>
      <c r="AA567"/>
      <c r="AB567"/>
      <c r="AC567" s="272"/>
      <c r="AD567" s="40"/>
    </row>
    <row r="568" spans="16:30" ht="10.5" customHeight="1">
      <c r="P568" s="150" t="s">
        <v>6086</v>
      </c>
      <c r="Q568" s="150"/>
      <c r="R568" s="98"/>
      <c r="S568" s="146"/>
      <c r="T568" s="279" t="s">
        <v>6087</v>
      </c>
      <c r="U568" s="279" t="s">
        <v>5510</v>
      </c>
      <c r="AA568"/>
      <c r="AB568"/>
      <c r="AC568" s="272"/>
      <c r="AD568" s="40"/>
    </row>
    <row r="569" spans="16:30" ht="10.5" customHeight="1">
      <c r="P569" s="150" t="s">
        <v>6088</v>
      </c>
      <c r="Q569" s="150"/>
      <c r="R569" s="98"/>
      <c r="S569" s="146"/>
      <c r="T569" s="279" t="s">
        <v>2118</v>
      </c>
      <c r="U569" s="279" t="s">
        <v>105</v>
      </c>
      <c r="AA569"/>
      <c r="AB569"/>
      <c r="AC569" s="272"/>
      <c r="AD569" s="40"/>
    </row>
    <row r="570" spans="16:30" ht="10.5" customHeight="1">
      <c r="P570" s="150" t="s">
        <v>6089</v>
      </c>
      <c r="Q570" s="150"/>
      <c r="R570" s="98"/>
      <c r="S570" s="146"/>
      <c r="T570" s="279" t="s">
        <v>5440</v>
      </c>
      <c r="U570" s="279" t="s">
        <v>4876</v>
      </c>
      <c r="AA570"/>
      <c r="AB570"/>
      <c r="AC570" s="272"/>
      <c r="AD570" s="40"/>
    </row>
    <row r="571" spans="16:30" ht="10.5" customHeight="1">
      <c r="P571" s="150" t="s">
        <v>6090</v>
      </c>
      <c r="Q571" s="150"/>
      <c r="R571" s="98"/>
      <c r="S571" s="146"/>
      <c r="T571" s="279" t="s">
        <v>6091</v>
      </c>
      <c r="U571" s="279" t="s">
        <v>4973</v>
      </c>
      <c r="AA571"/>
      <c r="AB571"/>
      <c r="AC571" s="272"/>
      <c r="AD571" s="40"/>
    </row>
    <row r="572" spans="16:30" ht="10.5" customHeight="1">
      <c r="P572" s="150" t="s">
        <v>6092</v>
      </c>
      <c r="Q572" s="150"/>
      <c r="R572" s="98"/>
      <c r="S572" s="146"/>
      <c r="T572" s="279" t="s">
        <v>6093</v>
      </c>
      <c r="U572" s="279" t="s">
        <v>5009</v>
      </c>
      <c r="AA572"/>
      <c r="AB572"/>
      <c r="AC572" s="272"/>
      <c r="AD572" s="40"/>
    </row>
    <row r="573" spans="16:30" ht="10.5" customHeight="1">
      <c r="P573" s="150" t="s">
        <v>6094</v>
      </c>
      <c r="Q573" s="150"/>
      <c r="R573" s="98"/>
      <c r="S573" s="146"/>
      <c r="T573" s="279" t="s">
        <v>2120</v>
      </c>
      <c r="U573" s="279" t="s">
        <v>5133</v>
      </c>
      <c r="AA573"/>
      <c r="AB573"/>
      <c r="AC573" s="272"/>
      <c r="AD573" s="40"/>
    </row>
    <row r="574" spans="16:30" ht="10.5" customHeight="1">
      <c r="P574" s="150" t="s">
        <v>6095</v>
      </c>
      <c r="Q574" s="150"/>
      <c r="R574" s="98"/>
      <c r="S574" s="146"/>
      <c r="T574" s="279" t="s">
        <v>6096</v>
      </c>
      <c r="U574" s="279" t="s">
        <v>5063</v>
      </c>
      <c r="AA574"/>
      <c r="AB574"/>
      <c r="AC574" s="272"/>
      <c r="AD574" s="40"/>
    </row>
    <row r="575" spans="16:30" ht="10.5" customHeight="1">
      <c r="P575" s="150" t="s">
        <v>6097</v>
      </c>
      <c r="Q575" s="150"/>
      <c r="R575" s="98"/>
      <c r="S575" s="146"/>
      <c r="T575" s="146" t="s">
        <v>6098</v>
      </c>
      <c r="U575" s="146" t="s">
        <v>5164</v>
      </c>
      <c r="AA575"/>
      <c r="AB575"/>
      <c r="AC575" s="40"/>
      <c r="AD575" s="40"/>
    </row>
    <row r="576" spans="16:30" ht="10.5" customHeight="1">
      <c r="P576" s="150" t="s">
        <v>6099</v>
      </c>
      <c r="Q576" s="150"/>
      <c r="R576" s="98"/>
      <c r="S576" s="146"/>
      <c r="T576" s="279" t="s">
        <v>6100</v>
      </c>
      <c r="U576" s="279" t="s">
        <v>5361</v>
      </c>
      <c r="AA576"/>
      <c r="AB576"/>
      <c r="AC576" s="272"/>
      <c r="AD576" s="40"/>
    </row>
    <row r="577" spans="16:30" ht="10.5" customHeight="1">
      <c r="P577" s="150" t="s">
        <v>6101</v>
      </c>
      <c r="Q577" s="150"/>
      <c r="R577" s="98"/>
      <c r="S577" s="146"/>
      <c r="T577" s="279" t="s">
        <v>6102</v>
      </c>
      <c r="U577" s="279" t="s">
        <v>5159</v>
      </c>
      <c r="AA577"/>
      <c r="AB577"/>
      <c r="AC577" s="272"/>
      <c r="AD577" s="40"/>
    </row>
    <row r="578" spans="16:30" ht="10.5" customHeight="1">
      <c r="P578" s="150" t="s">
        <v>6103</v>
      </c>
      <c r="Q578" s="150"/>
      <c r="R578" s="98"/>
      <c r="S578" s="146"/>
      <c r="T578" s="279" t="s">
        <v>6104</v>
      </c>
      <c r="U578" s="279" t="s">
        <v>5159</v>
      </c>
      <c r="AA578"/>
      <c r="AB578"/>
      <c r="AC578" s="272"/>
      <c r="AD578" s="40"/>
    </row>
    <row r="579" spans="16:30" ht="10.5" customHeight="1">
      <c r="P579" s="150" t="s">
        <v>6105</v>
      </c>
      <c r="Q579" s="150"/>
      <c r="R579" s="98"/>
      <c r="S579" s="146"/>
      <c r="T579" s="279" t="s">
        <v>6106</v>
      </c>
      <c r="U579" s="279" t="s">
        <v>5245</v>
      </c>
      <c r="AA579"/>
      <c r="AB579"/>
      <c r="AC579" s="272"/>
      <c r="AD579" s="40"/>
    </row>
    <row r="580" spans="16:30" ht="10.5" customHeight="1">
      <c r="P580" s="150" t="s">
        <v>6107</v>
      </c>
      <c r="Q580" s="150"/>
      <c r="R580" s="98"/>
      <c r="S580" s="146"/>
      <c r="T580" s="279" t="s">
        <v>6108</v>
      </c>
      <c r="U580" s="279" t="s">
        <v>5112</v>
      </c>
      <c r="AA580"/>
      <c r="AB580"/>
      <c r="AC580" s="272"/>
      <c r="AD580" s="40"/>
    </row>
    <row r="581" spans="16:30" ht="10.5" customHeight="1">
      <c r="P581" s="150" t="s">
        <v>6109</v>
      </c>
      <c r="Q581" s="150"/>
      <c r="R581" s="98"/>
      <c r="S581" s="146"/>
      <c r="T581" s="279" t="s">
        <v>2122</v>
      </c>
      <c r="U581" s="279" t="s">
        <v>5288</v>
      </c>
      <c r="AA581"/>
      <c r="AB581"/>
      <c r="AC581" s="272"/>
      <c r="AD581" s="40"/>
    </row>
    <row r="582" spans="16:30" ht="10.5" customHeight="1">
      <c r="P582" s="150" t="s">
        <v>6110</v>
      </c>
      <c r="Q582" s="150"/>
      <c r="R582" s="98"/>
      <c r="S582" s="146"/>
      <c r="T582" s="279" t="s">
        <v>5164</v>
      </c>
      <c r="U582" s="279" t="s">
        <v>2147</v>
      </c>
      <c r="AA582"/>
      <c r="AB582"/>
      <c r="AC582" s="272"/>
      <c r="AD582" s="40"/>
    </row>
    <row r="583" spans="16:30" ht="10.5" customHeight="1">
      <c r="P583" s="150" t="s">
        <v>6111</v>
      </c>
      <c r="Q583" s="150"/>
      <c r="R583" s="98"/>
      <c r="S583" s="146"/>
      <c r="T583" s="279" t="s">
        <v>6112</v>
      </c>
      <c r="U583" s="279" t="s">
        <v>5619</v>
      </c>
      <c r="AA583"/>
      <c r="AB583"/>
      <c r="AC583" s="272"/>
      <c r="AD583" s="40"/>
    </row>
    <row r="584" spans="16:30" ht="10.5" customHeight="1">
      <c r="P584" s="150" t="s">
        <v>6113</v>
      </c>
      <c r="Q584" s="150"/>
      <c r="R584" s="98"/>
      <c r="S584" s="146"/>
      <c r="T584" s="279" t="s">
        <v>6114</v>
      </c>
      <c r="U584" s="279" t="s">
        <v>5170</v>
      </c>
      <c r="AA584"/>
      <c r="AB584"/>
      <c r="AC584" s="272"/>
      <c r="AD584" s="40"/>
    </row>
    <row r="585" spans="16:30" ht="10.5" customHeight="1">
      <c r="P585" s="150" t="s">
        <v>6115</v>
      </c>
      <c r="Q585" s="150"/>
      <c r="R585" s="98"/>
      <c r="S585" s="146"/>
      <c r="T585" s="279" t="s">
        <v>5026</v>
      </c>
      <c r="U585" s="279" t="s">
        <v>4888</v>
      </c>
      <c r="AA585"/>
      <c r="AB585"/>
      <c r="AC585" s="272"/>
      <c r="AD585" s="40"/>
    </row>
    <row r="586" spans="16:30" ht="10.5" customHeight="1">
      <c r="P586" s="150" t="s">
        <v>6116</v>
      </c>
      <c r="Q586" s="150"/>
      <c r="R586" s="98"/>
      <c r="S586" s="146"/>
      <c r="T586" s="146" t="s">
        <v>6117</v>
      </c>
      <c r="U586" s="146" t="s">
        <v>5510</v>
      </c>
      <c r="AA586"/>
      <c r="AB586"/>
      <c r="AC586" s="40"/>
      <c r="AD586" s="40"/>
    </row>
    <row r="587" spans="16:30" ht="10.5" customHeight="1">
      <c r="P587" s="150" t="s">
        <v>6118</v>
      </c>
      <c r="Q587" s="150"/>
      <c r="R587" s="98"/>
      <c r="S587" s="146"/>
      <c r="T587" s="279" t="s">
        <v>6119</v>
      </c>
      <c r="U587" s="279" t="s">
        <v>5531</v>
      </c>
      <c r="AA587"/>
      <c r="AB587"/>
      <c r="AC587" s="272"/>
      <c r="AD587" s="40"/>
    </row>
    <row r="588" spans="16:30" ht="10.5" customHeight="1">
      <c r="P588" s="150" t="s">
        <v>6120</v>
      </c>
      <c r="Q588" s="150"/>
      <c r="R588" s="98"/>
      <c r="S588" s="146"/>
      <c r="T588" s="279" t="s">
        <v>6121</v>
      </c>
      <c r="U588" s="279" t="s">
        <v>149</v>
      </c>
      <c r="AA588"/>
      <c r="AB588"/>
      <c r="AC588" s="272"/>
      <c r="AD588" s="40"/>
    </row>
    <row r="589" spans="16:30" ht="10.5" customHeight="1">
      <c r="P589" s="150" t="s">
        <v>6122</v>
      </c>
      <c r="Q589" s="150"/>
      <c r="R589" s="98"/>
      <c r="S589" s="146"/>
      <c r="T589" s="279" t="s">
        <v>6123</v>
      </c>
      <c r="U589" s="279" t="s">
        <v>103</v>
      </c>
      <c r="AA589"/>
      <c r="AB589"/>
      <c r="AC589" s="272"/>
      <c r="AD589" s="40"/>
    </row>
    <row r="590" spans="16:30" ht="10.5" customHeight="1">
      <c r="P590" s="150" t="s">
        <v>6124</v>
      </c>
      <c r="Q590" s="150"/>
      <c r="R590" s="98"/>
      <c r="S590" s="146"/>
      <c r="T590" s="279" t="s">
        <v>6125</v>
      </c>
      <c r="U590" s="279" t="s">
        <v>5440</v>
      </c>
      <c r="AA590"/>
      <c r="AB590"/>
      <c r="AC590" s="272"/>
      <c r="AD590" s="40"/>
    </row>
    <row r="591" spans="16:30" ht="10.5" customHeight="1">
      <c r="P591" s="150" t="s">
        <v>6126</v>
      </c>
      <c r="Q591" s="150"/>
      <c r="R591" s="98"/>
      <c r="S591" s="146"/>
      <c r="T591" s="279" t="s">
        <v>6127</v>
      </c>
      <c r="U591" s="279" t="s">
        <v>143</v>
      </c>
      <c r="AA591"/>
      <c r="AB591"/>
      <c r="AC591" s="272"/>
      <c r="AD591" s="40"/>
    </row>
    <row r="592" spans="16:30" ht="10.5" customHeight="1">
      <c r="P592" s="150" t="s">
        <v>6128</v>
      </c>
      <c r="Q592" s="150"/>
      <c r="R592" s="98"/>
      <c r="S592" s="146"/>
      <c r="T592" s="279" t="s">
        <v>147</v>
      </c>
      <c r="U592" s="279" t="s">
        <v>85</v>
      </c>
      <c r="AA592"/>
      <c r="AB592"/>
      <c r="AC592" s="272"/>
      <c r="AD592" s="40"/>
    </row>
    <row r="593" spans="16:30" ht="10.5" customHeight="1">
      <c r="P593" s="150" t="s">
        <v>6129</v>
      </c>
      <c r="Q593" s="150"/>
      <c r="R593" s="98"/>
      <c r="S593" s="146"/>
      <c r="T593" s="279" t="s">
        <v>6130</v>
      </c>
      <c r="U593" s="279" t="s">
        <v>5273</v>
      </c>
      <c r="AA593"/>
      <c r="AB593"/>
      <c r="AC593" s="272"/>
      <c r="AD593" s="40"/>
    </row>
    <row r="594" spans="16:30" ht="10.5" customHeight="1">
      <c r="P594" s="150" t="s">
        <v>6131</v>
      </c>
      <c r="Q594" s="150"/>
      <c r="R594" s="98"/>
      <c r="S594" s="146"/>
      <c r="T594" s="279" t="s">
        <v>6132</v>
      </c>
      <c r="U594" s="279" t="s">
        <v>5170</v>
      </c>
      <c r="AA594"/>
      <c r="AB594"/>
      <c r="AC594" s="272"/>
      <c r="AD594" s="40"/>
    </row>
    <row r="595" spans="16:30" ht="10.5" customHeight="1">
      <c r="P595" s="150" t="s">
        <v>6133</v>
      </c>
      <c r="Q595" s="150"/>
      <c r="R595" s="98"/>
      <c r="S595" s="146"/>
      <c r="T595" s="279" t="s">
        <v>6134</v>
      </c>
      <c r="U595" s="279" t="s">
        <v>5112</v>
      </c>
      <c r="AA595"/>
      <c r="AB595"/>
      <c r="AC595" s="272"/>
      <c r="AD595" s="40"/>
    </row>
    <row r="596" spans="16:30" ht="10.5" customHeight="1">
      <c r="P596" s="150" t="s">
        <v>6135</v>
      </c>
      <c r="Q596" s="150"/>
      <c r="R596" s="98"/>
      <c r="S596" s="146"/>
      <c r="T596" s="279" t="s">
        <v>6136</v>
      </c>
      <c r="U596" s="279" t="s">
        <v>4923</v>
      </c>
      <c r="AA596"/>
      <c r="AB596"/>
      <c r="AC596" s="272"/>
      <c r="AD596" s="40"/>
    </row>
    <row r="597" spans="16:30" ht="10.5" customHeight="1">
      <c r="P597" s="150" t="s">
        <v>6137</v>
      </c>
      <c r="Q597" s="150"/>
      <c r="R597" s="98"/>
      <c r="S597" s="146"/>
      <c r="T597" s="279" t="s">
        <v>6138</v>
      </c>
      <c r="U597" s="279" t="s">
        <v>5177</v>
      </c>
      <c r="AA597"/>
      <c r="AB597"/>
      <c r="AC597" s="272"/>
      <c r="AD597" s="40"/>
    </row>
    <row r="598" spans="16:30" ht="10.5" customHeight="1">
      <c r="P598" s="150" t="s">
        <v>6139</v>
      </c>
      <c r="Q598" s="150"/>
      <c r="R598" s="98"/>
      <c r="S598" s="146"/>
      <c r="T598" s="279" t="s">
        <v>6140</v>
      </c>
      <c r="U598" s="279" t="s">
        <v>5133</v>
      </c>
      <c r="AA598"/>
      <c r="AB598"/>
      <c r="AC598" s="272"/>
      <c r="AD598" s="40"/>
    </row>
    <row r="599" spans="16:30" ht="10.5" customHeight="1">
      <c r="P599" s="150" t="s">
        <v>6141</v>
      </c>
      <c r="Q599" s="150"/>
      <c r="R599" s="98"/>
      <c r="S599" s="146"/>
      <c r="T599" s="279" t="s">
        <v>6142</v>
      </c>
      <c r="U599" s="279" t="s">
        <v>4863</v>
      </c>
      <c r="AA599"/>
      <c r="AB599"/>
      <c r="AC599" s="272"/>
      <c r="AD599" s="40"/>
    </row>
    <row r="600" spans="16:30" ht="10.5" customHeight="1">
      <c r="P600" s="150" t="s">
        <v>6143</v>
      </c>
      <c r="Q600" s="150"/>
      <c r="R600" s="98"/>
      <c r="S600" s="146"/>
      <c r="T600" s="279" t="s">
        <v>6144</v>
      </c>
      <c r="U600" s="279" t="s">
        <v>5083</v>
      </c>
      <c r="AA600"/>
      <c r="AB600"/>
      <c r="AC600" s="272"/>
      <c r="AD600" s="40"/>
    </row>
    <row r="601" spans="16:30" ht="10.5" customHeight="1">
      <c r="P601" s="150" t="s">
        <v>6145</v>
      </c>
      <c r="Q601" s="150"/>
      <c r="R601" s="98"/>
      <c r="S601" s="146"/>
      <c r="T601" s="279" t="s">
        <v>2124</v>
      </c>
      <c r="U601" s="279" t="s">
        <v>4950</v>
      </c>
      <c r="AA601"/>
      <c r="AB601"/>
      <c r="AC601" s="272"/>
      <c r="AD601" s="40"/>
    </row>
    <row r="602" spans="16:30" ht="10.5" customHeight="1">
      <c r="P602" s="150" t="s">
        <v>6146</v>
      </c>
      <c r="Q602" s="150"/>
      <c r="R602" s="98"/>
      <c r="S602" s="146"/>
      <c r="T602" s="146" t="s">
        <v>6147</v>
      </c>
      <c r="U602" s="146" t="s">
        <v>5009</v>
      </c>
      <c r="AA602"/>
      <c r="AB602"/>
      <c r="AC602" s="40"/>
      <c r="AD602" s="40"/>
    </row>
    <row r="603" spans="16:30" ht="10.5" customHeight="1">
      <c r="P603" s="150" t="s">
        <v>6148</v>
      </c>
      <c r="Q603" s="150"/>
      <c r="R603" s="98"/>
      <c r="S603" s="146"/>
      <c r="T603" s="279" t="s">
        <v>6149</v>
      </c>
      <c r="U603" s="279" t="s">
        <v>5313</v>
      </c>
      <c r="AA603"/>
      <c r="AB603"/>
      <c r="AC603" s="272"/>
      <c r="AD603" s="40"/>
    </row>
    <row r="604" spans="16:30" ht="10.5" customHeight="1">
      <c r="P604" s="150" t="s">
        <v>6150</v>
      </c>
      <c r="Q604" s="150"/>
      <c r="R604" s="98"/>
      <c r="S604" s="146"/>
      <c r="T604" s="279" t="s">
        <v>2126</v>
      </c>
      <c r="U604" s="279" t="s">
        <v>158</v>
      </c>
      <c r="AA604"/>
      <c r="AB604"/>
      <c r="AC604" s="272"/>
      <c r="AD604" s="40"/>
    </row>
    <row r="605" spans="16:30" ht="10.5" customHeight="1">
      <c r="P605" s="150" t="s">
        <v>6151</v>
      </c>
      <c r="Q605" s="150"/>
      <c r="R605" s="98"/>
      <c r="S605" s="146"/>
      <c r="T605" s="146" t="s">
        <v>148</v>
      </c>
      <c r="U605" s="146" t="s">
        <v>149</v>
      </c>
      <c r="AA605"/>
      <c r="AB605"/>
      <c r="AC605" s="40"/>
      <c r="AD605" s="40"/>
    </row>
    <row r="606" spans="16:30" ht="10.5" customHeight="1">
      <c r="P606" s="150" t="s">
        <v>6152</v>
      </c>
      <c r="Q606" s="150"/>
      <c r="R606" s="98"/>
      <c r="S606" s="146"/>
      <c r="T606" s="279" t="s">
        <v>6153</v>
      </c>
      <c r="U606" s="279" t="s">
        <v>85</v>
      </c>
      <c r="AA606"/>
      <c r="AB606"/>
      <c r="AC606" s="272"/>
      <c r="AD606" s="40"/>
    </row>
    <row r="607" spans="16:30" ht="10.5" customHeight="1">
      <c r="P607" s="150" t="s">
        <v>6154</v>
      </c>
      <c r="Q607" s="150"/>
      <c r="R607" s="98"/>
      <c r="S607" s="146"/>
      <c r="T607" s="279" t="s">
        <v>6155</v>
      </c>
      <c r="U607" s="279" t="s">
        <v>5264</v>
      </c>
      <c r="AA607"/>
      <c r="AB607"/>
      <c r="AC607" s="272"/>
      <c r="AD607" s="40"/>
    </row>
    <row r="608" spans="16:30" ht="10.5" customHeight="1">
      <c r="P608" s="150" t="s">
        <v>6156</v>
      </c>
      <c r="Q608" s="150"/>
      <c r="R608" s="98"/>
      <c r="S608" s="146"/>
      <c r="T608" s="279" t="s">
        <v>6157</v>
      </c>
      <c r="U608" s="279" t="s">
        <v>5120</v>
      </c>
      <c r="AA608"/>
      <c r="AB608"/>
      <c r="AC608" s="272"/>
      <c r="AD608" s="40"/>
    </row>
    <row r="609" spans="16:30" ht="10.5" customHeight="1">
      <c r="P609" s="150" t="s">
        <v>6158</v>
      </c>
      <c r="Q609" s="150"/>
      <c r="R609" s="98"/>
      <c r="S609" s="146"/>
      <c r="T609" s="146" t="s">
        <v>6159</v>
      </c>
      <c r="U609" s="146" t="s">
        <v>4869</v>
      </c>
      <c r="AA609"/>
      <c r="AB609"/>
      <c r="AC609" s="40"/>
      <c r="AD609" s="40"/>
    </row>
    <row r="610" spans="16:30" ht="10.5" customHeight="1">
      <c r="P610" s="150" t="s">
        <v>6160</v>
      </c>
      <c r="Q610" s="150"/>
      <c r="R610" s="98"/>
      <c r="S610" s="146"/>
      <c r="T610" s="146" t="s">
        <v>6161</v>
      </c>
      <c r="U610" s="146" t="s">
        <v>4869</v>
      </c>
      <c r="AA610"/>
      <c r="AB610"/>
      <c r="AC610" s="40"/>
      <c r="AD610" s="40"/>
    </row>
    <row r="611" spans="16:30" ht="10.5" customHeight="1">
      <c r="P611" s="150" t="s">
        <v>6162</v>
      </c>
      <c r="Q611" s="150"/>
      <c r="R611" s="98"/>
      <c r="S611" s="146"/>
      <c r="T611" s="279" t="s">
        <v>6163</v>
      </c>
      <c r="U611" s="279" t="s">
        <v>4980</v>
      </c>
      <c r="AA611"/>
      <c r="AB611"/>
      <c r="AC611" s="272"/>
      <c r="AD611" s="40"/>
    </row>
    <row r="612" spans="16:30" ht="10.5" customHeight="1">
      <c r="P612" s="150" t="s">
        <v>6164</v>
      </c>
      <c r="Q612" s="150"/>
      <c r="R612" s="98"/>
      <c r="S612" s="146"/>
      <c r="T612" s="279" t="s">
        <v>6165</v>
      </c>
      <c r="U612" s="279" t="s">
        <v>5217</v>
      </c>
      <c r="AA612"/>
      <c r="AB612"/>
      <c r="AC612" s="272"/>
      <c r="AD612" s="40"/>
    </row>
    <row r="613" spans="16:30" ht="10.5" customHeight="1">
      <c r="P613" s="150" t="s">
        <v>6166</v>
      </c>
      <c r="Q613" s="150"/>
      <c r="R613" s="98"/>
      <c r="S613" s="146"/>
      <c r="T613" s="279" t="s">
        <v>6167</v>
      </c>
      <c r="U613" s="279" t="s">
        <v>127</v>
      </c>
      <c r="AA613"/>
      <c r="AB613"/>
      <c r="AC613" s="272"/>
      <c r="AD613" s="40"/>
    </row>
    <row r="614" spans="16:30" ht="10.5" customHeight="1">
      <c r="P614" s="150" t="s">
        <v>6168</v>
      </c>
      <c r="Q614" s="150"/>
      <c r="R614" s="98"/>
      <c r="S614" s="146"/>
      <c r="T614" s="279" t="s">
        <v>6169</v>
      </c>
      <c r="U614" s="279" t="s">
        <v>127</v>
      </c>
      <c r="AA614"/>
      <c r="AB614"/>
      <c r="AC614" s="272"/>
      <c r="AD614" s="40"/>
    </row>
    <row r="615" spans="16:30" ht="10.5" customHeight="1">
      <c r="P615" s="150" t="s">
        <v>6170</v>
      </c>
      <c r="Q615" s="150"/>
      <c r="R615" s="98"/>
      <c r="S615" s="146"/>
      <c r="T615" s="279" t="s">
        <v>6171</v>
      </c>
      <c r="U615" s="279" t="s">
        <v>96</v>
      </c>
      <c r="AA615"/>
      <c r="AB615"/>
      <c r="AC615" s="272"/>
      <c r="AD615" s="40"/>
    </row>
    <row r="616" spans="16:30" ht="10.5" customHeight="1">
      <c r="P616" s="150" t="s">
        <v>6172</v>
      </c>
      <c r="Q616" s="150"/>
      <c r="R616" s="98"/>
      <c r="S616" s="146"/>
      <c r="T616" s="279" t="s">
        <v>2128</v>
      </c>
      <c r="U616" s="279" t="s">
        <v>5440</v>
      </c>
      <c r="AA616"/>
      <c r="AB616"/>
      <c r="AC616" s="272"/>
      <c r="AD616" s="40"/>
    </row>
    <row r="617" spans="16:30" ht="10.5" customHeight="1">
      <c r="P617" s="150" t="s">
        <v>6173</v>
      </c>
      <c r="Q617" s="150"/>
      <c r="R617" s="98"/>
      <c r="S617" s="146"/>
      <c r="T617" s="279" t="s">
        <v>6174</v>
      </c>
      <c r="U617" s="279" t="s">
        <v>5653</v>
      </c>
      <c r="AA617"/>
      <c r="AB617"/>
      <c r="AC617" s="272"/>
      <c r="AD617" s="40"/>
    </row>
    <row r="618" spans="16:30" ht="10.5" customHeight="1">
      <c r="P618" s="150" t="s">
        <v>6175</v>
      </c>
      <c r="Q618" s="150"/>
      <c r="R618" s="98"/>
      <c r="S618" s="146"/>
      <c r="T618" s="279" t="s">
        <v>6176</v>
      </c>
      <c r="U618" s="279" t="s">
        <v>110</v>
      </c>
      <c r="AA618"/>
      <c r="AB618"/>
      <c r="AC618" s="272"/>
      <c r="AD618" s="40"/>
    </row>
    <row r="619" spans="16:30" ht="10.5" customHeight="1">
      <c r="P619" s="150" t="s">
        <v>6177</v>
      </c>
      <c r="Q619" s="150"/>
      <c r="R619" s="98"/>
      <c r="S619" s="146"/>
      <c r="T619" s="279" t="s">
        <v>6178</v>
      </c>
      <c r="U619" s="279" t="s">
        <v>5624</v>
      </c>
      <c r="AA619"/>
      <c r="AB619"/>
      <c r="AC619" s="272"/>
      <c r="AD619" s="40"/>
    </row>
    <row r="620" spans="16:30" ht="10.5" customHeight="1">
      <c r="P620" s="150" t="s">
        <v>6179</v>
      </c>
      <c r="Q620" s="150"/>
      <c r="R620" s="98"/>
      <c r="S620" s="146"/>
      <c r="T620" s="279" t="s">
        <v>5475</v>
      </c>
      <c r="U620" s="279" t="s">
        <v>4987</v>
      </c>
      <c r="AA620"/>
      <c r="AB620"/>
      <c r="AC620" s="272"/>
      <c r="AD620" s="40"/>
    </row>
    <row r="621" spans="16:30" ht="10.5" customHeight="1">
      <c r="P621" s="150" t="s">
        <v>6180</v>
      </c>
      <c r="Q621" s="150"/>
      <c r="R621" s="98"/>
      <c r="S621" s="146"/>
      <c r="T621" s="279" t="s">
        <v>150</v>
      </c>
      <c r="U621" s="279" t="s">
        <v>151</v>
      </c>
      <c r="AA621"/>
      <c r="AB621"/>
      <c r="AC621" s="272"/>
      <c r="AD621" s="40"/>
    </row>
    <row r="622" spans="16:30" ht="10.5" customHeight="1">
      <c r="P622" s="150" t="s">
        <v>6181</v>
      </c>
      <c r="Q622" s="150"/>
      <c r="R622" s="98"/>
      <c r="S622" s="146"/>
      <c r="T622" s="279" t="s">
        <v>115</v>
      </c>
      <c r="U622" s="279" t="s">
        <v>4944</v>
      </c>
      <c r="AA622"/>
      <c r="AB622"/>
      <c r="AC622" s="272"/>
      <c r="AD622" s="40"/>
    </row>
    <row r="623" spans="16:30" ht="10.5" customHeight="1">
      <c r="P623" s="150" t="s">
        <v>6182</v>
      </c>
      <c r="Q623" s="150"/>
      <c r="R623" s="98"/>
      <c r="S623" s="146"/>
      <c r="T623" s="279" t="s">
        <v>6183</v>
      </c>
      <c r="U623" s="279" t="s">
        <v>5217</v>
      </c>
      <c r="AA623"/>
      <c r="AB623"/>
      <c r="AC623" s="272"/>
      <c r="AD623" s="40"/>
    </row>
    <row r="624" spans="16:30" ht="10.5" customHeight="1">
      <c r="P624" s="150" t="s">
        <v>6184</v>
      </c>
      <c r="Q624" s="150"/>
      <c r="R624" s="98"/>
      <c r="S624" s="146"/>
      <c r="T624" s="279" t="s">
        <v>152</v>
      </c>
      <c r="U624" s="279" t="s">
        <v>153</v>
      </c>
      <c r="AA624"/>
      <c r="AB624"/>
      <c r="AC624" s="272"/>
      <c r="AD624" s="40"/>
    </row>
    <row r="625" spans="16:30" ht="10.5" customHeight="1">
      <c r="P625" s="150" t="s">
        <v>6185</v>
      </c>
      <c r="Q625" s="150"/>
      <c r="R625" s="98"/>
      <c r="S625" s="146"/>
      <c r="T625" s="279" t="s">
        <v>6186</v>
      </c>
      <c r="U625" s="279" t="s">
        <v>4917</v>
      </c>
      <c r="AA625"/>
      <c r="AB625"/>
      <c r="AC625" s="272"/>
      <c r="AD625" s="40"/>
    </row>
    <row r="626" spans="16:30" ht="10.5" customHeight="1">
      <c r="P626" s="150" t="s">
        <v>6187</v>
      </c>
      <c r="Q626" s="150"/>
      <c r="R626" s="98"/>
      <c r="S626" s="146"/>
      <c r="T626" s="279" t="s">
        <v>6188</v>
      </c>
      <c r="U626" s="279" t="s">
        <v>5644</v>
      </c>
      <c r="AA626"/>
      <c r="AB626"/>
      <c r="AC626" s="272"/>
      <c r="AD626" s="40"/>
    </row>
    <row r="627" spans="16:30" ht="10.5" customHeight="1">
      <c r="P627" s="150" t="s">
        <v>6189</v>
      </c>
      <c r="Q627" s="150"/>
      <c r="R627" s="98"/>
      <c r="S627" s="146"/>
      <c r="T627" s="279" t="s">
        <v>6190</v>
      </c>
      <c r="U627" s="279" t="s">
        <v>5032</v>
      </c>
      <c r="AA627"/>
      <c r="AB627"/>
      <c r="AC627" s="272"/>
      <c r="AD627" s="40"/>
    </row>
    <row r="628" spans="16:30" ht="10.5" customHeight="1">
      <c r="P628" s="150" t="s">
        <v>6191</v>
      </c>
      <c r="Q628" s="150"/>
      <c r="R628" s="98"/>
      <c r="S628" s="146"/>
      <c r="T628" s="146" t="s">
        <v>154</v>
      </c>
      <c r="U628" s="146" t="s">
        <v>85</v>
      </c>
      <c r="AA628"/>
      <c r="AB628"/>
      <c r="AC628" s="40"/>
      <c r="AD628" s="40"/>
    </row>
    <row r="629" spans="16:30" ht="10.5" customHeight="1">
      <c r="P629" s="150" t="s">
        <v>6192</v>
      </c>
      <c r="Q629" s="150"/>
      <c r="R629" s="98"/>
      <c r="S629" s="146"/>
      <c r="T629" s="279" t="s">
        <v>155</v>
      </c>
      <c r="U629" s="279" t="s">
        <v>156</v>
      </c>
      <c r="AA629"/>
      <c r="AB629"/>
      <c r="AC629" s="272"/>
      <c r="AD629" s="40"/>
    </row>
    <row r="630" spans="16:30" ht="10.5" customHeight="1">
      <c r="P630" s="150" t="s">
        <v>6193</v>
      </c>
      <c r="Q630" s="150"/>
      <c r="R630" s="98"/>
      <c r="S630" s="146"/>
      <c r="T630" s="279" t="s">
        <v>6194</v>
      </c>
      <c r="U630" s="279" t="s">
        <v>96</v>
      </c>
      <c r="AA630"/>
      <c r="AB630"/>
      <c r="AC630" s="272"/>
      <c r="AD630" s="40"/>
    </row>
    <row r="631" spans="16:30" ht="10.5" customHeight="1">
      <c r="P631" s="150" t="s">
        <v>6195</v>
      </c>
      <c r="Q631" s="150"/>
      <c r="R631" s="98"/>
      <c r="S631" s="146"/>
      <c r="T631" s="279" t="s">
        <v>6196</v>
      </c>
      <c r="U631" s="279" t="s">
        <v>5505</v>
      </c>
      <c r="AA631"/>
      <c r="AB631"/>
      <c r="AC631" s="272"/>
      <c r="AD631" s="40"/>
    </row>
    <row r="632" spans="16:30" ht="10.5" customHeight="1">
      <c r="P632" s="150" t="s">
        <v>6197</v>
      </c>
      <c r="Q632" s="150"/>
      <c r="R632" s="98"/>
      <c r="S632" s="146"/>
      <c r="T632" s="279" t="s">
        <v>6198</v>
      </c>
      <c r="U632" s="279" t="s">
        <v>141</v>
      </c>
      <c r="AA632"/>
      <c r="AB632"/>
      <c r="AC632" s="272"/>
      <c r="AD632" s="40"/>
    </row>
    <row r="633" spans="16:30" ht="10.5" customHeight="1">
      <c r="P633" s="150" t="s">
        <v>6199</v>
      </c>
      <c r="Q633" s="150"/>
      <c r="R633" s="98"/>
      <c r="S633" s="146"/>
      <c r="T633" s="279" t="s">
        <v>6200</v>
      </c>
      <c r="U633" s="279" t="s">
        <v>5339</v>
      </c>
      <c r="AA633"/>
      <c r="AB633"/>
      <c r="AC633" s="272"/>
      <c r="AD633" s="40"/>
    </row>
    <row r="634" spans="16:30" ht="10.5" customHeight="1">
      <c r="P634" s="150" t="s">
        <v>6201</v>
      </c>
      <c r="Q634" s="150"/>
      <c r="R634" s="98"/>
      <c r="S634" s="146"/>
      <c r="T634" s="279" t="s">
        <v>6202</v>
      </c>
      <c r="U634" s="279" t="s">
        <v>5217</v>
      </c>
      <c r="AA634"/>
      <c r="AB634"/>
      <c r="AC634" s="272"/>
      <c r="AD634" s="40"/>
    </row>
    <row r="635" spans="16:30" ht="10.5" customHeight="1">
      <c r="P635" s="150" t="s">
        <v>6203</v>
      </c>
      <c r="Q635" s="150"/>
      <c r="R635" s="98"/>
      <c r="S635" s="146"/>
      <c r="T635" s="279" t="s">
        <v>6204</v>
      </c>
      <c r="U635" s="279" t="s">
        <v>5133</v>
      </c>
      <c r="AA635"/>
      <c r="AB635"/>
      <c r="AC635" s="272"/>
      <c r="AD635" s="40"/>
    </row>
    <row r="636" spans="16:30" ht="10.5" customHeight="1">
      <c r="P636" s="150" t="s">
        <v>6205</v>
      </c>
      <c r="Q636" s="150"/>
      <c r="R636" s="98"/>
      <c r="S636" s="146"/>
      <c r="T636" s="279" t="s">
        <v>6206</v>
      </c>
      <c r="U636" s="279" t="s">
        <v>5323</v>
      </c>
      <c r="AA636"/>
      <c r="AB636"/>
      <c r="AC636" s="272"/>
      <c r="AD636" s="40"/>
    </row>
    <row r="637" spans="16:30" ht="10.5" customHeight="1">
      <c r="P637" s="150" t="s">
        <v>6207</v>
      </c>
      <c r="Q637" s="150"/>
      <c r="R637" s="98"/>
      <c r="S637" s="146"/>
      <c r="T637" s="279" t="s">
        <v>6208</v>
      </c>
      <c r="U637" s="279" t="s">
        <v>5114</v>
      </c>
      <c r="AA637"/>
      <c r="AB637"/>
      <c r="AC637" s="272"/>
      <c r="AD637" s="40"/>
    </row>
    <row r="638" spans="16:30" ht="10.5" customHeight="1">
      <c r="P638" s="150" t="s">
        <v>6209</v>
      </c>
      <c r="Q638" s="150"/>
      <c r="R638" s="98"/>
      <c r="S638" s="146"/>
      <c r="T638" s="146" t="s">
        <v>6210</v>
      </c>
      <c r="U638" s="146" t="s">
        <v>113</v>
      </c>
      <c r="AA638"/>
      <c r="AB638"/>
      <c r="AC638" s="40"/>
      <c r="AD638" s="40"/>
    </row>
    <row r="639" spans="16:30" ht="10.5" customHeight="1">
      <c r="P639" s="150" t="s">
        <v>6211</v>
      </c>
      <c r="Q639" s="150"/>
      <c r="R639" s="98"/>
      <c r="S639" s="146"/>
      <c r="T639" s="279" t="s">
        <v>6212</v>
      </c>
      <c r="U639" s="279" t="s">
        <v>5531</v>
      </c>
      <c r="AA639"/>
      <c r="AB639"/>
      <c r="AC639" s="272"/>
      <c r="AD639" s="40"/>
    </row>
    <row r="640" spans="16:30" ht="10.5" customHeight="1">
      <c r="P640" s="150" t="s">
        <v>6213</v>
      </c>
      <c r="Q640" s="150"/>
      <c r="R640" s="98"/>
      <c r="S640" s="146"/>
      <c r="T640" s="279" t="s">
        <v>6214</v>
      </c>
      <c r="U640" s="279" t="s">
        <v>4950</v>
      </c>
      <c r="AA640"/>
      <c r="AB640"/>
      <c r="AC640" s="272"/>
      <c r="AD640" s="40"/>
    </row>
    <row r="641" spans="16:30" ht="10.5" customHeight="1">
      <c r="P641" s="150" t="s">
        <v>6215</v>
      </c>
      <c r="Q641" s="150"/>
      <c r="R641" s="98"/>
      <c r="S641" s="146"/>
      <c r="T641" s="146" t="s">
        <v>6216</v>
      </c>
      <c r="U641" s="146" t="s">
        <v>2147</v>
      </c>
      <c r="AA641"/>
      <c r="AB641"/>
      <c r="AC641" s="40"/>
      <c r="AD641" s="40"/>
    </row>
    <row r="642" spans="16:30" ht="10.5" customHeight="1">
      <c r="P642" s="150" t="s">
        <v>6217</v>
      </c>
      <c r="Q642" s="150"/>
      <c r="R642" s="98"/>
      <c r="S642" s="146"/>
      <c r="T642" s="279" t="s">
        <v>6218</v>
      </c>
      <c r="U642" s="279" t="s">
        <v>5146</v>
      </c>
      <c r="AA642"/>
      <c r="AB642"/>
      <c r="AC642" s="272"/>
      <c r="AD642" s="40"/>
    </row>
    <row r="643" spans="16:30" ht="10.5" customHeight="1">
      <c r="P643" s="150" t="s">
        <v>6219</v>
      </c>
      <c r="Q643" s="150"/>
      <c r="R643" s="98"/>
      <c r="S643" s="146"/>
      <c r="T643" s="279" t="s">
        <v>6220</v>
      </c>
      <c r="U643" s="279" t="s">
        <v>124</v>
      </c>
      <c r="AA643"/>
      <c r="AB643"/>
      <c r="AC643" s="272"/>
      <c r="AD643" s="40"/>
    </row>
    <row r="644" spans="16:30" ht="10.5" customHeight="1">
      <c r="P644" s="150" t="s">
        <v>6221</v>
      </c>
      <c r="Q644" s="150"/>
      <c r="R644" s="98"/>
      <c r="S644" s="146"/>
      <c r="T644" s="279" t="s">
        <v>6222</v>
      </c>
      <c r="U644" s="279" t="s">
        <v>90</v>
      </c>
      <c r="AA644"/>
      <c r="AB644"/>
      <c r="AC644" s="272"/>
      <c r="AD644" s="40"/>
    </row>
    <row r="645" spans="16:30" ht="10.5" customHeight="1">
      <c r="P645" s="150" t="s">
        <v>6223</v>
      </c>
      <c r="Q645" s="150"/>
      <c r="R645" s="98"/>
      <c r="S645" s="146"/>
      <c r="T645" s="279" t="s">
        <v>6224</v>
      </c>
      <c r="U645" s="279" t="s">
        <v>5063</v>
      </c>
      <c r="AA645"/>
      <c r="AB645"/>
      <c r="AC645" s="272"/>
      <c r="AD645" s="40"/>
    </row>
    <row r="646" spans="16:30" ht="10.5" customHeight="1">
      <c r="P646" s="150" t="s">
        <v>6225</v>
      </c>
      <c r="Q646" s="150"/>
      <c r="R646" s="98"/>
      <c r="S646" s="146"/>
      <c r="T646" s="279" t="s">
        <v>6226</v>
      </c>
      <c r="U646" s="279" t="s">
        <v>5085</v>
      </c>
      <c r="AA646"/>
      <c r="AB646"/>
      <c r="AC646" s="272"/>
      <c r="AD646" s="40"/>
    </row>
    <row r="647" spans="16:30" ht="10.5" customHeight="1">
      <c r="P647" s="150" t="s">
        <v>6227</v>
      </c>
      <c r="Q647" s="150"/>
      <c r="R647" s="98"/>
      <c r="S647" s="146"/>
      <c r="T647" s="279" t="s">
        <v>157</v>
      </c>
      <c r="U647" s="279" t="s">
        <v>158</v>
      </c>
      <c r="AA647"/>
      <c r="AB647"/>
      <c r="AC647" s="272"/>
      <c r="AD647" s="40"/>
    </row>
    <row r="648" spans="16:30" ht="10.5" customHeight="1">
      <c r="P648" s="150" t="s">
        <v>6228</v>
      </c>
      <c r="Q648" s="150"/>
      <c r="R648" s="98"/>
      <c r="S648" s="146"/>
      <c r="T648" s="279" t="s">
        <v>6229</v>
      </c>
      <c r="U648" s="279" t="s">
        <v>4869</v>
      </c>
      <c r="AA648"/>
      <c r="AB648"/>
      <c r="AC648" s="272"/>
      <c r="AD648" s="40"/>
    </row>
    <row r="649" spans="16:30" ht="10.5" customHeight="1">
      <c r="P649" s="150" t="s">
        <v>6230</v>
      </c>
      <c r="Q649" s="150"/>
      <c r="R649" s="98"/>
      <c r="S649" s="146"/>
      <c r="T649" s="146" t="s">
        <v>6231</v>
      </c>
      <c r="U649" s="146" t="s">
        <v>4870</v>
      </c>
      <c r="AA649"/>
      <c r="AB649"/>
      <c r="AC649" s="40"/>
      <c r="AD649" s="40"/>
    </row>
    <row r="650" spans="16:30" ht="10.5" customHeight="1">
      <c r="P650" s="150" t="s">
        <v>6232</v>
      </c>
      <c r="Q650" s="150"/>
      <c r="R650" s="98"/>
      <c r="S650" s="146"/>
      <c r="T650" s="279" t="s">
        <v>2130</v>
      </c>
      <c r="U650" s="279" t="s">
        <v>5002</v>
      </c>
      <c r="AA650"/>
      <c r="AB650"/>
      <c r="AC650" s="272"/>
      <c r="AD650" s="40"/>
    </row>
    <row r="651" spans="16:30" ht="10.5" customHeight="1">
      <c r="P651" s="150" t="s">
        <v>6233</v>
      </c>
      <c r="Q651" s="150"/>
      <c r="R651" s="98"/>
      <c r="S651" s="146"/>
      <c r="T651" s="279" t="s">
        <v>6234</v>
      </c>
      <c r="U651" s="279" t="s">
        <v>5510</v>
      </c>
      <c r="AA651"/>
      <c r="AB651"/>
      <c r="AC651" s="272"/>
      <c r="AD651" s="40"/>
    </row>
    <row r="652" spans="16:30" ht="10.5" customHeight="1">
      <c r="P652" s="150" t="s">
        <v>6235</v>
      </c>
      <c r="Q652" s="150"/>
      <c r="R652" s="98"/>
      <c r="S652" s="146"/>
      <c r="T652" s="279" t="s">
        <v>2132</v>
      </c>
      <c r="U652" s="279" t="s">
        <v>165</v>
      </c>
      <c r="AA652"/>
      <c r="AB652"/>
      <c r="AC652" s="272"/>
      <c r="AD652" s="40"/>
    </row>
    <row r="653" spans="16:30" ht="10.5" customHeight="1">
      <c r="P653" s="150" t="s">
        <v>6236</v>
      </c>
      <c r="Q653" s="150"/>
      <c r="R653" s="98"/>
      <c r="S653" s="146"/>
      <c r="T653" s="279" t="s">
        <v>6237</v>
      </c>
      <c r="U653" s="279" t="s">
        <v>4992</v>
      </c>
      <c r="AA653"/>
      <c r="AB653"/>
      <c r="AC653" s="272"/>
      <c r="AD653" s="40"/>
    </row>
    <row r="654" spans="16:30" ht="10.5" customHeight="1">
      <c r="P654" s="150" t="s">
        <v>6238</v>
      </c>
      <c r="Q654" s="150"/>
      <c r="R654" s="98"/>
      <c r="S654" s="146"/>
      <c r="T654" s="146" t="s">
        <v>6239</v>
      </c>
      <c r="U654" s="146" t="s">
        <v>93</v>
      </c>
      <c r="AA654"/>
      <c r="AB654"/>
      <c r="AC654" s="40"/>
      <c r="AD654" s="40"/>
    </row>
    <row r="655" spans="16:30" ht="10.5" customHeight="1">
      <c r="P655" s="150" t="s">
        <v>6240</v>
      </c>
      <c r="Q655" s="150"/>
      <c r="R655" s="98"/>
      <c r="S655" s="146"/>
      <c r="T655" s="279" t="s">
        <v>6241</v>
      </c>
      <c r="U655" s="279" t="s">
        <v>143</v>
      </c>
      <c r="AA655"/>
      <c r="AB655"/>
      <c r="AC655" s="272"/>
      <c r="AD655" s="40"/>
    </row>
    <row r="656" spans="16:30" ht="10.5" customHeight="1">
      <c r="P656" s="150" t="s">
        <v>6242</v>
      </c>
      <c r="Q656" s="150"/>
      <c r="R656" s="98"/>
      <c r="S656" s="146"/>
      <c r="T656" s="279" t="s">
        <v>6243</v>
      </c>
      <c r="U656" s="279" t="s">
        <v>5193</v>
      </c>
      <c r="AA656"/>
      <c r="AB656"/>
      <c r="AC656" s="272"/>
      <c r="AD656" s="40"/>
    </row>
    <row r="657" spans="16:30" ht="10.5" customHeight="1">
      <c r="P657" s="150" t="s">
        <v>6244</v>
      </c>
      <c r="Q657" s="150"/>
      <c r="R657" s="98"/>
      <c r="S657" s="146"/>
      <c r="T657" s="279" t="s">
        <v>159</v>
      </c>
      <c r="U657" s="279" t="s">
        <v>160</v>
      </c>
      <c r="AA657"/>
      <c r="AB657"/>
      <c r="AC657" s="272"/>
      <c r="AD657" s="40"/>
    </row>
    <row r="658" spans="16:30" ht="10.5" customHeight="1">
      <c r="P658" s="150" t="s">
        <v>6245</v>
      </c>
      <c r="Q658" s="150"/>
      <c r="R658" s="98"/>
      <c r="S658" s="146"/>
      <c r="T658" s="279" t="s">
        <v>6246</v>
      </c>
      <c r="U658" s="279" t="s">
        <v>5228</v>
      </c>
      <c r="AA658"/>
      <c r="AB658"/>
      <c r="AC658" s="272"/>
      <c r="AD658" s="40"/>
    </row>
    <row r="659" spans="16:30" ht="10.5" customHeight="1">
      <c r="P659" s="150" t="s">
        <v>6247</v>
      </c>
      <c r="Q659" s="150"/>
      <c r="R659" s="98"/>
      <c r="S659" s="146"/>
      <c r="T659" s="279" t="s">
        <v>6248</v>
      </c>
      <c r="U659" s="279" t="s">
        <v>5083</v>
      </c>
      <c r="AA659"/>
      <c r="AB659"/>
      <c r="AC659" s="272"/>
      <c r="AD659" s="40"/>
    </row>
    <row r="660" spans="16:30" ht="10.5" customHeight="1">
      <c r="P660" s="150" t="s">
        <v>6249</v>
      </c>
      <c r="Q660" s="150"/>
      <c r="R660" s="98"/>
      <c r="S660" s="146"/>
      <c r="T660" s="146" t="s">
        <v>162</v>
      </c>
      <c r="U660" s="146" t="s">
        <v>124</v>
      </c>
      <c r="AA660"/>
      <c r="AB660"/>
      <c r="AC660" s="40"/>
      <c r="AD660" s="40"/>
    </row>
    <row r="661" spans="16:30" ht="10.5" customHeight="1">
      <c r="P661" s="150" t="s">
        <v>6250</v>
      </c>
      <c r="Q661" s="150"/>
      <c r="R661" s="98"/>
      <c r="S661" s="146"/>
      <c r="T661" s="279" t="s">
        <v>6251</v>
      </c>
      <c r="U661" s="279" t="s">
        <v>2147</v>
      </c>
      <c r="AA661"/>
      <c r="AB661"/>
      <c r="AC661" s="272"/>
      <c r="AD661" s="40"/>
    </row>
    <row r="662" spans="16:30" ht="10.5" customHeight="1">
      <c r="P662" s="150" t="s">
        <v>6252</v>
      </c>
      <c r="Q662" s="150"/>
      <c r="R662" s="98"/>
      <c r="S662" s="146"/>
      <c r="T662" s="279" t="s">
        <v>6253</v>
      </c>
      <c r="U662" s="279" t="s">
        <v>143</v>
      </c>
      <c r="AA662"/>
      <c r="AB662"/>
      <c r="AC662" s="272"/>
      <c r="AD662" s="40"/>
    </row>
    <row r="663" spans="16:30" ht="10.5" customHeight="1">
      <c r="P663" s="150" t="s">
        <v>6254</v>
      </c>
      <c r="Q663" s="150"/>
      <c r="R663" s="98"/>
      <c r="S663" s="146"/>
      <c r="T663" s="279" t="s">
        <v>6255</v>
      </c>
      <c r="U663" s="279" t="s">
        <v>5568</v>
      </c>
      <c r="AA663"/>
      <c r="AB663"/>
      <c r="AC663" s="272"/>
      <c r="AD663" s="40"/>
    </row>
    <row r="664" spans="16:30" ht="10.5" customHeight="1">
      <c r="P664" s="150" t="s">
        <v>6256</v>
      </c>
      <c r="Q664" s="150"/>
      <c r="R664" s="98"/>
      <c r="S664" s="146"/>
      <c r="T664" s="279" t="s">
        <v>6257</v>
      </c>
      <c r="U664" s="279" t="s">
        <v>4961</v>
      </c>
      <c r="AA664"/>
      <c r="AB664"/>
      <c r="AC664" s="272"/>
      <c r="AD664" s="40"/>
    </row>
    <row r="665" spans="16:30" ht="10.5" customHeight="1">
      <c r="P665" s="150" t="s">
        <v>6258</v>
      </c>
      <c r="Q665" s="150"/>
      <c r="R665" s="98"/>
      <c r="S665" s="146"/>
      <c r="T665" s="279" t="s">
        <v>6259</v>
      </c>
      <c r="U665" s="279" t="s">
        <v>5273</v>
      </c>
      <c r="AA665"/>
      <c r="AB665"/>
      <c r="AC665" s="272"/>
      <c r="AD665" s="40"/>
    </row>
    <row r="666" spans="16:30" ht="10.5" customHeight="1">
      <c r="P666" s="150" t="s">
        <v>6260</v>
      </c>
      <c r="Q666" s="150"/>
      <c r="R666" s="98"/>
      <c r="S666" s="146"/>
      <c r="T666" s="279" t="s">
        <v>6261</v>
      </c>
      <c r="U666" s="279" t="s">
        <v>5301</v>
      </c>
      <c r="AA666"/>
      <c r="AB666"/>
      <c r="AC666" s="272"/>
      <c r="AD666" s="40"/>
    </row>
    <row r="667" spans="16:30" ht="10.5" customHeight="1">
      <c r="P667" s="150" t="s">
        <v>6262</v>
      </c>
      <c r="Q667" s="150"/>
      <c r="R667" s="98"/>
      <c r="S667" s="146"/>
      <c r="T667" s="279" t="s">
        <v>6263</v>
      </c>
      <c r="U667" s="279" t="s">
        <v>5498</v>
      </c>
      <c r="AA667"/>
      <c r="AB667"/>
      <c r="AC667" s="272"/>
      <c r="AD667" s="40"/>
    </row>
    <row r="668" spans="16:30" ht="10.5" customHeight="1">
      <c r="P668" s="150" t="s">
        <v>6264</v>
      </c>
      <c r="Q668" s="150"/>
      <c r="R668" s="98"/>
      <c r="S668" s="146"/>
      <c r="T668" s="279" t="s">
        <v>4859</v>
      </c>
      <c r="U668" s="279" t="s">
        <v>127</v>
      </c>
      <c r="AA668"/>
      <c r="AB668"/>
      <c r="AC668" s="272"/>
      <c r="AD668" s="40"/>
    </row>
    <row r="669" spans="16:30" ht="10.5" customHeight="1">
      <c r="P669" s="150" t="s">
        <v>6265</v>
      </c>
      <c r="Q669" s="150"/>
      <c r="R669" s="98"/>
      <c r="S669" s="146"/>
      <c r="T669" s="279" t="s">
        <v>6266</v>
      </c>
      <c r="U669" s="279" t="s">
        <v>5554</v>
      </c>
      <c r="AA669"/>
      <c r="AB669"/>
      <c r="AC669" s="272"/>
      <c r="AD669" s="40"/>
    </row>
    <row r="670" spans="16:30" ht="10.5" customHeight="1">
      <c r="P670" s="150" t="s">
        <v>6267</v>
      </c>
      <c r="Q670" s="150"/>
      <c r="R670" s="98"/>
      <c r="S670" s="146"/>
      <c r="T670" s="279" t="s">
        <v>163</v>
      </c>
      <c r="U670" s="279" t="s">
        <v>85</v>
      </c>
      <c r="AA670"/>
      <c r="AB670"/>
      <c r="AC670" s="272"/>
      <c r="AD670" s="40"/>
    </row>
    <row r="671" spans="16:30" ht="10.5" customHeight="1">
      <c r="P671" s="150" t="s">
        <v>6268</v>
      </c>
      <c r="Q671" s="150"/>
      <c r="R671" s="98"/>
      <c r="S671" s="146"/>
      <c r="T671" s="146" t="s">
        <v>5510</v>
      </c>
      <c r="U671" s="146" t="s">
        <v>5619</v>
      </c>
      <c r="AA671"/>
      <c r="AB671"/>
      <c r="AC671" s="40"/>
      <c r="AD671" s="40"/>
    </row>
    <row r="672" spans="16:30" ht="10.5" customHeight="1">
      <c r="P672" s="150" t="s">
        <v>6269</v>
      </c>
      <c r="Q672" s="150"/>
      <c r="R672" s="98"/>
      <c r="S672" s="146"/>
      <c r="T672" s="279" t="s">
        <v>6270</v>
      </c>
      <c r="U672" s="279" t="s">
        <v>105</v>
      </c>
      <c r="AA672"/>
      <c r="AB672"/>
      <c r="AC672" s="272"/>
      <c r="AD672" s="40"/>
    </row>
    <row r="673" spans="16:30" ht="10.5" customHeight="1">
      <c r="P673" s="150" t="s">
        <v>6271</v>
      </c>
      <c r="Q673" s="150"/>
      <c r="R673" s="98"/>
      <c r="S673" s="146"/>
      <c r="T673" s="279" t="s">
        <v>6272</v>
      </c>
      <c r="U673" s="279" t="s">
        <v>4869</v>
      </c>
      <c r="AA673"/>
      <c r="AB673"/>
      <c r="AC673" s="272"/>
      <c r="AD673" s="40"/>
    </row>
    <row r="674" spans="16:30" ht="10.5" customHeight="1">
      <c r="P674" s="150" t="s">
        <v>6273</v>
      </c>
      <c r="Q674" s="150"/>
      <c r="R674" s="98"/>
      <c r="S674" s="146"/>
      <c r="T674" s="279" t="s">
        <v>6274</v>
      </c>
      <c r="U674" s="279" t="s">
        <v>5296</v>
      </c>
      <c r="AA674"/>
      <c r="AB674"/>
      <c r="AC674" s="272"/>
      <c r="AD674" s="40"/>
    </row>
    <row r="675" spans="16:30" ht="10.5" customHeight="1">
      <c r="P675" s="150" t="s">
        <v>6275</v>
      </c>
      <c r="Q675" s="150"/>
      <c r="R675" s="98"/>
      <c r="S675" s="146"/>
      <c r="T675" s="279" t="s">
        <v>164</v>
      </c>
      <c r="U675" s="279" t="s">
        <v>165</v>
      </c>
      <c r="AA675"/>
      <c r="AB675"/>
      <c r="AC675" s="272"/>
      <c r="AD675" s="40"/>
    </row>
    <row r="676" spans="16:30" ht="10.5" customHeight="1">
      <c r="P676" s="150" t="s">
        <v>6276</v>
      </c>
      <c r="Q676" s="150"/>
      <c r="R676" s="98"/>
      <c r="S676" s="146"/>
      <c r="T676" s="279" t="s">
        <v>6277</v>
      </c>
      <c r="U676" s="279" t="s">
        <v>5543</v>
      </c>
      <c r="AA676"/>
      <c r="AB676"/>
      <c r="AC676" s="272"/>
      <c r="AD676" s="40"/>
    </row>
    <row r="677" spans="16:30" ht="10.5" customHeight="1">
      <c r="P677" s="150" t="s">
        <v>6278</v>
      </c>
      <c r="Q677" s="150"/>
      <c r="R677" s="98"/>
      <c r="S677" s="146"/>
      <c r="T677" s="279" t="s">
        <v>6279</v>
      </c>
      <c r="U677" s="279" t="s">
        <v>105</v>
      </c>
      <c r="AA677"/>
      <c r="AB677"/>
      <c r="AC677" s="272"/>
      <c r="AD677" s="40"/>
    </row>
    <row r="678" spans="16:30" ht="10.5" customHeight="1">
      <c r="P678" s="150" t="s">
        <v>6280</v>
      </c>
      <c r="Q678" s="150"/>
      <c r="R678" s="98"/>
      <c r="S678" s="146"/>
      <c r="T678" s="279" t="s">
        <v>6281</v>
      </c>
      <c r="U678" s="279" t="s">
        <v>5493</v>
      </c>
      <c r="AA678"/>
      <c r="AB678"/>
      <c r="AC678" s="272"/>
      <c r="AD678" s="40"/>
    </row>
    <row r="679" spans="16:30" ht="10.5" customHeight="1">
      <c r="P679" s="150" t="s">
        <v>6282</v>
      </c>
      <c r="Q679" s="150"/>
      <c r="R679" s="98"/>
      <c r="S679" s="146"/>
      <c r="T679" s="279" t="s">
        <v>6283</v>
      </c>
      <c r="U679" s="279" t="s">
        <v>5264</v>
      </c>
      <c r="AA679"/>
      <c r="AB679"/>
      <c r="AC679" s="272"/>
      <c r="AD679" s="40"/>
    </row>
    <row r="680" spans="16:30" ht="10.5" customHeight="1">
      <c r="P680" s="150" t="s">
        <v>6284</v>
      </c>
      <c r="Q680" s="150"/>
      <c r="R680" s="98"/>
      <c r="S680" s="146"/>
      <c r="T680" s="279" t="s">
        <v>6285</v>
      </c>
      <c r="U680" s="279" t="s">
        <v>5230</v>
      </c>
      <c r="AA680"/>
      <c r="AB680"/>
      <c r="AC680" s="272"/>
      <c r="AD680" s="40"/>
    </row>
    <row r="681" spans="16:30" ht="10.5" customHeight="1">
      <c r="P681" s="150" t="s">
        <v>6286</v>
      </c>
      <c r="Q681" s="150"/>
      <c r="R681" s="98"/>
      <c r="S681" s="146"/>
      <c r="T681" s="279" t="s">
        <v>166</v>
      </c>
      <c r="U681" s="279" t="s">
        <v>127</v>
      </c>
      <c r="AA681"/>
      <c r="AB681"/>
      <c r="AC681" s="272"/>
      <c r="AD681" s="40"/>
    </row>
    <row r="682" spans="16:30" ht="10.5" customHeight="1">
      <c r="P682" s="150" t="s">
        <v>6287</v>
      </c>
      <c r="Q682" s="150"/>
      <c r="R682" s="98"/>
      <c r="S682" s="146"/>
      <c r="T682" s="279" t="s">
        <v>6288</v>
      </c>
      <c r="U682" s="279" t="s">
        <v>5488</v>
      </c>
      <c r="AA682"/>
      <c r="AB682"/>
      <c r="AC682" s="272"/>
      <c r="AD682" s="40"/>
    </row>
    <row r="683" spans="16:30" ht="10.5" customHeight="1">
      <c r="P683" s="150" t="s">
        <v>6289</v>
      </c>
      <c r="Q683" s="150"/>
      <c r="R683" s="98"/>
      <c r="S683" s="146"/>
      <c r="T683" s="146" t="s">
        <v>6290</v>
      </c>
      <c r="U683" s="146" t="s">
        <v>5346</v>
      </c>
      <c r="AA683"/>
      <c r="AB683"/>
      <c r="AC683" s="40"/>
      <c r="AD683" s="40"/>
    </row>
    <row r="684" spans="16:30" ht="10.5" customHeight="1">
      <c r="P684" s="150" t="s">
        <v>6291</v>
      </c>
      <c r="Q684" s="150"/>
      <c r="R684" s="98"/>
      <c r="S684" s="146"/>
      <c r="T684" s="146" t="s">
        <v>2135</v>
      </c>
      <c r="U684" s="146" t="s">
        <v>110</v>
      </c>
      <c r="AA684"/>
      <c r="AB684"/>
      <c r="AC684" s="40"/>
      <c r="AD684" s="40"/>
    </row>
    <row r="685" spans="16:30" ht="10.5" customHeight="1">
      <c r="P685" s="150" t="s">
        <v>6292</v>
      </c>
      <c r="Q685" s="150"/>
      <c r="R685" s="98"/>
      <c r="S685" s="146"/>
      <c r="T685" s="279" t="s">
        <v>6293</v>
      </c>
      <c r="U685" s="279" t="s">
        <v>5133</v>
      </c>
      <c r="AA685"/>
      <c r="AB685"/>
      <c r="AC685" s="272"/>
      <c r="AD685" s="40"/>
    </row>
    <row r="686" spans="16:30" ht="10.5" customHeight="1">
      <c r="P686" s="150" t="s">
        <v>6294</v>
      </c>
      <c r="Q686" s="150"/>
      <c r="R686" s="98"/>
      <c r="S686" s="146"/>
      <c r="T686" s="279" t="s">
        <v>2136</v>
      </c>
      <c r="U686" s="279" t="s">
        <v>5150</v>
      </c>
      <c r="AA686"/>
      <c r="AB686"/>
      <c r="AC686" s="272"/>
      <c r="AD686" s="40"/>
    </row>
    <row r="687" spans="16:30" ht="10.5" customHeight="1">
      <c r="P687" s="150" t="s">
        <v>6295</v>
      </c>
      <c r="Q687" s="150"/>
      <c r="R687" s="98"/>
      <c r="S687" s="146"/>
      <c r="T687" s="279" t="s">
        <v>6296</v>
      </c>
      <c r="U687" s="279" t="s">
        <v>5576</v>
      </c>
      <c r="AA687"/>
      <c r="AB687"/>
      <c r="AC687" s="272"/>
      <c r="AD687" s="40"/>
    </row>
    <row r="688" spans="16:30" ht="10.5" customHeight="1">
      <c r="P688" s="150" t="s">
        <v>6297</v>
      </c>
      <c r="Q688" s="150"/>
      <c r="R688" s="98"/>
      <c r="S688" s="146"/>
      <c r="T688" s="279" t="s">
        <v>6298</v>
      </c>
      <c r="U688" s="279" t="s">
        <v>143</v>
      </c>
      <c r="AA688"/>
      <c r="AB688"/>
      <c r="AC688" s="272"/>
      <c r="AD688" s="40"/>
    </row>
    <row r="689" spans="16:30" ht="10.5" customHeight="1">
      <c r="P689" s="150" t="s">
        <v>6299</v>
      </c>
      <c r="Q689" s="150"/>
      <c r="R689" s="98"/>
      <c r="S689" s="146"/>
      <c r="T689" s="279" t="s">
        <v>6300</v>
      </c>
      <c r="U689" s="279" t="s">
        <v>4891</v>
      </c>
      <c r="AA689"/>
      <c r="AB689"/>
      <c r="AC689" s="272"/>
      <c r="AD689" s="40"/>
    </row>
    <row r="690" spans="16:30" ht="10.5" customHeight="1">
      <c r="P690" s="150" t="s">
        <v>6301</v>
      </c>
      <c r="Q690" s="150"/>
      <c r="R690" s="98"/>
      <c r="S690" s="146"/>
      <c r="T690" s="279" t="s">
        <v>6302</v>
      </c>
      <c r="U690" s="279" t="s">
        <v>5251</v>
      </c>
      <c r="AA690"/>
      <c r="AB690"/>
      <c r="AC690" s="272"/>
      <c r="AD690" s="40"/>
    </row>
    <row r="691" spans="16:30" ht="10.5" customHeight="1">
      <c r="P691" s="150" t="s">
        <v>6303</v>
      </c>
      <c r="Q691" s="150"/>
      <c r="R691" s="98"/>
      <c r="S691" s="146"/>
      <c r="T691" s="279" t="s">
        <v>6304</v>
      </c>
      <c r="U691" s="279" t="s">
        <v>5146</v>
      </c>
      <c r="AA691"/>
      <c r="AB691"/>
      <c r="AC691" s="272"/>
      <c r="AD691" s="40"/>
    </row>
    <row r="692" spans="16:30" ht="10.5" customHeight="1">
      <c r="P692" s="150" t="s">
        <v>6305</v>
      </c>
      <c r="Q692" s="150"/>
      <c r="R692" s="98"/>
      <c r="S692" s="146"/>
      <c r="T692" s="279" t="s">
        <v>6306</v>
      </c>
      <c r="U692" s="279" t="s">
        <v>129</v>
      </c>
      <c r="AA692"/>
      <c r="AB692"/>
      <c r="AC692" s="272"/>
      <c r="AD692" s="40"/>
    </row>
    <row r="693" spans="16:30" ht="10.5" customHeight="1">
      <c r="P693" s="150" t="s">
        <v>6307</v>
      </c>
      <c r="Q693" s="150"/>
      <c r="R693" s="98"/>
      <c r="S693" s="146"/>
      <c r="T693" s="279" t="s">
        <v>161</v>
      </c>
      <c r="U693" s="279" t="s">
        <v>100</v>
      </c>
      <c r="AA693"/>
      <c r="AB693"/>
      <c r="AC693" s="272"/>
      <c r="AD693" s="40"/>
    </row>
    <row r="694" spans="16:30" ht="10.5" customHeight="1">
      <c r="P694" s="150" t="s">
        <v>6308</v>
      </c>
      <c r="Q694" s="150"/>
      <c r="R694" s="98"/>
      <c r="S694" s="146"/>
      <c r="T694" s="279" t="s">
        <v>6309</v>
      </c>
      <c r="U694" s="279" t="s">
        <v>5073</v>
      </c>
      <c r="AA694"/>
      <c r="AB694"/>
      <c r="AC694" s="272"/>
      <c r="AD694" s="40"/>
    </row>
    <row r="695" spans="16:30" ht="10.5" customHeight="1">
      <c r="P695" s="150" t="s">
        <v>6310</v>
      </c>
      <c r="Q695" s="150"/>
      <c r="R695" s="98"/>
      <c r="S695" s="146"/>
      <c r="T695" s="279" t="s">
        <v>6311</v>
      </c>
      <c r="U695" s="279" t="s">
        <v>5141</v>
      </c>
      <c r="AA695"/>
      <c r="AB695"/>
      <c r="AC695" s="272"/>
      <c r="AD695" s="40"/>
    </row>
    <row r="696" spans="16:30" ht="10.5" customHeight="1">
      <c r="P696" s="150" t="s">
        <v>6312</v>
      </c>
      <c r="Q696" s="150"/>
      <c r="R696" s="98"/>
      <c r="S696" s="146"/>
      <c r="T696" s="279" t="s">
        <v>2137</v>
      </c>
      <c r="U696" s="279" t="s">
        <v>96</v>
      </c>
      <c r="AA696"/>
      <c r="AB696"/>
      <c r="AC696" s="272"/>
      <c r="AD696" s="40"/>
    </row>
    <row r="697" spans="16:30" ht="10.5" customHeight="1">
      <c r="P697" s="150" t="s">
        <v>6313</v>
      </c>
      <c r="Q697" s="150"/>
      <c r="R697" s="98"/>
      <c r="S697" s="146"/>
      <c r="T697" s="279" t="s">
        <v>6314</v>
      </c>
      <c r="U697" s="279" t="s">
        <v>160</v>
      </c>
      <c r="AA697"/>
      <c r="AB697"/>
      <c r="AC697" s="272"/>
      <c r="AD697" s="40"/>
    </row>
    <row r="698" spans="16:30" ht="10.5" customHeight="1">
      <c r="P698" s="150" t="s">
        <v>6315</v>
      </c>
      <c r="Q698" s="150"/>
      <c r="R698" s="98"/>
      <c r="S698" s="146"/>
      <c r="T698" s="279" t="s">
        <v>6316</v>
      </c>
      <c r="U698" s="279" t="s">
        <v>5159</v>
      </c>
      <c r="AA698"/>
      <c r="AB698"/>
      <c r="AC698" s="272"/>
      <c r="AD698" s="40"/>
    </row>
    <row r="699" spans="16:30" ht="10.5" customHeight="1">
      <c r="P699" s="150" t="s">
        <v>6317</v>
      </c>
      <c r="Q699" s="150"/>
      <c r="R699" s="98"/>
      <c r="S699" s="146"/>
      <c r="T699" s="279" t="s">
        <v>6318</v>
      </c>
      <c r="U699" s="279" t="s">
        <v>88</v>
      </c>
      <c r="AA699"/>
      <c r="AB699"/>
      <c r="AC699" s="272"/>
      <c r="AD699" s="40"/>
    </row>
    <row r="700" spans="16:30" ht="10.5" customHeight="1">
      <c r="P700" s="150" t="s">
        <v>6319</v>
      </c>
      <c r="Q700" s="150"/>
      <c r="R700" s="98"/>
      <c r="S700" s="146"/>
      <c r="T700" s="279" t="s">
        <v>6320</v>
      </c>
      <c r="U700" s="279" t="s">
        <v>85</v>
      </c>
      <c r="AA700"/>
      <c r="AB700"/>
      <c r="AC700" s="272"/>
      <c r="AD700" s="40"/>
    </row>
    <row r="701" spans="16:30" ht="10.5" customHeight="1">
      <c r="P701" s="150" t="s">
        <v>6321</v>
      </c>
      <c r="Q701" s="150"/>
      <c r="R701" s="98"/>
      <c r="S701" s="146"/>
      <c r="T701" s="279" t="s">
        <v>6322</v>
      </c>
      <c r="U701" s="279" t="s">
        <v>85</v>
      </c>
      <c r="AA701"/>
      <c r="AB701"/>
      <c r="AC701" s="272"/>
      <c r="AD701" s="40"/>
    </row>
    <row r="702" spans="16:30" ht="10.5" customHeight="1">
      <c r="P702" s="150" t="s">
        <v>6323</v>
      </c>
      <c r="Q702" s="150"/>
      <c r="R702" s="98"/>
      <c r="S702" s="146"/>
      <c r="T702" s="279" t="s">
        <v>6324</v>
      </c>
      <c r="U702" s="279" t="s">
        <v>5133</v>
      </c>
      <c r="AA702"/>
      <c r="AB702"/>
      <c r="AC702" s="272"/>
      <c r="AD702" s="40"/>
    </row>
    <row r="703" spans="16:30" ht="10.5" customHeight="1">
      <c r="P703" s="150" t="s">
        <v>6325</v>
      </c>
      <c r="Q703" s="150"/>
      <c r="R703" s="98"/>
      <c r="S703" s="146"/>
      <c r="T703" s="279" t="s">
        <v>6326</v>
      </c>
      <c r="U703" s="279" t="s">
        <v>5159</v>
      </c>
      <c r="AA703"/>
      <c r="AB703"/>
      <c r="AC703" s="272"/>
      <c r="AD703" s="40"/>
    </row>
    <row r="704" spans="16:30" ht="10.5" customHeight="1">
      <c r="P704" s="150" t="s">
        <v>6327</v>
      </c>
      <c r="Q704" s="150"/>
      <c r="R704" s="98"/>
      <c r="S704" s="146"/>
      <c r="T704" s="279" t="s">
        <v>6328</v>
      </c>
      <c r="U704" s="279" t="s">
        <v>5021</v>
      </c>
      <c r="AA704"/>
      <c r="AB704"/>
      <c r="AC704" s="272"/>
      <c r="AD704" s="40"/>
    </row>
    <row r="705" spans="16:30" ht="10.5" customHeight="1">
      <c r="P705" s="150" t="s">
        <v>6329</v>
      </c>
      <c r="Q705" s="150"/>
      <c r="R705" s="98"/>
      <c r="S705" s="146"/>
      <c r="T705" s="279" t="s">
        <v>6330</v>
      </c>
      <c r="U705" s="279" t="s">
        <v>5653</v>
      </c>
      <c r="AA705"/>
      <c r="AB705"/>
      <c r="AC705" s="272"/>
      <c r="AD705" s="40"/>
    </row>
    <row r="706" spans="16:30" ht="10.5" customHeight="1">
      <c r="P706" s="150" t="s">
        <v>6331</v>
      </c>
      <c r="Q706" s="2888"/>
      <c r="R706" s="2888"/>
      <c r="S706" s="2889"/>
      <c r="T706" s="279" t="s">
        <v>6332</v>
      </c>
      <c r="U706" s="279" t="s">
        <v>103</v>
      </c>
      <c r="AA706"/>
      <c r="AB706"/>
      <c r="AC706" s="272"/>
      <c r="AD706" s="40"/>
    </row>
    <row r="707" spans="16:30" ht="10.5" customHeight="1">
      <c r="P707" s="2890"/>
      <c r="Q707" s="264"/>
      <c r="R707" s="95"/>
      <c r="S707" s="96"/>
      <c r="T707" s="279" t="s">
        <v>167</v>
      </c>
      <c r="U707" s="279" t="s">
        <v>118</v>
      </c>
      <c r="AA707"/>
      <c r="AB707"/>
      <c r="AC707" s="272"/>
      <c r="AD707" s="40"/>
    </row>
    <row r="708" spans="16:30" ht="10.5" customHeight="1">
      <c r="P708" s="311"/>
      <c r="Q708" s="96"/>
      <c r="R708" s="96"/>
      <c r="S708" s="96"/>
      <c r="T708" s="279" t="s">
        <v>168</v>
      </c>
      <c r="U708" s="279" t="s">
        <v>120</v>
      </c>
      <c r="AA708"/>
      <c r="AB708"/>
      <c r="AC708" s="272"/>
      <c r="AD708" s="40"/>
    </row>
    <row r="709" spans="16:30" ht="10.5" customHeight="1">
      <c r="P709" s="96"/>
      <c r="Q709" s="96"/>
      <c r="R709" s="96"/>
      <c r="S709" s="96"/>
      <c r="T709" s="279" t="s">
        <v>6333</v>
      </c>
      <c r="U709" s="279" t="s">
        <v>4854</v>
      </c>
      <c r="AA709"/>
      <c r="AB709"/>
      <c r="AC709" s="272"/>
      <c r="AD709" s="40"/>
    </row>
    <row r="710" spans="16:30" ht="10.5" customHeight="1">
      <c r="P710" s="96"/>
      <c r="Q710" s="96"/>
      <c r="R710" s="96"/>
      <c r="S710" s="96"/>
      <c r="T710" s="279" t="s">
        <v>6334</v>
      </c>
      <c r="U710" s="279" t="s">
        <v>5133</v>
      </c>
      <c r="AA710"/>
      <c r="AB710"/>
      <c r="AC710" s="272"/>
      <c r="AD710" s="40"/>
    </row>
    <row r="711" spans="16:30" ht="10.5" customHeight="1">
      <c r="P711" s="96"/>
      <c r="Q711" s="96"/>
      <c r="R711" s="96"/>
      <c r="S711" s="96"/>
      <c r="T711" s="279" t="s">
        <v>6335</v>
      </c>
      <c r="U711" s="279" t="s">
        <v>5159</v>
      </c>
      <c r="AA711"/>
      <c r="AB711"/>
      <c r="AC711" s="272"/>
      <c r="AD711" s="40"/>
    </row>
    <row r="712" spans="16:30" ht="10.5" customHeight="1">
      <c r="P712" s="96"/>
      <c r="Q712" s="96"/>
      <c r="R712" s="96"/>
      <c r="S712" s="96"/>
      <c r="T712" s="146" t="s">
        <v>6336</v>
      </c>
      <c r="U712" s="146" t="s">
        <v>5032</v>
      </c>
      <c r="AA712"/>
      <c r="AB712"/>
      <c r="AC712" s="40"/>
      <c r="AD712" s="40"/>
    </row>
    <row r="713" spans="16:30" ht="10.5" customHeight="1">
      <c r="P713" s="96"/>
      <c r="Q713" s="96"/>
      <c r="R713" s="96"/>
      <c r="S713" s="96"/>
      <c r="T713" s="279" t="s">
        <v>6337</v>
      </c>
      <c r="U713" s="279" t="s">
        <v>5510</v>
      </c>
      <c r="AA713"/>
      <c r="AB713"/>
      <c r="AC713" s="272"/>
      <c r="AD713" s="40"/>
    </row>
    <row r="714" spans="16:30" ht="10.5" customHeight="1">
      <c r="P714" s="96"/>
      <c r="Q714" s="96"/>
      <c r="R714" s="96"/>
      <c r="S714" s="96"/>
      <c r="T714" s="279" t="s">
        <v>2138</v>
      </c>
      <c r="U714" s="279" t="s">
        <v>5653</v>
      </c>
      <c r="AA714"/>
      <c r="AB714"/>
      <c r="AC714" s="272"/>
      <c r="AD714" s="40"/>
    </row>
    <row r="715" spans="16:30" ht="10.5" customHeight="1">
      <c r="P715" s="96"/>
      <c r="Q715" s="96"/>
      <c r="R715" s="96"/>
      <c r="S715" s="96"/>
      <c r="T715" s="279" t="s">
        <v>6338</v>
      </c>
      <c r="U715" s="279" t="s">
        <v>127</v>
      </c>
      <c r="AA715"/>
      <c r="AB715"/>
      <c r="AC715" s="272"/>
      <c r="AD715" s="40"/>
    </row>
    <row r="716" spans="16:30" ht="10.5" customHeight="1">
      <c r="P716" s="96"/>
      <c r="Q716" s="96"/>
      <c r="R716" s="96"/>
      <c r="S716" s="96"/>
      <c r="T716" s="279" t="s">
        <v>6339</v>
      </c>
      <c r="U716" s="279" t="s">
        <v>5538</v>
      </c>
      <c r="AA716"/>
      <c r="AB716"/>
      <c r="AC716" s="272"/>
      <c r="AD716" s="40"/>
    </row>
    <row r="717" spans="16:30" ht="10.5" customHeight="1">
      <c r="P717" s="96"/>
      <c r="Q717" s="96"/>
      <c r="R717" s="96"/>
      <c r="S717" s="96"/>
      <c r="T717" s="279" t="s">
        <v>6340</v>
      </c>
      <c r="U717" s="279" t="s">
        <v>5460</v>
      </c>
      <c r="AA717"/>
      <c r="AB717"/>
      <c r="AC717" s="272"/>
      <c r="AD717" s="40"/>
    </row>
    <row r="718" spans="16:30" ht="10.5" customHeight="1">
      <c r="P718" s="96"/>
      <c r="Q718" s="96"/>
      <c r="R718" s="96"/>
      <c r="S718" s="96"/>
      <c r="T718" s="279" t="s">
        <v>6341</v>
      </c>
      <c r="U718" s="279" t="s">
        <v>5258</v>
      </c>
      <c r="AA718"/>
      <c r="AB718"/>
      <c r="AC718" s="272"/>
      <c r="AD718" s="40"/>
    </row>
    <row r="719" spans="16:30" ht="10.5" customHeight="1">
      <c r="P719" s="96"/>
      <c r="Q719" s="96"/>
      <c r="R719" s="96"/>
      <c r="S719" s="96"/>
      <c r="T719" s="279" t="s">
        <v>6342</v>
      </c>
      <c r="U719" s="279" t="s">
        <v>153</v>
      </c>
      <c r="AA719"/>
      <c r="AB719"/>
      <c r="AC719" s="272"/>
      <c r="AD719" s="40"/>
    </row>
    <row r="720" spans="16:30" ht="10.5" customHeight="1">
      <c r="P720" s="96"/>
      <c r="Q720" s="96"/>
      <c r="R720" s="96"/>
      <c r="S720" s="96"/>
      <c r="T720" s="279" t="s">
        <v>6343</v>
      </c>
      <c r="U720" s="279" t="s">
        <v>5009</v>
      </c>
      <c r="AA720"/>
      <c r="AB720"/>
      <c r="AC720" s="272"/>
      <c r="AD720" s="40"/>
    </row>
    <row r="721" spans="16:30" ht="10.5" customHeight="1">
      <c r="P721" s="96"/>
      <c r="Q721" s="96"/>
      <c r="R721" s="96"/>
      <c r="S721" s="96"/>
      <c r="T721" s="279" t="s">
        <v>6344</v>
      </c>
      <c r="U721" s="279" t="s">
        <v>139</v>
      </c>
      <c r="AA721"/>
      <c r="AB721"/>
      <c r="AC721" s="272"/>
      <c r="AD721" s="40"/>
    </row>
    <row r="722" spans="16:30" ht="10.5" customHeight="1">
      <c r="P722" s="96"/>
      <c r="Q722" s="96"/>
      <c r="R722" s="96"/>
      <c r="S722" s="96"/>
      <c r="T722" s="146" t="s">
        <v>6345</v>
      </c>
      <c r="U722" s="146" t="s">
        <v>118</v>
      </c>
      <c r="AA722"/>
      <c r="AB722"/>
      <c r="AC722" s="40"/>
      <c r="AD722" s="40"/>
    </row>
    <row r="723" spans="16:30" ht="10.5" customHeight="1">
      <c r="P723" s="96"/>
      <c r="Q723" s="96"/>
      <c r="R723" s="96"/>
      <c r="S723" s="96"/>
      <c r="T723" s="279" t="s">
        <v>6346</v>
      </c>
      <c r="U723" s="279" t="s">
        <v>4883</v>
      </c>
      <c r="AA723"/>
      <c r="AB723"/>
      <c r="AC723" s="272"/>
      <c r="AD723" s="40"/>
    </row>
    <row r="724" spans="16:30" ht="10.5" customHeight="1">
      <c r="P724" s="96"/>
      <c r="Q724" s="96"/>
      <c r="R724" s="96"/>
      <c r="S724" s="96"/>
      <c r="T724" s="279" t="s">
        <v>6347</v>
      </c>
      <c r="U724" s="279" t="s">
        <v>4992</v>
      </c>
      <c r="AA724"/>
      <c r="AB724"/>
      <c r="AC724" s="272"/>
      <c r="AD724" s="40"/>
    </row>
    <row r="725" spans="16:30" ht="10.5" customHeight="1">
      <c r="P725" s="96"/>
      <c r="Q725" s="96"/>
      <c r="R725" s="96"/>
      <c r="S725" s="96"/>
      <c r="T725" s="279" t="s">
        <v>6348</v>
      </c>
      <c r="U725" s="279" t="s">
        <v>2147</v>
      </c>
      <c r="AA725"/>
      <c r="AB725"/>
      <c r="AC725" s="272"/>
      <c r="AD725" s="40"/>
    </row>
    <row r="726" spans="16:30" ht="10.5" customHeight="1">
      <c r="P726" s="96"/>
      <c r="Q726" s="96"/>
      <c r="R726" s="96"/>
      <c r="S726" s="96"/>
      <c r="T726" s="279" t="s">
        <v>6349</v>
      </c>
      <c r="U726" s="279" t="s">
        <v>120</v>
      </c>
      <c r="AA726"/>
      <c r="AB726"/>
      <c r="AC726" s="272"/>
      <c r="AD726" s="40"/>
    </row>
    <row r="727" spans="16:30" ht="10.5" customHeight="1">
      <c r="P727" s="96"/>
      <c r="Q727" s="96"/>
      <c r="R727" s="96"/>
      <c r="S727" s="96"/>
      <c r="T727" s="279" t="s">
        <v>6350</v>
      </c>
      <c r="U727" s="279" t="s">
        <v>120</v>
      </c>
      <c r="AA727"/>
      <c r="AB727"/>
      <c r="AC727" s="272"/>
      <c r="AD727" s="40"/>
    </row>
    <row r="728" spans="16:30" ht="10.5" customHeight="1">
      <c r="P728" s="96"/>
      <c r="Q728" s="96"/>
      <c r="R728" s="96"/>
      <c r="S728" s="96"/>
      <c r="T728" s="279" t="s">
        <v>2139</v>
      </c>
      <c r="U728" s="279" t="s">
        <v>5112</v>
      </c>
      <c r="AA728"/>
      <c r="AB728"/>
      <c r="AC728" s="272"/>
      <c r="AD728" s="40"/>
    </row>
    <row r="729" spans="16:30" ht="10.5" customHeight="1">
      <c r="P729" s="96"/>
      <c r="Q729" s="96"/>
      <c r="R729" s="96"/>
      <c r="S729" s="96"/>
      <c r="T729" s="279" t="s">
        <v>6351</v>
      </c>
      <c r="U729" s="279" t="s">
        <v>5391</v>
      </c>
      <c r="AA729"/>
      <c r="AB729"/>
      <c r="AC729" s="272"/>
      <c r="AD729" s="40"/>
    </row>
    <row r="730" spans="16:30" ht="10.5" customHeight="1">
      <c r="P730" s="96"/>
      <c r="Q730" s="96"/>
      <c r="R730" s="96"/>
      <c r="S730" s="96"/>
      <c r="T730" s="279" t="s">
        <v>6352</v>
      </c>
      <c r="U730" s="279" t="s">
        <v>127</v>
      </c>
      <c r="AA730"/>
      <c r="AB730"/>
      <c r="AC730" s="272"/>
      <c r="AD730" s="40"/>
    </row>
    <row r="731" spans="16:30" ht="10.5" customHeight="1">
      <c r="P731" s="96"/>
      <c r="Q731" s="96"/>
      <c r="R731" s="96"/>
      <c r="S731" s="96"/>
      <c r="T731" s="146" t="s">
        <v>2140</v>
      </c>
      <c r="U731" s="146" t="s">
        <v>149</v>
      </c>
      <c r="AA731"/>
      <c r="AB731"/>
      <c r="AC731" s="40"/>
      <c r="AD731" s="40"/>
    </row>
    <row r="732" spans="16:30" ht="10.5" customHeight="1">
      <c r="P732" s="96"/>
      <c r="Q732" s="96"/>
      <c r="R732" s="96"/>
      <c r="S732" s="96"/>
      <c r="T732" s="279" t="s">
        <v>6353</v>
      </c>
      <c r="U732" s="279" t="s">
        <v>5488</v>
      </c>
      <c r="AA732"/>
      <c r="AB732"/>
      <c r="AC732" s="272"/>
      <c r="AD732" s="40"/>
    </row>
    <row r="733" spans="16:30" ht="10.5" customHeight="1">
      <c r="P733" s="96"/>
      <c r="Q733" s="96"/>
      <c r="R733" s="96"/>
      <c r="S733" s="96"/>
      <c r="T733" s="279" t="s">
        <v>6354</v>
      </c>
      <c r="U733" s="279" t="s">
        <v>5644</v>
      </c>
      <c r="AA733"/>
      <c r="AB733"/>
      <c r="AC733" s="272"/>
      <c r="AD733" s="40"/>
    </row>
    <row r="734" spans="16:30" ht="10.5" customHeight="1">
      <c r="P734" s="96"/>
      <c r="Q734" s="96"/>
      <c r="R734" s="96"/>
      <c r="S734" s="96"/>
      <c r="T734" s="279" t="s">
        <v>6355</v>
      </c>
      <c r="U734" s="279" t="s">
        <v>5068</v>
      </c>
      <c r="AA734"/>
      <c r="AB734"/>
      <c r="AC734" s="272"/>
      <c r="AD734" s="40"/>
    </row>
    <row r="735" spans="16:30" ht="10.5" customHeight="1">
      <c r="P735" s="96"/>
      <c r="Q735" s="96"/>
      <c r="R735" s="96"/>
      <c r="S735" s="96"/>
      <c r="T735" s="279" t="s">
        <v>6356</v>
      </c>
      <c r="U735" s="279" t="s">
        <v>4942</v>
      </c>
      <c r="AA735"/>
      <c r="AB735"/>
      <c r="AC735" s="272"/>
      <c r="AD735" s="40"/>
    </row>
    <row r="736" spans="16:30" ht="10.5" customHeight="1">
      <c r="P736" s="96"/>
      <c r="Q736" s="96"/>
      <c r="R736" s="96"/>
      <c r="S736" s="96"/>
      <c r="T736" s="279" t="s">
        <v>6357</v>
      </c>
      <c r="U736" s="279" t="s">
        <v>5094</v>
      </c>
      <c r="AA736"/>
      <c r="AB736"/>
      <c r="AC736" s="272"/>
      <c r="AD736" s="40"/>
    </row>
    <row r="737" spans="16:30" ht="10.5" customHeight="1">
      <c r="P737" s="96"/>
      <c r="Q737" s="96"/>
      <c r="R737" s="96"/>
      <c r="S737" s="96"/>
      <c r="T737" s="279" t="s">
        <v>6358</v>
      </c>
      <c r="U737" s="279" t="s">
        <v>5021</v>
      </c>
      <c r="AA737"/>
      <c r="AB737"/>
      <c r="AC737" s="272"/>
      <c r="AD737" s="40"/>
    </row>
    <row r="738" spans="16:30" ht="10.5" customHeight="1">
      <c r="P738" s="96"/>
      <c r="Q738" s="96"/>
      <c r="R738" s="96"/>
      <c r="S738" s="96"/>
      <c r="T738" s="279" t="s">
        <v>169</v>
      </c>
      <c r="U738" s="279" t="s">
        <v>85</v>
      </c>
      <c r="AA738"/>
      <c r="AB738"/>
      <c r="AC738" s="272"/>
      <c r="AD738" s="40"/>
    </row>
    <row r="739" spans="16:30" ht="10.5" customHeight="1">
      <c r="P739" s="96"/>
      <c r="Q739" s="96"/>
      <c r="R739" s="96"/>
      <c r="S739" s="96"/>
      <c r="T739" s="279" t="s">
        <v>6359</v>
      </c>
      <c r="U739" s="279" t="s">
        <v>5515</v>
      </c>
      <c r="AA739"/>
      <c r="AB739"/>
      <c r="AC739" s="272"/>
      <c r="AD739" s="40"/>
    </row>
    <row r="740" spans="16:30" ht="10.5" customHeight="1">
      <c r="P740" s="96"/>
      <c r="Q740" s="96"/>
      <c r="R740" s="96"/>
      <c r="S740" s="96"/>
      <c r="T740" s="279" t="s">
        <v>6360</v>
      </c>
      <c r="U740" s="279" t="s">
        <v>105</v>
      </c>
      <c r="AA740"/>
      <c r="AB740"/>
      <c r="AC740" s="272"/>
      <c r="AD740" s="40"/>
    </row>
    <row r="741" spans="16:30" ht="10.5" customHeight="1">
      <c r="P741" s="96"/>
      <c r="Q741" s="96"/>
      <c r="R741" s="96"/>
      <c r="S741" s="96"/>
      <c r="T741" s="279" t="s">
        <v>6361</v>
      </c>
      <c r="U741" s="279" t="s">
        <v>5159</v>
      </c>
      <c r="AA741"/>
      <c r="AB741"/>
      <c r="AC741" s="272"/>
      <c r="AD741" s="40"/>
    </row>
    <row r="742" spans="16:30" ht="10.5" customHeight="1">
      <c r="P742" s="96"/>
      <c r="Q742" s="96"/>
      <c r="R742" s="96"/>
      <c r="S742" s="96"/>
      <c r="T742" s="279" t="s">
        <v>6362</v>
      </c>
      <c r="U742" s="279" t="s">
        <v>149</v>
      </c>
      <c r="AA742"/>
      <c r="AB742"/>
      <c r="AC742" s="272"/>
      <c r="AD742" s="40"/>
    </row>
    <row r="743" spans="16:30" ht="10.5" customHeight="1">
      <c r="P743" s="96"/>
      <c r="Q743" s="96"/>
      <c r="R743" s="96"/>
      <c r="S743" s="96"/>
      <c r="T743" s="279" t="s">
        <v>6363</v>
      </c>
      <c r="U743" s="279" t="s">
        <v>127</v>
      </c>
      <c r="AA743"/>
      <c r="AB743"/>
      <c r="AC743" s="272"/>
      <c r="AD743" s="40"/>
    </row>
    <row r="744" spans="16:30" ht="10.5" customHeight="1">
      <c r="P744" s="96"/>
      <c r="Q744" s="96"/>
      <c r="R744" s="96"/>
      <c r="S744" s="96"/>
      <c r="T744" s="279" t="s">
        <v>6364</v>
      </c>
      <c r="U744" s="279" t="s">
        <v>5177</v>
      </c>
      <c r="AA744"/>
      <c r="AB744"/>
      <c r="AC744" s="272"/>
      <c r="AD744" s="40"/>
    </row>
    <row r="745" spans="16:30" ht="10.5" customHeight="1">
      <c r="P745" s="96"/>
      <c r="Q745" s="96"/>
      <c r="R745" s="96"/>
      <c r="S745" s="96"/>
      <c r="T745" s="279" t="s">
        <v>6365</v>
      </c>
      <c r="U745" s="279" t="s">
        <v>5120</v>
      </c>
      <c r="AA745"/>
      <c r="AB745"/>
      <c r="AC745" s="272"/>
      <c r="AD745" s="40"/>
    </row>
    <row r="746" spans="16:30" ht="10.5" customHeight="1">
      <c r="P746" s="96"/>
      <c r="Q746" s="96"/>
      <c r="R746" s="96"/>
      <c r="S746" s="96"/>
      <c r="T746" s="279" t="s">
        <v>2142</v>
      </c>
      <c r="U746" s="279" t="s">
        <v>143</v>
      </c>
      <c r="AA746"/>
      <c r="AB746"/>
      <c r="AC746" s="272"/>
      <c r="AD746" s="40"/>
    </row>
    <row r="747" spans="16:30" ht="10.5" customHeight="1">
      <c r="P747" s="96"/>
      <c r="Q747" s="96"/>
      <c r="R747" s="96"/>
      <c r="S747" s="96"/>
      <c r="T747" s="279" t="s">
        <v>6366</v>
      </c>
      <c r="U747" s="279" t="s">
        <v>5230</v>
      </c>
      <c r="AA747"/>
      <c r="AB747"/>
      <c r="AC747" s="272"/>
      <c r="AD747" s="40"/>
    </row>
    <row r="748" spans="16:30" ht="10.5" customHeight="1">
      <c r="P748" s="96"/>
      <c r="Q748" s="96"/>
      <c r="R748" s="96"/>
      <c r="S748" s="96"/>
      <c r="T748" s="279" t="s">
        <v>170</v>
      </c>
      <c r="U748" s="279" t="s">
        <v>149</v>
      </c>
      <c r="AA748"/>
      <c r="AB748"/>
      <c r="AC748" s="272"/>
      <c r="AD748" s="40"/>
    </row>
    <row r="749" spans="16:30" ht="10.5" customHeight="1">
      <c r="P749" s="96"/>
      <c r="Q749" s="96"/>
      <c r="R749" s="96"/>
      <c r="S749" s="96"/>
      <c r="T749" s="279" t="s">
        <v>6367</v>
      </c>
      <c r="U749" s="279" t="s">
        <v>139</v>
      </c>
      <c r="AA749"/>
      <c r="AB749"/>
      <c r="AC749" s="272"/>
      <c r="AD749" s="40"/>
    </row>
    <row r="750" spans="16:30" ht="10.5" customHeight="1">
      <c r="P750" s="96"/>
      <c r="Q750" s="96"/>
      <c r="R750" s="96"/>
      <c r="S750" s="96"/>
      <c r="T750" s="279" t="s">
        <v>2143</v>
      </c>
      <c r="U750" s="279" t="s">
        <v>141</v>
      </c>
      <c r="AA750"/>
      <c r="AB750"/>
      <c r="AC750" s="272"/>
      <c r="AD750" s="40"/>
    </row>
    <row r="751" spans="16:30" ht="10.5" customHeight="1">
      <c r="P751" s="96"/>
      <c r="Q751" s="96"/>
      <c r="R751" s="96"/>
      <c r="S751" s="96"/>
      <c r="T751" s="146" t="s">
        <v>6368</v>
      </c>
      <c r="U751" s="146" t="s">
        <v>5515</v>
      </c>
      <c r="AA751"/>
      <c r="AB751"/>
      <c r="AC751" s="40"/>
      <c r="AD751" s="40"/>
    </row>
    <row r="752" spans="16:30" ht="10.5" customHeight="1">
      <c r="P752" s="96"/>
      <c r="Q752" s="96"/>
      <c r="R752" s="96"/>
      <c r="S752" s="96"/>
      <c r="T752" s="279" t="s">
        <v>6369</v>
      </c>
      <c r="U752" s="279" t="s">
        <v>127</v>
      </c>
      <c r="AA752"/>
      <c r="AB752"/>
      <c r="AC752" s="272"/>
      <c r="AD752" s="40"/>
    </row>
    <row r="753" spans="16:30" ht="10.5" customHeight="1">
      <c r="P753" s="96"/>
      <c r="Q753" s="96"/>
      <c r="R753" s="96"/>
      <c r="S753" s="96"/>
      <c r="T753" s="279" t="s">
        <v>6370</v>
      </c>
      <c r="U753" s="279" t="s">
        <v>5568</v>
      </c>
      <c r="AA753"/>
      <c r="AB753"/>
      <c r="AC753" s="272"/>
      <c r="AD753" s="40"/>
    </row>
    <row r="754" spans="16:30" ht="10.5" customHeight="1">
      <c r="P754" s="96"/>
      <c r="Q754" s="96"/>
      <c r="R754" s="96"/>
      <c r="S754" s="96"/>
      <c r="T754" s="279" t="s">
        <v>6371</v>
      </c>
      <c r="U754" s="279" t="s">
        <v>4961</v>
      </c>
      <c r="AA754"/>
      <c r="AB754"/>
      <c r="AC754" s="272"/>
      <c r="AD754" s="40"/>
    </row>
    <row r="755" spans="16:30" ht="10.5" customHeight="1">
      <c r="P755" s="96"/>
      <c r="Q755" s="96"/>
      <c r="R755" s="96"/>
      <c r="S755" s="96"/>
      <c r="T755" s="146" t="s">
        <v>2144</v>
      </c>
      <c r="U755" s="146" t="s">
        <v>5120</v>
      </c>
      <c r="AA755"/>
      <c r="AB755"/>
      <c r="AC755" s="40"/>
      <c r="AD755" s="40"/>
    </row>
    <row r="756" spans="16:30" ht="10.5" customHeight="1">
      <c r="P756" s="96"/>
      <c r="Q756" s="96"/>
      <c r="R756" s="96"/>
      <c r="S756" s="96"/>
      <c r="T756" s="279" t="s">
        <v>6372</v>
      </c>
      <c r="U756" s="279" t="s">
        <v>4992</v>
      </c>
      <c r="AA756"/>
      <c r="AB756"/>
      <c r="AC756" s="272"/>
      <c r="AD756" s="40"/>
    </row>
    <row r="757" spans="16:30" ht="10.5" customHeight="1">
      <c r="P757" s="96"/>
      <c r="Q757" s="96"/>
      <c r="R757" s="96"/>
      <c r="S757" s="96"/>
      <c r="T757" s="279" t="s">
        <v>171</v>
      </c>
      <c r="U757" s="279" t="s">
        <v>110</v>
      </c>
      <c r="AA757"/>
      <c r="AB757"/>
      <c r="AC757" s="272"/>
      <c r="AD757" s="40"/>
    </row>
    <row r="758" spans="16:30" ht="10.5" customHeight="1">
      <c r="P758" s="96"/>
      <c r="Q758" s="96"/>
      <c r="R758" s="96"/>
      <c r="S758" s="96"/>
      <c r="T758" s="279" t="s">
        <v>6373</v>
      </c>
      <c r="U758" s="279" t="s">
        <v>5258</v>
      </c>
      <c r="AA758"/>
      <c r="AB758"/>
      <c r="AC758" s="272"/>
      <c r="AD758" s="40"/>
    </row>
    <row r="759" spans="16:30" ht="10.5" customHeight="1">
      <c r="P759" s="96"/>
      <c r="Q759" s="96"/>
      <c r="R759" s="96"/>
      <c r="S759" s="96"/>
      <c r="T759" s="279" t="s">
        <v>6374</v>
      </c>
      <c r="U759" s="279" t="s">
        <v>5073</v>
      </c>
      <c r="AA759"/>
      <c r="AB759"/>
      <c r="AC759" s="272"/>
      <c r="AD759" s="40"/>
    </row>
    <row r="760" spans="16:30" ht="10.5" customHeight="1">
      <c r="P760" s="96"/>
      <c r="Q760" s="96"/>
      <c r="R760" s="96"/>
      <c r="S760" s="96"/>
      <c r="T760" s="279" t="s">
        <v>6375</v>
      </c>
      <c r="U760" s="279" t="s">
        <v>5028</v>
      </c>
      <c r="AA760"/>
      <c r="AB760"/>
      <c r="AC760" s="272"/>
      <c r="AD760" s="40"/>
    </row>
    <row r="761" spans="16:30" ht="10.5" customHeight="1">
      <c r="P761" s="96"/>
      <c r="Q761" s="96"/>
      <c r="R761" s="96"/>
      <c r="S761" s="96"/>
      <c r="T761" s="279" t="s">
        <v>6376</v>
      </c>
      <c r="U761" s="279" t="s">
        <v>5150</v>
      </c>
      <c r="AA761"/>
      <c r="AB761"/>
      <c r="AC761" s="272"/>
      <c r="AD761" s="40"/>
    </row>
    <row r="762" spans="16:30" ht="10.5" customHeight="1">
      <c r="P762" s="96"/>
      <c r="Q762" s="96"/>
      <c r="R762" s="96"/>
      <c r="S762" s="96"/>
      <c r="T762" s="279" t="s">
        <v>6377</v>
      </c>
      <c r="U762" s="279" t="s">
        <v>113</v>
      </c>
      <c r="AA762"/>
      <c r="AB762"/>
      <c r="AC762" s="272"/>
      <c r="AD762" s="40"/>
    </row>
    <row r="763" spans="16:30" ht="10.5" customHeight="1">
      <c r="P763" s="96"/>
      <c r="Q763" s="96"/>
      <c r="R763" s="96"/>
      <c r="S763" s="96"/>
      <c r="T763" s="279" t="s">
        <v>6378</v>
      </c>
      <c r="U763" s="279" t="s">
        <v>5401</v>
      </c>
      <c r="AA763"/>
      <c r="AB763"/>
      <c r="AC763" s="272"/>
      <c r="AD763" s="40"/>
    </row>
    <row r="764" spans="16:30" ht="10.5" customHeight="1">
      <c r="P764" s="96"/>
      <c r="Q764" s="96"/>
      <c r="R764" s="96"/>
      <c r="S764" s="96"/>
      <c r="T764" s="279" t="s">
        <v>2145</v>
      </c>
      <c r="U764" s="279" t="s">
        <v>158</v>
      </c>
      <c r="AA764"/>
      <c r="AB764"/>
      <c r="AC764" s="272"/>
      <c r="AD764" s="40"/>
    </row>
    <row r="765" spans="16:30" ht="10.5" customHeight="1">
      <c r="P765" s="96"/>
      <c r="Q765" s="96"/>
      <c r="R765" s="96"/>
      <c r="S765" s="96"/>
      <c r="T765" s="279" t="s">
        <v>2146</v>
      </c>
      <c r="U765" s="279" t="s">
        <v>5361</v>
      </c>
      <c r="AA765"/>
      <c r="AB765"/>
      <c r="AC765" s="272"/>
      <c r="AD765" s="40"/>
    </row>
    <row r="766" spans="16:30" ht="10.5" customHeight="1">
      <c r="P766" s="96"/>
      <c r="Q766" s="96"/>
      <c r="R766" s="96"/>
      <c r="S766" s="96"/>
      <c r="T766" s="279" t="s">
        <v>6379</v>
      </c>
      <c r="U766" s="279" t="s">
        <v>5653</v>
      </c>
      <c r="AA766"/>
      <c r="AB766"/>
      <c r="AC766" s="272"/>
      <c r="AD766" s="40"/>
    </row>
    <row r="767" spans="16:30" ht="10.5" customHeight="1">
      <c r="P767" s="96"/>
      <c r="Q767" s="96"/>
      <c r="R767" s="96"/>
      <c r="S767" s="96"/>
      <c r="T767" s="279" t="s">
        <v>2147</v>
      </c>
      <c r="U767" s="279" t="s">
        <v>5644</v>
      </c>
      <c r="AA767"/>
      <c r="AB767"/>
      <c r="AC767" s="272"/>
      <c r="AD767" s="40"/>
    </row>
    <row r="768" spans="16:30" ht="10.5" customHeight="1">
      <c r="P768" s="96"/>
      <c r="Q768" s="96"/>
      <c r="R768" s="96"/>
      <c r="S768" s="96"/>
      <c r="T768" s="279" t="s">
        <v>6380</v>
      </c>
      <c r="U768" s="279" t="s">
        <v>5164</v>
      </c>
      <c r="AA768"/>
      <c r="AB768"/>
      <c r="AC768" s="272"/>
      <c r="AD768" s="40"/>
    </row>
    <row r="769" spans="16:30" ht="10.5" customHeight="1">
      <c r="P769" s="96"/>
      <c r="Q769" s="96"/>
      <c r="R769" s="96"/>
      <c r="S769" s="96"/>
      <c r="T769" s="146" t="s">
        <v>6381</v>
      </c>
      <c r="U769" s="146" t="s">
        <v>5264</v>
      </c>
      <c r="AA769"/>
      <c r="AB769"/>
      <c r="AC769" s="40"/>
      <c r="AD769" s="40"/>
    </row>
    <row r="770" spans="16:30" ht="10.5" customHeight="1">
      <c r="P770" s="96"/>
      <c r="Q770" s="96"/>
      <c r="R770" s="96"/>
      <c r="S770" s="96"/>
      <c r="T770" s="279" t="s">
        <v>6382</v>
      </c>
      <c r="U770" s="279" t="s">
        <v>98</v>
      </c>
      <c r="AA770"/>
      <c r="AB770"/>
      <c r="AC770" s="272"/>
      <c r="AD770" s="40"/>
    </row>
    <row r="771" spans="16:30" ht="13.8">
      <c r="P771" s="96"/>
      <c r="Q771" s="96"/>
      <c r="R771" s="96"/>
      <c r="S771" s="96"/>
      <c r="T771" s="279" t="s">
        <v>2148</v>
      </c>
      <c r="U771" s="146" t="s">
        <v>4961</v>
      </c>
      <c r="AA771"/>
      <c r="AB771"/>
      <c r="AC771" s="272"/>
      <c r="AD771" s="40"/>
    </row>
    <row r="772" spans="16:30" ht="13.8">
      <c r="P772" s="96"/>
      <c r="Q772" s="96"/>
      <c r="R772" s="96"/>
      <c r="S772" s="96"/>
      <c r="T772" s="146" t="s">
        <v>6383</v>
      </c>
      <c r="U772" s="146" t="s">
        <v>5581</v>
      </c>
      <c r="AA772"/>
      <c r="AB772"/>
      <c r="AC772" s="40"/>
      <c r="AD772" s="40"/>
    </row>
    <row r="773" spans="16:30" ht="13.8">
      <c r="P773" s="96"/>
      <c r="Q773" s="96"/>
      <c r="R773" s="96"/>
      <c r="S773" s="96"/>
      <c r="T773" s="146" t="s">
        <v>6384</v>
      </c>
      <c r="U773" s="146" t="s">
        <v>5624</v>
      </c>
      <c r="AA773"/>
      <c r="AB773"/>
      <c r="AC773" s="40"/>
      <c r="AD773" s="40"/>
    </row>
    <row r="774" spans="16:30" ht="13.8">
      <c r="P774" s="96"/>
      <c r="Q774" s="96"/>
      <c r="R774" s="96"/>
      <c r="S774" s="96"/>
      <c r="T774" s="146" t="s">
        <v>6385</v>
      </c>
      <c r="U774" s="146" t="s">
        <v>5223</v>
      </c>
      <c r="AA774"/>
      <c r="AB774"/>
      <c r="AC774" s="40"/>
      <c r="AD774" s="40"/>
    </row>
    <row r="775" spans="16:30" ht="13.8">
      <c r="P775" s="96"/>
      <c r="Q775" s="96"/>
      <c r="R775" s="96"/>
      <c r="S775" s="96"/>
      <c r="T775" s="146" t="s">
        <v>5498</v>
      </c>
      <c r="U775" s="146" t="s">
        <v>4883</v>
      </c>
      <c r="AA775"/>
      <c r="AB775"/>
      <c r="AC775" s="40"/>
      <c r="AD775" s="40"/>
    </row>
    <row r="776" spans="16:30" ht="13.8">
      <c r="P776" s="96"/>
      <c r="Q776" s="96"/>
      <c r="R776" s="96"/>
      <c r="S776" s="96"/>
      <c r="T776" s="146" t="s">
        <v>6386</v>
      </c>
      <c r="U776" s="146" t="s">
        <v>5230</v>
      </c>
      <c r="AA776"/>
      <c r="AB776"/>
      <c r="AC776" s="40"/>
      <c r="AD776" s="40"/>
    </row>
    <row r="777" spans="16:30" ht="13.8">
      <c r="P777" s="96"/>
      <c r="Q777" s="96"/>
      <c r="R777" s="96"/>
      <c r="S777" s="96"/>
      <c r="T777" s="146" t="s">
        <v>172</v>
      </c>
      <c r="U777" s="146" t="s">
        <v>127</v>
      </c>
      <c r="AA777"/>
      <c r="AB777"/>
      <c r="AC777" s="40"/>
      <c r="AD777" s="40"/>
    </row>
    <row r="778" spans="16:30" ht="13.8">
      <c r="P778" s="96"/>
      <c r="Q778" s="96"/>
      <c r="R778" s="96"/>
      <c r="S778" s="96"/>
      <c r="T778" s="146" t="s">
        <v>6387</v>
      </c>
      <c r="U778" s="146" t="s">
        <v>4992</v>
      </c>
      <c r="AA778"/>
      <c r="AB778"/>
      <c r="AC778" s="40"/>
      <c r="AD778" s="40"/>
    </row>
    <row r="779" spans="16:30" ht="13.8">
      <c r="P779" s="96"/>
      <c r="Q779" s="96"/>
      <c r="R779" s="96"/>
      <c r="S779" s="96"/>
      <c r="T779" s="146" t="s">
        <v>6388</v>
      </c>
      <c r="U779" s="146" t="s">
        <v>4863</v>
      </c>
      <c r="AA779"/>
      <c r="AB779"/>
      <c r="AC779" s="40"/>
      <c r="AD779" s="40"/>
    </row>
    <row r="780" spans="16:30" ht="13.8">
      <c r="P780" s="96"/>
      <c r="Q780" s="96"/>
      <c r="R780" s="96"/>
      <c r="S780" s="96"/>
      <c r="T780" s="146" t="s">
        <v>6389</v>
      </c>
      <c r="U780" s="146" t="s">
        <v>122</v>
      </c>
      <c r="AA780"/>
      <c r="AB780"/>
      <c r="AC780" s="40"/>
      <c r="AD780" s="40"/>
    </row>
    <row r="781" spans="16:30" ht="13.8">
      <c r="P781" s="96"/>
      <c r="Q781" s="96"/>
      <c r="R781" s="96"/>
      <c r="S781" s="96"/>
      <c r="T781" s="146" t="s">
        <v>173</v>
      </c>
      <c r="U781" s="146" t="s">
        <v>127</v>
      </c>
      <c r="AA781"/>
      <c r="AB781"/>
      <c r="AC781" s="40"/>
      <c r="AD781" s="40"/>
    </row>
    <row r="782" spans="16:30" ht="13.8">
      <c r="P782" s="96"/>
      <c r="Q782" s="96"/>
      <c r="R782" s="96"/>
      <c r="S782" s="96"/>
      <c r="T782" s="146" t="s">
        <v>2149</v>
      </c>
      <c r="U782" s="146" t="s">
        <v>160</v>
      </c>
      <c r="AA782"/>
      <c r="AB782"/>
      <c r="AC782" s="40"/>
      <c r="AD782" s="40"/>
    </row>
    <row r="783" spans="16:30" ht="13.8">
      <c r="P783" s="96"/>
      <c r="Q783" s="96"/>
      <c r="R783" s="96"/>
      <c r="S783" s="96"/>
      <c r="T783" s="146" t="s">
        <v>6390</v>
      </c>
      <c r="U783" s="146" t="s">
        <v>5033</v>
      </c>
      <c r="AA783"/>
      <c r="AB783"/>
      <c r="AC783" s="40"/>
      <c r="AD783" s="40"/>
    </row>
    <row r="784" spans="16:30" ht="13.8">
      <c r="P784" s="96"/>
      <c r="Q784" s="96"/>
      <c r="R784" s="96"/>
      <c r="S784" s="96"/>
      <c r="T784" s="146" t="s">
        <v>6391</v>
      </c>
      <c r="U784" s="146" t="s">
        <v>129</v>
      </c>
      <c r="AA784"/>
      <c r="AB784"/>
      <c r="AC784" s="40"/>
      <c r="AD784" s="40"/>
    </row>
    <row r="785" spans="16:30" ht="13.8">
      <c r="P785" s="96"/>
      <c r="Q785" s="96"/>
      <c r="R785" s="96"/>
      <c r="S785" s="96"/>
      <c r="T785" s="146" t="s">
        <v>6392</v>
      </c>
      <c r="U785" s="146" t="s">
        <v>5401</v>
      </c>
      <c r="AA785"/>
      <c r="AB785"/>
      <c r="AC785" s="40"/>
      <c r="AD785" s="40"/>
    </row>
    <row r="786" spans="16:30" ht="13.8">
      <c r="P786" s="96"/>
      <c r="Q786" s="96"/>
      <c r="R786" s="96"/>
      <c r="S786" s="96"/>
      <c r="T786" s="146" t="s">
        <v>6393</v>
      </c>
      <c r="U786" s="146" t="s">
        <v>5538</v>
      </c>
      <c r="AA786"/>
      <c r="AB786"/>
      <c r="AC786" s="40"/>
      <c r="AD786" s="40"/>
    </row>
    <row r="787" spans="16:30" ht="13.8">
      <c r="P787" s="96"/>
      <c r="Q787" s="96"/>
      <c r="R787" s="96"/>
      <c r="S787" s="96"/>
      <c r="T787" s="146" t="s">
        <v>6394</v>
      </c>
      <c r="U787" s="146" t="s">
        <v>5028</v>
      </c>
      <c r="AA787"/>
      <c r="AB787"/>
      <c r="AC787" s="40"/>
      <c r="AD787" s="40"/>
    </row>
    <row r="788" spans="16:30" ht="13.8">
      <c r="P788" s="96"/>
      <c r="Q788" s="96"/>
      <c r="R788" s="96"/>
      <c r="S788" s="96"/>
      <c r="T788" s="146" t="s">
        <v>6395</v>
      </c>
      <c r="U788" s="146" t="s">
        <v>5230</v>
      </c>
      <c r="AA788"/>
      <c r="AB788"/>
      <c r="AC788" s="40"/>
      <c r="AD788" s="40"/>
    </row>
    <row r="789" spans="16:30" ht="13.8">
      <c r="P789" s="96"/>
      <c r="Q789" s="96"/>
      <c r="R789" s="96"/>
      <c r="S789" s="96"/>
      <c r="T789" s="146" t="s">
        <v>6396</v>
      </c>
      <c r="U789" s="146" t="s">
        <v>5177</v>
      </c>
      <c r="AA789"/>
      <c r="AB789"/>
      <c r="AC789" s="40"/>
      <c r="AD789" s="40"/>
    </row>
    <row r="790" spans="16:30" ht="13.8">
      <c r="P790" s="96"/>
      <c r="Q790" s="96"/>
      <c r="R790" s="96"/>
      <c r="S790" s="96"/>
      <c r="T790" s="146" t="s">
        <v>6397</v>
      </c>
      <c r="U790" s="146" t="s">
        <v>5073</v>
      </c>
      <c r="AA790"/>
      <c r="AB790"/>
      <c r="AC790" s="40"/>
      <c r="AD790" s="40"/>
    </row>
    <row r="791" spans="16:30" ht="13.8">
      <c r="P791" s="96"/>
      <c r="Q791" s="96"/>
      <c r="R791" s="96"/>
      <c r="S791" s="96"/>
      <c r="T791" s="146" t="s">
        <v>6398</v>
      </c>
      <c r="U791" s="146" t="s">
        <v>4901</v>
      </c>
      <c r="AA791"/>
      <c r="AB791"/>
      <c r="AC791" s="40"/>
      <c r="AD791" s="40"/>
    </row>
    <row r="792" spans="16:30" ht="13.8">
      <c r="P792" s="96"/>
      <c r="Q792" s="96"/>
      <c r="R792" s="96"/>
      <c r="S792" s="96"/>
      <c r="T792" s="146" t="s">
        <v>6399</v>
      </c>
      <c r="U792" s="146" t="s">
        <v>120</v>
      </c>
      <c r="AA792"/>
      <c r="AB792"/>
      <c r="AC792" s="40"/>
      <c r="AD792" s="40"/>
    </row>
    <row r="793" spans="16:30" ht="13.8">
      <c r="P793" s="96"/>
      <c r="Q793" s="96"/>
      <c r="R793" s="96"/>
      <c r="S793" s="96"/>
      <c r="T793" s="146" t="s">
        <v>6400</v>
      </c>
      <c r="U793" s="146" t="s">
        <v>5498</v>
      </c>
      <c r="AA793"/>
      <c r="AB793"/>
      <c r="AC793" s="40"/>
      <c r="AD793" s="40"/>
    </row>
    <row r="794" spans="16:30" ht="13.8">
      <c r="P794" s="96"/>
      <c r="Q794" s="96"/>
      <c r="R794" s="96"/>
      <c r="S794" s="96"/>
      <c r="T794" s="146" t="s">
        <v>6401</v>
      </c>
      <c r="U794" s="146" t="s">
        <v>118</v>
      </c>
      <c r="AA794"/>
      <c r="AB794"/>
      <c r="AC794" s="40"/>
      <c r="AD794" s="40"/>
    </row>
    <row r="795" spans="16:30" ht="13.8">
      <c r="P795" s="96"/>
      <c r="Q795" s="96"/>
      <c r="R795" s="96"/>
      <c r="S795" s="96"/>
      <c r="T795" s="146" t="s">
        <v>6402</v>
      </c>
      <c r="U795" s="146" t="s">
        <v>122</v>
      </c>
      <c r="AA795"/>
      <c r="AB795"/>
      <c r="AC795" s="40"/>
      <c r="AD795" s="40"/>
    </row>
    <row r="796" spans="16:30" ht="13.8">
      <c r="P796" s="96"/>
      <c r="Q796" s="96"/>
      <c r="R796" s="96"/>
      <c r="S796" s="96"/>
      <c r="T796" s="146"/>
      <c r="U796" s="146"/>
      <c r="AA796"/>
      <c r="AB796"/>
      <c r="AC796" s="40"/>
      <c r="AD796" s="40"/>
    </row>
    <row r="797" spans="16:30" ht="13.8">
      <c r="P797" s="96"/>
      <c r="Q797" s="96"/>
      <c r="R797" s="96"/>
      <c r="S797" s="96"/>
      <c r="T797" s="146"/>
      <c r="U797" s="146"/>
      <c r="AA797"/>
      <c r="AB797"/>
      <c r="AC797" s="40"/>
      <c r="AD797" s="40"/>
    </row>
    <row r="798" spans="16:30" ht="13.8">
      <c r="P798" s="96"/>
      <c r="T798" s="146"/>
      <c r="U798" s="146"/>
      <c r="AA798"/>
      <c r="AB798"/>
      <c r="AC798" s="40"/>
      <c r="AD798" s="40"/>
    </row>
    <row r="799" spans="16:30">
      <c r="T799" s="25"/>
      <c r="U799" s="25"/>
      <c r="AA799"/>
      <c r="AB799"/>
      <c r="AC799" s="40"/>
      <c r="AD799" s="40"/>
    </row>
    <row r="800" spans="16:30">
      <c r="T800" s="25"/>
      <c r="U800" s="25"/>
      <c r="AA800"/>
      <c r="AB800"/>
      <c r="AC800" s="40"/>
      <c r="AD800" s="40"/>
    </row>
    <row r="801" spans="20:30">
      <c r="T801" s="25"/>
      <c r="U801" s="25"/>
      <c r="AA801"/>
      <c r="AB801"/>
      <c r="AC801" s="40"/>
      <c r="AD801" s="40"/>
    </row>
    <row r="802" spans="20:30">
      <c r="T802" s="25"/>
      <c r="U802" s="25"/>
      <c r="AA802"/>
      <c r="AB802"/>
      <c r="AC802" s="40"/>
      <c r="AD802" s="40"/>
    </row>
    <row r="803" spans="20:30">
      <c r="AA803"/>
      <c r="AB803"/>
      <c r="AC803" s="40"/>
      <c r="AD803" s="40"/>
    </row>
    <row r="804" spans="20:30">
      <c r="AA804"/>
      <c r="AB804"/>
      <c r="AC804" s="40"/>
      <c r="AD804" s="40"/>
    </row>
    <row r="805" spans="20:30">
      <c r="AA805"/>
      <c r="AB805"/>
      <c r="AC805" s="40"/>
      <c r="AD805" s="40"/>
    </row>
    <row r="806" spans="20:30">
      <c r="AA806"/>
      <c r="AB806"/>
      <c r="AC806" s="40"/>
      <c r="AD806" s="40"/>
    </row>
    <row r="807" spans="20:30">
      <c r="AA807"/>
      <c r="AB807"/>
      <c r="AC807" s="40"/>
      <c r="AD807" s="40"/>
    </row>
    <row r="808" spans="20:30">
      <c r="AA808"/>
      <c r="AB808"/>
      <c r="AC808" s="40"/>
      <c r="AD808" s="40"/>
    </row>
    <row r="809" spans="20:30">
      <c r="AA809"/>
      <c r="AB809"/>
      <c r="AC809" s="40"/>
      <c r="AD809" s="40"/>
    </row>
    <row r="810" spans="20:30">
      <c r="AA810"/>
      <c r="AB810"/>
      <c r="AC810" s="40"/>
      <c r="AD810" s="40"/>
    </row>
    <row r="811" spans="20:30">
      <c r="AA811"/>
      <c r="AB811"/>
      <c r="AC811" s="40"/>
      <c r="AD811" s="40"/>
    </row>
    <row r="812" spans="20:30">
      <c r="AA812"/>
      <c r="AB812"/>
      <c r="AC812" s="40"/>
      <c r="AD812" s="40"/>
    </row>
    <row r="813" spans="20:30">
      <c r="AA813"/>
      <c r="AB813"/>
      <c r="AC813" s="40"/>
      <c r="AD813" s="40"/>
    </row>
    <row r="814" spans="20:30">
      <c r="AA814"/>
      <c r="AB814"/>
      <c r="AC814" s="40"/>
      <c r="AD814" s="40"/>
    </row>
    <row r="815" spans="20:30">
      <c r="AA815"/>
      <c r="AB815"/>
      <c r="AC815" s="40"/>
      <c r="AD815" s="40"/>
    </row>
    <row r="816" spans="20:30">
      <c r="AA816"/>
      <c r="AB816"/>
      <c r="AC816" s="40"/>
      <c r="AD816" s="40"/>
    </row>
    <row r="817" spans="27:30">
      <c r="AA817"/>
      <c r="AB817"/>
      <c r="AC817" s="40"/>
      <c r="AD817" s="40"/>
    </row>
    <row r="818" spans="27:30">
      <c r="AA818"/>
      <c r="AB818"/>
      <c r="AC818" s="40"/>
      <c r="AD818" s="40"/>
    </row>
    <row r="819" spans="27:30">
      <c r="AA819"/>
      <c r="AB819"/>
      <c r="AC819" s="40"/>
      <c r="AD819" s="40"/>
    </row>
    <row r="820" spans="27:30">
      <c r="AA820"/>
      <c r="AB820"/>
      <c r="AC820" s="40"/>
      <c r="AD820" s="40"/>
    </row>
    <row r="821" spans="27:30">
      <c r="AA821"/>
      <c r="AB821"/>
      <c r="AC821" s="40"/>
      <c r="AD821" s="40"/>
    </row>
    <row r="822" spans="27:30">
      <c r="AA822"/>
      <c r="AB822"/>
      <c r="AC822" s="40"/>
      <c r="AD822" s="40"/>
    </row>
    <row r="823" spans="27:30">
      <c r="AA823"/>
      <c r="AB823"/>
      <c r="AC823" s="40"/>
      <c r="AD823" s="40"/>
    </row>
    <row r="824" spans="27:30">
      <c r="AA824"/>
      <c r="AB824"/>
      <c r="AC824" s="40"/>
      <c r="AD824" s="40"/>
    </row>
    <row r="825" spans="27:30">
      <c r="AA825"/>
      <c r="AB825"/>
      <c r="AC825" s="40"/>
      <c r="AD825" s="40"/>
    </row>
    <row r="826" spans="27:30">
      <c r="AA826"/>
      <c r="AB826"/>
      <c r="AC826" s="40"/>
      <c r="AD826" s="40"/>
    </row>
    <row r="827" spans="27:30">
      <c r="AA827"/>
      <c r="AB827"/>
      <c r="AC827" s="40"/>
      <c r="AD827" s="40"/>
    </row>
    <row r="828" spans="27:30">
      <c r="AA828"/>
      <c r="AB828"/>
      <c r="AC828" s="40"/>
      <c r="AD828" s="40"/>
    </row>
    <row r="829" spans="27:30">
      <c r="AA829"/>
      <c r="AB829"/>
      <c r="AC829" s="40"/>
      <c r="AD829" s="40"/>
    </row>
    <row r="830" spans="27:30">
      <c r="AA830"/>
      <c r="AB830"/>
      <c r="AC830" s="40"/>
      <c r="AD830" s="40"/>
    </row>
    <row r="831" spans="27:30">
      <c r="AA831"/>
      <c r="AC831" s="40"/>
    </row>
    <row r="832" spans="27:30">
      <c r="AA832"/>
      <c r="AC832" s="40"/>
    </row>
    <row r="833" spans="27:29">
      <c r="AA833"/>
      <c r="AC833" s="40"/>
    </row>
    <row r="834" spans="27:29">
      <c r="AA834"/>
      <c r="AC834" s="40"/>
    </row>
    <row r="835" spans="27:29">
      <c r="AA835"/>
      <c r="AC835" s="40"/>
    </row>
    <row r="836" spans="27:29">
      <c r="AA836"/>
      <c r="AC836" s="40"/>
    </row>
    <row r="837" spans="27:29">
      <c r="AA837"/>
      <c r="AC837" s="40"/>
    </row>
    <row r="838" spans="27:29">
      <c r="AA838"/>
      <c r="AC838" s="40"/>
    </row>
    <row r="839" spans="27:29">
      <c r="AA839"/>
      <c r="AC839" s="40"/>
    </row>
    <row r="840" spans="27:29">
      <c r="AA840"/>
      <c r="AC840" s="40"/>
    </row>
    <row r="841" spans="27:29">
      <c r="AA841"/>
      <c r="AC841" s="40"/>
    </row>
    <row r="842" spans="27:29">
      <c r="AA842"/>
      <c r="AC842" s="40"/>
    </row>
    <row r="843" spans="27:29">
      <c r="AA843"/>
      <c r="AC843" s="40"/>
    </row>
    <row r="844" spans="27:29">
      <c r="AA844"/>
      <c r="AC844" s="40"/>
    </row>
    <row r="845" spans="27:29">
      <c r="AA845"/>
      <c r="AC845" s="40"/>
    </row>
    <row r="846" spans="27:29">
      <c r="AA846"/>
      <c r="AC846" s="40"/>
    </row>
    <row r="847" spans="27:29">
      <c r="AA847"/>
      <c r="AC847" s="40"/>
    </row>
    <row r="848" spans="27:29">
      <c r="AA848"/>
      <c r="AC848" s="40"/>
    </row>
    <row r="849" spans="27:29">
      <c r="AA849"/>
      <c r="AC849" s="40"/>
    </row>
    <row r="850" spans="27:29">
      <c r="AA850"/>
      <c r="AC850" s="40"/>
    </row>
    <row r="851" spans="27:29">
      <c r="AA851"/>
      <c r="AC851" s="40"/>
    </row>
    <row r="852" spans="27:29">
      <c r="AA852"/>
      <c r="AC852" s="40"/>
    </row>
    <row r="853" spans="27:29">
      <c r="AA853"/>
      <c r="AC853" s="40"/>
    </row>
    <row r="854" spans="27:29">
      <c r="AA854"/>
      <c r="AC854" s="40"/>
    </row>
    <row r="855" spans="27:29">
      <c r="AA855"/>
      <c r="AC855" s="40"/>
    </row>
    <row r="856" spans="27:29">
      <c r="AA856"/>
      <c r="AC856" s="40"/>
    </row>
    <row r="857" spans="27:29">
      <c r="AA857"/>
      <c r="AC857" s="40"/>
    </row>
    <row r="858" spans="27:29">
      <c r="AA858"/>
      <c r="AC858" s="40"/>
    </row>
    <row r="859" spans="27:29">
      <c r="AA859"/>
      <c r="AC859" s="40"/>
    </row>
    <row r="860" spans="27:29">
      <c r="AA860"/>
      <c r="AC860" s="40"/>
    </row>
    <row r="861" spans="27:29">
      <c r="AA861"/>
      <c r="AC861" s="40"/>
    </row>
    <row r="862" spans="27:29">
      <c r="AA862"/>
      <c r="AC862" s="40"/>
    </row>
    <row r="863" spans="27:29">
      <c r="AA863"/>
      <c r="AC863" s="40"/>
    </row>
    <row r="864" spans="27:29">
      <c r="AA864"/>
      <c r="AC864" s="40"/>
    </row>
    <row r="865" spans="27:29">
      <c r="AA865"/>
      <c r="AC865" s="40"/>
    </row>
    <row r="866" spans="27:29">
      <c r="AA866"/>
      <c r="AC866" s="40"/>
    </row>
    <row r="867" spans="27:29">
      <c r="AA867"/>
      <c r="AC867" s="40"/>
    </row>
    <row r="868" spans="27:29">
      <c r="AA868"/>
      <c r="AC868" s="40"/>
    </row>
    <row r="869" spans="27:29">
      <c r="AA869"/>
      <c r="AC869" s="40"/>
    </row>
    <row r="870" spans="27:29">
      <c r="AA870"/>
      <c r="AC870" s="40"/>
    </row>
    <row r="871" spans="27:29">
      <c r="AA871"/>
      <c r="AC871" s="40"/>
    </row>
    <row r="872" spans="27:29">
      <c r="AA872"/>
      <c r="AC872" s="40"/>
    </row>
    <row r="878" spans="27:29">
      <c r="AA878"/>
      <c r="AB878"/>
    </row>
    <row r="879" spans="27:29">
      <c r="AA879"/>
      <c r="AB879"/>
    </row>
    <row r="880" spans="27:29">
      <c r="AA880"/>
      <c r="AB880"/>
    </row>
    <row r="881" spans="27:28">
      <c r="AA881"/>
      <c r="AB881"/>
    </row>
    <row r="882" spans="27:28">
      <c r="AA882"/>
      <c r="AB882"/>
    </row>
    <row r="883" spans="27:28">
      <c r="AA883"/>
      <c r="AB883"/>
    </row>
    <row r="884" spans="27:28">
      <c r="AA884"/>
      <c r="AB884"/>
    </row>
    <row r="885" spans="27:28">
      <c r="AA885"/>
      <c r="AB885"/>
    </row>
    <row r="886" spans="27:28">
      <c r="AA886"/>
      <c r="AB886"/>
    </row>
    <row r="887" spans="27:28">
      <c r="AA887"/>
      <c r="AB887"/>
    </row>
    <row r="888" spans="27:28">
      <c r="AA888"/>
      <c r="AB888"/>
    </row>
    <row r="889" spans="27:28">
      <c r="AA889"/>
      <c r="AB889"/>
    </row>
    <row r="890" spans="27:28">
      <c r="AA890"/>
      <c r="AB890"/>
    </row>
    <row r="891" spans="27:28">
      <c r="AA891"/>
      <c r="AB891"/>
    </row>
    <row r="892" spans="27:28">
      <c r="AA892"/>
      <c r="AB892"/>
    </row>
    <row r="893" spans="27:28">
      <c r="AA893"/>
      <c r="AB893"/>
    </row>
    <row r="894" spans="27:28">
      <c r="AA894"/>
      <c r="AB894"/>
    </row>
    <row r="895" spans="27:28">
      <c r="AA895"/>
      <c r="AB895"/>
    </row>
    <row r="896" spans="27:28">
      <c r="AA896"/>
      <c r="AB896"/>
    </row>
    <row r="897" spans="27:28">
      <c r="AA897"/>
      <c r="AB897"/>
    </row>
    <row r="898" spans="27:28">
      <c r="AA898"/>
      <c r="AB898"/>
    </row>
    <row r="899" spans="27:28">
      <c r="AA899"/>
      <c r="AB899"/>
    </row>
    <row r="900" spans="27:28">
      <c r="AA900"/>
      <c r="AB900"/>
    </row>
    <row r="901" spans="27:28">
      <c r="AA901"/>
      <c r="AB901"/>
    </row>
    <row r="902" spans="27:28">
      <c r="AA902"/>
      <c r="AB902"/>
    </row>
    <row r="903" spans="27:28">
      <c r="AA903"/>
      <c r="AB903"/>
    </row>
    <row r="904" spans="27:28">
      <c r="AA904"/>
      <c r="AB904"/>
    </row>
    <row r="905" spans="27:28">
      <c r="AA905"/>
      <c r="AB905"/>
    </row>
    <row r="906" spans="27:28">
      <c r="AA906"/>
      <c r="AB906"/>
    </row>
    <row r="907" spans="27:28">
      <c r="AA907"/>
      <c r="AB907"/>
    </row>
    <row r="908" spans="27:28">
      <c r="AA908"/>
      <c r="AB908"/>
    </row>
    <row r="909" spans="27:28">
      <c r="AA909"/>
      <c r="AB909"/>
    </row>
    <row r="910" spans="27:28">
      <c r="AA910"/>
      <c r="AB910"/>
    </row>
    <row r="911" spans="27:28">
      <c r="AA911"/>
      <c r="AB911"/>
    </row>
    <row r="912" spans="27:28">
      <c r="AA912"/>
      <c r="AB912"/>
    </row>
    <row r="913" spans="27:28">
      <c r="AA913"/>
      <c r="AB913"/>
    </row>
    <row r="914" spans="27:28">
      <c r="AA914"/>
      <c r="AB914"/>
    </row>
    <row r="915" spans="27:28">
      <c r="AA915"/>
      <c r="AB915"/>
    </row>
    <row r="916" spans="27:28">
      <c r="AA916"/>
      <c r="AB916"/>
    </row>
    <row r="917" spans="27:28">
      <c r="AA917"/>
      <c r="AB917"/>
    </row>
    <row r="918" spans="27:28">
      <c r="AA918"/>
      <c r="AB918"/>
    </row>
    <row r="919" spans="27:28">
      <c r="AA919"/>
      <c r="AB919"/>
    </row>
    <row r="920" spans="27:28">
      <c r="AA920"/>
      <c r="AB920"/>
    </row>
    <row r="921" spans="27:28">
      <c r="AA921"/>
      <c r="AB921"/>
    </row>
    <row r="922" spans="27:28">
      <c r="AA922"/>
      <c r="AB922"/>
    </row>
    <row r="923" spans="27:28">
      <c r="AA923"/>
      <c r="AB923"/>
    </row>
    <row r="924" spans="27:28">
      <c r="AA924"/>
      <c r="AB924"/>
    </row>
    <row r="925" spans="27:28">
      <c r="AA925"/>
      <c r="AB925"/>
    </row>
    <row r="926" spans="27:28">
      <c r="AA926"/>
      <c r="AB926"/>
    </row>
    <row r="927" spans="27:28">
      <c r="AA927"/>
      <c r="AB927"/>
    </row>
    <row r="928" spans="27:28">
      <c r="AA928"/>
      <c r="AB928"/>
    </row>
    <row r="929" spans="27:28">
      <c r="AA929"/>
      <c r="AB929"/>
    </row>
    <row r="930" spans="27:28">
      <c r="AA930"/>
      <c r="AB930"/>
    </row>
    <row r="931" spans="27:28">
      <c r="AA931"/>
      <c r="AB931"/>
    </row>
    <row r="932" spans="27:28">
      <c r="AA932"/>
      <c r="AB932"/>
    </row>
    <row r="933" spans="27:28">
      <c r="AA933"/>
      <c r="AB933"/>
    </row>
    <row r="934" spans="27:28">
      <c r="AA934"/>
      <c r="AB934"/>
    </row>
    <row r="935" spans="27:28">
      <c r="AA935"/>
      <c r="AB935"/>
    </row>
    <row r="936" spans="27:28">
      <c r="AA936"/>
      <c r="AB936"/>
    </row>
    <row r="937" spans="27:28">
      <c r="AA937"/>
      <c r="AB937"/>
    </row>
    <row r="938" spans="27:28">
      <c r="AA938"/>
      <c r="AB938"/>
    </row>
    <row r="939" spans="27:28">
      <c r="AA939"/>
      <c r="AB939"/>
    </row>
    <row r="940" spans="27:28">
      <c r="AA940"/>
      <c r="AB940"/>
    </row>
    <row r="941" spans="27:28">
      <c r="AA941"/>
      <c r="AB941"/>
    </row>
    <row r="942" spans="27:28">
      <c r="AA942"/>
      <c r="AB942"/>
    </row>
    <row r="943" spans="27:28">
      <c r="AA943"/>
      <c r="AB943"/>
    </row>
    <row r="944" spans="27:28">
      <c r="AA944"/>
      <c r="AB944"/>
    </row>
    <row r="945" spans="27:28">
      <c r="AA945"/>
      <c r="AB945"/>
    </row>
    <row r="946" spans="27:28">
      <c r="AA946"/>
      <c r="AB946"/>
    </row>
    <row r="947" spans="27:28">
      <c r="AA947"/>
      <c r="AB947"/>
    </row>
    <row r="948" spans="27:28">
      <c r="AA948"/>
      <c r="AB948"/>
    </row>
    <row r="949" spans="27:28">
      <c r="AA949"/>
      <c r="AB949"/>
    </row>
    <row r="950" spans="27:28">
      <c r="AA950"/>
      <c r="AB950"/>
    </row>
    <row r="951" spans="27:28">
      <c r="AA951"/>
      <c r="AB951"/>
    </row>
    <row r="952" spans="27:28">
      <c r="AA952"/>
      <c r="AB952"/>
    </row>
    <row r="953" spans="27:28">
      <c r="AA953"/>
      <c r="AB953"/>
    </row>
    <row r="954" spans="27:28">
      <c r="AA954"/>
      <c r="AB954"/>
    </row>
    <row r="955" spans="27:28">
      <c r="AA955"/>
      <c r="AB955"/>
    </row>
    <row r="956" spans="27:28">
      <c r="AA956"/>
      <c r="AB956"/>
    </row>
    <row r="957" spans="27:28">
      <c r="AA957"/>
      <c r="AB957"/>
    </row>
    <row r="958" spans="27:28">
      <c r="AA958"/>
      <c r="AB958"/>
    </row>
    <row r="959" spans="27:28">
      <c r="AA959"/>
      <c r="AB959"/>
    </row>
    <row r="960" spans="27:28">
      <c r="AA960"/>
      <c r="AB960"/>
    </row>
    <row r="961" spans="27:28">
      <c r="AA961"/>
      <c r="AB961"/>
    </row>
    <row r="962" spans="27:28">
      <c r="AA962"/>
      <c r="AB962"/>
    </row>
    <row r="963" spans="27:28">
      <c r="AA963"/>
      <c r="AB963"/>
    </row>
    <row r="964" spans="27:28">
      <c r="AA964"/>
      <c r="AB964"/>
    </row>
    <row r="965" spans="27:28">
      <c r="AA965"/>
      <c r="AB965"/>
    </row>
    <row r="966" spans="27:28">
      <c r="AA966"/>
      <c r="AB966"/>
    </row>
    <row r="967" spans="27:28">
      <c r="AA967"/>
      <c r="AB967"/>
    </row>
    <row r="968" spans="27:28">
      <c r="AA968"/>
      <c r="AB968"/>
    </row>
    <row r="969" spans="27:28">
      <c r="AA969"/>
      <c r="AB969"/>
    </row>
    <row r="970" spans="27:28">
      <c r="AA970"/>
      <c r="AB970"/>
    </row>
    <row r="971" spans="27:28">
      <c r="AA971"/>
      <c r="AB971"/>
    </row>
    <row r="972" spans="27:28">
      <c r="AA972"/>
      <c r="AB972"/>
    </row>
    <row r="973" spans="27:28">
      <c r="AA973"/>
      <c r="AB973"/>
    </row>
    <row r="974" spans="27:28">
      <c r="AA974"/>
      <c r="AB974"/>
    </row>
    <row r="975" spans="27:28">
      <c r="AA975"/>
      <c r="AB975"/>
    </row>
    <row r="976" spans="27:28">
      <c r="AA976"/>
      <c r="AB976"/>
    </row>
    <row r="977" spans="27:28">
      <c r="AA977"/>
      <c r="AB977"/>
    </row>
    <row r="978" spans="27:28">
      <c r="AA978"/>
      <c r="AB978"/>
    </row>
    <row r="979" spans="27:28">
      <c r="AA979"/>
      <c r="AB979"/>
    </row>
    <row r="980" spans="27:28">
      <c r="AA980"/>
      <c r="AB980"/>
    </row>
    <row r="981" spans="27:28">
      <c r="AA981"/>
      <c r="AB981"/>
    </row>
    <row r="982" spans="27:28">
      <c r="AA982"/>
      <c r="AB982"/>
    </row>
    <row r="983" spans="27:28">
      <c r="AA983"/>
      <c r="AB983"/>
    </row>
    <row r="984" spans="27:28">
      <c r="AA984"/>
      <c r="AB984"/>
    </row>
    <row r="985" spans="27:28">
      <c r="AA985"/>
      <c r="AB985"/>
    </row>
    <row r="986" spans="27:28">
      <c r="AA986"/>
      <c r="AB986"/>
    </row>
    <row r="987" spans="27:28">
      <c r="AA987"/>
      <c r="AB987"/>
    </row>
    <row r="988" spans="27:28">
      <c r="AA988"/>
      <c r="AB988"/>
    </row>
    <row r="989" spans="27:28">
      <c r="AA989"/>
      <c r="AB989"/>
    </row>
    <row r="990" spans="27:28">
      <c r="AA990"/>
      <c r="AB990"/>
    </row>
    <row r="991" spans="27:28">
      <c r="AA991"/>
      <c r="AB991"/>
    </row>
    <row r="992" spans="27:28">
      <c r="AA992"/>
      <c r="AB992"/>
    </row>
    <row r="993" spans="27:28">
      <c r="AA993"/>
      <c r="AB993"/>
    </row>
    <row r="994" spans="27:28">
      <c r="AA994"/>
      <c r="AB994"/>
    </row>
    <row r="995" spans="27:28">
      <c r="AA995"/>
      <c r="AB995"/>
    </row>
    <row r="996" spans="27:28">
      <c r="AA996"/>
      <c r="AB996"/>
    </row>
    <row r="997" spans="27:28">
      <c r="AA997"/>
      <c r="AB997"/>
    </row>
    <row r="998" spans="27:28">
      <c r="AA998"/>
      <c r="AB998"/>
    </row>
    <row r="999" spans="27:28">
      <c r="AA999"/>
      <c r="AB999"/>
    </row>
    <row r="1000" spans="27:28">
      <c r="AA1000"/>
      <c r="AB1000"/>
    </row>
    <row r="1001" spans="27:28">
      <c r="AA1001"/>
      <c r="AB1001"/>
    </row>
    <row r="1002" spans="27:28">
      <c r="AA1002"/>
      <c r="AB1002"/>
    </row>
    <row r="1003" spans="27:28">
      <c r="AA1003"/>
      <c r="AB1003"/>
    </row>
    <row r="1004" spans="27:28">
      <c r="AA1004"/>
      <c r="AB1004"/>
    </row>
    <row r="1005" spans="27:28">
      <c r="AA1005"/>
      <c r="AB1005"/>
    </row>
    <row r="1006" spans="27:28">
      <c r="AA1006"/>
      <c r="AB1006"/>
    </row>
    <row r="1007" spans="27:28">
      <c r="AA1007"/>
      <c r="AB1007"/>
    </row>
    <row r="1008" spans="27:28">
      <c r="AA1008"/>
      <c r="AB1008"/>
    </row>
    <row r="1009" spans="27:28">
      <c r="AA1009"/>
      <c r="AB1009"/>
    </row>
    <row r="1010" spans="27:28">
      <c r="AA1010"/>
      <c r="AB1010"/>
    </row>
    <row r="1011" spans="27:28">
      <c r="AA1011"/>
      <c r="AB1011"/>
    </row>
    <row r="1012" spans="27:28">
      <c r="AA1012"/>
      <c r="AB1012"/>
    </row>
    <row r="1013" spans="27:28">
      <c r="AA1013"/>
      <c r="AB1013"/>
    </row>
    <row r="1014" spans="27:28">
      <c r="AA1014"/>
      <c r="AB1014"/>
    </row>
    <row r="1015" spans="27:28">
      <c r="AA1015"/>
      <c r="AB1015"/>
    </row>
    <row r="1016" spans="27:28">
      <c r="AA1016"/>
      <c r="AB1016"/>
    </row>
    <row r="1017" spans="27:28">
      <c r="AA1017"/>
      <c r="AB1017"/>
    </row>
    <row r="1018" spans="27:28">
      <c r="AA1018"/>
      <c r="AB1018"/>
    </row>
    <row r="1019" spans="27:28">
      <c r="AA1019"/>
      <c r="AB1019"/>
    </row>
    <row r="1020" spans="27:28">
      <c r="AA1020"/>
      <c r="AB1020"/>
    </row>
    <row r="1021" spans="27:28">
      <c r="AA1021"/>
      <c r="AB1021"/>
    </row>
    <row r="1022" spans="27:28">
      <c r="AA1022"/>
      <c r="AB1022"/>
    </row>
    <row r="1023" spans="27:28">
      <c r="AA1023"/>
      <c r="AB1023"/>
    </row>
    <row r="1024" spans="27:28">
      <c r="AA1024"/>
      <c r="AB1024"/>
    </row>
    <row r="1025" spans="27:28">
      <c r="AA1025"/>
      <c r="AB1025"/>
    </row>
    <row r="1026" spans="27:28">
      <c r="AA1026"/>
      <c r="AB1026"/>
    </row>
    <row r="1027" spans="27:28">
      <c r="AA1027"/>
      <c r="AB1027"/>
    </row>
    <row r="1028" spans="27:28">
      <c r="AA1028"/>
      <c r="AB1028"/>
    </row>
    <row r="1029" spans="27:28">
      <c r="AA1029"/>
      <c r="AB1029"/>
    </row>
    <row r="1030" spans="27:28">
      <c r="AA1030"/>
      <c r="AB1030"/>
    </row>
    <row r="1031" spans="27:28">
      <c r="AA1031"/>
      <c r="AB1031"/>
    </row>
    <row r="1032" spans="27:28">
      <c r="AA1032"/>
      <c r="AB1032"/>
    </row>
    <row r="1033" spans="27:28">
      <c r="AA1033"/>
      <c r="AB1033"/>
    </row>
    <row r="1034" spans="27:28">
      <c r="AA1034"/>
      <c r="AB1034"/>
    </row>
    <row r="1035" spans="27:28">
      <c r="AA1035"/>
      <c r="AB1035"/>
    </row>
    <row r="1036" spans="27:28">
      <c r="AA1036"/>
      <c r="AB1036"/>
    </row>
    <row r="1037" spans="27:28">
      <c r="AA1037"/>
      <c r="AB1037"/>
    </row>
    <row r="1038" spans="27:28">
      <c r="AA1038"/>
      <c r="AB1038"/>
    </row>
    <row r="1039" spans="27:28">
      <c r="AA1039"/>
      <c r="AB1039"/>
    </row>
    <row r="1040" spans="27:28">
      <c r="AA1040"/>
      <c r="AB1040"/>
    </row>
    <row r="1041" spans="27:28">
      <c r="AA1041"/>
      <c r="AB1041"/>
    </row>
    <row r="1042" spans="27:28">
      <c r="AA1042"/>
      <c r="AB1042"/>
    </row>
    <row r="1043" spans="27:28">
      <c r="AA1043"/>
      <c r="AB1043"/>
    </row>
    <row r="1044" spans="27:28">
      <c r="AA1044"/>
      <c r="AB1044"/>
    </row>
    <row r="1045" spans="27:28">
      <c r="AA1045"/>
      <c r="AB1045"/>
    </row>
    <row r="1046" spans="27:28">
      <c r="AA1046"/>
      <c r="AB1046"/>
    </row>
    <row r="1047" spans="27:28">
      <c r="AA1047"/>
      <c r="AB1047"/>
    </row>
    <row r="1048" spans="27:28">
      <c r="AA1048"/>
      <c r="AB1048"/>
    </row>
    <row r="1049" spans="27:28">
      <c r="AA1049"/>
      <c r="AB1049"/>
    </row>
    <row r="1050" spans="27:28">
      <c r="AA1050"/>
      <c r="AB1050"/>
    </row>
    <row r="1051" spans="27:28">
      <c r="AA1051"/>
      <c r="AB1051"/>
    </row>
    <row r="1052" spans="27:28">
      <c r="AA1052"/>
      <c r="AB1052"/>
    </row>
    <row r="1053" spans="27:28">
      <c r="AA1053"/>
      <c r="AB1053"/>
    </row>
    <row r="1054" spans="27:28">
      <c r="AA1054"/>
      <c r="AB1054"/>
    </row>
    <row r="1055" spans="27:28">
      <c r="AA1055"/>
      <c r="AB1055"/>
    </row>
    <row r="1056" spans="27:28">
      <c r="AA1056"/>
      <c r="AB1056"/>
    </row>
    <row r="1057" spans="27:28">
      <c r="AA1057"/>
      <c r="AB1057"/>
    </row>
    <row r="1058" spans="27:28">
      <c r="AA1058"/>
      <c r="AB1058"/>
    </row>
    <row r="1059" spans="27:28">
      <c r="AA1059"/>
      <c r="AB1059"/>
    </row>
    <row r="1060" spans="27:28">
      <c r="AA1060"/>
      <c r="AB1060"/>
    </row>
    <row r="1061" spans="27:28">
      <c r="AA1061"/>
      <c r="AB1061"/>
    </row>
    <row r="1062" spans="27:28">
      <c r="AA1062"/>
      <c r="AB1062"/>
    </row>
    <row r="1063" spans="27:28">
      <c r="AA1063"/>
      <c r="AB1063"/>
    </row>
    <row r="1064" spans="27:28">
      <c r="AA1064"/>
      <c r="AB1064"/>
    </row>
    <row r="1065" spans="27:28">
      <c r="AA1065"/>
      <c r="AB1065"/>
    </row>
    <row r="1066" spans="27:28">
      <c r="AA1066"/>
      <c r="AB1066"/>
    </row>
    <row r="1067" spans="27:28">
      <c r="AA1067"/>
      <c r="AB1067"/>
    </row>
    <row r="1068" spans="27:28">
      <c r="AA1068"/>
      <c r="AB1068"/>
    </row>
    <row r="1069" spans="27:28">
      <c r="AA1069"/>
      <c r="AB1069"/>
    </row>
    <row r="1070" spans="27:28">
      <c r="AA1070"/>
      <c r="AB1070"/>
    </row>
    <row r="1071" spans="27:28">
      <c r="AA1071"/>
      <c r="AB1071"/>
    </row>
    <row r="1072" spans="27:28">
      <c r="AA1072"/>
      <c r="AB1072"/>
    </row>
    <row r="1073" spans="27:28">
      <c r="AA1073"/>
      <c r="AB1073"/>
    </row>
    <row r="1074" spans="27:28">
      <c r="AA1074"/>
      <c r="AB1074"/>
    </row>
    <row r="1075" spans="27:28">
      <c r="AA1075"/>
      <c r="AB1075"/>
    </row>
    <row r="1076" spans="27:28">
      <c r="AA1076"/>
      <c r="AB1076"/>
    </row>
    <row r="1077" spans="27:28">
      <c r="AA1077"/>
      <c r="AB1077"/>
    </row>
    <row r="1078" spans="27:28">
      <c r="AA1078"/>
      <c r="AB1078"/>
    </row>
    <row r="1079" spans="27:28">
      <c r="AA1079"/>
      <c r="AB1079"/>
    </row>
    <row r="1080" spans="27:28">
      <c r="AA1080"/>
      <c r="AB1080"/>
    </row>
    <row r="1081" spans="27:28">
      <c r="AA1081"/>
      <c r="AB1081"/>
    </row>
    <row r="1082" spans="27:28">
      <c r="AA1082"/>
      <c r="AB1082"/>
    </row>
    <row r="1083" spans="27:28">
      <c r="AA1083"/>
      <c r="AB1083"/>
    </row>
    <row r="1084" spans="27:28">
      <c r="AA1084"/>
      <c r="AB1084"/>
    </row>
    <row r="1085" spans="27:28">
      <c r="AA1085"/>
      <c r="AB1085"/>
    </row>
    <row r="1086" spans="27:28">
      <c r="AA1086"/>
      <c r="AB1086"/>
    </row>
    <row r="1087" spans="27:28">
      <c r="AA1087"/>
      <c r="AB1087"/>
    </row>
    <row r="1088" spans="27:28">
      <c r="AA1088"/>
      <c r="AB1088"/>
    </row>
    <row r="1089" spans="27:28">
      <c r="AA1089"/>
      <c r="AB1089"/>
    </row>
    <row r="1090" spans="27:28">
      <c r="AA1090"/>
      <c r="AB1090"/>
    </row>
    <row r="1091" spans="27:28">
      <c r="AA1091"/>
      <c r="AB1091"/>
    </row>
    <row r="1092" spans="27:28">
      <c r="AA1092"/>
      <c r="AB1092"/>
    </row>
    <row r="1093" spans="27:28">
      <c r="AA1093"/>
      <c r="AB1093"/>
    </row>
    <row r="1094" spans="27:28">
      <c r="AA1094"/>
      <c r="AB1094"/>
    </row>
    <row r="1095" spans="27:28">
      <c r="AA1095"/>
      <c r="AB1095"/>
    </row>
    <row r="1096" spans="27:28">
      <c r="AA1096"/>
      <c r="AB1096"/>
    </row>
    <row r="1097" spans="27:28">
      <c r="AA1097"/>
      <c r="AB1097"/>
    </row>
    <row r="1098" spans="27:28">
      <c r="AA1098"/>
      <c r="AB1098"/>
    </row>
    <row r="1099" spans="27:28">
      <c r="AA1099"/>
      <c r="AB1099"/>
    </row>
    <row r="1100" spans="27:28">
      <c r="AA1100"/>
      <c r="AB1100"/>
    </row>
    <row r="1101" spans="27:28">
      <c r="AA1101"/>
      <c r="AB1101"/>
    </row>
    <row r="1102" spans="27:28">
      <c r="AA1102"/>
      <c r="AB1102"/>
    </row>
    <row r="1103" spans="27:28">
      <c r="AA1103"/>
      <c r="AB1103"/>
    </row>
    <row r="1104" spans="27:28">
      <c r="AA1104"/>
      <c r="AB1104"/>
    </row>
    <row r="1105" spans="27:28">
      <c r="AA1105"/>
      <c r="AB1105"/>
    </row>
    <row r="1106" spans="27:28">
      <c r="AA1106"/>
      <c r="AB1106"/>
    </row>
    <row r="1107" spans="27:28">
      <c r="AA1107"/>
      <c r="AB1107"/>
    </row>
    <row r="1108" spans="27:28">
      <c r="AA1108"/>
      <c r="AB1108"/>
    </row>
    <row r="1109" spans="27:28">
      <c r="AA1109"/>
      <c r="AB1109"/>
    </row>
    <row r="1110" spans="27:28">
      <c r="AA1110"/>
      <c r="AB1110"/>
    </row>
    <row r="1111" spans="27:28">
      <c r="AA1111"/>
      <c r="AB1111"/>
    </row>
    <row r="1112" spans="27:28">
      <c r="AA1112"/>
      <c r="AB1112"/>
    </row>
    <row r="1113" spans="27:28">
      <c r="AA1113"/>
      <c r="AB1113"/>
    </row>
    <row r="1114" spans="27:28">
      <c r="AA1114"/>
      <c r="AB1114"/>
    </row>
    <row r="1115" spans="27:28">
      <c r="AA1115"/>
      <c r="AB1115"/>
    </row>
    <row r="1116" spans="27:28">
      <c r="AA1116"/>
      <c r="AB1116"/>
    </row>
    <row r="1117" spans="27:28">
      <c r="AA1117"/>
      <c r="AB1117"/>
    </row>
    <row r="1118" spans="27:28">
      <c r="AA1118"/>
      <c r="AB1118"/>
    </row>
    <row r="1119" spans="27:28">
      <c r="AA1119"/>
      <c r="AB1119"/>
    </row>
    <row r="1120" spans="27:28">
      <c r="AA1120"/>
      <c r="AB1120"/>
    </row>
    <row r="1121" spans="27:28">
      <c r="AA1121"/>
      <c r="AB1121"/>
    </row>
    <row r="1122" spans="27:28">
      <c r="AA1122"/>
      <c r="AB1122"/>
    </row>
    <row r="1123" spans="27:28">
      <c r="AA1123"/>
      <c r="AB1123"/>
    </row>
    <row r="1124" spans="27:28">
      <c r="AA1124"/>
      <c r="AB1124"/>
    </row>
    <row r="1125" spans="27:28">
      <c r="AA1125"/>
      <c r="AB1125"/>
    </row>
    <row r="1126" spans="27:28">
      <c r="AA1126"/>
      <c r="AB1126"/>
    </row>
    <row r="1127" spans="27:28">
      <c r="AA1127"/>
      <c r="AB1127"/>
    </row>
    <row r="1128" spans="27:28">
      <c r="AA1128"/>
      <c r="AB1128"/>
    </row>
    <row r="1129" spans="27:28">
      <c r="AA1129"/>
      <c r="AB1129"/>
    </row>
    <row r="1130" spans="27:28">
      <c r="AA1130"/>
      <c r="AB1130"/>
    </row>
    <row r="1131" spans="27:28">
      <c r="AA1131"/>
      <c r="AB1131"/>
    </row>
    <row r="1132" spans="27:28">
      <c r="AA1132"/>
      <c r="AB1132"/>
    </row>
    <row r="1133" spans="27:28">
      <c r="AA1133"/>
      <c r="AB1133"/>
    </row>
    <row r="1134" spans="27:28">
      <c r="AA1134"/>
      <c r="AB1134"/>
    </row>
    <row r="1135" spans="27:28">
      <c r="AA1135"/>
      <c r="AB1135"/>
    </row>
    <row r="1136" spans="27:28">
      <c r="AA1136"/>
      <c r="AB1136"/>
    </row>
    <row r="1137" spans="27:28">
      <c r="AA1137"/>
      <c r="AB1137"/>
    </row>
    <row r="1138" spans="27:28">
      <c r="AA1138"/>
      <c r="AB1138"/>
    </row>
    <row r="1139" spans="27:28">
      <c r="AA1139"/>
      <c r="AB1139"/>
    </row>
    <row r="1140" spans="27:28">
      <c r="AA1140"/>
      <c r="AB1140"/>
    </row>
    <row r="1141" spans="27:28">
      <c r="AA1141"/>
      <c r="AB1141"/>
    </row>
    <row r="1142" spans="27:28">
      <c r="AA1142"/>
      <c r="AB1142"/>
    </row>
    <row r="1143" spans="27:28">
      <c r="AA1143"/>
      <c r="AB1143"/>
    </row>
    <row r="1144" spans="27:28">
      <c r="AA1144"/>
      <c r="AB1144"/>
    </row>
    <row r="1145" spans="27:28">
      <c r="AA1145"/>
      <c r="AB1145"/>
    </row>
    <row r="1146" spans="27:28">
      <c r="AA1146"/>
      <c r="AB1146"/>
    </row>
    <row r="1147" spans="27:28">
      <c r="AA1147"/>
      <c r="AB1147"/>
    </row>
    <row r="1148" spans="27:28">
      <c r="AA1148"/>
      <c r="AB1148"/>
    </row>
    <row r="1149" spans="27:28">
      <c r="AA1149"/>
      <c r="AB1149"/>
    </row>
    <row r="1150" spans="27:28">
      <c r="AA1150"/>
      <c r="AB1150"/>
    </row>
    <row r="1151" spans="27:28">
      <c r="AA1151"/>
      <c r="AB1151"/>
    </row>
    <row r="1152" spans="27:28">
      <c r="AA1152"/>
      <c r="AB1152"/>
    </row>
    <row r="1153" spans="27:28">
      <c r="AA1153"/>
      <c r="AB1153"/>
    </row>
    <row r="1154" spans="27:28">
      <c r="AA1154"/>
      <c r="AB1154"/>
    </row>
    <row r="1155" spans="27:28">
      <c r="AA1155"/>
      <c r="AB1155"/>
    </row>
    <row r="1156" spans="27:28">
      <c r="AA1156"/>
      <c r="AB1156"/>
    </row>
    <row r="1157" spans="27:28">
      <c r="AA1157"/>
      <c r="AB1157"/>
    </row>
    <row r="1158" spans="27:28">
      <c r="AA1158"/>
      <c r="AB1158"/>
    </row>
    <row r="1159" spans="27:28">
      <c r="AA1159"/>
      <c r="AB1159"/>
    </row>
    <row r="1160" spans="27:28">
      <c r="AA1160"/>
      <c r="AB1160"/>
    </row>
    <row r="1161" spans="27:28">
      <c r="AA1161"/>
      <c r="AB1161"/>
    </row>
    <row r="1162" spans="27:28">
      <c r="AA1162"/>
      <c r="AB1162"/>
    </row>
    <row r="1163" spans="27:28">
      <c r="AA1163"/>
      <c r="AB1163"/>
    </row>
    <row r="1164" spans="27:28">
      <c r="AA1164"/>
      <c r="AB1164"/>
    </row>
    <row r="1165" spans="27:28">
      <c r="AA1165"/>
      <c r="AB1165"/>
    </row>
    <row r="1166" spans="27:28">
      <c r="AA1166"/>
      <c r="AB1166"/>
    </row>
    <row r="1167" spans="27:28">
      <c r="AA1167"/>
      <c r="AB1167"/>
    </row>
    <row r="1168" spans="27:28">
      <c r="AA1168"/>
      <c r="AB1168"/>
    </row>
    <row r="1169" spans="27:28">
      <c r="AA1169"/>
      <c r="AB1169"/>
    </row>
    <row r="1170" spans="27:28">
      <c r="AA1170"/>
      <c r="AB1170"/>
    </row>
    <row r="1171" spans="27:28">
      <c r="AA1171"/>
      <c r="AB1171"/>
    </row>
    <row r="1172" spans="27:28">
      <c r="AA1172"/>
      <c r="AB1172"/>
    </row>
    <row r="1173" spans="27:28">
      <c r="AA1173"/>
      <c r="AB1173"/>
    </row>
    <row r="1174" spans="27:28">
      <c r="AA1174"/>
      <c r="AB1174"/>
    </row>
    <row r="1175" spans="27:28">
      <c r="AA1175"/>
      <c r="AB1175"/>
    </row>
    <row r="1176" spans="27:28">
      <c r="AA1176"/>
      <c r="AB1176"/>
    </row>
    <row r="1177" spans="27:28">
      <c r="AA1177"/>
      <c r="AB1177"/>
    </row>
    <row r="1178" spans="27:28">
      <c r="AA1178"/>
      <c r="AB1178"/>
    </row>
    <row r="1179" spans="27:28">
      <c r="AA1179"/>
      <c r="AB1179"/>
    </row>
    <row r="1180" spans="27:28">
      <c r="AA1180"/>
      <c r="AB1180"/>
    </row>
    <row r="1181" spans="27:28">
      <c r="AA1181"/>
      <c r="AB1181"/>
    </row>
    <row r="1182" spans="27:28">
      <c r="AA1182"/>
      <c r="AB1182"/>
    </row>
    <row r="1183" spans="27:28">
      <c r="AA1183"/>
      <c r="AB1183"/>
    </row>
    <row r="1184" spans="27:28">
      <c r="AA1184"/>
      <c r="AB1184"/>
    </row>
    <row r="1185" spans="27:28">
      <c r="AA1185"/>
      <c r="AB1185"/>
    </row>
    <row r="1186" spans="27:28">
      <c r="AA1186"/>
      <c r="AB1186"/>
    </row>
    <row r="1187" spans="27:28">
      <c r="AA1187"/>
      <c r="AB1187"/>
    </row>
    <row r="1188" spans="27:28">
      <c r="AA1188"/>
      <c r="AB1188"/>
    </row>
    <row r="1189" spans="27:28">
      <c r="AA1189"/>
      <c r="AB1189"/>
    </row>
    <row r="1190" spans="27:28">
      <c r="AA1190"/>
      <c r="AB1190"/>
    </row>
    <row r="1191" spans="27:28">
      <c r="AA1191"/>
      <c r="AB1191"/>
    </row>
    <row r="1192" spans="27:28">
      <c r="AA1192"/>
      <c r="AB1192"/>
    </row>
    <row r="1193" spans="27:28">
      <c r="AA1193"/>
      <c r="AB1193"/>
    </row>
    <row r="1194" spans="27:28">
      <c r="AA1194"/>
      <c r="AB1194"/>
    </row>
    <row r="1195" spans="27:28">
      <c r="AA1195"/>
      <c r="AB1195"/>
    </row>
    <row r="1196" spans="27:28">
      <c r="AA1196"/>
      <c r="AB1196"/>
    </row>
    <row r="1197" spans="27:28">
      <c r="AA1197"/>
      <c r="AB1197"/>
    </row>
    <row r="1198" spans="27:28">
      <c r="AA1198"/>
      <c r="AB1198"/>
    </row>
    <row r="1199" spans="27:28">
      <c r="AA1199"/>
      <c r="AB1199"/>
    </row>
    <row r="1200" spans="27:28">
      <c r="AA1200"/>
      <c r="AB1200"/>
    </row>
    <row r="1201" spans="27:28">
      <c r="AA1201"/>
      <c r="AB1201"/>
    </row>
    <row r="1202" spans="27:28">
      <c r="AA1202"/>
      <c r="AB1202"/>
    </row>
    <row r="1203" spans="27:28">
      <c r="AA1203"/>
      <c r="AB1203"/>
    </row>
    <row r="1204" spans="27:28">
      <c r="AA1204"/>
      <c r="AB1204"/>
    </row>
    <row r="1205" spans="27:28">
      <c r="AA1205"/>
      <c r="AB1205"/>
    </row>
    <row r="1206" spans="27:28">
      <c r="AA1206"/>
      <c r="AB1206"/>
    </row>
    <row r="1207" spans="27:28">
      <c r="AA1207"/>
      <c r="AB1207"/>
    </row>
    <row r="1208" spans="27:28">
      <c r="AA1208"/>
      <c r="AB1208"/>
    </row>
    <row r="1209" spans="27:28">
      <c r="AA1209"/>
      <c r="AB1209"/>
    </row>
    <row r="1210" spans="27:28">
      <c r="AA1210"/>
      <c r="AB1210"/>
    </row>
    <row r="1211" spans="27:28">
      <c r="AA1211"/>
      <c r="AB1211"/>
    </row>
    <row r="1212" spans="27:28">
      <c r="AA1212"/>
      <c r="AB1212"/>
    </row>
    <row r="1213" spans="27:28">
      <c r="AA1213"/>
      <c r="AB1213"/>
    </row>
    <row r="1214" spans="27:28">
      <c r="AA1214"/>
      <c r="AB1214"/>
    </row>
    <row r="1215" spans="27:28">
      <c r="AA1215"/>
      <c r="AB1215"/>
    </row>
    <row r="1216" spans="27:28">
      <c r="AA1216"/>
      <c r="AB1216"/>
    </row>
    <row r="1217" spans="27:28">
      <c r="AA1217"/>
      <c r="AB1217"/>
    </row>
    <row r="1218" spans="27:28">
      <c r="AA1218"/>
      <c r="AB1218"/>
    </row>
    <row r="1219" spans="27:28">
      <c r="AA1219"/>
      <c r="AB1219"/>
    </row>
    <row r="1220" spans="27:28">
      <c r="AA1220"/>
      <c r="AB1220"/>
    </row>
    <row r="1221" spans="27:28">
      <c r="AA1221"/>
      <c r="AB1221"/>
    </row>
    <row r="1222" spans="27:28">
      <c r="AA1222"/>
      <c r="AB1222"/>
    </row>
    <row r="1223" spans="27:28">
      <c r="AA1223"/>
      <c r="AB1223"/>
    </row>
    <row r="1224" spans="27:28">
      <c r="AA1224"/>
      <c r="AB1224"/>
    </row>
    <row r="1225" spans="27:28">
      <c r="AA1225"/>
      <c r="AB1225"/>
    </row>
    <row r="1226" spans="27:28">
      <c r="AA1226"/>
      <c r="AB1226"/>
    </row>
    <row r="1227" spans="27:28">
      <c r="AA1227"/>
      <c r="AB1227"/>
    </row>
    <row r="1228" spans="27:28">
      <c r="AA1228"/>
      <c r="AB1228"/>
    </row>
    <row r="1229" spans="27:28">
      <c r="AA1229"/>
      <c r="AB1229"/>
    </row>
    <row r="1230" spans="27:28">
      <c r="AA1230"/>
      <c r="AB1230"/>
    </row>
    <row r="1231" spans="27:28">
      <c r="AA1231"/>
      <c r="AB1231"/>
    </row>
    <row r="1232" spans="27:28">
      <c r="AA1232"/>
      <c r="AB1232"/>
    </row>
    <row r="1233" spans="27:28">
      <c r="AA1233"/>
      <c r="AB1233"/>
    </row>
    <row r="1234" spans="27:28">
      <c r="AA1234"/>
      <c r="AB1234"/>
    </row>
    <row r="1235" spans="27:28">
      <c r="AA1235"/>
      <c r="AB1235"/>
    </row>
    <row r="1236" spans="27:28">
      <c r="AA1236"/>
      <c r="AB1236"/>
    </row>
    <row r="1237" spans="27:28">
      <c r="AA1237"/>
      <c r="AB1237"/>
    </row>
    <row r="1238" spans="27:28">
      <c r="AA1238"/>
      <c r="AB1238"/>
    </row>
    <row r="1239" spans="27:28">
      <c r="AA1239"/>
      <c r="AB1239"/>
    </row>
    <row r="1240" spans="27:28">
      <c r="AA1240"/>
      <c r="AB1240"/>
    </row>
    <row r="1241" spans="27:28">
      <c r="AA1241"/>
      <c r="AB1241"/>
    </row>
    <row r="1242" spans="27:28">
      <c r="AA1242"/>
      <c r="AB1242"/>
    </row>
    <row r="1243" spans="27:28">
      <c r="AA1243"/>
      <c r="AB1243"/>
    </row>
    <row r="1244" spans="27:28">
      <c r="AA1244"/>
      <c r="AB1244"/>
    </row>
    <row r="1245" spans="27:28">
      <c r="AA1245"/>
      <c r="AB1245"/>
    </row>
    <row r="1246" spans="27:28">
      <c r="AA1246"/>
      <c r="AB1246"/>
    </row>
    <row r="1247" spans="27:28">
      <c r="AA1247"/>
      <c r="AB1247"/>
    </row>
    <row r="1248" spans="27:28">
      <c r="AA1248"/>
      <c r="AB1248"/>
    </row>
    <row r="1249" spans="27:28">
      <c r="AA1249"/>
      <c r="AB1249"/>
    </row>
    <row r="1250" spans="27:28">
      <c r="AA1250"/>
      <c r="AB1250"/>
    </row>
    <row r="1251" spans="27:28">
      <c r="AA1251"/>
      <c r="AB1251"/>
    </row>
    <row r="1252" spans="27:28">
      <c r="AA1252"/>
      <c r="AB1252"/>
    </row>
    <row r="1253" spans="27:28">
      <c r="AA1253"/>
      <c r="AB1253"/>
    </row>
    <row r="1254" spans="27:28">
      <c r="AA1254"/>
      <c r="AB1254"/>
    </row>
    <row r="1255" spans="27:28">
      <c r="AA1255"/>
      <c r="AB1255"/>
    </row>
    <row r="1256" spans="27:28">
      <c r="AA1256"/>
      <c r="AB1256"/>
    </row>
    <row r="1257" spans="27:28">
      <c r="AA1257"/>
      <c r="AB1257"/>
    </row>
    <row r="1258" spans="27:28">
      <c r="AA1258"/>
      <c r="AB1258"/>
    </row>
    <row r="1259" spans="27:28">
      <c r="AA1259"/>
      <c r="AB1259"/>
    </row>
    <row r="1260" spans="27:28">
      <c r="AA1260"/>
      <c r="AB1260"/>
    </row>
    <row r="1261" spans="27:28">
      <c r="AA1261"/>
      <c r="AB1261"/>
    </row>
    <row r="1262" spans="27:28">
      <c r="AA1262"/>
      <c r="AB1262"/>
    </row>
    <row r="1263" spans="27:28">
      <c r="AA1263"/>
      <c r="AB1263"/>
    </row>
    <row r="1264" spans="27:28">
      <c r="AA1264"/>
      <c r="AB1264"/>
    </row>
    <row r="1265" spans="27:28">
      <c r="AA1265"/>
      <c r="AB1265"/>
    </row>
    <row r="1266" spans="27:28">
      <c r="AA1266"/>
      <c r="AB1266"/>
    </row>
    <row r="1267" spans="27:28">
      <c r="AA1267"/>
      <c r="AB1267"/>
    </row>
    <row r="1268" spans="27:28">
      <c r="AA1268"/>
      <c r="AB1268"/>
    </row>
    <row r="1269" spans="27:28">
      <c r="AA1269"/>
      <c r="AB1269"/>
    </row>
    <row r="1270" spans="27:28">
      <c r="AA1270"/>
      <c r="AB1270"/>
    </row>
    <row r="1271" spans="27:28">
      <c r="AA1271"/>
      <c r="AB1271"/>
    </row>
    <row r="1272" spans="27:28">
      <c r="AA1272"/>
      <c r="AB1272"/>
    </row>
    <row r="1273" spans="27:28">
      <c r="AA1273"/>
      <c r="AB1273"/>
    </row>
    <row r="1274" spans="27:28">
      <c r="AA1274"/>
      <c r="AB1274"/>
    </row>
    <row r="1275" spans="27:28">
      <c r="AA1275"/>
      <c r="AB1275"/>
    </row>
    <row r="1276" spans="27:28">
      <c r="AA1276"/>
      <c r="AB1276"/>
    </row>
    <row r="1277" spans="27:28">
      <c r="AA1277"/>
      <c r="AB1277"/>
    </row>
    <row r="1278" spans="27:28">
      <c r="AA1278"/>
      <c r="AB1278"/>
    </row>
    <row r="1279" spans="27:28">
      <c r="AA1279"/>
      <c r="AB1279"/>
    </row>
    <row r="1280" spans="27:28">
      <c r="AA1280"/>
      <c r="AB1280"/>
    </row>
    <row r="1281" spans="27:28">
      <c r="AA1281"/>
      <c r="AB1281"/>
    </row>
    <row r="1282" spans="27:28">
      <c r="AA1282"/>
      <c r="AB1282"/>
    </row>
    <row r="1283" spans="27:28">
      <c r="AA1283"/>
      <c r="AB1283"/>
    </row>
    <row r="1284" spans="27:28">
      <c r="AA1284"/>
      <c r="AB1284"/>
    </row>
    <row r="1285" spans="27:28">
      <c r="AA1285"/>
      <c r="AB1285"/>
    </row>
    <row r="1286" spans="27:28">
      <c r="AA1286"/>
      <c r="AB1286"/>
    </row>
    <row r="1287" spans="27:28">
      <c r="AA1287"/>
      <c r="AB1287"/>
    </row>
    <row r="1288" spans="27:28">
      <c r="AA1288"/>
      <c r="AB1288"/>
    </row>
    <row r="1289" spans="27:28">
      <c r="AA1289"/>
      <c r="AB1289"/>
    </row>
    <row r="1290" spans="27:28">
      <c r="AA1290"/>
      <c r="AB1290"/>
    </row>
    <row r="1291" spans="27:28">
      <c r="AA1291"/>
      <c r="AB1291"/>
    </row>
    <row r="1292" spans="27:28">
      <c r="AA1292"/>
      <c r="AB1292"/>
    </row>
    <row r="1293" spans="27:28">
      <c r="AA1293"/>
      <c r="AB1293"/>
    </row>
    <row r="1294" spans="27:28">
      <c r="AA1294"/>
      <c r="AB1294"/>
    </row>
    <row r="1295" spans="27:28">
      <c r="AA1295"/>
      <c r="AB1295"/>
    </row>
    <row r="1296" spans="27:28">
      <c r="AA1296"/>
      <c r="AB1296"/>
    </row>
    <row r="1297" spans="27:28">
      <c r="AA1297"/>
      <c r="AB1297"/>
    </row>
    <row r="1298" spans="27:28">
      <c r="AA1298"/>
      <c r="AB1298"/>
    </row>
    <row r="1299" spans="27:28">
      <c r="AA1299"/>
      <c r="AB1299"/>
    </row>
    <row r="1300" spans="27:28">
      <c r="AA1300"/>
      <c r="AB1300"/>
    </row>
    <row r="1301" spans="27:28">
      <c r="AA1301"/>
      <c r="AB1301"/>
    </row>
    <row r="1302" spans="27:28">
      <c r="AA1302"/>
      <c r="AB1302"/>
    </row>
    <row r="1303" spans="27:28">
      <c r="AA1303"/>
      <c r="AB1303"/>
    </row>
    <row r="1304" spans="27:28">
      <c r="AA1304"/>
      <c r="AB1304"/>
    </row>
    <row r="1305" spans="27:28">
      <c r="AA1305"/>
      <c r="AB1305"/>
    </row>
    <row r="1306" spans="27:28">
      <c r="AA1306"/>
      <c r="AB1306"/>
    </row>
    <row r="1307" spans="27:28">
      <c r="AA1307"/>
      <c r="AB1307"/>
    </row>
    <row r="1308" spans="27:28">
      <c r="AA1308"/>
      <c r="AB1308"/>
    </row>
    <row r="1309" spans="27:28">
      <c r="AA1309"/>
      <c r="AB1309"/>
    </row>
    <row r="1310" spans="27:28">
      <c r="AA1310"/>
      <c r="AB1310"/>
    </row>
    <row r="1311" spans="27:28">
      <c r="AA1311"/>
      <c r="AB1311"/>
    </row>
    <row r="1312" spans="27:28">
      <c r="AA1312"/>
      <c r="AB1312"/>
    </row>
    <row r="1313" spans="27:28">
      <c r="AA1313"/>
      <c r="AB1313"/>
    </row>
    <row r="1314" spans="27:28">
      <c r="AA1314"/>
      <c r="AB1314"/>
    </row>
    <row r="1315" spans="27:28">
      <c r="AA1315"/>
      <c r="AB1315"/>
    </row>
    <row r="1316" spans="27:28">
      <c r="AA1316"/>
      <c r="AB1316"/>
    </row>
    <row r="1317" spans="27:28">
      <c r="AA1317"/>
      <c r="AB1317"/>
    </row>
    <row r="1318" spans="27:28">
      <c r="AA1318"/>
      <c r="AB1318"/>
    </row>
    <row r="1319" spans="27:28">
      <c r="AA1319"/>
      <c r="AB1319"/>
    </row>
    <row r="1320" spans="27:28">
      <c r="AA1320"/>
      <c r="AB1320"/>
    </row>
    <row r="1321" spans="27:28">
      <c r="AA1321"/>
      <c r="AB1321"/>
    </row>
    <row r="1322" spans="27:28">
      <c r="AA1322"/>
      <c r="AB1322"/>
    </row>
    <row r="1323" spans="27:28">
      <c r="AA1323"/>
      <c r="AB1323"/>
    </row>
    <row r="1324" spans="27:28">
      <c r="AA1324"/>
      <c r="AB1324"/>
    </row>
    <row r="1325" spans="27:28">
      <c r="AA1325"/>
      <c r="AB1325"/>
    </row>
    <row r="1326" spans="27:28">
      <c r="AA1326"/>
      <c r="AB1326"/>
    </row>
    <row r="1327" spans="27:28">
      <c r="AA1327"/>
      <c r="AB1327"/>
    </row>
    <row r="1328" spans="27:28">
      <c r="AA1328"/>
      <c r="AB1328"/>
    </row>
    <row r="1329" spans="27:28">
      <c r="AA1329"/>
      <c r="AB1329"/>
    </row>
    <row r="1330" spans="27:28">
      <c r="AA1330"/>
      <c r="AB1330"/>
    </row>
    <row r="1331" spans="27:28">
      <c r="AA1331"/>
      <c r="AB1331"/>
    </row>
    <row r="1332" spans="27:28">
      <c r="AA1332"/>
      <c r="AB1332"/>
    </row>
    <row r="1333" spans="27:28">
      <c r="AA1333"/>
      <c r="AB1333"/>
    </row>
    <row r="1334" spans="27:28">
      <c r="AA1334"/>
      <c r="AB1334"/>
    </row>
    <row r="1335" spans="27:28">
      <c r="AA1335"/>
      <c r="AB1335"/>
    </row>
    <row r="1336" spans="27:28">
      <c r="AA1336"/>
      <c r="AB1336"/>
    </row>
    <row r="1337" spans="27:28">
      <c r="AA1337"/>
      <c r="AB1337"/>
    </row>
    <row r="1338" spans="27:28">
      <c r="AA1338"/>
      <c r="AB1338"/>
    </row>
    <row r="1339" spans="27:28">
      <c r="AA1339"/>
      <c r="AB1339"/>
    </row>
    <row r="1340" spans="27:28">
      <c r="AA1340"/>
      <c r="AB1340"/>
    </row>
    <row r="1341" spans="27:28">
      <c r="AA1341"/>
      <c r="AB1341"/>
    </row>
    <row r="1342" spans="27:28">
      <c r="AA1342"/>
      <c r="AB1342"/>
    </row>
    <row r="1343" spans="27:28">
      <c r="AA1343"/>
      <c r="AB1343"/>
    </row>
    <row r="1344" spans="27:28">
      <c r="AA1344"/>
      <c r="AB1344"/>
    </row>
    <row r="1345" spans="27:28">
      <c r="AA1345"/>
      <c r="AB1345"/>
    </row>
    <row r="1346" spans="27:28">
      <c r="AA1346"/>
      <c r="AB1346"/>
    </row>
    <row r="1347" spans="27:28">
      <c r="AA1347"/>
      <c r="AB1347"/>
    </row>
    <row r="1348" spans="27:28">
      <c r="AA1348"/>
      <c r="AB1348"/>
    </row>
    <row r="1349" spans="27:28">
      <c r="AA1349"/>
      <c r="AB1349"/>
    </row>
    <row r="1350" spans="27:28">
      <c r="AA1350"/>
      <c r="AB1350"/>
    </row>
    <row r="1351" spans="27:28">
      <c r="AA1351"/>
      <c r="AB1351"/>
    </row>
    <row r="1352" spans="27:28">
      <c r="AA1352"/>
      <c r="AB1352"/>
    </row>
    <row r="1353" spans="27:28">
      <c r="AA1353"/>
      <c r="AB1353"/>
    </row>
    <row r="1354" spans="27:28">
      <c r="AA1354"/>
      <c r="AB1354"/>
    </row>
    <row r="1355" spans="27:28">
      <c r="AA1355"/>
      <c r="AB1355"/>
    </row>
    <row r="1356" spans="27:28">
      <c r="AA1356"/>
      <c r="AB1356"/>
    </row>
    <row r="1357" spans="27:28">
      <c r="AA1357"/>
      <c r="AB1357"/>
    </row>
    <row r="1358" spans="27:28">
      <c r="AA1358"/>
      <c r="AB1358"/>
    </row>
    <row r="1359" spans="27:28">
      <c r="AA1359"/>
      <c r="AB1359"/>
    </row>
    <row r="1360" spans="27:28">
      <c r="AA1360"/>
      <c r="AB1360"/>
    </row>
    <row r="1361" spans="27:28">
      <c r="AA1361"/>
      <c r="AB1361"/>
    </row>
    <row r="1362" spans="27:28">
      <c r="AA1362"/>
      <c r="AB1362"/>
    </row>
    <row r="1363" spans="27:28">
      <c r="AA1363"/>
      <c r="AB1363"/>
    </row>
    <row r="1364" spans="27:28">
      <c r="AA1364"/>
      <c r="AB1364"/>
    </row>
    <row r="1365" spans="27:28">
      <c r="AA1365"/>
      <c r="AB1365"/>
    </row>
    <row r="1366" spans="27:28">
      <c r="AA1366"/>
      <c r="AB1366"/>
    </row>
    <row r="1367" spans="27:28">
      <c r="AA1367"/>
      <c r="AB1367"/>
    </row>
    <row r="1368" spans="27:28">
      <c r="AA1368"/>
      <c r="AB1368"/>
    </row>
    <row r="1369" spans="27:28">
      <c r="AA1369"/>
      <c r="AB1369"/>
    </row>
    <row r="1370" spans="27:28">
      <c r="AA1370"/>
      <c r="AB1370"/>
    </row>
    <row r="1371" spans="27:28">
      <c r="AA1371"/>
      <c r="AB1371"/>
    </row>
    <row r="1372" spans="27:28">
      <c r="AA1372"/>
      <c r="AB1372"/>
    </row>
    <row r="1373" spans="27:28">
      <c r="AA1373"/>
      <c r="AB1373"/>
    </row>
    <row r="1374" spans="27:28">
      <c r="AA1374"/>
      <c r="AB1374"/>
    </row>
    <row r="1375" spans="27:28">
      <c r="AA1375"/>
      <c r="AB1375"/>
    </row>
    <row r="1376" spans="27:28">
      <c r="AA1376"/>
      <c r="AB1376"/>
    </row>
    <row r="1377" spans="27:28">
      <c r="AA1377"/>
      <c r="AB1377"/>
    </row>
    <row r="1378" spans="27:28">
      <c r="AA1378"/>
      <c r="AB1378"/>
    </row>
    <row r="1379" spans="27:28">
      <c r="AA1379"/>
      <c r="AB1379"/>
    </row>
    <row r="1380" spans="27:28">
      <c r="AA1380"/>
      <c r="AB1380"/>
    </row>
    <row r="1381" spans="27:28">
      <c r="AA1381"/>
      <c r="AB1381"/>
    </row>
    <row r="1382" spans="27:28">
      <c r="AA1382"/>
      <c r="AB1382"/>
    </row>
    <row r="1383" spans="27:28">
      <c r="AA1383"/>
      <c r="AB1383"/>
    </row>
    <row r="1384" spans="27:28">
      <c r="AA1384"/>
      <c r="AB1384"/>
    </row>
    <row r="1385" spans="27:28">
      <c r="AA1385"/>
      <c r="AB1385"/>
    </row>
    <row r="1386" spans="27:28">
      <c r="AA1386"/>
      <c r="AB1386"/>
    </row>
    <row r="1387" spans="27:28">
      <c r="AA1387"/>
      <c r="AB1387"/>
    </row>
    <row r="1388" spans="27:28">
      <c r="AA1388"/>
      <c r="AB1388"/>
    </row>
    <row r="1389" spans="27:28">
      <c r="AA1389"/>
      <c r="AB1389"/>
    </row>
    <row r="1390" spans="27:28">
      <c r="AA1390"/>
      <c r="AB1390"/>
    </row>
    <row r="1391" spans="27:28">
      <c r="AA1391"/>
      <c r="AB1391"/>
    </row>
    <row r="1392" spans="27:28">
      <c r="AA1392"/>
      <c r="AB1392"/>
    </row>
    <row r="1393" spans="27:28">
      <c r="AA1393"/>
      <c r="AB1393"/>
    </row>
    <row r="1394" spans="27:28">
      <c r="AA1394"/>
      <c r="AB1394"/>
    </row>
    <row r="1395" spans="27:28">
      <c r="AA1395"/>
      <c r="AB1395"/>
    </row>
    <row r="1396" spans="27:28">
      <c r="AA1396"/>
      <c r="AB1396"/>
    </row>
    <row r="1397" spans="27:28">
      <c r="AA1397"/>
      <c r="AB1397"/>
    </row>
    <row r="1398" spans="27:28">
      <c r="AA1398"/>
      <c r="AB1398"/>
    </row>
    <row r="1399" spans="27:28">
      <c r="AA1399"/>
      <c r="AB1399"/>
    </row>
    <row r="1400" spans="27:28">
      <c r="AA1400"/>
      <c r="AB1400"/>
    </row>
    <row r="1401" spans="27:28">
      <c r="AA1401"/>
      <c r="AB1401"/>
    </row>
    <row r="1402" spans="27:28">
      <c r="AA1402"/>
      <c r="AB1402"/>
    </row>
    <row r="1403" spans="27:28">
      <c r="AA1403"/>
      <c r="AB1403"/>
    </row>
    <row r="1404" spans="27:28">
      <c r="AA1404"/>
      <c r="AB1404"/>
    </row>
    <row r="1405" spans="27:28">
      <c r="AA1405"/>
      <c r="AB1405"/>
    </row>
    <row r="1406" spans="27:28">
      <c r="AA1406"/>
      <c r="AB1406"/>
    </row>
    <row r="1407" spans="27:28">
      <c r="AA1407"/>
      <c r="AB1407"/>
    </row>
    <row r="1408" spans="27:28">
      <c r="AA1408"/>
      <c r="AB1408"/>
    </row>
    <row r="1409" spans="27:28">
      <c r="AA1409"/>
      <c r="AB1409"/>
    </row>
    <row r="1410" spans="27:28">
      <c r="AA1410"/>
      <c r="AB1410"/>
    </row>
    <row r="1411" spans="27:28">
      <c r="AA1411"/>
      <c r="AB1411"/>
    </row>
    <row r="1412" spans="27:28">
      <c r="AA1412"/>
      <c r="AB1412"/>
    </row>
    <row r="1413" spans="27:28">
      <c r="AA1413"/>
      <c r="AB1413"/>
    </row>
    <row r="1414" spans="27:28">
      <c r="AA1414"/>
      <c r="AB1414"/>
    </row>
    <row r="1415" spans="27:28">
      <c r="AA1415"/>
      <c r="AB1415"/>
    </row>
    <row r="1416" spans="27:28">
      <c r="AA1416"/>
      <c r="AB1416"/>
    </row>
    <row r="1417" spans="27:28">
      <c r="AA1417"/>
      <c r="AB1417"/>
    </row>
    <row r="1418" spans="27:28">
      <c r="AA1418"/>
      <c r="AB1418"/>
    </row>
    <row r="1419" spans="27:28">
      <c r="AA1419"/>
      <c r="AB1419"/>
    </row>
    <row r="1420" spans="27:28">
      <c r="AA1420"/>
      <c r="AB1420"/>
    </row>
    <row r="1421" spans="27:28">
      <c r="AA1421"/>
      <c r="AB1421"/>
    </row>
    <row r="1422" spans="27:28">
      <c r="AA1422"/>
      <c r="AB1422"/>
    </row>
    <row r="1423" spans="27:28">
      <c r="AA1423"/>
      <c r="AB1423"/>
    </row>
    <row r="1424" spans="27:28">
      <c r="AA1424"/>
      <c r="AB1424"/>
    </row>
    <row r="1425" spans="27:28">
      <c r="AA1425"/>
      <c r="AB1425"/>
    </row>
    <row r="1426" spans="27:28">
      <c r="AA1426"/>
      <c r="AB1426"/>
    </row>
    <row r="1427" spans="27:28">
      <c r="AA1427"/>
      <c r="AB1427"/>
    </row>
    <row r="1428" spans="27:28">
      <c r="AA1428"/>
      <c r="AB1428"/>
    </row>
    <row r="1429" spans="27:28">
      <c r="AA1429"/>
      <c r="AB1429"/>
    </row>
    <row r="1430" spans="27:28">
      <c r="AA1430"/>
      <c r="AB1430"/>
    </row>
    <row r="1431" spans="27:28">
      <c r="AA1431"/>
      <c r="AB1431"/>
    </row>
    <row r="1432" spans="27:28">
      <c r="AA1432"/>
      <c r="AB1432"/>
    </row>
    <row r="1433" spans="27:28">
      <c r="AA1433"/>
      <c r="AB1433"/>
    </row>
    <row r="1434" spans="27:28">
      <c r="AA1434"/>
      <c r="AB1434"/>
    </row>
    <row r="1435" spans="27:28">
      <c r="AA1435"/>
      <c r="AB1435"/>
    </row>
    <row r="1436" spans="27:28">
      <c r="AA1436"/>
      <c r="AB1436"/>
    </row>
    <row r="1437" spans="27:28">
      <c r="AA1437"/>
      <c r="AB1437"/>
    </row>
    <row r="1438" spans="27:28">
      <c r="AA1438"/>
      <c r="AB1438"/>
    </row>
    <row r="1439" spans="27:28">
      <c r="AA1439"/>
      <c r="AB1439"/>
    </row>
    <row r="1440" spans="27:28">
      <c r="AA1440"/>
      <c r="AB1440"/>
    </row>
    <row r="1441" spans="27:28">
      <c r="AA1441"/>
      <c r="AB1441"/>
    </row>
    <row r="1442" spans="27:28">
      <c r="AA1442"/>
      <c r="AB1442"/>
    </row>
    <row r="1443" spans="27:28">
      <c r="AA1443"/>
      <c r="AB1443"/>
    </row>
    <row r="1444" spans="27:28">
      <c r="AA1444"/>
      <c r="AB1444"/>
    </row>
    <row r="1445" spans="27:28">
      <c r="AA1445"/>
      <c r="AB1445"/>
    </row>
    <row r="1446" spans="27:28">
      <c r="AA1446"/>
      <c r="AB1446"/>
    </row>
    <row r="1447" spans="27:28">
      <c r="AA1447"/>
      <c r="AB1447"/>
    </row>
    <row r="1448" spans="27:28">
      <c r="AA1448"/>
      <c r="AB1448"/>
    </row>
    <row r="1449" spans="27:28">
      <c r="AA1449"/>
      <c r="AB1449"/>
    </row>
    <row r="1450" spans="27:28">
      <c r="AA1450"/>
      <c r="AB1450"/>
    </row>
    <row r="1451" spans="27:28">
      <c r="AA1451"/>
      <c r="AB1451"/>
    </row>
    <row r="1452" spans="27:28">
      <c r="AA1452"/>
      <c r="AB1452"/>
    </row>
    <row r="1453" spans="27:28">
      <c r="AA1453"/>
      <c r="AB1453"/>
    </row>
    <row r="1454" spans="27:28">
      <c r="AA1454"/>
      <c r="AB1454"/>
    </row>
    <row r="1455" spans="27:28">
      <c r="AA1455"/>
      <c r="AB1455"/>
    </row>
    <row r="1456" spans="27:28">
      <c r="AA1456"/>
      <c r="AB1456"/>
    </row>
    <row r="1457" spans="27:28">
      <c r="AA1457"/>
      <c r="AB1457"/>
    </row>
    <row r="1458" spans="27:28">
      <c r="AA1458"/>
      <c r="AB1458"/>
    </row>
    <row r="1459" spans="27:28">
      <c r="AA1459"/>
      <c r="AB1459"/>
    </row>
    <row r="1460" spans="27:28">
      <c r="AA1460"/>
      <c r="AB1460"/>
    </row>
    <row r="1461" spans="27:28">
      <c r="AA1461"/>
      <c r="AB1461"/>
    </row>
    <row r="1462" spans="27:28">
      <c r="AA1462"/>
      <c r="AB1462"/>
    </row>
    <row r="1463" spans="27:28">
      <c r="AA1463"/>
      <c r="AB1463"/>
    </row>
    <row r="1464" spans="27:28">
      <c r="AA1464"/>
      <c r="AB1464"/>
    </row>
    <row r="1465" spans="27:28">
      <c r="AA1465"/>
      <c r="AB1465"/>
    </row>
    <row r="1466" spans="27:28">
      <c r="AA1466"/>
      <c r="AB1466"/>
    </row>
    <row r="1467" spans="27:28">
      <c r="AA1467"/>
      <c r="AB1467"/>
    </row>
    <row r="1468" spans="27:28">
      <c r="AA1468"/>
      <c r="AB1468"/>
    </row>
    <row r="1469" spans="27:28">
      <c r="AA1469"/>
      <c r="AB1469"/>
    </row>
    <row r="1470" spans="27:28">
      <c r="AA1470"/>
      <c r="AB1470"/>
    </row>
    <row r="1471" spans="27:28">
      <c r="AA1471"/>
      <c r="AB1471"/>
    </row>
    <row r="1472" spans="27:28">
      <c r="AA1472"/>
      <c r="AB1472"/>
    </row>
    <row r="1473" spans="27:28">
      <c r="AA1473"/>
      <c r="AB1473"/>
    </row>
    <row r="1474" spans="27:28">
      <c r="AA1474"/>
      <c r="AB1474"/>
    </row>
    <row r="1475" spans="27:28">
      <c r="AA1475"/>
      <c r="AB1475"/>
    </row>
    <row r="1476" spans="27:28">
      <c r="AA1476"/>
      <c r="AB1476"/>
    </row>
    <row r="1477" spans="27:28">
      <c r="AA1477"/>
      <c r="AB1477"/>
    </row>
    <row r="1478" spans="27:28">
      <c r="AA1478"/>
      <c r="AB1478"/>
    </row>
    <row r="1479" spans="27:28">
      <c r="AA1479"/>
      <c r="AB1479"/>
    </row>
    <row r="1480" spans="27:28">
      <c r="AA1480"/>
      <c r="AB1480"/>
    </row>
    <row r="1481" spans="27:28">
      <c r="AA1481"/>
      <c r="AB1481"/>
    </row>
    <row r="1482" spans="27:28">
      <c r="AA1482"/>
      <c r="AB1482"/>
    </row>
    <row r="1483" spans="27:28">
      <c r="AA1483"/>
      <c r="AB1483"/>
    </row>
    <row r="1484" spans="27:28">
      <c r="AA1484"/>
      <c r="AB1484"/>
    </row>
    <row r="1485" spans="27:28">
      <c r="AA1485"/>
      <c r="AB1485"/>
    </row>
    <row r="1486" spans="27:28">
      <c r="AA1486"/>
      <c r="AB1486"/>
    </row>
    <row r="1487" spans="27:28">
      <c r="AA1487"/>
      <c r="AB1487"/>
    </row>
    <row r="1488" spans="27:28">
      <c r="AA1488"/>
      <c r="AB1488"/>
    </row>
    <row r="1489" spans="27:28">
      <c r="AA1489"/>
      <c r="AB1489"/>
    </row>
    <row r="1490" spans="27:28">
      <c r="AA1490"/>
      <c r="AB1490"/>
    </row>
    <row r="1491" spans="27:28">
      <c r="AA1491"/>
      <c r="AB1491"/>
    </row>
    <row r="1492" spans="27:28">
      <c r="AA1492"/>
      <c r="AB1492"/>
    </row>
    <row r="1493" spans="27:28">
      <c r="AA1493"/>
      <c r="AB1493"/>
    </row>
    <row r="1494" spans="27:28">
      <c r="AA1494"/>
      <c r="AB1494"/>
    </row>
    <row r="1495" spans="27:28">
      <c r="AA1495"/>
      <c r="AB1495"/>
    </row>
    <row r="1496" spans="27:28">
      <c r="AA1496"/>
      <c r="AB1496"/>
    </row>
    <row r="1497" spans="27:28">
      <c r="AA1497"/>
      <c r="AB1497"/>
    </row>
    <row r="1498" spans="27:28">
      <c r="AA1498"/>
      <c r="AB1498"/>
    </row>
    <row r="1499" spans="27:28">
      <c r="AA1499"/>
      <c r="AB1499"/>
    </row>
    <row r="1500" spans="27:28">
      <c r="AA1500"/>
      <c r="AB1500"/>
    </row>
    <row r="1501" spans="27:28">
      <c r="AA1501"/>
      <c r="AB1501"/>
    </row>
    <row r="1502" spans="27:28">
      <c r="AA1502"/>
      <c r="AB1502"/>
    </row>
    <row r="1503" spans="27:28">
      <c r="AA1503"/>
      <c r="AB1503"/>
    </row>
    <row r="1504" spans="27:28">
      <c r="AA1504"/>
      <c r="AB1504"/>
    </row>
    <row r="1505" spans="27:28">
      <c r="AA1505"/>
      <c r="AB1505"/>
    </row>
    <row r="1506" spans="27:28">
      <c r="AA1506"/>
      <c r="AB1506"/>
    </row>
    <row r="1507" spans="27:28">
      <c r="AA1507"/>
      <c r="AB1507"/>
    </row>
    <row r="1508" spans="27:28">
      <c r="AA1508"/>
      <c r="AB1508"/>
    </row>
    <row r="1509" spans="27:28">
      <c r="AA1509"/>
      <c r="AB1509"/>
    </row>
    <row r="1510" spans="27:28">
      <c r="AA1510"/>
      <c r="AB1510"/>
    </row>
    <row r="1511" spans="27:28">
      <c r="AA1511"/>
      <c r="AB1511"/>
    </row>
    <row r="1512" spans="27:28">
      <c r="AA1512"/>
      <c r="AB1512"/>
    </row>
    <row r="1513" spans="27:28">
      <c r="AA1513"/>
      <c r="AB1513"/>
    </row>
    <row r="1514" spans="27:28">
      <c r="AA1514"/>
      <c r="AB1514"/>
    </row>
    <row r="1515" spans="27:28">
      <c r="AA1515"/>
      <c r="AB1515"/>
    </row>
    <row r="1516" spans="27:28">
      <c r="AA1516"/>
      <c r="AB1516"/>
    </row>
    <row r="1517" spans="27:28">
      <c r="AA1517"/>
      <c r="AB1517"/>
    </row>
    <row r="1518" spans="27:28">
      <c r="AA1518"/>
      <c r="AB1518"/>
    </row>
    <row r="1519" spans="27:28">
      <c r="AA1519"/>
      <c r="AB1519"/>
    </row>
    <row r="1520" spans="27:28">
      <c r="AA1520"/>
      <c r="AB1520"/>
    </row>
    <row r="1521" spans="27:28">
      <c r="AA1521"/>
      <c r="AB1521"/>
    </row>
    <row r="1522" spans="27:28">
      <c r="AA1522"/>
      <c r="AB1522"/>
    </row>
    <row r="1523" spans="27:28">
      <c r="AA1523"/>
      <c r="AB1523"/>
    </row>
    <row r="1524" spans="27:28">
      <c r="AA1524"/>
      <c r="AB1524"/>
    </row>
    <row r="1525" spans="27:28">
      <c r="AA1525"/>
      <c r="AB1525"/>
    </row>
    <row r="1526" spans="27:28">
      <c r="AA1526"/>
      <c r="AB1526"/>
    </row>
    <row r="1527" spans="27:28">
      <c r="AA1527"/>
      <c r="AB1527"/>
    </row>
    <row r="1528" spans="27:28">
      <c r="AA1528"/>
      <c r="AB1528"/>
    </row>
    <row r="1529" spans="27:28">
      <c r="AA1529"/>
      <c r="AB1529"/>
    </row>
    <row r="1530" spans="27:28">
      <c r="AA1530"/>
      <c r="AB1530"/>
    </row>
    <row r="1531" spans="27:28">
      <c r="AA1531"/>
      <c r="AB1531"/>
    </row>
    <row r="1532" spans="27:28">
      <c r="AA1532"/>
      <c r="AB1532"/>
    </row>
    <row r="1533" spans="27:28">
      <c r="AA1533"/>
      <c r="AB1533"/>
    </row>
    <row r="1534" spans="27:28">
      <c r="AA1534"/>
      <c r="AB1534"/>
    </row>
    <row r="1535" spans="27:28">
      <c r="AA1535"/>
      <c r="AB1535"/>
    </row>
    <row r="1536" spans="27:28">
      <c r="AA1536"/>
      <c r="AB1536"/>
    </row>
    <row r="1537" spans="27:28">
      <c r="AA1537"/>
      <c r="AB1537"/>
    </row>
    <row r="1538" spans="27:28">
      <c r="AA1538"/>
      <c r="AB1538"/>
    </row>
    <row r="1539" spans="27:28">
      <c r="AA1539"/>
      <c r="AB1539"/>
    </row>
    <row r="1540" spans="27:28">
      <c r="AA1540"/>
      <c r="AB1540"/>
    </row>
    <row r="1541" spans="27:28">
      <c r="AA1541"/>
      <c r="AB1541"/>
    </row>
    <row r="1542" spans="27:28">
      <c r="AA1542"/>
      <c r="AB1542"/>
    </row>
    <row r="1543" spans="27:28">
      <c r="AA1543"/>
      <c r="AB1543"/>
    </row>
    <row r="1544" spans="27:28">
      <c r="AA1544"/>
      <c r="AB1544"/>
    </row>
    <row r="1545" spans="27:28">
      <c r="AA1545"/>
      <c r="AB1545"/>
    </row>
    <row r="1546" spans="27:28">
      <c r="AA1546"/>
      <c r="AB1546"/>
    </row>
    <row r="1547" spans="27:28">
      <c r="AA1547"/>
      <c r="AB1547"/>
    </row>
    <row r="1548" spans="27:28">
      <c r="AA1548"/>
      <c r="AB1548"/>
    </row>
    <row r="1549" spans="27:28">
      <c r="AA1549"/>
      <c r="AB1549"/>
    </row>
    <row r="1550" spans="27:28">
      <c r="AA1550"/>
      <c r="AB1550"/>
    </row>
    <row r="1551" spans="27:28">
      <c r="AA1551"/>
      <c r="AB1551"/>
    </row>
    <row r="1552" spans="27:28">
      <c r="AA1552"/>
      <c r="AB1552"/>
    </row>
    <row r="1553" spans="27:28">
      <c r="AA1553"/>
      <c r="AB1553"/>
    </row>
    <row r="1554" spans="27:28">
      <c r="AA1554"/>
      <c r="AB1554"/>
    </row>
    <row r="1555" spans="27:28">
      <c r="AA1555"/>
      <c r="AB1555"/>
    </row>
    <row r="1556" spans="27:28">
      <c r="AA1556"/>
      <c r="AB1556"/>
    </row>
    <row r="1557" spans="27:28">
      <c r="AA1557"/>
      <c r="AB1557"/>
    </row>
    <row r="1558" spans="27:28">
      <c r="AA1558"/>
      <c r="AB1558"/>
    </row>
    <row r="1559" spans="27:28">
      <c r="AA1559"/>
      <c r="AB1559"/>
    </row>
    <row r="1560" spans="27:28">
      <c r="AA1560"/>
      <c r="AB1560"/>
    </row>
    <row r="1561" spans="27:28">
      <c r="AA1561"/>
      <c r="AB1561"/>
    </row>
    <row r="1562" spans="27:28">
      <c r="AA1562"/>
      <c r="AB1562"/>
    </row>
    <row r="1563" spans="27:28">
      <c r="AA1563"/>
      <c r="AB1563"/>
    </row>
    <row r="1564" spans="27:28">
      <c r="AA1564"/>
      <c r="AB1564"/>
    </row>
    <row r="1565" spans="27:28">
      <c r="AA1565"/>
      <c r="AB1565"/>
    </row>
    <row r="1566" spans="27:28">
      <c r="AA1566"/>
      <c r="AB1566"/>
    </row>
    <row r="1567" spans="27:28">
      <c r="AA1567"/>
      <c r="AB1567"/>
    </row>
    <row r="1568" spans="27:28">
      <c r="AA1568"/>
      <c r="AB1568"/>
    </row>
    <row r="1569" spans="27:28">
      <c r="AA1569"/>
      <c r="AB1569"/>
    </row>
    <row r="1570" spans="27:28">
      <c r="AA1570"/>
      <c r="AB1570"/>
    </row>
    <row r="1571" spans="27:28">
      <c r="AA1571"/>
      <c r="AB1571"/>
    </row>
    <row r="1572" spans="27:28">
      <c r="AA1572"/>
      <c r="AB1572"/>
    </row>
    <row r="1573" spans="27:28">
      <c r="AA1573"/>
      <c r="AB1573"/>
    </row>
    <row r="1574" spans="27:28">
      <c r="AA1574"/>
      <c r="AB1574"/>
    </row>
    <row r="1575" spans="27:28">
      <c r="AA1575"/>
      <c r="AB1575"/>
    </row>
    <row r="1576" spans="27:28">
      <c r="AA1576"/>
      <c r="AB1576"/>
    </row>
    <row r="1577" spans="27:28">
      <c r="AA1577"/>
      <c r="AB1577"/>
    </row>
    <row r="1578" spans="27:28">
      <c r="AA1578"/>
      <c r="AB1578"/>
    </row>
    <row r="1579" spans="27:28">
      <c r="AA1579"/>
      <c r="AB1579"/>
    </row>
    <row r="1580" spans="27:28">
      <c r="AA1580"/>
      <c r="AB1580"/>
    </row>
    <row r="1581" spans="27:28">
      <c r="AA1581"/>
      <c r="AB1581"/>
    </row>
    <row r="1582" spans="27:28">
      <c r="AA1582"/>
      <c r="AB1582"/>
    </row>
    <row r="1583" spans="27:28">
      <c r="AA1583"/>
      <c r="AB1583"/>
    </row>
    <row r="1584" spans="27:28">
      <c r="AA1584"/>
      <c r="AB1584"/>
    </row>
    <row r="1585" spans="27:28">
      <c r="AA1585"/>
      <c r="AB1585"/>
    </row>
    <row r="1586" spans="27:28">
      <c r="AA1586"/>
      <c r="AB1586"/>
    </row>
    <row r="1587" spans="27:28">
      <c r="AA1587"/>
      <c r="AB1587"/>
    </row>
    <row r="1588" spans="27:28">
      <c r="AA1588"/>
      <c r="AB1588"/>
    </row>
    <row r="1589" spans="27:28">
      <c r="AA1589"/>
      <c r="AB1589"/>
    </row>
    <row r="1590" spans="27:28">
      <c r="AA1590"/>
      <c r="AB1590"/>
    </row>
    <row r="1591" spans="27:28">
      <c r="AA1591"/>
      <c r="AB1591"/>
    </row>
    <row r="1592" spans="27:28">
      <c r="AA1592"/>
      <c r="AB1592"/>
    </row>
    <row r="1593" spans="27:28">
      <c r="AA1593"/>
      <c r="AB1593"/>
    </row>
    <row r="1594" spans="27:28">
      <c r="AA1594"/>
      <c r="AB1594"/>
    </row>
    <row r="1595" spans="27:28">
      <c r="AA1595"/>
      <c r="AB1595"/>
    </row>
    <row r="1596" spans="27:28">
      <c r="AA1596"/>
      <c r="AB1596"/>
    </row>
    <row r="1597" spans="27:28">
      <c r="AA1597"/>
      <c r="AB1597"/>
    </row>
    <row r="1598" spans="27:28">
      <c r="AA1598"/>
      <c r="AB1598"/>
    </row>
    <row r="1599" spans="27:28">
      <c r="AA1599"/>
      <c r="AB1599"/>
    </row>
    <row r="1600" spans="27:28">
      <c r="AA1600"/>
      <c r="AB1600"/>
    </row>
    <row r="1601" spans="27:28">
      <c r="AA1601"/>
      <c r="AB1601"/>
    </row>
    <row r="1602" spans="27:28">
      <c r="AA1602"/>
      <c r="AB1602"/>
    </row>
    <row r="1603" spans="27:28">
      <c r="AA1603"/>
      <c r="AB1603"/>
    </row>
    <row r="1604" spans="27:28">
      <c r="AA1604"/>
      <c r="AB1604"/>
    </row>
    <row r="1605" spans="27:28">
      <c r="AA1605"/>
      <c r="AB1605"/>
    </row>
    <row r="1606" spans="27:28">
      <c r="AA1606"/>
      <c r="AB1606"/>
    </row>
    <row r="1607" spans="27:28">
      <c r="AA1607"/>
      <c r="AB1607"/>
    </row>
    <row r="1608" spans="27:28">
      <c r="AA1608"/>
      <c r="AB1608"/>
    </row>
    <row r="1609" spans="27:28">
      <c r="AA1609"/>
      <c r="AB1609"/>
    </row>
    <row r="1610" spans="27:28">
      <c r="AA1610"/>
      <c r="AB1610"/>
    </row>
    <row r="1611" spans="27:28">
      <c r="AA1611"/>
      <c r="AB1611"/>
    </row>
    <row r="1612" spans="27:28">
      <c r="AA1612"/>
      <c r="AB1612"/>
    </row>
    <row r="1613" spans="27:28">
      <c r="AA1613"/>
      <c r="AB1613"/>
    </row>
    <row r="1614" spans="27:28">
      <c r="AA1614"/>
      <c r="AB1614"/>
    </row>
    <row r="1615" spans="27:28">
      <c r="AA1615"/>
      <c r="AB1615"/>
    </row>
    <row r="1616" spans="27:28">
      <c r="AA1616"/>
      <c r="AB1616"/>
    </row>
    <row r="1617" spans="27:28">
      <c r="AA1617"/>
      <c r="AB1617"/>
    </row>
    <row r="1618" spans="27:28">
      <c r="AA1618"/>
      <c r="AB1618"/>
    </row>
    <row r="1619" spans="27:28">
      <c r="AA1619"/>
      <c r="AB1619"/>
    </row>
    <row r="1620" spans="27:28">
      <c r="AA1620"/>
      <c r="AB1620"/>
    </row>
    <row r="1621" spans="27:28">
      <c r="AA1621"/>
      <c r="AB1621"/>
    </row>
    <row r="1622" spans="27:28">
      <c r="AA1622"/>
      <c r="AB1622"/>
    </row>
    <row r="1623" spans="27:28">
      <c r="AA1623"/>
      <c r="AB1623"/>
    </row>
    <row r="1624" spans="27:28">
      <c r="AA1624"/>
      <c r="AB1624"/>
    </row>
    <row r="1625" spans="27:28">
      <c r="AA1625"/>
      <c r="AB1625"/>
    </row>
    <row r="1626" spans="27:28">
      <c r="AA1626"/>
      <c r="AB1626"/>
    </row>
    <row r="1627" spans="27:28">
      <c r="AA1627"/>
      <c r="AB1627"/>
    </row>
    <row r="1628" spans="27:28">
      <c r="AA1628"/>
      <c r="AB1628"/>
    </row>
    <row r="1629" spans="27:28">
      <c r="AA1629"/>
      <c r="AB1629"/>
    </row>
    <row r="1630" spans="27:28">
      <c r="AA1630"/>
      <c r="AB1630"/>
    </row>
    <row r="1631" spans="27:28">
      <c r="AA1631"/>
      <c r="AB1631"/>
    </row>
    <row r="1632" spans="27:28">
      <c r="AA1632"/>
      <c r="AB1632"/>
    </row>
    <row r="1633" spans="27:28">
      <c r="AA1633"/>
      <c r="AB1633"/>
    </row>
    <row r="1634" spans="27:28">
      <c r="AA1634"/>
      <c r="AB1634"/>
    </row>
    <row r="1635" spans="27:28">
      <c r="AA1635"/>
      <c r="AB1635"/>
    </row>
    <row r="1636" spans="27:28">
      <c r="AA1636"/>
      <c r="AB1636"/>
    </row>
    <row r="1637" spans="27:28">
      <c r="AA1637"/>
      <c r="AB1637"/>
    </row>
    <row r="1638" spans="27:28">
      <c r="AA1638"/>
      <c r="AB1638"/>
    </row>
    <row r="1639" spans="27:28">
      <c r="AA1639"/>
      <c r="AB1639"/>
    </row>
    <row r="1640" spans="27:28">
      <c r="AA1640"/>
      <c r="AB1640"/>
    </row>
    <row r="1641" spans="27:28">
      <c r="AA1641"/>
      <c r="AB1641"/>
    </row>
    <row r="1642" spans="27:28">
      <c r="AA1642"/>
      <c r="AB1642"/>
    </row>
    <row r="1643" spans="27:28">
      <c r="AA1643"/>
      <c r="AB1643"/>
    </row>
    <row r="1644" spans="27:28">
      <c r="AA1644"/>
      <c r="AB1644"/>
    </row>
    <row r="1645" spans="27:28">
      <c r="AA1645"/>
      <c r="AB1645"/>
    </row>
    <row r="1646" spans="27:28">
      <c r="AA1646"/>
      <c r="AB1646"/>
    </row>
    <row r="1647" spans="27:28">
      <c r="AA1647"/>
      <c r="AB1647"/>
    </row>
    <row r="1648" spans="27:28">
      <c r="AA1648"/>
      <c r="AB1648"/>
    </row>
    <row r="1649" spans="27:28">
      <c r="AA1649"/>
      <c r="AB1649"/>
    </row>
    <row r="1650" spans="27:28">
      <c r="AA1650"/>
      <c r="AB1650"/>
    </row>
    <row r="1651" spans="27:28">
      <c r="AA1651"/>
      <c r="AB1651"/>
    </row>
    <row r="1652" spans="27:28">
      <c r="AA1652"/>
      <c r="AB1652"/>
    </row>
    <row r="1653" spans="27:28">
      <c r="AA1653"/>
      <c r="AB1653"/>
    </row>
    <row r="1654" spans="27:28">
      <c r="AA1654"/>
      <c r="AB1654"/>
    </row>
    <row r="1655" spans="27:28">
      <c r="AA1655"/>
      <c r="AB1655"/>
    </row>
    <row r="1656" spans="27:28">
      <c r="AA1656"/>
      <c r="AB1656"/>
    </row>
    <row r="1657" spans="27:28">
      <c r="AA1657"/>
      <c r="AB1657"/>
    </row>
    <row r="1658" spans="27:28">
      <c r="AA1658"/>
      <c r="AB1658"/>
    </row>
    <row r="1659" spans="27:28">
      <c r="AA1659"/>
      <c r="AB1659"/>
    </row>
    <row r="1660" spans="27:28">
      <c r="AA1660"/>
      <c r="AB1660"/>
    </row>
    <row r="1661" spans="27:28">
      <c r="AA1661"/>
      <c r="AB1661"/>
    </row>
    <row r="1662" spans="27:28">
      <c r="AA1662"/>
      <c r="AB1662"/>
    </row>
    <row r="1663" spans="27:28">
      <c r="AA1663"/>
      <c r="AB1663"/>
    </row>
    <row r="1664" spans="27:28">
      <c r="AA1664"/>
      <c r="AB1664"/>
    </row>
    <row r="1665" spans="27:28">
      <c r="AA1665"/>
      <c r="AB1665"/>
    </row>
    <row r="1666" spans="27:28">
      <c r="AA1666"/>
      <c r="AB1666"/>
    </row>
    <row r="1667" spans="27:28">
      <c r="AA1667"/>
      <c r="AB1667"/>
    </row>
    <row r="1668" spans="27:28">
      <c r="AA1668"/>
      <c r="AB1668"/>
    </row>
    <row r="1669" spans="27:28">
      <c r="AA1669"/>
      <c r="AB1669"/>
    </row>
    <row r="1670" spans="27:28">
      <c r="AA1670"/>
      <c r="AB1670"/>
    </row>
    <row r="1671" spans="27:28">
      <c r="AA1671"/>
      <c r="AB1671"/>
    </row>
    <row r="1672" spans="27:28">
      <c r="AA1672"/>
      <c r="AB1672"/>
    </row>
    <row r="1673" spans="27:28">
      <c r="AA1673"/>
      <c r="AB1673"/>
    </row>
    <row r="1674" spans="27:28">
      <c r="AA1674"/>
      <c r="AB1674"/>
    </row>
    <row r="1675" spans="27:28">
      <c r="AA1675"/>
      <c r="AB1675"/>
    </row>
    <row r="1676" spans="27:28">
      <c r="AA1676"/>
      <c r="AB1676"/>
    </row>
    <row r="1677" spans="27:28">
      <c r="AA1677"/>
      <c r="AB1677"/>
    </row>
    <row r="1678" spans="27:28">
      <c r="AA1678"/>
      <c r="AB1678"/>
    </row>
    <row r="1679" spans="27:28">
      <c r="AA1679"/>
      <c r="AB1679"/>
    </row>
    <row r="1680" spans="27:28">
      <c r="AA1680"/>
      <c r="AB1680"/>
    </row>
    <row r="1681" spans="27:28">
      <c r="AA1681"/>
      <c r="AB1681"/>
    </row>
    <row r="1682" spans="27:28">
      <c r="AA1682"/>
      <c r="AB1682"/>
    </row>
    <row r="1683" spans="27:28">
      <c r="AA1683"/>
      <c r="AB1683"/>
    </row>
    <row r="1684" spans="27:28">
      <c r="AA1684"/>
      <c r="AB1684"/>
    </row>
    <row r="1685" spans="27:28">
      <c r="AA1685"/>
      <c r="AB1685"/>
    </row>
    <row r="1686" spans="27:28">
      <c r="AA1686"/>
      <c r="AB1686"/>
    </row>
    <row r="1687" spans="27:28">
      <c r="AA1687"/>
      <c r="AB1687"/>
    </row>
    <row r="1688" spans="27:28">
      <c r="AA1688"/>
      <c r="AB1688"/>
    </row>
    <row r="1689" spans="27:28">
      <c r="AA1689"/>
      <c r="AB1689"/>
    </row>
    <row r="1690" spans="27:28">
      <c r="AA1690"/>
      <c r="AB1690"/>
    </row>
    <row r="1691" spans="27:28">
      <c r="AA1691"/>
      <c r="AB1691"/>
    </row>
    <row r="1692" spans="27:28">
      <c r="AA1692"/>
      <c r="AB1692"/>
    </row>
    <row r="1693" spans="27:28">
      <c r="AA1693"/>
      <c r="AB1693"/>
    </row>
    <row r="1694" spans="27:28">
      <c r="AA1694"/>
      <c r="AB1694"/>
    </row>
    <row r="1695" spans="27:28">
      <c r="AA1695"/>
      <c r="AB1695"/>
    </row>
    <row r="1696" spans="27:28">
      <c r="AA1696"/>
      <c r="AB1696"/>
    </row>
    <row r="1697" spans="27:28">
      <c r="AA1697"/>
      <c r="AB1697"/>
    </row>
    <row r="1698" spans="27:28">
      <c r="AA1698"/>
      <c r="AB1698"/>
    </row>
    <row r="1699" spans="27:28">
      <c r="AA1699"/>
      <c r="AB1699"/>
    </row>
    <row r="1700" spans="27:28">
      <c r="AA1700"/>
      <c r="AB1700"/>
    </row>
    <row r="1701" spans="27:28">
      <c r="AA1701"/>
      <c r="AB1701"/>
    </row>
    <row r="1702" spans="27:28">
      <c r="AA1702"/>
      <c r="AB1702"/>
    </row>
    <row r="1703" spans="27:28">
      <c r="AA1703"/>
      <c r="AB1703"/>
    </row>
    <row r="1704" spans="27:28">
      <c r="AA1704"/>
      <c r="AB1704"/>
    </row>
    <row r="1705" spans="27:28">
      <c r="AA1705"/>
      <c r="AB1705"/>
    </row>
    <row r="1706" spans="27:28">
      <c r="AA1706"/>
      <c r="AB1706"/>
    </row>
    <row r="1707" spans="27:28">
      <c r="AA1707"/>
      <c r="AB1707"/>
    </row>
    <row r="1708" spans="27:28">
      <c r="AA1708"/>
      <c r="AB1708"/>
    </row>
    <row r="1709" spans="27:28">
      <c r="AA1709"/>
      <c r="AB1709"/>
    </row>
    <row r="1710" spans="27:28">
      <c r="AA1710"/>
      <c r="AB1710"/>
    </row>
    <row r="1711" spans="27:28">
      <c r="AA1711"/>
      <c r="AB1711"/>
    </row>
    <row r="1712" spans="27:28">
      <c r="AA1712"/>
      <c r="AB1712"/>
    </row>
    <row r="1713" spans="27:28">
      <c r="AA1713"/>
      <c r="AB1713"/>
    </row>
    <row r="1714" spans="27:28">
      <c r="AA1714"/>
      <c r="AB1714"/>
    </row>
    <row r="1715" spans="27:28">
      <c r="AA1715"/>
      <c r="AB1715"/>
    </row>
    <row r="1716" spans="27:28">
      <c r="AA1716"/>
      <c r="AB1716"/>
    </row>
    <row r="1717" spans="27:28">
      <c r="AA1717"/>
      <c r="AB1717"/>
    </row>
    <row r="1718" spans="27:28">
      <c r="AA1718"/>
      <c r="AB1718"/>
    </row>
    <row r="1719" spans="27:28">
      <c r="AA1719"/>
      <c r="AB1719"/>
    </row>
    <row r="1720" spans="27:28">
      <c r="AA1720"/>
      <c r="AB1720"/>
    </row>
    <row r="1721" spans="27:28">
      <c r="AA1721"/>
      <c r="AB1721"/>
    </row>
    <row r="1722" spans="27:28">
      <c r="AA1722"/>
      <c r="AB1722"/>
    </row>
    <row r="1723" spans="27:28">
      <c r="AA1723"/>
      <c r="AB1723"/>
    </row>
    <row r="1724" spans="27:28">
      <c r="AA1724"/>
      <c r="AB1724"/>
    </row>
    <row r="1725" spans="27:28">
      <c r="AA1725"/>
      <c r="AB1725"/>
    </row>
    <row r="1726" spans="27:28">
      <c r="AA1726"/>
      <c r="AB1726"/>
    </row>
    <row r="1727" spans="27:28">
      <c r="AA1727"/>
      <c r="AB1727"/>
    </row>
    <row r="1728" spans="27:28">
      <c r="AA1728"/>
      <c r="AB1728"/>
    </row>
    <row r="1729" spans="27:28">
      <c r="AA1729"/>
      <c r="AB1729"/>
    </row>
    <row r="1730" spans="27:28">
      <c r="AA1730"/>
      <c r="AB1730"/>
    </row>
    <row r="1731" spans="27:28">
      <c r="AA1731"/>
      <c r="AB1731"/>
    </row>
    <row r="1732" spans="27:28">
      <c r="AA1732"/>
      <c r="AB1732"/>
    </row>
    <row r="1733" spans="27:28">
      <c r="AA1733"/>
      <c r="AB1733"/>
    </row>
    <row r="1734" spans="27:28">
      <c r="AA1734"/>
      <c r="AB1734"/>
    </row>
    <row r="1735" spans="27:28">
      <c r="AA1735"/>
      <c r="AB1735"/>
    </row>
    <row r="1736" spans="27:28">
      <c r="AA1736"/>
      <c r="AB1736"/>
    </row>
    <row r="1737" spans="27:28">
      <c r="AA1737"/>
      <c r="AB1737"/>
    </row>
    <row r="1738" spans="27:28">
      <c r="AA1738"/>
      <c r="AB1738"/>
    </row>
    <row r="1739" spans="27:28">
      <c r="AA1739"/>
      <c r="AB1739"/>
    </row>
    <row r="1740" spans="27:28">
      <c r="AA1740"/>
      <c r="AB1740"/>
    </row>
    <row r="1741" spans="27:28">
      <c r="AA1741"/>
      <c r="AB1741"/>
    </row>
    <row r="1742" spans="27:28">
      <c r="AA1742"/>
      <c r="AB1742"/>
    </row>
    <row r="1743" spans="27:28">
      <c r="AA1743"/>
      <c r="AB1743"/>
    </row>
    <row r="1744" spans="27:28">
      <c r="AA1744"/>
      <c r="AB1744"/>
    </row>
    <row r="1745" spans="27:28">
      <c r="AA1745"/>
      <c r="AB1745"/>
    </row>
    <row r="1746" spans="27:28">
      <c r="AA1746"/>
      <c r="AB1746"/>
    </row>
    <row r="1747" spans="27:28">
      <c r="AA1747"/>
      <c r="AB1747"/>
    </row>
    <row r="1748" spans="27:28">
      <c r="AA1748"/>
      <c r="AB1748"/>
    </row>
    <row r="1749" spans="27:28">
      <c r="AA1749"/>
      <c r="AB1749"/>
    </row>
    <row r="1750" spans="27:28">
      <c r="AA1750"/>
      <c r="AB1750"/>
    </row>
    <row r="1751" spans="27:28">
      <c r="AA1751"/>
      <c r="AB1751"/>
    </row>
    <row r="1752" spans="27:28">
      <c r="AA1752"/>
      <c r="AB1752"/>
    </row>
    <row r="1753" spans="27:28">
      <c r="AA1753"/>
      <c r="AB1753"/>
    </row>
    <row r="1754" spans="27:28">
      <c r="AA1754"/>
      <c r="AB1754"/>
    </row>
    <row r="1755" spans="27:28">
      <c r="AA1755"/>
      <c r="AB1755"/>
    </row>
    <row r="1756" spans="27:28">
      <c r="AA1756"/>
      <c r="AB1756"/>
    </row>
    <row r="1757" spans="27:28">
      <c r="AA1757"/>
      <c r="AB1757"/>
    </row>
    <row r="1758" spans="27:28">
      <c r="AA1758"/>
      <c r="AB1758"/>
    </row>
    <row r="1759" spans="27:28">
      <c r="AA1759"/>
      <c r="AB1759"/>
    </row>
    <row r="1760" spans="27:28">
      <c r="AA1760"/>
      <c r="AB1760"/>
    </row>
    <row r="1761" spans="27:28">
      <c r="AA1761"/>
      <c r="AB1761"/>
    </row>
    <row r="1762" spans="27:28">
      <c r="AA1762"/>
      <c r="AB1762"/>
    </row>
    <row r="1763" spans="27:28">
      <c r="AA1763"/>
      <c r="AB1763"/>
    </row>
    <row r="1764" spans="27:28">
      <c r="AA1764"/>
      <c r="AB1764"/>
    </row>
    <row r="1765" spans="27:28">
      <c r="AA1765"/>
      <c r="AB1765"/>
    </row>
    <row r="1766" spans="27:28">
      <c r="AA1766"/>
      <c r="AB1766"/>
    </row>
    <row r="1767" spans="27:28">
      <c r="AA1767"/>
      <c r="AB1767"/>
    </row>
    <row r="1768" spans="27:28">
      <c r="AA1768"/>
      <c r="AB1768"/>
    </row>
    <row r="1769" spans="27:28">
      <c r="AA1769"/>
      <c r="AB1769"/>
    </row>
    <row r="1770" spans="27:28">
      <c r="AA1770"/>
      <c r="AB1770"/>
    </row>
    <row r="1771" spans="27:28">
      <c r="AA1771"/>
      <c r="AB1771"/>
    </row>
    <row r="1772" spans="27:28">
      <c r="AA1772"/>
      <c r="AB1772"/>
    </row>
    <row r="1773" spans="27:28">
      <c r="AA1773"/>
      <c r="AB1773"/>
    </row>
    <row r="1774" spans="27:28">
      <c r="AA1774"/>
      <c r="AB1774"/>
    </row>
    <row r="1775" spans="27:28">
      <c r="AA1775"/>
      <c r="AB1775"/>
    </row>
    <row r="1776" spans="27:28">
      <c r="AA1776"/>
      <c r="AB1776"/>
    </row>
    <row r="1777" spans="27:28">
      <c r="AA1777"/>
      <c r="AB1777"/>
    </row>
    <row r="1778" spans="27:28">
      <c r="AA1778"/>
      <c r="AB1778"/>
    </row>
    <row r="1779" spans="27:28">
      <c r="AA1779"/>
      <c r="AB1779"/>
    </row>
    <row r="1780" spans="27:28">
      <c r="AA1780"/>
      <c r="AB1780"/>
    </row>
    <row r="1781" spans="27:28">
      <c r="AA1781"/>
      <c r="AB1781"/>
    </row>
    <row r="1782" spans="27:28">
      <c r="AA1782"/>
      <c r="AB1782"/>
    </row>
    <row r="1783" spans="27:28">
      <c r="AA1783"/>
      <c r="AB1783"/>
    </row>
    <row r="1784" spans="27:28">
      <c r="AA1784"/>
      <c r="AB1784"/>
    </row>
    <row r="1785" spans="27:28">
      <c r="AA1785"/>
      <c r="AB1785"/>
    </row>
    <row r="1786" spans="27:28">
      <c r="AA1786"/>
      <c r="AB1786"/>
    </row>
    <row r="1787" spans="27:28">
      <c r="AA1787"/>
      <c r="AB1787"/>
    </row>
    <row r="1788" spans="27:28">
      <c r="AA1788"/>
      <c r="AB1788"/>
    </row>
    <row r="1789" spans="27:28">
      <c r="AA1789"/>
      <c r="AB1789"/>
    </row>
    <row r="1790" spans="27:28">
      <c r="AA1790"/>
      <c r="AB1790"/>
    </row>
    <row r="1791" spans="27:28">
      <c r="AA1791"/>
      <c r="AB1791"/>
    </row>
    <row r="1792" spans="27:28">
      <c r="AA1792"/>
      <c r="AB1792"/>
    </row>
    <row r="1793" spans="27:28">
      <c r="AA1793"/>
      <c r="AB1793"/>
    </row>
    <row r="1794" spans="27:28">
      <c r="AA1794"/>
      <c r="AB1794"/>
    </row>
    <row r="1795" spans="27:28">
      <c r="AA1795"/>
      <c r="AB1795"/>
    </row>
    <row r="1796" spans="27:28">
      <c r="AA1796"/>
      <c r="AB1796"/>
    </row>
    <row r="1797" spans="27:28">
      <c r="AA1797"/>
      <c r="AB1797"/>
    </row>
    <row r="1798" spans="27:28">
      <c r="AA1798"/>
      <c r="AB1798"/>
    </row>
    <row r="1799" spans="27:28">
      <c r="AA1799"/>
      <c r="AB1799"/>
    </row>
    <row r="1800" spans="27:28">
      <c r="AA1800"/>
      <c r="AB1800"/>
    </row>
    <row r="1801" spans="27:28">
      <c r="AA1801"/>
      <c r="AB1801"/>
    </row>
    <row r="1802" spans="27:28">
      <c r="AA1802"/>
      <c r="AB1802"/>
    </row>
    <row r="1803" spans="27:28">
      <c r="AA1803"/>
      <c r="AB1803"/>
    </row>
    <row r="1804" spans="27:28">
      <c r="AA1804"/>
      <c r="AB1804"/>
    </row>
    <row r="1805" spans="27:28">
      <c r="AA1805"/>
      <c r="AB1805"/>
    </row>
    <row r="1806" spans="27:28">
      <c r="AA1806"/>
      <c r="AB1806"/>
    </row>
    <row r="1807" spans="27:28">
      <c r="AA1807"/>
      <c r="AB1807"/>
    </row>
    <row r="1808" spans="27:28">
      <c r="AA1808"/>
      <c r="AB1808"/>
    </row>
    <row r="1809" spans="27:28">
      <c r="AA1809"/>
      <c r="AB1809"/>
    </row>
    <row r="1810" spans="27:28">
      <c r="AA1810"/>
      <c r="AB1810"/>
    </row>
    <row r="1811" spans="27:28">
      <c r="AA1811"/>
      <c r="AB1811"/>
    </row>
    <row r="1812" spans="27:28">
      <c r="AA1812"/>
      <c r="AB1812"/>
    </row>
    <row r="1813" spans="27:28">
      <c r="AA1813"/>
      <c r="AB1813"/>
    </row>
    <row r="1814" spans="27:28">
      <c r="AA1814"/>
      <c r="AB1814"/>
    </row>
    <row r="1815" spans="27:28">
      <c r="AA1815"/>
      <c r="AB1815"/>
    </row>
    <row r="1816" spans="27:28">
      <c r="AA1816"/>
      <c r="AB1816"/>
    </row>
    <row r="1817" spans="27:28">
      <c r="AA1817"/>
      <c r="AB1817"/>
    </row>
    <row r="1818" spans="27:28">
      <c r="AA1818"/>
      <c r="AB1818"/>
    </row>
    <row r="1819" spans="27:28">
      <c r="AA1819"/>
      <c r="AB1819"/>
    </row>
    <row r="1820" spans="27:28">
      <c r="AA1820"/>
      <c r="AB1820"/>
    </row>
    <row r="1821" spans="27:28">
      <c r="AA1821"/>
      <c r="AB1821"/>
    </row>
    <row r="1822" spans="27:28">
      <c r="AA1822"/>
      <c r="AB1822"/>
    </row>
    <row r="1823" spans="27:28">
      <c r="AA1823"/>
      <c r="AB1823"/>
    </row>
    <row r="1824" spans="27:28">
      <c r="AA1824"/>
      <c r="AB1824"/>
    </row>
    <row r="1825" spans="27:28">
      <c r="AA1825"/>
      <c r="AB1825"/>
    </row>
    <row r="1826" spans="27:28">
      <c r="AA1826"/>
      <c r="AB1826"/>
    </row>
    <row r="1827" spans="27:28">
      <c r="AA1827"/>
      <c r="AB1827"/>
    </row>
    <row r="1828" spans="27:28">
      <c r="AA1828"/>
      <c r="AB1828"/>
    </row>
    <row r="1829" spans="27:28">
      <c r="AA1829"/>
      <c r="AB1829"/>
    </row>
    <row r="1830" spans="27:28">
      <c r="AA1830"/>
      <c r="AB1830"/>
    </row>
    <row r="1831" spans="27:28">
      <c r="AA1831"/>
      <c r="AB1831"/>
    </row>
    <row r="1832" spans="27:28">
      <c r="AA1832"/>
      <c r="AB1832"/>
    </row>
    <row r="1833" spans="27:28">
      <c r="AA1833"/>
      <c r="AB1833"/>
    </row>
    <row r="1834" spans="27:28">
      <c r="AA1834"/>
      <c r="AB1834"/>
    </row>
    <row r="1835" spans="27:28">
      <c r="AA1835"/>
      <c r="AB1835"/>
    </row>
    <row r="1836" spans="27:28">
      <c r="AA1836"/>
      <c r="AB1836"/>
    </row>
    <row r="1837" spans="27:28">
      <c r="AA1837"/>
      <c r="AB1837"/>
    </row>
    <row r="1838" spans="27:28">
      <c r="AA1838"/>
      <c r="AB1838"/>
    </row>
    <row r="1839" spans="27:28">
      <c r="AA1839"/>
      <c r="AB1839"/>
    </row>
    <row r="1840" spans="27:28">
      <c r="AA1840"/>
      <c r="AB1840"/>
    </row>
    <row r="1841" spans="27:28">
      <c r="AA1841"/>
      <c r="AB1841"/>
    </row>
    <row r="1842" spans="27:28">
      <c r="AA1842"/>
      <c r="AB1842"/>
    </row>
    <row r="1843" spans="27:28">
      <c r="AA1843"/>
      <c r="AB1843"/>
    </row>
    <row r="1844" spans="27:28">
      <c r="AA1844"/>
      <c r="AB1844"/>
    </row>
    <row r="1845" spans="27:28">
      <c r="AA1845"/>
      <c r="AB1845"/>
    </row>
    <row r="1846" spans="27:28">
      <c r="AA1846"/>
      <c r="AB1846"/>
    </row>
    <row r="1847" spans="27:28">
      <c r="AA1847"/>
      <c r="AB1847"/>
    </row>
    <row r="1848" spans="27:28">
      <c r="AA1848"/>
      <c r="AB1848"/>
    </row>
    <row r="1849" spans="27:28">
      <c r="AA1849"/>
      <c r="AB1849"/>
    </row>
    <row r="1850" spans="27:28">
      <c r="AA1850"/>
      <c r="AB1850"/>
    </row>
    <row r="1851" spans="27:28">
      <c r="AA1851"/>
      <c r="AB1851"/>
    </row>
    <row r="1852" spans="27:28">
      <c r="AA1852"/>
      <c r="AB1852"/>
    </row>
    <row r="1853" spans="27:28">
      <c r="AA1853"/>
      <c r="AB1853"/>
    </row>
    <row r="1854" spans="27:28">
      <c r="AA1854"/>
      <c r="AB1854"/>
    </row>
    <row r="1855" spans="27:28">
      <c r="AA1855"/>
      <c r="AB1855"/>
    </row>
    <row r="1856" spans="27:28">
      <c r="AA1856"/>
      <c r="AB1856"/>
    </row>
    <row r="1857" spans="27:28">
      <c r="AA1857"/>
      <c r="AB1857"/>
    </row>
    <row r="1858" spans="27:28">
      <c r="AA1858"/>
      <c r="AB1858"/>
    </row>
    <row r="1859" spans="27:28">
      <c r="AA1859"/>
      <c r="AB1859"/>
    </row>
    <row r="1860" spans="27:28">
      <c r="AA1860"/>
      <c r="AB1860"/>
    </row>
    <row r="1861" spans="27:28">
      <c r="AA1861"/>
      <c r="AB1861"/>
    </row>
    <row r="1862" spans="27:28">
      <c r="AA1862"/>
      <c r="AB1862"/>
    </row>
    <row r="1863" spans="27:28">
      <c r="AA1863"/>
      <c r="AB1863"/>
    </row>
    <row r="1864" spans="27:28">
      <c r="AA1864"/>
      <c r="AB1864"/>
    </row>
    <row r="1865" spans="27:28">
      <c r="AA1865"/>
      <c r="AB1865"/>
    </row>
    <row r="1866" spans="27:28">
      <c r="AA1866"/>
      <c r="AB1866"/>
    </row>
    <row r="1867" spans="27:28">
      <c r="AA1867"/>
      <c r="AB1867"/>
    </row>
    <row r="1868" spans="27:28">
      <c r="AA1868"/>
      <c r="AB1868"/>
    </row>
    <row r="1869" spans="27:28">
      <c r="AA1869"/>
      <c r="AB1869"/>
    </row>
    <row r="1870" spans="27:28">
      <c r="AA1870"/>
      <c r="AB1870"/>
    </row>
    <row r="1871" spans="27:28">
      <c r="AA1871"/>
      <c r="AB1871"/>
    </row>
    <row r="1872" spans="27:28">
      <c r="AA1872"/>
      <c r="AB1872"/>
    </row>
    <row r="1873" spans="27:28">
      <c r="AA1873"/>
      <c r="AB1873"/>
    </row>
    <row r="1874" spans="27:28">
      <c r="AA1874"/>
      <c r="AB1874"/>
    </row>
    <row r="1875" spans="27:28">
      <c r="AA1875"/>
      <c r="AB1875"/>
    </row>
    <row r="1876" spans="27:28">
      <c r="AA1876"/>
      <c r="AB1876"/>
    </row>
    <row r="1877" spans="27:28">
      <c r="AA1877"/>
      <c r="AB1877"/>
    </row>
    <row r="1878" spans="27:28">
      <c r="AA1878"/>
      <c r="AB1878"/>
    </row>
    <row r="1879" spans="27:28">
      <c r="AA1879"/>
      <c r="AB1879"/>
    </row>
    <row r="1880" spans="27:28">
      <c r="AA1880"/>
      <c r="AB1880"/>
    </row>
    <row r="1881" spans="27:28">
      <c r="AA1881"/>
      <c r="AB1881"/>
    </row>
    <row r="1882" spans="27:28">
      <c r="AA1882"/>
      <c r="AB1882"/>
    </row>
    <row r="1883" spans="27:28">
      <c r="AA1883"/>
      <c r="AB1883"/>
    </row>
    <row r="1884" spans="27:28">
      <c r="AA1884"/>
      <c r="AB1884"/>
    </row>
    <row r="1885" spans="27:28">
      <c r="AA1885"/>
      <c r="AB1885"/>
    </row>
    <row r="1886" spans="27:28">
      <c r="AA1886"/>
      <c r="AB1886"/>
    </row>
    <row r="1887" spans="27:28">
      <c r="AA1887"/>
      <c r="AB1887"/>
    </row>
    <row r="1888" spans="27:28">
      <c r="AA1888"/>
      <c r="AB1888"/>
    </row>
    <row r="1889" spans="27:28">
      <c r="AA1889"/>
      <c r="AB1889"/>
    </row>
    <row r="1890" spans="27:28">
      <c r="AA1890"/>
      <c r="AB1890"/>
    </row>
    <row r="1891" spans="27:28">
      <c r="AA1891"/>
      <c r="AB1891"/>
    </row>
    <row r="1892" spans="27:28">
      <c r="AA1892"/>
      <c r="AB1892"/>
    </row>
    <row r="1893" spans="27:28">
      <c r="AA1893"/>
      <c r="AB1893"/>
    </row>
    <row r="1894" spans="27:28">
      <c r="AA1894"/>
      <c r="AB1894"/>
    </row>
    <row r="1895" spans="27:28">
      <c r="AA1895"/>
      <c r="AB1895"/>
    </row>
    <row r="1896" spans="27:28">
      <c r="AA1896"/>
      <c r="AB1896"/>
    </row>
    <row r="1897" spans="27:28">
      <c r="AA1897"/>
      <c r="AB1897"/>
    </row>
    <row r="1898" spans="27:28">
      <c r="AA1898"/>
      <c r="AB1898"/>
    </row>
    <row r="1899" spans="27:28">
      <c r="AA1899"/>
      <c r="AB1899"/>
    </row>
    <row r="1900" spans="27:28">
      <c r="AA1900"/>
      <c r="AB1900"/>
    </row>
    <row r="1901" spans="27:28">
      <c r="AA1901"/>
      <c r="AB1901"/>
    </row>
    <row r="1902" spans="27:28">
      <c r="AA1902"/>
      <c r="AB1902"/>
    </row>
    <row r="1903" spans="27:28">
      <c r="AA1903"/>
      <c r="AB1903"/>
    </row>
    <row r="1904" spans="27:28">
      <c r="AA1904"/>
      <c r="AB1904"/>
    </row>
    <row r="1905" spans="27:28">
      <c r="AA1905"/>
      <c r="AB1905"/>
    </row>
    <row r="1906" spans="27:28">
      <c r="AA1906"/>
      <c r="AB1906"/>
    </row>
    <row r="1907" spans="27:28">
      <c r="AA1907"/>
      <c r="AB1907"/>
    </row>
    <row r="1908" spans="27:28">
      <c r="AA1908"/>
      <c r="AB1908"/>
    </row>
    <row r="1909" spans="27:28">
      <c r="AA1909"/>
      <c r="AB1909"/>
    </row>
    <row r="1910" spans="27:28">
      <c r="AA1910"/>
      <c r="AB1910"/>
    </row>
    <row r="1911" spans="27:28">
      <c r="AA1911"/>
      <c r="AB1911"/>
    </row>
    <row r="1912" spans="27:28">
      <c r="AA1912"/>
      <c r="AB1912"/>
    </row>
    <row r="1913" spans="27:28">
      <c r="AA1913"/>
      <c r="AB1913"/>
    </row>
    <row r="1914" spans="27:28">
      <c r="AA1914"/>
      <c r="AB1914"/>
    </row>
    <row r="1915" spans="27:28">
      <c r="AA1915"/>
      <c r="AB1915"/>
    </row>
    <row r="1916" spans="27:28">
      <c r="AA1916"/>
      <c r="AB1916"/>
    </row>
    <row r="1917" spans="27:28">
      <c r="AA1917"/>
      <c r="AB1917"/>
    </row>
    <row r="1918" spans="27:28">
      <c r="AA1918"/>
      <c r="AB1918"/>
    </row>
    <row r="1919" spans="27:28">
      <c r="AA1919"/>
      <c r="AB1919"/>
    </row>
    <row r="1920" spans="27:28">
      <c r="AA1920"/>
      <c r="AB1920"/>
    </row>
    <row r="1921" spans="27:28">
      <c r="AA1921"/>
      <c r="AB1921"/>
    </row>
    <row r="1922" spans="27:28">
      <c r="AA1922"/>
      <c r="AB1922"/>
    </row>
    <row r="1923" spans="27:28">
      <c r="AA1923"/>
      <c r="AB1923"/>
    </row>
    <row r="1924" spans="27:28">
      <c r="AA1924"/>
      <c r="AB1924"/>
    </row>
    <row r="1925" spans="27:28">
      <c r="AA1925"/>
      <c r="AB1925"/>
    </row>
    <row r="1926" spans="27:28">
      <c r="AA1926"/>
      <c r="AB1926"/>
    </row>
    <row r="1927" spans="27:28">
      <c r="AA1927"/>
      <c r="AB1927"/>
    </row>
    <row r="1928" spans="27:28">
      <c r="AA1928"/>
      <c r="AB1928"/>
    </row>
    <row r="1929" spans="27:28">
      <c r="AA1929"/>
      <c r="AB1929"/>
    </row>
    <row r="1930" spans="27:28">
      <c r="AA1930"/>
      <c r="AB1930"/>
    </row>
    <row r="1931" spans="27:28">
      <c r="AA1931"/>
      <c r="AB1931"/>
    </row>
    <row r="1932" spans="27:28">
      <c r="AA1932"/>
      <c r="AB1932"/>
    </row>
    <row r="1933" spans="27:28">
      <c r="AA1933"/>
      <c r="AB1933"/>
    </row>
    <row r="1934" spans="27:28">
      <c r="AA1934"/>
      <c r="AB1934"/>
    </row>
    <row r="1935" spans="27:28">
      <c r="AA1935"/>
      <c r="AB1935"/>
    </row>
    <row r="1936" spans="27:28">
      <c r="AA1936"/>
      <c r="AB1936"/>
    </row>
    <row r="1937" spans="27:28">
      <c r="AA1937"/>
      <c r="AB1937"/>
    </row>
    <row r="1938" spans="27:28">
      <c r="AA1938"/>
      <c r="AB1938"/>
    </row>
    <row r="1939" spans="27:28">
      <c r="AA1939"/>
      <c r="AB1939"/>
    </row>
    <row r="1940" spans="27:28">
      <c r="AA1940"/>
      <c r="AB1940"/>
    </row>
    <row r="1941" spans="27:28">
      <c r="AA1941"/>
      <c r="AB1941"/>
    </row>
    <row r="1942" spans="27:28">
      <c r="AA1942"/>
      <c r="AB1942"/>
    </row>
    <row r="1943" spans="27:28">
      <c r="AA1943"/>
      <c r="AB1943"/>
    </row>
    <row r="1944" spans="27:28">
      <c r="AA1944"/>
      <c r="AB1944"/>
    </row>
    <row r="1945" spans="27:28">
      <c r="AA1945"/>
      <c r="AB1945"/>
    </row>
    <row r="1946" spans="27:28">
      <c r="AA1946"/>
      <c r="AB1946"/>
    </row>
    <row r="1947" spans="27:28">
      <c r="AA1947"/>
      <c r="AB1947"/>
    </row>
    <row r="1948" spans="27:28">
      <c r="AA1948"/>
      <c r="AB1948"/>
    </row>
    <row r="1949" spans="27:28">
      <c r="AA1949"/>
      <c r="AB1949"/>
    </row>
    <row r="1950" spans="27:28">
      <c r="AA1950"/>
      <c r="AB1950"/>
    </row>
    <row r="1951" spans="27:28">
      <c r="AA1951"/>
      <c r="AB1951"/>
    </row>
    <row r="1952" spans="27:28">
      <c r="AA1952"/>
      <c r="AB1952"/>
    </row>
    <row r="1953" spans="27:28">
      <c r="AA1953"/>
      <c r="AB1953"/>
    </row>
    <row r="1954" spans="27:28">
      <c r="AA1954"/>
      <c r="AB1954"/>
    </row>
    <row r="1955" spans="27:28">
      <c r="AA1955"/>
      <c r="AB1955"/>
    </row>
    <row r="1956" spans="27:28">
      <c r="AA1956"/>
      <c r="AB1956"/>
    </row>
    <row r="1957" spans="27:28">
      <c r="AA1957"/>
      <c r="AB1957"/>
    </row>
    <row r="1958" spans="27:28">
      <c r="AA1958"/>
      <c r="AB1958"/>
    </row>
    <row r="1959" spans="27:28">
      <c r="AA1959"/>
      <c r="AB1959"/>
    </row>
    <row r="1960" spans="27:28">
      <c r="AA1960"/>
      <c r="AB1960"/>
    </row>
    <row r="1961" spans="27:28">
      <c r="AA1961"/>
      <c r="AB1961"/>
    </row>
    <row r="1962" spans="27:28">
      <c r="AA1962"/>
      <c r="AB1962"/>
    </row>
    <row r="1963" spans="27:28">
      <c r="AA1963"/>
      <c r="AB1963"/>
    </row>
    <row r="1964" spans="27:28">
      <c r="AA1964"/>
      <c r="AB1964"/>
    </row>
    <row r="1965" spans="27:28">
      <c r="AA1965"/>
      <c r="AB1965"/>
    </row>
    <row r="1966" spans="27:28">
      <c r="AA1966"/>
      <c r="AB1966"/>
    </row>
    <row r="1967" spans="27:28">
      <c r="AA1967"/>
      <c r="AB1967"/>
    </row>
    <row r="1968" spans="27:28">
      <c r="AA1968"/>
      <c r="AB1968"/>
    </row>
    <row r="1969" spans="27:28">
      <c r="AA1969"/>
      <c r="AB1969"/>
    </row>
    <row r="1970" spans="27:28">
      <c r="AA1970"/>
      <c r="AB1970"/>
    </row>
    <row r="1971" spans="27:28">
      <c r="AA1971"/>
      <c r="AB1971"/>
    </row>
    <row r="1972" spans="27:28">
      <c r="AA1972"/>
      <c r="AB1972"/>
    </row>
    <row r="1973" spans="27:28">
      <c r="AA1973"/>
      <c r="AB1973"/>
    </row>
    <row r="1974" spans="27:28">
      <c r="AA1974"/>
      <c r="AB1974"/>
    </row>
    <row r="1975" spans="27:28">
      <c r="AA1975"/>
      <c r="AB1975"/>
    </row>
    <row r="1976" spans="27:28">
      <c r="AA1976"/>
      <c r="AB1976"/>
    </row>
    <row r="1977" spans="27:28">
      <c r="AA1977"/>
      <c r="AB1977"/>
    </row>
    <row r="1978" spans="27:28">
      <c r="AA1978"/>
      <c r="AB1978"/>
    </row>
    <row r="1979" spans="27:28">
      <c r="AA1979"/>
      <c r="AB1979"/>
    </row>
    <row r="1980" spans="27:28">
      <c r="AA1980"/>
      <c r="AB1980"/>
    </row>
    <row r="1981" spans="27:28">
      <c r="AA1981"/>
      <c r="AB1981"/>
    </row>
    <row r="1982" spans="27:28">
      <c r="AA1982"/>
      <c r="AB1982"/>
    </row>
    <row r="1983" spans="27:28">
      <c r="AA1983"/>
      <c r="AB1983"/>
    </row>
    <row r="1984" spans="27:28">
      <c r="AA1984"/>
      <c r="AB1984"/>
    </row>
    <row r="1985" spans="27:28">
      <c r="AA1985"/>
      <c r="AB1985"/>
    </row>
    <row r="1986" spans="27:28">
      <c r="AA1986"/>
      <c r="AB1986"/>
    </row>
    <row r="1987" spans="27:28">
      <c r="AA1987"/>
      <c r="AB1987"/>
    </row>
    <row r="1988" spans="27:28">
      <c r="AA1988"/>
      <c r="AB1988"/>
    </row>
    <row r="1989" spans="27:28">
      <c r="AA1989"/>
      <c r="AB1989"/>
    </row>
    <row r="1990" spans="27:28">
      <c r="AA1990"/>
      <c r="AB1990"/>
    </row>
    <row r="1991" spans="27:28">
      <c r="AA1991"/>
      <c r="AB1991"/>
    </row>
    <row r="1992" spans="27:28">
      <c r="AA1992"/>
      <c r="AB1992"/>
    </row>
    <row r="1993" spans="27:28">
      <c r="AA1993"/>
      <c r="AB1993"/>
    </row>
    <row r="1994" spans="27:28">
      <c r="AA1994"/>
      <c r="AB1994"/>
    </row>
    <row r="1995" spans="27:28">
      <c r="AA1995"/>
      <c r="AB1995"/>
    </row>
    <row r="1996" spans="27:28">
      <c r="AA1996"/>
      <c r="AB1996"/>
    </row>
    <row r="1997" spans="27:28">
      <c r="AA1997"/>
      <c r="AB1997"/>
    </row>
    <row r="1998" spans="27:28">
      <c r="AA1998"/>
      <c r="AB1998"/>
    </row>
    <row r="1999" spans="27:28">
      <c r="AA1999"/>
      <c r="AB1999"/>
    </row>
    <row r="2000" spans="27:28">
      <c r="AA2000"/>
      <c r="AB2000"/>
    </row>
    <row r="2001" spans="27:28">
      <c r="AA2001"/>
      <c r="AB2001"/>
    </row>
    <row r="2002" spans="27:28">
      <c r="AA2002"/>
      <c r="AB2002"/>
    </row>
    <row r="2003" spans="27:28">
      <c r="AA2003"/>
      <c r="AB2003"/>
    </row>
    <row r="2004" spans="27:28">
      <c r="AA2004"/>
      <c r="AB2004"/>
    </row>
    <row r="2005" spans="27:28">
      <c r="AA2005"/>
      <c r="AB2005"/>
    </row>
    <row r="2006" spans="27:28">
      <c r="AA2006"/>
      <c r="AB2006"/>
    </row>
    <row r="2007" spans="27:28">
      <c r="AA2007"/>
      <c r="AB2007"/>
    </row>
    <row r="2008" spans="27:28">
      <c r="AA2008"/>
      <c r="AB2008"/>
    </row>
    <row r="2009" spans="27:28">
      <c r="AA2009"/>
      <c r="AB2009"/>
    </row>
    <row r="2010" spans="27:28">
      <c r="AA2010"/>
      <c r="AB2010"/>
    </row>
    <row r="2011" spans="27:28">
      <c r="AA2011"/>
      <c r="AB2011"/>
    </row>
    <row r="2012" spans="27:28">
      <c r="AA2012"/>
      <c r="AB2012"/>
    </row>
    <row r="2013" spans="27:28">
      <c r="AA2013"/>
      <c r="AB2013"/>
    </row>
    <row r="2014" spans="27:28">
      <c r="AA2014"/>
      <c r="AB2014"/>
    </row>
    <row r="2015" spans="27:28">
      <c r="AA2015"/>
      <c r="AB2015"/>
    </row>
    <row r="2016" spans="27:28">
      <c r="AA2016"/>
      <c r="AB2016"/>
    </row>
    <row r="2017" spans="27:28">
      <c r="AA2017"/>
      <c r="AB2017"/>
    </row>
    <row r="2018" spans="27:28">
      <c r="AA2018"/>
      <c r="AB2018"/>
    </row>
    <row r="2019" spans="27:28">
      <c r="AA2019"/>
      <c r="AB2019"/>
    </row>
    <row r="2020" spans="27:28">
      <c r="AA2020"/>
      <c r="AB2020"/>
    </row>
    <row r="2021" spans="27:28">
      <c r="AA2021"/>
      <c r="AB2021"/>
    </row>
    <row r="2022" spans="27:28">
      <c r="AA2022"/>
      <c r="AB2022"/>
    </row>
    <row r="2023" spans="27:28">
      <c r="AA2023"/>
      <c r="AB2023"/>
    </row>
    <row r="2024" spans="27:28">
      <c r="AA2024"/>
      <c r="AB2024"/>
    </row>
    <row r="2025" spans="27:28">
      <c r="AA2025"/>
      <c r="AB2025"/>
    </row>
    <row r="2026" spans="27:28">
      <c r="AA2026"/>
      <c r="AB2026"/>
    </row>
    <row r="2027" spans="27:28">
      <c r="AA2027"/>
      <c r="AB2027"/>
    </row>
    <row r="2028" spans="27:28">
      <c r="AA2028"/>
      <c r="AB2028"/>
    </row>
    <row r="2029" spans="27:28">
      <c r="AA2029"/>
      <c r="AB2029"/>
    </row>
    <row r="2030" spans="27:28">
      <c r="AA2030"/>
      <c r="AB2030"/>
    </row>
    <row r="2031" spans="27:28">
      <c r="AA2031"/>
      <c r="AB2031"/>
    </row>
    <row r="2032" spans="27:28">
      <c r="AA2032"/>
      <c r="AB2032"/>
    </row>
    <row r="2033" spans="27:28">
      <c r="AA2033"/>
      <c r="AB2033"/>
    </row>
    <row r="2034" spans="27:28">
      <c r="AA2034"/>
      <c r="AB2034"/>
    </row>
    <row r="2035" spans="27:28">
      <c r="AA2035"/>
      <c r="AB2035"/>
    </row>
    <row r="2036" spans="27:28">
      <c r="AA2036"/>
      <c r="AB2036"/>
    </row>
    <row r="2037" spans="27:28">
      <c r="AA2037"/>
      <c r="AB2037"/>
    </row>
    <row r="2038" spans="27:28">
      <c r="AA2038"/>
      <c r="AB2038"/>
    </row>
    <row r="2039" spans="27:28">
      <c r="AA2039"/>
      <c r="AB2039"/>
    </row>
    <row r="2040" spans="27:28">
      <c r="AA2040"/>
      <c r="AB2040"/>
    </row>
    <row r="2041" spans="27:28">
      <c r="AA2041"/>
      <c r="AB2041"/>
    </row>
    <row r="2042" spans="27:28">
      <c r="AA2042"/>
      <c r="AB2042"/>
    </row>
    <row r="2043" spans="27:28">
      <c r="AA2043"/>
      <c r="AB2043"/>
    </row>
    <row r="2044" spans="27:28">
      <c r="AA2044"/>
      <c r="AB2044"/>
    </row>
    <row r="2045" spans="27:28">
      <c r="AA2045"/>
      <c r="AB2045"/>
    </row>
    <row r="2046" spans="27:28">
      <c r="AA2046"/>
      <c r="AB2046"/>
    </row>
    <row r="2047" spans="27:28">
      <c r="AA2047"/>
      <c r="AB2047"/>
    </row>
    <row r="2048" spans="27:28">
      <c r="AA2048"/>
      <c r="AB2048"/>
    </row>
    <row r="2049" spans="27:28">
      <c r="AA2049"/>
      <c r="AB2049"/>
    </row>
    <row r="2050" spans="27:28">
      <c r="AA2050"/>
      <c r="AB2050"/>
    </row>
    <row r="2051" spans="27:28">
      <c r="AA2051"/>
      <c r="AB2051"/>
    </row>
    <row r="2052" spans="27:28">
      <c r="AA2052"/>
      <c r="AB2052"/>
    </row>
    <row r="2053" spans="27:28">
      <c r="AA2053"/>
      <c r="AB2053"/>
    </row>
    <row r="2054" spans="27:28">
      <c r="AA2054"/>
      <c r="AB2054"/>
    </row>
    <row r="2055" spans="27:28">
      <c r="AA2055"/>
      <c r="AB2055"/>
    </row>
    <row r="2056" spans="27:28">
      <c r="AA2056"/>
      <c r="AB2056"/>
    </row>
    <row r="2057" spans="27:28">
      <c r="AA2057"/>
      <c r="AB2057"/>
    </row>
    <row r="2058" spans="27:28">
      <c r="AA2058"/>
      <c r="AB2058"/>
    </row>
    <row r="2059" spans="27:28">
      <c r="AA2059"/>
      <c r="AB2059"/>
    </row>
    <row r="2060" spans="27:28">
      <c r="AA2060"/>
      <c r="AB2060"/>
    </row>
    <row r="2061" spans="27:28">
      <c r="AA2061"/>
      <c r="AB2061"/>
    </row>
    <row r="2062" spans="27:28">
      <c r="AA2062"/>
      <c r="AB2062"/>
    </row>
    <row r="2063" spans="27:28">
      <c r="AA2063"/>
      <c r="AB2063"/>
    </row>
    <row r="2064" spans="27:28">
      <c r="AA2064"/>
      <c r="AB2064"/>
    </row>
    <row r="2065" spans="27:28">
      <c r="AA2065"/>
      <c r="AB2065"/>
    </row>
    <row r="2066" spans="27:28">
      <c r="AA2066"/>
      <c r="AB2066"/>
    </row>
    <row r="2067" spans="27:28">
      <c r="AA2067"/>
      <c r="AB2067"/>
    </row>
    <row r="2068" spans="27:28">
      <c r="AA2068"/>
      <c r="AB2068"/>
    </row>
    <row r="2069" spans="27:28">
      <c r="AA2069"/>
      <c r="AB2069"/>
    </row>
    <row r="2070" spans="27:28">
      <c r="AA2070"/>
      <c r="AB2070"/>
    </row>
    <row r="2071" spans="27:28">
      <c r="AA2071"/>
      <c r="AB2071"/>
    </row>
    <row r="2072" spans="27:28">
      <c r="AA2072"/>
      <c r="AB2072"/>
    </row>
    <row r="2073" spans="27:28">
      <c r="AA2073"/>
      <c r="AB2073"/>
    </row>
    <row r="2074" spans="27:28">
      <c r="AA2074"/>
      <c r="AB2074"/>
    </row>
    <row r="2075" spans="27:28">
      <c r="AA2075"/>
      <c r="AB2075"/>
    </row>
    <row r="2076" spans="27:28">
      <c r="AA2076"/>
      <c r="AB2076"/>
    </row>
    <row r="2077" spans="27:28">
      <c r="AA2077"/>
      <c r="AB2077"/>
    </row>
    <row r="2078" spans="27:28">
      <c r="AA2078"/>
      <c r="AB2078"/>
    </row>
    <row r="2079" spans="27:28">
      <c r="AA2079"/>
      <c r="AB2079"/>
    </row>
    <row r="2080" spans="27:28">
      <c r="AA2080"/>
      <c r="AB2080"/>
    </row>
    <row r="2081" spans="27:28">
      <c r="AA2081"/>
      <c r="AB2081"/>
    </row>
    <row r="2082" spans="27:28">
      <c r="AA2082"/>
      <c r="AB2082"/>
    </row>
    <row r="2083" spans="27:28">
      <c r="AA2083"/>
      <c r="AB2083"/>
    </row>
    <row r="2084" spans="27:28">
      <c r="AA2084"/>
      <c r="AB2084"/>
    </row>
    <row r="2085" spans="27:28">
      <c r="AA2085"/>
      <c r="AB2085"/>
    </row>
    <row r="2086" spans="27:28">
      <c r="AA2086"/>
      <c r="AB2086"/>
    </row>
    <row r="2087" spans="27:28">
      <c r="AA2087"/>
      <c r="AB2087"/>
    </row>
    <row r="2088" spans="27:28">
      <c r="AA2088"/>
      <c r="AB2088"/>
    </row>
    <row r="2089" spans="27:28">
      <c r="AA2089"/>
      <c r="AB2089"/>
    </row>
    <row r="2090" spans="27:28">
      <c r="AA2090"/>
      <c r="AB2090"/>
    </row>
    <row r="2091" spans="27:28">
      <c r="AA2091"/>
      <c r="AB2091"/>
    </row>
    <row r="2092" spans="27:28">
      <c r="AA2092"/>
      <c r="AB2092"/>
    </row>
    <row r="2093" spans="27:28">
      <c r="AA2093"/>
      <c r="AB2093"/>
    </row>
    <row r="2094" spans="27:28">
      <c r="AA2094"/>
      <c r="AB2094"/>
    </row>
    <row r="2095" spans="27:28">
      <c r="AA2095"/>
      <c r="AB2095"/>
    </row>
    <row r="2096" spans="27:28">
      <c r="AA2096"/>
      <c r="AB2096"/>
    </row>
    <row r="2097" spans="27:28">
      <c r="AA2097"/>
      <c r="AB2097"/>
    </row>
    <row r="2098" spans="27:28">
      <c r="AA2098"/>
      <c r="AB2098"/>
    </row>
    <row r="2099" spans="27:28">
      <c r="AA2099"/>
      <c r="AB2099"/>
    </row>
    <row r="2100" spans="27:28">
      <c r="AA2100"/>
      <c r="AB2100"/>
    </row>
    <row r="2101" spans="27:28">
      <c r="AA2101"/>
      <c r="AB2101"/>
    </row>
    <row r="2102" spans="27:28">
      <c r="AA2102"/>
      <c r="AB2102"/>
    </row>
    <row r="2103" spans="27:28">
      <c r="AA2103"/>
      <c r="AB2103"/>
    </row>
    <row r="2104" spans="27:28">
      <c r="AA2104"/>
      <c r="AB2104"/>
    </row>
    <row r="2105" spans="27:28">
      <c r="AA2105"/>
      <c r="AB2105"/>
    </row>
    <row r="2106" spans="27:28">
      <c r="AA2106"/>
      <c r="AB2106"/>
    </row>
    <row r="2107" spans="27:28">
      <c r="AA2107"/>
      <c r="AB2107"/>
    </row>
    <row r="2108" spans="27:28">
      <c r="AA2108"/>
      <c r="AB2108"/>
    </row>
    <row r="2109" spans="27:28">
      <c r="AA2109"/>
      <c r="AB2109"/>
    </row>
    <row r="2110" spans="27:28">
      <c r="AA2110"/>
      <c r="AB2110"/>
    </row>
    <row r="2111" spans="27:28">
      <c r="AA2111"/>
      <c r="AB2111"/>
    </row>
    <row r="2112" spans="27:28">
      <c r="AA2112"/>
      <c r="AB2112"/>
    </row>
    <row r="2113" spans="27:28">
      <c r="AA2113"/>
      <c r="AB2113"/>
    </row>
    <row r="2114" spans="27:28">
      <c r="AA2114"/>
      <c r="AB2114"/>
    </row>
    <row r="2115" spans="27:28">
      <c r="AA2115"/>
      <c r="AB2115"/>
    </row>
    <row r="2116" spans="27:28">
      <c r="AA2116"/>
      <c r="AB2116"/>
    </row>
    <row r="2117" spans="27:28">
      <c r="AA2117"/>
      <c r="AB2117"/>
    </row>
    <row r="2118" spans="27:28">
      <c r="AA2118"/>
      <c r="AB2118"/>
    </row>
    <row r="2119" spans="27:28">
      <c r="AA2119"/>
      <c r="AB2119"/>
    </row>
    <row r="2120" spans="27:28">
      <c r="AA2120"/>
      <c r="AB2120"/>
    </row>
    <row r="2121" spans="27:28">
      <c r="AA2121"/>
      <c r="AB2121"/>
    </row>
    <row r="2122" spans="27:28">
      <c r="AA2122"/>
      <c r="AB2122"/>
    </row>
    <row r="2123" spans="27:28">
      <c r="AA2123"/>
      <c r="AB2123"/>
    </row>
    <row r="2124" spans="27:28">
      <c r="AA2124"/>
      <c r="AB2124"/>
    </row>
    <row r="2125" spans="27:28">
      <c r="AA2125"/>
      <c r="AB2125"/>
    </row>
    <row r="2126" spans="27:28">
      <c r="AA2126"/>
      <c r="AB2126"/>
    </row>
    <row r="2127" spans="27:28">
      <c r="AA2127"/>
      <c r="AB2127"/>
    </row>
    <row r="2128" spans="27:28">
      <c r="AA2128"/>
      <c r="AB2128"/>
    </row>
    <row r="2129" spans="27:28">
      <c r="AA2129"/>
      <c r="AB2129"/>
    </row>
    <row r="2130" spans="27:28">
      <c r="AA2130"/>
      <c r="AB2130"/>
    </row>
    <row r="2131" spans="27:28">
      <c r="AA2131"/>
      <c r="AB2131"/>
    </row>
    <row r="2132" spans="27:28">
      <c r="AA2132"/>
      <c r="AB2132"/>
    </row>
    <row r="2133" spans="27:28">
      <c r="AA2133"/>
      <c r="AB2133"/>
    </row>
    <row r="2134" spans="27:28">
      <c r="AA2134"/>
      <c r="AB2134"/>
    </row>
    <row r="2135" spans="27:28">
      <c r="AA2135"/>
      <c r="AB2135"/>
    </row>
    <row r="2136" spans="27:28">
      <c r="AA2136"/>
      <c r="AB2136"/>
    </row>
    <row r="2137" spans="27:28">
      <c r="AA2137"/>
      <c r="AB2137"/>
    </row>
    <row r="2138" spans="27:28">
      <c r="AA2138"/>
      <c r="AB2138"/>
    </row>
    <row r="2139" spans="27:28">
      <c r="AA2139"/>
      <c r="AB2139"/>
    </row>
    <row r="2140" spans="27:28">
      <c r="AA2140"/>
      <c r="AB2140"/>
    </row>
    <row r="2141" spans="27:28">
      <c r="AA2141"/>
      <c r="AB2141"/>
    </row>
    <row r="2142" spans="27:28">
      <c r="AA2142"/>
      <c r="AB2142"/>
    </row>
    <row r="2143" spans="27:28">
      <c r="AA2143"/>
      <c r="AB2143"/>
    </row>
    <row r="2144" spans="27:28">
      <c r="AA2144"/>
      <c r="AB2144"/>
    </row>
    <row r="2145" spans="27:28">
      <c r="AA2145"/>
      <c r="AB2145"/>
    </row>
    <row r="2146" spans="27:28">
      <c r="AA2146"/>
      <c r="AB2146"/>
    </row>
    <row r="2147" spans="27:28">
      <c r="AA2147"/>
      <c r="AB2147"/>
    </row>
    <row r="2148" spans="27:28">
      <c r="AA2148"/>
      <c r="AB2148"/>
    </row>
    <row r="2149" spans="27:28">
      <c r="AA2149"/>
      <c r="AB2149"/>
    </row>
    <row r="2150" spans="27:28">
      <c r="AA2150"/>
      <c r="AB2150"/>
    </row>
    <row r="2151" spans="27:28">
      <c r="AA2151"/>
      <c r="AB2151"/>
    </row>
    <row r="2152" spans="27:28">
      <c r="AA2152"/>
      <c r="AB2152"/>
    </row>
    <row r="2153" spans="27:28">
      <c r="AA2153"/>
      <c r="AB2153"/>
    </row>
    <row r="2154" spans="27:28">
      <c r="AA2154"/>
      <c r="AB2154"/>
    </row>
    <row r="2155" spans="27:28">
      <c r="AA2155"/>
      <c r="AB2155"/>
    </row>
    <row r="2156" spans="27:28">
      <c r="AA2156"/>
      <c r="AB2156"/>
    </row>
    <row r="2157" spans="27:28">
      <c r="AA2157"/>
      <c r="AB2157"/>
    </row>
    <row r="2158" spans="27:28">
      <c r="AA2158"/>
      <c r="AB2158"/>
    </row>
    <row r="2159" spans="27:28">
      <c r="AA2159"/>
      <c r="AB2159"/>
    </row>
    <row r="2160" spans="27:28">
      <c r="AA2160"/>
      <c r="AB2160"/>
    </row>
    <row r="2161" spans="27:28">
      <c r="AA2161"/>
      <c r="AB2161"/>
    </row>
    <row r="2162" spans="27:28">
      <c r="AA2162"/>
      <c r="AB2162"/>
    </row>
    <row r="2163" spans="27:28">
      <c r="AA2163"/>
      <c r="AB2163"/>
    </row>
    <row r="2164" spans="27:28">
      <c r="AA2164"/>
      <c r="AB2164"/>
    </row>
    <row r="2165" spans="27:28">
      <c r="AA2165"/>
      <c r="AB2165"/>
    </row>
    <row r="2166" spans="27:28">
      <c r="AA2166"/>
      <c r="AB2166"/>
    </row>
    <row r="2167" spans="27:28">
      <c r="AA2167"/>
      <c r="AB2167"/>
    </row>
    <row r="2168" spans="27:28">
      <c r="AA2168"/>
      <c r="AB2168"/>
    </row>
    <row r="2169" spans="27:28">
      <c r="AA2169"/>
      <c r="AB2169"/>
    </row>
    <row r="2170" spans="27:28">
      <c r="AA2170"/>
      <c r="AB2170"/>
    </row>
    <row r="2171" spans="27:28">
      <c r="AA2171"/>
      <c r="AB2171"/>
    </row>
    <row r="2172" spans="27:28">
      <c r="AA2172"/>
      <c r="AB2172"/>
    </row>
    <row r="2173" spans="27:28">
      <c r="AA2173"/>
      <c r="AB2173"/>
    </row>
    <row r="2174" spans="27:28">
      <c r="AA2174"/>
      <c r="AB2174"/>
    </row>
    <row r="2175" spans="27:28">
      <c r="AA2175"/>
      <c r="AB2175"/>
    </row>
    <row r="2176" spans="27:28">
      <c r="AA2176"/>
      <c r="AB2176"/>
    </row>
    <row r="2177" spans="27:28">
      <c r="AA2177"/>
      <c r="AB2177"/>
    </row>
    <row r="2178" spans="27:28">
      <c r="AA2178"/>
      <c r="AB2178"/>
    </row>
    <row r="2179" spans="27:28">
      <c r="AA2179"/>
      <c r="AB2179"/>
    </row>
    <row r="2180" spans="27:28">
      <c r="AA2180"/>
      <c r="AB2180"/>
    </row>
    <row r="2181" spans="27:28">
      <c r="AA2181"/>
      <c r="AB2181"/>
    </row>
    <row r="2182" spans="27:28">
      <c r="AA2182"/>
      <c r="AB2182"/>
    </row>
    <row r="2183" spans="27:28">
      <c r="AA2183"/>
      <c r="AB2183"/>
    </row>
    <row r="2184" spans="27:28">
      <c r="AA2184"/>
      <c r="AB2184"/>
    </row>
    <row r="2185" spans="27:28">
      <c r="AA2185"/>
      <c r="AB2185"/>
    </row>
    <row r="2186" spans="27:28">
      <c r="AA2186"/>
      <c r="AB2186"/>
    </row>
    <row r="2187" spans="27:28">
      <c r="AA2187"/>
      <c r="AB2187"/>
    </row>
    <row r="2188" spans="27:28">
      <c r="AA2188"/>
      <c r="AB2188"/>
    </row>
    <row r="2189" spans="27:28">
      <c r="AA2189"/>
      <c r="AB2189"/>
    </row>
    <row r="2190" spans="27:28">
      <c r="AA2190"/>
      <c r="AB2190"/>
    </row>
    <row r="2191" spans="27:28">
      <c r="AA2191"/>
      <c r="AB2191"/>
    </row>
    <row r="2192" spans="27:28">
      <c r="AA2192"/>
      <c r="AB2192"/>
    </row>
    <row r="2193" spans="27:28">
      <c r="AA2193"/>
      <c r="AB2193"/>
    </row>
    <row r="2194" spans="27:28">
      <c r="AA2194"/>
      <c r="AB2194"/>
    </row>
    <row r="2195" spans="27:28">
      <c r="AA2195"/>
      <c r="AB2195"/>
    </row>
    <row r="2196" spans="27:28">
      <c r="AA2196"/>
      <c r="AB2196"/>
    </row>
    <row r="2197" spans="27:28">
      <c r="AA2197"/>
      <c r="AB2197"/>
    </row>
    <row r="2198" spans="27:28">
      <c r="AA2198"/>
      <c r="AB2198"/>
    </row>
    <row r="2199" spans="27:28">
      <c r="AA2199"/>
      <c r="AB2199"/>
    </row>
    <row r="2200" spans="27:28">
      <c r="AA2200"/>
      <c r="AB2200"/>
    </row>
    <row r="2201" spans="27:28">
      <c r="AA2201"/>
      <c r="AB2201"/>
    </row>
    <row r="2202" spans="27:28">
      <c r="AA2202"/>
      <c r="AB2202"/>
    </row>
    <row r="2203" spans="27:28">
      <c r="AA2203"/>
      <c r="AB2203"/>
    </row>
    <row r="2204" spans="27:28">
      <c r="AA2204"/>
      <c r="AB2204"/>
    </row>
    <row r="2205" spans="27:28">
      <c r="AA2205"/>
      <c r="AB2205"/>
    </row>
    <row r="2206" spans="27:28">
      <c r="AA2206"/>
      <c r="AB2206"/>
    </row>
    <row r="2207" spans="27:28">
      <c r="AA2207"/>
      <c r="AB2207"/>
    </row>
    <row r="2208" spans="27:28">
      <c r="AA2208"/>
      <c r="AB2208"/>
    </row>
    <row r="2209" spans="27:28">
      <c r="AA2209"/>
      <c r="AB2209"/>
    </row>
    <row r="2210" spans="27:28">
      <c r="AA2210"/>
      <c r="AB2210"/>
    </row>
    <row r="2211" spans="27:28">
      <c r="AA2211"/>
      <c r="AB2211"/>
    </row>
    <row r="2212" spans="27:28">
      <c r="AA2212"/>
      <c r="AB2212"/>
    </row>
    <row r="2213" spans="27:28">
      <c r="AA2213"/>
      <c r="AB2213"/>
    </row>
    <row r="2214" spans="27:28">
      <c r="AA2214"/>
      <c r="AB2214"/>
    </row>
    <row r="2215" spans="27:28">
      <c r="AA2215"/>
      <c r="AB2215"/>
    </row>
    <row r="2216" spans="27:28">
      <c r="AA2216"/>
      <c r="AB2216"/>
    </row>
    <row r="2217" spans="27:28">
      <c r="AA2217"/>
      <c r="AB2217"/>
    </row>
    <row r="2218" spans="27:28">
      <c r="AA2218"/>
      <c r="AB2218"/>
    </row>
    <row r="2219" spans="27:28">
      <c r="AA2219"/>
      <c r="AB2219"/>
    </row>
    <row r="2220" spans="27:28">
      <c r="AA2220"/>
      <c r="AB2220"/>
    </row>
    <row r="2221" spans="27:28">
      <c r="AA2221"/>
      <c r="AB2221"/>
    </row>
    <row r="2222" spans="27:28">
      <c r="AA2222"/>
      <c r="AB2222"/>
    </row>
    <row r="2223" spans="27:28">
      <c r="AA2223"/>
      <c r="AB2223"/>
    </row>
    <row r="2224" spans="27:28">
      <c r="AA2224"/>
      <c r="AB2224"/>
    </row>
    <row r="2225" spans="27:28">
      <c r="AA2225"/>
      <c r="AB2225"/>
    </row>
    <row r="2226" spans="27:28">
      <c r="AA2226"/>
      <c r="AB2226"/>
    </row>
    <row r="2227" spans="27:28">
      <c r="AA2227"/>
      <c r="AB2227"/>
    </row>
    <row r="2228" spans="27:28">
      <c r="AA2228"/>
      <c r="AB2228"/>
    </row>
    <row r="2229" spans="27:28">
      <c r="AA2229"/>
      <c r="AB2229"/>
    </row>
    <row r="2230" spans="27:28">
      <c r="AA2230"/>
      <c r="AB2230"/>
    </row>
    <row r="2231" spans="27:28">
      <c r="AA2231"/>
      <c r="AB2231"/>
    </row>
    <row r="2232" spans="27:28">
      <c r="AA2232"/>
      <c r="AB2232"/>
    </row>
    <row r="2233" spans="27:28">
      <c r="AA2233"/>
      <c r="AB2233"/>
    </row>
    <row r="2234" spans="27:28">
      <c r="AA2234"/>
      <c r="AB2234"/>
    </row>
    <row r="2235" spans="27:28">
      <c r="AA2235"/>
      <c r="AB2235"/>
    </row>
    <row r="2236" spans="27:28">
      <c r="AA2236"/>
      <c r="AB2236"/>
    </row>
    <row r="2237" spans="27:28">
      <c r="AA2237"/>
      <c r="AB2237"/>
    </row>
    <row r="2238" spans="27:28">
      <c r="AA2238"/>
      <c r="AB2238"/>
    </row>
    <row r="2239" spans="27:28">
      <c r="AA2239"/>
      <c r="AB2239"/>
    </row>
    <row r="2240" spans="27:28">
      <c r="AA2240"/>
      <c r="AB2240"/>
    </row>
    <row r="2241" spans="27:28">
      <c r="AA2241"/>
      <c r="AB2241"/>
    </row>
    <row r="2242" spans="27:28">
      <c r="AA2242"/>
      <c r="AB2242"/>
    </row>
    <row r="2243" spans="27:28">
      <c r="AA2243"/>
      <c r="AB2243"/>
    </row>
    <row r="2244" spans="27:28">
      <c r="AA2244"/>
      <c r="AB2244"/>
    </row>
    <row r="2245" spans="27:28">
      <c r="AA2245"/>
      <c r="AB2245"/>
    </row>
    <row r="2246" spans="27:28">
      <c r="AA2246"/>
      <c r="AB2246"/>
    </row>
    <row r="2247" spans="27:28">
      <c r="AA2247"/>
      <c r="AB2247"/>
    </row>
    <row r="2248" spans="27:28">
      <c r="AA2248"/>
      <c r="AB2248"/>
    </row>
    <row r="2249" spans="27:28">
      <c r="AA2249"/>
      <c r="AB2249"/>
    </row>
    <row r="2250" spans="27:28">
      <c r="AA2250"/>
      <c r="AB2250"/>
    </row>
    <row r="2251" spans="27:28">
      <c r="AA2251"/>
      <c r="AB2251"/>
    </row>
    <row r="2252" spans="27:28">
      <c r="AA2252"/>
      <c r="AB2252"/>
    </row>
    <row r="2253" spans="27:28">
      <c r="AA2253"/>
      <c r="AB2253"/>
    </row>
    <row r="2254" spans="27:28">
      <c r="AA2254"/>
      <c r="AB2254"/>
    </row>
    <row r="2255" spans="27:28">
      <c r="AA2255"/>
      <c r="AB2255"/>
    </row>
    <row r="2256" spans="27:28">
      <c r="AA2256"/>
      <c r="AB2256"/>
    </row>
    <row r="2257" spans="27:28">
      <c r="AA2257"/>
      <c r="AB2257"/>
    </row>
    <row r="2258" spans="27:28">
      <c r="AA2258"/>
      <c r="AB2258"/>
    </row>
    <row r="2259" spans="27:28">
      <c r="AA2259"/>
      <c r="AB2259"/>
    </row>
    <row r="2260" spans="27:28">
      <c r="AA2260"/>
      <c r="AB2260"/>
    </row>
    <row r="2261" spans="27:28">
      <c r="AA2261"/>
      <c r="AB2261"/>
    </row>
    <row r="2262" spans="27:28">
      <c r="AA2262"/>
      <c r="AB2262"/>
    </row>
    <row r="2263" spans="27:28">
      <c r="AA2263"/>
      <c r="AB2263"/>
    </row>
    <row r="2264" spans="27:28">
      <c r="AA2264"/>
      <c r="AB2264"/>
    </row>
    <row r="2265" spans="27:28">
      <c r="AA2265"/>
      <c r="AB2265"/>
    </row>
    <row r="2266" spans="27:28">
      <c r="AA2266"/>
      <c r="AB2266"/>
    </row>
    <row r="2267" spans="27:28">
      <c r="AA2267"/>
      <c r="AB2267"/>
    </row>
    <row r="2268" spans="27:28">
      <c r="AA2268"/>
      <c r="AB2268"/>
    </row>
    <row r="2269" spans="27:28">
      <c r="AA2269"/>
      <c r="AB2269"/>
    </row>
    <row r="2270" spans="27:28">
      <c r="AA2270"/>
      <c r="AB2270"/>
    </row>
    <row r="2271" spans="27:28">
      <c r="AA2271"/>
      <c r="AB2271"/>
    </row>
    <row r="2272" spans="27:28">
      <c r="AA2272"/>
      <c r="AB2272"/>
    </row>
    <row r="2273" spans="27:28">
      <c r="AA2273"/>
      <c r="AB2273"/>
    </row>
    <row r="2274" spans="27:28">
      <c r="AA2274"/>
      <c r="AB2274"/>
    </row>
    <row r="2275" spans="27:28">
      <c r="AA2275"/>
      <c r="AB2275"/>
    </row>
    <row r="2276" spans="27:28">
      <c r="AA2276"/>
      <c r="AB2276"/>
    </row>
    <row r="2277" spans="27:28">
      <c r="AA2277"/>
      <c r="AB2277"/>
    </row>
    <row r="2278" spans="27:28">
      <c r="AA2278"/>
      <c r="AB2278"/>
    </row>
    <row r="2279" spans="27:28">
      <c r="AA2279"/>
      <c r="AB2279"/>
    </row>
    <row r="2280" spans="27:28">
      <c r="AA2280"/>
      <c r="AB2280"/>
    </row>
    <row r="2281" spans="27:28">
      <c r="AA2281"/>
      <c r="AB2281"/>
    </row>
    <row r="2282" spans="27:28">
      <c r="AA2282"/>
      <c r="AB2282"/>
    </row>
    <row r="2283" spans="27:28">
      <c r="AA2283"/>
      <c r="AB2283"/>
    </row>
    <row r="2284" spans="27:28">
      <c r="AA2284"/>
      <c r="AB2284"/>
    </row>
    <row r="2285" spans="27:28">
      <c r="AA2285"/>
      <c r="AB2285"/>
    </row>
    <row r="2286" spans="27:28">
      <c r="AA2286"/>
      <c r="AB2286"/>
    </row>
    <row r="2287" spans="27:28">
      <c r="AA2287"/>
      <c r="AB2287"/>
    </row>
    <row r="2288" spans="27:28">
      <c r="AA2288"/>
      <c r="AB2288"/>
    </row>
    <row r="2289" spans="27:28">
      <c r="AA2289"/>
      <c r="AB2289"/>
    </row>
    <row r="2290" spans="27:28">
      <c r="AA2290"/>
      <c r="AB2290"/>
    </row>
    <row r="2291" spans="27:28">
      <c r="AA2291"/>
      <c r="AB2291"/>
    </row>
    <row r="2292" spans="27:28">
      <c r="AA2292"/>
      <c r="AB2292"/>
    </row>
    <row r="2293" spans="27:28">
      <c r="AA2293"/>
      <c r="AB2293"/>
    </row>
    <row r="2294" spans="27:28">
      <c r="AA2294"/>
      <c r="AB2294"/>
    </row>
    <row r="2295" spans="27:28">
      <c r="AA2295"/>
      <c r="AB2295"/>
    </row>
    <row r="2296" spans="27:28">
      <c r="AA2296"/>
      <c r="AB2296"/>
    </row>
    <row r="2297" spans="27:28">
      <c r="AA2297"/>
      <c r="AB2297"/>
    </row>
    <row r="2298" spans="27:28">
      <c r="AA2298"/>
      <c r="AB2298"/>
    </row>
    <row r="2299" spans="27:28">
      <c r="AA2299"/>
      <c r="AB2299"/>
    </row>
    <row r="2300" spans="27:28">
      <c r="AA2300"/>
      <c r="AB2300"/>
    </row>
    <row r="2301" spans="27:28">
      <c r="AA2301"/>
      <c r="AB2301"/>
    </row>
    <row r="2302" spans="27:28">
      <c r="AA2302"/>
      <c r="AB2302"/>
    </row>
    <row r="2303" spans="27:28">
      <c r="AA2303"/>
      <c r="AB2303"/>
    </row>
  </sheetData>
  <sheetProtection algorithmName="SHA-512" hashValue="hWEVaYfsNHF2PmPILzaDIannvnNd0a4ZV9ksOl4QLsMsCalUhvizczsaQbq/sUz5xO6OseIKSbk4QxDuqKkxEQ==" saltValue="paFsajlznkJOdGGeNqTJCA==" spinCount="100000" sheet="1" objects="1" scenarios="1"/>
  <mergeCells count="78">
    <mergeCell ref="Q28:R28"/>
    <mergeCell ref="A2:R2"/>
    <mergeCell ref="Q24:R24"/>
    <mergeCell ref="Q25:R25"/>
    <mergeCell ref="Q26:R26"/>
    <mergeCell ref="Q27:R27"/>
    <mergeCell ref="Q65:R65"/>
    <mergeCell ref="Q29:R29"/>
    <mergeCell ref="Q30:R30"/>
    <mergeCell ref="Q31:R31"/>
    <mergeCell ref="Q57:R57"/>
    <mergeCell ref="Q58:R58"/>
    <mergeCell ref="Q59:R59"/>
    <mergeCell ref="Q60:R60"/>
    <mergeCell ref="Q61:R61"/>
    <mergeCell ref="Q62:R62"/>
    <mergeCell ref="Q63:R63"/>
    <mergeCell ref="Q64:R64"/>
    <mergeCell ref="Q77:R77"/>
    <mergeCell ref="Q66:R66"/>
    <mergeCell ref="Q67:R67"/>
    <mergeCell ref="Q68:R68"/>
    <mergeCell ref="Q69:R69"/>
    <mergeCell ref="Q70:R70"/>
    <mergeCell ref="Q71:R71"/>
    <mergeCell ref="Q72:R72"/>
    <mergeCell ref="Q73:R73"/>
    <mergeCell ref="Q74:R74"/>
    <mergeCell ref="Q75:R75"/>
    <mergeCell ref="Q76:R76"/>
    <mergeCell ref="Q92:R92"/>
    <mergeCell ref="Q78:R78"/>
    <mergeCell ref="Q79:R79"/>
    <mergeCell ref="Q80:R80"/>
    <mergeCell ref="Q82:R82"/>
    <mergeCell ref="Q83:R83"/>
    <mergeCell ref="Q84:R84"/>
    <mergeCell ref="Q85:R85"/>
    <mergeCell ref="Q86:R86"/>
    <mergeCell ref="Q87:R87"/>
    <mergeCell ref="Q89:R89"/>
    <mergeCell ref="Q90:R90"/>
    <mergeCell ref="Q119:R119"/>
    <mergeCell ref="Q93:R93"/>
    <mergeCell ref="Q94:R94"/>
    <mergeCell ref="Q95:R95"/>
    <mergeCell ref="Q96:R96"/>
    <mergeCell ref="Q97:R97"/>
    <mergeCell ref="Q98:R98"/>
    <mergeCell ref="Q99:R99"/>
    <mergeCell ref="Q106:R106"/>
    <mergeCell ref="Q114:R114"/>
    <mergeCell ref="Q115:R115"/>
    <mergeCell ref="Q118:R118"/>
    <mergeCell ref="S126:T126"/>
    <mergeCell ref="Q127:R127"/>
    <mergeCell ref="S127:T127"/>
    <mergeCell ref="Q129:R129"/>
    <mergeCell ref="Q130:R130"/>
    <mergeCell ref="Q149:R149"/>
    <mergeCell ref="Q150:R150"/>
    <mergeCell ref="J136:K136"/>
    <mergeCell ref="Q120:R120"/>
    <mergeCell ref="Q126:R126"/>
    <mergeCell ref="Q131:R131"/>
    <mergeCell ref="Q132:R132"/>
    <mergeCell ref="Q133:R133"/>
    <mergeCell ref="J135:K135"/>
    <mergeCell ref="Q140:R140"/>
    <mergeCell ref="Q144:R144"/>
    <mergeCell ref="Q145:R145"/>
    <mergeCell ref="Q146:R146"/>
    <mergeCell ref="Q148:R148"/>
    <mergeCell ref="A152:B155"/>
    <mergeCell ref="D152:D154"/>
    <mergeCell ref="H154:H155"/>
    <mergeCell ref="C163:C165"/>
    <mergeCell ref="J137:K137"/>
  </mergeCells>
  <hyperlinks>
    <hyperlink ref="E152" r:id="rId1" xr:uid="{5D6DF8B8-DD51-4A0D-8404-60E7DDEA7B10}"/>
    <hyperlink ref="E153" r:id="rId2" xr:uid="{6101CC6A-EE0E-4188-BBFB-BD461F5C8D16}"/>
  </hyperlinks>
  <pageMargins left="0.7" right="0.7" top="0.75" bottom="0.75" header="0.3" footer="0.3"/>
  <pageSetup orientation="portrait" horizontalDpi="1200"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pageSetUpPr fitToPage="1"/>
  </sheetPr>
  <dimension ref="A1:BFO2069"/>
  <sheetViews>
    <sheetView showGridLines="0" topLeftCell="A202" zoomScaleNormal="100" workbookViewId="0">
      <selection activeCell="L217" sqref="L217"/>
    </sheetView>
  </sheetViews>
  <sheetFormatPr defaultColWidth="9.21875" defaultRowHeight="13.2"/>
  <cols>
    <col min="1" max="1" width="5.21875" style="12" customWidth="1"/>
    <col min="2" max="2" width="2.5546875" style="12" customWidth="1"/>
    <col min="3" max="3" width="2.21875" style="12" customWidth="1"/>
    <col min="4" max="10" width="8.77734375" style="12" customWidth="1"/>
    <col min="11" max="11" width="7.5546875" style="12" customWidth="1"/>
    <col min="12" max="15" width="9.21875" style="12" customWidth="1"/>
    <col min="16" max="16" width="8.77734375" style="12" customWidth="1"/>
    <col min="17" max="17" width="9.21875" style="12" customWidth="1"/>
    <col min="18" max="16384" width="9.21875" style="12"/>
  </cols>
  <sheetData>
    <row r="1" spans="1:19" ht="14.1" customHeight="1">
      <c r="A1" s="3484" t="e">
        <f>CONCATENATE("PART SEVEN - THRESHOLD CRITERIA","  -  ",#REF!," ",#REF!,", ",#REF!,", ",#REF!," County")</f>
        <v>#REF!</v>
      </c>
      <c r="B1" s="3485"/>
      <c r="C1" s="3485"/>
      <c r="D1" s="3485"/>
      <c r="E1" s="3485"/>
      <c r="F1" s="3485"/>
      <c r="G1" s="3485"/>
      <c r="H1" s="3485"/>
      <c r="I1" s="3485"/>
      <c r="J1" s="3485"/>
      <c r="K1" s="3485"/>
      <c r="L1" s="3485"/>
      <c r="M1" s="3485"/>
      <c r="N1" s="3485"/>
      <c r="O1" s="3485"/>
      <c r="P1" s="3485"/>
      <c r="Q1" s="3485"/>
      <c r="R1" s="1228"/>
      <c r="S1" s="1228"/>
    </row>
    <row r="2" spans="1:19" customFormat="1" ht="3" customHeight="1">
      <c r="R2" s="1228"/>
      <c r="S2" s="1228"/>
    </row>
    <row r="3" spans="1:19" ht="13.5" customHeight="1">
      <c r="A3" s="4485" t="str">
        <f>IF(OR(P27="Fail",P34="Fail",P40="Fail",P56="Fail",P74="Fail",P92="Fail",P130="Fail",P141="Fail",P151="Fail",P169="Fail",P177="Fail",P189="Fail",P217="Fail",P236="Fail",P256="Fail",P268="Fail",P281="Fail",P307="Fail",P326="Fail",P338="Fail",P354="Fail",P371="Fail",P380="Fail",P391="Fail",P428="Fail",P445="Fail"),"Preliminary Rating: FAIL",IF(OR(P27="",P34="",P40="",P56="",P74="",P92="",P130="",P141="",P151="",P169="",P177="",P189="",P217="",P236="",P256="",P268="",P281="",P307="",P326="",P338="",P354="",P371="",P380="",P391="",P428="",P445=""),"Preliminary Rating: Incomplete",IF(OR(P27="TBD",P34="TBD",P40="TBD",P56="TBD",P74="TBD",P92="TBD",P130="TBD",P141="TBD",P151="TBD",P169="TBD",P177="TBD",P189="TBD",P217="TBD",P236="TBD",P256="TBD",P268="TBD",P281="TBD",P307="TBD",P326="TBD",P338="TBD",P354="TBD",P371="TBD",P380="TBD",P391="TBD",P428="TBD",P445="TBD"),"Preliminary Rating: TBD","")))</f>
        <v>Preliminary Rating: Incomplete</v>
      </c>
      <c r="B3" s="4485"/>
      <c r="C3" s="4485"/>
      <c r="D3" s="4485"/>
      <c r="E3" s="4485"/>
      <c r="F3" s="4485"/>
      <c r="G3" s="4485"/>
      <c r="H3" s="4485" t="str">
        <f>IF(AND(NOT(A3="Preliminary Rating: Fail"),NOT(A3="Preliminary Rating: Incomplete"),NOT(A3="Preliminary Rating: TBD"),OR(P27="Conditional Pass",P34="Conditional Pass",P40="Conditional Pass",P56="Conditional Pass",P74="Conditional Pass",P92="Conditional Pass",P130="Conditional Pass",P141="Conditional Pass",P151="Conditional Pass",P169="Conditional Pass",P177="Conditional Pass",P189="Conditional Pass",P217="Conditional Pass",P236="Conditional Pass",P256="Conditional Pass",P268="Conditional Pass",P281="Conditional Pass",P307="Conditional Pass",P326="Conditional Pass",P338="Conditional Pass",P354="Conditional Pass",P371="Conditional Pass",P380="Conditional Pass",P391="Conditional Pass",P428="Conditional Pass",P445="Conditional Pass")),"Preliminary Rating: Conditional Pass","")</f>
        <v/>
      </c>
      <c r="I3" s="4485"/>
      <c r="J3" s="4485"/>
      <c r="K3" s="4485"/>
      <c r="L3" s="4485"/>
      <c r="M3" s="4485"/>
      <c r="N3" s="4485"/>
      <c r="O3" s="77"/>
      <c r="P3" s="4495" t="s">
        <v>1430</v>
      </c>
      <c r="Q3" s="4535" t="s">
        <v>1431</v>
      </c>
      <c r="R3" s="1228"/>
      <c r="S3" s="1228"/>
    </row>
    <row r="4" spans="1:19" ht="3" customHeight="1">
      <c r="A4" s="501"/>
      <c r="B4" s="4486"/>
      <c r="C4" s="4486"/>
      <c r="D4" s="4486"/>
      <c r="E4" s="501"/>
      <c r="F4" s="501"/>
      <c r="G4" s="501"/>
      <c r="H4" s="501"/>
      <c r="I4" s="77"/>
      <c r="J4" s="346"/>
      <c r="K4" s="501"/>
      <c r="L4" s="501"/>
      <c r="M4" s="501"/>
      <c r="N4" s="501"/>
      <c r="O4" s="77"/>
      <c r="P4" s="4496"/>
      <c r="Q4" s="4536"/>
      <c r="R4" s="1228"/>
      <c r="S4" s="1228"/>
    </row>
    <row r="5" spans="1:19">
      <c r="A5" s="77"/>
      <c r="B5" s="77"/>
      <c r="C5" s="77"/>
      <c r="D5" s="77"/>
      <c r="E5" s="4494" t="e">
        <f>#REF!</f>
        <v>#REF!</v>
      </c>
      <c r="F5" s="4494"/>
      <c r="G5" s="4494"/>
      <c r="H5" s="4494"/>
      <c r="I5" s="4494"/>
      <c r="J5" s="346"/>
      <c r="K5" s="2891"/>
      <c r="L5" s="2892" t="s">
        <v>6403</v>
      </c>
      <c r="M5" s="2893" t="e">
        <f>#REF!</f>
        <v>#REF!</v>
      </c>
      <c r="N5" s="2894"/>
      <c r="O5" s="2895"/>
      <c r="P5" s="4497"/>
      <c r="Q5" s="4537"/>
      <c r="R5" s="1072"/>
      <c r="S5" s="1072"/>
    </row>
    <row r="6" spans="1:19" ht="17.25" customHeight="1">
      <c r="A6" s="61" t="s">
        <v>6404</v>
      </c>
      <c r="B6" s="77"/>
      <c r="C6" s="77"/>
      <c r="D6" s="77"/>
      <c r="E6" s="77"/>
      <c r="F6" s="77"/>
      <c r="G6" s="77"/>
      <c r="H6" s="77"/>
      <c r="I6" s="346"/>
      <c r="J6" s="346"/>
      <c r="K6" s="4492" t="s">
        <v>6405</v>
      </c>
      <c r="L6" s="4492"/>
      <c r="M6" s="4492"/>
      <c r="N6" s="4492"/>
      <c r="O6" s="4493"/>
      <c r="P6" s="4487"/>
      <c r="Q6" s="4488"/>
      <c r="R6" s="1072"/>
      <c r="S6" s="1072"/>
    </row>
    <row r="7" spans="1:19" ht="12.6" customHeight="1">
      <c r="A7" s="62" t="s">
        <v>1434</v>
      </c>
      <c r="B7" s="77"/>
      <c r="C7" s="77"/>
      <c r="D7" s="77"/>
      <c r="E7" s="77"/>
      <c r="F7" s="77"/>
      <c r="G7" s="77"/>
      <c r="H7" s="723"/>
      <c r="I7" s="1227"/>
      <c r="J7" s="1227"/>
      <c r="K7" s="723"/>
      <c r="L7" s="723"/>
      <c r="M7" s="501"/>
      <c r="N7" s="501"/>
      <c r="O7" s="77"/>
      <c r="P7" s="77"/>
      <c r="Q7" s="77"/>
      <c r="R7" s="77"/>
      <c r="S7" s="77"/>
    </row>
    <row r="8" spans="1:19" ht="23.25" customHeight="1">
      <c r="A8" s="4489" t="s">
        <v>1435</v>
      </c>
      <c r="B8" s="4490"/>
      <c r="C8" s="4490"/>
      <c r="D8" s="4490"/>
      <c r="E8" s="4490"/>
      <c r="F8" s="4490"/>
      <c r="G8" s="4490"/>
      <c r="H8" s="4490"/>
      <c r="I8" s="4490"/>
      <c r="J8" s="4490"/>
      <c r="K8" s="4490"/>
      <c r="L8" s="4490"/>
      <c r="M8" s="4490"/>
      <c r="N8" s="4490"/>
      <c r="O8" s="4490"/>
      <c r="P8" s="4490"/>
      <c r="Q8" s="4491"/>
      <c r="R8" s="3199" t="s">
        <v>250</v>
      </c>
      <c r="S8" s="3179"/>
    </row>
    <row r="9" spans="1:19" ht="23.25" customHeight="1">
      <c r="A9" s="4471" t="s">
        <v>1436</v>
      </c>
      <c r="B9" s="4472"/>
      <c r="C9" s="4472"/>
      <c r="D9" s="4472"/>
      <c r="E9" s="4472"/>
      <c r="F9" s="4472"/>
      <c r="G9" s="4472"/>
      <c r="H9" s="4472"/>
      <c r="I9" s="4472"/>
      <c r="J9" s="4472"/>
      <c r="K9" s="4472"/>
      <c r="L9" s="4472"/>
      <c r="M9" s="4472"/>
      <c r="N9" s="4472"/>
      <c r="O9" s="4472"/>
      <c r="P9" s="4472"/>
      <c r="Q9" s="4473"/>
      <c r="R9" s="3199"/>
      <c r="S9" s="3179"/>
    </row>
    <row r="10" spans="1:19" ht="23.25" customHeight="1">
      <c r="A10" s="4471" t="s">
        <v>1437</v>
      </c>
      <c r="B10" s="4472"/>
      <c r="C10" s="4472"/>
      <c r="D10" s="4472"/>
      <c r="E10" s="4472"/>
      <c r="F10" s="4472"/>
      <c r="G10" s="4472"/>
      <c r="H10" s="4472"/>
      <c r="I10" s="4472"/>
      <c r="J10" s="4472"/>
      <c r="K10" s="4472"/>
      <c r="L10" s="4472"/>
      <c r="M10" s="4472"/>
      <c r="N10" s="4472"/>
      <c r="O10" s="4472"/>
      <c r="P10" s="4472"/>
      <c r="Q10" s="4473"/>
      <c r="R10" s="3199"/>
      <c r="S10" s="3179"/>
    </row>
    <row r="11" spans="1:19" ht="23.25" customHeight="1">
      <c r="A11" s="4471" t="s">
        <v>1438</v>
      </c>
      <c r="B11" s="4472"/>
      <c r="C11" s="4472"/>
      <c r="D11" s="4472"/>
      <c r="E11" s="4472"/>
      <c r="F11" s="4472"/>
      <c r="G11" s="4472"/>
      <c r="H11" s="4472"/>
      <c r="I11" s="4472"/>
      <c r="J11" s="4472"/>
      <c r="K11" s="4472"/>
      <c r="L11" s="4472"/>
      <c r="M11" s="4472"/>
      <c r="N11" s="4472"/>
      <c r="O11" s="4472"/>
      <c r="P11" s="4472"/>
      <c r="Q11" s="4473"/>
      <c r="R11" s="3199"/>
      <c r="S11" s="3179"/>
    </row>
    <row r="12" spans="1:19" ht="23.25" customHeight="1">
      <c r="A12" s="4471" t="s">
        <v>1439</v>
      </c>
      <c r="B12" s="4472"/>
      <c r="C12" s="4472"/>
      <c r="D12" s="4472"/>
      <c r="E12" s="4472"/>
      <c r="F12" s="4472"/>
      <c r="G12" s="4472"/>
      <c r="H12" s="4472"/>
      <c r="I12" s="4472"/>
      <c r="J12" s="4472"/>
      <c r="K12" s="4472"/>
      <c r="L12" s="4472"/>
      <c r="M12" s="4472"/>
      <c r="N12" s="4472"/>
      <c r="O12" s="4472"/>
      <c r="P12" s="4472"/>
      <c r="Q12" s="4473"/>
      <c r="R12" s="2513"/>
      <c r="S12" s="2513"/>
    </row>
    <row r="13" spans="1:19" ht="23.25" customHeight="1">
      <c r="A13" s="4471" t="s">
        <v>1440</v>
      </c>
      <c r="B13" s="4472"/>
      <c r="C13" s="4472"/>
      <c r="D13" s="4472"/>
      <c r="E13" s="4472"/>
      <c r="F13" s="4472"/>
      <c r="G13" s="4472"/>
      <c r="H13" s="4472"/>
      <c r="I13" s="4472"/>
      <c r="J13" s="4472"/>
      <c r="K13" s="4472"/>
      <c r="L13" s="4472"/>
      <c r="M13" s="4472"/>
      <c r="N13" s="4472"/>
      <c r="O13" s="4472"/>
      <c r="P13" s="4472"/>
      <c r="Q13" s="4473"/>
      <c r="R13" s="2513"/>
      <c r="S13" s="2513"/>
    </row>
    <row r="14" spans="1:19" ht="23.25" customHeight="1">
      <c r="A14" s="4471" t="s">
        <v>1441</v>
      </c>
      <c r="B14" s="4472"/>
      <c r="C14" s="4472"/>
      <c r="D14" s="4472"/>
      <c r="E14" s="4472"/>
      <c r="F14" s="4472"/>
      <c r="G14" s="4472"/>
      <c r="H14" s="4472"/>
      <c r="I14" s="4472"/>
      <c r="J14" s="4472"/>
      <c r="K14" s="4472"/>
      <c r="L14" s="4472"/>
      <c r="M14" s="4472"/>
      <c r="N14" s="4472"/>
      <c r="O14" s="4472"/>
      <c r="P14" s="4472"/>
      <c r="Q14" s="4473"/>
      <c r="R14" s="77"/>
      <c r="S14" s="77"/>
    </row>
    <row r="15" spans="1:19" ht="11.25" customHeight="1">
      <c r="A15" s="4471" t="s">
        <v>1442</v>
      </c>
      <c r="B15" s="4472"/>
      <c r="C15" s="4472"/>
      <c r="D15" s="4472"/>
      <c r="E15" s="4472"/>
      <c r="F15" s="4472"/>
      <c r="G15" s="4472"/>
      <c r="H15" s="4472"/>
      <c r="I15" s="4472"/>
      <c r="J15" s="4472"/>
      <c r="K15" s="4472"/>
      <c r="L15" s="4472"/>
      <c r="M15" s="4472"/>
      <c r="N15" s="4472"/>
      <c r="O15" s="4472"/>
      <c r="P15" s="4472"/>
      <c r="Q15" s="4473"/>
      <c r="R15" s="3199"/>
      <c r="S15" s="3179"/>
    </row>
    <row r="16" spans="1:19" ht="11.25" customHeight="1">
      <c r="A16" s="4471" t="s">
        <v>1443</v>
      </c>
      <c r="B16" s="4472"/>
      <c r="C16" s="4472"/>
      <c r="D16" s="4472"/>
      <c r="E16" s="4472"/>
      <c r="F16" s="4472"/>
      <c r="G16" s="4472"/>
      <c r="H16" s="4472"/>
      <c r="I16" s="4472"/>
      <c r="J16" s="4472"/>
      <c r="K16" s="4472"/>
      <c r="L16" s="4472"/>
      <c r="M16" s="4472"/>
      <c r="N16" s="4472"/>
      <c r="O16" s="4472"/>
      <c r="P16" s="4472"/>
      <c r="Q16" s="4473"/>
      <c r="R16" s="3199"/>
      <c r="S16" s="3179"/>
    </row>
    <row r="17" spans="1:31" ht="11.25" customHeight="1">
      <c r="A17" s="4471" t="s">
        <v>1444</v>
      </c>
      <c r="B17" s="4472"/>
      <c r="C17" s="4472"/>
      <c r="D17" s="4472"/>
      <c r="E17" s="4472"/>
      <c r="F17" s="4472"/>
      <c r="G17" s="4472"/>
      <c r="H17" s="4472"/>
      <c r="I17" s="4472"/>
      <c r="J17" s="4472"/>
      <c r="K17" s="4472"/>
      <c r="L17" s="4472"/>
      <c r="M17" s="4472"/>
      <c r="N17" s="4472"/>
      <c r="O17" s="4472"/>
      <c r="P17" s="4472"/>
      <c r="Q17" s="4473"/>
      <c r="R17" s="3199"/>
      <c r="S17" s="3179"/>
      <c r="T17" s="77"/>
      <c r="U17" s="77"/>
      <c r="V17" s="77"/>
      <c r="W17" s="77"/>
      <c r="X17" s="77"/>
      <c r="Y17" s="77"/>
      <c r="Z17" s="77"/>
      <c r="AA17" s="77"/>
      <c r="AB17" s="77"/>
      <c r="AC17" s="77"/>
      <c r="AD17" s="77"/>
      <c r="AE17" s="77"/>
    </row>
    <row r="18" spans="1:31" ht="11.25" customHeight="1">
      <c r="A18" s="4471" t="s">
        <v>1445</v>
      </c>
      <c r="B18" s="4472"/>
      <c r="C18" s="4472"/>
      <c r="D18" s="4472"/>
      <c r="E18" s="4472"/>
      <c r="F18" s="4472"/>
      <c r="G18" s="4472"/>
      <c r="H18" s="4472"/>
      <c r="I18" s="4472"/>
      <c r="J18" s="4472"/>
      <c r="K18" s="4472"/>
      <c r="L18" s="4472"/>
      <c r="M18" s="4472"/>
      <c r="N18" s="4472"/>
      <c r="O18" s="4472"/>
      <c r="P18" s="4472"/>
      <c r="Q18" s="4473"/>
      <c r="R18" s="3199"/>
      <c r="S18" s="3179"/>
      <c r="T18" s="77"/>
      <c r="U18" s="77"/>
      <c r="V18" s="77"/>
      <c r="W18" s="77"/>
      <c r="X18" s="77"/>
      <c r="Y18" s="77"/>
      <c r="Z18" s="77"/>
      <c r="AA18" s="77"/>
      <c r="AB18" s="77"/>
      <c r="AC18" s="77"/>
      <c r="AD18" s="77"/>
      <c r="AE18" s="77"/>
    </row>
    <row r="19" spans="1:31" ht="11.25" customHeight="1">
      <c r="A19" s="4471" t="s">
        <v>1446</v>
      </c>
      <c r="B19" s="4472"/>
      <c r="C19" s="4472"/>
      <c r="D19" s="4472"/>
      <c r="E19" s="4472"/>
      <c r="F19" s="4472"/>
      <c r="G19" s="4472"/>
      <c r="H19" s="4472"/>
      <c r="I19" s="4472"/>
      <c r="J19" s="4472"/>
      <c r="K19" s="4472"/>
      <c r="L19" s="4472"/>
      <c r="M19" s="4472"/>
      <c r="N19" s="4472"/>
      <c r="O19" s="4472"/>
      <c r="P19" s="4472"/>
      <c r="Q19" s="4473"/>
      <c r="R19" s="3199"/>
      <c r="S19" s="3179"/>
      <c r="T19" s="77"/>
      <c r="U19" s="77"/>
      <c r="V19" s="77"/>
      <c r="W19" s="77"/>
      <c r="X19" s="77"/>
      <c r="Y19" s="77"/>
      <c r="Z19" s="77"/>
      <c r="AA19" s="77"/>
      <c r="AB19" s="77"/>
      <c r="AC19" s="77"/>
      <c r="AD19" s="77"/>
      <c r="AE19" s="77"/>
    </row>
    <row r="20" spans="1:31" ht="11.25" customHeight="1">
      <c r="A20" s="4471" t="s">
        <v>1447</v>
      </c>
      <c r="B20" s="4472"/>
      <c r="C20" s="4472"/>
      <c r="D20" s="4472"/>
      <c r="E20" s="4472"/>
      <c r="F20" s="4472"/>
      <c r="G20" s="4472"/>
      <c r="H20" s="4472"/>
      <c r="I20" s="4472"/>
      <c r="J20" s="4472"/>
      <c r="K20" s="4472"/>
      <c r="L20" s="4472"/>
      <c r="M20" s="4472"/>
      <c r="N20" s="4472"/>
      <c r="O20" s="4472"/>
      <c r="P20" s="4472"/>
      <c r="Q20" s="4473"/>
      <c r="R20" s="3199"/>
      <c r="S20" s="3179"/>
      <c r="T20" s="77"/>
      <c r="U20" s="77"/>
      <c r="V20" s="77"/>
      <c r="W20" s="77"/>
      <c r="X20" s="77"/>
      <c r="Y20" s="77"/>
      <c r="Z20" s="77"/>
      <c r="AA20" s="77"/>
      <c r="AB20" s="77"/>
      <c r="AC20" s="77"/>
      <c r="AD20" s="77"/>
      <c r="AE20" s="77"/>
    </row>
    <row r="21" spans="1:31" ht="11.25" customHeight="1">
      <c r="A21" s="4471" t="s">
        <v>1448</v>
      </c>
      <c r="B21" s="4472"/>
      <c r="C21" s="4472"/>
      <c r="D21" s="4472"/>
      <c r="E21" s="4472"/>
      <c r="F21" s="4472"/>
      <c r="G21" s="4472"/>
      <c r="H21" s="4472"/>
      <c r="I21" s="4472"/>
      <c r="J21" s="4472"/>
      <c r="K21" s="4472"/>
      <c r="L21" s="4472"/>
      <c r="M21" s="4472"/>
      <c r="N21" s="4472"/>
      <c r="O21" s="4472"/>
      <c r="P21" s="4472"/>
      <c r="Q21" s="4473"/>
      <c r="R21" s="77"/>
      <c r="S21" s="77"/>
      <c r="T21" s="77"/>
      <c r="U21" s="77"/>
      <c r="V21" s="77"/>
      <c r="W21" s="77"/>
      <c r="X21" s="77"/>
      <c r="Y21" s="77"/>
      <c r="Z21" s="77"/>
      <c r="AA21" s="77"/>
      <c r="AB21" s="77"/>
      <c r="AC21" s="77"/>
      <c r="AD21" s="77"/>
      <c r="AE21" s="77"/>
    </row>
    <row r="22" spans="1:31" ht="11.25" customHeight="1">
      <c r="A22" s="4471" t="s">
        <v>6406</v>
      </c>
      <c r="B22" s="4472"/>
      <c r="C22" s="4472"/>
      <c r="D22" s="4472"/>
      <c r="E22" s="4472"/>
      <c r="F22" s="4472"/>
      <c r="G22" s="4472"/>
      <c r="H22" s="4472"/>
      <c r="I22" s="4472"/>
      <c r="J22" s="4472"/>
      <c r="K22" s="4472"/>
      <c r="L22" s="4472"/>
      <c r="M22" s="4472"/>
      <c r="N22" s="4472"/>
      <c r="O22" s="4472"/>
      <c r="P22" s="4472"/>
      <c r="Q22" s="4473"/>
      <c r="R22" s="3199"/>
      <c r="S22" s="3179"/>
      <c r="T22" s="77"/>
      <c r="U22" s="77"/>
      <c r="V22" s="77"/>
      <c r="W22" s="77"/>
      <c r="X22" s="77"/>
      <c r="Y22" s="77"/>
      <c r="Z22" s="77"/>
      <c r="AA22" s="77"/>
      <c r="AB22" s="77"/>
      <c r="AC22" s="77"/>
      <c r="AD22" s="77"/>
      <c r="AE22" s="77"/>
    </row>
    <row r="23" spans="1:31" ht="11.25" customHeight="1">
      <c r="A23" s="4471" t="s">
        <v>6407</v>
      </c>
      <c r="B23" s="4472"/>
      <c r="C23" s="4472"/>
      <c r="D23" s="4472"/>
      <c r="E23" s="4472"/>
      <c r="F23" s="4472"/>
      <c r="G23" s="4472"/>
      <c r="H23" s="4472"/>
      <c r="I23" s="4472"/>
      <c r="J23" s="4472"/>
      <c r="K23" s="4472"/>
      <c r="L23" s="4472"/>
      <c r="M23" s="4472"/>
      <c r="N23" s="4472"/>
      <c r="O23" s="4472"/>
      <c r="P23" s="4472"/>
      <c r="Q23" s="4473"/>
      <c r="R23" s="3199"/>
      <c r="S23" s="3179"/>
      <c r="T23" s="77"/>
      <c r="U23" s="77"/>
      <c r="V23" s="77"/>
      <c r="W23" s="77"/>
      <c r="X23" s="77"/>
      <c r="Y23" s="77"/>
      <c r="Z23" s="77"/>
      <c r="AA23" s="77"/>
      <c r="AB23" s="77"/>
      <c r="AC23" s="77"/>
      <c r="AD23" s="77"/>
      <c r="AE23" s="77"/>
    </row>
    <row r="24" spans="1:31" ht="11.25" customHeight="1">
      <c r="A24" s="4471" t="s">
        <v>6408</v>
      </c>
      <c r="B24" s="4472"/>
      <c r="C24" s="4472"/>
      <c r="D24" s="4472"/>
      <c r="E24" s="4472"/>
      <c r="F24" s="4472"/>
      <c r="G24" s="4472"/>
      <c r="H24" s="4472"/>
      <c r="I24" s="4472"/>
      <c r="J24" s="4472"/>
      <c r="K24" s="4472"/>
      <c r="L24" s="4472"/>
      <c r="M24" s="4472"/>
      <c r="N24" s="4472"/>
      <c r="O24" s="4472"/>
      <c r="P24" s="4472"/>
      <c r="Q24" s="4473"/>
      <c r="R24" s="3199"/>
      <c r="S24" s="3179"/>
      <c r="T24" s="77"/>
      <c r="U24" s="77"/>
      <c r="V24" s="77"/>
      <c r="W24" s="77"/>
      <c r="X24" s="77"/>
      <c r="Y24" s="77"/>
      <c r="Z24" s="77"/>
      <c r="AA24" s="77"/>
      <c r="AB24" s="77"/>
      <c r="AC24" s="77"/>
      <c r="AD24" s="77"/>
      <c r="AE24" s="77"/>
    </row>
    <row r="25" spans="1:31" ht="11.25" customHeight="1">
      <c r="A25" s="4474" t="s">
        <v>6409</v>
      </c>
      <c r="B25" s="4475"/>
      <c r="C25" s="4475"/>
      <c r="D25" s="4475"/>
      <c r="E25" s="4475"/>
      <c r="F25" s="4475"/>
      <c r="G25" s="4475"/>
      <c r="H25" s="4475"/>
      <c r="I25" s="4475"/>
      <c r="J25" s="4475"/>
      <c r="K25" s="4475"/>
      <c r="L25" s="4475"/>
      <c r="M25" s="4475"/>
      <c r="N25" s="4475"/>
      <c r="O25" s="4475"/>
      <c r="P25" s="4475"/>
      <c r="Q25" s="4476"/>
      <c r="R25" s="3199"/>
      <c r="S25" s="3179"/>
      <c r="T25" s="77"/>
      <c r="U25" s="77"/>
      <c r="V25" s="77"/>
      <c r="W25" s="77"/>
      <c r="X25" s="77"/>
      <c r="Y25" s="77"/>
      <c r="Z25" s="77"/>
      <c r="AA25" s="77"/>
      <c r="AB25" s="77"/>
      <c r="AC25" s="77"/>
      <c r="AD25" s="77"/>
      <c r="AE25" s="77"/>
    </row>
    <row r="26" spans="1:31" ht="6"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1:31" ht="14.1" customHeight="1">
      <c r="A27" s="63" t="s">
        <v>25</v>
      </c>
      <c r="B27" s="64" t="s">
        <v>1450</v>
      </c>
      <c r="C27" s="65"/>
      <c r="D27" s="38"/>
      <c r="E27" s="38"/>
      <c r="F27" s="38"/>
      <c r="G27" s="38"/>
      <c r="H27" s="77"/>
      <c r="I27" s="2596"/>
      <c r="J27" s="2596"/>
      <c r="K27" s="2596"/>
      <c r="L27" s="501"/>
      <c r="M27" s="501"/>
      <c r="N27" s="77"/>
      <c r="O27" s="66" t="s">
        <v>1451</v>
      </c>
      <c r="P27" s="4382"/>
      <c r="Q27" s="4383"/>
      <c r="R27" s="77"/>
      <c r="S27" s="77"/>
      <c r="T27" s="77"/>
      <c r="U27" s="77"/>
      <c r="V27" s="77"/>
      <c r="W27" s="77"/>
      <c r="X27" s="77"/>
      <c r="Y27" s="77"/>
      <c r="Z27" s="77"/>
      <c r="AA27" s="77"/>
      <c r="AB27" s="77"/>
      <c r="AC27" s="77"/>
      <c r="AD27" s="77"/>
      <c r="AE27" s="77"/>
    </row>
    <row r="28" spans="1:31" ht="3" customHeight="1">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row>
    <row r="29" spans="1:31" ht="11.25" customHeight="1">
      <c r="A29" s="77"/>
      <c r="B29" s="23" t="s">
        <v>1457</v>
      </c>
      <c r="C29" s="23"/>
      <c r="D29" s="23"/>
      <c r="E29" s="23"/>
      <c r="F29" s="23"/>
      <c r="G29" s="2596"/>
      <c r="H29" s="2596"/>
      <c r="I29" s="2596"/>
      <c r="J29" s="2596"/>
      <c r="K29" s="501"/>
      <c r="L29" s="501"/>
      <c r="M29" s="501"/>
      <c r="N29" s="501"/>
      <c r="O29" s="501"/>
      <c r="P29" s="501"/>
      <c r="Q29" s="77"/>
      <c r="R29" s="77"/>
      <c r="S29" s="82"/>
      <c r="T29" s="82"/>
      <c r="U29" s="77"/>
      <c r="V29" s="77"/>
      <c r="W29" s="77"/>
      <c r="X29" s="77"/>
      <c r="Y29" s="77"/>
      <c r="Z29" s="77"/>
      <c r="AA29" s="77"/>
      <c r="AB29" s="77"/>
      <c r="AC29" s="77"/>
      <c r="AD29" s="77"/>
      <c r="AE29" s="77"/>
    </row>
    <row r="30" spans="1:31" ht="108.75" customHeight="1">
      <c r="A30" s="4390"/>
      <c r="B30" s="4391"/>
      <c r="C30" s="4391"/>
      <c r="D30" s="4391"/>
      <c r="E30" s="4391"/>
      <c r="F30" s="4391"/>
      <c r="G30" s="4391"/>
      <c r="H30" s="4391"/>
      <c r="I30" s="4391"/>
      <c r="J30" s="4391"/>
      <c r="K30" s="4391"/>
      <c r="L30" s="4391"/>
      <c r="M30" s="4391"/>
      <c r="N30" s="4391"/>
      <c r="O30" s="4391"/>
      <c r="P30" s="4391"/>
      <c r="Q30" s="4392"/>
      <c r="R30" s="248" t="s">
        <v>6410</v>
      </c>
      <c r="S30" s="249"/>
      <c r="T30" s="82"/>
      <c r="U30" s="69"/>
      <c r="V30" s="69"/>
      <c r="W30" s="69"/>
      <c r="X30" s="69"/>
      <c r="Y30" s="69"/>
      <c r="Z30" s="69"/>
      <c r="AA30" s="69"/>
      <c r="AB30" s="69"/>
      <c r="AC30" s="69"/>
      <c r="AD30" s="69"/>
      <c r="AE30" s="69"/>
    </row>
    <row r="31" spans="1:31" ht="11.25" customHeight="1">
      <c r="A31" s="77"/>
      <c r="B31" s="70" t="s">
        <v>1453</v>
      </c>
      <c r="C31" s="71"/>
      <c r="D31" s="2586"/>
      <c r="E31" s="2586"/>
      <c r="F31" s="2586"/>
      <c r="G31" s="2586"/>
      <c r="H31" s="2586"/>
      <c r="I31" s="2586"/>
      <c r="J31" s="2586"/>
      <c r="K31" s="2586"/>
      <c r="L31" s="2586"/>
      <c r="M31" s="2586"/>
      <c r="N31" s="2586"/>
      <c r="O31" s="2586"/>
      <c r="P31" s="2586"/>
      <c r="Q31" s="77"/>
      <c r="R31" s="77"/>
      <c r="S31" s="77"/>
      <c r="T31" s="77"/>
      <c r="U31" s="77"/>
      <c r="V31" s="77"/>
      <c r="W31" s="77"/>
      <c r="X31" s="77"/>
      <c r="Y31" s="77"/>
      <c r="Z31" s="77"/>
      <c r="AA31" s="77"/>
      <c r="AB31" s="77"/>
      <c r="AC31" s="77"/>
      <c r="AD31" s="77"/>
      <c r="AE31" s="77"/>
    </row>
    <row r="32" spans="1:31" ht="36" customHeight="1">
      <c r="A32" s="4484"/>
      <c r="B32" s="4484"/>
      <c r="C32" s="4484"/>
      <c r="D32" s="4484"/>
      <c r="E32" s="4484"/>
      <c r="F32" s="4484"/>
      <c r="G32" s="4484"/>
      <c r="H32" s="4484"/>
      <c r="I32" s="4484"/>
      <c r="J32" s="4484"/>
      <c r="K32" s="4484"/>
      <c r="L32" s="4484"/>
      <c r="M32" s="4484"/>
      <c r="N32" s="4484"/>
      <c r="O32" s="4484"/>
      <c r="P32" s="4484"/>
      <c r="Q32" s="4484"/>
      <c r="R32" s="248" t="s">
        <v>6410</v>
      </c>
      <c r="S32" s="249"/>
      <c r="T32" s="77"/>
      <c r="U32" s="77"/>
      <c r="V32" s="77"/>
      <c r="W32" s="77"/>
      <c r="X32" s="77"/>
      <c r="Y32" s="77"/>
      <c r="Z32" s="77"/>
      <c r="AA32" s="77"/>
      <c r="AB32" s="77"/>
      <c r="AC32" s="77"/>
      <c r="AD32" s="77"/>
      <c r="AE32" s="77"/>
    </row>
    <row r="33" spans="1:31" ht="4.5" customHeight="1">
      <c r="A33" s="77"/>
      <c r="B33" s="2596"/>
      <c r="C33" s="2586"/>
      <c r="D33" s="2586"/>
      <c r="E33" s="2586"/>
      <c r="F33" s="2586"/>
      <c r="G33" s="2586"/>
      <c r="H33" s="2586"/>
      <c r="I33" s="2586"/>
      <c r="J33" s="2586"/>
      <c r="K33" s="2586"/>
      <c r="L33" s="2586"/>
      <c r="M33" s="2586"/>
      <c r="N33" s="2586"/>
      <c r="O33" s="2586"/>
      <c r="P33" s="2586"/>
      <c r="Q33" s="501"/>
      <c r="R33" s="77"/>
      <c r="S33" s="77"/>
      <c r="T33" s="77"/>
      <c r="U33" s="77"/>
      <c r="V33" s="77"/>
      <c r="W33" s="77"/>
      <c r="X33" s="77"/>
      <c r="Y33" s="77"/>
      <c r="Z33" s="77"/>
      <c r="AA33" s="77"/>
      <c r="AB33" s="77"/>
      <c r="AC33" s="77"/>
      <c r="AD33" s="77"/>
      <c r="AE33" s="77"/>
    </row>
    <row r="34" spans="1:31" ht="12.75" customHeight="1">
      <c r="A34" s="2521" t="s">
        <v>32</v>
      </c>
      <c r="B34" s="3" t="s">
        <v>1458</v>
      </c>
      <c r="C34" s="3"/>
      <c r="D34" s="3"/>
      <c r="E34" s="2586"/>
      <c r="F34" s="2586"/>
      <c r="G34" s="1119"/>
      <c r="H34" s="77"/>
      <c r="I34" s="77"/>
      <c r="J34" s="77"/>
      <c r="K34" s="77"/>
      <c r="L34" s="77"/>
      <c r="M34" s="77"/>
      <c r="N34" s="77"/>
      <c r="O34" s="66" t="s">
        <v>1451</v>
      </c>
      <c r="P34" s="4382"/>
      <c r="Q34" s="4383"/>
      <c r="R34" s="77"/>
      <c r="S34" s="77"/>
      <c r="T34" s="77"/>
      <c r="U34" s="77"/>
      <c r="V34" s="77"/>
      <c r="W34" s="77"/>
      <c r="X34" s="77"/>
      <c r="Y34" s="77"/>
      <c r="Z34" s="77"/>
      <c r="AA34" s="77"/>
      <c r="AB34" s="77"/>
      <c r="AC34" s="77"/>
      <c r="AD34" s="77"/>
      <c r="AE34" s="77"/>
    </row>
    <row r="35" spans="1:31" ht="12.75" customHeight="1">
      <c r="A35" s="2521"/>
      <c r="B35" s="73" t="s">
        <v>6411</v>
      </c>
      <c r="C35" s="3"/>
      <c r="D35" s="3"/>
      <c r="E35" s="2586"/>
      <c r="F35" s="2586"/>
      <c r="G35" s="77"/>
      <c r="H35" s="2586"/>
      <c r="I35" s="77"/>
      <c r="J35" s="3243" t="s">
        <v>6412</v>
      </c>
      <c r="K35" s="3244"/>
      <c r="L35" s="3245"/>
      <c r="M35" s="98" t="s">
        <v>6413</v>
      </c>
      <c r="N35" s="4376"/>
      <c r="O35" s="4377"/>
      <c r="P35" s="4377"/>
      <c r="Q35" s="4378"/>
      <c r="R35" s="77"/>
      <c r="S35" s="77"/>
      <c r="T35" s="77"/>
      <c r="U35" s="77"/>
      <c r="V35" s="77"/>
      <c r="W35" s="77"/>
      <c r="X35" s="77"/>
      <c r="Y35" s="77"/>
      <c r="Z35" s="77"/>
      <c r="AA35" s="77"/>
      <c r="AB35" s="77"/>
      <c r="AC35" s="77"/>
      <c r="AD35" s="77"/>
      <c r="AE35" s="77"/>
    </row>
    <row r="36" spans="1:31" ht="12.75" customHeight="1">
      <c r="A36" s="2521"/>
      <c r="B36" s="73" t="s">
        <v>6414</v>
      </c>
      <c r="C36" s="3"/>
      <c r="D36" s="3"/>
      <c r="E36" s="2586"/>
      <c r="F36" s="2586"/>
      <c r="G36" s="1119"/>
      <c r="H36" s="2586"/>
      <c r="I36" s="77"/>
      <c r="J36" s="3243" t="s">
        <v>6415</v>
      </c>
      <c r="K36" s="3244"/>
      <c r="L36" s="3245"/>
      <c r="M36" s="98" t="s">
        <v>6413</v>
      </c>
      <c r="N36" s="4376"/>
      <c r="O36" s="4377"/>
      <c r="P36" s="4377"/>
      <c r="Q36" s="4378"/>
      <c r="R36" s="77"/>
      <c r="S36" s="77"/>
      <c r="T36" s="77"/>
      <c r="U36" s="77"/>
      <c r="V36" s="77"/>
      <c r="W36" s="77"/>
      <c r="X36" s="77"/>
      <c r="Y36" s="77"/>
      <c r="Z36" s="77"/>
      <c r="AA36" s="77"/>
      <c r="AB36" s="77"/>
      <c r="AC36" s="77"/>
      <c r="AD36" s="77"/>
      <c r="AE36" s="77"/>
    </row>
    <row r="37" spans="1:31" ht="12.75" customHeight="1">
      <c r="A37" s="77"/>
      <c r="B37" s="44" t="s">
        <v>1457</v>
      </c>
      <c r="C37" s="77"/>
      <c r="D37" s="44"/>
      <c r="E37" s="44"/>
      <c r="F37" s="44"/>
      <c r="G37" s="44"/>
      <c r="H37" s="16"/>
      <c r="I37" s="2596"/>
      <c r="J37" s="2596"/>
      <c r="K37" s="1200" t="s">
        <v>1453</v>
      </c>
      <c r="L37" s="501"/>
      <c r="M37" s="501"/>
      <c r="N37" s="501"/>
      <c r="O37" s="501"/>
      <c r="P37" s="501"/>
      <c r="Q37" s="501"/>
      <c r="R37" s="77"/>
      <c r="S37" s="77"/>
      <c r="T37" s="77"/>
      <c r="U37" s="77"/>
      <c r="V37" s="77"/>
      <c r="W37" s="77"/>
      <c r="X37" s="77"/>
      <c r="Y37" s="77"/>
      <c r="Z37" s="77"/>
      <c r="AA37" s="77"/>
      <c r="AB37" s="77"/>
      <c r="AC37" s="77"/>
      <c r="AD37" s="77"/>
      <c r="AE37" s="77"/>
    </row>
    <row r="38" spans="1:31" ht="10.5" customHeight="1">
      <c r="A38" s="4390"/>
      <c r="B38" s="4391"/>
      <c r="C38" s="4391"/>
      <c r="D38" s="4391"/>
      <c r="E38" s="4391"/>
      <c r="F38" s="4391"/>
      <c r="G38" s="4391"/>
      <c r="H38" s="4391"/>
      <c r="I38" s="4391"/>
      <c r="J38" s="4392"/>
      <c r="K38" s="4387"/>
      <c r="L38" s="4388"/>
      <c r="M38" s="4388"/>
      <c r="N38" s="4388"/>
      <c r="O38" s="4388"/>
      <c r="P38" s="4388"/>
      <c r="Q38" s="4389"/>
      <c r="R38" s="248" t="s">
        <v>6410</v>
      </c>
      <c r="S38" s="77"/>
      <c r="T38" s="77"/>
      <c r="U38" s="69"/>
      <c r="V38" s="69"/>
      <c r="W38" s="69"/>
      <c r="X38" s="69"/>
      <c r="Y38" s="69"/>
      <c r="Z38" s="69"/>
      <c r="AA38" s="69"/>
      <c r="AB38" s="69"/>
      <c r="AC38" s="69"/>
      <c r="AD38" s="69"/>
      <c r="AE38" s="69"/>
    </row>
    <row r="39" spans="1:31" ht="4.5" customHeight="1">
      <c r="A39" s="501"/>
      <c r="B39" s="2596"/>
      <c r="C39" s="2586"/>
      <c r="D39" s="2586"/>
      <c r="E39" s="2586"/>
      <c r="F39" s="2586"/>
      <c r="G39" s="2586"/>
      <c r="H39" s="2586"/>
      <c r="I39" s="2586"/>
      <c r="J39" s="2586"/>
      <c r="K39" s="2586"/>
      <c r="L39" s="2586"/>
      <c r="M39" s="2586"/>
      <c r="N39" s="2586"/>
      <c r="O39" s="2586"/>
      <c r="P39" s="2586"/>
      <c r="Q39" s="501"/>
      <c r="R39" s="77"/>
      <c r="S39" s="77"/>
      <c r="T39" s="77"/>
      <c r="U39" s="77"/>
      <c r="V39" s="77"/>
      <c r="W39" s="77"/>
      <c r="X39" s="77"/>
      <c r="Y39" s="77"/>
      <c r="Z39" s="77"/>
      <c r="AA39" s="77"/>
      <c r="AB39" s="77"/>
      <c r="AC39" s="77"/>
      <c r="AD39" s="77"/>
      <c r="AE39" s="77"/>
    </row>
    <row r="40" spans="1:31" ht="12.75" customHeight="1">
      <c r="A40" s="2521" t="s">
        <v>44</v>
      </c>
      <c r="B40" s="2521" t="s">
        <v>6416</v>
      </c>
      <c r="C40" s="56"/>
      <c r="D40" s="2586"/>
      <c r="E40" s="2586"/>
      <c r="F40" s="2586"/>
      <c r="G40" s="2586"/>
      <c r="H40" s="2586"/>
      <c r="I40" s="2586"/>
      <c r="J40" s="2586"/>
      <c r="K40" s="77"/>
      <c r="L40" s="897" t="s">
        <v>6417</v>
      </c>
      <c r="M40" s="898" t="s">
        <v>6418</v>
      </c>
      <c r="N40" s="77"/>
      <c r="O40" s="66" t="s">
        <v>1451</v>
      </c>
      <c r="P40" s="4382"/>
      <c r="Q40" s="4383"/>
      <c r="R40" s="77"/>
      <c r="S40" s="77"/>
      <c r="T40" s="77"/>
      <c r="U40" s="77"/>
      <c r="V40" s="77"/>
      <c r="W40" s="77"/>
      <c r="X40" s="77"/>
      <c r="Y40" s="77"/>
      <c r="Z40" s="77"/>
      <c r="AA40" s="77"/>
      <c r="AB40" s="77"/>
      <c r="AC40" s="77"/>
      <c r="AD40" s="77"/>
      <c r="AE40" s="77"/>
    </row>
    <row r="41" spans="1:31" ht="1.5"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1:31" ht="12" customHeight="1">
      <c r="A42" s="75" t="s">
        <v>186</v>
      </c>
      <c r="B42" s="4379" t="s">
        <v>6419</v>
      </c>
      <c r="C42" s="4379"/>
      <c r="D42" s="4379"/>
      <c r="E42" s="4379"/>
      <c r="F42" s="4379"/>
      <c r="G42" s="4379"/>
      <c r="H42" s="4379"/>
      <c r="I42" s="4379"/>
      <c r="J42" s="4379"/>
      <c r="K42" s="77"/>
      <c r="L42" s="241" t="s">
        <v>6420</v>
      </c>
      <c r="M42" s="2612">
        <v>2</v>
      </c>
      <c r="N42" s="73" t="s">
        <v>6421</v>
      </c>
      <c r="O42" s="77"/>
      <c r="P42" s="4514"/>
      <c r="Q42" s="4524"/>
      <c r="R42" s="77"/>
      <c r="S42" s="77"/>
      <c r="T42" s="77"/>
      <c r="U42" s="77"/>
      <c r="V42" s="77"/>
      <c r="W42" s="77"/>
      <c r="X42" s="77"/>
      <c r="Y42" s="77"/>
      <c r="Z42" s="77"/>
      <c r="AA42" s="77"/>
      <c r="AB42" s="77"/>
      <c r="AC42" s="77"/>
      <c r="AD42" s="77"/>
      <c r="AE42" s="77"/>
    </row>
    <row r="43" spans="1:31" ht="12" customHeight="1">
      <c r="A43" s="75"/>
      <c r="B43" s="4379"/>
      <c r="C43" s="4379"/>
      <c r="D43" s="4379"/>
      <c r="E43" s="4379"/>
      <c r="F43" s="4379"/>
      <c r="G43" s="4379"/>
      <c r="H43" s="4379"/>
      <c r="I43" s="4379"/>
      <c r="J43" s="4379"/>
      <c r="K43" s="77"/>
      <c r="L43" s="241" t="s">
        <v>6422</v>
      </c>
      <c r="M43" s="832">
        <v>4</v>
      </c>
      <c r="N43" s="77"/>
      <c r="O43" s="329"/>
      <c r="P43" s="4515"/>
      <c r="Q43" s="4525"/>
      <c r="R43" s="77"/>
      <c r="S43" s="77"/>
      <c r="T43" s="77"/>
      <c r="U43" s="77"/>
      <c r="V43" s="77"/>
      <c r="W43" s="77"/>
      <c r="X43" s="77"/>
      <c r="Y43" s="77"/>
      <c r="Z43" s="77"/>
      <c r="AA43" s="77"/>
      <c r="AB43" s="77"/>
      <c r="AC43" s="77"/>
      <c r="AD43" s="77"/>
      <c r="AE43" s="77"/>
    </row>
    <row r="44" spans="1:31" ht="12" customHeight="1">
      <c r="A44" s="75"/>
      <c r="B44" s="77"/>
      <c r="C44" s="77"/>
      <c r="D44" s="2586"/>
      <c r="E44" s="2586"/>
      <c r="F44" s="2586"/>
      <c r="G44" s="2586"/>
      <c r="H44" s="2586"/>
      <c r="I44" s="2586"/>
      <c r="J44" s="2586"/>
      <c r="K44" s="77"/>
      <c r="L44" s="265" t="s">
        <v>6423</v>
      </c>
      <c r="M44" s="832"/>
      <c r="N44" s="77"/>
      <c r="O44" s="329"/>
      <c r="P44" s="2896"/>
      <c r="Q44" s="2897"/>
      <c r="R44" s="77"/>
      <c r="S44" s="77"/>
      <c r="T44" s="77"/>
      <c r="U44" s="77"/>
      <c r="V44" s="77"/>
      <c r="W44" s="77"/>
      <c r="X44" s="77"/>
      <c r="Y44" s="77"/>
      <c r="Z44" s="77"/>
      <c r="AA44" s="77"/>
      <c r="AB44" s="77"/>
      <c r="AC44" s="77"/>
      <c r="AD44" s="77"/>
      <c r="AE44" s="77"/>
    </row>
    <row r="45" spans="1:31" ht="12" customHeight="1">
      <c r="A45" s="22" t="s">
        <v>198</v>
      </c>
      <c r="B45" s="73" t="s">
        <v>6424</v>
      </c>
      <c r="C45" s="73"/>
      <c r="D45" s="73"/>
      <c r="E45" s="73"/>
      <c r="F45" s="73"/>
      <c r="G45" s="73"/>
      <c r="H45" s="73"/>
      <c r="I45" s="73"/>
      <c r="J45" s="73"/>
      <c r="K45" s="329"/>
      <c r="L45" s="73"/>
      <c r="M45" s="77"/>
      <c r="N45" s="522"/>
      <c r="O45" s="522"/>
      <c r="P45" s="522"/>
      <c r="Q45" s="77"/>
      <c r="R45" s="77"/>
      <c r="S45" s="77"/>
      <c r="T45" s="77"/>
      <c r="U45" s="77"/>
      <c r="V45" s="77"/>
      <c r="W45" s="77"/>
      <c r="X45" s="77"/>
      <c r="Y45" s="77"/>
      <c r="Z45" s="77"/>
      <c r="AA45" s="77"/>
      <c r="AB45" s="77"/>
      <c r="AC45" s="77"/>
      <c r="AD45" s="77"/>
      <c r="AE45" s="77"/>
    </row>
    <row r="46" spans="1:31" ht="12.75" customHeight="1">
      <c r="A46" s="283"/>
      <c r="B46" s="265" t="s">
        <v>1511</v>
      </c>
      <c r="C46" s="73" t="s">
        <v>6425</v>
      </c>
      <c r="D46" s="808"/>
      <c r="E46" s="808"/>
      <c r="F46" s="808"/>
      <c r="G46" s="808"/>
      <c r="H46" s="808"/>
      <c r="I46" s="808"/>
      <c r="J46" s="808"/>
      <c r="K46" s="807"/>
      <c r="L46" s="73"/>
      <c r="M46" s="77"/>
      <c r="N46" s="73" t="s">
        <v>6426</v>
      </c>
      <c r="O46" s="522"/>
      <c r="P46" s="2898"/>
      <c r="Q46" s="2899"/>
      <c r="R46" s="77"/>
      <c r="S46" s="77"/>
      <c r="T46" s="77"/>
      <c r="U46" s="77"/>
      <c r="V46" s="77"/>
      <c r="W46" s="77"/>
      <c r="X46" s="77"/>
      <c r="Y46" s="77"/>
      <c r="Z46" s="77"/>
      <c r="AA46" s="77"/>
      <c r="AB46" s="77"/>
      <c r="AC46" s="77"/>
      <c r="AD46" s="77"/>
      <c r="AE46" s="77"/>
    </row>
    <row r="47" spans="1:31" ht="12.75" customHeight="1">
      <c r="A47" s="283"/>
      <c r="B47" s="265" t="s">
        <v>1513</v>
      </c>
      <c r="C47" s="73" t="s">
        <v>6427</v>
      </c>
      <c r="D47" s="808"/>
      <c r="E47" s="808"/>
      <c r="F47" s="808"/>
      <c r="G47" s="808"/>
      <c r="H47" s="808"/>
      <c r="I47" s="808"/>
      <c r="J47" s="808"/>
      <c r="K47" s="807"/>
      <c r="L47" s="73"/>
      <c r="M47" s="77"/>
      <c r="N47" s="73" t="s">
        <v>6428</v>
      </c>
      <c r="O47" s="522"/>
      <c r="P47" s="202"/>
      <c r="Q47" s="299"/>
      <c r="R47" s="77"/>
      <c r="S47" s="77"/>
      <c r="T47" s="77"/>
      <c r="U47" s="77"/>
      <c r="V47" s="77"/>
      <c r="W47" s="77"/>
      <c r="X47" s="77"/>
      <c r="Y47" s="77"/>
      <c r="Z47" s="77"/>
      <c r="AA47" s="77"/>
      <c r="AB47" s="77"/>
      <c r="AC47" s="77"/>
      <c r="AD47" s="77"/>
      <c r="AE47" s="77"/>
    </row>
    <row r="48" spans="1:31" ht="12.75" customHeight="1">
      <c r="A48" s="806"/>
      <c r="B48" s="265" t="s">
        <v>1514</v>
      </c>
      <c r="C48" s="73" t="s">
        <v>6429</v>
      </c>
      <c r="D48" s="77"/>
      <c r="E48" s="808"/>
      <c r="F48" s="808"/>
      <c r="G48" s="808"/>
      <c r="H48" s="808"/>
      <c r="I48" s="808"/>
      <c r="J48" s="808"/>
      <c r="K48" s="807"/>
      <c r="L48" s="73"/>
      <c r="M48" s="522"/>
      <c r="N48" s="73" t="s">
        <v>6430</v>
      </c>
      <c r="O48" s="522"/>
      <c r="P48" s="202"/>
      <c r="Q48" s="299"/>
      <c r="R48" s="77"/>
      <c r="S48" s="77"/>
      <c r="T48" s="77"/>
      <c r="U48" s="77"/>
      <c r="V48" s="77"/>
      <c r="W48" s="77"/>
      <c r="X48" s="77"/>
      <c r="Y48" s="77"/>
      <c r="Z48" s="77"/>
      <c r="AA48" s="77"/>
      <c r="AB48" s="77"/>
      <c r="AC48" s="77"/>
      <c r="AD48" s="77"/>
      <c r="AE48" s="77"/>
    </row>
    <row r="49" spans="1:31" ht="12.75" customHeight="1">
      <c r="A49" s="76"/>
      <c r="B49" s="265" t="s">
        <v>1515</v>
      </c>
      <c r="C49" s="265" t="s">
        <v>6431</v>
      </c>
      <c r="D49" s="68"/>
      <c r="E49" s="68"/>
      <c r="F49" s="68"/>
      <c r="G49" s="68"/>
      <c r="H49" s="68"/>
      <c r="I49" s="43"/>
      <c r="J49" s="43"/>
      <c r="K49" s="77"/>
      <c r="L49" s="77"/>
      <c r="M49" s="77"/>
      <c r="N49" s="73" t="s">
        <v>6432</v>
      </c>
      <c r="O49" s="522"/>
      <c r="P49" s="118"/>
      <c r="Q49" s="300"/>
      <c r="R49" s="77"/>
      <c r="S49" s="77"/>
      <c r="T49" s="77"/>
      <c r="U49" s="77"/>
      <c r="V49" s="77"/>
      <c r="W49" s="77"/>
      <c r="X49" s="77"/>
      <c r="Y49" s="77"/>
      <c r="Z49" s="77"/>
      <c r="AA49" s="77"/>
      <c r="AB49" s="77"/>
      <c r="AC49" s="77"/>
      <c r="AD49" s="77"/>
      <c r="AE49" s="77"/>
    </row>
    <row r="50" spans="1:31" ht="12.75" customHeight="1">
      <c r="A50" s="76"/>
      <c r="B50" s="265"/>
      <c r="C50" s="73" t="s">
        <v>6433</v>
      </c>
      <c r="D50" s="68"/>
      <c r="E50" s="68"/>
      <c r="F50" s="68"/>
      <c r="G50" s="68"/>
      <c r="H50" s="68"/>
      <c r="I50" s="43"/>
      <c r="J50" s="43"/>
      <c r="K50" s="77"/>
      <c r="L50" s="4397"/>
      <c r="M50" s="4398"/>
      <c r="N50" s="4398"/>
      <c r="O50" s="4398"/>
      <c r="P50" s="4398"/>
      <c r="Q50" s="4432"/>
      <c r="R50" s="77"/>
      <c r="S50" s="77"/>
      <c r="T50" s="77"/>
      <c r="U50" s="77"/>
      <c r="V50" s="77"/>
      <c r="W50" s="77"/>
      <c r="X50" s="77"/>
      <c r="Y50" s="77"/>
      <c r="Z50" s="77"/>
      <c r="AA50" s="77"/>
      <c r="AB50" s="77"/>
      <c r="AC50" s="77"/>
      <c r="AD50" s="77"/>
      <c r="AE50" s="77"/>
    </row>
    <row r="51" spans="1:31" ht="12.75" customHeight="1">
      <c r="A51" s="76"/>
      <c r="B51" s="265" t="s">
        <v>4562</v>
      </c>
      <c r="C51" s="4379" t="s">
        <v>6434</v>
      </c>
      <c r="D51" s="4379"/>
      <c r="E51" s="4379"/>
      <c r="F51" s="4379"/>
      <c r="G51" s="4379"/>
      <c r="H51" s="4379"/>
      <c r="I51" s="4379"/>
      <c r="J51" s="4379"/>
      <c r="K51" s="4379"/>
      <c r="L51" s="4379"/>
      <c r="M51" s="297"/>
      <c r="N51" s="73" t="s">
        <v>6435</v>
      </c>
      <c r="O51" s="522"/>
      <c r="P51" s="2900"/>
      <c r="Q51" s="2901"/>
      <c r="R51" s="77"/>
      <c r="S51" s="77"/>
      <c r="T51" s="77"/>
      <c r="U51" s="77"/>
      <c r="V51" s="77"/>
      <c r="W51" s="77"/>
      <c r="X51" s="77"/>
      <c r="Y51" s="77"/>
      <c r="Z51" s="77"/>
      <c r="AA51" s="77"/>
      <c r="AB51" s="77"/>
      <c r="AC51" s="77"/>
      <c r="AD51" s="77"/>
      <c r="AE51" s="77"/>
    </row>
    <row r="52" spans="1:31" ht="12.75" customHeight="1">
      <c r="A52" s="22"/>
      <c r="B52" s="77"/>
      <c r="C52" s="4379"/>
      <c r="D52" s="4379"/>
      <c r="E52" s="4379"/>
      <c r="F52" s="4379"/>
      <c r="G52" s="4379"/>
      <c r="H52" s="4379"/>
      <c r="I52" s="4379"/>
      <c r="J52" s="4379"/>
      <c r="K52" s="4379"/>
      <c r="L52" s="4379"/>
      <c r="M52" s="297"/>
      <c r="N52" s="77"/>
      <c r="O52" s="77"/>
      <c r="P52" s="77"/>
      <c r="Q52" s="77"/>
      <c r="R52" s="77"/>
      <c r="S52" s="77"/>
      <c r="T52" s="77"/>
      <c r="U52" s="77"/>
      <c r="V52" s="77"/>
      <c r="W52" s="77"/>
      <c r="X52" s="77"/>
      <c r="Y52" s="77"/>
      <c r="Z52" s="77"/>
      <c r="AA52" s="77"/>
      <c r="AB52" s="77"/>
      <c r="AC52" s="77"/>
      <c r="AD52" s="77"/>
      <c r="AE52" s="77"/>
    </row>
    <row r="53" spans="1:31" ht="10.5" customHeight="1">
      <c r="A53" s="77"/>
      <c r="B53" s="44" t="s">
        <v>1457</v>
      </c>
      <c r="C53" s="77"/>
      <c r="D53" s="44"/>
      <c r="E53" s="44"/>
      <c r="F53" s="44"/>
      <c r="G53" s="44"/>
      <c r="H53" s="16"/>
      <c r="I53" s="2596"/>
      <c r="J53" s="2596"/>
      <c r="K53" s="70" t="s">
        <v>1453</v>
      </c>
      <c r="L53" s="501"/>
      <c r="M53" s="501"/>
      <c r="N53" s="501"/>
      <c r="O53" s="501"/>
      <c r="P53" s="501"/>
      <c r="Q53" s="501"/>
      <c r="R53" s="77"/>
      <c r="S53" s="77"/>
      <c r="T53" s="77"/>
      <c r="U53" s="77"/>
      <c r="V53" s="77"/>
      <c r="W53" s="77"/>
      <c r="X53" s="77"/>
      <c r="Y53" s="77"/>
      <c r="Z53" s="77"/>
      <c r="AA53" s="77"/>
      <c r="AB53" s="77"/>
      <c r="AC53" s="77"/>
      <c r="AD53" s="77"/>
      <c r="AE53" s="77"/>
    </row>
    <row r="54" spans="1:31" ht="10.5" customHeight="1">
      <c r="A54" s="4390"/>
      <c r="B54" s="4391"/>
      <c r="C54" s="4391"/>
      <c r="D54" s="4391"/>
      <c r="E54" s="4391"/>
      <c r="F54" s="4391"/>
      <c r="G54" s="4391"/>
      <c r="H54" s="4391"/>
      <c r="I54" s="4391"/>
      <c r="J54" s="4392"/>
      <c r="K54" s="4387"/>
      <c r="L54" s="4388"/>
      <c r="M54" s="4388"/>
      <c r="N54" s="4388"/>
      <c r="O54" s="4388"/>
      <c r="P54" s="4388"/>
      <c r="Q54" s="4389"/>
      <c r="R54" s="248" t="s">
        <v>6410</v>
      </c>
      <c r="S54" s="77"/>
      <c r="T54" s="77"/>
      <c r="U54" s="69"/>
      <c r="V54" s="69"/>
      <c r="W54" s="69"/>
      <c r="X54" s="69"/>
      <c r="Y54" s="69"/>
      <c r="Z54" s="69"/>
      <c r="AA54" s="69"/>
      <c r="AB54" s="69"/>
      <c r="AC54" s="69"/>
      <c r="AD54" s="69"/>
      <c r="AE54" s="69"/>
    </row>
    <row r="55" spans="1:31" ht="4.5" customHeight="1">
      <c r="A55" s="501"/>
      <c r="B55" s="2596"/>
      <c r="C55" s="2586"/>
      <c r="D55" s="2586"/>
      <c r="E55" s="2586"/>
      <c r="F55" s="2586"/>
      <c r="G55" s="2586"/>
      <c r="H55" s="2586"/>
      <c r="I55" s="2586"/>
      <c r="J55" s="2586"/>
      <c r="K55" s="2586"/>
      <c r="L55" s="2586"/>
      <c r="M55" s="2586"/>
      <c r="N55" s="2586"/>
      <c r="O55" s="2586"/>
      <c r="P55" s="2586"/>
      <c r="Q55" s="501"/>
      <c r="R55" s="77"/>
      <c r="S55" s="77"/>
      <c r="T55" s="77"/>
      <c r="U55" s="77"/>
      <c r="V55" s="77"/>
      <c r="W55" s="77"/>
      <c r="X55" s="77"/>
      <c r="Y55" s="77"/>
      <c r="Z55" s="77"/>
      <c r="AA55" s="77"/>
      <c r="AB55" s="77"/>
      <c r="AC55" s="77"/>
      <c r="AD55" s="77"/>
      <c r="AE55" s="77"/>
    </row>
    <row r="56" spans="1:31" ht="14.1" customHeight="1">
      <c r="A56" s="2521" t="s">
        <v>58</v>
      </c>
      <c r="B56" s="2521" t="s">
        <v>1462</v>
      </c>
      <c r="C56" s="2521"/>
      <c r="D56" s="2586"/>
      <c r="E56" s="2586"/>
      <c r="F56" s="2586"/>
      <c r="G56" s="2586"/>
      <c r="H56" s="903" t="e">
        <f>#REF!</f>
        <v>#REF!</v>
      </c>
      <c r="I56" s="77"/>
      <c r="J56" s="1229" t="s">
        <v>6436</v>
      </c>
      <c r="K56" s="305" t="str">
        <f>'Part VIII Scoring Criteria OLD'!$M$60</f>
        <v>&lt;&lt; Select Pool &gt;&gt;</v>
      </c>
      <c r="L56" s="1229" t="s">
        <v>6437</v>
      </c>
      <c r="M56" s="629" t="str">
        <f>J35</f>
        <v>&lt;&lt; Select PROPOSED Tenancy &gt;&gt;</v>
      </c>
      <c r="N56" s="77"/>
      <c r="O56" s="66" t="s">
        <v>1451</v>
      </c>
      <c r="P56" s="4382"/>
      <c r="Q56" s="4383"/>
      <c r="R56" s="77"/>
      <c r="S56" s="77"/>
      <c r="T56" s="77"/>
      <c r="U56" s="77"/>
      <c r="V56" s="77"/>
      <c r="W56" s="77"/>
      <c r="X56" s="77"/>
      <c r="Y56" s="77"/>
      <c r="Z56" s="77"/>
      <c r="AA56" s="77"/>
      <c r="AB56" s="77"/>
      <c r="AC56" s="77"/>
      <c r="AD56" s="77"/>
      <c r="AE56" s="77"/>
    </row>
    <row r="57" spans="1:31" ht="3"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row>
    <row r="58" spans="1:31" ht="12.75" customHeight="1">
      <c r="A58" s="22" t="s">
        <v>186</v>
      </c>
      <c r="B58" s="13" t="s">
        <v>1463</v>
      </c>
      <c r="C58" s="77"/>
      <c r="D58" s="68"/>
      <c r="E58" s="68"/>
      <c r="F58" s="68"/>
      <c r="G58" s="68"/>
      <c r="H58" s="68"/>
      <c r="I58" s="43"/>
      <c r="J58" s="43"/>
      <c r="K58" s="43"/>
      <c r="L58" s="28" t="s">
        <v>186</v>
      </c>
      <c r="M58" s="4401"/>
      <c r="N58" s="4402"/>
      <c r="O58" s="4402"/>
      <c r="P58" s="4483"/>
      <c r="Q58" s="2899"/>
      <c r="R58" s="77"/>
      <c r="S58" s="77"/>
      <c r="T58" s="77"/>
      <c r="U58" s="77"/>
      <c r="V58" s="77"/>
      <c r="W58" s="77"/>
      <c r="X58" s="77"/>
      <c r="Y58" s="77"/>
      <c r="Z58" s="77"/>
      <c r="AA58" s="77"/>
      <c r="AB58" s="77"/>
      <c r="AC58" s="77"/>
      <c r="AD58" s="77"/>
      <c r="AE58" s="77"/>
    </row>
    <row r="59" spans="1:31" ht="12.75" customHeight="1">
      <c r="A59" s="22" t="s">
        <v>198</v>
      </c>
      <c r="B59" s="13" t="s">
        <v>6438</v>
      </c>
      <c r="C59" s="77"/>
      <c r="D59" s="68"/>
      <c r="E59" s="68"/>
      <c r="F59" s="68"/>
      <c r="G59" s="77"/>
      <c r="H59" s="77"/>
      <c r="I59" s="77"/>
      <c r="J59" s="77"/>
      <c r="K59" s="77"/>
      <c r="L59" s="28" t="s">
        <v>198</v>
      </c>
      <c r="M59" s="4511"/>
      <c r="N59" s="4512"/>
      <c r="O59" s="4512"/>
      <c r="P59" s="4513"/>
      <c r="Q59" s="299"/>
      <c r="R59" s="77"/>
      <c r="S59" s="77"/>
      <c r="T59" s="77"/>
      <c r="U59" s="77"/>
      <c r="V59" s="77"/>
      <c r="W59" s="77"/>
      <c r="X59" s="77"/>
      <c r="Y59" s="77"/>
      <c r="Z59" s="77"/>
      <c r="AA59" s="77"/>
      <c r="AB59" s="77"/>
      <c r="AC59" s="77"/>
      <c r="AD59" s="77"/>
      <c r="AE59" s="77"/>
    </row>
    <row r="60" spans="1:31" ht="12.75" customHeight="1">
      <c r="A60" s="22" t="s">
        <v>219</v>
      </c>
      <c r="B60" s="13" t="s">
        <v>6439</v>
      </c>
      <c r="C60" s="77"/>
      <c r="D60" s="68"/>
      <c r="E60" s="68"/>
      <c r="F60" s="68"/>
      <c r="G60" s="77"/>
      <c r="H60" s="77"/>
      <c r="I60" s="77"/>
      <c r="J60" s="77"/>
      <c r="K60" s="77"/>
      <c r="L60" s="28" t="s">
        <v>219</v>
      </c>
      <c r="M60" s="4507"/>
      <c r="N60" s="4508"/>
      <c r="O60" s="4508"/>
      <c r="P60" s="4509"/>
      <c r="Q60" s="299"/>
      <c r="R60" s="77"/>
      <c r="S60" s="77"/>
      <c r="T60" s="77"/>
      <c r="U60" s="77"/>
      <c r="V60" s="77"/>
      <c r="W60" s="77"/>
      <c r="X60" s="77"/>
      <c r="Y60" s="77"/>
      <c r="Z60" s="77"/>
      <c r="AA60" s="77"/>
      <c r="AB60" s="77"/>
      <c r="AC60" s="77"/>
      <c r="AD60" s="77"/>
      <c r="AE60" s="77"/>
    </row>
    <row r="61" spans="1:31" ht="12.75" customHeight="1">
      <c r="A61" s="22" t="s">
        <v>221</v>
      </c>
      <c r="B61" s="13" t="s">
        <v>6440</v>
      </c>
      <c r="C61" s="77"/>
      <c r="D61" s="68"/>
      <c r="E61" s="68"/>
      <c r="F61" s="68"/>
      <c r="G61" s="77"/>
      <c r="H61" s="77"/>
      <c r="I61" s="77"/>
      <c r="J61" s="28" t="s">
        <v>6441</v>
      </c>
      <c r="K61" s="2902"/>
      <c r="L61" s="2903"/>
      <c r="M61" s="2761"/>
      <c r="N61" s="2904"/>
      <c r="O61" s="2905" t="s">
        <v>6442</v>
      </c>
      <c r="P61" s="638"/>
      <c r="Q61" s="1025"/>
      <c r="R61" s="77"/>
      <c r="S61" s="77"/>
      <c r="T61" s="77"/>
      <c r="U61" s="77"/>
      <c r="V61" s="77"/>
      <c r="W61" s="77"/>
      <c r="X61" s="77"/>
      <c r="Y61" s="77"/>
      <c r="Z61" s="77"/>
      <c r="AA61" s="77"/>
      <c r="AB61" s="77"/>
      <c r="AC61" s="77"/>
      <c r="AD61" s="77"/>
      <c r="AE61" s="77"/>
    </row>
    <row r="62" spans="1:31" ht="12.75" customHeight="1">
      <c r="A62" s="22" t="s">
        <v>228</v>
      </c>
      <c r="B62" s="13" t="s">
        <v>6443</v>
      </c>
      <c r="C62" s="77"/>
      <c r="D62" s="73"/>
      <c r="E62" s="73"/>
      <c r="F62" s="73"/>
      <c r="G62" s="73"/>
      <c r="H62" s="73"/>
      <c r="I62" s="73"/>
      <c r="J62" s="73"/>
      <c r="K62" s="73"/>
      <c r="L62" s="73"/>
      <c r="M62" s="73"/>
      <c r="N62" s="73"/>
      <c r="O62" s="73"/>
      <c r="P62" s="73"/>
      <c r="Q62" s="73"/>
      <c r="R62" s="77"/>
      <c r="S62" s="77"/>
      <c r="T62" s="77"/>
      <c r="U62" s="77"/>
      <c r="V62" s="77"/>
      <c r="W62" s="77"/>
      <c r="X62" s="77"/>
      <c r="Y62" s="77"/>
      <c r="Z62" s="77"/>
      <c r="AA62" s="77"/>
      <c r="AB62" s="77"/>
      <c r="AC62" s="77"/>
      <c r="AD62" s="77"/>
      <c r="AE62" s="77"/>
    </row>
    <row r="63" spans="1:31" ht="12.75" customHeight="1">
      <c r="A63" s="77"/>
      <c r="B63" s="22"/>
      <c r="C63" s="13"/>
      <c r="D63" s="2596" t="s">
        <v>6444</v>
      </c>
      <c r="E63" s="16" t="s">
        <v>46</v>
      </c>
      <c r="F63" s="16"/>
      <c r="G63" s="77"/>
      <c r="H63" s="13"/>
      <c r="I63" s="2596" t="s">
        <v>6444</v>
      </c>
      <c r="J63" s="16" t="s">
        <v>46</v>
      </c>
      <c r="K63" s="16"/>
      <c r="L63" s="77"/>
      <c r="M63" s="13"/>
      <c r="N63" s="2596" t="s">
        <v>6444</v>
      </c>
      <c r="O63" s="16" t="s">
        <v>46</v>
      </c>
      <c r="P63" s="16"/>
      <c r="Q63" s="28"/>
      <c r="R63" s="77"/>
      <c r="S63" s="77"/>
      <c r="T63" s="77"/>
      <c r="U63" s="77"/>
      <c r="V63" s="77"/>
      <c r="W63" s="77"/>
      <c r="X63" s="77"/>
      <c r="Y63" s="77"/>
      <c r="Z63" s="77"/>
      <c r="AA63" s="77"/>
      <c r="AB63" s="77"/>
      <c r="AC63" s="77"/>
      <c r="AD63" s="77"/>
      <c r="AE63" s="77"/>
    </row>
    <row r="64" spans="1:31" ht="12.75" customHeight="1">
      <c r="A64" s="77"/>
      <c r="B64" s="77"/>
      <c r="C64" s="28" t="s">
        <v>1511</v>
      </c>
      <c r="D64" s="2906"/>
      <c r="E64" s="4413"/>
      <c r="F64" s="4413"/>
      <c r="G64" s="4413"/>
      <c r="H64" s="28" t="s">
        <v>1515</v>
      </c>
      <c r="I64" s="2906"/>
      <c r="J64" s="4413"/>
      <c r="K64" s="4413"/>
      <c r="L64" s="4413"/>
      <c r="M64" s="28" t="s">
        <v>4566</v>
      </c>
      <c r="N64" s="2906"/>
      <c r="O64" s="4413"/>
      <c r="P64" s="4413"/>
      <c r="Q64" s="4413"/>
      <c r="R64" s="77"/>
      <c r="S64" s="77"/>
      <c r="T64" s="77"/>
      <c r="U64" s="77"/>
      <c r="V64" s="77"/>
      <c r="W64" s="77"/>
      <c r="X64" s="77"/>
      <c r="Y64" s="77"/>
      <c r="Z64" s="77"/>
      <c r="AA64" s="77"/>
      <c r="AB64" s="77"/>
      <c r="AC64" s="77"/>
      <c r="AD64" s="77"/>
      <c r="AE64" s="77"/>
    </row>
    <row r="65" spans="1:31" ht="12.75" customHeight="1">
      <c r="A65" s="77"/>
      <c r="B65" s="77"/>
      <c r="C65" s="28" t="s">
        <v>1513</v>
      </c>
      <c r="D65" s="1202"/>
      <c r="E65" s="4414"/>
      <c r="F65" s="4414"/>
      <c r="G65" s="4414"/>
      <c r="H65" s="28" t="s">
        <v>4562</v>
      </c>
      <c r="I65" s="1202"/>
      <c r="J65" s="4414"/>
      <c r="K65" s="4414"/>
      <c r="L65" s="4414"/>
      <c r="M65" s="28" t="s">
        <v>4568</v>
      </c>
      <c r="N65" s="1202"/>
      <c r="O65" s="4414"/>
      <c r="P65" s="4414"/>
      <c r="Q65" s="4414"/>
      <c r="R65" s="77"/>
      <c r="S65" s="77"/>
      <c r="T65" s="77"/>
      <c r="U65" s="77"/>
      <c r="V65" s="77"/>
      <c r="W65" s="77"/>
      <c r="X65" s="77"/>
      <c r="Y65" s="77"/>
      <c r="Z65" s="77"/>
      <c r="AA65" s="77"/>
      <c r="AB65" s="77"/>
      <c r="AC65" s="77"/>
      <c r="AD65" s="77"/>
      <c r="AE65" s="77"/>
    </row>
    <row r="66" spans="1:31" ht="12.75" customHeight="1">
      <c r="A66" s="77"/>
      <c r="B66" s="77"/>
      <c r="C66" s="28" t="s">
        <v>1514</v>
      </c>
      <c r="D66" s="275"/>
      <c r="E66" s="4415"/>
      <c r="F66" s="4415"/>
      <c r="G66" s="4415"/>
      <c r="H66" s="28" t="s">
        <v>4564</v>
      </c>
      <c r="I66" s="275"/>
      <c r="J66" s="4415"/>
      <c r="K66" s="4415"/>
      <c r="L66" s="4415"/>
      <c r="M66" s="28" t="s">
        <v>4570</v>
      </c>
      <c r="N66" s="275"/>
      <c r="O66" s="4415"/>
      <c r="P66" s="4415"/>
      <c r="Q66" s="4415"/>
      <c r="R66" s="77"/>
      <c r="S66" s="77"/>
      <c r="T66" s="77"/>
      <c r="U66" s="77"/>
      <c r="V66" s="77"/>
      <c r="W66" s="77"/>
      <c r="X66" s="77"/>
      <c r="Y66" s="77"/>
      <c r="Z66" s="77"/>
      <c r="AA66" s="77"/>
      <c r="AB66" s="77"/>
      <c r="AC66" s="77"/>
      <c r="AD66" s="77"/>
      <c r="AE66" s="77"/>
    </row>
    <row r="67" spans="1:31" ht="12.75" customHeight="1">
      <c r="A67" s="22" t="s">
        <v>230</v>
      </c>
      <c r="B67" s="13" t="s">
        <v>6445</v>
      </c>
      <c r="C67" s="77"/>
      <c r="D67" s="68"/>
      <c r="E67" s="68"/>
      <c r="F67" s="68"/>
      <c r="G67" s="68"/>
      <c r="H67" s="68"/>
      <c r="I67" s="43"/>
      <c r="J67" s="43"/>
      <c r="K67" s="68"/>
      <c r="L67" s="2590"/>
      <c r="M67" s="2590"/>
      <c r="N67" s="77"/>
      <c r="O67" s="28" t="s">
        <v>230</v>
      </c>
      <c r="P67" s="2898"/>
      <c r="Q67" s="2899"/>
      <c r="R67" s="77"/>
      <c r="S67" s="77"/>
      <c r="T67" s="77"/>
      <c r="U67" s="77"/>
      <c r="V67" s="77"/>
      <c r="W67" s="77"/>
      <c r="X67" s="77"/>
      <c r="Y67" s="77"/>
      <c r="Z67" s="77"/>
      <c r="AA67" s="77"/>
      <c r="AB67" s="77"/>
      <c r="AC67" s="77"/>
      <c r="AD67" s="77"/>
      <c r="AE67" s="77"/>
    </row>
    <row r="68" spans="1:31" ht="12.75" customHeight="1">
      <c r="A68" s="22" t="s">
        <v>6446</v>
      </c>
      <c r="B68" s="13" t="s">
        <v>6447</v>
      </c>
      <c r="C68" s="77"/>
      <c r="D68" s="68"/>
      <c r="E68" s="68"/>
      <c r="F68" s="68"/>
      <c r="G68" s="68"/>
      <c r="H68" s="68"/>
      <c r="I68" s="43"/>
      <c r="J68" s="43"/>
      <c r="K68" s="68"/>
      <c r="L68" s="2590"/>
      <c r="M68" s="2590"/>
      <c r="N68" s="77"/>
      <c r="O68" s="28" t="s">
        <v>6446</v>
      </c>
      <c r="P68" s="202"/>
      <c r="Q68" s="299"/>
      <c r="R68" s="77"/>
      <c r="S68" s="77"/>
      <c r="T68" s="77"/>
      <c r="U68" s="77"/>
      <c r="V68" s="77"/>
      <c r="W68" s="77"/>
      <c r="X68" s="77"/>
      <c r="Y68" s="77"/>
      <c r="Z68" s="77"/>
      <c r="AA68" s="77"/>
      <c r="AB68" s="77"/>
      <c r="AC68" s="77"/>
      <c r="AD68" s="77"/>
      <c r="AE68" s="77"/>
    </row>
    <row r="69" spans="1:31" ht="10.5" customHeight="1">
      <c r="A69" s="22" t="s">
        <v>6448</v>
      </c>
      <c r="B69" s="13" t="s">
        <v>6449</v>
      </c>
      <c r="C69" s="77"/>
      <c r="D69" s="68"/>
      <c r="E69" s="68"/>
      <c r="F69" s="68"/>
      <c r="G69" s="68"/>
      <c r="H69" s="68"/>
      <c r="I69" s="43"/>
      <c r="J69" s="43"/>
      <c r="K69" s="68"/>
      <c r="L69" s="2590"/>
      <c r="M69" s="2590"/>
      <c r="N69" s="77"/>
      <c r="O69" s="28" t="s">
        <v>6448</v>
      </c>
      <c r="P69" s="638"/>
      <c r="Q69" s="1025"/>
      <c r="R69" s="77"/>
      <c r="S69" s="77"/>
      <c r="T69" s="77"/>
      <c r="U69" s="77"/>
      <c r="V69" s="77"/>
      <c r="W69" s="77"/>
      <c r="X69" s="77"/>
      <c r="Y69" s="77"/>
      <c r="Z69" s="77"/>
      <c r="AA69" s="77"/>
      <c r="AB69" s="77"/>
      <c r="AC69" s="77"/>
      <c r="AD69" s="77"/>
      <c r="AE69" s="77"/>
    </row>
    <row r="70" spans="1:31" ht="9.75" customHeight="1">
      <c r="A70" s="77"/>
      <c r="B70" s="74" t="s">
        <v>1457</v>
      </c>
      <c r="C70" s="77"/>
      <c r="D70" s="74"/>
      <c r="E70" s="74"/>
      <c r="F70" s="74"/>
      <c r="G70" s="74"/>
      <c r="H70" s="16"/>
      <c r="I70" s="2596"/>
      <c r="J70" s="2596"/>
      <c r="K70" s="2596"/>
      <c r="L70" s="501"/>
      <c r="M70" s="501"/>
      <c r="N70" s="501"/>
      <c r="O70" s="501"/>
      <c r="P70" s="501"/>
      <c r="Q70" s="501"/>
      <c r="R70" s="77"/>
      <c r="S70" s="77"/>
      <c r="T70" s="77"/>
      <c r="U70" s="77"/>
      <c r="V70" s="77"/>
      <c r="W70" s="77"/>
      <c r="X70" s="77"/>
      <c r="Y70" s="77"/>
      <c r="Z70" s="77"/>
      <c r="AA70" s="77"/>
      <c r="AB70" s="77"/>
      <c r="AC70" s="77"/>
      <c r="AD70" s="77"/>
      <c r="AE70" s="77"/>
    </row>
    <row r="71" spans="1:31" ht="33" customHeight="1">
      <c r="A71" s="4390"/>
      <c r="B71" s="4391"/>
      <c r="C71" s="4391"/>
      <c r="D71" s="4391"/>
      <c r="E71" s="4391"/>
      <c r="F71" s="4391"/>
      <c r="G71" s="4391"/>
      <c r="H71" s="4391"/>
      <c r="I71" s="4391"/>
      <c r="J71" s="4391"/>
      <c r="K71" s="4391"/>
      <c r="L71" s="4391"/>
      <c r="M71" s="4391"/>
      <c r="N71" s="4391"/>
      <c r="O71" s="4391"/>
      <c r="P71" s="4391"/>
      <c r="Q71" s="4392"/>
      <c r="R71" s="77"/>
      <c r="S71" s="77"/>
      <c r="T71" s="77"/>
      <c r="U71" s="69"/>
      <c r="V71" s="69"/>
      <c r="W71" s="69"/>
      <c r="X71" s="69"/>
      <c r="Y71" s="69"/>
      <c r="Z71" s="69"/>
      <c r="AA71" s="69"/>
      <c r="AB71" s="69"/>
      <c r="AC71" s="69"/>
      <c r="AD71" s="69"/>
      <c r="AE71" s="69"/>
    </row>
    <row r="72" spans="1:31" ht="9.75" customHeight="1">
      <c r="A72" s="77"/>
      <c r="B72" s="70" t="s">
        <v>1453</v>
      </c>
      <c r="C72" s="71"/>
      <c r="D72" s="2586"/>
      <c r="E72" s="2586"/>
      <c r="F72" s="2586"/>
      <c r="G72" s="2586"/>
      <c r="H72" s="2586"/>
      <c r="I72" s="2586"/>
      <c r="J72" s="2586"/>
      <c r="K72" s="2586"/>
      <c r="L72" s="2586"/>
      <c r="M72" s="2586"/>
      <c r="N72" s="2586"/>
      <c r="O72" s="2586"/>
      <c r="P72" s="2586"/>
      <c r="Q72" s="2586"/>
      <c r="R72" s="77"/>
      <c r="S72" s="77"/>
      <c r="T72" s="77"/>
      <c r="U72" s="77"/>
      <c r="V72" s="77"/>
      <c r="W72" s="77"/>
      <c r="X72" s="77"/>
      <c r="Y72" s="77"/>
      <c r="Z72" s="77"/>
      <c r="AA72" s="77"/>
      <c r="AB72" s="77"/>
      <c r="AC72" s="77"/>
      <c r="AD72" s="77"/>
      <c r="AE72" s="77"/>
    </row>
    <row r="73" spans="1:31" ht="33" customHeight="1">
      <c r="A73" s="4387"/>
      <c r="B73" s="4388"/>
      <c r="C73" s="4388"/>
      <c r="D73" s="4388"/>
      <c r="E73" s="4388"/>
      <c r="F73" s="4388"/>
      <c r="G73" s="4388"/>
      <c r="H73" s="4388"/>
      <c r="I73" s="4388"/>
      <c r="J73" s="4388"/>
      <c r="K73" s="4388"/>
      <c r="L73" s="4388"/>
      <c r="M73" s="4388"/>
      <c r="N73" s="4388"/>
      <c r="O73" s="4388"/>
      <c r="P73" s="4388"/>
      <c r="Q73" s="4389"/>
      <c r="R73" s="77"/>
      <c r="S73" s="77"/>
      <c r="T73" s="77"/>
      <c r="U73" s="77"/>
      <c r="V73" s="77"/>
      <c r="W73" s="77"/>
      <c r="X73" s="77"/>
      <c r="Y73" s="77"/>
      <c r="Z73" s="77"/>
      <c r="AA73" s="77"/>
      <c r="AB73" s="77"/>
      <c r="AC73" s="77"/>
      <c r="AD73" s="77"/>
      <c r="AE73" s="77"/>
    </row>
    <row r="74" spans="1:31" ht="14.1" customHeight="1">
      <c r="A74" s="2521" t="s">
        <v>67</v>
      </c>
      <c r="B74" s="2521" t="s">
        <v>1468</v>
      </c>
      <c r="C74" s="2521"/>
      <c r="D74" s="2586"/>
      <c r="E74" s="2586"/>
      <c r="F74" s="2586"/>
      <c r="G74" s="2586"/>
      <c r="H74" s="2586"/>
      <c r="I74" s="2586"/>
      <c r="J74" s="2586"/>
      <c r="K74" s="2586"/>
      <c r="L74" s="2586"/>
      <c r="M74" s="2586"/>
      <c r="N74" s="77"/>
      <c r="O74" s="66" t="s">
        <v>1451</v>
      </c>
      <c r="P74" s="4382"/>
      <c r="Q74" s="4383"/>
      <c r="R74" s="77"/>
      <c r="S74" s="77"/>
      <c r="T74" s="77"/>
      <c r="U74" s="77"/>
      <c r="V74" s="77"/>
      <c r="W74" s="77"/>
      <c r="X74" s="77"/>
      <c r="Y74" s="77"/>
      <c r="Z74" s="77"/>
      <c r="AA74" s="77"/>
      <c r="AB74" s="77"/>
      <c r="AC74" s="77"/>
      <c r="AD74" s="77"/>
      <c r="AE74" s="77"/>
    </row>
    <row r="75" spans="1:31" ht="3"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row>
    <row r="76" spans="1:31" ht="12.75" customHeight="1">
      <c r="A76" s="22" t="s">
        <v>186</v>
      </c>
      <c r="B76" s="13" t="s">
        <v>6450</v>
      </c>
      <c r="C76" s="13"/>
      <c r="D76" s="77"/>
      <c r="E76" s="13"/>
      <c r="F76" s="13"/>
      <c r="G76" s="13"/>
      <c r="H76" s="13"/>
      <c r="I76" s="13"/>
      <c r="J76" s="13"/>
      <c r="K76" s="13"/>
      <c r="L76" s="16"/>
      <c r="M76" s="16"/>
      <c r="N76" s="77"/>
      <c r="O76" s="28" t="s">
        <v>186</v>
      </c>
      <c r="P76" s="2900"/>
      <c r="Q76" s="2899"/>
      <c r="R76" s="77"/>
      <c r="S76" s="77"/>
      <c r="T76" s="77"/>
      <c r="U76" s="77"/>
      <c r="V76" s="77"/>
      <c r="W76" s="77"/>
      <c r="X76" s="77"/>
      <c r="Y76" s="77"/>
      <c r="Z76" s="77"/>
      <c r="AA76" s="77"/>
      <c r="AB76" s="77"/>
      <c r="AC76" s="77"/>
      <c r="AD76" s="77"/>
      <c r="AE76" s="77"/>
    </row>
    <row r="77" spans="1:31" ht="12.75" customHeight="1">
      <c r="A77" s="77"/>
      <c r="B77" s="265" t="s">
        <v>1511</v>
      </c>
      <c r="C77" s="13" t="s">
        <v>6451</v>
      </c>
      <c r="D77" s="77"/>
      <c r="E77" s="43"/>
      <c r="F77" s="43"/>
      <c r="G77" s="43"/>
      <c r="H77" s="43"/>
      <c r="I77" s="43"/>
      <c r="J77" s="77"/>
      <c r="K77" s="77"/>
      <c r="L77" s="28" t="s">
        <v>6452</v>
      </c>
      <c r="M77" s="4397"/>
      <c r="N77" s="4398"/>
      <c r="O77" s="4398"/>
      <c r="P77" s="4399"/>
      <c r="Q77" s="299"/>
      <c r="R77" s="77"/>
      <c r="S77" s="77"/>
      <c r="T77" s="77"/>
      <c r="U77" s="77"/>
      <c r="V77" s="77"/>
      <c r="W77" s="77"/>
      <c r="X77" s="77"/>
      <c r="Y77" s="77"/>
      <c r="Z77" s="77"/>
      <c r="AA77" s="77"/>
      <c r="AB77" s="77"/>
      <c r="AC77" s="77"/>
      <c r="AD77" s="77"/>
      <c r="AE77" s="77"/>
    </row>
    <row r="78" spans="1:31" s="18" customFormat="1" ht="12.75" customHeight="1">
      <c r="A78" s="43"/>
      <c r="B78" s="16" t="s">
        <v>1513</v>
      </c>
      <c r="C78" s="13" t="s">
        <v>6453</v>
      </c>
      <c r="D78" s="43"/>
      <c r="E78" s="43"/>
      <c r="F78" s="43"/>
      <c r="G78" s="43"/>
      <c r="H78" s="43"/>
      <c r="I78" s="43"/>
      <c r="J78" s="43"/>
      <c r="K78" s="43"/>
      <c r="L78" s="43"/>
      <c r="M78" s="43"/>
      <c r="N78" s="43"/>
      <c r="O78" s="28" t="s">
        <v>1513</v>
      </c>
      <c r="P78" s="2898"/>
      <c r="Q78" s="2899"/>
      <c r="R78" s="43"/>
      <c r="S78" s="43"/>
      <c r="T78" s="43"/>
      <c r="U78" s="43"/>
      <c r="V78" s="43"/>
      <c r="W78" s="43"/>
      <c r="X78" s="43"/>
      <c r="Y78" s="43"/>
      <c r="Z78" s="43"/>
      <c r="AA78" s="43"/>
      <c r="AB78" s="43"/>
      <c r="AC78" s="43"/>
      <c r="AD78" s="43"/>
      <c r="AE78" s="43"/>
    </row>
    <row r="79" spans="1:31" s="18" customFormat="1" ht="12.75" customHeight="1">
      <c r="A79" s="43"/>
      <c r="B79" s="265" t="s">
        <v>1514</v>
      </c>
      <c r="C79" s="13" t="s">
        <v>6454</v>
      </c>
      <c r="D79" s="43"/>
      <c r="E79" s="43"/>
      <c r="F79" s="43"/>
      <c r="G79" s="43"/>
      <c r="H79" s="43"/>
      <c r="I79" s="43"/>
      <c r="J79" s="43"/>
      <c r="K79" s="43"/>
      <c r="L79" s="43"/>
      <c r="M79" s="43"/>
      <c r="N79" s="43"/>
      <c r="O79" s="84" t="s">
        <v>1514</v>
      </c>
      <c r="P79" s="944"/>
      <c r="Q79" s="945"/>
      <c r="R79" s="43"/>
      <c r="S79" s="43"/>
      <c r="T79" s="43"/>
      <c r="U79" s="43"/>
      <c r="V79" s="43"/>
      <c r="W79" s="43"/>
      <c r="X79" s="43"/>
      <c r="Y79" s="43"/>
      <c r="Z79" s="43"/>
      <c r="AA79" s="43"/>
      <c r="AB79" s="43"/>
      <c r="AC79" s="43"/>
      <c r="AD79" s="43"/>
      <c r="AE79" s="43"/>
    </row>
    <row r="80" spans="1:31" ht="12.75" customHeight="1">
      <c r="A80" s="2596"/>
      <c r="B80" s="265" t="s">
        <v>1515</v>
      </c>
      <c r="C80" s="16" t="s">
        <v>6455</v>
      </c>
      <c r="D80" s="588"/>
      <c r="E80" s="588"/>
      <c r="F80" s="588"/>
      <c r="G80" s="588"/>
      <c r="H80" s="588"/>
      <c r="I80" s="588"/>
      <c r="J80" s="588"/>
      <c r="K80" s="588"/>
      <c r="L80" s="588"/>
      <c r="M80" s="588"/>
      <c r="N80" s="77"/>
      <c r="O80" s="84" t="s">
        <v>1515</v>
      </c>
      <c r="P80" s="584"/>
      <c r="Q80" s="299"/>
      <c r="R80" s="77"/>
      <c r="S80" s="77"/>
      <c r="T80" s="77"/>
      <c r="U80" s="77"/>
      <c r="V80" s="77"/>
      <c r="W80" s="77"/>
      <c r="X80" s="77"/>
      <c r="Y80" s="77"/>
      <c r="Z80" s="77"/>
      <c r="AA80" s="77"/>
      <c r="AB80" s="77"/>
      <c r="AC80" s="77"/>
      <c r="AD80" s="77"/>
      <c r="AE80" s="77"/>
    </row>
    <row r="81" spans="1:31" ht="12.75" customHeight="1">
      <c r="A81" s="2596"/>
      <c r="B81" s="265" t="s">
        <v>4562</v>
      </c>
      <c r="C81" s="16" t="s">
        <v>6456</v>
      </c>
      <c r="D81" s="588"/>
      <c r="E81" s="588"/>
      <c r="F81" s="588"/>
      <c r="G81" s="588"/>
      <c r="H81" s="588"/>
      <c r="I81" s="588"/>
      <c r="J81" s="588"/>
      <c r="K81" s="588"/>
      <c r="L81" s="588"/>
      <c r="M81" s="588"/>
      <c r="N81" s="77"/>
      <c r="O81" s="84" t="s">
        <v>4562</v>
      </c>
      <c r="P81" s="202"/>
      <c r="Q81" s="299"/>
      <c r="R81" s="77"/>
      <c r="S81" s="77"/>
      <c r="T81" s="77"/>
      <c r="U81" s="77"/>
      <c r="V81" s="77"/>
      <c r="W81" s="77"/>
      <c r="X81" s="77"/>
      <c r="Y81" s="77"/>
      <c r="Z81" s="77"/>
      <c r="AA81" s="77"/>
      <c r="AB81" s="77"/>
      <c r="AC81" s="77"/>
      <c r="AD81" s="77"/>
      <c r="AE81" s="77"/>
    </row>
    <row r="82" spans="1:31" ht="12.75" customHeight="1">
      <c r="A82" s="2596"/>
      <c r="B82" s="265" t="s">
        <v>4564</v>
      </c>
      <c r="C82" s="16" t="s">
        <v>6457</v>
      </c>
      <c r="D82" s="588"/>
      <c r="E82" s="588"/>
      <c r="F82" s="588"/>
      <c r="G82" s="588"/>
      <c r="H82" s="588"/>
      <c r="I82" s="588"/>
      <c r="J82" s="588"/>
      <c r="K82" s="588"/>
      <c r="L82" s="588"/>
      <c r="M82" s="588"/>
      <c r="N82" s="77"/>
      <c r="O82" s="84" t="s">
        <v>4564</v>
      </c>
      <c r="P82" s="202"/>
      <c r="Q82" s="299"/>
      <c r="R82" s="77"/>
      <c r="S82" s="77"/>
      <c r="T82" s="77"/>
      <c r="U82" s="77"/>
      <c r="V82" s="77"/>
      <c r="W82" s="77"/>
      <c r="X82" s="77"/>
      <c r="Y82" s="77"/>
      <c r="Z82" s="77"/>
      <c r="AA82" s="77"/>
      <c r="AB82" s="77"/>
      <c r="AC82" s="77"/>
      <c r="AD82" s="77"/>
      <c r="AE82" s="77"/>
    </row>
    <row r="83" spans="1:31" ht="12.75" customHeight="1">
      <c r="A83" s="2596"/>
      <c r="B83" s="265" t="s">
        <v>4566</v>
      </c>
      <c r="C83" s="16" t="s">
        <v>6458</v>
      </c>
      <c r="D83" s="16"/>
      <c r="E83" s="16"/>
      <c r="F83" s="16"/>
      <c r="G83" s="16"/>
      <c r="H83" s="16"/>
      <c r="I83" s="16"/>
      <c r="J83" s="16"/>
      <c r="K83" s="16"/>
      <c r="L83" s="16"/>
      <c r="M83" s="509"/>
      <c r="N83" s="77"/>
      <c r="O83" s="84" t="s">
        <v>4566</v>
      </c>
      <c r="P83" s="202"/>
      <c r="Q83" s="299"/>
      <c r="R83" s="77"/>
      <c r="S83" s="77"/>
      <c r="T83" s="77"/>
      <c r="U83" s="77"/>
      <c r="V83" s="77"/>
      <c r="W83" s="77"/>
      <c r="X83" s="77"/>
      <c r="Y83" s="77"/>
      <c r="Z83" s="77"/>
      <c r="AA83" s="77"/>
      <c r="AB83" s="77"/>
      <c r="AC83" s="77"/>
      <c r="AD83" s="77"/>
      <c r="AE83" s="77"/>
    </row>
    <row r="84" spans="1:31" s="67" customFormat="1" ht="23.25" customHeight="1">
      <c r="A84" s="241"/>
      <c r="B84" s="265" t="s">
        <v>4568</v>
      </c>
      <c r="C84" s="4379" t="s">
        <v>6459</v>
      </c>
      <c r="D84" s="4379"/>
      <c r="E84" s="4379"/>
      <c r="F84" s="4379"/>
      <c r="G84" s="4379"/>
      <c r="H84" s="4379"/>
      <c r="I84" s="4379"/>
      <c r="J84" s="4379"/>
      <c r="K84" s="4379"/>
      <c r="L84" s="4379"/>
      <c r="M84" s="4379"/>
      <c r="N84" s="4379"/>
      <c r="O84" s="84" t="s">
        <v>4568</v>
      </c>
      <c r="P84" s="2595"/>
      <c r="Q84" s="2593"/>
      <c r="R84" s="229"/>
      <c r="S84" s="229"/>
      <c r="T84" s="229"/>
      <c r="U84" s="229"/>
      <c r="V84" s="229"/>
      <c r="W84" s="229"/>
      <c r="X84" s="229"/>
      <c r="Y84" s="229"/>
      <c r="Z84" s="229"/>
      <c r="AA84" s="229"/>
      <c r="AB84" s="229"/>
      <c r="AC84" s="229"/>
      <c r="AD84" s="229"/>
      <c r="AE84" s="229"/>
    </row>
    <row r="85" spans="1:31" ht="12.75" customHeight="1">
      <c r="A85" s="22" t="s">
        <v>198</v>
      </c>
      <c r="B85" s="13" t="s">
        <v>1470</v>
      </c>
      <c r="C85" s="13"/>
      <c r="D85" s="77"/>
      <c r="E85" s="13"/>
      <c r="F85" s="13"/>
      <c r="G85" s="13"/>
      <c r="H85" s="13"/>
      <c r="I85" s="13"/>
      <c r="J85" s="13"/>
      <c r="K85" s="13"/>
      <c r="L85" s="13"/>
      <c r="M85" s="13"/>
      <c r="N85" s="77"/>
      <c r="O85" s="28" t="s">
        <v>198</v>
      </c>
      <c r="P85" s="2898"/>
      <c r="Q85" s="2899"/>
      <c r="R85" s="77"/>
      <c r="S85" s="77"/>
      <c r="T85" s="77"/>
      <c r="U85" s="77"/>
      <c r="V85" s="77"/>
      <c r="W85" s="77"/>
      <c r="X85" s="77"/>
      <c r="Y85" s="77"/>
      <c r="Z85" s="77"/>
      <c r="AA85" s="77"/>
      <c r="AB85" s="77"/>
      <c r="AC85" s="77"/>
      <c r="AD85" s="77"/>
      <c r="AE85" s="77"/>
    </row>
    <row r="86" spans="1:31" ht="12.75" customHeight="1">
      <c r="A86" s="77"/>
      <c r="B86" s="265" t="s">
        <v>1511</v>
      </c>
      <c r="C86" s="13" t="s">
        <v>6460</v>
      </c>
      <c r="D86" s="13"/>
      <c r="E86" s="13"/>
      <c r="F86" s="13"/>
      <c r="G86" s="13"/>
      <c r="H86" s="13"/>
      <c r="I86" s="13"/>
      <c r="J86" s="13"/>
      <c r="K86" s="13"/>
      <c r="L86" s="13"/>
      <c r="M86" s="13"/>
      <c r="N86" s="77"/>
      <c r="O86" s="84" t="s">
        <v>1511</v>
      </c>
      <c r="P86" s="2898"/>
      <c r="Q86" s="2899"/>
      <c r="R86" s="77"/>
      <c r="S86" s="77"/>
      <c r="T86" s="77"/>
      <c r="U86" s="77"/>
      <c r="V86" s="77"/>
      <c r="W86" s="77"/>
      <c r="X86" s="77"/>
      <c r="Y86" s="77"/>
      <c r="Z86" s="77"/>
      <c r="AA86" s="77"/>
      <c r="AB86" s="77"/>
      <c r="AC86" s="77"/>
      <c r="AD86" s="77"/>
      <c r="AE86" s="77"/>
    </row>
    <row r="87" spans="1:31" ht="12.75" customHeight="1">
      <c r="A87" s="22"/>
      <c r="B87" s="16" t="s">
        <v>1513</v>
      </c>
      <c r="C87" s="13" t="s">
        <v>6461</v>
      </c>
      <c r="D87" s="13"/>
      <c r="E87" s="13"/>
      <c r="F87" s="13"/>
      <c r="G87" s="13"/>
      <c r="H87" s="13"/>
      <c r="I87" s="13"/>
      <c r="J87" s="13"/>
      <c r="K87" s="13"/>
      <c r="L87" s="13"/>
      <c r="M87" s="13"/>
      <c r="N87" s="77"/>
      <c r="O87" s="28" t="s">
        <v>1513</v>
      </c>
      <c r="P87" s="942"/>
      <c r="Q87" s="941"/>
      <c r="R87" s="77"/>
      <c r="S87" s="77"/>
      <c r="T87" s="77"/>
      <c r="U87" s="77"/>
      <c r="V87" s="77"/>
      <c r="W87" s="77"/>
      <c r="X87" s="77"/>
      <c r="Y87" s="77"/>
      <c r="Z87" s="77"/>
      <c r="AA87" s="77"/>
      <c r="AB87" s="77"/>
      <c r="AC87" s="77"/>
      <c r="AD87" s="77"/>
      <c r="AE87" s="77"/>
    </row>
    <row r="88" spans="1:31" ht="10.5" customHeight="1">
      <c r="A88" s="77"/>
      <c r="B88" s="74" t="s">
        <v>1457</v>
      </c>
      <c r="C88" s="77"/>
      <c r="D88" s="74"/>
      <c r="E88" s="74"/>
      <c r="F88" s="74"/>
      <c r="G88" s="74"/>
      <c r="H88" s="16"/>
      <c r="I88" s="2596"/>
      <c r="J88" s="2596"/>
      <c r="K88" s="2596"/>
      <c r="L88" s="501"/>
      <c r="M88" s="501"/>
      <c r="N88" s="501"/>
      <c r="O88" s="501"/>
      <c r="P88" s="501"/>
      <c r="Q88" s="501"/>
      <c r="R88" s="77"/>
      <c r="S88" s="77"/>
      <c r="T88" s="77"/>
      <c r="U88" s="77"/>
      <c r="V88" s="77"/>
      <c r="W88" s="77"/>
      <c r="X88" s="77"/>
      <c r="Y88" s="77"/>
      <c r="Z88" s="77"/>
      <c r="AA88" s="77"/>
      <c r="AB88" s="77"/>
      <c r="AC88" s="77"/>
      <c r="AD88" s="77"/>
      <c r="AE88" s="77"/>
    </row>
    <row r="89" spans="1:31" ht="22.5" customHeight="1">
      <c r="A89" s="4390"/>
      <c r="B89" s="4391"/>
      <c r="C89" s="4391"/>
      <c r="D89" s="4391"/>
      <c r="E89" s="4391"/>
      <c r="F89" s="4391"/>
      <c r="G89" s="4391"/>
      <c r="H89" s="4391"/>
      <c r="I89" s="4391"/>
      <c r="J89" s="4391"/>
      <c r="K89" s="4391"/>
      <c r="L89" s="4391"/>
      <c r="M89" s="4391"/>
      <c r="N89" s="4391"/>
      <c r="O89" s="4391"/>
      <c r="P89" s="4391"/>
      <c r="Q89" s="4392"/>
      <c r="R89" s="77"/>
      <c r="S89" s="77"/>
      <c r="T89" s="77"/>
      <c r="U89" s="69"/>
      <c r="V89" s="69"/>
      <c r="W89" s="69"/>
      <c r="X89" s="69"/>
      <c r="Y89" s="69"/>
      <c r="Z89" s="69"/>
      <c r="AA89" s="69"/>
      <c r="AB89" s="69"/>
      <c r="AC89" s="69"/>
      <c r="AD89" s="69"/>
      <c r="AE89" s="69"/>
    </row>
    <row r="90" spans="1:31" ht="11.25" customHeight="1">
      <c r="A90" s="77"/>
      <c r="B90" s="70" t="s">
        <v>1453</v>
      </c>
      <c r="C90" s="71"/>
      <c r="D90" s="2586"/>
      <c r="E90" s="2586"/>
      <c r="F90" s="2586"/>
      <c r="G90" s="2586"/>
      <c r="H90" s="2586"/>
      <c r="I90" s="2586"/>
      <c r="J90" s="2586"/>
      <c r="K90" s="2586"/>
      <c r="L90" s="2586"/>
      <c r="M90" s="2586"/>
      <c r="N90" s="2586"/>
      <c r="O90" s="2586"/>
      <c r="P90" s="2586"/>
      <c r="Q90" s="2586"/>
      <c r="R90" s="77"/>
      <c r="S90" s="77"/>
      <c r="T90" s="77"/>
      <c r="U90" s="77"/>
      <c r="V90" s="77"/>
      <c r="W90" s="77"/>
      <c r="X90" s="77"/>
      <c r="Y90" s="77"/>
      <c r="Z90" s="77"/>
      <c r="AA90" s="77"/>
      <c r="AB90" s="77"/>
      <c r="AC90" s="77"/>
      <c r="AD90" s="77"/>
      <c r="AE90" s="77"/>
    </row>
    <row r="91" spans="1:31" ht="22.5" customHeight="1">
      <c r="A91" s="4387"/>
      <c r="B91" s="4388"/>
      <c r="C91" s="4388"/>
      <c r="D91" s="4388"/>
      <c r="E91" s="4388"/>
      <c r="F91" s="4388"/>
      <c r="G91" s="4388"/>
      <c r="H91" s="4388"/>
      <c r="I91" s="4388"/>
      <c r="J91" s="4388"/>
      <c r="K91" s="4388"/>
      <c r="L91" s="4388"/>
      <c r="M91" s="4388"/>
      <c r="N91" s="4388"/>
      <c r="O91" s="4388"/>
      <c r="P91" s="4388"/>
      <c r="Q91" s="4389"/>
      <c r="R91" s="77"/>
      <c r="S91" s="77"/>
      <c r="T91" s="77"/>
      <c r="U91" s="77"/>
      <c r="V91" s="77"/>
      <c r="W91" s="77"/>
      <c r="X91" s="77"/>
      <c r="Y91" s="77"/>
      <c r="Z91" s="77"/>
      <c r="AA91" s="77"/>
      <c r="AB91" s="77"/>
      <c r="AC91" s="77"/>
      <c r="AD91" s="77"/>
      <c r="AE91" s="77"/>
    </row>
    <row r="92" spans="1:31" ht="14.1" customHeight="1">
      <c r="A92" s="2521" t="s">
        <v>69</v>
      </c>
      <c r="B92" s="2521" t="s">
        <v>1472</v>
      </c>
      <c r="C92" s="16"/>
      <c r="D92" s="2586"/>
      <c r="E92" s="2586"/>
      <c r="F92" s="2586"/>
      <c r="G92" s="2586"/>
      <c r="H92" s="2586"/>
      <c r="I92" s="2586"/>
      <c r="J92" s="2586"/>
      <c r="K92" s="2586"/>
      <c r="L92" s="2586"/>
      <c r="M92" s="2586"/>
      <c r="N92" s="621" t="s">
        <v>6462</v>
      </c>
      <c r="O92" s="66" t="s">
        <v>1451</v>
      </c>
      <c r="P92" s="4382"/>
      <c r="Q92" s="4383"/>
      <c r="R92" s="623" t="s">
        <v>6463</v>
      </c>
      <c r="S92" s="77"/>
      <c r="T92" s="77"/>
      <c r="U92" s="77"/>
      <c r="V92" s="77"/>
      <c r="W92" s="77"/>
      <c r="X92" s="77"/>
      <c r="Y92" s="77"/>
      <c r="Z92" s="77"/>
      <c r="AA92" s="77"/>
      <c r="AB92" s="77"/>
      <c r="AC92" s="77"/>
      <c r="AD92" s="77"/>
      <c r="AE92" s="77"/>
    </row>
    <row r="93" spans="1:31" ht="6.6"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row>
    <row r="94" spans="1:31">
      <c r="A94" s="22" t="s">
        <v>186</v>
      </c>
      <c r="B94" s="13" t="s">
        <v>6464</v>
      </c>
      <c r="C94" s="77"/>
      <c r="D94" s="68"/>
      <c r="E94" s="68"/>
      <c r="F94" s="68"/>
      <c r="G94" s="68"/>
      <c r="H94" s="68"/>
      <c r="I94" s="43"/>
      <c r="J94" s="43"/>
      <c r="K94" s="28" t="s">
        <v>186</v>
      </c>
      <c r="L94" s="4416"/>
      <c r="M94" s="4416"/>
      <c r="N94" s="4416"/>
      <c r="O94" s="4416"/>
      <c r="P94" s="4417"/>
      <c r="Q94" s="2907"/>
      <c r="R94" s="77"/>
      <c r="S94" s="77"/>
      <c r="T94" s="77"/>
      <c r="U94" s="77"/>
      <c r="V94" s="77"/>
      <c r="W94" s="77"/>
      <c r="X94" s="77"/>
      <c r="Y94" s="77"/>
      <c r="Z94" s="77"/>
      <c r="AA94" s="77"/>
      <c r="AB94" s="77"/>
      <c r="AC94" s="77"/>
      <c r="AD94" s="77"/>
      <c r="AE94" s="77"/>
    </row>
    <row r="95" spans="1:31" ht="12" customHeight="1">
      <c r="A95" s="77"/>
      <c r="B95" s="25" t="s">
        <v>6465</v>
      </c>
      <c r="C95" s="77"/>
      <c r="D95" s="77"/>
      <c r="E95" s="77"/>
      <c r="F95" s="77"/>
      <c r="G95" s="77"/>
      <c r="H95" s="77"/>
      <c r="I95" s="77"/>
      <c r="J95" s="77"/>
      <c r="K95" s="77"/>
      <c r="L95" s="77"/>
      <c r="M95" s="77"/>
      <c r="N95" s="77"/>
      <c r="O95" s="28" t="s">
        <v>1513</v>
      </c>
      <c r="P95" s="202"/>
      <c r="Q95" s="299"/>
      <c r="R95" s="77"/>
      <c r="S95" s="77"/>
      <c r="T95" s="77"/>
      <c r="U95" s="77"/>
      <c r="V95" s="77"/>
      <c r="W95" s="77"/>
      <c r="X95" s="77"/>
      <c r="Y95" s="77"/>
      <c r="Z95" s="77"/>
      <c r="AA95" s="77"/>
      <c r="AB95" s="77"/>
      <c r="AC95" s="77"/>
      <c r="AD95" s="77"/>
      <c r="AE95" s="77"/>
    </row>
    <row r="96" spans="1:31" ht="12" customHeight="1">
      <c r="A96" s="77"/>
      <c r="B96" s="25" t="s">
        <v>6466</v>
      </c>
      <c r="C96" s="77"/>
      <c r="D96" s="77"/>
      <c r="E96" s="77"/>
      <c r="F96" s="77"/>
      <c r="G96" s="77"/>
      <c r="H96" s="77"/>
      <c r="I96" s="25" t="s">
        <v>6467</v>
      </c>
      <c r="J96" s="77"/>
      <c r="K96" s="2908"/>
      <c r="L96" s="2909"/>
      <c r="M96" s="77"/>
      <c r="N96" s="25" t="s">
        <v>6468</v>
      </c>
      <c r="O96" s="77"/>
      <c r="P96" s="1222"/>
      <c r="Q96" s="1223"/>
      <c r="R96" s="77"/>
      <c r="S96" s="77"/>
      <c r="T96" s="77"/>
      <c r="U96" s="77"/>
      <c r="V96" s="77"/>
      <c r="W96" s="77"/>
      <c r="X96" s="77"/>
      <c r="Y96" s="77"/>
      <c r="Z96" s="77"/>
      <c r="AA96" s="77"/>
      <c r="AB96" s="77"/>
      <c r="AC96" s="77"/>
      <c r="AD96" s="77"/>
      <c r="AE96" s="77"/>
    </row>
    <row r="97" spans="1:17" ht="12" customHeight="1">
      <c r="A97" s="22" t="s">
        <v>198</v>
      </c>
      <c r="B97" s="13" t="s">
        <v>1475</v>
      </c>
      <c r="C97" s="77"/>
      <c r="D97" s="68"/>
      <c r="E97" s="68"/>
      <c r="F97" s="68"/>
      <c r="G97" s="68"/>
      <c r="H97" s="68"/>
      <c r="I97" s="43"/>
      <c r="J97" s="43"/>
      <c r="K97" s="68"/>
      <c r="L97" s="2590"/>
      <c r="M97" s="77"/>
      <c r="N97" s="77"/>
      <c r="O97" s="28" t="s">
        <v>198</v>
      </c>
      <c r="P97" s="2900"/>
      <c r="Q97" s="2901"/>
    </row>
    <row r="98" spans="1:17" ht="12" customHeight="1">
      <c r="A98" s="22" t="s">
        <v>219</v>
      </c>
      <c r="B98" s="13" t="s">
        <v>6469</v>
      </c>
      <c r="C98" s="77"/>
      <c r="D98" s="68"/>
      <c r="E98" s="68"/>
      <c r="F98" s="68"/>
      <c r="G98" s="68"/>
      <c r="H98" s="68"/>
      <c r="I98" s="43"/>
      <c r="J98" s="43"/>
      <c r="K98" s="2590"/>
      <c r="L98" s="2613"/>
      <c r="M98" s="2399"/>
      <c r="N98" s="2399"/>
      <c r="O98" s="1221" t="s">
        <v>219</v>
      </c>
      <c r="P98" s="1220"/>
      <c r="Q98" s="1219"/>
    </row>
    <row r="99" spans="1:17" ht="12" customHeight="1">
      <c r="A99" s="22"/>
      <c r="B99" s="16" t="s">
        <v>1511</v>
      </c>
      <c r="C99" s="13" t="s">
        <v>6470</v>
      </c>
      <c r="D99" s="77"/>
      <c r="E99" s="68"/>
      <c r="F99" s="68"/>
      <c r="G99" s="68"/>
      <c r="H99" s="68"/>
      <c r="I99" s="43"/>
      <c r="J99" s="43"/>
      <c r="K99" s="28" t="s">
        <v>1511</v>
      </c>
      <c r="L99" s="4526"/>
      <c r="M99" s="4526"/>
      <c r="N99" s="4526"/>
      <c r="O99" s="4526"/>
      <c r="P99" s="4527"/>
      <c r="Q99" s="299"/>
    </row>
    <row r="100" spans="1:17" ht="12" customHeight="1">
      <c r="A100" s="72"/>
      <c r="B100" s="16" t="s">
        <v>1513</v>
      </c>
      <c r="C100" s="13" t="s">
        <v>6471</v>
      </c>
      <c r="D100" s="77"/>
      <c r="E100" s="43"/>
      <c r="F100" s="43"/>
      <c r="G100" s="43"/>
      <c r="H100" s="13"/>
      <c r="I100" s="43"/>
      <c r="J100" s="43"/>
      <c r="K100" s="68"/>
      <c r="L100" s="2910"/>
      <c r="M100" s="2910"/>
      <c r="N100" s="2911"/>
      <c r="O100" s="2912" t="s">
        <v>1513</v>
      </c>
      <c r="P100" s="584"/>
      <c r="Q100" s="2604"/>
    </row>
    <row r="101" spans="1:17" ht="12" customHeight="1">
      <c r="A101" s="72"/>
      <c r="B101" s="16" t="s">
        <v>1514</v>
      </c>
      <c r="C101" s="13" t="s">
        <v>6472</v>
      </c>
      <c r="D101" s="77"/>
      <c r="E101" s="43"/>
      <c r="F101" s="43"/>
      <c r="G101" s="43"/>
      <c r="H101" s="13"/>
      <c r="I101" s="43"/>
      <c r="J101" s="43"/>
      <c r="K101" s="68"/>
      <c r="L101" s="2590"/>
      <c r="M101" s="2590"/>
      <c r="N101" s="77"/>
      <c r="O101" s="28" t="s">
        <v>1514</v>
      </c>
      <c r="P101" s="118"/>
      <c r="Q101" s="300"/>
    </row>
    <row r="102" spans="1:17" s="77" customFormat="1" ht="12" customHeight="1">
      <c r="A102" s="22" t="s">
        <v>221</v>
      </c>
      <c r="B102" s="13" t="s">
        <v>6473</v>
      </c>
      <c r="D102" s="68"/>
      <c r="E102" s="68"/>
      <c r="F102" s="68"/>
      <c r="G102" s="68"/>
      <c r="H102" s="68"/>
      <c r="I102" s="43"/>
      <c r="J102" s="43"/>
      <c r="K102" s="68"/>
      <c r="L102" s="2590"/>
      <c r="M102" s="2590"/>
      <c r="N102" s="2590"/>
      <c r="O102" s="28" t="s">
        <v>221</v>
      </c>
    </row>
    <row r="103" spans="1:17" s="77" customFormat="1" ht="12" customHeight="1">
      <c r="A103" s="22"/>
      <c r="B103" s="16" t="s">
        <v>1511</v>
      </c>
      <c r="C103" s="13" t="s">
        <v>6474</v>
      </c>
      <c r="E103" s="68"/>
      <c r="F103" s="68"/>
      <c r="G103" s="68"/>
      <c r="H103" s="68"/>
      <c r="I103" s="43"/>
      <c r="J103" s="43"/>
      <c r="K103" s="68"/>
      <c r="L103" s="2590"/>
      <c r="M103" s="2590"/>
      <c r="O103" s="28" t="s">
        <v>1511</v>
      </c>
      <c r="P103" s="2898"/>
      <c r="Q103" s="2899"/>
    </row>
    <row r="104" spans="1:17" s="77" customFormat="1" ht="12" customHeight="1">
      <c r="A104" s="22"/>
      <c r="B104" s="16" t="s">
        <v>1513</v>
      </c>
      <c r="C104" s="13" t="s">
        <v>6475</v>
      </c>
      <c r="E104" s="68"/>
      <c r="F104" s="68"/>
      <c r="G104" s="68"/>
      <c r="H104" s="43"/>
      <c r="I104" s="43"/>
      <c r="J104" s="43"/>
      <c r="K104" s="68"/>
      <c r="L104" s="2590"/>
      <c r="M104" s="2590"/>
      <c r="O104" s="28" t="s">
        <v>1513</v>
      </c>
      <c r="P104" s="202"/>
      <c r="Q104" s="299"/>
    </row>
    <row r="105" spans="1:17" s="77" customFormat="1" ht="12" customHeight="1">
      <c r="A105" s="22"/>
      <c r="B105" s="16"/>
      <c r="C105" s="13" t="s">
        <v>6476</v>
      </c>
      <c r="E105" s="28" t="s">
        <v>6477</v>
      </c>
      <c r="F105" s="13" t="s">
        <v>6478</v>
      </c>
      <c r="G105" s="43"/>
      <c r="H105" s="13"/>
      <c r="I105" s="43"/>
      <c r="J105" s="43"/>
      <c r="K105" s="68"/>
      <c r="L105" s="2590"/>
      <c r="M105" s="2590"/>
      <c r="O105" s="28" t="s">
        <v>6477</v>
      </c>
      <c r="P105" s="1275"/>
      <c r="Q105" s="1276"/>
    </row>
    <row r="106" spans="1:17" s="77" customFormat="1" ht="12" customHeight="1">
      <c r="A106" s="22"/>
      <c r="B106" s="16"/>
      <c r="E106" s="28" t="s">
        <v>6479</v>
      </c>
      <c r="F106" s="13" t="s">
        <v>6480</v>
      </c>
      <c r="G106" s="43"/>
      <c r="H106" s="13"/>
      <c r="I106" s="43"/>
      <c r="J106" s="43"/>
      <c r="K106" s="68"/>
      <c r="L106" s="2590"/>
      <c r="M106" s="2590"/>
      <c r="O106" s="28" t="s">
        <v>6479</v>
      </c>
      <c r="P106" s="202"/>
      <c r="Q106" s="299"/>
    </row>
    <row r="107" spans="1:17" s="77" customFormat="1" ht="12" customHeight="1">
      <c r="A107" s="22"/>
      <c r="B107" s="16" t="s">
        <v>1514</v>
      </c>
      <c r="C107" s="13" t="s">
        <v>6481</v>
      </c>
      <c r="E107" s="68"/>
      <c r="F107" s="68"/>
      <c r="G107" s="68"/>
      <c r="H107" s="13"/>
      <c r="I107" s="43"/>
      <c r="J107" s="43"/>
      <c r="K107" s="68"/>
      <c r="L107" s="2590"/>
      <c r="M107" s="2590"/>
      <c r="O107" s="28" t="s">
        <v>1514</v>
      </c>
      <c r="P107" s="202"/>
      <c r="Q107" s="299"/>
    </row>
    <row r="108" spans="1:17" s="77" customFormat="1" ht="12" customHeight="1">
      <c r="A108" s="22"/>
      <c r="B108" s="28"/>
      <c r="C108" s="13" t="s">
        <v>6476</v>
      </c>
      <c r="E108" s="28" t="s">
        <v>6477</v>
      </c>
      <c r="F108" s="13" t="s">
        <v>6482</v>
      </c>
      <c r="G108" s="43"/>
      <c r="H108" s="13"/>
      <c r="I108" s="43"/>
      <c r="J108" s="43"/>
      <c r="K108" s="68"/>
      <c r="L108" s="2590"/>
      <c r="O108" s="28" t="s">
        <v>6477</v>
      </c>
      <c r="P108" s="1275"/>
      <c r="Q108" s="1276"/>
    </row>
    <row r="109" spans="1:17" s="77" customFormat="1" ht="12" customHeight="1">
      <c r="A109" s="22"/>
      <c r="B109" s="28"/>
      <c r="E109" s="28" t="s">
        <v>6479</v>
      </c>
      <c r="F109" s="13" t="s">
        <v>6483</v>
      </c>
      <c r="G109" s="43"/>
      <c r="H109" s="13"/>
      <c r="I109" s="43"/>
      <c r="J109" s="43"/>
      <c r="O109" s="28" t="s">
        <v>6479</v>
      </c>
      <c r="P109" s="118"/>
      <c r="Q109" s="300"/>
    </row>
    <row r="110" spans="1:17" ht="12" customHeight="1">
      <c r="A110" s="22" t="s">
        <v>228</v>
      </c>
      <c r="B110" s="16" t="s">
        <v>6484</v>
      </c>
      <c r="C110" s="77"/>
      <c r="D110" s="68"/>
      <c r="E110" s="68"/>
      <c r="F110" s="68"/>
      <c r="G110" s="68"/>
      <c r="H110" s="68"/>
      <c r="I110" s="43"/>
      <c r="J110" s="43"/>
      <c r="K110" s="68"/>
      <c r="L110" s="77"/>
      <c r="M110" s="2590"/>
      <c r="N110" s="2590"/>
      <c r="O110" s="2590"/>
      <c r="P110" s="2590"/>
      <c r="Q110" s="2590"/>
    </row>
    <row r="111" spans="1:17" ht="12" customHeight="1">
      <c r="A111" s="22"/>
      <c r="B111" s="16" t="s">
        <v>1511</v>
      </c>
      <c r="C111" s="13" t="s">
        <v>6481</v>
      </c>
      <c r="D111" s="68"/>
      <c r="E111" s="16"/>
      <c r="F111" s="2898"/>
      <c r="G111" s="2899"/>
      <c r="H111" s="28" t="s">
        <v>6485</v>
      </c>
      <c r="I111" s="13" t="s">
        <v>6486</v>
      </c>
      <c r="J111" s="2898"/>
      <c r="K111" s="2899"/>
      <c r="L111" s="28" t="s">
        <v>6487</v>
      </c>
      <c r="M111" s="73" t="s">
        <v>6488</v>
      </c>
      <c r="N111" s="77"/>
      <c r="O111" s="77"/>
      <c r="P111" s="2898"/>
      <c r="Q111" s="2899"/>
    </row>
    <row r="112" spans="1:17" ht="12.75" customHeight="1">
      <c r="A112" s="77"/>
      <c r="B112" s="16" t="s">
        <v>1513</v>
      </c>
      <c r="C112" s="13" t="s">
        <v>6489</v>
      </c>
      <c r="D112" s="77"/>
      <c r="E112" s="68"/>
      <c r="F112" s="202"/>
      <c r="G112" s="299"/>
      <c r="H112" s="28" t="s">
        <v>6490</v>
      </c>
      <c r="I112" s="13" t="s">
        <v>6491</v>
      </c>
      <c r="J112" s="202"/>
      <c r="K112" s="299"/>
      <c r="L112" s="28" t="s">
        <v>6492</v>
      </c>
      <c r="M112" s="25" t="s">
        <v>6493</v>
      </c>
      <c r="N112" s="77"/>
      <c r="O112" s="2590"/>
      <c r="P112" s="202"/>
      <c r="Q112" s="299"/>
    </row>
    <row r="113" spans="1:31" ht="12" customHeight="1">
      <c r="A113" s="13"/>
      <c r="B113" s="16" t="s">
        <v>1514</v>
      </c>
      <c r="C113" s="13" t="s">
        <v>6494</v>
      </c>
      <c r="D113" s="77"/>
      <c r="E113" s="68"/>
      <c r="F113" s="202"/>
      <c r="G113" s="299"/>
      <c r="H113" s="28" t="s">
        <v>6495</v>
      </c>
      <c r="I113" s="13" t="s">
        <v>6496</v>
      </c>
      <c r="J113" s="202"/>
      <c r="K113" s="299"/>
      <c r="L113" s="28" t="s">
        <v>6497</v>
      </c>
      <c r="M113" s="13" t="s">
        <v>6498</v>
      </c>
      <c r="N113" s="77"/>
      <c r="O113" s="77"/>
      <c r="P113" s="202"/>
      <c r="Q113" s="299"/>
      <c r="R113" s="77"/>
      <c r="S113" s="77"/>
      <c r="T113" s="77"/>
      <c r="U113" s="77"/>
      <c r="V113" s="77"/>
      <c r="W113" s="77"/>
      <c r="X113" s="77"/>
      <c r="Y113" s="77"/>
      <c r="Z113" s="77"/>
      <c r="AA113" s="77"/>
      <c r="AB113" s="77"/>
      <c r="AC113" s="77"/>
      <c r="AD113" s="77"/>
      <c r="AE113" s="77"/>
    </row>
    <row r="114" spans="1:31" ht="12" customHeight="1">
      <c r="A114" s="13"/>
      <c r="B114" s="16" t="s">
        <v>1515</v>
      </c>
      <c r="C114" s="25" t="s">
        <v>6499</v>
      </c>
      <c r="D114" s="77"/>
      <c r="E114" s="68"/>
      <c r="F114" s="118"/>
      <c r="G114" s="300"/>
      <c r="H114" s="28" t="s">
        <v>6500</v>
      </c>
      <c r="I114" s="25" t="s">
        <v>6501</v>
      </c>
      <c r="J114" s="118"/>
      <c r="K114" s="300"/>
      <c r="L114" s="28" t="s">
        <v>6502</v>
      </c>
      <c r="M114" s="25" t="s">
        <v>6503</v>
      </c>
      <c r="N114" s="77"/>
      <c r="O114" s="77"/>
      <c r="P114" s="118"/>
      <c r="Q114" s="300"/>
      <c r="R114" s="77"/>
      <c r="S114" s="77"/>
      <c r="T114" s="77"/>
      <c r="U114" s="77"/>
      <c r="V114" s="77"/>
      <c r="W114" s="77"/>
      <c r="X114" s="77"/>
      <c r="Y114" s="77"/>
      <c r="Z114" s="77"/>
      <c r="AA114" s="77"/>
      <c r="AB114" s="77"/>
      <c r="AC114" s="77"/>
      <c r="AD114" s="77"/>
      <c r="AE114" s="77"/>
    </row>
    <row r="115" spans="1:31" ht="12" customHeight="1">
      <c r="A115" s="13"/>
      <c r="B115" s="28" t="s">
        <v>6504</v>
      </c>
      <c r="C115" s="13" t="s">
        <v>6505</v>
      </c>
      <c r="D115" s="77"/>
      <c r="E115" s="68"/>
      <c r="F115" s="68"/>
      <c r="G115" s="68"/>
      <c r="H115" s="68"/>
      <c r="I115" s="68"/>
      <c r="J115" s="68"/>
      <c r="K115" s="68"/>
      <c r="L115" s="68"/>
      <c r="M115" s="13"/>
      <c r="N115" s="77"/>
      <c r="O115" s="28"/>
      <c r="P115" s="28"/>
      <c r="Q115" s="77"/>
      <c r="R115" s="77"/>
      <c r="S115" s="77"/>
      <c r="T115" s="77"/>
      <c r="U115" s="77"/>
      <c r="V115" s="77"/>
      <c r="W115" s="77"/>
      <c r="X115" s="77"/>
      <c r="Y115" s="77"/>
      <c r="Z115" s="77"/>
      <c r="AA115" s="77"/>
      <c r="AB115" s="77"/>
      <c r="AC115" s="77"/>
      <c r="AD115" s="77"/>
      <c r="AE115" s="77"/>
    </row>
    <row r="116" spans="1:31" ht="12" customHeight="1">
      <c r="A116" s="13"/>
      <c r="B116" s="77"/>
      <c r="C116" s="4510"/>
      <c r="D116" s="4510"/>
      <c r="E116" s="4510"/>
      <c r="F116" s="4510"/>
      <c r="G116" s="4510"/>
      <c r="H116" s="4510"/>
      <c r="I116" s="4510"/>
      <c r="J116" s="4510"/>
      <c r="K116" s="4510"/>
      <c r="L116" s="4510"/>
      <c r="M116" s="4510"/>
      <c r="N116" s="4510"/>
      <c r="O116" s="4510"/>
      <c r="P116" s="4510"/>
      <c r="Q116" s="4510"/>
      <c r="R116" s="77"/>
      <c r="S116" s="77"/>
      <c r="T116" s="77"/>
      <c r="U116" s="77"/>
      <c r="V116" s="77"/>
      <c r="W116" s="77"/>
      <c r="X116" s="77"/>
      <c r="Y116" s="77"/>
      <c r="Z116" s="77"/>
      <c r="AA116" s="77"/>
      <c r="AB116" s="77"/>
      <c r="AC116" s="77"/>
      <c r="AD116" s="77"/>
      <c r="AE116" s="77"/>
    </row>
    <row r="117" spans="1:31" ht="12" customHeight="1">
      <c r="A117" s="75" t="s">
        <v>230</v>
      </c>
      <c r="B117" s="13" t="s">
        <v>6506</v>
      </c>
      <c r="C117" s="77"/>
      <c r="D117" s="68"/>
      <c r="E117" s="68"/>
      <c r="F117" s="68"/>
      <c r="G117" s="68"/>
      <c r="H117" s="68"/>
      <c r="I117" s="43"/>
      <c r="J117" s="43"/>
      <c r="K117" s="68"/>
      <c r="L117" s="68"/>
      <c r="M117" s="2590"/>
      <c r="N117" s="77"/>
      <c r="O117" s="77"/>
      <c r="P117" s="77"/>
      <c r="Q117" s="77"/>
      <c r="R117" s="77"/>
      <c r="S117" s="77"/>
      <c r="T117" s="77"/>
      <c r="U117" s="77"/>
      <c r="V117" s="77"/>
      <c r="W117" s="77"/>
      <c r="X117" s="77"/>
      <c r="Y117" s="77"/>
      <c r="Z117" s="77"/>
      <c r="AA117" s="77"/>
      <c r="AB117" s="77"/>
      <c r="AC117" s="77"/>
      <c r="AD117" s="77"/>
      <c r="AE117" s="77"/>
    </row>
    <row r="118" spans="1:31" ht="12.75" customHeight="1">
      <c r="A118" s="43"/>
      <c r="B118" s="16" t="s">
        <v>1511</v>
      </c>
      <c r="C118" s="13" t="s">
        <v>6507</v>
      </c>
      <c r="D118" s="77"/>
      <c r="E118" s="68"/>
      <c r="F118" s="68"/>
      <c r="G118" s="68"/>
      <c r="H118" s="68"/>
      <c r="I118" s="77"/>
      <c r="J118" s="77"/>
      <c r="K118" s="77"/>
      <c r="L118" s="77"/>
      <c r="M118" s="77"/>
      <c r="N118" s="77"/>
      <c r="O118" s="28" t="s">
        <v>6508</v>
      </c>
      <c r="P118" s="2898"/>
      <c r="Q118" s="2899"/>
      <c r="R118" s="77"/>
      <c r="S118" s="77"/>
      <c r="T118" s="77"/>
      <c r="U118" s="77"/>
      <c r="V118" s="77"/>
      <c r="W118" s="77"/>
      <c r="X118" s="77"/>
      <c r="Y118" s="77"/>
      <c r="Z118" s="77"/>
      <c r="AA118" s="77"/>
      <c r="AB118" s="77"/>
      <c r="AC118" s="77"/>
      <c r="AD118" s="77"/>
      <c r="AE118" s="77"/>
    </row>
    <row r="119" spans="1:31" ht="12.75" customHeight="1">
      <c r="A119" s="2596"/>
      <c r="B119" s="16" t="s">
        <v>1513</v>
      </c>
      <c r="C119" s="13" t="s">
        <v>6509</v>
      </c>
      <c r="D119" s="77"/>
      <c r="E119" s="13"/>
      <c r="F119" s="13"/>
      <c r="G119" s="13"/>
      <c r="H119" s="13"/>
      <c r="I119" s="43"/>
      <c r="J119" s="43"/>
      <c r="K119" s="13"/>
      <c r="L119" s="13"/>
      <c r="M119" s="13"/>
      <c r="N119" s="77"/>
      <c r="O119" s="28" t="s">
        <v>1513</v>
      </c>
      <c r="P119" s="202"/>
      <c r="Q119" s="299"/>
      <c r="R119" s="77"/>
      <c r="S119" s="77"/>
      <c r="T119" s="77"/>
      <c r="U119" s="77"/>
      <c r="V119" s="77"/>
      <c r="W119" s="77"/>
      <c r="X119" s="77"/>
      <c r="Y119" s="77"/>
      <c r="Z119" s="77"/>
      <c r="AA119" s="77"/>
      <c r="AB119" s="77"/>
      <c r="AC119" s="77"/>
      <c r="AD119" s="77"/>
      <c r="AE119" s="77"/>
    </row>
    <row r="120" spans="1:31" ht="12.75" customHeight="1">
      <c r="A120" s="2596"/>
      <c r="B120" s="16" t="s">
        <v>1514</v>
      </c>
      <c r="C120" s="13" t="s">
        <v>6510</v>
      </c>
      <c r="D120" s="77"/>
      <c r="E120" s="13"/>
      <c r="F120" s="13"/>
      <c r="G120" s="13"/>
      <c r="H120" s="13"/>
      <c r="I120" s="43"/>
      <c r="J120" s="43"/>
      <c r="K120" s="13"/>
      <c r="L120" s="13"/>
      <c r="M120" s="13"/>
      <c r="N120" s="77"/>
      <c r="O120" s="28" t="s">
        <v>1514</v>
      </c>
      <c r="P120" s="202"/>
      <c r="Q120" s="299"/>
      <c r="R120" s="77"/>
      <c r="S120" s="77"/>
      <c r="T120" s="77"/>
      <c r="U120" s="77"/>
      <c r="V120" s="77"/>
      <c r="W120" s="77"/>
      <c r="X120" s="77"/>
      <c r="Y120" s="77"/>
      <c r="Z120" s="77"/>
      <c r="AA120" s="77"/>
      <c r="AB120" s="77"/>
      <c r="AC120" s="77"/>
      <c r="AD120" s="77"/>
      <c r="AE120" s="77"/>
    </row>
    <row r="121" spans="1:31" ht="12.75" customHeight="1">
      <c r="A121" s="2596"/>
      <c r="B121" s="16" t="s">
        <v>1515</v>
      </c>
      <c r="C121" s="13" t="s">
        <v>6511</v>
      </c>
      <c r="D121" s="77"/>
      <c r="E121" s="13"/>
      <c r="F121" s="13"/>
      <c r="G121" s="13"/>
      <c r="H121" s="13"/>
      <c r="I121" s="43"/>
      <c r="J121" s="43"/>
      <c r="K121" s="13"/>
      <c r="L121" s="13"/>
      <c r="M121" s="13"/>
      <c r="N121" s="77"/>
      <c r="O121" s="28" t="s">
        <v>1515</v>
      </c>
      <c r="P121" s="118"/>
      <c r="Q121" s="300"/>
      <c r="R121" s="77"/>
      <c r="S121" s="77"/>
      <c r="T121" s="77"/>
      <c r="U121" s="77"/>
      <c r="V121" s="77"/>
      <c r="W121" s="77"/>
      <c r="X121" s="77"/>
      <c r="Y121" s="77"/>
      <c r="Z121" s="77"/>
      <c r="AA121" s="77"/>
      <c r="AB121" s="77"/>
      <c r="AC121" s="77"/>
      <c r="AD121" s="77"/>
      <c r="AE121" s="77"/>
    </row>
    <row r="122" spans="1:31" ht="12" customHeight="1">
      <c r="A122" s="39" t="s">
        <v>6512</v>
      </c>
      <c r="B122" s="77"/>
      <c r="C122" s="13"/>
      <c r="D122" s="68"/>
      <c r="E122" s="68"/>
      <c r="F122" s="68"/>
      <c r="G122" s="68"/>
      <c r="H122" s="68"/>
      <c r="I122" s="43"/>
      <c r="J122" s="43"/>
      <c r="K122" s="68"/>
      <c r="L122" s="68"/>
      <c r="M122" s="2590"/>
      <c r="N122" s="2590"/>
      <c r="O122" s="2590"/>
      <c r="P122" s="2590"/>
      <c r="Q122" s="2590"/>
      <c r="R122" s="2590"/>
      <c r="S122" s="77"/>
      <c r="T122" s="77"/>
      <c r="U122" s="77"/>
      <c r="V122" s="77"/>
      <c r="W122" s="77"/>
      <c r="X122" s="77"/>
      <c r="Y122" s="77"/>
      <c r="Z122" s="77"/>
      <c r="AA122" s="77"/>
      <c r="AB122" s="77"/>
      <c r="AC122" s="77"/>
      <c r="AD122" s="77"/>
      <c r="AE122" s="77"/>
    </row>
    <row r="123" spans="1:31" s="1" customFormat="1" ht="24" customHeight="1">
      <c r="A123" s="75" t="s">
        <v>6446</v>
      </c>
      <c r="B123" s="4379" t="s">
        <v>6513</v>
      </c>
      <c r="C123" s="4379"/>
      <c r="D123" s="4379"/>
      <c r="E123" s="4379"/>
      <c r="F123" s="4379"/>
      <c r="G123" s="4379"/>
      <c r="H123" s="4379"/>
      <c r="I123" s="4379"/>
      <c r="J123" s="4379"/>
      <c r="K123" s="4379"/>
      <c r="L123" s="4379"/>
      <c r="M123" s="84" t="s">
        <v>6446</v>
      </c>
      <c r="N123" s="4539" t="s">
        <v>721</v>
      </c>
      <c r="O123" s="4540"/>
      <c r="P123" s="4541" t="s">
        <v>721</v>
      </c>
      <c r="Q123" s="4542"/>
      <c r="R123" s="43"/>
      <c r="S123" s="43"/>
      <c r="T123" s="43"/>
      <c r="U123" s="43"/>
      <c r="V123" s="43"/>
      <c r="W123" s="43"/>
      <c r="X123" s="43"/>
      <c r="Y123" s="43"/>
      <c r="Z123" s="43"/>
      <c r="AA123" s="43"/>
      <c r="AB123" s="43"/>
      <c r="AC123" s="43"/>
      <c r="AD123" s="43"/>
      <c r="AE123" s="43"/>
    </row>
    <row r="124" spans="1:31" ht="11.25" customHeight="1">
      <c r="A124" s="77"/>
      <c r="B124" s="74" t="s">
        <v>1457</v>
      </c>
      <c r="C124" s="77"/>
      <c r="D124" s="74"/>
      <c r="E124" s="74"/>
      <c r="F124" s="74"/>
      <c r="G124" s="74"/>
      <c r="H124" s="16"/>
      <c r="I124" s="2596"/>
      <c r="J124" s="2596"/>
      <c r="K124" s="2596"/>
      <c r="L124" s="501"/>
      <c r="M124" s="501"/>
      <c r="N124" s="501"/>
      <c r="O124" s="501"/>
      <c r="P124" s="501"/>
      <c r="Q124" s="501"/>
      <c r="R124" s="77"/>
      <c r="S124" s="77"/>
      <c r="T124" s="77"/>
      <c r="U124" s="77"/>
      <c r="V124" s="77"/>
      <c r="W124" s="77"/>
      <c r="X124" s="77"/>
      <c r="Y124" s="77"/>
      <c r="Z124" s="77"/>
      <c r="AA124" s="77"/>
      <c r="AB124" s="77"/>
      <c r="AC124" s="77"/>
      <c r="AD124" s="77"/>
      <c r="AE124" s="77"/>
    </row>
    <row r="125" spans="1:31" ht="45" customHeight="1">
      <c r="A125" s="4390"/>
      <c r="B125" s="4391"/>
      <c r="C125" s="4391"/>
      <c r="D125" s="4391"/>
      <c r="E125" s="4391"/>
      <c r="F125" s="4391"/>
      <c r="G125" s="4391"/>
      <c r="H125" s="4391"/>
      <c r="I125" s="4391"/>
      <c r="J125" s="4391"/>
      <c r="K125" s="4391"/>
      <c r="L125" s="4391"/>
      <c r="M125" s="4391"/>
      <c r="N125" s="4391"/>
      <c r="O125" s="4391"/>
      <c r="P125" s="4391"/>
      <c r="Q125" s="4392"/>
      <c r="R125" s="249" t="s">
        <v>6410</v>
      </c>
      <c r="S125" s="249"/>
      <c r="T125" s="77"/>
      <c r="U125" s="69"/>
      <c r="V125" s="69"/>
      <c r="W125" s="69"/>
      <c r="X125" s="69"/>
      <c r="Y125" s="69"/>
      <c r="Z125" s="69"/>
      <c r="AA125" s="69"/>
      <c r="AB125" s="69"/>
      <c r="AC125" s="69"/>
      <c r="AD125" s="69"/>
      <c r="AE125" s="69"/>
    </row>
    <row r="126" spans="1:31" customFormat="1" ht="3" customHeight="1">
      <c r="R126" s="249"/>
      <c r="S126" s="249"/>
    </row>
    <row r="127" spans="1:31" ht="11.25" customHeight="1">
      <c r="A127" s="77"/>
      <c r="B127" s="70" t="s">
        <v>1453</v>
      </c>
      <c r="C127" s="71"/>
      <c r="D127" s="2586"/>
      <c r="E127" s="2586"/>
      <c r="F127" s="2586"/>
      <c r="G127" s="2586"/>
      <c r="H127" s="2586"/>
      <c r="I127" s="2586"/>
      <c r="J127" s="2586"/>
      <c r="K127" s="2586"/>
      <c r="L127" s="2586"/>
      <c r="M127" s="2586"/>
      <c r="N127" s="2586"/>
      <c r="O127" s="2586"/>
      <c r="P127" s="2586"/>
      <c r="Q127" s="2586"/>
      <c r="R127" s="77"/>
      <c r="S127" s="77"/>
      <c r="T127" s="77"/>
      <c r="U127" s="77"/>
      <c r="V127" s="77"/>
      <c r="W127" s="77"/>
      <c r="X127" s="77"/>
      <c r="Y127" s="77"/>
      <c r="Z127" s="77"/>
      <c r="AA127" s="77"/>
      <c r="AB127" s="77"/>
      <c r="AC127" s="77"/>
      <c r="AD127" s="77"/>
      <c r="AE127" s="77"/>
    </row>
    <row r="128" spans="1:31" ht="45" customHeight="1">
      <c r="A128" s="4387"/>
      <c r="B128" s="4388"/>
      <c r="C128" s="4388"/>
      <c r="D128" s="4388"/>
      <c r="E128" s="4388"/>
      <c r="F128" s="4388"/>
      <c r="G128" s="4388"/>
      <c r="H128" s="4388"/>
      <c r="I128" s="4388"/>
      <c r="J128" s="4388"/>
      <c r="K128" s="4388"/>
      <c r="L128" s="4388"/>
      <c r="M128" s="4388"/>
      <c r="N128" s="4388"/>
      <c r="O128" s="4388"/>
      <c r="P128" s="4388"/>
      <c r="Q128" s="4389"/>
      <c r="R128" s="77"/>
      <c r="S128" s="77"/>
      <c r="T128" s="77"/>
      <c r="U128" s="77"/>
      <c r="V128" s="77"/>
      <c r="W128" s="77"/>
      <c r="X128" s="77"/>
      <c r="Y128" s="77"/>
      <c r="Z128" s="77"/>
      <c r="AA128" s="77"/>
      <c r="AB128" s="77"/>
      <c r="AC128" s="77"/>
      <c r="AD128" s="77"/>
      <c r="AE128" s="77"/>
    </row>
    <row r="129" spans="1:31" ht="3" customHeight="1">
      <c r="A129" s="501"/>
      <c r="B129" s="2596"/>
      <c r="C129" s="2586"/>
      <c r="D129" s="2586"/>
      <c r="E129" s="2586"/>
      <c r="F129" s="2586"/>
      <c r="G129" s="2586"/>
      <c r="H129" s="2586"/>
      <c r="I129" s="2586"/>
      <c r="J129" s="2586"/>
      <c r="K129" s="2586"/>
      <c r="L129" s="2586"/>
      <c r="M129" s="2586"/>
      <c r="N129" s="2586"/>
      <c r="O129" s="2586"/>
      <c r="P129" s="2586"/>
      <c r="Q129" s="501"/>
      <c r="R129" s="77"/>
      <c r="S129" s="77"/>
      <c r="T129" s="77"/>
      <c r="U129" s="77"/>
      <c r="V129" s="77"/>
      <c r="W129" s="77"/>
      <c r="X129" s="77"/>
      <c r="Y129" s="77"/>
      <c r="Z129" s="77"/>
      <c r="AA129" s="77"/>
      <c r="AB129" s="77"/>
      <c r="AC129" s="77"/>
      <c r="AD129" s="77"/>
      <c r="AE129" s="77"/>
    </row>
    <row r="130" spans="1:31" ht="14.1" customHeight="1">
      <c r="A130" s="2521" t="s">
        <v>1482</v>
      </c>
      <c r="B130" s="2521" t="s">
        <v>1483</v>
      </c>
      <c r="C130" s="2521"/>
      <c r="D130" s="2586"/>
      <c r="E130" s="2586"/>
      <c r="F130" s="2586"/>
      <c r="G130" s="2586"/>
      <c r="H130" s="2586"/>
      <c r="I130" s="2586"/>
      <c r="J130" s="2586"/>
      <c r="K130" s="2586"/>
      <c r="L130" s="77"/>
      <c r="M130" s="77"/>
      <c r="N130" s="621" t="s">
        <v>6462</v>
      </c>
      <c r="O130" s="66" t="s">
        <v>1451</v>
      </c>
      <c r="P130" s="4382"/>
      <c r="Q130" s="4383"/>
      <c r="R130" s="623" t="s">
        <v>6463</v>
      </c>
      <c r="S130" s="77"/>
      <c r="T130" s="77"/>
      <c r="U130" s="77"/>
      <c r="V130" s="77"/>
      <c r="W130" s="77"/>
      <c r="X130" s="77"/>
      <c r="Y130" s="77"/>
      <c r="Z130" s="77"/>
      <c r="AA130" s="77"/>
      <c r="AB130" s="77"/>
      <c r="AC130" s="77"/>
      <c r="AD130" s="77"/>
      <c r="AE130" s="77"/>
    </row>
    <row r="131" spans="1:31" ht="12" customHeight="1">
      <c r="A131" s="22" t="s">
        <v>186</v>
      </c>
      <c r="B131" s="16" t="s">
        <v>1511</v>
      </c>
      <c r="C131" s="13" t="s">
        <v>6514</v>
      </c>
      <c r="D131" s="13"/>
      <c r="E131" s="13"/>
      <c r="F131" s="13"/>
      <c r="G131" s="13"/>
      <c r="H131" s="77"/>
      <c r="I131" s="77"/>
      <c r="J131" s="77"/>
      <c r="K131" s="13" t="s">
        <v>6515</v>
      </c>
      <c r="L131" s="77"/>
      <c r="M131" s="4477"/>
      <c r="N131" s="4478"/>
      <c r="O131" s="28" t="s">
        <v>1511</v>
      </c>
      <c r="P131" s="2900"/>
      <c r="Q131" s="2901"/>
      <c r="R131" s="77"/>
      <c r="S131" s="77"/>
      <c r="T131" s="77"/>
      <c r="U131" s="77"/>
      <c r="V131" s="77"/>
      <c r="W131" s="77"/>
      <c r="X131" s="77"/>
      <c r="Y131" s="77"/>
      <c r="Z131" s="77"/>
      <c r="AA131" s="77"/>
      <c r="AB131" s="77"/>
      <c r="AC131" s="77"/>
      <c r="AD131" s="77"/>
      <c r="AE131" s="77"/>
    </row>
    <row r="132" spans="1:31" ht="12" customHeight="1">
      <c r="A132" s="22"/>
      <c r="B132" s="16" t="s">
        <v>1513</v>
      </c>
      <c r="C132" s="13" t="s">
        <v>6516</v>
      </c>
      <c r="D132" s="13"/>
      <c r="E132" s="13"/>
      <c r="F132" s="13"/>
      <c r="G132" s="13"/>
      <c r="H132" s="77"/>
      <c r="I132" s="77"/>
      <c r="J132" s="77"/>
      <c r="K132" s="13" t="s">
        <v>6515</v>
      </c>
      <c r="L132" s="77"/>
      <c r="M132" s="4477"/>
      <c r="N132" s="4478"/>
      <c r="O132" s="28" t="s">
        <v>1513</v>
      </c>
      <c r="P132" s="2900"/>
      <c r="Q132" s="2901"/>
      <c r="R132" s="77"/>
      <c r="S132" s="77"/>
      <c r="T132" s="77"/>
      <c r="U132" s="77"/>
      <c r="V132" s="77"/>
      <c r="W132" s="77"/>
      <c r="X132" s="77"/>
      <c r="Y132" s="77"/>
      <c r="Z132" s="77"/>
      <c r="AA132" s="77"/>
      <c r="AB132" s="77"/>
      <c r="AC132" s="77"/>
      <c r="AD132" s="77"/>
      <c r="AE132" s="77"/>
    </row>
    <row r="133" spans="1:31" ht="12" customHeight="1">
      <c r="A133" s="22" t="s">
        <v>198</v>
      </c>
      <c r="B133" s="73" t="s">
        <v>1484</v>
      </c>
      <c r="C133" s="77"/>
      <c r="D133" s="73"/>
      <c r="E133" s="73"/>
      <c r="F133" s="13" t="str">
        <f>IF(M133="Ground lease/Option","Ground lease/Option:","")</f>
        <v>Ground lease/Option:</v>
      </c>
      <c r="G133" s="77"/>
      <c r="H133" s="13" t="str">
        <f>IF(M133="Ground lease/Option","Annual Pymt:","")</f>
        <v>Annual Pymt:</v>
      </c>
      <c r="I133" s="853" t="e">
        <f>IF(M133="Ground lease/Option",#REF!,"")</f>
        <v>#REF!</v>
      </c>
      <c r="J133" s="28" t="str">
        <f>IF(M133="Ground lease/Option","Term:","")</f>
        <v>Term:</v>
      </c>
      <c r="K133" s="1073" t="e">
        <f>IF(M133="Ground lease/Option",#REF!,"")</f>
        <v>#REF!</v>
      </c>
      <c r="L133" s="28" t="s">
        <v>198</v>
      </c>
      <c r="M133" s="4479" t="s">
        <v>6517</v>
      </c>
      <c r="N133" s="4480"/>
      <c r="O133" s="77"/>
      <c r="P133" s="4481" t="s">
        <v>721</v>
      </c>
      <c r="Q133" s="4482"/>
      <c r="R133" s="77"/>
      <c r="S133" s="77"/>
      <c r="T133" s="77"/>
      <c r="U133" s="77"/>
      <c r="V133" s="77"/>
      <c r="W133" s="77"/>
      <c r="X133" s="77"/>
      <c r="Y133" s="77"/>
      <c r="Z133" s="77"/>
      <c r="AA133" s="77"/>
      <c r="AB133" s="77"/>
      <c r="AC133" s="77"/>
      <c r="AD133" s="77"/>
      <c r="AE133" s="77"/>
    </row>
    <row r="134" spans="1:31" ht="12" customHeight="1">
      <c r="A134" s="22" t="s">
        <v>219</v>
      </c>
      <c r="B134" s="73" t="s">
        <v>1485</v>
      </c>
      <c r="C134" s="77"/>
      <c r="D134" s="73"/>
      <c r="E134" s="73"/>
      <c r="F134" s="73"/>
      <c r="G134" s="73"/>
      <c r="H134" s="73"/>
      <c r="I134" s="77"/>
      <c r="J134" s="28" t="s">
        <v>219</v>
      </c>
      <c r="K134" s="4397"/>
      <c r="L134" s="4398"/>
      <c r="M134" s="4398"/>
      <c r="N134" s="4398"/>
      <c r="O134" s="4398"/>
      <c r="P134" s="4432"/>
      <c r="Q134" s="2901"/>
      <c r="R134" s="77"/>
      <c r="S134" s="77"/>
      <c r="T134" s="77"/>
      <c r="U134" s="77"/>
      <c r="V134" s="77"/>
      <c r="W134" s="77"/>
      <c r="X134" s="77"/>
      <c r="Y134" s="77"/>
      <c r="Z134" s="77"/>
      <c r="AA134" s="77"/>
      <c r="AB134" s="77"/>
      <c r="AC134" s="77"/>
      <c r="AD134" s="77"/>
      <c r="AE134" s="77"/>
    </row>
    <row r="135" spans="1:31" ht="21.75" customHeight="1">
      <c r="A135" s="75" t="s">
        <v>221</v>
      </c>
      <c r="B135" s="4379" t="s">
        <v>6518</v>
      </c>
      <c r="C135" s="4379"/>
      <c r="D135" s="4379"/>
      <c r="E135" s="4379"/>
      <c r="F135" s="4379"/>
      <c r="G135" s="4379"/>
      <c r="H135" s="4379"/>
      <c r="I135" s="4379"/>
      <c r="J135" s="4379"/>
      <c r="K135" s="4379"/>
      <c r="L135" s="4379"/>
      <c r="M135" s="4379"/>
      <c r="N135" s="4379"/>
      <c r="O135" s="84" t="s">
        <v>221</v>
      </c>
      <c r="P135" s="2595"/>
      <c r="Q135" s="2593"/>
      <c r="R135" s="77"/>
      <c r="S135" s="77"/>
      <c r="T135" s="77"/>
      <c r="U135" s="77"/>
      <c r="V135" s="77"/>
      <c r="W135" s="77"/>
      <c r="X135" s="77"/>
      <c r="Y135" s="77"/>
      <c r="Z135" s="77"/>
      <c r="AA135" s="77"/>
      <c r="AB135" s="77"/>
      <c r="AC135" s="77"/>
      <c r="AD135" s="77"/>
      <c r="AE135" s="77"/>
    </row>
    <row r="136" spans="1:31" ht="12" customHeight="1">
      <c r="A136" s="77"/>
      <c r="B136" s="74" t="s">
        <v>1457</v>
      </c>
      <c r="C136" s="77"/>
      <c r="D136" s="74"/>
      <c r="E136" s="74"/>
      <c r="F136" s="74"/>
      <c r="G136" s="74"/>
      <c r="H136" s="16"/>
      <c r="I136" s="2596"/>
      <c r="J136" s="2596"/>
      <c r="K136" s="2596"/>
      <c r="L136" s="501"/>
      <c r="M136" s="501"/>
      <c r="N136" s="501"/>
      <c r="O136" s="501"/>
      <c r="P136" s="501"/>
      <c r="Q136" s="501"/>
      <c r="R136" s="77"/>
      <c r="S136" s="77"/>
      <c r="T136" s="77"/>
      <c r="U136" s="77"/>
      <c r="V136" s="77"/>
      <c r="W136" s="77"/>
      <c r="X136" s="77"/>
      <c r="Y136" s="77"/>
      <c r="Z136" s="77"/>
      <c r="AA136" s="77"/>
      <c r="AB136" s="77"/>
      <c r="AC136" s="77"/>
      <c r="AD136" s="77"/>
      <c r="AE136" s="77"/>
    </row>
    <row r="137" spans="1:31" ht="11.7" customHeight="1">
      <c r="A137" s="4390"/>
      <c r="B137" s="4391"/>
      <c r="C137" s="4391"/>
      <c r="D137" s="4391"/>
      <c r="E137" s="4391"/>
      <c r="F137" s="4391"/>
      <c r="G137" s="4391"/>
      <c r="H137" s="4391"/>
      <c r="I137" s="4391"/>
      <c r="J137" s="4391"/>
      <c r="K137" s="4391"/>
      <c r="L137" s="4391"/>
      <c r="M137" s="4391"/>
      <c r="N137" s="4391"/>
      <c r="O137" s="4391"/>
      <c r="P137" s="4391"/>
      <c r="Q137" s="4392"/>
      <c r="R137" s="77"/>
      <c r="S137" s="77"/>
      <c r="T137" s="77"/>
      <c r="U137" s="69"/>
      <c r="V137" s="69"/>
      <c r="W137" s="69"/>
      <c r="X137" s="69"/>
      <c r="Y137" s="69"/>
      <c r="Z137" s="69"/>
      <c r="AA137" s="69"/>
      <c r="AB137" s="69"/>
      <c r="AC137" s="69"/>
      <c r="AD137" s="69"/>
      <c r="AE137" s="69"/>
    </row>
    <row r="138" spans="1:31" ht="12" customHeight="1">
      <c r="A138" s="77"/>
      <c r="B138" s="70" t="s">
        <v>1453</v>
      </c>
      <c r="C138" s="71"/>
      <c r="D138" s="2586"/>
      <c r="E138" s="2586"/>
      <c r="F138" s="2586"/>
      <c r="G138" s="2586"/>
      <c r="H138" s="2586"/>
      <c r="I138" s="2586"/>
      <c r="J138" s="2586"/>
      <c r="K138" s="2586"/>
      <c r="L138" s="2586"/>
      <c r="M138" s="2586"/>
      <c r="N138" s="2586"/>
      <c r="O138" s="2586"/>
      <c r="P138" s="2586"/>
      <c r="Q138" s="2586"/>
      <c r="R138" s="77"/>
      <c r="S138" s="77"/>
      <c r="T138" s="77"/>
      <c r="U138" s="77"/>
      <c r="V138" s="77"/>
      <c r="W138" s="77"/>
      <c r="X138" s="77"/>
      <c r="Y138" s="77"/>
      <c r="Z138" s="77"/>
      <c r="AA138" s="77"/>
      <c r="AB138" s="77"/>
      <c r="AC138" s="77"/>
      <c r="AD138" s="77"/>
      <c r="AE138" s="77"/>
    </row>
    <row r="139" spans="1:31" ht="11.7" customHeight="1">
      <c r="A139" s="4387"/>
      <c r="B139" s="4388"/>
      <c r="C139" s="4388"/>
      <c r="D139" s="4388"/>
      <c r="E139" s="4388"/>
      <c r="F139" s="4388"/>
      <c r="G139" s="4388"/>
      <c r="H139" s="4388"/>
      <c r="I139" s="4388"/>
      <c r="J139" s="4388"/>
      <c r="K139" s="4388"/>
      <c r="L139" s="4388"/>
      <c r="M139" s="4388"/>
      <c r="N139" s="4388"/>
      <c r="O139" s="4388"/>
      <c r="P139" s="4388"/>
      <c r="Q139" s="4389"/>
      <c r="R139" s="77"/>
      <c r="S139" s="77"/>
      <c r="T139" s="77"/>
      <c r="U139" s="77"/>
      <c r="V139" s="77"/>
      <c r="W139" s="77"/>
      <c r="X139" s="77"/>
      <c r="Y139" s="77"/>
      <c r="Z139" s="77"/>
      <c r="AA139" s="77"/>
      <c r="AB139" s="77"/>
      <c r="AC139" s="77"/>
      <c r="AD139" s="77"/>
      <c r="AE139" s="77"/>
    </row>
    <row r="140" spans="1:31" ht="3" customHeight="1">
      <c r="A140" s="501"/>
      <c r="B140" s="2596"/>
      <c r="C140" s="2586"/>
      <c r="D140" s="2586"/>
      <c r="E140" s="2586"/>
      <c r="F140" s="2586"/>
      <c r="G140" s="2586"/>
      <c r="H140" s="2586"/>
      <c r="I140" s="2586"/>
      <c r="J140" s="2586"/>
      <c r="K140" s="2586"/>
      <c r="L140" s="2586"/>
      <c r="M140" s="2586"/>
      <c r="N140" s="77"/>
      <c r="O140" s="77"/>
      <c r="P140" s="77"/>
      <c r="Q140" s="501"/>
      <c r="R140" s="77"/>
      <c r="S140" s="77"/>
      <c r="T140" s="77"/>
      <c r="U140" s="77"/>
      <c r="V140" s="77"/>
      <c r="W140" s="77"/>
      <c r="X140" s="77"/>
      <c r="Y140" s="77"/>
      <c r="Z140" s="77"/>
      <c r="AA140" s="77"/>
      <c r="AB140" s="77"/>
      <c r="AC140" s="77"/>
      <c r="AD140" s="77"/>
      <c r="AE140" s="77"/>
    </row>
    <row r="141" spans="1:31" ht="14.1" customHeight="1">
      <c r="A141" s="2521" t="s">
        <v>1486</v>
      </c>
      <c r="B141" s="2521" t="s">
        <v>1487</v>
      </c>
      <c r="C141" s="2521"/>
      <c r="D141" s="2586"/>
      <c r="E141" s="2586"/>
      <c r="F141" s="2586"/>
      <c r="G141" s="2586"/>
      <c r="H141" s="2586"/>
      <c r="I141" s="2586"/>
      <c r="J141" s="2586"/>
      <c r="K141" s="2586"/>
      <c r="L141" s="2586"/>
      <c r="M141" s="2586"/>
      <c r="N141" s="77"/>
      <c r="O141" s="66" t="s">
        <v>1451</v>
      </c>
      <c r="P141" s="4382"/>
      <c r="Q141" s="4383"/>
      <c r="R141" s="77"/>
      <c r="S141" s="77"/>
      <c r="T141" s="77"/>
      <c r="U141" s="77"/>
      <c r="V141" s="77"/>
      <c r="W141" s="77"/>
      <c r="X141" s="77"/>
      <c r="Y141" s="77"/>
      <c r="Z141" s="77"/>
      <c r="AA141" s="77"/>
      <c r="AB141" s="77"/>
      <c r="AC141" s="77"/>
      <c r="AD141" s="77"/>
      <c r="AE141" s="77"/>
    </row>
    <row r="142" spans="1:31" ht="21.75" customHeight="1">
      <c r="A142" s="75" t="s">
        <v>186</v>
      </c>
      <c r="B142" s="4379" t="s">
        <v>6519</v>
      </c>
      <c r="C142" s="4379"/>
      <c r="D142" s="4379"/>
      <c r="E142" s="4379"/>
      <c r="F142" s="4379"/>
      <c r="G142" s="4379"/>
      <c r="H142" s="4379"/>
      <c r="I142" s="4379"/>
      <c r="J142" s="4379"/>
      <c r="K142" s="4379"/>
      <c r="L142" s="4379"/>
      <c r="M142" s="4379"/>
      <c r="N142" s="4379"/>
      <c r="O142" s="84" t="s">
        <v>186</v>
      </c>
      <c r="P142" s="2913"/>
      <c r="Q142" s="2914"/>
      <c r="R142" s="77"/>
      <c r="S142" s="77"/>
      <c r="T142" s="77"/>
      <c r="U142" s="77"/>
      <c r="V142" s="77"/>
      <c r="W142" s="77"/>
      <c r="X142" s="77"/>
      <c r="Y142" s="77"/>
      <c r="Z142" s="77"/>
      <c r="AA142" s="77"/>
      <c r="AB142" s="77"/>
      <c r="AC142" s="77"/>
      <c r="AD142" s="77"/>
      <c r="AE142" s="77"/>
    </row>
    <row r="143" spans="1:31" ht="22.35" customHeight="1">
      <c r="A143" s="75" t="s">
        <v>198</v>
      </c>
      <c r="B143" s="4379" t="s">
        <v>6520</v>
      </c>
      <c r="C143" s="4379"/>
      <c r="D143" s="4379"/>
      <c r="E143" s="4379"/>
      <c r="F143" s="4379"/>
      <c r="G143" s="4379"/>
      <c r="H143" s="4379"/>
      <c r="I143" s="4379"/>
      <c r="J143" s="4379"/>
      <c r="K143" s="4379"/>
      <c r="L143" s="4379"/>
      <c r="M143" s="4379"/>
      <c r="N143" s="4379"/>
      <c r="O143" s="84" t="s">
        <v>198</v>
      </c>
      <c r="P143" s="2594"/>
      <c r="Q143" s="2592"/>
      <c r="R143" s="77"/>
      <c r="S143" s="77"/>
      <c r="T143" s="77"/>
      <c r="U143" s="77"/>
      <c r="V143" s="77"/>
      <c r="W143" s="77"/>
      <c r="X143" s="77"/>
      <c r="Y143" s="77"/>
      <c r="Z143" s="77"/>
      <c r="AA143" s="77"/>
      <c r="AB143" s="77"/>
      <c r="AC143" s="77"/>
      <c r="AD143" s="77"/>
      <c r="AE143" s="77"/>
    </row>
    <row r="144" spans="1:31" ht="22.35" customHeight="1">
      <c r="A144" s="75" t="s">
        <v>219</v>
      </c>
      <c r="B144" s="4379" t="s">
        <v>6521</v>
      </c>
      <c r="C144" s="4379"/>
      <c r="D144" s="4379"/>
      <c r="E144" s="4379"/>
      <c r="F144" s="4379"/>
      <c r="G144" s="4379"/>
      <c r="H144" s="4379"/>
      <c r="I144" s="4379"/>
      <c r="J144" s="4379"/>
      <c r="K144" s="4379"/>
      <c r="L144" s="4379"/>
      <c r="M144" s="4379"/>
      <c r="N144" s="4379"/>
      <c r="O144" s="84" t="s">
        <v>219</v>
      </c>
      <c r="P144" s="2594"/>
      <c r="Q144" s="2592"/>
      <c r="R144" s="77"/>
      <c r="S144" s="77"/>
      <c r="T144" s="77"/>
      <c r="U144" s="77"/>
      <c r="V144" s="77"/>
      <c r="W144" s="77"/>
      <c r="X144" s="77"/>
      <c r="Y144" s="77"/>
      <c r="Z144" s="77"/>
      <c r="AA144" s="77"/>
      <c r="AB144" s="77"/>
      <c r="AC144" s="77"/>
      <c r="AD144" s="77"/>
      <c r="AE144" s="77"/>
    </row>
    <row r="145" spans="1:44" ht="21.75" customHeight="1">
      <c r="A145" s="75" t="s">
        <v>221</v>
      </c>
      <c r="B145" s="4379" t="s">
        <v>6522</v>
      </c>
      <c r="C145" s="4379"/>
      <c r="D145" s="4379"/>
      <c r="E145" s="4379"/>
      <c r="F145" s="4379"/>
      <c r="G145" s="4379"/>
      <c r="H145" s="4379"/>
      <c r="I145" s="4379"/>
      <c r="J145" s="4379"/>
      <c r="K145" s="4379"/>
      <c r="L145" s="4379"/>
      <c r="M145" s="4379"/>
      <c r="N145" s="4379"/>
      <c r="O145" s="84" t="s">
        <v>221</v>
      </c>
      <c r="P145" s="2595"/>
      <c r="Q145" s="2593"/>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row>
    <row r="146" spans="1:44" ht="12" customHeight="1">
      <c r="A146" s="77"/>
      <c r="B146" s="74" t="s">
        <v>1457</v>
      </c>
      <c r="C146" s="77"/>
      <c r="D146" s="74"/>
      <c r="E146" s="74"/>
      <c r="F146" s="74"/>
      <c r="G146" s="74"/>
      <c r="H146" s="16"/>
      <c r="I146" s="2596"/>
      <c r="J146" s="2596"/>
      <c r="K146" s="2596"/>
      <c r="L146" s="501"/>
      <c r="M146" s="501"/>
      <c r="N146" s="501"/>
      <c r="O146" s="501"/>
      <c r="P146" s="501"/>
      <c r="Q146" s="501"/>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row>
    <row r="147" spans="1:44" ht="11.7" customHeight="1">
      <c r="A147" s="4390"/>
      <c r="B147" s="4391"/>
      <c r="C147" s="4391"/>
      <c r="D147" s="4391"/>
      <c r="E147" s="4391"/>
      <c r="F147" s="4391"/>
      <c r="G147" s="4391"/>
      <c r="H147" s="4391"/>
      <c r="I147" s="4391"/>
      <c r="J147" s="4391"/>
      <c r="K147" s="4391"/>
      <c r="L147" s="4391"/>
      <c r="M147" s="4391"/>
      <c r="N147" s="4391"/>
      <c r="O147" s="4391"/>
      <c r="P147" s="4391"/>
      <c r="Q147" s="4392"/>
      <c r="R147" s="77"/>
      <c r="S147" s="77"/>
      <c r="T147" s="77"/>
      <c r="U147" s="69"/>
      <c r="V147" s="69"/>
      <c r="W147" s="69"/>
      <c r="X147" s="69"/>
      <c r="Y147" s="69"/>
      <c r="Z147" s="69"/>
      <c r="AA147" s="69"/>
      <c r="AB147" s="69"/>
      <c r="AC147" s="69"/>
      <c r="AD147" s="69"/>
      <c r="AE147" s="69"/>
      <c r="AF147" s="77"/>
      <c r="AG147" s="77"/>
      <c r="AH147" s="77"/>
      <c r="AI147" s="77"/>
      <c r="AJ147" s="77"/>
      <c r="AK147" s="77"/>
      <c r="AL147" s="77"/>
      <c r="AM147" s="77"/>
      <c r="AN147" s="77"/>
      <c r="AO147" s="77"/>
      <c r="AP147" s="77"/>
      <c r="AQ147" s="77"/>
      <c r="AR147" s="77"/>
    </row>
    <row r="148" spans="1:44" ht="12" customHeight="1">
      <c r="A148" s="77"/>
      <c r="B148" s="70" t="s">
        <v>1453</v>
      </c>
      <c r="C148" s="71"/>
      <c r="D148" s="2586"/>
      <c r="E148" s="2586"/>
      <c r="F148" s="2586"/>
      <c r="G148" s="2586"/>
      <c r="H148" s="2586"/>
      <c r="I148" s="2586"/>
      <c r="J148" s="2586"/>
      <c r="K148" s="2586"/>
      <c r="L148" s="2586"/>
      <c r="M148" s="2586"/>
      <c r="N148" s="2586"/>
      <c r="O148" s="2586"/>
      <c r="P148" s="2586"/>
      <c r="Q148" s="258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row>
    <row r="149" spans="1:44" ht="11.7" customHeight="1">
      <c r="A149" s="4387"/>
      <c r="B149" s="4388"/>
      <c r="C149" s="4388"/>
      <c r="D149" s="4388"/>
      <c r="E149" s="4388"/>
      <c r="F149" s="4388"/>
      <c r="G149" s="4388"/>
      <c r="H149" s="4388"/>
      <c r="I149" s="4388"/>
      <c r="J149" s="4388"/>
      <c r="K149" s="4388"/>
      <c r="L149" s="4388"/>
      <c r="M149" s="4388"/>
      <c r="N149" s="4388"/>
      <c r="O149" s="4388"/>
      <c r="P149" s="4388"/>
      <c r="Q149" s="4389"/>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row>
    <row r="150" spans="1:44" ht="3" customHeight="1">
      <c r="A150" s="77"/>
      <c r="B150" s="2596"/>
      <c r="C150" s="2586"/>
      <c r="D150" s="2586"/>
      <c r="E150" s="2586"/>
      <c r="F150" s="2586"/>
      <c r="G150" s="2586"/>
      <c r="H150" s="2586"/>
      <c r="I150" s="2586"/>
      <c r="J150" s="2586"/>
      <c r="K150" s="2586"/>
      <c r="L150" s="2586"/>
      <c r="M150" s="2586"/>
      <c r="N150" s="2586"/>
      <c r="O150" s="2586"/>
      <c r="P150" s="2586"/>
      <c r="Q150" s="501"/>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row>
    <row r="151" spans="1:44" ht="14.1" customHeight="1">
      <c r="A151" s="2520" t="s">
        <v>1488</v>
      </c>
      <c r="B151" s="3440" t="s">
        <v>1489</v>
      </c>
      <c r="C151" s="3440"/>
      <c r="D151" s="3440"/>
      <c r="E151" s="146"/>
      <c r="F151" s="77"/>
      <c r="G151" s="77"/>
      <c r="H151" s="77"/>
      <c r="I151" s="77"/>
      <c r="J151" s="77"/>
      <c r="K151" s="77"/>
      <c r="L151" s="77"/>
      <c r="M151" s="77"/>
      <c r="N151" s="621" t="s">
        <v>6462</v>
      </c>
      <c r="O151" s="66" t="s">
        <v>1451</v>
      </c>
      <c r="P151" s="4382"/>
      <c r="Q151" s="4383"/>
      <c r="R151" s="623" t="s">
        <v>6463</v>
      </c>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row>
    <row r="152" spans="1:44" customFormat="1" ht="11.7" customHeight="1">
      <c r="B152" s="25" t="s">
        <v>6523</v>
      </c>
      <c r="N152" s="58"/>
      <c r="O152" s="58"/>
      <c r="P152" s="58"/>
      <c r="Q152" s="58"/>
      <c r="S152" s="951"/>
      <c r="T152" s="951"/>
      <c r="U152" s="951"/>
      <c r="V152" s="951"/>
      <c r="W152" s="951"/>
      <c r="X152" s="951"/>
      <c r="Y152" s="951"/>
      <c r="Z152" s="951"/>
      <c r="AA152" s="951"/>
      <c r="AB152" s="951"/>
      <c r="AC152" s="951"/>
      <c r="AD152" s="951"/>
      <c r="AE152" s="951"/>
      <c r="AF152" s="951"/>
      <c r="AG152" s="951"/>
      <c r="AH152" s="951"/>
      <c r="AI152" s="951"/>
      <c r="AJ152" s="951"/>
      <c r="AK152" s="951"/>
      <c r="AL152" s="951"/>
      <c r="AM152" s="951"/>
      <c r="AN152" s="951"/>
      <c r="AO152" s="951"/>
      <c r="AP152" s="951"/>
      <c r="AQ152" s="951"/>
      <c r="AR152" s="951"/>
    </row>
    <row r="153" spans="1:44" ht="12" customHeight="1">
      <c r="A153" s="75" t="s">
        <v>186</v>
      </c>
      <c r="B153" s="265" t="s">
        <v>6524</v>
      </c>
      <c r="C153" s="77"/>
      <c r="D153" s="265"/>
      <c r="E153" s="265"/>
      <c r="F153" s="265"/>
      <c r="G153" s="265"/>
      <c r="H153" s="265"/>
      <c r="I153" s="265"/>
      <c r="J153" s="265"/>
      <c r="K153" s="265"/>
      <c r="L153" s="265"/>
      <c r="M153" s="265"/>
      <c r="N153" s="77"/>
      <c r="O153" s="84" t="s">
        <v>186</v>
      </c>
      <c r="P153" s="2898"/>
      <c r="Q153" s="2899"/>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row>
    <row r="154" spans="1:44" ht="12" customHeight="1">
      <c r="A154" s="75" t="s">
        <v>198</v>
      </c>
      <c r="B154" s="265" t="s">
        <v>6525</v>
      </c>
      <c r="C154" s="77"/>
      <c r="D154" s="265"/>
      <c r="E154" s="265"/>
      <c r="F154" s="265"/>
      <c r="G154" s="265"/>
      <c r="H154" s="265"/>
      <c r="I154" s="265"/>
      <c r="J154" s="265"/>
      <c r="K154" s="265"/>
      <c r="L154" s="265"/>
      <c r="M154" s="265"/>
      <c r="N154" s="77"/>
      <c r="O154" s="84" t="s">
        <v>198</v>
      </c>
      <c r="P154" s="202"/>
      <c r="Q154" s="299"/>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row>
    <row r="155" spans="1:44" ht="12" customHeight="1">
      <c r="A155" s="75" t="s">
        <v>219</v>
      </c>
      <c r="B155" s="265" t="s">
        <v>6526</v>
      </c>
      <c r="C155" s="77"/>
      <c r="D155" s="265"/>
      <c r="E155" s="265"/>
      <c r="F155" s="265"/>
      <c r="G155" s="265"/>
      <c r="H155" s="265"/>
      <c r="I155" s="265"/>
      <c r="J155" s="73" t="s">
        <v>6527</v>
      </c>
      <c r="K155" s="77"/>
      <c r="L155" s="265"/>
      <c r="M155" s="265"/>
      <c r="N155" s="77"/>
      <c r="O155" s="84" t="s">
        <v>219</v>
      </c>
      <c r="P155" s="202"/>
      <c r="Q155" s="299"/>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row>
    <row r="156" spans="1:44" ht="12" customHeight="1">
      <c r="A156" s="77"/>
      <c r="B156" s="16" t="s">
        <v>1511</v>
      </c>
      <c r="C156" s="16" t="s">
        <v>6528</v>
      </c>
      <c r="D156" s="77"/>
      <c r="E156" s="77"/>
      <c r="F156" s="77"/>
      <c r="G156" s="265"/>
      <c r="H156" s="265"/>
      <c r="I156" s="77"/>
      <c r="J156" s="265"/>
      <c r="K156" s="265"/>
      <c r="L156" s="265"/>
      <c r="M156" s="265"/>
      <c r="N156" s="77"/>
      <c r="O156" s="246" t="s">
        <v>1511</v>
      </c>
      <c r="P156" s="202"/>
      <c r="Q156" s="299"/>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row>
    <row r="157" spans="1:44" ht="12" customHeight="1">
      <c r="A157" s="73"/>
      <c r="B157" s="16" t="s">
        <v>1513</v>
      </c>
      <c r="C157" s="16" t="s">
        <v>6529</v>
      </c>
      <c r="D157" s="77"/>
      <c r="E157" s="77"/>
      <c r="F157" s="77"/>
      <c r="G157" s="265"/>
      <c r="H157" s="265"/>
      <c r="I157" s="265"/>
      <c r="J157" s="265"/>
      <c r="K157" s="265"/>
      <c r="L157" s="265"/>
      <c r="M157" s="265"/>
      <c r="N157" s="77"/>
      <c r="O157" s="246" t="s">
        <v>1513</v>
      </c>
      <c r="P157" s="202"/>
      <c r="Q157" s="299"/>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row>
    <row r="158" spans="1:44" s="67" customFormat="1" ht="21.75" customHeight="1">
      <c r="A158" s="75"/>
      <c r="B158" s="265" t="s">
        <v>1514</v>
      </c>
      <c r="C158" s="4379" t="s">
        <v>6530</v>
      </c>
      <c r="D158" s="4379"/>
      <c r="E158" s="4379"/>
      <c r="F158" s="4379"/>
      <c r="G158" s="4379"/>
      <c r="H158" s="4379"/>
      <c r="I158" s="4379"/>
      <c r="J158" s="4379"/>
      <c r="K158" s="4379"/>
      <c r="L158" s="4379"/>
      <c r="M158" s="4379"/>
      <c r="N158" s="4379"/>
      <c r="O158" s="84" t="s">
        <v>1514</v>
      </c>
      <c r="P158" s="2594"/>
      <c r="Q158" s="2592"/>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row>
    <row r="159" spans="1:44" ht="12" customHeight="1">
      <c r="A159" s="75"/>
      <c r="B159" s="16" t="s">
        <v>1515</v>
      </c>
      <c r="C159" s="16" t="s">
        <v>6531</v>
      </c>
      <c r="D159" s="77"/>
      <c r="E159" s="77"/>
      <c r="F159" s="77"/>
      <c r="G159" s="265"/>
      <c r="H159" s="265"/>
      <c r="I159" s="265"/>
      <c r="J159" s="265"/>
      <c r="K159" s="265"/>
      <c r="L159" s="265"/>
      <c r="M159" s="265"/>
      <c r="N159" s="77"/>
      <c r="O159" s="246" t="s">
        <v>1515</v>
      </c>
      <c r="P159" s="202"/>
      <c r="Q159" s="299"/>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row>
    <row r="160" spans="1:44" s="67" customFormat="1" ht="21.75" customHeight="1">
      <c r="A160" s="75"/>
      <c r="B160" s="265" t="s">
        <v>4562</v>
      </c>
      <c r="C160" s="4379" t="s">
        <v>6532</v>
      </c>
      <c r="D160" s="4379"/>
      <c r="E160" s="4379"/>
      <c r="F160" s="4379"/>
      <c r="G160" s="4379"/>
      <c r="H160" s="4379"/>
      <c r="I160" s="4379"/>
      <c r="J160" s="4379"/>
      <c r="K160" s="4379"/>
      <c r="L160" s="4379"/>
      <c r="M160" s="4379"/>
      <c r="N160" s="4379"/>
      <c r="O160" s="84" t="s">
        <v>4562</v>
      </c>
      <c r="P160" s="2594"/>
      <c r="Q160" s="2592"/>
      <c r="R160" s="229"/>
      <c r="S160" s="229"/>
      <c r="T160" s="229"/>
      <c r="U160" s="229"/>
      <c r="V160" s="229"/>
      <c r="W160" s="229"/>
      <c r="X160" s="229"/>
      <c r="Y160" s="229"/>
      <c r="Z160" s="229"/>
      <c r="AA160" s="229"/>
      <c r="AB160" s="229"/>
      <c r="AC160" s="229"/>
      <c r="AD160" s="229"/>
      <c r="AE160" s="229"/>
      <c r="AF160" s="229"/>
      <c r="AG160" s="229"/>
      <c r="AH160" s="229"/>
      <c r="AI160" s="229"/>
      <c r="AJ160" s="229"/>
      <c r="AK160" s="229"/>
      <c r="AL160" s="229"/>
      <c r="AM160" s="229"/>
      <c r="AN160" s="229"/>
      <c r="AO160" s="229"/>
      <c r="AP160" s="229"/>
      <c r="AQ160" s="229"/>
      <c r="AR160" s="229"/>
    </row>
    <row r="161" spans="1:44" s="67" customFormat="1" ht="21.75" customHeight="1">
      <c r="A161" s="75"/>
      <c r="B161" s="265" t="s">
        <v>4564</v>
      </c>
      <c r="C161" s="4379" t="s">
        <v>6533</v>
      </c>
      <c r="D161" s="4379"/>
      <c r="E161" s="4379"/>
      <c r="F161" s="4379"/>
      <c r="G161" s="4379"/>
      <c r="H161" s="4379"/>
      <c r="I161" s="4379"/>
      <c r="J161" s="4379"/>
      <c r="K161" s="4379"/>
      <c r="L161" s="4379"/>
      <c r="M161" s="4379"/>
      <c r="N161" s="4379"/>
      <c r="O161" s="84" t="s">
        <v>4564</v>
      </c>
      <c r="P161" s="2594"/>
      <c r="Q161" s="2592"/>
      <c r="R161" s="229"/>
      <c r="S161" s="229"/>
      <c r="T161" s="229"/>
      <c r="U161" s="229"/>
      <c r="V161" s="229"/>
      <c r="W161" s="229"/>
      <c r="X161" s="229"/>
      <c r="Y161" s="229"/>
      <c r="Z161" s="229"/>
      <c r="AA161" s="229"/>
      <c r="AB161" s="229"/>
      <c r="AC161" s="229"/>
      <c r="AD161" s="229"/>
      <c r="AE161" s="229"/>
      <c r="AF161" s="229"/>
      <c r="AG161" s="229"/>
      <c r="AH161" s="229"/>
      <c r="AI161" s="229"/>
      <c r="AJ161" s="229"/>
      <c r="AK161" s="229"/>
      <c r="AL161" s="229"/>
      <c r="AM161" s="229"/>
      <c r="AN161" s="229"/>
      <c r="AO161" s="229"/>
      <c r="AP161" s="229"/>
      <c r="AQ161" s="229"/>
      <c r="AR161" s="229"/>
    </row>
    <row r="162" spans="1:44" ht="21.75" customHeight="1">
      <c r="A162" s="75" t="s">
        <v>221</v>
      </c>
      <c r="B162" s="4379" t="s">
        <v>6534</v>
      </c>
      <c r="C162" s="4379"/>
      <c r="D162" s="4379"/>
      <c r="E162" s="4379"/>
      <c r="F162" s="4379"/>
      <c r="G162" s="4379"/>
      <c r="H162" s="4379"/>
      <c r="I162" s="4379"/>
      <c r="J162" s="4379"/>
      <c r="K162" s="4379"/>
      <c r="L162" s="4379"/>
      <c r="M162" s="4379"/>
      <c r="N162" s="4379"/>
      <c r="O162" s="84" t="s">
        <v>221</v>
      </c>
      <c r="P162" s="2594"/>
      <c r="Q162" s="2592"/>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row>
    <row r="163" spans="1:44" ht="12" customHeight="1">
      <c r="A163" s="75" t="s">
        <v>228</v>
      </c>
      <c r="B163" s="265" t="s">
        <v>6535</v>
      </c>
      <c r="C163" s="77"/>
      <c r="D163" s="265"/>
      <c r="E163" s="265"/>
      <c r="F163" s="265"/>
      <c r="G163" s="265"/>
      <c r="H163" s="265"/>
      <c r="I163" s="265"/>
      <c r="J163" s="265"/>
      <c r="K163" s="265"/>
      <c r="L163" s="265"/>
      <c r="M163" s="265"/>
      <c r="N163" s="77"/>
      <c r="O163" s="84" t="s">
        <v>228</v>
      </c>
      <c r="P163" s="118"/>
      <c r="Q163" s="300"/>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row>
    <row r="164" spans="1:44" ht="12" customHeight="1">
      <c r="A164" s="77"/>
      <c r="B164" s="74" t="s">
        <v>1457</v>
      </c>
      <c r="C164" s="77"/>
      <c r="D164" s="74"/>
      <c r="E164" s="74"/>
      <c r="F164" s="74"/>
      <c r="G164" s="74"/>
      <c r="H164" s="16"/>
      <c r="I164" s="2596"/>
      <c r="J164" s="2596"/>
      <c r="K164" s="2596"/>
      <c r="L164" s="501"/>
      <c r="M164" s="501"/>
      <c r="N164" s="501"/>
      <c r="O164" s="501"/>
      <c r="P164" s="501"/>
      <c r="Q164" s="501"/>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row>
    <row r="165" spans="1:44" ht="11.7" customHeight="1">
      <c r="A165" s="4390"/>
      <c r="B165" s="4391"/>
      <c r="C165" s="4391"/>
      <c r="D165" s="4391"/>
      <c r="E165" s="4391"/>
      <c r="F165" s="4391"/>
      <c r="G165" s="4391"/>
      <c r="H165" s="4391"/>
      <c r="I165" s="4391"/>
      <c r="J165" s="4391"/>
      <c r="K165" s="4391"/>
      <c r="L165" s="4391"/>
      <c r="M165" s="4391"/>
      <c r="N165" s="4391"/>
      <c r="O165" s="4391"/>
      <c r="P165" s="4391"/>
      <c r="Q165" s="4392"/>
      <c r="R165" s="77"/>
      <c r="S165" s="77"/>
      <c r="T165" s="77"/>
      <c r="U165" s="69"/>
      <c r="V165" s="69"/>
      <c r="W165" s="69"/>
      <c r="X165" s="69"/>
      <c r="Y165" s="69"/>
      <c r="Z165" s="69"/>
      <c r="AA165" s="69"/>
      <c r="AB165" s="69"/>
      <c r="AC165" s="69"/>
      <c r="AD165" s="69"/>
      <c r="AE165" s="69"/>
      <c r="AF165" s="77"/>
      <c r="AG165" s="77"/>
      <c r="AH165" s="77"/>
      <c r="AI165" s="77"/>
      <c r="AJ165" s="77"/>
      <c r="AK165" s="77"/>
      <c r="AL165" s="77"/>
      <c r="AM165" s="77"/>
      <c r="AN165" s="77"/>
      <c r="AO165" s="77"/>
      <c r="AP165" s="77"/>
      <c r="AQ165" s="77"/>
      <c r="AR165" s="77"/>
    </row>
    <row r="166" spans="1:44" ht="12" customHeight="1">
      <c r="A166" s="77"/>
      <c r="B166" s="70" t="s">
        <v>1453</v>
      </c>
      <c r="C166" s="71"/>
      <c r="D166" s="2586"/>
      <c r="E166" s="2586"/>
      <c r="F166" s="2586"/>
      <c r="G166" s="2586"/>
      <c r="H166" s="2586"/>
      <c r="I166" s="2586"/>
      <c r="J166" s="2586"/>
      <c r="K166" s="2586"/>
      <c r="L166" s="2586"/>
      <c r="M166" s="2586"/>
      <c r="N166" s="2586"/>
      <c r="O166" s="2586"/>
      <c r="P166" s="2586"/>
      <c r="Q166" s="2586"/>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row>
    <row r="167" spans="1:44" ht="11.7" customHeight="1">
      <c r="A167" s="4387"/>
      <c r="B167" s="4388"/>
      <c r="C167" s="4388"/>
      <c r="D167" s="4388"/>
      <c r="E167" s="4388"/>
      <c r="F167" s="4388"/>
      <c r="G167" s="4388"/>
      <c r="H167" s="4388"/>
      <c r="I167" s="4388"/>
      <c r="J167" s="4388"/>
      <c r="K167" s="4388"/>
      <c r="L167" s="4388"/>
      <c r="M167" s="4388"/>
      <c r="N167" s="4388"/>
      <c r="O167" s="4388"/>
      <c r="P167" s="4388"/>
      <c r="Q167" s="4389"/>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row>
    <row r="168" spans="1:44" ht="3" customHeight="1">
      <c r="A168" s="501"/>
      <c r="B168" s="2596"/>
      <c r="C168" s="2586"/>
      <c r="D168" s="2586"/>
      <c r="E168" s="2586"/>
      <c r="F168" s="2586"/>
      <c r="G168" s="2586"/>
      <c r="H168" s="2586"/>
      <c r="I168" s="2586"/>
      <c r="J168" s="2586"/>
      <c r="K168" s="2586"/>
      <c r="L168" s="2586"/>
      <c r="M168" s="2586"/>
      <c r="N168" s="2586"/>
      <c r="O168" s="2586"/>
      <c r="P168" s="2586"/>
      <c r="Q168" s="501"/>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row>
    <row r="169" spans="1:44" ht="14.1" customHeight="1">
      <c r="A169" s="2521" t="s">
        <v>1490</v>
      </c>
      <c r="B169" s="2521" t="s">
        <v>1491</v>
      </c>
      <c r="C169" s="2521"/>
      <c r="D169" s="2586"/>
      <c r="E169" s="2538"/>
      <c r="F169" s="146"/>
      <c r="G169" s="2586"/>
      <c r="H169" s="77"/>
      <c r="I169" s="77"/>
      <c r="J169" s="329"/>
      <c r="K169" s="329"/>
      <c r="L169" s="329"/>
      <c r="M169" s="329"/>
      <c r="N169" s="621" t="s">
        <v>6462</v>
      </c>
      <c r="O169" s="66" t="s">
        <v>1451</v>
      </c>
      <c r="P169" s="4382"/>
      <c r="Q169" s="4383"/>
      <c r="R169" s="623" t="s">
        <v>6463</v>
      </c>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row>
    <row r="170" spans="1:44" customFormat="1" ht="12.75" customHeight="1">
      <c r="B170" s="25" t="s">
        <v>6523</v>
      </c>
      <c r="N170" s="58"/>
      <c r="O170" s="58"/>
      <c r="P170" s="58"/>
      <c r="Q170" s="58"/>
      <c r="S170" s="951"/>
      <c r="T170" s="951"/>
      <c r="U170" s="951"/>
      <c r="V170" s="951"/>
      <c r="W170" s="951"/>
      <c r="X170" s="951"/>
      <c r="Y170" s="951"/>
      <c r="Z170" s="951"/>
      <c r="AA170" s="951"/>
      <c r="AB170" s="951"/>
      <c r="AC170" s="951"/>
      <c r="AD170" s="951"/>
      <c r="AE170" s="951"/>
      <c r="AF170" s="951"/>
      <c r="AG170" s="951"/>
      <c r="AH170" s="951"/>
      <c r="AI170" s="951"/>
      <c r="AJ170" s="951"/>
      <c r="AK170" s="951"/>
      <c r="AL170" s="951"/>
      <c r="AM170" s="951"/>
      <c r="AN170" s="951"/>
      <c r="AO170" s="951"/>
      <c r="AP170" s="951"/>
      <c r="AQ170" s="951"/>
      <c r="AR170" s="951"/>
    </row>
    <row r="171" spans="1:44" ht="12.75" customHeight="1">
      <c r="A171" s="72"/>
      <c r="B171" s="73" t="s">
        <v>6536</v>
      </c>
      <c r="C171" s="77"/>
      <c r="D171" s="73"/>
      <c r="E171" s="73"/>
      <c r="F171" s="73"/>
      <c r="G171" s="73"/>
      <c r="H171" s="28" t="s">
        <v>1511</v>
      </c>
      <c r="I171" s="13" t="s">
        <v>787</v>
      </c>
      <c r="J171" s="4401" t="s">
        <v>1494</v>
      </c>
      <c r="K171" s="4402"/>
      <c r="L171" s="4402"/>
      <c r="M171" s="4402"/>
      <c r="N171" s="4403"/>
      <c r="O171" s="28" t="s">
        <v>1511</v>
      </c>
      <c r="P171" s="2898"/>
      <c r="Q171" s="2899"/>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row>
    <row r="172" spans="1:44" ht="12.75" customHeight="1">
      <c r="A172" s="72"/>
      <c r="B172" s="74" t="s">
        <v>1457</v>
      </c>
      <c r="C172" s="49"/>
      <c r="D172" s="49"/>
      <c r="E172" s="49"/>
      <c r="F172" s="49"/>
      <c r="G172" s="77"/>
      <c r="H172" s="28" t="s">
        <v>1513</v>
      </c>
      <c r="I172" s="13" t="s">
        <v>778</v>
      </c>
      <c r="J172" s="4425" t="s">
        <v>1494</v>
      </c>
      <c r="K172" s="4426"/>
      <c r="L172" s="4426"/>
      <c r="M172" s="4426"/>
      <c r="N172" s="4427"/>
      <c r="O172" s="28" t="s">
        <v>1513</v>
      </c>
      <c r="P172" s="118"/>
      <c r="Q172" s="300"/>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row>
    <row r="173" spans="1:44" ht="12.75" customHeight="1">
      <c r="A173" s="4390"/>
      <c r="B173" s="4391"/>
      <c r="C173" s="4391"/>
      <c r="D173" s="4391"/>
      <c r="E173" s="4391"/>
      <c r="F173" s="4391"/>
      <c r="G173" s="4391"/>
      <c r="H173" s="4391"/>
      <c r="I173" s="4391"/>
      <c r="J173" s="4391"/>
      <c r="K173" s="4391"/>
      <c r="L173" s="4391"/>
      <c r="M173" s="4391"/>
      <c r="N173" s="4391"/>
      <c r="O173" s="4391"/>
      <c r="P173" s="4391"/>
      <c r="Q173" s="4392"/>
      <c r="R173" s="77"/>
      <c r="S173" s="77"/>
      <c r="T173" s="77"/>
      <c r="U173" s="69"/>
      <c r="V173" s="69"/>
      <c r="W173" s="69"/>
      <c r="X173" s="69"/>
      <c r="Y173" s="69"/>
      <c r="Z173" s="69"/>
      <c r="AA173" s="69"/>
      <c r="AB173" s="69"/>
      <c r="AC173" s="69"/>
      <c r="AD173" s="69"/>
      <c r="AE173" s="69"/>
      <c r="AF173" s="77"/>
      <c r="AG173" s="77"/>
      <c r="AH173" s="77"/>
      <c r="AI173" s="77"/>
      <c r="AJ173" s="77"/>
      <c r="AK173" s="77"/>
      <c r="AL173" s="77"/>
      <c r="AM173" s="77"/>
      <c r="AN173" s="77"/>
      <c r="AO173" s="77"/>
      <c r="AP173" s="77"/>
      <c r="AQ173" s="77"/>
      <c r="AR173" s="77"/>
    </row>
    <row r="174" spans="1:44" ht="12.75" customHeight="1">
      <c r="A174" s="77"/>
      <c r="B174" s="70" t="s">
        <v>1453</v>
      </c>
      <c r="C174" s="71"/>
      <c r="D174" s="2586"/>
      <c r="E174" s="2586"/>
      <c r="F174" s="2586"/>
      <c r="G174" s="2586"/>
      <c r="H174" s="2586"/>
      <c r="I174" s="2586"/>
      <c r="J174" s="2586"/>
      <c r="K174" s="2586"/>
      <c r="L174" s="2586"/>
      <c r="M174" s="2586"/>
      <c r="N174" s="2586"/>
      <c r="O174" s="2586"/>
      <c r="P174" s="2586"/>
      <c r="Q174" s="258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row>
    <row r="175" spans="1:44" ht="12.75" customHeight="1">
      <c r="A175" s="4387"/>
      <c r="B175" s="4388"/>
      <c r="C175" s="4388"/>
      <c r="D175" s="4388"/>
      <c r="E175" s="4388"/>
      <c r="F175" s="4388"/>
      <c r="G175" s="4388"/>
      <c r="H175" s="4388"/>
      <c r="I175" s="4388"/>
      <c r="J175" s="4388"/>
      <c r="K175" s="4388"/>
      <c r="L175" s="4388"/>
      <c r="M175" s="4388"/>
      <c r="N175" s="4388"/>
      <c r="O175" s="4388"/>
      <c r="P175" s="4388"/>
      <c r="Q175" s="4389"/>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row>
    <row r="176" spans="1:44" ht="4.3499999999999996" customHeight="1">
      <c r="A176" s="77"/>
      <c r="B176" s="2596"/>
      <c r="C176" s="2586"/>
      <c r="D176" s="2586"/>
      <c r="E176" s="2586"/>
      <c r="F176" s="2586"/>
      <c r="G176" s="2586"/>
      <c r="H176" s="2586"/>
      <c r="I176" s="2586"/>
      <c r="J176" s="2586"/>
      <c r="K176" s="2586"/>
      <c r="L176" s="2586"/>
      <c r="M176" s="2586"/>
      <c r="N176" s="77"/>
      <c r="O176" s="77"/>
      <c r="P176" s="77"/>
      <c r="Q176" s="501"/>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row>
    <row r="177" spans="1:44" ht="14.1" customHeight="1">
      <c r="A177" s="2521" t="s">
        <v>1496</v>
      </c>
      <c r="B177" s="3" t="s">
        <v>6537</v>
      </c>
      <c r="C177" s="3"/>
      <c r="D177" s="38"/>
      <c r="E177" s="38"/>
      <c r="F177" s="38"/>
      <c r="G177" s="2586"/>
      <c r="H177" s="2586"/>
      <c r="I177" s="1032"/>
      <c r="J177" s="2586"/>
      <c r="K177" s="2586"/>
      <c r="L177" s="2586"/>
      <c r="M177" s="2586"/>
      <c r="N177" s="621" t="s">
        <v>6462</v>
      </c>
      <c r="O177" s="66" t="s">
        <v>1451</v>
      </c>
      <c r="P177" s="4382"/>
      <c r="Q177" s="4383"/>
      <c r="R177" s="623" t="s">
        <v>6463</v>
      </c>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row>
    <row r="178" spans="1:44" customFormat="1" ht="12.75" customHeight="1">
      <c r="B178" s="25" t="s">
        <v>6523</v>
      </c>
      <c r="N178" s="58"/>
      <c r="O178" s="58"/>
      <c r="P178" s="58"/>
      <c r="Q178" s="58"/>
      <c r="S178" s="951"/>
      <c r="T178" s="951"/>
      <c r="U178" s="951"/>
      <c r="V178" s="951"/>
      <c r="W178" s="951"/>
      <c r="X178" s="951"/>
      <c r="Y178" s="951"/>
      <c r="Z178" s="951"/>
      <c r="AA178" s="951"/>
      <c r="AB178" s="951"/>
      <c r="AC178" s="951"/>
      <c r="AD178" s="951"/>
      <c r="AE178" s="951"/>
      <c r="AF178" s="951"/>
      <c r="AG178" s="951"/>
      <c r="AH178" s="951"/>
      <c r="AI178" s="951"/>
      <c r="AJ178" s="951"/>
      <c r="AK178" s="951"/>
      <c r="AL178" s="951"/>
      <c r="AM178" s="951"/>
      <c r="AN178" s="951"/>
      <c r="AO178" s="951"/>
      <c r="AP178" s="951"/>
      <c r="AQ178" s="951"/>
      <c r="AR178" s="951"/>
    </row>
    <row r="179" spans="1:44" ht="12.75" customHeight="1">
      <c r="A179" s="75" t="s">
        <v>186</v>
      </c>
      <c r="B179" s="4379" t="s">
        <v>6538</v>
      </c>
      <c r="C179" s="4379"/>
      <c r="D179" s="4379"/>
      <c r="E179" s="4379"/>
      <c r="F179" s="4379"/>
      <c r="G179" s="4379"/>
      <c r="H179" s="28" t="s">
        <v>1511</v>
      </c>
      <c r="I179" s="13" t="s">
        <v>6539</v>
      </c>
      <c r="J179" s="4401" t="s">
        <v>1494</v>
      </c>
      <c r="K179" s="4402"/>
      <c r="L179" s="4402"/>
      <c r="M179" s="4402"/>
      <c r="N179" s="4403"/>
      <c r="O179" s="84" t="s">
        <v>6540</v>
      </c>
      <c r="P179" s="2898"/>
      <c r="Q179" s="2899"/>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row>
    <row r="180" spans="1:44" ht="12.75" customHeight="1">
      <c r="A180" s="78"/>
      <c r="B180" s="4379"/>
      <c r="C180" s="4379"/>
      <c r="D180" s="4379"/>
      <c r="E180" s="4379"/>
      <c r="F180" s="4379"/>
      <c r="G180" s="4379"/>
      <c r="H180" s="28" t="s">
        <v>1513</v>
      </c>
      <c r="I180" s="13" t="s">
        <v>6541</v>
      </c>
      <c r="J180" s="4425" t="s">
        <v>1494</v>
      </c>
      <c r="K180" s="4426"/>
      <c r="L180" s="4426"/>
      <c r="M180" s="4426"/>
      <c r="N180" s="4427"/>
      <c r="O180" s="84" t="s">
        <v>1513</v>
      </c>
      <c r="P180" s="1193"/>
      <c r="Q180" s="2603"/>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row>
    <row r="181" spans="1:44" ht="12.75" customHeight="1">
      <c r="A181" s="22" t="s">
        <v>198</v>
      </c>
      <c r="B181" s="16" t="s">
        <v>1511</v>
      </c>
      <c r="C181" s="13" t="s">
        <v>6542</v>
      </c>
      <c r="D181" s="77"/>
      <c r="E181" s="13"/>
      <c r="F181" s="13"/>
      <c r="G181" s="13"/>
      <c r="H181" s="13"/>
      <c r="I181" s="13"/>
      <c r="J181" s="13"/>
      <c r="K181" s="43"/>
      <c r="L181" s="13"/>
      <c r="M181" s="13"/>
      <c r="N181" s="77"/>
      <c r="O181" s="84" t="s">
        <v>6543</v>
      </c>
      <c r="P181" s="2898"/>
      <c r="Q181" s="2899"/>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row>
    <row r="182" spans="1:44" ht="12.75" customHeight="1">
      <c r="A182" s="22"/>
      <c r="B182" s="16" t="s">
        <v>1513</v>
      </c>
      <c r="C182" s="13" t="s">
        <v>6544</v>
      </c>
      <c r="D182" s="13"/>
      <c r="E182" s="13"/>
      <c r="F182" s="13"/>
      <c r="G182" s="13"/>
      <c r="H182" s="13"/>
      <c r="I182" s="13"/>
      <c r="J182" s="13"/>
      <c r="K182" s="43"/>
      <c r="L182" s="13"/>
      <c r="M182" s="13"/>
      <c r="N182" s="77"/>
      <c r="O182" s="84" t="s">
        <v>1513</v>
      </c>
      <c r="P182" s="118"/>
      <c r="Q182" s="300"/>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row>
    <row r="183" spans="1:44" ht="12.75" customHeight="1">
      <c r="A183" s="22" t="s">
        <v>219</v>
      </c>
      <c r="B183" s="13" t="s">
        <v>6545</v>
      </c>
      <c r="C183" s="77"/>
      <c r="D183" s="13"/>
      <c r="E183" s="13"/>
      <c r="F183" s="13"/>
      <c r="G183" s="13"/>
      <c r="H183" s="13"/>
      <c r="I183" s="13"/>
      <c r="J183" s="13"/>
      <c r="K183" s="43"/>
      <c r="L183" s="13"/>
      <c r="M183" s="13"/>
      <c r="N183" s="77"/>
      <c r="O183" s="28" t="s">
        <v>219</v>
      </c>
      <c r="P183" s="942"/>
      <c r="Q183" s="941"/>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row>
    <row r="184" spans="1:44" ht="12.75" customHeight="1">
      <c r="A184" s="77"/>
      <c r="B184" s="74" t="s">
        <v>1457</v>
      </c>
      <c r="C184" s="77"/>
      <c r="D184" s="74"/>
      <c r="E184" s="74"/>
      <c r="F184" s="74"/>
      <c r="G184" s="74"/>
      <c r="H184" s="16"/>
      <c r="I184" s="2596"/>
      <c r="J184" s="2596"/>
      <c r="K184" s="2596"/>
      <c r="L184" s="501"/>
      <c r="M184" s="501"/>
      <c r="N184" s="501"/>
      <c r="O184" s="501"/>
      <c r="P184" s="501"/>
      <c r="Q184" s="501"/>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row>
    <row r="185" spans="1:44" ht="12.75" customHeight="1">
      <c r="A185" s="4390"/>
      <c r="B185" s="4391"/>
      <c r="C185" s="4391"/>
      <c r="D185" s="4391"/>
      <c r="E185" s="4391"/>
      <c r="F185" s="4391"/>
      <c r="G185" s="4391"/>
      <c r="H185" s="4391"/>
      <c r="I185" s="4391"/>
      <c r="J185" s="4391"/>
      <c r="K185" s="4391"/>
      <c r="L185" s="4391"/>
      <c r="M185" s="4391"/>
      <c r="N185" s="4391"/>
      <c r="O185" s="4391"/>
      <c r="P185" s="4391"/>
      <c r="Q185" s="4392"/>
      <c r="R185" s="77"/>
      <c r="S185" s="77"/>
      <c r="T185" s="77"/>
      <c r="U185" s="69"/>
      <c r="V185" s="69"/>
      <c r="W185" s="69"/>
      <c r="X185" s="69"/>
      <c r="Y185" s="69"/>
      <c r="Z185" s="69"/>
      <c r="AA185" s="69"/>
      <c r="AB185" s="69"/>
      <c r="AC185" s="69"/>
      <c r="AD185" s="69"/>
      <c r="AE185" s="69"/>
      <c r="AF185" s="77"/>
      <c r="AG185" s="77"/>
      <c r="AH185" s="77"/>
      <c r="AI185" s="77"/>
      <c r="AJ185" s="77"/>
      <c r="AK185" s="77"/>
      <c r="AL185" s="77"/>
      <c r="AM185" s="77"/>
      <c r="AN185" s="77"/>
      <c r="AO185" s="77"/>
      <c r="AP185" s="77"/>
      <c r="AQ185" s="77"/>
      <c r="AR185" s="77"/>
    </row>
    <row r="186" spans="1:44" ht="12.75" customHeight="1">
      <c r="A186" s="77"/>
      <c r="B186" s="70" t="s">
        <v>1453</v>
      </c>
      <c r="C186" s="71"/>
      <c r="D186" s="2586"/>
      <c r="E186" s="2586"/>
      <c r="F186" s="2586"/>
      <c r="G186" s="2586"/>
      <c r="H186" s="2586"/>
      <c r="I186" s="2586"/>
      <c r="J186" s="2586"/>
      <c r="K186" s="2586"/>
      <c r="L186" s="2586"/>
      <c r="M186" s="2586"/>
      <c r="N186" s="2586"/>
      <c r="O186" s="2586"/>
      <c r="P186" s="2586"/>
      <c r="Q186" s="2586"/>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row>
    <row r="187" spans="1:44" ht="12.75" customHeight="1">
      <c r="A187" s="4387"/>
      <c r="B187" s="4388"/>
      <c r="C187" s="4388"/>
      <c r="D187" s="4388"/>
      <c r="E187" s="4388"/>
      <c r="F187" s="4388"/>
      <c r="G187" s="4388"/>
      <c r="H187" s="4388"/>
      <c r="I187" s="4388"/>
      <c r="J187" s="4388"/>
      <c r="K187" s="4388"/>
      <c r="L187" s="4388"/>
      <c r="M187" s="4388"/>
      <c r="N187" s="4388"/>
      <c r="O187" s="4388"/>
      <c r="P187" s="4388"/>
      <c r="Q187" s="4389"/>
      <c r="R187" s="77"/>
      <c r="S187" s="955"/>
      <c r="T187" s="955"/>
      <c r="U187" s="955"/>
      <c r="V187" s="955"/>
      <c r="W187" s="955"/>
      <c r="X187" s="955"/>
      <c r="Y187" s="955"/>
      <c r="Z187" s="955"/>
      <c r="AA187" s="955"/>
      <c r="AB187" s="955"/>
      <c r="AC187" s="955"/>
      <c r="AD187" s="955"/>
      <c r="AE187" s="955"/>
      <c r="AF187" s="955"/>
      <c r="AG187" s="955"/>
      <c r="AH187" s="955"/>
      <c r="AI187" s="955"/>
      <c r="AJ187" s="955"/>
      <c r="AK187" s="955"/>
      <c r="AL187" s="955"/>
      <c r="AM187" s="955"/>
      <c r="AN187" s="955"/>
      <c r="AO187" s="955"/>
      <c r="AP187" s="955"/>
      <c r="AQ187" s="955"/>
      <c r="AR187" s="955"/>
    </row>
    <row r="188" spans="1:44" ht="3" customHeight="1">
      <c r="A188" s="501"/>
      <c r="B188" s="2596"/>
      <c r="C188" s="2586"/>
      <c r="D188" s="2586"/>
      <c r="E188" s="2586"/>
      <c r="F188" s="2586"/>
      <c r="G188" s="2586"/>
      <c r="H188" s="2586"/>
      <c r="I188" s="2586"/>
      <c r="J188" s="2586"/>
      <c r="K188" s="2586"/>
      <c r="L188" s="2586"/>
      <c r="M188" s="2586"/>
      <c r="N188" s="77"/>
      <c r="O188" s="77"/>
      <c r="P188" s="77"/>
      <c r="Q188" s="501"/>
      <c r="R188" s="77"/>
      <c r="S188" s="955"/>
      <c r="T188" s="955"/>
      <c r="U188" s="955"/>
      <c r="V188" s="955"/>
      <c r="W188" s="955"/>
      <c r="X188" s="955"/>
      <c r="Y188" s="955"/>
      <c r="Z188" s="955"/>
      <c r="AA188" s="955"/>
      <c r="AB188" s="955"/>
      <c r="AC188" s="955"/>
      <c r="AD188" s="955"/>
      <c r="AE188" s="955"/>
      <c r="AF188" s="955"/>
      <c r="AG188" s="955"/>
      <c r="AH188" s="955"/>
      <c r="AI188" s="955"/>
      <c r="AJ188" s="955"/>
      <c r="AK188" s="955"/>
      <c r="AL188" s="955"/>
      <c r="AM188" s="955"/>
      <c r="AN188" s="955"/>
      <c r="AO188" s="955"/>
      <c r="AP188" s="955"/>
      <c r="AQ188" s="955"/>
      <c r="AR188" s="955"/>
    </row>
    <row r="189" spans="1:44" ht="14.1" customHeight="1">
      <c r="A189" s="2521" t="s">
        <v>1501</v>
      </c>
      <c r="B189" s="2521" t="s">
        <v>1502</v>
      </c>
      <c r="C189" s="56"/>
      <c r="D189" s="2586"/>
      <c r="E189" s="2586"/>
      <c r="F189" s="2586"/>
      <c r="G189" s="2586"/>
      <c r="H189" s="2586"/>
      <c r="I189" s="2586"/>
      <c r="J189" s="2586"/>
      <c r="K189" s="2586"/>
      <c r="L189" s="2586"/>
      <c r="M189" s="2586"/>
      <c r="N189" s="77"/>
      <c r="O189" s="66" t="s">
        <v>1451</v>
      </c>
      <c r="P189" s="4382"/>
      <c r="Q189" s="4383"/>
      <c r="R189" s="77"/>
      <c r="S189" s="955"/>
      <c r="T189" s="955"/>
      <c r="U189" s="955"/>
      <c r="V189" s="955"/>
      <c r="W189" s="955"/>
      <c r="X189" s="955"/>
      <c r="Y189" s="955"/>
      <c r="Z189" s="955"/>
      <c r="AA189" s="955"/>
      <c r="AB189" s="955"/>
      <c r="AC189" s="955"/>
      <c r="AD189" s="955"/>
      <c r="AE189" s="955"/>
      <c r="AF189" s="955"/>
      <c r="AG189" s="955"/>
      <c r="AH189" s="955"/>
      <c r="AI189" s="955"/>
      <c r="AJ189" s="955"/>
      <c r="AK189" s="955"/>
      <c r="AL189" s="955"/>
      <c r="AM189" s="955"/>
      <c r="AN189" s="955"/>
      <c r="AO189" s="955"/>
      <c r="AP189" s="955"/>
      <c r="AQ189" s="955"/>
      <c r="AR189" s="955"/>
    </row>
    <row r="190" spans="1:44" customFormat="1" ht="12.75" customHeight="1">
      <c r="B190" s="25" t="s">
        <v>6546</v>
      </c>
      <c r="N190" s="58"/>
      <c r="P190" s="2900"/>
      <c r="Q190" s="2901"/>
      <c r="S190" s="951"/>
      <c r="T190" s="951"/>
      <c r="U190" s="951"/>
      <c r="V190" s="951"/>
      <c r="W190" s="951"/>
      <c r="X190" s="951"/>
      <c r="Y190" s="951"/>
      <c r="Z190" s="951"/>
      <c r="AA190" s="951"/>
      <c r="AB190" s="951"/>
      <c r="AC190" s="951"/>
      <c r="AD190" s="951"/>
      <c r="AE190" s="951"/>
      <c r="AF190" s="951"/>
      <c r="AG190" s="951"/>
      <c r="AH190" s="951"/>
      <c r="AI190" s="951"/>
      <c r="AJ190" s="951"/>
      <c r="AK190" s="951"/>
      <c r="AL190" s="951"/>
      <c r="AM190" s="951"/>
      <c r="AN190" s="951"/>
      <c r="AO190" s="951"/>
      <c r="AP190" s="951"/>
      <c r="AQ190" s="951"/>
      <c r="AR190" s="951"/>
    </row>
    <row r="191" spans="1:44" ht="12.75" customHeight="1">
      <c r="A191" s="22" t="s">
        <v>186</v>
      </c>
      <c r="B191" s="13" t="s">
        <v>6547</v>
      </c>
      <c r="C191" s="77"/>
      <c r="D191" s="43"/>
      <c r="E191" s="43"/>
      <c r="F191" s="43"/>
      <c r="G191" s="43"/>
      <c r="H191" s="43"/>
      <c r="I191" s="43"/>
      <c r="J191" s="43"/>
      <c r="K191" s="43"/>
      <c r="L191" s="43"/>
      <c r="M191" s="43"/>
      <c r="N191" s="77"/>
      <c r="O191" s="28" t="s">
        <v>186</v>
      </c>
      <c r="P191" s="2900"/>
      <c r="Q191" s="2899"/>
      <c r="R191" s="77"/>
      <c r="S191" s="955"/>
      <c r="T191" s="955"/>
      <c r="U191" s="955"/>
      <c r="V191" s="955"/>
      <c r="W191" s="955"/>
      <c r="X191" s="955"/>
      <c r="Y191" s="955"/>
      <c r="Z191" s="955"/>
      <c r="AA191" s="955"/>
      <c r="AB191" s="955"/>
      <c r="AC191" s="955"/>
      <c r="AD191" s="955"/>
      <c r="AE191" s="955"/>
      <c r="AF191" s="955"/>
      <c r="AG191" s="955"/>
      <c r="AH191" s="955"/>
      <c r="AI191" s="955"/>
      <c r="AJ191" s="955"/>
      <c r="AK191" s="955"/>
      <c r="AL191" s="955"/>
      <c r="AM191" s="955"/>
      <c r="AN191" s="955"/>
      <c r="AO191" s="955"/>
      <c r="AP191" s="955"/>
      <c r="AQ191" s="955"/>
      <c r="AR191" s="955"/>
    </row>
    <row r="192" spans="1:44" ht="12.75" customHeight="1">
      <c r="A192" s="22"/>
      <c r="B192" s="16" t="s">
        <v>1511</v>
      </c>
      <c r="C192" s="13" t="s">
        <v>1505</v>
      </c>
      <c r="D192" s="77"/>
      <c r="E192" s="13"/>
      <c r="F192" s="13"/>
      <c r="G192" s="13"/>
      <c r="H192" s="13"/>
      <c r="I192" s="43"/>
      <c r="J192" s="28" t="s">
        <v>6540</v>
      </c>
      <c r="K192" s="4401" t="s">
        <v>721</v>
      </c>
      <c r="L192" s="4403"/>
      <c r="M192" s="77"/>
      <c r="N192" s="77"/>
      <c r="O192" s="77"/>
      <c r="P192" s="77"/>
      <c r="Q192" s="299"/>
      <c r="R192" s="77"/>
      <c r="S192" s="955"/>
      <c r="T192" s="955"/>
      <c r="U192" s="955"/>
      <c r="V192" s="955"/>
      <c r="W192" s="955"/>
      <c r="X192" s="955"/>
      <c r="Y192" s="955"/>
      <c r="Z192" s="955"/>
      <c r="AA192" s="955"/>
      <c r="AB192" s="955"/>
      <c r="AC192" s="955"/>
      <c r="AD192" s="955"/>
      <c r="AE192" s="955"/>
      <c r="AF192" s="955"/>
      <c r="AG192" s="955"/>
      <c r="AH192" s="955"/>
      <c r="AI192" s="955"/>
      <c r="AJ192" s="955"/>
      <c r="AK192" s="955"/>
      <c r="AL192" s="955"/>
      <c r="AM192" s="955"/>
      <c r="AN192" s="955"/>
      <c r="AO192" s="955"/>
      <c r="AP192" s="955"/>
      <c r="AQ192" s="955"/>
      <c r="AR192" s="955"/>
    </row>
    <row r="193" spans="1:44" ht="12.75" customHeight="1">
      <c r="A193" s="22"/>
      <c r="B193" s="16" t="s">
        <v>1513</v>
      </c>
      <c r="C193" s="16" t="s">
        <v>1506</v>
      </c>
      <c r="D193" s="77"/>
      <c r="E193" s="16"/>
      <c r="F193" s="16"/>
      <c r="G193" s="16"/>
      <c r="H193" s="16"/>
      <c r="I193" s="43"/>
      <c r="J193" s="28" t="s">
        <v>6548</v>
      </c>
      <c r="K193" s="4522" t="s">
        <v>721</v>
      </c>
      <c r="L193" s="4523"/>
      <c r="M193" s="77"/>
      <c r="N193" s="77"/>
      <c r="O193" s="77"/>
      <c r="P193" s="77"/>
      <c r="Q193" s="4531"/>
      <c r="R193" s="77"/>
      <c r="S193" s="955"/>
      <c r="T193" s="955"/>
      <c r="U193" s="955"/>
      <c r="V193" s="955"/>
      <c r="W193" s="955"/>
      <c r="X193" s="955"/>
      <c r="Y193" s="955"/>
      <c r="Z193" s="955"/>
      <c r="AA193" s="955"/>
      <c r="AB193" s="955"/>
      <c r="AC193" s="955"/>
      <c r="AD193" s="955"/>
      <c r="AE193" s="955"/>
      <c r="AF193" s="955"/>
      <c r="AG193" s="955"/>
      <c r="AH193" s="955"/>
      <c r="AI193" s="955"/>
      <c r="AJ193" s="955"/>
      <c r="AK193" s="955"/>
      <c r="AL193" s="955"/>
      <c r="AM193" s="955"/>
      <c r="AN193" s="955"/>
      <c r="AO193" s="955"/>
      <c r="AP193" s="955"/>
      <c r="AQ193" s="955"/>
      <c r="AR193" s="955"/>
    </row>
    <row r="194" spans="1:44" ht="12.75" customHeight="1">
      <c r="A194" s="22"/>
      <c r="B194" s="16"/>
      <c r="C194" s="4528" t="s">
        <v>1507</v>
      </c>
      <c r="D194" s="4529"/>
      <c r="E194" s="4529"/>
      <c r="F194" s="4529"/>
      <c r="G194" s="4529"/>
      <c r="H194" s="4529"/>
      <c r="I194" s="4529"/>
      <c r="J194" s="4529"/>
      <c r="K194" s="4529"/>
      <c r="L194" s="4529"/>
      <c r="M194" s="4529"/>
      <c r="N194" s="4529"/>
      <c r="O194" s="4530"/>
      <c r="P194" s="77"/>
      <c r="Q194" s="4532"/>
      <c r="R194" s="77"/>
      <c r="S194" s="955"/>
      <c r="T194" s="955"/>
      <c r="U194" s="955"/>
      <c r="V194" s="955"/>
      <c r="W194" s="955"/>
      <c r="X194" s="955"/>
      <c r="Y194" s="955"/>
      <c r="Z194" s="955"/>
      <c r="AA194" s="955"/>
      <c r="AB194" s="955"/>
      <c r="AC194" s="955"/>
      <c r="AD194" s="955"/>
      <c r="AE194" s="955"/>
      <c r="AF194" s="955"/>
      <c r="AG194" s="955"/>
      <c r="AH194" s="955"/>
      <c r="AI194" s="955"/>
      <c r="AJ194" s="955"/>
      <c r="AK194" s="955"/>
      <c r="AL194" s="955"/>
      <c r="AM194" s="955"/>
      <c r="AN194" s="955"/>
      <c r="AO194" s="955"/>
      <c r="AP194" s="955"/>
      <c r="AQ194" s="955"/>
      <c r="AR194" s="955"/>
    </row>
    <row r="195" spans="1:44" ht="12.75" customHeight="1">
      <c r="A195" s="22"/>
      <c r="B195" s="16" t="s">
        <v>1514</v>
      </c>
      <c r="C195" s="16" t="s">
        <v>1508</v>
      </c>
      <c r="D195" s="77"/>
      <c r="E195" s="16"/>
      <c r="F195" s="16"/>
      <c r="G195" s="16"/>
      <c r="H195" s="16"/>
      <c r="I195" s="43"/>
      <c r="J195" s="28" t="s">
        <v>6549</v>
      </c>
      <c r="K195" s="4516" t="s">
        <v>721</v>
      </c>
      <c r="L195" s="4517"/>
      <c r="M195" s="4517"/>
      <c r="N195" s="4518"/>
      <c r="O195" s="236"/>
      <c r="P195" s="2352"/>
      <c r="Q195" s="941"/>
      <c r="R195" s="43"/>
      <c r="S195" s="955"/>
      <c r="T195" s="955"/>
      <c r="U195" s="955"/>
      <c r="V195" s="955"/>
      <c r="W195" s="955"/>
      <c r="X195" s="955"/>
      <c r="Y195" s="955"/>
      <c r="Z195" s="955"/>
      <c r="AA195" s="955"/>
      <c r="AB195" s="955"/>
      <c r="AC195" s="955"/>
      <c r="AD195" s="955"/>
      <c r="AE195" s="955"/>
      <c r="AF195" s="955"/>
      <c r="AG195" s="955"/>
      <c r="AH195" s="955"/>
      <c r="AI195" s="955"/>
      <c r="AJ195" s="955"/>
      <c r="AK195" s="955"/>
      <c r="AL195" s="955"/>
      <c r="AM195" s="955"/>
      <c r="AN195" s="955"/>
      <c r="AO195" s="955"/>
      <c r="AP195" s="955"/>
      <c r="AQ195" s="955"/>
      <c r="AR195" s="955"/>
    </row>
    <row r="196" spans="1:44" ht="12.75" customHeight="1">
      <c r="A196" s="22" t="s">
        <v>198</v>
      </c>
      <c r="B196" s="13" t="s">
        <v>6550</v>
      </c>
      <c r="C196" s="77"/>
      <c r="D196" s="13"/>
      <c r="E196" s="13"/>
      <c r="F196" s="13"/>
      <c r="G196" s="13"/>
      <c r="H196" s="13"/>
      <c r="I196" s="13"/>
      <c r="J196" s="13"/>
      <c r="K196" s="43"/>
      <c r="L196" s="43"/>
      <c r="M196" s="43"/>
      <c r="N196" s="43"/>
      <c r="O196" s="28" t="s">
        <v>198</v>
      </c>
      <c r="P196" s="2900"/>
      <c r="Q196" s="2901"/>
      <c r="R196" s="77"/>
      <c r="S196" s="955"/>
      <c r="T196" s="955"/>
      <c r="U196" s="955"/>
      <c r="V196" s="955"/>
      <c r="W196" s="955"/>
      <c r="X196" s="955"/>
      <c r="Y196" s="955"/>
      <c r="Z196" s="955"/>
      <c r="AA196" s="955"/>
      <c r="AB196" s="955"/>
      <c r="AC196" s="955"/>
      <c r="AD196" s="955"/>
      <c r="AE196" s="955"/>
      <c r="AF196" s="955"/>
      <c r="AG196" s="955"/>
      <c r="AH196" s="955"/>
      <c r="AI196" s="955"/>
      <c r="AJ196" s="955"/>
      <c r="AK196" s="955"/>
      <c r="AL196" s="955"/>
      <c r="AM196" s="955"/>
      <c r="AN196" s="955"/>
      <c r="AO196" s="955"/>
      <c r="AP196" s="955"/>
      <c r="AQ196" s="955"/>
      <c r="AR196" s="955"/>
    </row>
    <row r="197" spans="1:44" ht="12.75" customHeight="1">
      <c r="A197" s="22"/>
      <c r="B197" s="13" t="s">
        <v>6551</v>
      </c>
      <c r="C197" s="77"/>
      <c r="D197" s="13"/>
      <c r="E197" s="13"/>
      <c r="F197" s="13"/>
      <c r="G197" s="13"/>
      <c r="H197" s="13"/>
      <c r="I197" s="13"/>
      <c r="J197" s="13"/>
      <c r="K197" s="43"/>
      <c r="L197" s="43"/>
      <c r="M197" s="43"/>
      <c r="N197" s="28" t="s">
        <v>632</v>
      </c>
      <c r="O197" s="851" t="e">
        <f>#REF!</f>
        <v>#REF!</v>
      </c>
      <c r="P197" s="4408" t="s">
        <v>6552</v>
      </c>
      <c r="Q197" s="4408"/>
      <c r="R197" s="77"/>
      <c r="S197" s="955"/>
      <c r="T197" s="955"/>
      <c r="U197" s="955"/>
      <c r="V197" s="955"/>
      <c r="W197" s="955"/>
      <c r="X197" s="955"/>
      <c r="Y197" s="955"/>
      <c r="Z197" s="955"/>
      <c r="AA197" s="955"/>
      <c r="AB197" s="955"/>
      <c r="AC197" s="955"/>
      <c r="AD197" s="955"/>
      <c r="AE197" s="955"/>
      <c r="AF197" s="955"/>
      <c r="AG197" s="955"/>
      <c r="AH197" s="955"/>
      <c r="AI197" s="955"/>
      <c r="AJ197" s="955"/>
      <c r="AK197" s="955"/>
      <c r="AL197" s="955"/>
      <c r="AM197" s="955"/>
      <c r="AN197" s="955"/>
      <c r="AO197" s="955"/>
      <c r="AP197" s="955"/>
      <c r="AQ197" s="955"/>
      <c r="AR197" s="955"/>
    </row>
    <row r="198" spans="1:44" ht="12.75" customHeight="1">
      <c r="A198" s="22"/>
      <c r="B198" s="16" t="s">
        <v>1511</v>
      </c>
      <c r="C198" s="13" t="s">
        <v>6553</v>
      </c>
      <c r="D198" s="13"/>
      <c r="E198" s="13"/>
      <c r="F198" s="13"/>
      <c r="G198" s="77"/>
      <c r="H198" s="28" t="s">
        <v>6554</v>
      </c>
      <c r="I198" s="13" t="s">
        <v>6555</v>
      </c>
      <c r="J198" s="77"/>
      <c r="K198" s="77"/>
      <c r="L198" s="77"/>
      <c r="M198" s="43"/>
      <c r="N198" s="43"/>
      <c r="O198" s="143"/>
      <c r="P198" s="637" t="s">
        <v>6556</v>
      </c>
      <c r="Q198" s="844" t="s">
        <v>6557</v>
      </c>
      <c r="R198" s="77"/>
      <c r="S198" s="955"/>
      <c r="T198" s="955"/>
      <c r="U198" s="955"/>
      <c r="V198" s="955"/>
      <c r="W198" s="955"/>
      <c r="X198" s="955"/>
      <c r="Y198" s="955"/>
      <c r="Z198" s="955"/>
      <c r="AA198" s="955"/>
      <c r="AB198" s="955"/>
      <c r="AC198" s="955"/>
      <c r="AD198" s="955"/>
      <c r="AE198" s="955"/>
      <c r="AF198" s="955"/>
      <c r="AG198" s="955"/>
      <c r="AH198" s="955"/>
      <c r="AI198" s="955"/>
      <c r="AJ198" s="955"/>
      <c r="AK198" s="955"/>
      <c r="AL198" s="955"/>
      <c r="AM198" s="955"/>
      <c r="AN198" s="955"/>
      <c r="AO198" s="955"/>
      <c r="AP198" s="955"/>
      <c r="AQ198" s="955"/>
      <c r="AR198" s="955"/>
    </row>
    <row r="199" spans="1:44" s="19" customFormat="1" ht="12.75" customHeight="1">
      <c r="A199" s="24"/>
      <c r="B199" s="28" t="s">
        <v>203</v>
      </c>
      <c r="C199" s="4448" t="s">
        <v>1512</v>
      </c>
      <c r="D199" s="4449"/>
      <c r="E199" s="4449"/>
      <c r="F199" s="4449"/>
      <c r="G199" s="4450"/>
      <c r="H199" s="28" t="s">
        <v>203</v>
      </c>
      <c r="I199" s="3308" t="s">
        <v>6558</v>
      </c>
      <c r="J199" s="3255"/>
      <c r="K199" s="3255"/>
      <c r="L199" s="3255"/>
      <c r="M199" s="3255"/>
      <c r="N199" s="3255"/>
      <c r="O199" s="3256"/>
      <c r="P199" s="2899"/>
      <c r="Q199" s="2915"/>
      <c r="S199" s="952"/>
      <c r="T199" s="952"/>
      <c r="U199" s="952"/>
      <c r="V199" s="952"/>
      <c r="W199" s="952"/>
      <c r="X199" s="952"/>
      <c r="Y199" s="952"/>
      <c r="Z199" s="952"/>
      <c r="AA199" s="952"/>
      <c r="AB199" s="952"/>
      <c r="AC199" s="952"/>
      <c r="AD199" s="952"/>
      <c r="AE199" s="952"/>
      <c r="AF199" s="952"/>
      <c r="AG199" s="952"/>
      <c r="AH199" s="952"/>
      <c r="AI199" s="952"/>
      <c r="AJ199" s="952"/>
      <c r="AK199" s="952"/>
      <c r="AL199" s="952"/>
      <c r="AM199" s="952"/>
      <c r="AN199" s="952"/>
      <c r="AO199" s="952"/>
      <c r="AP199" s="952"/>
      <c r="AQ199" s="952"/>
      <c r="AR199" s="952"/>
    </row>
    <row r="200" spans="1:44" s="19" customFormat="1" ht="12.75" customHeight="1">
      <c r="A200" s="24"/>
      <c r="B200" s="28" t="s">
        <v>206</v>
      </c>
      <c r="C200" s="4519" t="s">
        <v>1512</v>
      </c>
      <c r="D200" s="4520"/>
      <c r="E200" s="4520"/>
      <c r="F200" s="4520"/>
      <c r="G200" s="4521"/>
      <c r="H200" s="28" t="s">
        <v>206</v>
      </c>
      <c r="I200" s="3303"/>
      <c r="J200" s="3252"/>
      <c r="K200" s="3252"/>
      <c r="L200" s="3252"/>
      <c r="M200" s="3252"/>
      <c r="N200" s="3252"/>
      <c r="O200" s="3253"/>
      <c r="P200" s="299"/>
      <c r="Q200" s="835"/>
      <c r="S200" s="952"/>
      <c r="T200" s="952"/>
      <c r="U200" s="952"/>
      <c r="V200" s="952"/>
      <c r="W200" s="952"/>
      <c r="X200" s="952"/>
      <c r="Y200" s="952"/>
      <c r="Z200" s="952"/>
      <c r="AA200" s="952"/>
      <c r="AB200" s="952"/>
      <c r="AC200" s="952"/>
      <c r="AD200" s="952"/>
      <c r="AE200" s="952"/>
      <c r="AF200" s="952"/>
      <c r="AG200" s="952"/>
      <c r="AH200" s="952"/>
      <c r="AI200" s="952"/>
      <c r="AJ200" s="952"/>
      <c r="AK200" s="952"/>
      <c r="AL200" s="952"/>
      <c r="AM200" s="952"/>
      <c r="AN200" s="952"/>
      <c r="AO200" s="952"/>
      <c r="AP200" s="952"/>
      <c r="AQ200" s="952"/>
      <c r="AR200" s="952"/>
    </row>
    <row r="201" spans="1:44" s="19" customFormat="1" ht="12.75" customHeight="1">
      <c r="A201" s="24"/>
      <c r="B201" s="28" t="s">
        <v>208</v>
      </c>
      <c r="C201" s="4519" t="s">
        <v>1512</v>
      </c>
      <c r="D201" s="4520"/>
      <c r="E201" s="4520"/>
      <c r="F201" s="4520"/>
      <c r="G201" s="4521"/>
      <c r="H201" s="28" t="s">
        <v>208</v>
      </c>
      <c r="I201" s="3303" t="s">
        <v>6558</v>
      </c>
      <c r="J201" s="3252"/>
      <c r="K201" s="3252"/>
      <c r="L201" s="3252"/>
      <c r="M201" s="3252"/>
      <c r="N201" s="3252"/>
      <c r="O201" s="3253"/>
      <c r="P201" s="299"/>
      <c r="Q201" s="835"/>
      <c r="S201" s="952"/>
      <c r="T201" s="952"/>
      <c r="U201" s="952"/>
      <c r="V201" s="952"/>
      <c r="W201" s="952"/>
      <c r="X201" s="952"/>
      <c r="Y201" s="952"/>
      <c r="Z201" s="952"/>
      <c r="AA201" s="952"/>
      <c r="AB201" s="952"/>
      <c r="AC201" s="952"/>
      <c r="AD201" s="952"/>
      <c r="AE201" s="952"/>
      <c r="AF201" s="952"/>
      <c r="AG201" s="952"/>
      <c r="AH201" s="952"/>
      <c r="AI201" s="952"/>
      <c r="AJ201" s="952"/>
      <c r="AK201" s="952"/>
      <c r="AL201" s="952"/>
      <c r="AM201" s="952"/>
      <c r="AN201" s="952"/>
      <c r="AO201" s="952"/>
      <c r="AP201" s="952"/>
      <c r="AQ201" s="952"/>
      <c r="AR201" s="952"/>
    </row>
    <row r="202" spans="1:44" s="19" customFormat="1" ht="12.75" customHeight="1">
      <c r="A202" s="24"/>
      <c r="B202" s="28" t="s">
        <v>1997</v>
      </c>
      <c r="C202" s="4462" t="s">
        <v>1512</v>
      </c>
      <c r="D202" s="4463"/>
      <c r="E202" s="4463"/>
      <c r="F202" s="4463"/>
      <c r="G202" s="4464"/>
      <c r="H202" s="28" t="s">
        <v>1997</v>
      </c>
      <c r="I202" s="3298"/>
      <c r="J202" s="3249"/>
      <c r="K202" s="3249"/>
      <c r="L202" s="3249"/>
      <c r="M202" s="3249"/>
      <c r="N202" s="3249"/>
      <c r="O202" s="3250"/>
      <c r="P202" s="300"/>
      <c r="Q202" s="301"/>
      <c r="S202" s="952"/>
      <c r="T202" s="952"/>
      <c r="U202" s="952"/>
      <c r="V202" s="952"/>
      <c r="W202" s="952"/>
      <c r="X202" s="952"/>
      <c r="Y202" s="952"/>
      <c r="Z202" s="952"/>
      <c r="AA202" s="952"/>
      <c r="AB202" s="952"/>
      <c r="AC202" s="952"/>
      <c r="AD202" s="952"/>
      <c r="AE202" s="952"/>
      <c r="AF202" s="952"/>
      <c r="AG202" s="952"/>
      <c r="AH202" s="952"/>
      <c r="AI202" s="952"/>
      <c r="AJ202" s="952"/>
      <c r="AK202" s="952"/>
      <c r="AL202" s="952"/>
      <c r="AM202" s="952"/>
      <c r="AN202" s="952"/>
      <c r="AO202" s="952"/>
      <c r="AP202" s="952"/>
      <c r="AQ202" s="952"/>
      <c r="AR202" s="952"/>
    </row>
    <row r="203" spans="1:44" ht="12.75" customHeight="1">
      <c r="A203" s="22" t="s">
        <v>219</v>
      </c>
      <c r="B203" s="13" t="s">
        <v>6559</v>
      </c>
      <c r="C203" s="13"/>
      <c r="D203" s="77"/>
      <c r="E203" s="13"/>
      <c r="F203" s="13"/>
      <c r="G203" s="13"/>
      <c r="H203" s="13"/>
      <c r="I203" s="13"/>
      <c r="J203" s="13"/>
      <c r="K203" s="43"/>
      <c r="L203" s="13"/>
      <c r="M203" s="13"/>
      <c r="N203" s="77"/>
      <c r="O203" s="28" t="s">
        <v>219</v>
      </c>
      <c r="P203" s="2898"/>
      <c r="Q203" s="2899"/>
      <c r="R203" s="77"/>
      <c r="S203" s="955"/>
      <c r="T203" s="955"/>
      <c r="U203" s="955"/>
      <c r="V203" s="955"/>
      <c r="W203" s="955"/>
      <c r="X203" s="955"/>
      <c r="Y203" s="955"/>
      <c r="Z203" s="955"/>
      <c r="AA203" s="955"/>
      <c r="AB203" s="955"/>
      <c r="AC203" s="955"/>
      <c r="AD203" s="955"/>
      <c r="AE203" s="955"/>
      <c r="AF203" s="955"/>
      <c r="AG203" s="955"/>
      <c r="AH203" s="955"/>
      <c r="AI203" s="955"/>
      <c r="AJ203" s="955"/>
      <c r="AK203" s="955"/>
      <c r="AL203" s="955"/>
      <c r="AM203" s="955"/>
      <c r="AN203" s="955"/>
      <c r="AO203" s="955"/>
      <c r="AP203" s="955"/>
      <c r="AQ203" s="955"/>
      <c r="AR203" s="955"/>
    </row>
    <row r="204" spans="1:44" ht="12.75" customHeight="1">
      <c r="A204" s="22"/>
      <c r="B204" s="16" t="s">
        <v>1511</v>
      </c>
      <c r="C204" s="13" t="s">
        <v>6560</v>
      </c>
      <c r="D204" s="77"/>
      <c r="E204" s="13"/>
      <c r="F204" s="13"/>
      <c r="G204" s="77"/>
      <c r="H204" s="77"/>
      <c r="I204" s="77"/>
      <c r="J204" s="77"/>
      <c r="K204" s="77"/>
      <c r="L204" s="11"/>
      <c r="M204" s="11"/>
      <c r="N204" s="77"/>
      <c r="O204" s="28" t="s">
        <v>1511</v>
      </c>
      <c r="P204" s="202"/>
      <c r="Q204" s="299"/>
      <c r="R204" s="77"/>
      <c r="S204" s="955"/>
      <c r="T204" s="955"/>
      <c r="U204" s="955"/>
      <c r="V204" s="955"/>
      <c r="W204" s="955"/>
      <c r="X204" s="955"/>
      <c r="Y204" s="955"/>
      <c r="Z204" s="955"/>
      <c r="AA204" s="955"/>
      <c r="AB204" s="955"/>
      <c r="AC204" s="955"/>
      <c r="AD204" s="955"/>
      <c r="AE204" s="955"/>
      <c r="AF204" s="955"/>
      <c r="AG204" s="955"/>
      <c r="AH204" s="955"/>
      <c r="AI204" s="955"/>
      <c r="AJ204" s="955"/>
      <c r="AK204" s="955"/>
      <c r="AL204" s="955"/>
      <c r="AM204" s="955"/>
      <c r="AN204" s="955"/>
      <c r="AO204" s="955"/>
      <c r="AP204" s="955"/>
      <c r="AQ204" s="955"/>
      <c r="AR204" s="955"/>
    </row>
    <row r="205" spans="1:44" ht="12.75" customHeight="1">
      <c r="A205" s="77"/>
      <c r="B205" s="16" t="s">
        <v>1513</v>
      </c>
      <c r="C205" s="16" t="s">
        <v>6561</v>
      </c>
      <c r="D205" s="77"/>
      <c r="E205" s="16"/>
      <c r="F205" s="16"/>
      <c r="G205" s="77"/>
      <c r="H205" s="77"/>
      <c r="I205" s="77"/>
      <c r="J205" s="77"/>
      <c r="K205" s="77"/>
      <c r="L205" s="11"/>
      <c r="M205" s="11"/>
      <c r="N205" s="77"/>
      <c r="O205" s="28" t="s">
        <v>1513</v>
      </c>
      <c r="P205" s="202"/>
      <c r="Q205" s="299"/>
      <c r="R205" s="77"/>
      <c r="S205" s="955"/>
      <c r="T205" s="955"/>
      <c r="U205" s="955"/>
      <c r="V205" s="955"/>
      <c r="W205" s="955"/>
      <c r="X205" s="955"/>
      <c r="Y205" s="955"/>
      <c r="Z205" s="955"/>
      <c r="AA205" s="955"/>
      <c r="AB205" s="955"/>
      <c r="AC205" s="955"/>
      <c r="AD205" s="955"/>
      <c r="AE205" s="955"/>
      <c r="AF205" s="955"/>
      <c r="AG205" s="955"/>
      <c r="AH205" s="955"/>
      <c r="AI205" s="955"/>
      <c r="AJ205" s="955"/>
      <c r="AK205" s="955"/>
      <c r="AL205" s="955"/>
      <c r="AM205" s="955"/>
      <c r="AN205" s="955"/>
      <c r="AO205" s="955"/>
      <c r="AP205" s="955"/>
      <c r="AQ205" s="955"/>
      <c r="AR205" s="955"/>
    </row>
    <row r="206" spans="1:44" ht="12.75" customHeight="1">
      <c r="A206" s="77"/>
      <c r="B206" s="16" t="s">
        <v>1514</v>
      </c>
      <c r="C206" s="16" t="s">
        <v>6562</v>
      </c>
      <c r="D206" s="77"/>
      <c r="E206" s="16"/>
      <c r="F206" s="16"/>
      <c r="G206" s="16"/>
      <c r="H206" s="16"/>
      <c r="I206" s="43"/>
      <c r="J206" s="11"/>
      <c r="K206" s="43"/>
      <c r="L206" s="11"/>
      <c r="M206" s="11"/>
      <c r="N206" s="77"/>
      <c r="O206" s="28" t="s">
        <v>1514</v>
      </c>
      <c r="P206" s="202"/>
      <c r="Q206" s="299"/>
      <c r="R206" s="77"/>
      <c r="S206" s="955"/>
      <c r="T206" s="955"/>
      <c r="U206" s="955"/>
      <c r="V206" s="955"/>
      <c r="W206" s="955"/>
      <c r="X206" s="955"/>
      <c r="Y206" s="955"/>
      <c r="Z206" s="955"/>
      <c r="AA206" s="955"/>
      <c r="AB206" s="955"/>
      <c r="AC206" s="955"/>
      <c r="AD206" s="955"/>
      <c r="AE206" s="955"/>
      <c r="AF206" s="955"/>
      <c r="AG206" s="955"/>
      <c r="AH206" s="955"/>
      <c r="AI206" s="955"/>
      <c r="AJ206" s="955"/>
      <c r="AK206" s="955"/>
      <c r="AL206" s="955"/>
      <c r="AM206" s="955"/>
      <c r="AN206" s="955"/>
      <c r="AO206" s="955"/>
      <c r="AP206" s="955"/>
      <c r="AQ206" s="955"/>
      <c r="AR206" s="955"/>
    </row>
    <row r="207" spans="1:44" ht="12.75" customHeight="1">
      <c r="A207" s="22"/>
      <c r="B207" s="16" t="s">
        <v>1515</v>
      </c>
      <c r="C207" s="16" t="s">
        <v>6563</v>
      </c>
      <c r="D207" s="77"/>
      <c r="E207" s="16"/>
      <c r="F207" s="16"/>
      <c r="G207" s="16"/>
      <c r="H207" s="16"/>
      <c r="I207" s="43"/>
      <c r="J207" s="11"/>
      <c r="K207" s="43"/>
      <c r="L207" s="11"/>
      <c r="M207" s="11"/>
      <c r="N207" s="77"/>
      <c r="O207" s="28" t="s">
        <v>1515</v>
      </c>
      <c r="P207" s="202"/>
      <c r="Q207" s="299"/>
      <c r="R207" s="77"/>
      <c r="S207" s="955"/>
      <c r="T207" s="955"/>
      <c r="U207" s="955"/>
      <c r="V207" s="955"/>
      <c r="W207" s="955"/>
      <c r="X207" s="955"/>
      <c r="Y207" s="955"/>
      <c r="Z207" s="955"/>
      <c r="AA207" s="955"/>
      <c r="AB207" s="955"/>
      <c r="AC207" s="955"/>
      <c r="AD207" s="955"/>
      <c r="AE207" s="955"/>
      <c r="AF207" s="955"/>
      <c r="AG207" s="955"/>
      <c r="AH207" s="955"/>
      <c r="AI207" s="955"/>
      <c r="AJ207" s="955"/>
      <c r="AK207" s="955"/>
      <c r="AL207" s="955"/>
      <c r="AM207" s="955"/>
      <c r="AN207" s="955"/>
      <c r="AO207" s="955"/>
      <c r="AP207" s="955"/>
      <c r="AQ207" s="955"/>
      <c r="AR207" s="955"/>
    </row>
    <row r="208" spans="1:44" ht="12.75" customHeight="1">
      <c r="A208" s="22"/>
      <c r="B208" s="16" t="s">
        <v>4562</v>
      </c>
      <c r="C208" s="16" t="s">
        <v>6564</v>
      </c>
      <c r="D208" s="77"/>
      <c r="E208" s="16"/>
      <c r="F208" s="16"/>
      <c r="G208" s="16"/>
      <c r="H208" s="16"/>
      <c r="I208" s="43"/>
      <c r="J208" s="11"/>
      <c r="K208" s="43"/>
      <c r="L208" s="11"/>
      <c r="M208" s="11"/>
      <c r="N208" s="77"/>
      <c r="O208" s="28" t="s">
        <v>4562</v>
      </c>
      <c r="P208" s="202"/>
      <c r="Q208" s="299"/>
      <c r="R208" s="77"/>
      <c r="S208" s="955"/>
      <c r="T208" s="955"/>
      <c r="U208" s="955"/>
      <c r="V208" s="955"/>
      <c r="W208" s="955"/>
      <c r="X208" s="955"/>
      <c r="Y208" s="955"/>
      <c r="Z208" s="955"/>
      <c r="AA208" s="955"/>
      <c r="AB208" s="955"/>
      <c r="AC208" s="955"/>
      <c r="AD208" s="955"/>
      <c r="AE208" s="955"/>
      <c r="AF208" s="955"/>
      <c r="AG208" s="955"/>
      <c r="AH208" s="955"/>
      <c r="AI208" s="955"/>
      <c r="AJ208" s="955"/>
      <c r="AK208" s="955"/>
      <c r="AL208" s="955"/>
      <c r="AM208" s="955"/>
      <c r="AN208" s="955"/>
      <c r="AO208" s="955"/>
      <c r="AP208" s="955"/>
      <c r="AQ208" s="955"/>
      <c r="AR208" s="955"/>
    </row>
    <row r="209" spans="1:44">
      <c r="A209" s="22"/>
      <c r="B209" s="265" t="s">
        <v>4564</v>
      </c>
      <c r="C209" s="4379" t="s">
        <v>6565</v>
      </c>
      <c r="D209" s="4379"/>
      <c r="E209" s="4379"/>
      <c r="F209" s="4379"/>
      <c r="G209" s="4379"/>
      <c r="H209" s="4379"/>
      <c r="I209" s="4379"/>
      <c r="J209" s="4379"/>
      <c r="K209" s="4379"/>
      <c r="L209" s="4379"/>
      <c r="M209" s="4379"/>
      <c r="N209" s="4379"/>
      <c r="O209" s="84" t="s">
        <v>4564</v>
      </c>
      <c r="P209" s="2595"/>
      <c r="Q209" s="2593"/>
      <c r="R209" s="77"/>
      <c r="S209" s="955"/>
      <c r="T209" s="955"/>
      <c r="U209" s="955"/>
      <c r="V209" s="955"/>
      <c r="W209" s="955"/>
      <c r="X209" s="955"/>
      <c r="Y209" s="955"/>
      <c r="Z209" s="955"/>
      <c r="AA209" s="955"/>
      <c r="AB209" s="955"/>
      <c r="AC209" s="955"/>
      <c r="AD209" s="955"/>
      <c r="AE209" s="955"/>
      <c r="AF209" s="955"/>
      <c r="AG209" s="955"/>
      <c r="AH209" s="955"/>
      <c r="AI209" s="955"/>
      <c r="AJ209" s="955"/>
      <c r="AK209" s="955"/>
      <c r="AL209" s="955"/>
      <c r="AM209" s="955"/>
      <c r="AN209" s="955"/>
      <c r="AO209" s="955"/>
      <c r="AP209" s="955"/>
      <c r="AQ209" s="955"/>
      <c r="AR209" s="955"/>
    </row>
    <row r="210" spans="1:44" ht="12" customHeight="1">
      <c r="A210" s="22" t="s">
        <v>221</v>
      </c>
      <c r="B210" s="13" t="s">
        <v>6566</v>
      </c>
      <c r="C210" s="13"/>
      <c r="D210" s="77"/>
      <c r="E210" s="13"/>
      <c r="F210" s="13"/>
      <c r="G210" s="13"/>
      <c r="H210" s="13"/>
      <c r="I210" s="13"/>
      <c r="J210" s="13"/>
      <c r="K210" s="43"/>
      <c r="L210" s="77"/>
      <c r="M210" s="77"/>
      <c r="N210" s="283" t="str">
        <f>'Part VII-Threshold Criteria OLD'!J35</f>
        <v>&lt;&lt; Select PROPOSED Tenancy &gt;&gt;</v>
      </c>
      <c r="O210" s="28" t="s">
        <v>221</v>
      </c>
      <c r="P210" s="2898"/>
      <c r="Q210" s="2899"/>
      <c r="R210" s="77"/>
      <c r="S210" s="955"/>
      <c r="T210" s="955"/>
      <c r="U210" s="955"/>
      <c r="V210" s="955"/>
      <c r="W210" s="955"/>
      <c r="X210" s="955"/>
      <c r="Y210" s="955"/>
      <c r="Z210" s="955"/>
      <c r="AA210" s="955"/>
      <c r="AB210" s="955"/>
      <c r="AC210" s="955"/>
      <c r="AD210" s="955"/>
      <c r="AE210" s="955"/>
      <c r="AF210" s="955"/>
      <c r="AG210" s="955"/>
      <c r="AH210" s="955"/>
      <c r="AI210" s="955"/>
      <c r="AJ210" s="955"/>
      <c r="AK210" s="955"/>
      <c r="AL210" s="955"/>
      <c r="AM210" s="955"/>
      <c r="AN210" s="955"/>
      <c r="AO210" s="955"/>
      <c r="AP210" s="955"/>
      <c r="AQ210" s="955"/>
      <c r="AR210" s="955"/>
    </row>
    <row r="211" spans="1:44" ht="12" customHeight="1">
      <c r="A211" s="77"/>
      <c r="B211" s="16" t="s">
        <v>1511</v>
      </c>
      <c r="C211" s="13" t="s">
        <v>6567</v>
      </c>
      <c r="D211" s="77"/>
      <c r="E211" s="43"/>
      <c r="F211" s="43"/>
      <c r="G211" s="13"/>
      <c r="H211" s="16"/>
      <c r="I211" s="43"/>
      <c r="J211" s="16"/>
      <c r="K211" s="43"/>
      <c r="L211" s="16"/>
      <c r="M211" s="16"/>
      <c r="N211" s="77"/>
      <c r="O211" s="28" t="s">
        <v>1511</v>
      </c>
      <c r="P211" s="202"/>
      <c r="Q211" s="299"/>
      <c r="R211" s="77"/>
      <c r="S211" s="955"/>
      <c r="T211" s="955"/>
      <c r="U211" s="955"/>
      <c r="V211" s="955"/>
      <c r="W211" s="955"/>
      <c r="X211" s="955"/>
      <c r="Y211" s="955"/>
      <c r="Z211" s="955"/>
      <c r="AA211" s="955"/>
      <c r="AB211" s="955"/>
      <c r="AC211" s="955"/>
      <c r="AD211" s="955"/>
      <c r="AE211" s="955"/>
      <c r="AF211" s="955"/>
      <c r="AG211" s="955"/>
      <c r="AH211" s="955"/>
      <c r="AI211" s="955"/>
      <c r="AJ211" s="955"/>
      <c r="AK211" s="955"/>
      <c r="AL211" s="955"/>
      <c r="AM211" s="955"/>
      <c r="AN211" s="955"/>
      <c r="AO211" s="955"/>
      <c r="AP211" s="955"/>
      <c r="AQ211" s="955"/>
      <c r="AR211" s="955"/>
    </row>
    <row r="212" spans="1:44" ht="12" customHeight="1">
      <c r="A212" s="77"/>
      <c r="B212" s="16" t="s">
        <v>1513</v>
      </c>
      <c r="C212" s="13" t="s">
        <v>6568</v>
      </c>
      <c r="D212" s="77"/>
      <c r="E212" s="43"/>
      <c r="F212" s="43"/>
      <c r="G212" s="16"/>
      <c r="H212" s="16"/>
      <c r="I212" s="43"/>
      <c r="J212" s="16"/>
      <c r="K212" s="43"/>
      <c r="L212" s="16"/>
      <c r="M212" s="16"/>
      <c r="N212" s="77"/>
      <c r="O212" s="28" t="s">
        <v>1513</v>
      </c>
      <c r="P212" s="118"/>
      <c r="Q212" s="300"/>
      <c r="R212" s="77"/>
      <c r="S212" s="955"/>
      <c r="T212" s="955"/>
      <c r="U212" s="955"/>
      <c r="V212" s="955"/>
      <c r="W212" s="955"/>
      <c r="X212" s="955"/>
      <c r="Y212" s="955"/>
      <c r="Z212" s="955"/>
      <c r="AA212" s="955"/>
      <c r="AB212" s="955"/>
      <c r="AC212" s="955"/>
      <c r="AD212" s="955"/>
      <c r="AE212" s="955"/>
      <c r="AF212" s="955"/>
      <c r="AG212" s="955"/>
      <c r="AH212" s="955"/>
      <c r="AI212" s="955"/>
      <c r="AJ212" s="955"/>
      <c r="AK212" s="955"/>
      <c r="AL212" s="955"/>
      <c r="AM212" s="955"/>
      <c r="AN212" s="955"/>
      <c r="AO212" s="955"/>
      <c r="AP212" s="955"/>
      <c r="AQ212" s="955"/>
      <c r="AR212" s="955"/>
    </row>
    <row r="213" spans="1:44" ht="11.25" customHeight="1">
      <c r="A213" s="77"/>
      <c r="B213" s="74" t="s">
        <v>1457</v>
      </c>
      <c r="C213" s="77"/>
      <c r="D213" s="74"/>
      <c r="E213" s="74"/>
      <c r="F213" s="74"/>
      <c r="G213" s="74"/>
      <c r="H213" s="16"/>
      <c r="I213" s="2596"/>
      <c r="J213" s="2596"/>
      <c r="K213" s="2596"/>
      <c r="L213" s="501"/>
      <c r="M213" s="501"/>
      <c r="N213" s="501"/>
      <c r="O213" s="501"/>
      <c r="P213" s="501"/>
      <c r="Q213" s="501"/>
      <c r="R213" s="77"/>
      <c r="S213" s="955"/>
      <c r="T213" s="955"/>
      <c r="U213" s="955"/>
      <c r="V213" s="955"/>
      <c r="W213" s="955"/>
      <c r="X213" s="955"/>
      <c r="Y213" s="955"/>
      <c r="Z213" s="955"/>
      <c r="AA213" s="955"/>
      <c r="AB213" s="955"/>
      <c r="AC213" s="955"/>
      <c r="AD213" s="955"/>
      <c r="AE213" s="955"/>
      <c r="AF213" s="955"/>
      <c r="AG213" s="955"/>
      <c r="AH213" s="955"/>
      <c r="AI213" s="955"/>
      <c r="AJ213" s="955"/>
      <c r="AK213" s="955"/>
      <c r="AL213" s="955"/>
      <c r="AM213" s="955"/>
      <c r="AN213" s="955"/>
      <c r="AO213" s="955"/>
      <c r="AP213" s="955"/>
      <c r="AQ213" s="955"/>
      <c r="AR213" s="955"/>
    </row>
    <row r="214" spans="1:44" ht="12" customHeight="1">
      <c r="A214" s="4390"/>
      <c r="B214" s="4391"/>
      <c r="C214" s="4391"/>
      <c r="D214" s="4391"/>
      <c r="E214" s="4391"/>
      <c r="F214" s="4391"/>
      <c r="G214" s="4391"/>
      <c r="H214" s="4391"/>
      <c r="I214" s="4391"/>
      <c r="J214" s="4391"/>
      <c r="K214" s="4391"/>
      <c r="L214" s="4391"/>
      <c r="M214" s="4391"/>
      <c r="N214" s="4391"/>
      <c r="O214" s="4391"/>
      <c r="P214" s="4391"/>
      <c r="Q214" s="4392"/>
      <c r="R214" s="248" t="s">
        <v>6410</v>
      </c>
      <c r="S214" s="953"/>
      <c r="T214" s="955"/>
      <c r="U214" s="954"/>
      <c r="V214" s="954"/>
      <c r="W214" s="954"/>
      <c r="X214" s="954"/>
      <c r="Y214" s="954"/>
      <c r="Z214" s="954"/>
      <c r="AA214" s="954"/>
      <c r="AB214" s="954"/>
      <c r="AC214" s="954"/>
      <c r="AD214" s="954"/>
      <c r="AE214" s="954"/>
      <c r="AF214" s="955"/>
      <c r="AG214" s="955"/>
      <c r="AH214" s="955"/>
      <c r="AI214" s="955"/>
      <c r="AJ214" s="955"/>
      <c r="AK214" s="955"/>
      <c r="AL214" s="955"/>
      <c r="AM214" s="955"/>
      <c r="AN214" s="955"/>
      <c r="AO214" s="955"/>
      <c r="AP214" s="955"/>
      <c r="AQ214" s="955"/>
      <c r="AR214" s="955"/>
    </row>
    <row r="215" spans="1:44" ht="11.25" customHeight="1">
      <c r="A215" s="77"/>
      <c r="B215" s="70" t="s">
        <v>1453</v>
      </c>
      <c r="C215" s="71"/>
      <c r="D215" s="2586"/>
      <c r="E215" s="2586"/>
      <c r="F215" s="2586"/>
      <c r="G215" s="2586"/>
      <c r="H215" s="2586"/>
      <c r="I215" s="2586"/>
      <c r="J215" s="2586"/>
      <c r="K215" s="2586"/>
      <c r="L215" s="2586"/>
      <c r="M215" s="2586"/>
      <c r="N215" s="2586"/>
      <c r="O215" s="2586"/>
      <c r="P215" s="2586"/>
      <c r="Q215" s="2586"/>
      <c r="R215" s="77"/>
      <c r="S215" s="955"/>
      <c r="T215" s="955"/>
      <c r="U215" s="955"/>
      <c r="V215" s="955"/>
      <c r="W215" s="955"/>
      <c r="X215" s="955"/>
      <c r="Y215" s="955"/>
      <c r="Z215" s="955"/>
      <c r="AA215" s="955"/>
      <c r="AB215" s="955"/>
      <c r="AC215" s="955"/>
      <c r="AD215" s="955"/>
      <c r="AE215" s="955"/>
      <c r="AF215" s="955"/>
      <c r="AG215" s="955"/>
      <c r="AH215" s="955"/>
      <c r="AI215" s="955"/>
      <c r="AJ215" s="955"/>
      <c r="AK215" s="955"/>
      <c r="AL215" s="955"/>
      <c r="AM215" s="955"/>
      <c r="AN215" s="955"/>
      <c r="AO215" s="955"/>
      <c r="AP215" s="955"/>
      <c r="AQ215" s="955"/>
      <c r="AR215" s="955"/>
    </row>
    <row r="216" spans="1:44" ht="12" customHeight="1">
      <c r="A216" s="4387"/>
      <c r="B216" s="4388"/>
      <c r="C216" s="4388"/>
      <c r="D216" s="4388"/>
      <c r="E216" s="4388"/>
      <c r="F216" s="4388"/>
      <c r="G216" s="4388"/>
      <c r="H216" s="4388"/>
      <c r="I216" s="4388"/>
      <c r="J216" s="4388"/>
      <c r="K216" s="4388"/>
      <c r="L216" s="4388"/>
      <c r="M216" s="4388"/>
      <c r="N216" s="4388"/>
      <c r="O216" s="4388"/>
      <c r="P216" s="4388"/>
      <c r="Q216" s="4389"/>
      <c r="R216" s="77"/>
      <c r="S216" s="955"/>
      <c r="T216" s="955"/>
      <c r="U216" s="955"/>
      <c r="V216" s="955"/>
      <c r="W216" s="955"/>
      <c r="X216" s="955"/>
      <c r="Y216" s="955"/>
      <c r="Z216" s="955"/>
      <c r="AA216" s="955"/>
      <c r="AB216" s="955"/>
      <c r="AC216" s="955"/>
      <c r="AD216" s="955"/>
      <c r="AE216" s="955"/>
      <c r="AF216" s="955"/>
      <c r="AG216" s="955"/>
      <c r="AH216" s="955"/>
      <c r="AI216" s="955"/>
      <c r="AJ216" s="955"/>
      <c r="AK216" s="955"/>
      <c r="AL216" s="955"/>
      <c r="AM216" s="955"/>
      <c r="AN216" s="955"/>
      <c r="AO216" s="955"/>
      <c r="AP216" s="955"/>
      <c r="AQ216" s="955"/>
      <c r="AR216" s="955"/>
    </row>
    <row r="217" spans="1:44" ht="14.1" customHeight="1">
      <c r="A217" s="2521" t="s">
        <v>1516</v>
      </c>
      <c r="B217" s="2521" t="s">
        <v>6569</v>
      </c>
      <c r="C217" s="16"/>
      <c r="D217" s="2586"/>
      <c r="E217" s="2586"/>
      <c r="F217" s="2586"/>
      <c r="G217" s="2586"/>
      <c r="H217" s="2586"/>
      <c r="I217" s="2586"/>
      <c r="J217" s="2586"/>
      <c r="K217" s="283" t="s">
        <v>6570</v>
      </c>
      <c r="L217" s="903" t="e">
        <f>#REF!</f>
        <v>#REF!</v>
      </c>
      <c r="M217" s="2586"/>
      <c r="N217" s="77"/>
      <c r="O217" s="66" t="s">
        <v>1451</v>
      </c>
      <c r="P217" s="4382"/>
      <c r="Q217" s="4383"/>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row>
    <row r="218" spans="1:44" ht="11.25" customHeight="1">
      <c r="A218" s="75" t="s">
        <v>186</v>
      </c>
      <c r="B218" s="73" t="s">
        <v>6571</v>
      </c>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row>
    <row r="219" spans="1:44" ht="10.5" customHeight="1">
      <c r="A219" s="75"/>
      <c r="B219" s="13" t="s">
        <v>6572</v>
      </c>
      <c r="C219" s="43"/>
      <c r="D219" s="43"/>
      <c r="E219" s="43"/>
      <c r="F219" s="43"/>
      <c r="G219" s="43"/>
      <c r="H219" s="43"/>
      <c r="I219" s="43"/>
      <c r="J219" s="2581" t="s">
        <v>6573</v>
      </c>
      <c r="K219" s="13" t="s">
        <v>6572</v>
      </c>
      <c r="L219" s="43"/>
      <c r="M219" s="43"/>
      <c r="N219" s="43"/>
      <c r="O219" s="43"/>
      <c r="P219" s="43"/>
      <c r="Q219" s="2581" t="s">
        <v>6573</v>
      </c>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row>
    <row r="220" spans="1:44" s="67" customFormat="1" ht="11.25" customHeight="1">
      <c r="A220" s="229"/>
      <c r="B220" s="3308"/>
      <c r="C220" s="3255"/>
      <c r="D220" s="3255"/>
      <c r="E220" s="3255"/>
      <c r="F220" s="3255"/>
      <c r="G220" s="3255"/>
      <c r="H220" s="3255"/>
      <c r="I220" s="3255"/>
      <c r="J220" s="2916"/>
      <c r="K220" s="3308"/>
      <c r="L220" s="3255"/>
      <c r="M220" s="3255"/>
      <c r="N220" s="3255"/>
      <c r="O220" s="3255"/>
      <c r="P220" s="3255"/>
      <c r="Q220" s="2916"/>
      <c r="R220" s="229"/>
      <c r="S220" s="229"/>
      <c r="T220" s="229"/>
      <c r="U220" s="229"/>
      <c r="V220" s="229"/>
      <c r="W220" s="229"/>
      <c r="X220" s="229"/>
      <c r="Y220" s="229"/>
      <c r="Z220" s="229"/>
      <c r="AA220" s="229"/>
      <c r="AB220" s="229"/>
      <c r="AC220" s="229"/>
      <c r="AD220" s="229"/>
      <c r="AE220" s="229"/>
      <c r="AF220" s="229"/>
      <c r="AG220" s="229"/>
      <c r="AH220" s="229"/>
      <c r="AI220" s="229"/>
      <c r="AJ220" s="229"/>
      <c r="AK220" s="229"/>
      <c r="AL220" s="229"/>
      <c r="AM220" s="229"/>
      <c r="AN220" s="229"/>
      <c r="AO220" s="229"/>
      <c r="AP220" s="229"/>
      <c r="AQ220" s="229"/>
      <c r="AR220" s="229"/>
    </row>
    <row r="221" spans="1:44" s="67" customFormat="1" ht="11.25" customHeight="1">
      <c r="A221" s="75"/>
      <c r="B221" s="3303"/>
      <c r="C221" s="3252"/>
      <c r="D221" s="3252"/>
      <c r="E221" s="3252"/>
      <c r="F221" s="3252"/>
      <c r="G221" s="3252"/>
      <c r="H221" s="3252"/>
      <c r="I221" s="3252"/>
      <c r="J221" s="1355"/>
      <c r="K221" s="3303"/>
      <c r="L221" s="3252"/>
      <c r="M221" s="3252"/>
      <c r="N221" s="3252"/>
      <c r="O221" s="3252"/>
      <c r="P221" s="3252"/>
      <c r="Q221" s="1355"/>
      <c r="R221" s="229"/>
      <c r="S221" s="229"/>
      <c r="T221" s="229"/>
      <c r="U221" s="229"/>
      <c r="V221" s="229"/>
      <c r="W221" s="229"/>
      <c r="X221" s="229"/>
      <c r="Y221" s="229"/>
      <c r="Z221" s="229"/>
      <c r="AA221" s="229"/>
      <c r="AB221" s="229"/>
      <c r="AC221" s="229"/>
      <c r="AD221" s="229"/>
      <c r="AE221" s="229"/>
      <c r="AF221" s="229"/>
      <c r="AG221" s="229"/>
      <c r="AH221" s="229"/>
      <c r="AI221" s="229"/>
      <c r="AJ221" s="229"/>
      <c r="AK221" s="229"/>
      <c r="AL221" s="229"/>
      <c r="AM221" s="229"/>
      <c r="AN221" s="229"/>
      <c r="AO221" s="229"/>
      <c r="AP221" s="229"/>
      <c r="AQ221" s="229"/>
      <c r="AR221" s="229"/>
    </row>
    <row r="222" spans="1:44" s="67" customFormat="1" ht="11.25" customHeight="1">
      <c r="A222" s="75"/>
      <c r="B222" s="3303"/>
      <c r="C222" s="3252"/>
      <c r="D222" s="3252"/>
      <c r="E222" s="3252"/>
      <c r="F222" s="3252"/>
      <c r="G222" s="3252"/>
      <c r="H222" s="3252"/>
      <c r="I222" s="3252"/>
      <c r="J222" s="1355"/>
      <c r="K222" s="3303"/>
      <c r="L222" s="3252"/>
      <c r="M222" s="3252"/>
      <c r="N222" s="3252"/>
      <c r="O222" s="3252"/>
      <c r="P222" s="3252"/>
      <c r="Q222" s="1355"/>
      <c r="R222" s="229"/>
      <c r="S222" s="229"/>
      <c r="T222" s="229"/>
      <c r="U222" s="229"/>
      <c r="V222" s="229"/>
      <c r="W222" s="229"/>
      <c r="X222" s="229"/>
      <c r="Y222" s="229"/>
      <c r="Z222" s="229"/>
      <c r="AA222" s="229"/>
      <c r="AB222" s="229"/>
      <c r="AC222" s="229"/>
      <c r="AD222" s="229"/>
      <c r="AE222" s="229"/>
      <c r="AF222" s="229"/>
      <c r="AG222" s="229"/>
      <c r="AH222" s="229"/>
      <c r="AI222" s="229"/>
      <c r="AJ222" s="229"/>
      <c r="AK222" s="229"/>
      <c r="AL222" s="229"/>
      <c r="AM222" s="229"/>
      <c r="AN222" s="229"/>
      <c r="AO222" s="229"/>
      <c r="AP222" s="229"/>
      <c r="AQ222" s="229"/>
      <c r="AR222" s="229"/>
    </row>
    <row r="223" spans="1:44" s="67" customFormat="1" ht="11.25" customHeight="1">
      <c r="A223" s="75"/>
      <c r="B223" s="3303"/>
      <c r="C223" s="3252"/>
      <c r="D223" s="3252"/>
      <c r="E223" s="3252"/>
      <c r="F223" s="3252"/>
      <c r="G223" s="3252"/>
      <c r="H223" s="3252"/>
      <c r="I223" s="3252"/>
      <c r="J223" s="1355"/>
      <c r="K223" s="3303"/>
      <c r="L223" s="3252"/>
      <c r="M223" s="3252"/>
      <c r="N223" s="3252"/>
      <c r="O223" s="3252"/>
      <c r="P223" s="3252"/>
      <c r="Q223" s="1355"/>
      <c r="R223" s="229"/>
      <c r="S223" s="229"/>
      <c r="T223" s="229"/>
      <c r="U223" s="229"/>
      <c r="V223" s="229"/>
      <c r="W223" s="229"/>
      <c r="X223" s="229"/>
      <c r="Y223" s="229"/>
      <c r="Z223" s="229"/>
      <c r="AA223" s="229"/>
      <c r="AB223" s="229"/>
      <c r="AC223" s="229"/>
      <c r="AD223" s="229"/>
      <c r="AE223" s="229"/>
      <c r="AF223" s="229"/>
      <c r="AG223" s="229"/>
      <c r="AH223" s="229"/>
      <c r="AI223" s="229"/>
      <c r="AJ223" s="229"/>
      <c r="AK223" s="229"/>
      <c r="AL223" s="229"/>
      <c r="AM223" s="229"/>
      <c r="AN223" s="229"/>
      <c r="AO223" s="229"/>
      <c r="AP223" s="229"/>
      <c r="AQ223" s="229"/>
      <c r="AR223" s="229"/>
    </row>
    <row r="224" spans="1:44" s="67" customFormat="1" ht="11.25" customHeight="1">
      <c r="A224" s="75"/>
      <c r="B224" s="3303"/>
      <c r="C224" s="3252"/>
      <c r="D224" s="3252"/>
      <c r="E224" s="3252"/>
      <c r="F224" s="3252"/>
      <c r="G224" s="3252"/>
      <c r="H224" s="3252"/>
      <c r="I224" s="3252"/>
      <c r="J224" s="1355"/>
      <c r="K224" s="3303"/>
      <c r="L224" s="3252"/>
      <c r="M224" s="3252"/>
      <c r="N224" s="3252"/>
      <c r="O224" s="3252"/>
      <c r="P224" s="3252"/>
      <c r="Q224" s="1355"/>
      <c r="R224" s="229"/>
      <c r="S224" s="229"/>
      <c r="T224" s="229"/>
      <c r="U224" s="229"/>
      <c r="V224" s="229"/>
      <c r="W224" s="229"/>
      <c r="X224" s="229"/>
      <c r="Y224" s="229"/>
      <c r="Z224" s="229"/>
      <c r="AA224" s="229"/>
      <c r="AB224" s="229"/>
      <c r="AC224" s="229"/>
      <c r="AD224" s="229"/>
      <c r="AE224" s="229"/>
      <c r="AF224" s="229"/>
      <c r="AG224" s="229"/>
      <c r="AH224" s="229"/>
      <c r="AI224" s="229"/>
      <c r="AJ224" s="229"/>
      <c r="AK224" s="229"/>
      <c r="AL224" s="229"/>
      <c r="AM224" s="229"/>
      <c r="AN224" s="229"/>
      <c r="AO224" s="229"/>
      <c r="AP224" s="229"/>
      <c r="AQ224" s="229"/>
      <c r="AR224" s="229"/>
    </row>
    <row r="225" spans="1:44" s="67" customFormat="1" ht="11.25" customHeight="1">
      <c r="A225" s="75"/>
      <c r="B225" s="3303"/>
      <c r="C225" s="3252"/>
      <c r="D225" s="3252"/>
      <c r="E225" s="3252"/>
      <c r="F225" s="3252"/>
      <c r="G225" s="3252"/>
      <c r="H225" s="3252"/>
      <c r="I225" s="3252"/>
      <c r="J225" s="1355"/>
      <c r="K225" s="3303"/>
      <c r="L225" s="3252"/>
      <c r="M225" s="3252"/>
      <c r="N225" s="3252"/>
      <c r="O225" s="3252"/>
      <c r="P225" s="3252"/>
      <c r="Q225" s="1355"/>
      <c r="R225" s="229"/>
      <c r="S225" s="229"/>
      <c r="T225" s="229"/>
      <c r="U225" s="229"/>
      <c r="V225" s="229"/>
      <c r="W225" s="229"/>
      <c r="X225" s="229"/>
      <c r="Y225" s="229"/>
      <c r="Z225" s="229"/>
      <c r="AA225" s="229"/>
      <c r="AB225" s="229"/>
      <c r="AC225" s="229"/>
      <c r="AD225" s="229"/>
      <c r="AE225" s="229"/>
      <c r="AF225" s="229"/>
      <c r="AG225" s="229"/>
      <c r="AH225" s="229"/>
      <c r="AI225" s="229"/>
      <c r="AJ225" s="229"/>
      <c r="AK225" s="229"/>
      <c r="AL225" s="229"/>
      <c r="AM225" s="229"/>
      <c r="AN225" s="229"/>
      <c r="AO225" s="229"/>
      <c r="AP225" s="229"/>
      <c r="AQ225" s="229"/>
      <c r="AR225" s="229"/>
    </row>
    <row r="226" spans="1:44" s="67" customFormat="1" ht="11.25" customHeight="1">
      <c r="A226" s="75"/>
      <c r="B226" s="3303"/>
      <c r="C226" s="3252"/>
      <c r="D226" s="3252"/>
      <c r="E226" s="3252"/>
      <c r="F226" s="3252"/>
      <c r="G226" s="3252"/>
      <c r="H226" s="3252"/>
      <c r="I226" s="3252"/>
      <c r="J226" s="1355"/>
      <c r="K226" s="3303"/>
      <c r="L226" s="3252"/>
      <c r="M226" s="3252"/>
      <c r="N226" s="3252"/>
      <c r="O226" s="3252"/>
      <c r="P226" s="3252"/>
      <c r="Q226" s="1355"/>
      <c r="R226" s="229"/>
      <c r="S226" s="229"/>
      <c r="T226" s="229"/>
      <c r="U226" s="229"/>
      <c r="V226" s="229"/>
      <c r="W226" s="229"/>
      <c r="X226" s="229"/>
      <c r="Y226" s="229"/>
      <c r="Z226" s="229"/>
      <c r="AA226" s="229"/>
      <c r="AB226" s="229"/>
      <c r="AC226" s="229"/>
      <c r="AD226" s="229"/>
      <c r="AE226" s="229"/>
      <c r="AF226" s="229"/>
      <c r="AG226" s="229"/>
      <c r="AH226" s="229"/>
      <c r="AI226" s="229"/>
      <c r="AJ226" s="229"/>
      <c r="AK226" s="229"/>
      <c r="AL226" s="229"/>
      <c r="AM226" s="229"/>
      <c r="AN226" s="229"/>
      <c r="AO226" s="229"/>
      <c r="AP226" s="229"/>
      <c r="AQ226" s="229"/>
      <c r="AR226" s="229"/>
    </row>
    <row r="227" spans="1:44" s="67" customFormat="1" ht="11.25" customHeight="1">
      <c r="A227" s="229"/>
      <c r="B227" s="3298"/>
      <c r="C227" s="3249"/>
      <c r="D227" s="3249"/>
      <c r="E227" s="3249"/>
      <c r="F227" s="3249"/>
      <c r="G227" s="3249"/>
      <c r="H227" s="3249"/>
      <c r="I227" s="3249"/>
      <c r="J227" s="1356"/>
      <c r="K227" s="3298"/>
      <c r="L227" s="3249"/>
      <c r="M227" s="3249"/>
      <c r="N227" s="3249"/>
      <c r="O227" s="3249"/>
      <c r="P227" s="3249"/>
      <c r="Q227" s="1356"/>
      <c r="R227" s="229"/>
      <c r="S227" s="229"/>
      <c r="T227" s="229"/>
      <c r="U227" s="229"/>
      <c r="V227" s="229"/>
      <c r="W227" s="229"/>
      <c r="X227" s="229"/>
      <c r="Y227" s="229"/>
      <c r="Z227" s="229"/>
      <c r="AA227" s="229"/>
      <c r="AB227" s="229"/>
      <c r="AC227" s="229"/>
      <c r="AD227" s="229"/>
      <c r="AE227" s="229"/>
      <c r="AF227" s="229"/>
      <c r="AG227" s="229"/>
      <c r="AH227" s="229"/>
      <c r="AI227" s="229"/>
      <c r="AJ227" s="229"/>
      <c r="AK227" s="229"/>
      <c r="AL227" s="229"/>
      <c r="AM227" s="229"/>
      <c r="AN227" s="229"/>
      <c r="AO227" s="229"/>
      <c r="AP227" s="229"/>
      <c r="AQ227" s="229"/>
      <c r="AR227" s="229"/>
    </row>
    <row r="228" spans="1:44" ht="12" customHeight="1">
      <c r="A228" s="75" t="s">
        <v>198</v>
      </c>
      <c r="B228" s="2917" t="s">
        <v>6574</v>
      </c>
      <c r="C228" s="2911"/>
      <c r="D228" s="2918"/>
      <c r="E228" s="2918"/>
      <c r="F228" s="2918"/>
      <c r="G228" s="2918"/>
      <c r="H228" s="2918"/>
      <c r="I228" s="2652"/>
      <c r="J228" s="2652"/>
      <c r="K228" s="2918"/>
      <c r="L228" s="2910"/>
      <c r="M228" s="2911"/>
      <c r="N228" s="2911"/>
      <c r="O228" s="84" t="s">
        <v>198</v>
      </c>
      <c r="P228" s="2898"/>
      <c r="Q228" s="2899"/>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row>
    <row r="229" spans="1:44" s="229" customFormat="1">
      <c r="A229" s="75" t="s">
        <v>219</v>
      </c>
      <c r="B229" s="4379" t="s">
        <v>6575</v>
      </c>
      <c r="C229" s="4379"/>
      <c r="D229" s="4379"/>
      <c r="E229" s="4379"/>
      <c r="F229" s="4379"/>
      <c r="G229" s="4379"/>
      <c r="H229" s="4379"/>
      <c r="I229" s="4379"/>
      <c r="J229" s="4379"/>
      <c r="K229" s="4379"/>
      <c r="L229" s="4379"/>
      <c r="M229" s="4379"/>
      <c r="N229" s="4379"/>
      <c r="O229" s="84" t="s">
        <v>219</v>
      </c>
      <c r="P229" s="2594"/>
      <c r="Q229" s="2592"/>
      <c r="S229" s="956"/>
      <c r="T229" s="956"/>
      <c r="U229" s="956"/>
      <c r="V229" s="956"/>
      <c r="W229" s="956"/>
      <c r="X229" s="956"/>
      <c r="Y229" s="956"/>
      <c r="Z229" s="956"/>
      <c r="AA229" s="956"/>
      <c r="AB229" s="956"/>
      <c r="AC229" s="956"/>
      <c r="AD229" s="956"/>
      <c r="AE229" s="956"/>
      <c r="AF229" s="956"/>
      <c r="AG229" s="956"/>
      <c r="AH229" s="956"/>
      <c r="AI229" s="956"/>
      <c r="AJ229" s="956"/>
      <c r="AK229" s="956"/>
      <c r="AL229" s="956"/>
      <c r="AM229" s="956"/>
      <c r="AN229" s="956"/>
      <c r="AO229" s="956"/>
      <c r="AP229" s="956"/>
      <c r="AQ229" s="956"/>
      <c r="AR229" s="956"/>
    </row>
    <row r="230" spans="1:44" s="229" customFormat="1" ht="12" customHeight="1">
      <c r="A230" s="22" t="s">
        <v>221</v>
      </c>
      <c r="B230" s="73" t="s">
        <v>6576</v>
      </c>
      <c r="D230" s="73"/>
      <c r="E230" s="73"/>
      <c r="F230" s="73"/>
      <c r="G230" s="73"/>
      <c r="H230" s="73"/>
      <c r="I230" s="73"/>
      <c r="J230" s="73"/>
      <c r="K230" s="73"/>
      <c r="L230" s="73"/>
      <c r="M230" s="73"/>
      <c r="O230" s="28" t="s">
        <v>221</v>
      </c>
      <c r="P230" s="2595"/>
      <c r="Q230" s="2593"/>
      <c r="S230" s="956"/>
      <c r="T230" s="956"/>
      <c r="U230" s="956"/>
      <c r="V230" s="956"/>
      <c r="W230" s="956"/>
      <c r="X230" s="956"/>
      <c r="Y230" s="956"/>
      <c r="Z230" s="956"/>
      <c r="AA230" s="956"/>
      <c r="AB230" s="956"/>
      <c r="AC230" s="956"/>
      <c r="AD230" s="956"/>
      <c r="AE230" s="956"/>
      <c r="AF230" s="956"/>
      <c r="AG230" s="956"/>
      <c r="AH230" s="956"/>
      <c r="AI230" s="956"/>
      <c r="AJ230" s="956"/>
      <c r="AK230" s="956"/>
      <c r="AL230" s="956"/>
      <c r="AM230" s="956"/>
      <c r="AN230" s="956"/>
      <c r="AO230" s="956"/>
      <c r="AP230" s="956"/>
      <c r="AQ230" s="956"/>
      <c r="AR230" s="956"/>
    </row>
    <row r="231" spans="1:44" ht="11.25" customHeight="1">
      <c r="A231" s="77"/>
      <c r="B231" s="74" t="s">
        <v>1457</v>
      </c>
      <c r="C231" s="77"/>
      <c r="D231" s="74"/>
      <c r="E231" s="74"/>
      <c r="F231" s="74"/>
      <c r="G231" s="74"/>
      <c r="H231" s="16"/>
      <c r="I231" s="2596"/>
      <c r="J231" s="2596"/>
      <c r="K231" s="2596"/>
      <c r="L231" s="501"/>
      <c r="M231" s="501"/>
      <c r="N231" s="501"/>
      <c r="O231" s="501"/>
      <c r="P231" s="501"/>
      <c r="Q231" s="501"/>
      <c r="R231" s="77"/>
      <c r="S231" s="955"/>
      <c r="T231" s="955"/>
      <c r="U231" s="955"/>
      <c r="V231" s="955"/>
      <c r="W231" s="955"/>
      <c r="X231" s="955"/>
      <c r="Y231" s="955"/>
      <c r="Z231" s="955"/>
      <c r="AA231" s="955"/>
      <c r="AB231" s="955"/>
      <c r="AC231" s="955"/>
      <c r="AD231" s="955"/>
      <c r="AE231" s="955"/>
      <c r="AF231" s="955"/>
      <c r="AG231" s="955"/>
      <c r="AH231" s="955"/>
      <c r="AI231" s="955"/>
      <c r="AJ231" s="955"/>
      <c r="AK231" s="955"/>
      <c r="AL231" s="955"/>
      <c r="AM231" s="955"/>
      <c r="AN231" s="955"/>
      <c r="AO231" s="955"/>
      <c r="AP231" s="955"/>
      <c r="AQ231" s="955"/>
      <c r="AR231" s="955"/>
    </row>
    <row r="232" spans="1:44" ht="12" customHeight="1">
      <c r="A232" s="4390"/>
      <c r="B232" s="4391"/>
      <c r="C232" s="4391"/>
      <c r="D232" s="4391"/>
      <c r="E232" s="4391"/>
      <c r="F232" s="4391"/>
      <c r="G232" s="4391"/>
      <c r="H232" s="4391"/>
      <c r="I232" s="4391"/>
      <c r="J232" s="4391"/>
      <c r="K232" s="4391"/>
      <c r="L232" s="4391"/>
      <c r="M232" s="4391"/>
      <c r="N232" s="4391"/>
      <c r="O232" s="4391"/>
      <c r="P232" s="4391"/>
      <c r="Q232" s="4392"/>
      <c r="R232" s="248" t="s">
        <v>6410</v>
      </c>
      <c r="S232" s="953"/>
      <c r="T232" s="955"/>
      <c r="U232" s="954"/>
      <c r="V232" s="954"/>
      <c r="W232" s="954"/>
      <c r="X232" s="954"/>
      <c r="Y232" s="954"/>
      <c r="Z232" s="954"/>
      <c r="AA232" s="954"/>
      <c r="AB232" s="954"/>
      <c r="AC232" s="954"/>
      <c r="AD232" s="954"/>
      <c r="AE232" s="954"/>
      <c r="AF232" s="955"/>
      <c r="AG232" s="955"/>
      <c r="AH232" s="955"/>
      <c r="AI232" s="955"/>
      <c r="AJ232" s="955"/>
      <c r="AK232" s="955"/>
      <c r="AL232" s="955"/>
      <c r="AM232" s="955"/>
      <c r="AN232" s="955"/>
      <c r="AO232" s="955"/>
      <c r="AP232" s="955"/>
      <c r="AQ232" s="955"/>
      <c r="AR232" s="955"/>
    </row>
    <row r="233" spans="1:44" ht="11.25" customHeight="1">
      <c r="A233" s="77"/>
      <c r="B233" s="70" t="s">
        <v>1453</v>
      </c>
      <c r="C233" s="71"/>
      <c r="D233" s="2586"/>
      <c r="E233" s="2586"/>
      <c r="F233" s="2586"/>
      <c r="G233" s="2586"/>
      <c r="H233" s="2586"/>
      <c r="I233" s="2586"/>
      <c r="J233" s="2586"/>
      <c r="K233" s="2586"/>
      <c r="L233" s="2586"/>
      <c r="M233" s="2586"/>
      <c r="N233" s="2586"/>
      <c r="O233" s="2586"/>
      <c r="P233" s="2586"/>
      <c r="Q233" s="2586"/>
      <c r="R233" s="77"/>
      <c r="S233" s="955"/>
      <c r="T233" s="955"/>
      <c r="U233" s="955"/>
      <c r="V233" s="955"/>
      <c r="W233" s="955"/>
      <c r="X233" s="955"/>
      <c r="Y233" s="955"/>
      <c r="Z233" s="955"/>
      <c r="AA233" s="955"/>
      <c r="AB233" s="955"/>
      <c r="AC233" s="955"/>
      <c r="AD233" s="955"/>
      <c r="AE233" s="955"/>
      <c r="AF233" s="955"/>
      <c r="AG233" s="955"/>
      <c r="AH233" s="955"/>
      <c r="AI233" s="955"/>
      <c r="AJ233" s="955"/>
      <c r="AK233" s="955"/>
      <c r="AL233" s="955"/>
      <c r="AM233" s="955"/>
      <c r="AN233" s="955"/>
      <c r="AO233" s="955"/>
      <c r="AP233" s="955"/>
      <c r="AQ233" s="955"/>
      <c r="AR233" s="955"/>
    </row>
    <row r="234" spans="1:44" ht="12" customHeight="1">
      <c r="A234" s="4387"/>
      <c r="B234" s="4388"/>
      <c r="C234" s="4388"/>
      <c r="D234" s="4388"/>
      <c r="E234" s="4388"/>
      <c r="F234" s="4388"/>
      <c r="G234" s="4388"/>
      <c r="H234" s="4388"/>
      <c r="I234" s="4388"/>
      <c r="J234" s="4388"/>
      <c r="K234" s="4388"/>
      <c r="L234" s="4388"/>
      <c r="M234" s="4388"/>
      <c r="N234" s="4388"/>
      <c r="O234" s="4388"/>
      <c r="P234" s="4388"/>
      <c r="Q234" s="4389"/>
      <c r="R234" s="77"/>
      <c r="S234" s="955"/>
      <c r="T234" s="955"/>
      <c r="U234" s="955"/>
      <c r="V234" s="955"/>
      <c r="W234" s="955"/>
      <c r="X234" s="955"/>
      <c r="Y234" s="955"/>
      <c r="Z234" s="955"/>
      <c r="AA234" s="955"/>
      <c r="AB234" s="955"/>
      <c r="AC234" s="955"/>
      <c r="AD234" s="955"/>
      <c r="AE234" s="955"/>
      <c r="AF234" s="955"/>
      <c r="AG234" s="955"/>
      <c r="AH234" s="955"/>
      <c r="AI234" s="955"/>
      <c r="AJ234" s="955"/>
      <c r="AK234" s="955"/>
      <c r="AL234" s="955"/>
      <c r="AM234" s="955"/>
      <c r="AN234" s="955"/>
      <c r="AO234" s="955"/>
      <c r="AP234" s="955"/>
      <c r="AQ234" s="955"/>
      <c r="AR234" s="955"/>
    </row>
    <row r="235" spans="1:44" ht="3" customHeight="1">
      <c r="A235" s="501"/>
      <c r="B235" s="2596"/>
      <c r="C235" s="2586"/>
      <c r="D235" s="2586"/>
      <c r="E235" s="2586"/>
      <c r="F235" s="2586"/>
      <c r="G235" s="2586"/>
      <c r="H235" s="2586"/>
      <c r="I235" s="2586"/>
      <c r="J235" s="2586"/>
      <c r="K235" s="2586"/>
      <c r="L235" s="2586"/>
      <c r="M235" s="2586"/>
      <c r="N235" s="77"/>
      <c r="O235" s="77"/>
      <c r="P235" s="77"/>
      <c r="Q235" s="501"/>
      <c r="R235" s="77"/>
      <c r="S235" s="955"/>
      <c r="T235" s="955"/>
      <c r="U235" s="955"/>
      <c r="V235" s="955"/>
      <c r="W235" s="955"/>
      <c r="X235" s="955"/>
      <c r="Y235" s="955"/>
      <c r="Z235" s="955"/>
      <c r="AA235" s="955"/>
      <c r="AB235" s="955"/>
      <c r="AC235" s="955"/>
      <c r="AD235" s="955"/>
      <c r="AE235" s="955"/>
      <c r="AF235" s="955"/>
      <c r="AG235" s="955"/>
      <c r="AH235" s="955"/>
      <c r="AI235" s="955"/>
      <c r="AJ235" s="955"/>
      <c r="AK235" s="955"/>
      <c r="AL235" s="955"/>
      <c r="AM235" s="955"/>
      <c r="AN235" s="955"/>
      <c r="AO235" s="955"/>
      <c r="AP235" s="955"/>
      <c r="AQ235" s="955"/>
      <c r="AR235" s="955"/>
    </row>
    <row r="236" spans="1:44" ht="14.1" customHeight="1">
      <c r="A236" s="2521" t="s">
        <v>1520</v>
      </c>
      <c r="B236" s="3" t="s">
        <v>1517</v>
      </c>
      <c r="C236" s="3"/>
      <c r="D236" s="38"/>
      <c r="E236" s="38"/>
      <c r="F236" s="38"/>
      <c r="G236" s="38"/>
      <c r="H236" s="2586"/>
      <c r="I236" s="2586"/>
      <c r="J236" s="2586"/>
      <c r="K236" s="2586"/>
      <c r="L236" s="492"/>
      <c r="M236" s="867"/>
      <c r="N236" s="77"/>
      <c r="O236" s="66" t="s">
        <v>1451</v>
      </c>
      <c r="P236" s="4382"/>
      <c r="Q236" s="4383"/>
      <c r="R236" s="77"/>
      <c r="S236" s="955"/>
      <c r="T236" s="955"/>
      <c r="U236" s="955"/>
      <c r="V236" s="955"/>
      <c r="W236" s="955"/>
      <c r="X236" s="955"/>
      <c r="Y236" s="955"/>
      <c r="Z236" s="955"/>
      <c r="AA236" s="955"/>
      <c r="AB236" s="955"/>
      <c r="AC236" s="955"/>
      <c r="AD236" s="955"/>
      <c r="AE236" s="955"/>
      <c r="AF236" s="955"/>
      <c r="AG236" s="955"/>
      <c r="AH236" s="955"/>
      <c r="AI236" s="955"/>
      <c r="AJ236" s="955"/>
      <c r="AK236" s="955"/>
      <c r="AL236" s="955"/>
      <c r="AM236" s="955"/>
      <c r="AN236" s="955"/>
      <c r="AO236" s="955"/>
      <c r="AP236" s="955"/>
      <c r="AQ236" s="955"/>
      <c r="AR236" s="955"/>
    </row>
    <row r="237" spans="1:44" customFormat="1" ht="12" customHeight="1">
      <c r="B237" s="25" t="s">
        <v>6577</v>
      </c>
      <c r="N237" s="58"/>
      <c r="P237" s="2900"/>
      <c r="Q237" s="2901"/>
      <c r="S237" s="951"/>
      <c r="T237" s="951"/>
      <c r="U237" s="951"/>
      <c r="V237" s="951"/>
      <c r="W237" s="951"/>
      <c r="X237" s="951"/>
      <c r="Y237" s="951"/>
      <c r="Z237" s="951"/>
      <c r="AA237" s="951"/>
      <c r="AB237" s="951"/>
      <c r="AC237" s="951"/>
      <c r="AD237" s="951"/>
      <c r="AE237" s="951"/>
      <c r="AF237" s="951"/>
      <c r="AG237" s="951"/>
      <c r="AH237" s="951"/>
      <c r="AI237" s="951"/>
      <c r="AJ237" s="951"/>
      <c r="AK237" s="951"/>
      <c r="AL237" s="951"/>
      <c r="AM237" s="951"/>
      <c r="AN237" s="951"/>
      <c r="AO237" s="951"/>
      <c r="AP237" s="951"/>
      <c r="AQ237" s="951"/>
      <c r="AR237" s="951"/>
    </row>
    <row r="238" spans="1:44" ht="11.7" customHeight="1">
      <c r="A238" s="22" t="s">
        <v>186</v>
      </c>
      <c r="B238" s="13" t="s">
        <v>1518</v>
      </c>
      <c r="C238" s="77"/>
      <c r="D238" s="43"/>
      <c r="E238" s="13"/>
      <c r="F238" s="13"/>
      <c r="G238" s="77"/>
      <c r="H238" s="77"/>
      <c r="I238" s="77"/>
      <c r="J238" s="28" t="s">
        <v>186</v>
      </c>
      <c r="K238" s="4397" t="s">
        <v>721</v>
      </c>
      <c r="L238" s="4398"/>
      <c r="M238" s="4398"/>
      <c r="N238" s="4398"/>
      <c r="O238" s="4432"/>
      <c r="P238" s="4499" t="s">
        <v>721</v>
      </c>
      <c r="Q238" s="4500"/>
      <c r="R238" s="77"/>
      <c r="S238" s="955"/>
      <c r="T238" s="955"/>
      <c r="U238" s="955"/>
      <c r="V238" s="955"/>
      <c r="W238" s="955"/>
      <c r="X238" s="955"/>
      <c r="Y238" s="955"/>
      <c r="Z238" s="955"/>
      <c r="AA238" s="955"/>
      <c r="AB238" s="955"/>
      <c r="AC238" s="955"/>
      <c r="AD238" s="955"/>
      <c r="AE238" s="955"/>
      <c r="AF238" s="955"/>
      <c r="AG238" s="955"/>
      <c r="AH238" s="955"/>
      <c r="AI238" s="955"/>
      <c r="AJ238" s="955"/>
      <c r="AK238" s="955"/>
      <c r="AL238" s="955"/>
      <c r="AM238" s="955"/>
      <c r="AN238" s="955"/>
      <c r="AO238" s="955"/>
      <c r="AP238" s="955"/>
      <c r="AQ238" s="955"/>
      <c r="AR238" s="955"/>
    </row>
    <row r="239" spans="1:44" customFormat="1" ht="34.5" customHeight="1">
      <c r="B239" s="4379" t="s">
        <v>6578</v>
      </c>
      <c r="C239" s="4379"/>
      <c r="D239" s="4379"/>
      <c r="E239" s="4379"/>
      <c r="F239" s="4379"/>
      <c r="G239" s="4379"/>
      <c r="H239" s="4379"/>
      <c r="I239" s="4379"/>
      <c r="J239" s="4379"/>
      <c r="K239" s="4379"/>
      <c r="L239" s="4379"/>
      <c r="M239" s="4379"/>
      <c r="N239" s="4379"/>
      <c r="O239" s="4461"/>
      <c r="P239" s="2919"/>
      <c r="Q239" s="2920"/>
      <c r="S239" s="951"/>
      <c r="T239" s="951"/>
      <c r="U239" s="951"/>
      <c r="V239" s="951"/>
      <c r="W239" s="951"/>
      <c r="X239" s="951"/>
      <c r="Y239" s="951"/>
      <c r="Z239" s="951"/>
      <c r="AA239" s="951"/>
      <c r="AB239" s="951"/>
      <c r="AC239" s="951"/>
      <c r="AD239" s="951"/>
      <c r="AE239" s="951"/>
      <c r="AF239" s="951"/>
      <c r="AG239" s="951"/>
      <c r="AH239" s="951"/>
      <c r="AI239" s="951"/>
      <c r="AJ239" s="951"/>
      <c r="AK239" s="951"/>
      <c r="AL239" s="951"/>
      <c r="AM239" s="951"/>
      <c r="AN239" s="951"/>
      <c r="AO239" s="951"/>
      <c r="AP239" s="951"/>
      <c r="AQ239" s="951"/>
      <c r="AR239" s="951"/>
    </row>
    <row r="240" spans="1:44" ht="12" customHeight="1">
      <c r="A240" s="22" t="s">
        <v>198</v>
      </c>
      <c r="B240" s="13" t="s">
        <v>6579</v>
      </c>
      <c r="C240" s="77"/>
      <c r="D240" s="13"/>
      <c r="E240" s="13"/>
      <c r="F240" s="13"/>
      <c r="G240" s="77"/>
      <c r="H240" s="77"/>
      <c r="I240" s="77"/>
      <c r="J240" s="28" t="s">
        <v>198</v>
      </c>
      <c r="K240" s="4458"/>
      <c r="L240" s="4459"/>
      <c r="M240" s="4459"/>
      <c r="N240" s="4459"/>
      <c r="O240" s="4460"/>
      <c r="P240" s="4454"/>
      <c r="Q240" s="4455"/>
      <c r="R240" s="77"/>
      <c r="S240" s="955"/>
      <c r="T240" s="955"/>
      <c r="U240" s="955"/>
      <c r="V240" s="955"/>
      <c r="W240" s="955"/>
      <c r="X240" s="955"/>
      <c r="Y240" s="955"/>
      <c r="Z240" s="955"/>
      <c r="AA240" s="955"/>
      <c r="AB240" s="955"/>
      <c r="AC240" s="955"/>
      <c r="AD240" s="955"/>
      <c r="AE240" s="955"/>
      <c r="AF240" s="955"/>
      <c r="AG240" s="955"/>
      <c r="AH240" s="955"/>
      <c r="AI240" s="955"/>
      <c r="AJ240" s="955"/>
      <c r="AK240" s="955"/>
      <c r="AL240" s="955"/>
      <c r="AM240" s="955"/>
      <c r="AN240" s="955"/>
      <c r="AO240" s="955"/>
      <c r="AP240" s="955"/>
      <c r="AQ240" s="955"/>
      <c r="AR240" s="955"/>
    </row>
    <row r="241" spans="1:44" s="77" customFormat="1" ht="12" customHeight="1">
      <c r="A241" s="22"/>
      <c r="B241" s="2586" t="s">
        <v>1511</v>
      </c>
      <c r="C241" s="13" t="s">
        <v>1519</v>
      </c>
      <c r="D241" s="13"/>
      <c r="E241" s="13"/>
      <c r="F241" s="13"/>
      <c r="J241" s="28" t="s">
        <v>1511</v>
      </c>
      <c r="K241" s="4425"/>
      <c r="L241" s="4426"/>
      <c r="M241" s="4426"/>
      <c r="N241" s="4426"/>
      <c r="O241" s="4427"/>
      <c r="P241" s="4456"/>
      <c r="Q241" s="4457"/>
      <c r="S241" s="955"/>
      <c r="T241" s="955"/>
      <c r="U241" s="955"/>
      <c r="V241" s="955"/>
      <c r="W241" s="955"/>
      <c r="X241" s="955"/>
      <c r="Y241" s="955"/>
      <c r="Z241" s="955"/>
      <c r="AA241" s="955"/>
      <c r="AB241" s="955"/>
      <c r="AC241" s="955"/>
      <c r="AD241" s="955"/>
      <c r="AE241" s="955"/>
      <c r="AF241" s="955"/>
      <c r="AG241" s="955"/>
      <c r="AH241" s="955"/>
      <c r="AI241" s="955"/>
      <c r="AJ241" s="955"/>
      <c r="AK241" s="955"/>
      <c r="AL241" s="955"/>
      <c r="AM241" s="955"/>
      <c r="AN241" s="955"/>
      <c r="AO241" s="955"/>
      <c r="AP241" s="955"/>
      <c r="AQ241" s="955"/>
      <c r="AR241" s="955"/>
    </row>
    <row r="242" spans="1:44" s="77" customFormat="1" ht="12" customHeight="1">
      <c r="A242" s="22"/>
      <c r="B242" s="2586" t="s">
        <v>1513</v>
      </c>
      <c r="C242" s="13" t="s">
        <v>6580</v>
      </c>
      <c r="D242" s="13"/>
      <c r="E242" s="13"/>
      <c r="F242" s="13"/>
      <c r="G242" s="13"/>
      <c r="H242" s="13"/>
      <c r="I242" s="43"/>
      <c r="J242" s="43"/>
      <c r="M242" s="13"/>
      <c r="N242" s="587"/>
      <c r="O242" s="28" t="s">
        <v>1513</v>
      </c>
      <c r="P242" s="584"/>
      <c r="Q242" s="2604"/>
      <c r="S242" s="955"/>
      <c r="T242" s="955"/>
      <c r="U242" s="955"/>
      <c r="V242" s="955"/>
      <c r="W242" s="955"/>
      <c r="X242" s="955"/>
      <c r="Y242" s="955"/>
      <c r="Z242" s="955"/>
      <c r="AA242" s="955"/>
      <c r="AB242" s="955"/>
      <c r="AC242" s="955"/>
      <c r="AD242" s="955"/>
      <c r="AE242" s="955"/>
      <c r="AF242" s="955"/>
      <c r="AG242" s="955"/>
      <c r="AH242" s="955"/>
      <c r="AI242" s="955"/>
      <c r="AJ242" s="955"/>
      <c r="AK242" s="955"/>
      <c r="AL242" s="955"/>
      <c r="AM242" s="955"/>
      <c r="AN242" s="955"/>
      <c r="AO242" s="955"/>
      <c r="AP242" s="955"/>
      <c r="AQ242" s="955"/>
      <c r="AR242" s="955"/>
    </row>
    <row r="243" spans="1:44" s="77" customFormat="1" ht="34.5" customHeight="1">
      <c r="A243" s="22"/>
      <c r="B243" s="2586" t="s">
        <v>1514</v>
      </c>
      <c r="C243" s="4379" t="s">
        <v>6581</v>
      </c>
      <c r="D243" s="4379"/>
      <c r="E243" s="4379"/>
      <c r="F243" s="4379"/>
      <c r="G243" s="4379"/>
      <c r="H243" s="4379"/>
      <c r="I243" s="4379"/>
      <c r="J243" s="4379"/>
      <c r="K243" s="4379"/>
      <c r="L243" s="4379"/>
      <c r="M243" s="4379"/>
      <c r="N243" s="4379"/>
      <c r="O243" s="84" t="s">
        <v>1514</v>
      </c>
      <c r="P243" s="2600"/>
      <c r="Q243" s="2598"/>
      <c r="S243" s="955"/>
      <c r="T243" s="955"/>
      <c r="U243" s="955"/>
      <c r="V243" s="955"/>
      <c r="W243" s="955"/>
      <c r="X243" s="955"/>
      <c r="Y243" s="955"/>
      <c r="Z243" s="955"/>
      <c r="AA243" s="955"/>
      <c r="AB243" s="955"/>
      <c r="AC243" s="955"/>
      <c r="AD243" s="955"/>
      <c r="AE243" s="955"/>
      <c r="AF243" s="955"/>
      <c r="AG243" s="955"/>
      <c r="AH243" s="955"/>
      <c r="AI243" s="955"/>
      <c r="AJ243" s="955"/>
      <c r="AK243" s="955"/>
      <c r="AL243" s="955"/>
      <c r="AM243" s="955"/>
      <c r="AN243" s="955"/>
      <c r="AO243" s="955"/>
      <c r="AP243" s="955"/>
      <c r="AQ243" s="955"/>
      <c r="AR243" s="955"/>
    </row>
    <row r="244" spans="1:44" s="77" customFormat="1" ht="24" customHeight="1">
      <c r="A244" s="22"/>
      <c r="B244" s="2586" t="s">
        <v>1515</v>
      </c>
      <c r="C244" s="4379" t="s">
        <v>6582</v>
      </c>
      <c r="D244" s="4379"/>
      <c r="E244" s="4379"/>
      <c r="F244" s="4379"/>
      <c r="G244" s="4379"/>
      <c r="H244" s="4379"/>
      <c r="I244" s="4379"/>
      <c r="J244" s="4379"/>
      <c r="K244" s="4379"/>
      <c r="L244" s="4379"/>
      <c r="M244" s="4379"/>
      <c r="N244" s="4379"/>
      <c r="O244" s="84" t="s">
        <v>1515</v>
      </c>
      <c r="P244" s="2595"/>
      <c r="Q244" s="2593"/>
      <c r="S244" s="955"/>
      <c r="T244" s="955"/>
      <c r="U244" s="955"/>
      <c r="V244" s="955"/>
      <c r="W244" s="955"/>
      <c r="X244" s="955"/>
      <c r="Y244" s="955"/>
      <c r="Z244" s="955"/>
      <c r="AA244" s="955"/>
      <c r="AB244" s="955"/>
      <c r="AC244" s="955"/>
      <c r="AD244" s="955"/>
      <c r="AE244" s="955"/>
      <c r="AF244" s="955"/>
      <c r="AG244" s="955"/>
      <c r="AH244" s="955"/>
      <c r="AI244" s="955"/>
      <c r="AJ244" s="955"/>
      <c r="AK244" s="955"/>
      <c r="AL244" s="955"/>
      <c r="AM244" s="955"/>
      <c r="AN244" s="955"/>
      <c r="AO244" s="955"/>
      <c r="AP244" s="955"/>
      <c r="AQ244" s="955"/>
      <c r="AR244" s="955"/>
    </row>
    <row r="245" spans="1:44" s="77" customFormat="1" ht="12" customHeight="1">
      <c r="A245" s="22" t="s">
        <v>219</v>
      </c>
      <c r="B245" s="13" t="s">
        <v>6583</v>
      </c>
      <c r="D245" s="13"/>
      <c r="E245" s="13"/>
      <c r="F245" s="13"/>
      <c r="G245" s="13"/>
      <c r="H245" s="13"/>
      <c r="I245" s="43"/>
      <c r="J245" s="43"/>
      <c r="K245" s="43"/>
      <c r="M245" s="13"/>
      <c r="N245" s="587"/>
      <c r="P245" s="2898"/>
      <c r="Q245" s="2899"/>
      <c r="S245" s="955"/>
      <c r="T245" s="955"/>
      <c r="U245" s="955"/>
      <c r="V245" s="955"/>
      <c r="W245" s="955"/>
      <c r="X245" s="955"/>
      <c r="Y245" s="955"/>
      <c r="Z245" s="955"/>
      <c r="AA245" s="955"/>
      <c r="AB245" s="955"/>
      <c r="AC245" s="955"/>
      <c r="AD245" s="955"/>
      <c r="AE245" s="955"/>
      <c r="AF245" s="955"/>
      <c r="AG245" s="955"/>
      <c r="AH245" s="955"/>
      <c r="AI245" s="955"/>
      <c r="AJ245" s="955"/>
      <c r="AK245" s="955"/>
      <c r="AL245" s="955"/>
      <c r="AM245" s="955"/>
      <c r="AN245" s="955"/>
      <c r="AO245" s="955"/>
      <c r="AP245" s="955"/>
      <c r="AQ245" s="955"/>
      <c r="AR245" s="955"/>
    </row>
    <row r="246" spans="1:44" s="77" customFormat="1" ht="12" customHeight="1">
      <c r="A246" s="22"/>
      <c r="B246" s="4404" t="s">
        <v>6584</v>
      </c>
      <c r="C246" s="4404"/>
      <c r="D246" s="4404"/>
      <c r="E246" s="25" t="s">
        <v>6585</v>
      </c>
      <c r="F246" s="329"/>
      <c r="G246" s="329"/>
      <c r="K246" s="43"/>
      <c r="M246" s="13"/>
      <c r="N246" s="587"/>
      <c r="O246" s="28" t="s">
        <v>1511</v>
      </c>
      <c r="P246" s="202"/>
      <c r="Q246" s="299"/>
      <c r="S246" s="955"/>
      <c r="T246" s="955"/>
      <c r="U246" s="955"/>
      <c r="V246" s="955"/>
      <c r="W246" s="955"/>
      <c r="X246" s="955"/>
      <c r="Y246" s="955"/>
      <c r="Z246" s="955"/>
      <c r="AA246" s="955"/>
      <c r="AB246" s="955"/>
      <c r="AC246" s="955"/>
      <c r="AD246" s="955"/>
      <c r="AE246" s="955"/>
      <c r="AF246" s="955"/>
      <c r="AG246" s="955"/>
      <c r="AH246" s="955"/>
      <c r="AI246" s="955"/>
      <c r="AJ246" s="955"/>
      <c r="AK246" s="955"/>
      <c r="AL246" s="955"/>
      <c r="AM246" s="955"/>
      <c r="AN246" s="955"/>
      <c r="AO246" s="955"/>
      <c r="AP246" s="955"/>
      <c r="AQ246" s="955"/>
      <c r="AR246" s="955"/>
    </row>
    <row r="247" spans="1:44" s="77" customFormat="1" ht="12" customHeight="1">
      <c r="A247" s="22"/>
      <c r="B247" s="4404"/>
      <c r="C247" s="4404"/>
      <c r="D247" s="4404"/>
      <c r="E247" s="25" t="s">
        <v>6586</v>
      </c>
      <c r="F247" s="329"/>
      <c r="G247" s="329"/>
      <c r="K247" s="43"/>
      <c r="M247" s="13"/>
      <c r="N247" s="587"/>
      <c r="O247" s="28" t="s">
        <v>1513</v>
      </c>
      <c r="P247" s="202"/>
      <c r="Q247" s="299"/>
      <c r="S247" s="955"/>
      <c r="T247" s="955"/>
      <c r="U247" s="955"/>
      <c r="V247" s="955"/>
      <c r="W247" s="955"/>
      <c r="X247" s="955"/>
      <c r="Y247" s="955"/>
      <c r="Z247" s="955"/>
      <c r="AA247" s="955"/>
      <c r="AB247" s="955"/>
      <c r="AC247" s="955"/>
      <c r="AD247" s="955"/>
      <c r="AE247" s="955"/>
      <c r="AF247" s="955"/>
      <c r="AG247" s="955"/>
      <c r="AH247" s="955"/>
      <c r="AI247" s="955"/>
      <c r="AJ247" s="955"/>
      <c r="AK247" s="955"/>
      <c r="AL247" s="955"/>
      <c r="AM247" s="955"/>
      <c r="AN247" s="955"/>
      <c r="AO247" s="955"/>
      <c r="AP247" s="955"/>
      <c r="AQ247" s="955"/>
      <c r="AR247" s="955"/>
    </row>
    <row r="248" spans="1:44" s="77" customFormat="1" ht="12" customHeight="1">
      <c r="A248" s="22"/>
      <c r="B248" s="4404"/>
      <c r="C248" s="4404"/>
      <c r="D248" s="4404"/>
      <c r="E248" s="25" t="s">
        <v>6587</v>
      </c>
      <c r="F248" s="13"/>
      <c r="G248" s="13"/>
      <c r="K248" s="43"/>
      <c r="M248" s="13"/>
      <c r="N248" s="587"/>
      <c r="O248" s="28" t="s">
        <v>1514</v>
      </c>
      <c r="P248" s="202"/>
      <c r="Q248" s="299"/>
      <c r="S248" s="955"/>
      <c r="T248" s="955"/>
      <c r="U248" s="955"/>
      <c r="V248" s="955"/>
      <c r="W248" s="955"/>
      <c r="X248" s="955"/>
      <c r="Y248" s="955"/>
      <c r="Z248" s="955"/>
      <c r="AA248" s="955"/>
      <c r="AB248" s="955"/>
      <c r="AC248" s="955"/>
      <c r="AD248" s="955"/>
      <c r="AE248" s="955"/>
      <c r="AF248" s="955"/>
      <c r="AG248" s="955"/>
      <c r="AH248" s="955"/>
      <c r="AI248" s="955"/>
      <c r="AJ248" s="955"/>
      <c r="AK248" s="955"/>
      <c r="AL248" s="955"/>
      <c r="AM248" s="955"/>
      <c r="AN248" s="955"/>
      <c r="AO248" s="955"/>
      <c r="AP248" s="955"/>
      <c r="AQ248" s="955"/>
      <c r="AR248" s="955"/>
    </row>
    <row r="249" spans="1:44" s="77" customFormat="1" ht="12" customHeight="1">
      <c r="A249" s="22"/>
      <c r="B249" s="4404"/>
      <c r="C249" s="4404"/>
      <c r="D249" s="4404"/>
      <c r="E249" s="25" t="s">
        <v>6588</v>
      </c>
      <c r="F249" s="13"/>
      <c r="G249" s="13"/>
      <c r="K249" s="43"/>
      <c r="M249" s="13"/>
      <c r="N249" s="587"/>
      <c r="O249" s="28" t="s">
        <v>1515</v>
      </c>
      <c r="P249" s="202"/>
      <c r="Q249" s="299"/>
      <c r="S249" s="955"/>
      <c r="T249" s="955"/>
      <c r="U249" s="955"/>
      <c r="V249" s="955"/>
      <c r="W249" s="955"/>
      <c r="X249" s="955"/>
      <c r="Y249" s="955"/>
      <c r="Z249" s="955"/>
      <c r="AA249" s="955"/>
      <c r="AB249" s="955"/>
      <c r="AC249" s="955"/>
      <c r="AD249" s="955"/>
      <c r="AE249" s="955"/>
      <c r="AF249" s="955"/>
      <c r="AG249" s="955"/>
      <c r="AH249" s="955"/>
      <c r="AI249" s="955"/>
      <c r="AJ249" s="955"/>
      <c r="AK249" s="955"/>
      <c r="AL249" s="955"/>
      <c r="AM249" s="955"/>
      <c r="AN249" s="955"/>
      <c r="AO249" s="955"/>
      <c r="AP249" s="955"/>
      <c r="AQ249" s="955"/>
      <c r="AR249" s="955"/>
    </row>
    <row r="250" spans="1:44" s="77" customFormat="1" ht="23.25" customHeight="1">
      <c r="D250" s="946"/>
      <c r="E250" s="4379" t="s">
        <v>6589</v>
      </c>
      <c r="F250" s="4379"/>
      <c r="G250" s="4379"/>
      <c r="H250" s="4379"/>
      <c r="I250" s="4379"/>
      <c r="J250" s="4379"/>
      <c r="K250" s="4379"/>
      <c r="L250" s="4379"/>
      <c r="M250" s="4379"/>
      <c r="N250" s="4379"/>
      <c r="O250" s="84" t="s">
        <v>4562</v>
      </c>
      <c r="P250" s="2595"/>
      <c r="Q250" s="2593"/>
      <c r="S250" s="955"/>
      <c r="T250" s="955"/>
      <c r="U250" s="955"/>
      <c r="V250" s="955"/>
      <c r="W250" s="955"/>
      <c r="X250" s="955"/>
      <c r="Y250" s="955"/>
      <c r="Z250" s="955"/>
      <c r="AA250" s="955"/>
      <c r="AB250" s="955"/>
      <c r="AC250" s="955"/>
      <c r="AD250" s="955"/>
      <c r="AE250" s="955"/>
      <c r="AF250" s="955"/>
      <c r="AG250" s="955"/>
      <c r="AH250" s="955"/>
      <c r="AI250" s="955"/>
      <c r="AJ250" s="955"/>
      <c r="AK250" s="955"/>
      <c r="AL250" s="955"/>
      <c r="AM250" s="955"/>
      <c r="AN250" s="955"/>
      <c r="AO250" s="955"/>
      <c r="AP250" s="955"/>
      <c r="AQ250" s="955"/>
      <c r="AR250" s="955"/>
    </row>
    <row r="251" spans="1:44" ht="12" customHeight="1">
      <c r="A251" s="77"/>
      <c r="B251" s="74" t="s">
        <v>1457</v>
      </c>
      <c r="C251" s="77"/>
      <c r="D251" s="74"/>
      <c r="E251" s="74"/>
      <c r="F251" s="74"/>
      <c r="G251" s="74"/>
      <c r="H251" s="16"/>
      <c r="I251" s="2596"/>
      <c r="J251" s="2596"/>
      <c r="K251" s="2596"/>
      <c r="L251" s="501"/>
      <c r="M251" s="501"/>
      <c r="N251" s="501"/>
      <c r="O251" s="501"/>
      <c r="P251" s="501"/>
      <c r="Q251" s="501"/>
      <c r="R251" s="77"/>
      <c r="S251" s="955"/>
      <c r="T251" s="955"/>
      <c r="U251" s="955"/>
      <c r="V251" s="955"/>
      <c r="W251" s="955"/>
      <c r="X251" s="955"/>
      <c r="Y251" s="955"/>
      <c r="Z251" s="955"/>
      <c r="AA251" s="955"/>
      <c r="AB251" s="955"/>
      <c r="AC251" s="955"/>
      <c r="AD251" s="955"/>
      <c r="AE251" s="955"/>
      <c r="AF251" s="955"/>
      <c r="AG251" s="955"/>
      <c r="AH251" s="955"/>
      <c r="AI251" s="955"/>
      <c r="AJ251" s="955"/>
      <c r="AK251" s="955"/>
      <c r="AL251" s="955"/>
      <c r="AM251" s="955"/>
      <c r="AN251" s="955"/>
      <c r="AO251" s="955"/>
      <c r="AP251" s="955"/>
      <c r="AQ251" s="955"/>
      <c r="AR251" s="955"/>
    </row>
    <row r="252" spans="1:44" ht="12" customHeight="1">
      <c r="A252" s="4390"/>
      <c r="B252" s="4391"/>
      <c r="C252" s="4391"/>
      <c r="D252" s="4391"/>
      <c r="E252" s="4391"/>
      <c r="F252" s="4391"/>
      <c r="G252" s="4391"/>
      <c r="H252" s="4391"/>
      <c r="I252" s="4391"/>
      <c r="J252" s="4391"/>
      <c r="K252" s="4391"/>
      <c r="L252" s="4391"/>
      <c r="M252" s="4391"/>
      <c r="N252" s="4391"/>
      <c r="O252" s="4391"/>
      <c r="P252" s="4391"/>
      <c r="Q252" s="4392"/>
      <c r="R252" s="248" t="s">
        <v>6410</v>
      </c>
      <c r="S252" s="953"/>
      <c r="T252" s="955"/>
      <c r="U252" s="954"/>
      <c r="V252" s="954"/>
      <c r="W252" s="954"/>
      <c r="X252" s="954"/>
      <c r="Y252" s="954"/>
      <c r="Z252" s="954"/>
      <c r="AA252" s="954"/>
      <c r="AB252" s="954"/>
      <c r="AC252" s="954"/>
      <c r="AD252" s="954"/>
      <c r="AE252" s="954"/>
      <c r="AF252" s="955"/>
      <c r="AG252" s="955"/>
      <c r="AH252" s="955"/>
      <c r="AI252" s="955"/>
      <c r="AJ252" s="955"/>
      <c r="AK252" s="955"/>
      <c r="AL252" s="955"/>
      <c r="AM252" s="955"/>
      <c r="AN252" s="955"/>
      <c r="AO252" s="955"/>
      <c r="AP252" s="955"/>
      <c r="AQ252" s="955"/>
      <c r="AR252" s="955"/>
    </row>
    <row r="253" spans="1:44" ht="12" customHeight="1">
      <c r="A253" s="77"/>
      <c r="B253" s="70" t="s">
        <v>1453</v>
      </c>
      <c r="C253" s="71"/>
      <c r="D253" s="2586"/>
      <c r="E253" s="2586"/>
      <c r="F253" s="2586"/>
      <c r="G253" s="2586"/>
      <c r="H253" s="2586"/>
      <c r="I253" s="2586"/>
      <c r="J253" s="2586"/>
      <c r="K253" s="2586"/>
      <c r="L253" s="2586"/>
      <c r="M253" s="2586"/>
      <c r="N253" s="2586"/>
      <c r="O253" s="2586"/>
      <c r="P253" s="2586"/>
      <c r="Q253" s="2586"/>
      <c r="R253" s="77"/>
      <c r="S253" s="955"/>
      <c r="T253" s="955"/>
      <c r="U253" s="955"/>
      <c r="V253" s="955"/>
      <c r="W253" s="955"/>
      <c r="X253" s="955"/>
      <c r="Y253" s="955"/>
      <c r="Z253" s="955"/>
      <c r="AA253" s="955"/>
      <c r="AB253" s="955"/>
      <c r="AC253" s="955"/>
      <c r="AD253" s="955"/>
      <c r="AE253" s="955"/>
      <c r="AF253" s="955"/>
      <c r="AG253" s="955"/>
      <c r="AH253" s="955"/>
      <c r="AI253" s="955"/>
      <c r="AJ253" s="955"/>
      <c r="AK253" s="955"/>
      <c r="AL253" s="955"/>
      <c r="AM253" s="955"/>
      <c r="AN253" s="955"/>
      <c r="AO253" s="955"/>
      <c r="AP253" s="955"/>
      <c r="AQ253" s="955"/>
      <c r="AR253" s="955"/>
    </row>
    <row r="254" spans="1:44" ht="12" customHeight="1">
      <c r="A254" s="4387"/>
      <c r="B254" s="4388"/>
      <c r="C254" s="4388"/>
      <c r="D254" s="4388"/>
      <c r="E254" s="4388"/>
      <c r="F254" s="4388"/>
      <c r="G254" s="4388"/>
      <c r="H254" s="4388"/>
      <c r="I254" s="4388"/>
      <c r="J254" s="4388"/>
      <c r="K254" s="4388"/>
      <c r="L254" s="4388"/>
      <c r="M254" s="4388"/>
      <c r="N254" s="4388"/>
      <c r="O254" s="4388"/>
      <c r="P254" s="4388"/>
      <c r="Q254" s="4389"/>
      <c r="R254" s="77"/>
      <c r="S254" s="955"/>
      <c r="T254" s="955"/>
      <c r="U254" s="955"/>
      <c r="V254" s="955"/>
      <c r="W254" s="955"/>
      <c r="X254" s="955"/>
      <c r="Y254" s="955"/>
      <c r="Z254" s="955"/>
      <c r="AA254" s="955"/>
      <c r="AB254" s="955"/>
      <c r="AC254" s="955"/>
      <c r="AD254" s="955"/>
      <c r="AE254" s="955"/>
      <c r="AF254" s="955"/>
      <c r="AG254" s="955"/>
      <c r="AH254" s="955"/>
      <c r="AI254" s="955"/>
      <c r="AJ254" s="955"/>
      <c r="AK254" s="955"/>
      <c r="AL254" s="955"/>
      <c r="AM254" s="955"/>
      <c r="AN254" s="955"/>
      <c r="AO254" s="955"/>
      <c r="AP254" s="955"/>
      <c r="AQ254" s="955"/>
      <c r="AR254" s="955"/>
    </row>
    <row r="255" spans="1:44" ht="3" customHeight="1">
      <c r="A255" s="501"/>
      <c r="B255" s="2596"/>
      <c r="C255" s="2586"/>
      <c r="D255" s="2586"/>
      <c r="E255" s="2586"/>
      <c r="F255" s="2586"/>
      <c r="G255" s="2586"/>
      <c r="H255" s="2586"/>
      <c r="I255" s="2586"/>
      <c r="J255" s="2586"/>
      <c r="K255" s="2586"/>
      <c r="L255" s="2586"/>
      <c r="M255" s="2586"/>
      <c r="N255" s="77"/>
      <c r="O255" s="77"/>
      <c r="P255" s="77"/>
      <c r="Q255" s="501"/>
      <c r="R255" s="77"/>
      <c r="S255" s="955"/>
      <c r="T255" s="955"/>
      <c r="U255" s="955"/>
      <c r="V255" s="955"/>
      <c r="W255" s="955"/>
      <c r="X255" s="955"/>
      <c r="Y255" s="955"/>
      <c r="Z255" s="955"/>
      <c r="AA255" s="955"/>
      <c r="AB255" s="955"/>
      <c r="AC255" s="955"/>
      <c r="AD255" s="955"/>
      <c r="AE255" s="955"/>
      <c r="AF255" s="955"/>
      <c r="AG255" s="955"/>
      <c r="AH255" s="955"/>
      <c r="AI255" s="955"/>
      <c r="AJ255" s="955"/>
      <c r="AK255" s="955"/>
      <c r="AL255" s="955"/>
      <c r="AM255" s="955"/>
      <c r="AN255" s="955"/>
      <c r="AO255" s="955"/>
      <c r="AP255" s="955"/>
      <c r="AQ255" s="955"/>
      <c r="AR255" s="955"/>
    </row>
    <row r="256" spans="1:44" ht="14.1" customHeight="1">
      <c r="A256" s="2521" t="s">
        <v>1522</v>
      </c>
      <c r="B256" s="3" t="s">
        <v>1521</v>
      </c>
      <c r="C256" s="3"/>
      <c r="D256" s="38"/>
      <c r="E256" s="38"/>
      <c r="F256" s="38"/>
      <c r="G256" s="38"/>
      <c r="H256" s="2586"/>
      <c r="I256" s="2586"/>
      <c r="J256" s="2586"/>
      <c r="K256" s="2586"/>
      <c r="L256" s="2586"/>
      <c r="M256" s="2586"/>
      <c r="N256" s="77"/>
      <c r="O256" s="66" t="s">
        <v>1451</v>
      </c>
      <c r="P256" s="4382"/>
      <c r="Q256" s="4383"/>
      <c r="R256" s="77"/>
      <c r="S256" s="955"/>
      <c r="T256" s="955"/>
      <c r="U256" s="955"/>
      <c r="V256" s="955"/>
      <c r="W256" s="955"/>
      <c r="X256" s="955"/>
      <c r="Y256" s="955"/>
      <c r="Z256" s="955"/>
      <c r="AA256" s="955"/>
      <c r="AB256" s="955"/>
      <c r="AC256" s="955"/>
      <c r="AD256" s="955"/>
      <c r="AE256" s="955"/>
      <c r="AF256" s="955"/>
      <c r="AG256" s="955"/>
      <c r="AH256" s="955"/>
      <c r="AI256" s="955"/>
      <c r="AJ256" s="955"/>
      <c r="AK256" s="955"/>
      <c r="AL256" s="955"/>
      <c r="AM256" s="955"/>
      <c r="AN256" s="955"/>
      <c r="AO256" s="955"/>
      <c r="AP256" s="955"/>
      <c r="AQ256" s="955"/>
      <c r="AR256" s="955"/>
    </row>
    <row r="257" spans="1:44" s="229" customFormat="1" ht="21.75" customHeight="1">
      <c r="A257" s="75" t="s">
        <v>186</v>
      </c>
      <c r="B257" s="2586" t="s">
        <v>1511</v>
      </c>
      <c r="C257" s="4379" t="s">
        <v>6590</v>
      </c>
      <c r="D257" s="4379"/>
      <c r="E257" s="4379"/>
      <c r="F257" s="4379"/>
      <c r="G257" s="4379"/>
      <c r="H257" s="4379"/>
      <c r="I257" s="4379"/>
      <c r="J257" s="4379"/>
      <c r="K257" s="4379"/>
      <c r="L257" s="4379"/>
      <c r="M257" s="4379"/>
      <c r="N257" s="4379"/>
      <c r="O257" s="946" t="s">
        <v>6540</v>
      </c>
      <c r="P257" s="2913"/>
      <c r="Q257" s="2914"/>
      <c r="S257" s="956"/>
      <c r="T257" s="956"/>
      <c r="U257" s="956"/>
      <c r="V257" s="956"/>
      <c r="W257" s="956"/>
      <c r="X257" s="956"/>
      <c r="Y257" s="956"/>
      <c r="Z257" s="956"/>
      <c r="AA257" s="956"/>
      <c r="AB257" s="956"/>
      <c r="AC257" s="956"/>
      <c r="AD257" s="956"/>
      <c r="AE257" s="956"/>
      <c r="AF257" s="956"/>
      <c r="AG257" s="956"/>
      <c r="AH257" s="956"/>
      <c r="AI257" s="956"/>
      <c r="AJ257" s="956"/>
      <c r="AK257" s="956"/>
      <c r="AL257" s="956"/>
      <c r="AM257" s="956"/>
      <c r="AN257" s="956"/>
      <c r="AO257" s="956"/>
      <c r="AP257" s="956"/>
      <c r="AQ257" s="956"/>
      <c r="AR257" s="956"/>
    </row>
    <row r="258" spans="1:44" s="77" customFormat="1" ht="11.7" customHeight="1">
      <c r="A258" s="22"/>
      <c r="B258" s="2586" t="s">
        <v>1513</v>
      </c>
      <c r="C258" s="13" t="s">
        <v>6591</v>
      </c>
      <c r="D258" s="13"/>
      <c r="E258" s="13"/>
      <c r="F258" s="13"/>
      <c r="G258" s="13"/>
      <c r="H258" s="13"/>
      <c r="I258" s="13"/>
      <c r="J258" s="13"/>
      <c r="K258" s="13"/>
      <c r="L258" s="13"/>
      <c r="M258" s="13"/>
      <c r="O258" s="946" t="s">
        <v>1513</v>
      </c>
      <c r="P258" s="118"/>
      <c r="Q258" s="300"/>
      <c r="S258" s="955"/>
      <c r="T258" s="955"/>
      <c r="U258" s="955"/>
      <c r="V258" s="955"/>
      <c r="W258" s="955"/>
      <c r="X258" s="955"/>
      <c r="Y258" s="955"/>
      <c r="Z258" s="955"/>
      <c r="AA258" s="955"/>
      <c r="AB258" s="955"/>
      <c r="AC258" s="955"/>
      <c r="AD258" s="955"/>
      <c r="AE258" s="955"/>
      <c r="AF258" s="955"/>
      <c r="AG258" s="955"/>
      <c r="AH258" s="955"/>
      <c r="AI258" s="955"/>
      <c r="AJ258" s="955"/>
      <c r="AK258" s="955"/>
      <c r="AL258" s="955"/>
      <c r="AM258" s="955"/>
      <c r="AN258" s="955"/>
      <c r="AO258" s="955"/>
      <c r="AP258" s="955"/>
      <c r="AQ258" s="955"/>
      <c r="AR258" s="955"/>
    </row>
    <row r="259" spans="1:44" s="77" customFormat="1" ht="11.7" customHeight="1">
      <c r="A259" s="22" t="s">
        <v>198</v>
      </c>
      <c r="B259" s="13" t="s">
        <v>6592</v>
      </c>
      <c r="D259" s="13"/>
      <c r="E259" s="13"/>
      <c r="F259" s="13"/>
      <c r="G259" s="13"/>
      <c r="H259" s="13"/>
      <c r="I259" s="13"/>
      <c r="J259" s="13"/>
      <c r="K259" s="13"/>
      <c r="L259" s="13"/>
      <c r="M259" s="13"/>
      <c r="O259" s="28" t="s">
        <v>198</v>
      </c>
      <c r="P259" s="118"/>
      <c r="Q259" s="300"/>
      <c r="S259" s="955"/>
      <c r="T259" s="955"/>
      <c r="U259" s="955"/>
      <c r="V259" s="955"/>
      <c r="W259" s="955"/>
      <c r="X259" s="955"/>
      <c r="Y259" s="955"/>
      <c r="Z259" s="955"/>
      <c r="AA259" s="955"/>
      <c r="AB259" s="955"/>
      <c r="AC259" s="955"/>
      <c r="AD259" s="955"/>
      <c r="AE259" s="955"/>
      <c r="AF259" s="955"/>
      <c r="AG259" s="955"/>
      <c r="AH259" s="955"/>
      <c r="AI259" s="955"/>
      <c r="AJ259" s="955"/>
      <c r="AK259" s="955"/>
      <c r="AL259" s="955"/>
      <c r="AM259" s="955"/>
      <c r="AN259" s="955"/>
      <c r="AO259" s="955"/>
      <c r="AP259" s="955"/>
      <c r="AQ259" s="955"/>
      <c r="AR259" s="955"/>
    </row>
    <row r="260" spans="1:44" s="229" customFormat="1" ht="23.25" customHeight="1">
      <c r="A260" s="75" t="s">
        <v>219</v>
      </c>
      <c r="B260" s="2586" t="s">
        <v>1511</v>
      </c>
      <c r="C260" s="4379" t="s">
        <v>6593</v>
      </c>
      <c r="D260" s="4379"/>
      <c r="E260" s="4379"/>
      <c r="F260" s="4379"/>
      <c r="G260" s="4379"/>
      <c r="H260" s="4379"/>
      <c r="I260" s="4379"/>
      <c r="J260" s="4379"/>
      <c r="K260" s="4379"/>
      <c r="L260" s="4379"/>
      <c r="M260" s="4379"/>
      <c r="N260" s="4379"/>
      <c r="O260" s="946" t="s">
        <v>6594</v>
      </c>
      <c r="P260" s="2913"/>
      <c r="Q260" s="2914"/>
      <c r="S260" s="956"/>
      <c r="T260" s="956"/>
      <c r="U260" s="956"/>
      <c r="V260" s="956"/>
      <c r="W260" s="956"/>
      <c r="X260" s="956"/>
      <c r="Y260" s="956"/>
      <c r="Z260" s="956"/>
      <c r="AA260" s="956"/>
      <c r="AB260" s="956"/>
      <c r="AC260" s="956"/>
      <c r="AD260" s="956"/>
      <c r="AE260" s="956"/>
      <c r="AF260" s="956"/>
      <c r="AG260" s="956"/>
      <c r="AH260" s="956"/>
      <c r="AI260" s="956"/>
      <c r="AJ260" s="956"/>
      <c r="AK260" s="956"/>
      <c r="AL260" s="956"/>
      <c r="AM260" s="956"/>
      <c r="AN260" s="956"/>
      <c r="AO260" s="956"/>
      <c r="AP260" s="956"/>
      <c r="AQ260" s="956"/>
      <c r="AR260" s="956"/>
    </row>
    <row r="261" spans="1:44" s="77" customFormat="1" ht="11.7" customHeight="1">
      <c r="A261" s="22"/>
      <c r="B261" s="2586" t="s">
        <v>1513</v>
      </c>
      <c r="C261" s="13" t="s">
        <v>6595</v>
      </c>
      <c r="D261" s="13"/>
      <c r="E261" s="13"/>
      <c r="F261" s="13"/>
      <c r="G261" s="13"/>
      <c r="H261" s="13"/>
      <c r="I261" s="13"/>
      <c r="J261" s="13"/>
      <c r="K261" s="13"/>
      <c r="L261" s="13"/>
      <c r="M261" s="13"/>
      <c r="O261" s="946" t="s">
        <v>1513</v>
      </c>
      <c r="P261" s="118"/>
      <c r="Q261" s="300"/>
      <c r="S261" s="955"/>
      <c r="T261" s="955"/>
      <c r="U261" s="955"/>
      <c r="V261" s="955"/>
      <c r="W261" s="955"/>
      <c r="X261" s="955"/>
      <c r="Y261" s="955"/>
      <c r="Z261" s="955"/>
      <c r="AA261" s="955"/>
      <c r="AB261" s="955"/>
      <c r="AC261" s="955"/>
      <c r="AD261" s="955"/>
      <c r="AE261" s="955"/>
      <c r="AF261" s="955"/>
      <c r="AG261" s="955"/>
      <c r="AH261" s="955"/>
      <c r="AI261" s="955"/>
      <c r="AJ261" s="955"/>
      <c r="AK261" s="955"/>
      <c r="AL261" s="955"/>
      <c r="AM261" s="955"/>
      <c r="AN261" s="955"/>
      <c r="AO261" s="955"/>
      <c r="AP261" s="955"/>
      <c r="AQ261" s="955"/>
      <c r="AR261" s="955"/>
    </row>
    <row r="262" spans="1:44" s="77" customFormat="1" ht="22.5" customHeight="1">
      <c r="A262" s="75" t="s">
        <v>221</v>
      </c>
      <c r="B262" s="4379" t="s">
        <v>6596</v>
      </c>
      <c r="C262" s="4379"/>
      <c r="D262" s="4379"/>
      <c r="E262" s="4379"/>
      <c r="F262" s="4379"/>
      <c r="G262" s="4379"/>
      <c r="H262" s="4379"/>
      <c r="I262" s="4379"/>
      <c r="J262" s="4379"/>
      <c r="K262" s="4379"/>
      <c r="L262" s="4379"/>
      <c r="M262" s="4379"/>
      <c r="N262" s="4379"/>
      <c r="O262" s="84" t="s">
        <v>221</v>
      </c>
      <c r="P262" s="2595"/>
      <c r="Q262" s="2593"/>
      <c r="S262" s="955"/>
      <c r="T262" s="955"/>
      <c r="U262" s="955"/>
      <c r="V262" s="955"/>
      <c r="W262" s="955"/>
      <c r="X262" s="955"/>
      <c r="Y262" s="955"/>
      <c r="Z262" s="955"/>
      <c r="AA262" s="955"/>
      <c r="AB262" s="955"/>
      <c r="AC262" s="955"/>
      <c r="AD262" s="955"/>
      <c r="AE262" s="955"/>
      <c r="AF262" s="955"/>
      <c r="AG262" s="955"/>
      <c r="AH262" s="955"/>
      <c r="AI262" s="955"/>
      <c r="AJ262" s="955"/>
      <c r="AK262" s="955"/>
      <c r="AL262" s="955"/>
      <c r="AM262" s="955"/>
      <c r="AN262" s="955"/>
      <c r="AO262" s="955"/>
      <c r="AP262" s="955"/>
      <c r="AQ262" s="955"/>
      <c r="AR262" s="955"/>
    </row>
    <row r="263" spans="1:44" ht="11.25" customHeight="1">
      <c r="A263" s="77"/>
      <c r="B263" s="74" t="s">
        <v>1457</v>
      </c>
      <c r="C263" s="77"/>
      <c r="D263" s="74"/>
      <c r="E263" s="74"/>
      <c r="F263" s="74"/>
      <c r="G263" s="74"/>
      <c r="H263" s="16"/>
      <c r="I263" s="2596"/>
      <c r="J263" s="2596"/>
      <c r="K263" s="2596"/>
      <c r="L263" s="501"/>
      <c r="M263" s="501"/>
      <c r="N263" s="501"/>
      <c r="O263" s="501"/>
      <c r="P263" s="501"/>
      <c r="Q263" s="501"/>
      <c r="R263" s="77"/>
      <c r="S263" s="955"/>
      <c r="T263" s="955"/>
      <c r="U263" s="955"/>
      <c r="V263" s="955"/>
      <c r="W263" s="955"/>
      <c r="X263" s="955"/>
      <c r="Y263" s="955"/>
      <c r="Z263" s="955"/>
      <c r="AA263" s="955"/>
      <c r="AB263" s="955"/>
      <c r="AC263" s="955"/>
      <c r="AD263" s="955"/>
      <c r="AE263" s="955"/>
      <c r="AF263" s="955"/>
      <c r="AG263" s="955"/>
      <c r="AH263" s="955"/>
      <c r="AI263" s="955"/>
      <c r="AJ263" s="955"/>
      <c r="AK263" s="955"/>
      <c r="AL263" s="955"/>
      <c r="AM263" s="955"/>
      <c r="AN263" s="955"/>
      <c r="AO263" s="955"/>
      <c r="AP263" s="955"/>
      <c r="AQ263" s="955"/>
      <c r="AR263" s="955"/>
    </row>
    <row r="264" spans="1:44" ht="13.35" customHeight="1">
      <c r="A264" s="4390"/>
      <c r="B264" s="4391"/>
      <c r="C264" s="4391"/>
      <c r="D264" s="4391"/>
      <c r="E264" s="4391"/>
      <c r="F264" s="4391"/>
      <c r="G264" s="4391"/>
      <c r="H264" s="4391"/>
      <c r="I264" s="4391"/>
      <c r="J264" s="4391"/>
      <c r="K264" s="4391"/>
      <c r="L264" s="4391"/>
      <c r="M264" s="4391"/>
      <c r="N264" s="4391"/>
      <c r="O264" s="4391"/>
      <c r="P264" s="4391"/>
      <c r="Q264" s="4392"/>
      <c r="R264" s="248" t="s">
        <v>6410</v>
      </c>
      <c r="S264" s="953"/>
      <c r="T264" s="955"/>
      <c r="U264" s="954"/>
      <c r="V264" s="954"/>
      <c r="W264" s="954"/>
      <c r="X264" s="954"/>
      <c r="Y264" s="954"/>
      <c r="Z264" s="954"/>
      <c r="AA264" s="954"/>
      <c r="AB264" s="954"/>
      <c r="AC264" s="954"/>
      <c r="AD264" s="954"/>
      <c r="AE264" s="954"/>
      <c r="AF264" s="955"/>
      <c r="AG264" s="955"/>
      <c r="AH264" s="955"/>
      <c r="AI264" s="955"/>
      <c r="AJ264" s="955"/>
      <c r="AK264" s="955"/>
      <c r="AL264" s="955"/>
      <c r="AM264" s="955"/>
      <c r="AN264" s="955"/>
      <c r="AO264" s="955"/>
      <c r="AP264" s="955"/>
      <c r="AQ264" s="955"/>
      <c r="AR264" s="955"/>
    </row>
    <row r="265" spans="1:44" ht="11.25" customHeight="1">
      <c r="A265" s="77"/>
      <c r="B265" s="70" t="s">
        <v>1453</v>
      </c>
      <c r="C265" s="71"/>
      <c r="D265" s="2586"/>
      <c r="E265" s="2586"/>
      <c r="F265" s="2586"/>
      <c r="G265" s="2586"/>
      <c r="H265" s="2586"/>
      <c r="I265" s="2586"/>
      <c r="J265" s="2586"/>
      <c r="K265" s="2586"/>
      <c r="L265" s="2586"/>
      <c r="M265" s="2586"/>
      <c r="N265" s="2586"/>
      <c r="O265" s="2586"/>
      <c r="P265" s="2586"/>
      <c r="Q265" s="2586"/>
      <c r="R265" s="77"/>
      <c r="S265" s="955"/>
      <c r="T265" s="955"/>
      <c r="U265" s="955"/>
      <c r="V265" s="955"/>
      <c r="W265" s="955"/>
      <c r="X265" s="955"/>
      <c r="Y265" s="955"/>
      <c r="Z265" s="955"/>
      <c r="AA265" s="955"/>
      <c r="AB265" s="955"/>
      <c r="AC265" s="955"/>
      <c r="AD265" s="955"/>
      <c r="AE265" s="955"/>
      <c r="AF265" s="955"/>
      <c r="AG265" s="955"/>
      <c r="AH265" s="955"/>
      <c r="AI265" s="955"/>
      <c r="AJ265" s="955"/>
      <c r="AK265" s="955"/>
      <c r="AL265" s="955"/>
      <c r="AM265" s="955"/>
      <c r="AN265" s="955"/>
      <c r="AO265" s="955"/>
      <c r="AP265" s="955"/>
      <c r="AQ265" s="955"/>
      <c r="AR265" s="955"/>
    </row>
    <row r="266" spans="1:44" ht="13.35" customHeight="1">
      <c r="A266" s="4387"/>
      <c r="B266" s="4388"/>
      <c r="C266" s="4388"/>
      <c r="D266" s="4388"/>
      <c r="E266" s="4388"/>
      <c r="F266" s="4388"/>
      <c r="G266" s="4388"/>
      <c r="H266" s="4388"/>
      <c r="I266" s="4388"/>
      <c r="J266" s="4388"/>
      <c r="K266" s="4388"/>
      <c r="L266" s="4388"/>
      <c r="M266" s="4388"/>
      <c r="N266" s="4388"/>
      <c r="O266" s="4388"/>
      <c r="P266" s="4388"/>
      <c r="Q266" s="4389"/>
      <c r="R266" s="77"/>
      <c r="S266" s="955"/>
      <c r="T266" s="955"/>
      <c r="U266" s="955"/>
      <c r="V266" s="955"/>
      <c r="W266" s="955"/>
      <c r="X266" s="955"/>
      <c r="Y266" s="955"/>
      <c r="Z266" s="955"/>
      <c r="AA266" s="955"/>
      <c r="AB266" s="955"/>
      <c r="AC266" s="955"/>
      <c r="AD266" s="955"/>
      <c r="AE266" s="955"/>
      <c r="AF266" s="955"/>
      <c r="AG266" s="955"/>
      <c r="AH266" s="955"/>
      <c r="AI266" s="955"/>
      <c r="AJ266" s="955"/>
      <c r="AK266" s="955"/>
      <c r="AL266" s="955"/>
      <c r="AM266" s="955"/>
      <c r="AN266" s="955"/>
      <c r="AO266" s="955"/>
      <c r="AP266" s="955"/>
      <c r="AQ266" s="955"/>
      <c r="AR266" s="955"/>
    </row>
    <row r="267" spans="1:44" ht="3" customHeight="1">
      <c r="A267" s="77"/>
      <c r="B267" s="77"/>
      <c r="C267" s="77"/>
      <c r="D267" s="77"/>
      <c r="E267" s="77"/>
      <c r="F267" s="77"/>
      <c r="G267" s="77"/>
      <c r="H267" s="77"/>
      <c r="I267" s="77"/>
      <c r="J267" s="77"/>
      <c r="K267" s="77"/>
      <c r="L267" s="77"/>
      <c r="M267" s="77"/>
      <c r="N267" s="77"/>
      <c r="O267" s="77"/>
      <c r="P267" s="77"/>
      <c r="Q267" s="77"/>
      <c r="R267" s="77"/>
      <c r="S267" s="955"/>
      <c r="T267" s="955"/>
      <c r="U267" s="955"/>
      <c r="V267" s="955"/>
      <c r="W267" s="955"/>
      <c r="X267" s="955"/>
      <c r="Y267" s="955"/>
      <c r="Z267" s="955"/>
      <c r="AA267" s="955"/>
      <c r="AB267" s="955"/>
      <c r="AC267" s="955"/>
      <c r="AD267" s="955"/>
      <c r="AE267" s="955"/>
      <c r="AF267" s="955"/>
      <c r="AG267" s="955"/>
      <c r="AH267" s="955"/>
      <c r="AI267" s="955"/>
      <c r="AJ267" s="955"/>
      <c r="AK267" s="955"/>
      <c r="AL267" s="955"/>
      <c r="AM267" s="955"/>
      <c r="AN267" s="955"/>
      <c r="AO267" s="955"/>
      <c r="AP267" s="955"/>
      <c r="AQ267" s="955"/>
      <c r="AR267" s="955"/>
    </row>
    <row r="268" spans="1:44" ht="14.1" customHeight="1">
      <c r="A268" s="2521" t="s">
        <v>1528</v>
      </c>
      <c r="B268" s="2521" t="s">
        <v>1523</v>
      </c>
      <c r="C268" s="2521"/>
      <c r="D268" s="2586"/>
      <c r="E268" s="2586"/>
      <c r="F268" s="2586"/>
      <c r="G268" s="2586"/>
      <c r="H268" s="2586"/>
      <c r="I268" s="2586"/>
      <c r="J268" s="2586"/>
      <c r="K268" s="2586"/>
      <c r="L268" s="2586"/>
      <c r="M268" s="2586"/>
      <c r="N268" s="77"/>
      <c r="O268" s="66" t="s">
        <v>1451</v>
      </c>
      <c r="P268" s="4382"/>
      <c r="Q268" s="4383"/>
      <c r="R268" s="77"/>
      <c r="S268" s="955"/>
      <c r="T268" s="955"/>
      <c r="U268" s="955"/>
      <c r="V268" s="955"/>
      <c r="W268" s="955"/>
      <c r="X268" s="955"/>
      <c r="Y268" s="955"/>
      <c r="Z268" s="955"/>
      <c r="AA268" s="955"/>
      <c r="AB268" s="955"/>
      <c r="AC268" s="955"/>
      <c r="AD268" s="955"/>
      <c r="AE268" s="955"/>
      <c r="AF268" s="955"/>
      <c r="AG268" s="955"/>
      <c r="AH268" s="955"/>
      <c r="AI268" s="955"/>
      <c r="AJ268" s="955"/>
      <c r="AK268" s="955"/>
      <c r="AL268" s="955"/>
      <c r="AM268" s="955"/>
      <c r="AN268" s="955"/>
      <c r="AO268" s="955"/>
      <c r="AP268" s="955"/>
      <c r="AQ268" s="955"/>
      <c r="AR268" s="955"/>
    </row>
    <row r="269" spans="1:44" customFormat="1" ht="11.7" customHeight="1">
      <c r="B269" s="25" t="s">
        <v>6577</v>
      </c>
      <c r="N269" s="58"/>
      <c r="P269" s="2900"/>
      <c r="Q269" s="2901"/>
      <c r="S269" s="951"/>
      <c r="T269" s="951"/>
      <c r="U269" s="951"/>
      <c r="V269" s="951"/>
      <c r="W269" s="951"/>
      <c r="X269" s="951"/>
      <c r="Y269" s="951"/>
      <c r="Z269" s="951"/>
      <c r="AA269" s="951"/>
      <c r="AB269" s="951"/>
      <c r="AC269" s="951"/>
      <c r="AD269" s="951"/>
      <c r="AE269" s="951"/>
      <c r="AF269" s="951"/>
      <c r="AG269" s="951"/>
      <c r="AH269" s="951"/>
      <c r="AI269" s="951"/>
      <c r="AJ269" s="951"/>
      <c r="AK269" s="951"/>
      <c r="AL269" s="951"/>
      <c r="AM269" s="951"/>
      <c r="AN269" s="951"/>
      <c r="AO269" s="951"/>
      <c r="AP269" s="951"/>
      <c r="AQ269" s="951"/>
      <c r="AR269" s="951"/>
    </row>
    <row r="270" spans="1:44" s="11" customFormat="1" ht="11.7" customHeight="1">
      <c r="A270" s="22" t="s">
        <v>186</v>
      </c>
      <c r="B270" s="92" t="s">
        <v>1524</v>
      </c>
      <c r="C270" s="43"/>
      <c r="D270" s="43"/>
      <c r="E270" s="43"/>
      <c r="F270" s="43"/>
      <c r="H270" s="43"/>
      <c r="I270" s="43"/>
      <c r="O270" s="84" t="s">
        <v>186</v>
      </c>
      <c r="R270" s="839"/>
      <c r="S270" s="1067"/>
      <c r="T270" s="1067"/>
      <c r="U270" s="1067"/>
      <c r="V270" s="1067"/>
      <c r="W270" s="1067"/>
      <c r="X270" s="1067"/>
      <c r="Y270" s="1067"/>
      <c r="Z270" s="1067"/>
      <c r="AA270" s="1067"/>
      <c r="AB270" s="1067"/>
      <c r="AC270" s="1067"/>
      <c r="AD270" s="1067"/>
      <c r="AE270" s="1067"/>
      <c r="AF270" s="1067"/>
      <c r="AG270" s="1067"/>
      <c r="AH270" s="1067"/>
      <c r="AI270" s="1067"/>
      <c r="AJ270" s="1067"/>
      <c r="AK270" s="1067"/>
      <c r="AL270" s="1067"/>
      <c r="AM270" s="1067"/>
      <c r="AN270" s="1067"/>
      <c r="AO270" s="1067"/>
      <c r="AP270" s="1067"/>
      <c r="AQ270" s="1067"/>
      <c r="AR270" s="1067"/>
    </row>
    <row r="271" spans="1:44" s="229" customFormat="1" ht="33" customHeight="1">
      <c r="B271" s="329" t="s">
        <v>1511</v>
      </c>
      <c r="C271" s="4379" t="s">
        <v>6597</v>
      </c>
      <c r="D271" s="4379"/>
      <c r="E271" s="4379"/>
      <c r="F271" s="4379"/>
      <c r="G271" s="4379"/>
      <c r="H271" s="4379"/>
      <c r="I271" s="4379"/>
      <c r="J271" s="4379"/>
      <c r="K271" s="4379"/>
      <c r="L271" s="4379"/>
      <c r="M271" s="4379"/>
      <c r="N271" s="4379"/>
      <c r="O271" s="946" t="s">
        <v>1511</v>
      </c>
      <c r="P271" s="2913"/>
      <c r="Q271" s="2914"/>
      <c r="S271" s="956"/>
      <c r="T271" s="956"/>
      <c r="U271" s="956"/>
      <c r="V271" s="956"/>
      <c r="W271" s="956"/>
      <c r="X271" s="956"/>
      <c r="Y271" s="956"/>
      <c r="Z271" s="956"/>
      <c r="AA271" s="956"/>
      <c r="AB271" s="956"/>
      <c r="AC271" s="956"/>
      <c r="AD271" s="956"/>
      <c r="AE271" s="956"/>
      <c r="AF271" s="956"/>
      <c r="AG271" s="956"/>
      <c r="AH271" s="956"/>
      <c r="AI271" s="956"/>
      <c r="AJ271" s="956"/>
      <c r="AK271" s="956"/>
      <c r="AL271" s="956"/>
      <c r="AM271" s="956"/>
      <c r="AN271" s="956"/>
      <c r="AO271" s="956"/>
      <c r="AP271" s="956"/>
      <c r="AQ271" s="956"/>
      <c r="AR271" s="956"/>
    </row>
    <row r="272" spans="1:44" s="229" customFormat="1" ht="21.75" customHeight="1">
      <c r="A272" s="75"/>
      <c r="B272" s="329" t="s">
        <v>1513</v>
      </c>
      <c r="C272" s="4379" t="s">
        <v>6598</v>
      </c>
      <c r="D272" s="4379"/>
      <c r="E272" s="4379"/>
      <c r="F272" s="4379"/>
      <c r="G272" s="4379"/>
      <c r="H272" s="4379"/>
      <c r="I272" s="4379"/>
      <c r="J272" s="4379"/>
      <c r="K272" s="4379"/>
      <c r="L272" s="4379"/>
      <c r="M272" s="4379"/>
      <c r="N272" s="4379"/>
      <c r="O272" s="946" t="s">
        <v>1513</v>
      </c>
      <c r="P272" s="2595"/>
      <c r="Q272" s="2593"/>
      <c r="S272" s="956"/>
      <c r="T272" s="956"/>
      <c r="U272" s="956"/>
      <c r="V272" s="956"/>
      <c r="W272" s="956"/>
      <c r="X272" s="956"/>
      <c r="Y272" s="956"/>
      <c r="Z272" s="956"/>
      <c r="AA272" s="956"/>
      <c r="AB272" s="956"/>
      <c r="AC272" s="956"/>
      <c r="AD272" s="956"/>
      <c r="AE272" s="956"/>
      <c r="AF272" s="956"/>
      <c r="AG272" s="956"/>
      <c r="AH272" s="956"/>
      <c r="AI272" s="956"/>
      <c r="AJ272" s="956"/>
      <c r="AK272" s="956"/>
      <c r="AL272" s="956"/>
      <c r="AM272" s="956"/>
      <c r="AN272" s="956"/>
      <c r="AO272" s="956"/>
      <c r="AP272" s="956"/>
      <c r="AQ272" s="956"/>
      <c r="AR272" s="956"/>
    </row>
    <row r="273" spans="1:44" customFormat="1" ht="12.75" customHeight="1">
      <c r="A273" s="72" t="s">
        <v>198</v>
      </c>
      <c r="B273" s="92" t="s">
        <v>1526</v>
      </c>
      <c r="C273" s="77"/>
      <c r="D273" s="43"/>
      <c r="E273" s="43"/>
      <c r="F273" s="77"/>
      <c r="K273" s="28" t="s">
        <v>198</v>
      </c>
      <c r="L273" s="4405" t="s">
        <v>1527</v>
      </c>
      <c r="M273" s="4406"/>
      <c r="N273" s="4406"/>
      <c r="O273" s="4406"/>
      <c r="P273" s="4407"/>
      <c r="Q273" s="2920"/>
      <c r="X273" s="951"/>
      <c r="Y273" s="951"/>
      <c r="Z273" s="951"/>
      <c r="AA273" s="951"/>
      <c r="AB273" s="951"/>
      <c r="AC273" s="951"/>
      <c r="AD273" s="951"/>
      <c r="AE273" s="951"/>
      <c r="AF273" s="951"/>
      <c r="AG273" s="951"/>
      <c r="AH273" s="951"/>
      <c r="AI273" s="951"/>
      <c r="AJ273" s="951"/>
      <c r="AK273" s="951"/>
      <c r="AL273" s="951"/>
      <c r="AM273" s="951"/>
      <c r="AN273" s="951"/>
      <c r="AO273" s="951"/>
      <c r="AP273" s="951"/>
      <c r="AQ273" s="951"/>
      <c r="AR273" s="951"/>
    </row>
    <row r="274" spans="1:44" s="11" customFormat="1" ht="11.7" customHeight="1">
      <c r="A274" s="72" t="s">
        <v>219</v>
      </c>
      <c r="B274" s="92" t="s">
        <v>6599</v>
      </c>
      <c r="C274" s="43"/>
      <c r="D274" s="43"/>
      <c r="E274" s="43"/>
      <c r="F274" s="43"/>
      <c r="H274" s="43"/>
      <c r="I274" s="43"/>
      <c r="R274" s="839"/>
      <c r="S274" s="1067"/>
      <c r="T274" s="1067"/>
      <c r="U274" s="1067"/>
      <c r="V274" s="1067"/>
      <c r="W274" s="1067"/>
      <c r="X274" s="1067"/>
      <c r="Y274" s="1067"/>
      <c r="Z274" s="1067"/>
      <c r="AA274" s="1067"/>
      <c r="AB274" s="1067"/>
      <c r="AC274" s="1067"/>
      <c r="AD274" s="1067"/>
      <c r="AE274" s="1067"/>
      <c r="AF274" s="1067"/>
      <c r="AG274" s="1067"/>
      <c r="AH274" s="1067"/>
      <c r="AI274" s="1067"/>
      <c r="AJ274" s="1067"/>
      <c r="AK274" s="1067"/>
      <c r="AL274" s="1067"/>
      <c r="AM274" s="1067"/>
      <c r="AN274" s="1067"/>
      <c r="AO274" s="1067"/>
      <c r="AP274" s="1067"/>
      <c r="AQ274" s="1067"/>
      <c r="AR274" s="1067"/>
    </row>
    <row r="275" spans="1:44" customFormat="1" ht="11.7" customHeight="1">
      <c r="A275" s="72"/>
      <c r="B275" s="13" t="s">
        <v>6600</v>
      </c>
      <c r="C275" s="77"/>
      <c r="D275" s="43"/>
      <c r="E275" s="43"/>
      <c r="F275" s="77"/>
      <c r="H275" s="77"/>
      <c r="I275" s="77"/>
      <c r="N275" s="1226" t="s">
        <v>6601</v>
      </c>
      <c r="O275" s="28" t="s">
        <v>219</v>
      </c>
      <c r="P275" s="2919"/>
      <c r="Q275" s="2920"/>
      <c r="R275" s="28"/>
      <c r="S275" s="951"/>
      <c r="T275" s="951"/>
      <c r="U275" s="951"/>
      <c r="V275" s="951"/>
      <c r="W275" s="951"/>
      <c r="X275" s="951"/>
      <c r="Y275" s="951"/>
      <c r="Z275" s="951"/>
      <c r="AA275" s="951"/>
      <c r="AB275" s="951"/>
      <c r="AC275" s="951"/>
      <c r="AD275" s="951"/>
      <c r="AE275" s="951"/>
      <c r="AF275" s="951"/>
      <c r="AG275" s="951"/>
      <c r="AH275" s="951"/>
      <c r="AI275" s="951"/>
      <c r="AJ275" s="951"/>
      <c r="AK275" s="951"/>
      <c r="AL275" s="951"/>
      <c r="AM275" s="951"/>
      <c r="AN275" s="951"/>
      <c r="AO275" s="951"/>
      <c r="AP275" s="951"/>
      <c r="AQ275" s="951"/>
      <c r="AR275" s="951"/>
    </row>
    <row r="276" spans="1:44" s="42" customFormat="1" ht="11.7" customHeight="1">
      <c r="A276" s="43"/>
      <c r="B276" s="74" t="s">
        <v>1457</v>
      </c>
      <c r="C276" s="43"/>
      <c r="D276" s="48"/>
      <c r="E276" s="48"/>
      <c r="F276" s="48"/>
      <c r="G276" s="48"/>
      <c r="K276" s="13"/>
      <c r="M276" s="32"/>
      <c r="N276" s="32"/>
      <c r="O276" s="2"/>
      <c r="P276" s="2542"/>
      <c r="S276" s="957"/>
      <c r="T276" s="957"/>
      <c r="U276" s="957"/>
      <c r="V276" s="957"/>
      <c r="W276" s="957"/>
      <c r="X276" s="957"/>
      <c r="Y276" s="957"/>
      <c r="Z276" s="957"/>
      <c r="AA276" s="957"/>
      <c r="AB276" s="957"/>
      <c r="AC276" s="957"/>
      <c r="AD276" s="957"/>
      <c r="AE276" s="957"/>
      <c r="AF276" s="957"/>
      <c r="AG276" s="957"/>
      <c r="AH276" s="957"/>
      <c r="AI276" s="957"/>
      <c r="AJ276" s="957"/>
      <c r="AK276" s="957"/>
      <c r="AL276" s="957"/>
      <c r="AM276" s="957"/>
      <c r="AN276" s="957"/>
      <c r="AO276" s="957"/>
      <c r="AP276" s="957"/>
      <c r="AQ276" s="957"/>
      <c r="AR276" s="957"/>
    </row>
    <row r="277" spans="1:44" s="19" customFormat="1" ht="21.75" customHeight="1">
      <c r="A277" s="4390"/>
      <c r="B277" s="4391"/>
      <c r="C277" s="4391"/>
      <c r="D277" s="4391"/>
      <c r="E277" s="4391"/>
      <c r="F277" s="4391"/>
      <c r="G277" s="4391"/>
      <c r="H277" s="4391"/>
      <c r="I277" s="4391"/>
      <c r="J277" s="4391"/>
      <c r="K277" s="4391"/>
      <c r="L277" s="4391"/>
      <c r="M277" s="4391"/>
      <c r="N277" s="4391"/>
      <c r="O277" s="4391"/>
      <c r="P277" s="4391"/>
      <c r="Q277" s="4392"/>
      <c r="R277" s="248" t="s">
        <v>6410</v>
      </c>
      <c r="S277" s="952"/>
      <c r="T277" s="952"/>
      <c r="U277" s="952"/>
      <c r="V277" s="952"/>
      <c r="W277" s="952"/>
      <c r="X277" s="952"/>
      <c r="Y277" s="952"/>
      <c r="Z277" s="952"/>
      <c r="AA277" s="952"/>
      <c r="AB277" s="952"/>
      <c r="AC277" s="952"/>
      <c r="AD277" s="952"/>
      <c r="AE277" s="952"/>
      <c r="AF277" s="952"/>
      <c r="AG277" s="952"/>
      <c r="AH277" s="952"/>
      <c r="AI277" s="952"/>
      <c r="AJ277" s="952"/>
      <c r="AK277" s="952"/>
      <c r="AL277" s="952"/>
      <c r="AM277" s="952"/>
      <c r="AN277" s="952"/>
      <c r="AO277" s="952"/>
      <c r="AP277" s="952"/>
      <c r="AQ277" s="952"/>
      <c r="AR277" s="952"/>
    </row>
    <row r="278" spans="1:44" s="19" customFormat="1" ht="11.25" customHeight="1">
      <c r="A278" s="77"/>
      <c r="B278" s="70" t="s">
        <v>1453</v>
      </c>
      <c r="C278" s="71"/>
      <c r="D278" s="2586"/>
      <c r="E278" s="2586"/>
      <c r="F278" s="2586"/>
      <c r="G278" s="2586"/>
      <c r="H278" s="2586"/>
      <c r="I278" s="2586"/>
      <c r="J278" s="2586"/>
      <c r="K278" s="2586"/>
      <c r="L278" s="2586"/>
      <c r="M278" s="2586"/>
      <c r="N278" s="2586"/>
      <c r="O278" s="2586"/>
      <c r="P278" s="2586"/>
      <c r="Q278" s="2586"/>
      <c r="R278" s="77"/>
      <c r="S278" s="952"/>
      <c r="T278" s="952"/>
      <c r="U278" s="952"/>
      <c r="V278" s="952"/>
      <c r="W278" s="952"/>
      <c r="X278" s="952"/>
      <c r="Y278" s="952"/>
      <c r="Z278" s="952"/>
      <c r="AA278" s="952"/>
      <c r="AB278" s="952"/>
      <c r="AC278" s="952"/>
      <c r="AD278" s="952"/>
      <c r="AE278" s="952"/>
      <c r="AF278" s="952"/>
      <c r="AG278" s="952"/>
      <c r="AH278" s="952"/>
      <c r="AI278" s="952"/>
      <c r="AJ278" s="952"/>
      <c r="AK278" s="952"/>
      <c r="AL278" s="952"/>
      <c r="AM278" s="952"/>
      <c r="AN278" s="952"/>
      <c r="AO278" s="952"/>
      <c r="AP278" s="952"/>
      <c r="AQ278" s="952"/>
      <c r="AR278" s="952"/>
    </row>
    <row r="279" spans="1:44" s="19" customFormat="1" ht="11.25" customHeight="1">
      <c r="A279" s="4387"/>
      <c r="B279" s="4388"/>
      <c r="C279" s="4388"/>
      <c r="D279" s="4388"/>
      <c r="E279" s="4388"/>
      <c r="F279" s="4388"/>
      <c r="G279" s="4388"/>
      <c r="H279" s="4388"/>
      <c r="I279" s="4388"/>
      <c r="J279" s="4388"/>
      <c r="K279" s="4388"/>
      <c r="L279" s="4388"/>
      <c r="M279" s="4388"/>
      <c r="N279" s="4388"/>
      <c r="O279" s="4388"/>
      <c r="P279" s="4388"/>
      <c r="Q279" s="4389"/>
      <c r="R279" s="77"/>
      <c r="S279" s="952"/>
      <c r="T279" s="952"/>
      <c r="U279" s="952"/>
      <c r="V279" s="952"/>
      <c r="W279" s="952"/>
      <c r="X279" s="952"/>
      <c r="Y279" s="952"/>
      <c r="Z279" s="952"/>
      <c r="AA279" s="952"/>
      <c r="AB279" s="952"/>
      <c r="AC279" s="952"/>
      <c r="AD279" s="952"/>
      <c r="AE279" s="952"/>
      <c r="AF279" s="952"/>
      <c r="AG279" s="952"/>
      <c r="AH279" s="952"/>
      <c r="AI279" s="952"/>
      <c r="AJ279" s="952"/>
      <c r="AK279" s="952"/>
      <c r="AL279" s="952"/>
      <c r="AM279" s="952"/>
      <c r="AN279" s="952"/>
      <c r="AO279" s="952"/>
      <c r="AP279" s="952"/>
      <c r="AQ279" s="952"/>
      <c r="AR279" s="952"/>
    </row>
    <row r="280" spans="1:44" s="19" customFormat="1" ht="3" customHeight="1">
      <c r="A280" s="43"/>
      <c r="D280" s="13"/>
      <c r="E280" s="13"/>
      <c r="F280" s="2542"/>
      <c r="G280" s="2542"/>
      <c r="H280" s="2542"/>
      <c r="I280" s="2542"/>
      <c r="J280" s="16"/>
      <c r="K280" s="16"/>
      <c r="L280" s="16"/>
      <c r="M280" s="2596"/>
      <c r="N280" s="2542"/>
      <c r="O280" s="9"/>
      <c r="P280" s="2"/>
      <c r="S280" s="952"/>
      <c r="T280" s="952"/>
      <c r="U280" s="952"/>
      <c r="V280" s="952"/>
      <c r="W280" s="952"/>
      <c r="X280" s="952"/>
      <c r="Y280" s="952"/>
      <c r="Z280" s="952"/>
      <c r="AA280" s="952"/>
      <c r="AB280" s="952"/>
      <c r="AC280" s="952"/>
      <c r="AD280" s="952"/>
      <c r="AE280" s="952"/>
      <c r="AF280" s="952"/>
      <c r="AG280" s="952"/>
      <c r="AH280" s="952"/>
      <c r="AI280" s="952"/>
      <c r="AJ280" s="952"/>
      <c r="AK280" s="952"/>
      <c r="AL280" s="952"/>
      <c r="AM280" s="952"/>
      <c r="AN280" s="952"/>
      <c r="AO280" s="952"/>
      <c r="AP280" s="952"/>
      <c r="AQ280" s="952"/>
      <c r="AR280" s="952"/>
    </row>
    <row r="281" spans="1:44" ht="14.1" customHeight="1">
      <c r="A281" s="2521" t="s">
        <v>1548</v>
      </c>
      <c r="B281" s="2521" t="s">
        <v>1529</v>
      </c>
      <c r="C281" s="2540"/>
      <c r="D281" s="2587"/>
      <c r="E281" s="2586"/>
      <c r="F281" s="2586"/>
      <c r="G281" s="2586"/>
      <c r="H281" s="2586"/>
      <c r="I281" s="2586"/>
      <c r="J281" s="2586"/>
      <c r="K281" s="2586"/>
      <c r="L281" s="2586"/>
      <c r="M281" s="2586"/>
      <c r="N281" s="77"/>
      <c r="O281" s="66" t="s">
        <v>1451</v>
      </c>
      <c r="P281" s="4382"/>
      <c r="Q281" s="4383"/>
      <c r="R281" s="77"/>
      <c r="S281" s="955"/>
      <c r="T281" s="955"/>
      <c r="U281" s="955"/>
      <c r="V281" s="955"/>
      <c r="W281" s="955"/>
      <c r="X281" s="955"/>
      <c r="Y281" s="955"/>
      <c r="Z281" s="955"/>
      <c r="AA281" s="955"/>
      <c r="AB281" s="955"/>
      <c r="AC281" s="955"/>
      <c r="AD281" s="955"/>
      <c r="AE281" s="955"/>
      <c r="AF281" s="955"/>
      <c r="AG281" s="955"/>
      <c r="AH281" s="955"/>
      <c r="AI281" s="955"/>
      <c r="AJ281" s="955"/>
      <c r="AK281" s="955"/>
      <c r="AL281" s="955"/>
      <c r="AM281" s="955"/>
      <c r="AN281" s="955"/>
      <c r="AO281" s="955"/>
      <c r="AP281" s="955"/>
      <c r="AQ281" s="955"/>
      <c r="AR281" s="955"/>
    </row>
    <row r="282" spans="1:44" customFormat="1" ht="11.7" customHeight="1">
      <c r="B282" s="25" t="s">
        <v>6577</v>
      </c>
      <c r="N282" s="58"/>
      <c r="P282" s="2900"/>
      <c r="Q282" s="2901"/>
      <c r="S282" s="951"/>
      <c r="T282" s="951"/>
      <c r="U282" s="951"/>
      <c r="V282" s="951"/>
      <c r="W282" s="951"/>
      <c r="X282" s="951"/>
      <c r="Y282" s="951"/>
      <c r="Z282" s="951"/>
      <c r="AA282" s="951"/>
      <c r="AB282" s="951"/>
      <c r="AC282" s="951"/>
      <c r="AD282" s="951"/>
      <c r="AE282" s="951"/>
      <c r="AF282" s="951"/>
      <c r="AG282" s="951"/>
      <c r="AH282" s="951"/>
      <c r="AI282" s="951"/>
      <c r="AJ282" s="951"/>
      <c r="AK282" s="951"/>
      <c r="AL282" s="951"/>
      <c r="AM282" s="951"/>
      <c r="AN282" s="951"/>
      <c r="AO282" s="951"/>
      <c r="AP282" s="951"/>
      <c r="AQ282" s="951"/>
      <c r="AR282" s="951"/>
    </row>
    <row r="283" spans="1:44" ht="12.75" customHeight="1">
      <c r="A283" s="72" t="s">
        <v>186</v>
      </c>
      <c r="B283" s="104" t="s">
        <v>6602</v>
      </c>
      <c r="C283" s="77"/>
      <c r="D283" s="77"/>
      <c r="E283" s="77"/>
      <c r="F283" s="77"/>
      <c r="G283" s="77"/>
      <c r="H283" s="77"/>
      <c r="I283" s="77"/>
      <c r="J283" s="77"/>
      <c r="K283" s="77"/>
      <c r="L283" s="77"/>
      <c r="M283" s="77"/>
      <c r="N283" s="77"/>
      <c r="O283" s="77"/>
      <c r="P283" s="77"/>
      <c r="Q283" s="77"/>
      <c r="R283" s="77"/>
      <c r="S283" s="955"/>
      <c r="T283" s="955"/>
      <c r="U283" s="955"/>
      <c r="V283" s="955"/>
      <c r="W283" s="955"/>
      <c r="X283" s="955"/>
      <c r="Y283" s="955"/>
      <c r="Z283" s="955"/>
      <c r="AA283" s="955"/>
      <c r="AB283" s="955"/>
      <c r="AC283" s="955"/>
      <c r="AD283" s="955"/>
      <c r="AE283" s="955"/>
      <c r="AF283" s="955"/>
      <c r="AG283" s="955"/>
      <c r="AH283" s="955"/>
      <c r="AI283" s="955"/>
      <c r="AJ283" s="955"/>
      <c r="AK283" s="955"/>
      <c r="AL283" s="955"/>
      <c r="AM283" s="955"/>
      <c r="AN283" s="955"/>
      <c r="AO283" s="955"/>
      <c r="AP283" s="955"/>
      <c r="AQ283" s="955"/>
      <c r="AR283" s="955"/>
    </row>
    <row r="284" spans="1:44" s="77" customFormat="1" ht="44.25" customHeight="1">
      <c r="A284" s="75"/>
      <c r="B284" s="265" t="s">
        <v>1511</v>
      </c>
      <c r="C284" s="4379" t="s">
        <v>6603</v>
      </c>
      <c r="D284" s="4379"/>
      <c r="E284" s="4379"/>
      <c r="F284" s="4379"/>
      <c r="G284" s="4379"/>
      <c r="H284" s="4379"/>
      <c r="I284" s="4379"/>
      <c r="J284" s="4379"/>
      <c r="K284" s="4379"/>
      <c r="L284" s="4379"/>
      <c r="M284" s="4379"/>
      <c r="N284" s="4379"/>
      <c r="O284" s="84" t="s">
        <v>6604</v>
      </c>
      <c r="P284" s="2913"/>
      <c r="Q284" s="2914"/>
      <c r="S284" s="955"/>
      <c r="T284" s="955"/>
      <c r="U284" s="955"/>
      <c r="V284" s="955"/>
      <c r="W284" s="955"/>
      <c r="X284" s="955"/>
      <c r="Y284" s="955"/>
      <c r="Z284" s="955"/>
      <c r="AA284" s="955"/>
      <c r="AB284" s="955"/>
      <c r="AC284" s="955"/>
      <c r="AD284" s="955"/>
      <c r="AE284" s="955"/>
      <c r="AF284" s="955"/>
      <c r="AG284" s="955"/>
      <c r="AH284" s="955"/>
      <c r="AI284" s="955"/>
      <c r="AJ284" s="955"/>
      <c r="AK284" s="955"/>
      <c r="AL284" s="955"/>
      <c r="AM284" s="955"/>
      <c r="AN284" s="955"/>
      <c r="AO284" s="955"/>
      <c r="AP284" s="955"/>
      <c r="AQ284" s="955"/>
      <c r="AR284" s="955"/>
    </row>
    <row r="285" spans="1:44" s="229" customFormat="1" ht="12" customHeight="1">
      <c r="A285" s="75"/>
      <c r="B285" s="265" t="s">
        <v>1513</v>
      </c>
      <c r="C285" s="4379" t="s">
        <v>6605</v>
      </c>
      <c r="D285" s="4379"/>
      <c r="E285" s="4379"/>
      <c r="F285" s="4379"/>
      <c r="G285" s="4379"/>
      <c r="H285" s="4379"/>
      <c r="I285" s="4379"/>
      <c r="J285" s="4379"/>
      <c r="K285" s="4379"/>
      <c r="L285" s="4379"/>
      <c r="M285" s="4379"/>
      <c r="N285" s="4379"/>
      <c r="O285" s="84" t="s">
        <v>1513</v>
      </c>
      <c r="P285" s="2594"/>
      <c r="Q285" s="2592"/>
      <c r="S285" s="956"/>
      <c r="T285" s="956"/>
      <c r="U285" s="956"/>
      <c r="V285" s="956"/>
      <c r="W285" s="956"/>
      <c r="X285" s="956"/>
      <c r="Y285" s="956"/>
      <c r="Z285" s="956"/>
      <c r="AA285" s="956"/>
      <c r="AB285" s="956"/>
      <c r="AC285" s="956"/>
      <c r="AD285" s="956"/>
      <c r="AE285" s="956"/>
      <c r="AF285" s="956"/>
      <c r="AG285" s="956"/>
      <c r="AH285" s="956"/>
      <c r="AI285" s="956"/>
      <c r="AJ285" s="956"/>
      <c r="AK285" s="956"/>
      <c r="AL285" s="956"/>
      <c r="AM285" s="956"/>
      <c r="AN285" s="956"/>
      <c r="AO285" s="956"/>
      <c r="AP285" s="956"/>
      <c r="AQ285" s="956"/>
      <c r="AR285" s="956"/>
    </row>
    <row r="286" spans="1:44" s="229" customFormat="1" ht="22.5" customHeight="1">
      <c r="A286" s="75"/>
      <c r="B286" s="265" t="s">
        <v>1514</v>
      </c>
      <c r="C286" s="4379" t="s">
        <v>6606</v>
      </c>
      <c r="D286" s="4379"/>
      <c r="E286" s="4379"/>
      <c r="F286" s="4379"/>
      <c r="G286" s="4379"/>
      <c r="H286" s="4379"/>
      <c r="I286" s="4379"/>
      <c r="J286" s="4379"/>
      <c r="K286" s="4379"/>
      <c r="L286" s="4379"/>
      <c r="M286" s="4379"/>
      <c r="N286" s="4379"/>
      <c r="O286" s="84" t="s">
        <v>1514</v>
      </c>
      <c r="P286" s="2595"/>
      <c r="Q286" s="2593"/>
      <c r="S286" s="956"/>
      <c r="T286" s="956"/>
      <c r="U286" s="956"/>
      <c r="V286" s="956"/>
      <c r="W286" s="956"/>
      <c r="X286" s="956"/>
      <c r="Y286" s="956"/>
      <c r="Z286" s="956"/>
      <c r="AA286" s="956"/>
      <c r="AB286" s="956"/>
      <c r="AC286" s="956"/>
      <c r="AD286" s="956"/>
      <c r="AE286" s="956"/>
      <c r="AF286" s="956"/>
      <c r="AG286" s="956"/>
      <c r="AH286" s="956"/>
      <c r="AI286" s="956"/>
      <c r="AJ286" s="956"/>
      <c r="AK286" s="956"/>
      <c r="AL286" s="956"/>
      <c r="AM286" s="956"/>
      <c r="AN286" s="956"/>
      <c r="AO286" s="956"/>
      <c r="AP286" s="956"/>
      <c r="AQ286" s="956"/>
      <c r="AR286" s="956"/>
    </row>
    <row r="287" spans="1:44" s="43" customFormat="1" ht="12.75" customHeight="1">
      <c r="A287" s="72" t="s">
        <v>198</v>
      </c>
      <c r="B287" s="104" t="s">
        <v>6607</v>
      </c>
      <c r="D287" s="645"/>
      <c r="E287" s="645"/>
      <c r="F287" s="645"/>
      <c r="G287" s="645"/>
      <c r="H287" s="645"/>
      <c r="I287" s="645"/>
      <c r="J287" s="645"/>
      <c r="K287" s="645"/>
      <c r="L287" s="645"/>
      <c r="M287" s="645"/>
      <c r="N287" s="645"/>
      <c r="O287" s="28"/>
      <c r="P287" s="28"/>
      <c r="Q287" s="28"/>
      <c r="S287" s="958"/>
      <c r="T287" s="958"/>
      <c r="U287" s="958"/>
      <c r="V287" s="958"/>
      <c r="W287" s="958"/>
      <c r="X287" s="958"/>
      <c r="Y287" s="958"/>
      <c r="Z287" s="958"/>
      <c r="AA287" s="958"/>
      <c r="AB287" s="958"/>
      <c r="AC287" s="958"/>
      <c r="AD287" s="958"/>
      <c r="AE287" s="958"/>
      <c r="AF287" s="958"/>
      <c r="AG287" s="958"/>
      <c r="AH287" s="958"/>
      <c r="AI287" s="958"/>
      <c r="AJ287" s="958"/>
      <c r="AK287" s="958"/>
      <c r="AL287" s="958"/>
      <c r="AM287" s="958"/>
      <c r="AN287" s="958"/>
      <c r="AO287" s="958"/>
      <c r="AP287" s="958"/>
      <c r="AQ287" s="958"/>
      <c r="AR287" s="958"/>
    </row>
    <row r="288" spans="1:44" s="43" customFormat="1" ht="11.25" customHeight="1">
      <c r="A288" s="102"/>
      <c r="B288" s="265" t="s">
        <v>1511</v>
      </c>
      <c r="C288" s="13" t="s">
        <v>203</v>
      </c>
      <c r="D288" s="4379" t="s">
        <v>6608</v>
      </c>
      <c r="E288" s="4379"/>
      <c r="F288" s="4379"/>
      <c r="G288" s="4379"/>
      <c r="H288" s="4379"/>
      <c r="I288" s="73"/>
      <c r="J288" s="4384" t="s">
        <v>6609</v>
      </c>
      <c r="K288" s="4408"/>
      <c r="L288" s="4408"/>
      <c r="M288" s="4506" t="s">
        <v>6610</v>
      </c>
      <c r="N288" s="4506"/>
      <c r="S288" s="958"/>
      <c r="T288" s="958"/>
      <c r="U288" s="958"/>
      <c r="V288" s="958"/>
      <c r="W288" s="958"/>
      <c r="X288" s="958"/>
      <c r="Y288" s="958"/>
      <c r="Z288" s="958"/>
      <c r="AA288" s="958"/>
      <c r="AB288" s="958"/>
      <c r="AC288" s="958"/>
      <c r="AD288" s="958"/>
      <c r="AE288" s="958"/>
      <c r="AF288" s="958"/>
      <c r="AG288" s="958"/>
      <c r="AH288" s="958"/>
      <c r="AI288" s="958"/>
      <c r="AJ288" s="958"/>
      <c r="AK288" s="958"/>
      <c r="AL288" s="958"/>
      <c r="AM288" s="958"/>
      <c r="AN288" s="958"/>
      <c r="AO288" s="958"/>
      <c r="AP288" s="958"/>
      <c r="AQ288" s="958"/>
      <c r="AR288" s="958"/>
    </row>
    <row r="289" spans="1:44" s="95" customFormat="1" ht="10.5" customHeight="1">
      <c r="A289" s="155"/>
      <c r="B289" s="153"/>
      <c r="D289" s="4379"/>
      <c r="E289" s="4379"/>
      <c r="F289" s="4379"/>
      <c r="G289" s="4379"/>
      <c r="H289" s="4379"/>
      <c r="I289" s="2517"/>
      <c r="J289" s="4408"/>
      <c r="K289" s="4408"/>
      <c r="L289" s="4408"/>
      <c r="M289" s="13" t="s">
        <v>6611</v>
      </c>
      <c r="N289" s="2596" t="s">
        <v>6612</v>
      </c>
      <c r="P289" s="2517"/>
      <c r="S289" s="166"/>
      <c r="T289" s="166"/>
      <c r="U289" s="166"/>
      <c r="V289" s="166"/>
      <c r="W289" s="166"/>
      <c r="X289" s="166"/>
      <c r="Y289" s="166"/>
      <c r="Z289" s="166"/>
      <c r="AA289" s="166"/>
      <c r="AB289" s="166"/>
      <c r="AC289" s="166"/>
      <c r="AD289" s="166"/>
      <c r="AE289" s="166"/>
      <c r="AF289" s="166"/>
      <c r="AG289" s="166"/>
      <c r="AH289" s="166"/>
      <c r="AI289" s="166"/>
      <c r="AJ289" s="166"/>
      <c r="AK289" s="166"/>
      <c r="AL289" s="166"/>
      <c r="AM289" s="166"/>
      <c r="AN289" s="166"/>
      <c r="AO289" s="166"/>
      <c r="AP289" s="166"/>
      <c r="AQ289" s="166"/>
      <c r="AR289" s="166"/>
    </row>
    <row r="290" spans="1:44" s="95" customFormat="1" ht="13.35" customHeight="1">
      <c r="A290" s="155"/>
      <c r="B290" s="153"/>
      <c r="D290" s="4379"/>
      <c r="E290" s="4379"/>
      <c r="F290" s="4379"/>
      <c r="G290" s="4379"/>
      <c r="H290" s="4379"/>
      <c r="I290" s="13" t="s">
        <v>6613</v>
      </c>
      <c r="K290" s="2921"/>
      <c r="L290" s="585" t="e">
        <f>IF(K290&lt;M290,"Check!!!","")</f>
        <v>#REF!</v>
      </c>
      <c r="M290" s="2922" t="e">
        <f>ROUNDUP(#REF!*'Part VII-Threshold Criteria OLD'!N290,0)</f>
        <v>#REF!</v>
      </c>
      <c r="N290" s="833" t="e">
        <f>#REF!</f>
        <v>#REF!</v>
      </c>
      <c r="O290" s="28" t="s">
        <v>6614</v>
      </c>
      <c r="P290" s="2898"/>
      <c r="Q290" s="2899"/>
      <c r="S290" s="166"/>
      <c r="T290" s="166"/>
      <c r="U290" s="166"/>
      <c r="V290" s="959"/>
      <c r="W290" s="166"/>
      <c r="X290" s="959"/>
      <c r="Y290" s="166"/>
      <c r="Z290" s="960" t="str">
        <f>IF(AA290="","",IF(AA290&lt;AC290,"Check!!!",""))</f>
        <v/>
      </c>
      <c r="AA290" s="960" t="str">
        <f t="shared" ref="AA290:AG290" si="0">IF(AB290="","",IF(AB290&lt;AD290,"Check!!!",""))</f>
        <v/>
      </c>
      <c r="AB290" s="960" t="str">
        <f t="shared" si="0"/>
        <v/>
      </c>
      <c r="AC290" s="960" t="str">
        <f t="shared" si="0"/>
        <v/>
      </c>
      <c r="AD290" s="960" t="str">
        <f t="shared" si="0"/>
        <v/>
      </c>
      <c r="AE290" s="960" t="str">
        <f t="shared" si="0"/>
        <v/>
      </c>
      <c r="AF290" s="960" t="str">
        <f t="shared" si="0"/>
        <v/>
      </c>
      <c r="AG290" s="960" t="str">
        <f t="shared" si="0"/>
        <v/>
      </c>
      <c r="AH290" s="166"/>
      <c r="AI290" s="166"/>
      <c r="AJ290" s="166"/>
      <c r="AK290" s="166"/>
      <c r="AL290" s="166"/>
      <c r="AM290" s="166"/>
      <c r="AN290" s="166"/>
      <c r="AO290" s="166"/>
      <c r="AP290" s="166"/>
      <c r="AQ290" s="166"/>
      <c r="AR290" s="166"/>
    </row>
    <row r="291" spans="1:44" s="43" customFormat="1" ht="12.75" customHeight="1">
      <c r="A291" s="75"/>
      <c r="B291" s="265"/>
      <c r="C291" s="13" t="s">
        <v>206</v>
      </c>
      <c r="D291" s="4379" t="s">
        <v>6615</v>
      </c>
      <c r="E291" s="4379"/>
      <c r="F291" s="4379"/>
      <c r="G291" s="4379"/>
      <c r="H291" s="4379"/>
      <c r="I291" s="263" t="s">
        <v>6616</v>
      </c>
      <c r="J291" s="95"/>
      <c r="K291" s="1068"/>
      <c r="L291" s="585" t="e">
        <f>IF(K291&lt;M291,"Check!!!","")</f>
        <v>#REF!</v>
      </c>
      <c r="M291" s="1069" t="e">
        <f>ROUNDUP(K290*'Part VII-Threshold Criteria OLD'!N291,0)</f>
        <v>#REF!</v>
      </c>
      <c r="N291" s="833" t="e">
        <f>#REF!</f>
        <v>#REF!</v>
      </c>
      <c r="O291" s="28" t="s">
        <v>206</v>
      </c>
      <c r="P291" s="4411"/>
      <c r="Q291" s="4409"/>
      <c r="S291" s="958"/>
      <c r="T291" s="961"/>
      <c r="U291" s="961"/>
      <c r="V291" s="961"/>
      <c r="W291" s="961"/>
      <c r="X291" s="961"/>
      <c r="Y291" s="961"/>
      <c r="Z291" s="961"/>
      <c r="AA291" s="961"/>
      <c r="AB291" s="961"/>
      <c r="AC291" s="961"/>
      <c r="AD291" s="961"/>
      <c r="AE291" s="961"/>
      <c r="AF291" s="961"/>
      <c r="AG291" s="961"/>
      <c r="AH291" s="958"/>
      <c r="AI291" s="958"/>
      <c r="AJ291" s="958"/>
      <c r="AK291" s="958"/>
      <c r="AL291" s="958"/>
      <c r="AM291" s="958"/>
      <c r="AN291" s="958"/>
      <c r="AO291" s="958"/>
      <c r="AP291" s="958"/>
      <c r="AQ291" s="958"/>
      <c r="AR291" s="958"/>
    </row>
    <row r="292" spans="1:44" s="95" customFormat="1" ht="10.5" customHeight="1">
      <c r="A292" s="155"/>
      <c r="B292" s="153"/>
      <c r="C292" s="329"/>
      <c r="D292" s="4379"/>
      <c r="E292" s="4379"/>
      <c r="F292" s="4379"/>
      <c r="G292" s="4379"/>
      <c r="H292" s="4379"/>
      <c r="O292" s="16"/>
      <c r="P292" s="4412"/>
      <c r="Q292" s="4410"/>
      <c r="S292" s="166"/>
      <c r="T292" s="166"/>
      <c r="U292" s="166"/>
      <c r="V292" s="959"/>
      <c r="W292" s="962"/>
      <c r="X292" s="959"/>
      <c r="Y292" s="166"/>
      <c r="Z292" s="960" t="str">
        <f>IF(AA292="","",IF(AA292&lt;AC292,"Check!!!",""))</f>
        <v/>
      </c>
      <c r="AA292" s="960" t="str">
        <f t="shared" ref="AA292:AG292" si="1">IF(AB292="","",IF(AB292&lt;AD292,"Check!!!",""))</f>
        <v/>
      </c>
      <c r="AB292" s="960" t="str">
        <f t="shared" si="1"/>
        <v/>
      </c>
      <c r="AC292" s="960" t="str">
        <f t="shared" si="1"/>
        <v/>
      </c>
      <c r="AD292" s="960" t="str">
        <f t="shared" si="1"/>
        <v/>
      </c>
      <c r="AE292" s="960" t="str">
        <f t="shared" si="1"/>
        <v/>
      </c>
      <c r="AF292" s="960" t="str">
        <f t="shared" si="1"/>
        <v/>
      </c>
      <c r="AG292" s="960" t="str">
        <f t="shared" si="1"/>
        <v/>
      </c>
      <c r="AH292" s="166"/>
      <c r="AI292" s="166"/>
      <c r="AJ292" s="166"/>
      <c r="AK292" s="166"/>
      <c r="AL292" s="166"/>
      <c r="AM292" s="166"/>
      <c r="AN292" s="166"/>
      <c r="AO292" s="166"/>
      <c r="AP292" s="166"/>
      <c r="AQ292" s="166"/>
      <c r="AR292" s="166"/>
    </row>
    <row r="293" spans="1:44" s="43" customFormat="1" ht="12.75" customHeight="1">
      <c r="A293" s="75"/>
      <c r="B293" s="265" t="s">
        <v>1513</v>
      </c>
      <c r="C293" s="4379" t="s">
        <v>6617</v>
      </c>
      <c r="D293" s="4379"/>
      <c r="E293" s="4379"/>
      <c r="F293" s="4379"/>
      <c r="G293" s="4379"/>
      <c r="H293" s="4379"/>
      <c r="I293" s="13" t="s">
        <v>6618</v>
      </c>
      <c r="J293" s="95"/>
      <c r="K293" s="2923"/>
      <c r="L293" s="585" t="e">
        <f>IF(K293&lt;M293,"Check!!!","")</f>
        <v>#REF!</v>
      </c>
      <c r="M293" s="2924" t="e">
        <f>ROUNDUP(#REF!*'Part VII-Threshold Criteria OLD'!N293,0)</f>
        <v>#REF!</v>
      </c>
      <c r="N293" s="833" t="e">
        <f>#REF!</f>
        <v>#REF!</v>
      </c>
      <c r="O293" s="28" t="s">
        <v>1513</v>
      </c>
      <c r="P293" s="942"/>
      <c r="Q293" s="941"/>
      <c r="S293" s="958"/>
      <c r="T293" s="961"/>
      <c r="U293" s="961"/>
      <c r="V293" s="961"/>
      <c r="W293" s="961"/>
      <c r="X293" s="961"/>
      <c r="Y293" s="961"/>
      <c r="Z293" s="961"/>
      <c r="AA293" s="961"/>
      <c r="AB293" s="961"/>
      <c r="AC293" s="961"/>
      <c r="AD293" s="961"/>
      <c r="AE293" s="961"/>
      <c r="AF293" s="961"/>
      <c r="AG293" s="961"/>
      <c r="AH293" s="958"/>
      <c r="AI293" s="958"/>
      <c r="AJ293" s="958"/>
      <c r="AK293" s="958"/>
      <c r="AL293" s="958"/>
      <c r="AM293" s="958"/>
      <c r="AN293" s="958"/>
      <c r="AO293" s="958"/>
      <c r="AP293" s="958"/>
      <c r="AQ293" s="958"/>
      <c r="AR293" s="958"/>
    </row>
    <row r="294" spans="1:44" s="95" customFormat="1" ht="3" customHeight="1">
      <c r="A294" s="155"/>
      <c r="C294" s="4379"/>
      <c r="D294" s="4379"/>
      <c r="E294" s="4379"/>
      <c r="F294" s="4379"/>
      <c r="G294" s="4379"/>
      <c r="H294" s="4379"/>
      <c r="J294" s="13"/>
      <c r="K294" s="13"/>
      <c r="L294" s="16"/>
      <c r="M294" s="2596"/>
      <c r="O294" s="13"/>
      <c r="P294" s="2596"/>
      <c r="Q294" s="13"/>
      <c r="S294" s="166"/>
      <c r="T294" s="959"/>
      <c r="U294" s="962"/>
      <c r="V294" s="959"/>
      <c r="W294" s="962"/>
      <c r="X294" s="959"/>
      <c r="Y294" s="959"/>
      <c r="Z294" s="959"/>
      <c r="AA294" s="959"/>
      <c r="AB294" s="959"/>
      <c r="AC294" s="959"/>
      <c r="AD294" s="959"/>
      <c r="AE294" s="959"/>
      <c r="AF294" s="959"/>
      <c r="AG294" s="959"/>
      <c r="AH294" s="166"/>
      <c r="AI294" s="166"/>
      <c r="AJ294" s="166"/>
      <c r="AK294" s="166"/>
      <c r="AL294" s="166"/>
      <c r="AM294" s="166"/>
      <c r="AN294" s="166"/>
      <c r="AO294" s="166"/>
      <c r="AP294" s="166"/>
      <c r="AQ294" s="166"/>
      <c r="AR294" s="166"/>
    </row>
    <row r="295" spans="1:44" s="95" customFormat="1" ht="10.5" customHeight="1">
      <c r="A295" s="155"/>
      <c r="C295" s="4379"/>
      <c r="D295" s="4379"/>
      <c r="E295" s="4379"/>
      <c r="F295" s="4379"/>
      <c r="G295" s="4379"/>
      <c r="H295" s="4379"/>
      <c r="O295" s="16"/>
      <c r="P295" s="28"/>
      <c r="S295" s="166"/>
      <c r="T295" s="166"/>
      <c r="U295" s="166"/>
      <c r="V295" s="959"/>
      <c r="W295" s="962"/>
      <c r="X295" s="959"/>
      <c r="Y295" s="166"/>
      <c r="Z295" s="960" t="str">
        <f>IF(AA295="","",IF(AA295&lt;AC295,"Check!!!",""))</f>
        <v/>
      </c>
      <c r="AA295" s="960" t="str">
        <f t="shared" ref="AA295:AG295" si="2">IF(AB295="","",IF(AB295&lt;AD295,"Check!!!",""))</f>
        <v/>
      </c>
      <c r="AB295" s="960" t="str">
        <f t="shared" si="2"/>
        <v/>
      </c>
      <c r="AC295" s="960" t="str">
        <f t="shared" si="2"/>
        <v/>
      </c>
      <c r="AD295" s="960" t="str">
        <f t="shared" si="2"/>
        <v/>
      </c>
      <c r="AE295" s="960" t="str">
        <f t="shared" si="2"/>
        <v/>
      </c>
      <c r="AF295" s="960" t="str">
        <f t="shared" si="2"/>
        <v/>
      </c>
      <c r="AG295" s="960" t="str">
        <f t="shared" si="2"/>
        <v/>
      </c>
      <c r="AH295" s="166"/>
      <c r="AI295" s="166"/>
      <c r="AJ295" s="166"/>
      <c r="AK295" s="166"/>
      <c r="AL295" s="166"/>
      <c r="AM295" s="166"/>
      <c r="AN295" s="166"/>
      <c r="AO295" s="166"/>
      <c r="AP295" s="166"/>
      <c r="AQ295" s="166"/>
      <c r="AR295" s="166"/>
    </row>
    <row r="296" spans="1:44" s="95" customFormat="1" ht="10.5" customHeight="1">
      <c r="A296" s="72" t="s">
        <v>219</v>
      </c>
      <c r="B296" s="104" t="s">
        <v>6619</v>
      </c>
      <c r="D296" s="2586"/>
      <c r="E296" s="2586"/>
      <c r="F296" s="2586"/>
      <c r="G296" s="2586"/>
      <c r="H296" s="2586"/>
      <c r="O296" s="16"/>
      <c r="P296" s="28"/>
      <c r="S296" s="166"/>
      <c r="T296" s="166"/>
      <c r="U296" s="166"/>
      <c r="V296" s="959"/>
      <c r="W296" s="962"/>
      <c r="X296" s="959"/>
      <c r="Y296" s="166"/>
      <c r="Z296" s="960"/>
      <c r="AA296" s="960"/>
      <c r="AB296" s="960"/>
      <c r="AC296" s="960"/>
      <c r="AD296" s="960"/>
      <c r="AE296" s="960"/>
      <c r="AF296" s="960"/>
      <c r="AG296" s="960"/>
      <c r="AH296" s="166"/>
      <c r="AI296" s="166"/>
      <c r="AJ296" s="166"/>
      <c r="AK296" s="166"/>
      <c r="AL296" s="166"/>
      <c r="AM296" s="166"/>
      <c r="AN296" s="166"/>
      <c r="AO296" s="166"/>
      <c r="AP296" s="166"/>
      <c r="AQ296" s="166"/>
      <c r="AR296" s="166"/>
    </row>
    <row r="297" spans="1:44" s="43" customFormat="1" ht="22.5" customHeight="1">
      <c r="B297" s="4379" t="s">
        <v>6620</v>
      </c>
      <c r="C297" s="4379"/>
      <c r="D297" s="4379"/>
      <c r="E297" s="4379"/>
      <c r="F297" s="4379"/>
      <c r="G297" s="4379"/>
      <c r="H297" s="4379"/>
      <c r="I297" s="4379"/>
      <c r="J297" s="4379"/>
      <c r="K297" s="4379"/>
      <c r="L297" s="4379"/>
      <c r="M297" s="4379"/>
      <c r="N297" s="4379"/>
      <c r="O297" s="84" t="s">
        <v>219</v>
      </c>
      <c r="P297" s="2919"/>
      <c r="Q297" s="2920"/>
      <c r="S297" s="958"/>
      <c r="T297" s="958"/>
      <c r="U297" s="958"/>
      <c r="V297" s="958"/>
      <c r="W297" s="958"/>
      <c r="X297" s="958"/>
      <c r="Y297" s="958"/>
      <c r="Z297" s="958"/>
      <c r="AA297" s="958"/>
      <c r="AB297" s="958"/>
      <c r="AC297" s="958"/>
      <c r="AD297" s="958"/>
      <c r="AE297" s="958"/>
      <c r="AF297" s="958"/>
      <c r="AG297" s="958"/>
      <c r="AH297" s="958"/>
      <c r="AI297" s="958"/>
      <c r="AJ297" s="958"/>
      <c r="AK297" s="958"/>
      <c r="AL297" s="958"/>
      <c r="AM297" s="958"/>
      <c r="AN297" s="958"/>
      <c r="AO297" s="958"/>
      <c r="AP297" s="958"/>
      <c r="AQ297" s="958"/>
      <c r="AR297" s="958"/>
    </row>
    <row r="298" spans="1:44" s="43" customFormat="1" ht="11.25" customHeight="1">
      <c r="B298" s="73" t="s">
        <v>6621</v>
      </c>
      <c r="D298" s="73"/>
      <c r="E298" s="73"/>
      <c r="F298" s="73"/>
      <c r="G298" s="73"/>
      <c r="H298" s="73"/>
      <c r="I298" s="73" t="s">
        <v>6622</v>
      </c>
      <c r="J298" s="73"/>
      <c r="K298" s="73"/>
      <c r="L298" s="4451"/>
      <c r="M298" s="4452"/>
      <c r="N298" s="4452"/>
      <c r="O298" s="4452"/>
      <c r="P298" s="4452"/>
      <c r="Q298" s="4453"/>
      <c r="R298" s="73"/>
      <c r="S298" s="958"/>
      <c r="T298" s="958"/>
      <c r="U298" s="958"/>
      <c r="V298" s="958"/>
      <c r="W298" s="958"/>
      <c r="X298" s="958"/>
      <c r="Y298" s="958"/>
      <c r="Z298" s="958"/>
      <c r="AA298" s="958"/>
      <c r="AB298" s="958"/>
      <c r="AC298" s="958"/>
      <c r="AD298" s="958"/>
      <c r="AE298" s="958"/>
      <c r="AF298" s="958"/>
      <c r="AG298" s="958"/>
      <c r="AH298" s="958"/>
      <c r="AI298" s="958"/>
      <c r="AJ298" s="958"/>
      <c r="AK298" s="958"/>
      <c r="AL298" s="958"/>
      <c r="AM298" s="958"/>
      <c r="AN298" s="958"/>
      <c r="AO298" s="958"/>
      <c r="AP298" s="958"/>
      <c r="AQ298" s="958"/>
      <c r="AR298" s="958"/>
    </row>
    <row r="299" spans="1:44" s="229" customFormat="1" ht="44.25" customHeight="1">
      <c r="B299" s="265" t="s">
        <v>1511</v>
      </c>
      <c r="C299" s="4379" t="s">
        <v>6623</v>
      </c>
      <c r="D299" s="4379"/>
      <c r="E299" s="4379"/>
      <c r="F299" s="4379"/>
      <c r="G299" s="4379"/>
      <c r="H299" s="4379"/>
      <c r="I299" s="4379"/>
      <c r="J299" s="4379"/>
      <c r="K299" s="4379"/>
      <c r="L299" s="4379"/>
      <c r="M299" s="4379"/>
      <c r="N299" s="4379"/>
      <c r="O299" s="84" t="s">
        <v>6624</v>
      </c>
      <c r="P299" s="2913"/>
      <c r="Q299" s="2914"/>
      <c r="S299" s="956"/>
      <c r="T299" s="956"/>
      <c r="U299" s="956"/>
      <c r="V299" s="956"/>
      <c r="W299" s="956"/>
      <c r="X299" s="956"/>
      <c r="Y299" s="956"/>
      <c r="Z299" s="956"/>
      <c r="AA299" s="956"/>
      <c r="AB299" s="956"/>
      <c r="AC299" s="956"/>
      <c r="AD299" s="956"/>
      <c r="AE299" s="956"/>
      <c r="AF299" s="956"/>
      <c r="AG299" s="956"/>
      <c r="AH299" s="956"/>
      <c r="AI299" s="956"/>
      <c r="AJ299" s="956"/>
      <c r="AK299" s="956"/>
      <c r="AL299" s="956"/>
      <c r="AM299" s="956"/>
      <c r="AN299" s="956"/>
      <c r="AO299" s="956"/>
      <c r="AP299" s="956"/>
      <c r="AQ299" s="956"/>
      <c r="AR299" s="956"/>
    </row>
    <row r="300" spans="1:44" s="229" customFormat="1" ht="34.5" customHeight="1">
      <c r="B300" s="265" t="s">
        <v>1513</v>
      </c>
      <c r="C300" s="4379" t="s">
        <v>6625</v>
      </c>
      <c r="D300" s="4379"/>
      <c r="E300" s="4379"/>
      <c r="F300" s="4379"/>
      <c r="G300" s="4379"/>
      <c r="H300" s="4379"/>
      <c r="I300" s="4379"/>
      <c r="J300" s="4379"/>
      <c r="K300" s="4379"/>
      <c r="L300" s="4379"/>
      <c r="M300" s="4379"/>
      <c r="N300" s="4379"/>
      <c r="O300" s="84" t="s">
        <v>6626</v>
      </c>
      <c r="P300" s="2594"/>
      <c r="Q300" s="2592"/>
      <c r="S300" s="956"/>
      <c r="T300" s="956"/>
      <c r="U300" s="956"/>
      <c r="V300" s="956"/>
      <c r="W300" s="956"/>
      <c r="X300" s="956"/>
      <c r="Y300" s="956"/>
      <c r="Z300" s="956"/>
      <c r="AA300" s="956"/>
      <c r="AB300" s="956"/>
      <c r="AC300" s="956"/>
      <c r="AD300" s="956"/>
      <c r="AE300" s="956"/>
      <c r="AF300" s="956"/>
      <c r="AG300" s="956"/>
      <c r="AH300" s="956"/>
      <c r="AI300" s="956"/>
      <c r="AJ300" s="956"/>
      <c r="AK300" s="956"/>
      <c r="AL300" s="956"/>
      <c r="AM300" s="956"/>
      <c r="AN300" s="956"/>
      <c r="AO300" s="956"/>
      <c r="AP300" s="956"/>
      <c r="AQ300" s="956"/>
      <c r="AR300" s="956"/>
    </row>
    <row r="301" spans="1:44" s="229" customFormat="1" ht="22.5" customHeight="1">
      <c r="B301" s="265" t="s">
        <v>1514</v>
      </c>
      <c r="C301" s="4379" t="s">
        <v>6627</v>
      </c>
      <c r="D301" s="4379"/>
      <c r="E301" s="4379"/>
      <c r="F301" s="4379"/>
      <c r="G301" s="4379"/>
      <c r="H301" s="4379"/>
      <c r="I301" s="4379"/>
      <c r="J301" s="4379"/>
      <c r="K301" s="4379"/>
      <c r="L301" s="4379"/>
      <c r="M301" s="4379"/>
      <c r="N301" s="4379"/>
      <c r="O301" s="84" t="s">
        <v>6628</v>
      </c>
      <c r="P301" s="2594"/>
      <c r="Q301" s="2592"/>
      <c r="S301" s="956"/>
      <c r="T301" s="956"/>
      <c r="U301" s="956"/>
      <c r="V301" s="956"/>
      <c r="W301" s="956"/>
      <c r="X301" s="956"/>
      <c r="Y301" s="956"/>
      <c r="Z301" s="956"/>
      <c r="AA301" s="956"/>
      <c r="AB301" s="956"/>
      <c r="AC301" s="956"/>
      <c r="AD301" s="956"/>
      <c r="AE301" s="956"/>
      <c r="AF301" s="956"/>
      <c r="AG301" s="956"/>
      <c r="AH301" s="956"/>
      <c r="AI301" s="956"/>
      <c r="AJ301" s="956"/>
      <c r="AK301" s="956"/>
      <c r="AL301" s="956"/>
      <c r="AM301" s="956"/>
      <c r="AN301" s="956"/>
      <c r="AO301" s="956"/>
      <c r="AP301" s="956"/>
      <c r="AQ301" s="956"/>
      <c r="AR301" s="956"/>
    </row>
    <row r="302" spans="1:44" s="229" customFormat="1" ht="34.5" customHeight="1">
      <c r="B302" s="265" t="s">
        <v>1515</v>
      </c>
      <c r="C302" s="4379" t="s">
        <v>6629</v>
      </c>
      <c r="D302" s="4379"/>
      <c r="E302" s="4379"/>
      <c r="F302" s="4379"/>
      <c r="G302" s="4379"/>
      <c r="H302" s="4379"/>
      <c r="I302" s="4379"/>
      <c r="J302" s="4379"/>
      <c r="K302" s="4379"/>
      <c r="L302" s="4379"/>
      <c r="M302" s="4379"/>
      <c r="N302" s="4379"/>
      <c r="O302" s="84" t="s">
        <v>6630</v>
      </c>
      <c r="P302" s="2595"/>
      <c r="Q302" s="2593"/>
      <c r="S302" s="956"/>
      <c r="T302" s="956"/>
      <c r="U302" s="956"/>
      <c r="V302" s="956"/>
      <c r="W302" s="956"/>
      <c r="X302" s="956"/>
      <c r="Y302" s="956"/>
      <c r="Z302" s="956"/>
      <c r="AA302" s="956"/>
      <c r="AB302" s="956"/>
      <c r="AC302" s="956"/>
      <c r="AD302" s="956"/>
      <c r="AE302" s="956"/>
      <c r="AF302" s="956"/>
      <c r="AG302" s="956"/>
      <c r="AH302" s="956"/>
      <c r="AI302" s="956"/>
      <c r="AJ302" s="956"/>
      <c r="AK302" s="956"/>
      <c r="AL302" s="956"/>
      <c r="AM302" s="956"/>
      <c r="AN302" s="956"/>
      <c r="AO302" s="956"/>
      <c r="AP302" s="956"/>
      <c r="AQ302" s="956"/>
      <c r="AR302" s="956"/>
    </row>
    <row r="303" spans="1:44" ht="11.25" customHeight="1">
      <c r="A303" s="77"/>
      <c r="B303" s="74" t="s">
        <v>1457</v>
      </c>
      <c r="C303" s="77"/>
      <c r="D303" s="74"/>
      <c r="E303" s="74"/>
      <c r="F303" s="74"/>
      <c r="G303" s="74"/>
      <c r="H303" s="16"/>
      <c r="I303" s="2596"/>
      <c r="J303" s="2596"/>
      <c r="K303" s="2596"/>
      <c r="L303" s="501"/>
      <c r="M303" s="501"/>
      <c r="N303" s="501"/>
      <c r="O303" s="501"/>
      <c r="P303" s="501"/>
      <c r="Q303" s="501"/>
      <c r="R303" s="77"/>
      <c r="S303" s="955"/>
      <c r="T303" s="955"/>
      <c r="U303" s="955"/>
      <c r="V303" s="955"/>
      <c r="W303" s="955"/>
      <c r="X303" s="955"/>
      <c r="Y303" s="955"/>
      <c r="Z303" s="955"/>
      <c r="AA303" s="955"/>
      <c r="AB303" s="955"/>
      <c r="AC303" s="955"/>
      <c r="AD303" s="955"/>
      <c r="AE303" s="955"/>
      <c r="AF303" s="955"/>
      <c r="AG303" s="955"/>
      <c r="AH303" s="955"/>
      <c r="AI303" s="955"/>
      <c r="AJ303" s="955"/>
      <c r="AK303" s="955"/>
      <c r="AL303" s="955"/>
      <c r="AM303" s="955"/>
      <c r="AN303" s="955"/>
      <c r="AO303" s="955"/>
      <c r="AP303" s="955"/>
      <c r="AQ303" s="955"/>
      <c r="AR303" s="955"/>
    </row>
    <row r="304" spans="1:44" ht="32.25" customHeight="1">
      <c r="A304" s="4390"/>
      <c r="B304" s="4391"/>
      <c r="C304" s="4391"/>
      <c r="D304" s="4391"/>
      <c r="E304" s="4391"/>
      <c r="F304" s="4391"/>
      <c r="G304" s="4391"/>
      <c r="H304" s="4391"/>
      <c r="I304" s="4391"/>
      <c r="J304" s="4391"/>
      <c r="K304" s="4391"/>
      <c r="L304" s="4391"/>
      <c r="M304" s="4391"/>
      <c r="N304" s="4391"/>
      <c r="O304" s="4391"/>
      <c r="P304" s="4391"/>
      <c r="Q304" s="4392"/>
      <c r="R304" s="248" t="s">
        <v>6410</v>
      </c>
      <c r="S304" s="953"/>
      <c r="T304" s="955"/>
      <c r="U304" s="954"/>
      <c r="V304" s="954"/>
      <c r="W304" s="954"/>
      <c r="X304" s="954"/>
      <c r="Y304" s="954"/>
      <c r="Z304" s="954"/>
      <c r="AA304" s="954"/>
      <c r="AB304" s="954"/>
      <c r="AC304" s="954"/>
      <c r="AD304" s="954"/>
      <c r="AE304" s="954"/>
      <c r="AF304" s="955"/>
      <c r="AG304" s="955"/>
      <c r="AH304" s="955"/>
      <c r="AI304" s="955"/>
      <c r="AJ304" s="955"/>
      <c r="AK304" s="955"/>
      <c r="AL304" s="955"/>
      <c r="AM304" s="955"/>
      <c r="AN304" s="955"/>
      <c r="AO304" s="955"/>
      <c r="AP304" s="955"/>
      <c r="AQ304" s="955"/>
      <c r="AR304" s="955"/>
    </row>
    <row r="305" spans="1:256 1523:1523" ht="11.25" customHeight="1">
      <c r="A305" s="77"/>
      <c r="B305" s="70" t="s">
        <v>1453</v>
      </c>
      <c r="C305" s="71"/>
      <c r="D305" s="2586"/>
      <c r="E305" s="2586"/>
      <c r="F305" s="2586"/>
      <c r="G305" s="2586"/>
      <c r="H305" s="2586"/>
      <c r="I305" s="2586"/>
      <c r="J305" s="2586"/>
      <c r="K305" s="2586"/>
      <c r="L305" s="2586"/>
      <c r="M305" s="2586"/>
      <c r="N305" s="2586"/>
      <c r="O305" s="2586"/>
      <c r="P305" s="2586"/>
      <c r="Q305" s="2586"/>
      <c r="R305" s="77"/>
      <c r="S305" s="955"/>
      <c r="T305" s="955"/>
      <c r="U305" s="955"/>
      <c r="V305" s="955"/>
      <c r="W305" s="955"/>
      <c r="X305" s="955"/>
      <c r="Y305" s="955"/>
      <c r="Z305" s="955"/>
      <c r="AA305" s="955"/>
      <c r="AB305" s="955"/>
      <c r="AC305" s="955"/>
      <c r="AD305" s="955"/>
      <c r="AE305" s="955"/>
      <c r="AF305" s="955"/>
      <c r="AG305" s="955"/>
      <c r="AH305" s="955"/>
      <c r="AI305" s="955"/>
      <c r="AJ305" s="955"/>
      <c r="AK305" s="955"/>
      <c r="AL305" s="955"/>
      <c r="AM305" s="955"/>
      <c r="AN305" s="955"/>
      <c r="AO305" s="955"/>
      <c r="AP305" s="955"/>
      <c r="AQ305" s="955"/>
      <c r="AR305" s="955"/>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c r="DI305" s="77"/>
      <c r="DJ305" s="77"/>
      <c r="DK305" s="77"/>
      <c r="DL305" s="77"/>
      <c r="DM305" s="77"/>
      <c r="DN305" s="77"/>
      <c r="DO305" s="77"/>
      <c r="DP305" s="77"/>
      <c r="DQ305" s="77"/>
      <c r="DR305" s="77"/>
      <c r="DS305" s="77"/>
      <c r="DT305" s="77"/>
      <c r="DU305" s="77"/>
      <c r="DV305" s="77"/>
      <c r="DW305" s="77"/>
      <c r="DX305" s="77"/>
      <c r="DY305" s="77"/>
      <c r="DZ305" s="77"/>
      <c r="EA305" s="77"/>
      <c r="EB305" s="77"/>
      <c r="EC305" s="77"/>
      <c r="ED305" s="77"/>
      <c r="EE305" s="77"/>
      <c r="EF305" s="77"/>
      <c r="EG305" s="77"/>
      <c r="EH305" s="77"/>
      <c r="EI305" s="77"/>
      <c r="EJ305" s="77"/>
      <c r="EK305" s="77"/>
      <c r="EL305" s="77"/>
      <c r="EM305" s="77"/>
      <c r="EN305" s="77"/>
      <c r="EO305" s="77"/>
      <c r="EP305" s="77"/>
      <c r="EQ305" s="77"/>
      <c r="ER305" s="77"/>
      <c r="ES305" s="77"/>
      <c r="ET305" s="77"/>
      <c r="EU305" s="77"/>
      <c r="EV305" s="77"/>
      <c r="EW305" s="77"/>
      <c r="EX305" s="77"/>
      <c r="EY305" s="77"/>
      <c r="EZ305" s="77"/>
      <c r="FA305" s="77"/>
      <c r="FB305" s="77"/>
      <c r="FC305" s="77"/>
      <c r="FD305" s="77"/>
      <c r="FE305" s="77"/>
      <c r="FF305" s="77"/>
      <c r="FG305" s="77"/>
      <c r="FH305" s="77"/>
      <c r="FI305" s="77"/>
      <c r="FJ305" s="77"/>
      <c r="FK305" s="77"/>
      <c r="FL305" s="77"/>
      <c r="FM305" s="77"/>
      <c r="FN305" s="77"/>
      <c r="FO305" s="77"/>
      <c r="FP305" s="77"/>
      <c r="FQ305" s="77"/>
      <c r="FR305" s="77"/>
      <c r="FS305" s="77"/>
      <c r="FT305" s="77"/>
      <c r="FU305" s="77"/>
      <c r="FV305" s="77"/>
      <c r="FW305" s="77"/>
      <c r="FX305" s="77"/>
      <c r="FY305" s="77"/>
      <c r="FZ305" s="77"/>
      <c r="GA305" s="77"/>
      <c r="GB305" s="77"/>
      <c r="GC305" s="77"/>
      <c r="GD305" s="77"/>
      <c r="GE305" s="77"/>
      <c r="GF305" s="77"/>
      <c r="GG305" s="77"/>
      <c r="GH305" s="77"/>
      <c r="GI305" s="77"/>
      <c r="GJ305" s="77"/>
      <c r="GK305" s="77"/>
      <c r="GL305" s="77"/>
      <c r="GM305" s="77"/>
      <c r="GN305" s="77"/>
      <c r="GO305" s="77"/>
      <c r="GP305" s="77"/>
      <c r="GQ305" s="77"/>
      <c r="GR305" s="77"/>
      <c r="GS305" s="77"/>
      <c r="GT305" s="77"/>
      <c r="GU305" s="77"/>
      <c r="GV305" s="77"/>
      <c r="GW305" s="77"/>
      <c r="GX305" s="77"/>
      <c r="GY305" s="77"/>
      <c r="GZ305" s="77"/>
      <c r="HA305" s="77"/>
      <c r="HB305" s="77"/>
      <c r="HC305" s="77"/>
      <c r="HD305" s="77"/>
      <c r="HE305" s="77"/>
      <c r="HF305" s="77"/>
      <c r="HG305" s="77"/>
      <c r="HH305" s="77"/>
      <c r="HI305" s="77"/>
      <c r="HJ305" s="77"/>
      <c r="HK305" s="77"/>
      <c r="HL305" s="77"/>
      <c r="HM305" s="77"/>
      <c r="HN305" s="77"/>
      <c r="HO305" s="77"/>
      <c r="HP305" s="77"/>
      <c r="HQ305" s="77"/>
      <c r="HR305" s="77"/>
      <c r="HS305" s="77"/>
      <c r="HT305" s="77"/>
      <c r="HU305" s="77"/>
      <c r="HV305" s="77"/>
      <c r="HW305" s="77"/>
      <c r="HX305" s="77"/>
      <c r="HY305" s="77"/>
      <c r="HZ305" s="77"/>
      <c r="IA305" s="77"/>
      <c r="IB305" s="77"/>
      <c r="IC305" s="77"/>
      <c r="ID305" s="77"/>
      <c r="IE305" s="77"/>
      <c r="IF305" s="77"/>
      <c r="IG305" s="77"/>
      <c r="IH305" s="77"/>
      <c r="II305" s="77"/>
      <c r="IJ305" s="77"/>
      <c r="IK305" s="77"/>
      <c r="IL305" s="77"/>
      <c r="IM305" s="77"/>
      <c r="IN305" s="77"/>
      <c r="IO305" s="77"/>
      <c r="IP305" s="77"/>
      <c r="IQ305" s="77"/>
      <c r="IR305" s="77"/>
      <c r="IS305" s="77"/>
      <c r="IT305" s="77"/>
      <c r="IU305" s="77"/>
      <c r="IV305" s="77"/>
      <c r="BFO305" s="77"/>
    </row>
    <row r="306" spans="1:256 1523:1523" ht="45.75" customHeight="1">
      <c r="A306" s="4387"/>
      <c r="B306" s="4388"/>
      <c r="C306" s="4388"/>
      <c r="D306" s="4388"/>
      <c r="E306" s="4388"/>
      <c r="F306" s="4388"/>
      <c r="G306" s="4388"/>
      <c r="H306" s="4388"/>
      <c r="I306" s="4388"/>
      <c r="J306" s="4388"/>
      <c r="K306" s="4388"/>
      <c r="L306" s="4388"/>
      <c r="M306" s="4388"/>
      <c r="N306" s="4388"/>
      <c r="O306" s="4388"/>
      <c r="P306" s="4388"/>
      <c r="Q306" s="4389"/>
      <c r="R306" s="77"/>
      <c r="S306" s="955"/>
      <c r="T306" s="955"/>
      <c r="U306" s="955"/>
      <c r="V306" s="955"/>
      <c r="W306" s="955"/>
      <c r="X306" s="955"/>
      <c r="Y306" s="955"/>
      <c r="Z306" s="955"/>
      <c r="AA306" s="955"/>
      <c r="AB306" s="955"/>
      <c r="AC306" s="955"/>
      <c r="AD306" s="955"/>
      <c r="AE306" s="955"/>
      <c r="AF306" s="955"/>
      <c r="AG306" s="955"/>
      <c r="AH306" s="955"/>
      <c r="AI306" s="955"/>
      <c r="AJ306" s="955"/>
      <c r="AK306" s="955"/>
      <c r="AL306" s="955"/>
      <c r="AM306" s="955"/>
      <c r="AN306" s="955"/>
      <c r="AO306" s="955"/>
      <c r="AP306" s="955"/>
      <c r="AQ306" s="955"/>
      <c r="AR306" s="955"/>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c r="DA306" s="77"/>
      <c r="DB306" s="77"/>
      <c r="DC306" s="77"/>
      <c r="DD306" s="77"/>
      <c r="DE306" s="77"/>
      <c r="DF306" s="77"/>
      <c r="DG306" s="77"/>
      <c r="DH306" s="77"/>
      <c r="DI306" s="77"/>
      <c r="DJ306" s="77"/>
      <c r="DK306" s="77"/>
      <c r="DL306" s="77"/>
      <c r="DM306" s="77"/>
      <c r="DN306" s="77"/>
      <c r="DO306" s="77"/>
      <c r="DP306" s="77"/>
      <c r="DQ306" s="77"/>
      <c r="DR306" s="77"/>
      <c r="DS306" s="77"/>
      <c r="DT306" s="77"/>
      <c r="DU306" s="77"/>
      <c r="DV306" s="77"/>
      <c r="DW306" s="77"/>
      <c r="DX306" s="77"/>
      <c r="DY306" s="77"/>
      <c r="DZ306" s="77"/>
      <c r="EA306" s="77"/>
      <c r="EB306" s="77"/>
      <c r="EC306" s="77"/>
      <c r="ED306" s="77"/>
      <c r="EE306" s="77"/>
      <c r="EF306" s="77"/>
      <c r="EG306" s="77"/>
      <c r="EH306" s="77"/>
      <c r="EI306" s="77"/>
      <c r="EJ306" s="77"/>
      <c r="EK306" s="77"/>
      <c r="EL306" s="77"/>
      <c r="EM306" s="77"/>
      <c r="EN306" s="77"/>
      <c r="EO306" s="77"/>
      <c r="EP306" s="77"/>
      <c r="EQ306" s="77"/>
      <c r="ER306" s="77"/>
      <c r="ES306" s="77"/>
      <c r="ET306" s="77"/>
      <c r="EU306" s="77"/>
      <c r="EV306" s="77"/>
      <c r="EW306" s="77"/>
      <c r="EX306" s="77"/>
      <c r="EY306" s="77"/>
      <c r="EZ306" s="77"/>
      <c r="FA306" s="77"/>
      <c r="FB306" s="77"/>
      <c r="FC306" s="77"/>
      <c r="FD306" s="77"/>
      <c r="FE306" s="77"/>
      <c r="FF306" s="77"/>
      <c r="FG306" s="77"/>
      <c r="FH306" s="77"/>
      <c r="FI306" s="77"/>
      <c r="FJ306" s="77"/>
      <c r="FK306" s="77"/>
      <c r="FL306" s="77"/>
      <c r="FM306" s="77"/>
      <c r="FN306" s="77"/>
      <c r="FO306" s="77"/>
      <c r="FP306" s="77"/>
      <c r="FQ306" s="77"/>
      <c r="FR306" s="77"/>
      <c r="FS306" s="77"/>
      <c r="FT306" s="77"/>
      <c r="FU306" s="77"/>
      <c r="FV306" s="77"/>
      <c r="FW306" s="77"/>
      <c r="FX306" s="77"/>
      <c r="FY306" s="77"/>
      <c r="FZ306" s="77"/>
      <c r="GA306" s="77"/>
      <c r="GB306" s="77"/>
      <c r="GC306" s="77"/>
      <c r="GD306" s="77"/>
      <c r="GE306" s="77"/>
      <c r="GF306" s="77"/>
      <c r="GG306" s="77"/>
      <c r="GH306" s="77"/>
      <c r="GI306" s="77"/>
      <c r="GJ306" s="77"/>
      <c r="GK306" s="77"/>
      <c r="GL306" s="77"/>
      <c r="GM306" s="77"/>
      <c r="GN306" s="77"/>
      <c r="GO306" s="77"/>
      <c r="GP306" s="77"/>
      <c r="GQ306" s="77"/>
      <c r="GR306" s="77"/>
      <c r="GS306" s="77"/>
      <c r="GT306" s="77"/>
      <c r="GU306" s="77"/>
      <c r="GV306" s="77"/>
      <c r="GW306" s="77"/>
      <c r="GX306" s="77"/>
      <c r="GY306" s="77"/>
      <c r="GZ306" s="77"/>
      <c r="HA306" s="77"/>
      <c r="HB306" s="77"/>
      <c r="HC306" s="77"/>
      <c r="HD306" s="77"/>
      <c r="HE306" s="77"/>
      <c r="HF306" s="77"/>
      <c r="HG306" s="77"/>
      <c r="HH306" s="77"/>
      <c r="HI306" s="77"/>
      <c r="HJ306" s="77"/>
      <c r="HK306" s="77"/>
      <c r="HL306" s="77"/>
      <c r="HM306" s="77"/>
      <c r="HN306" s="77"/>
      <c r="HO306" s="77"/>
      <c r="HP306" s="77"/>
      <c r="HQ306" s="77"/>
      <c r="HR306" s="77"/>
      <c r="HS306" s="77"/>
      <c r="HT306" s="77"/>
      <c r="HU306" s="77"/>
      <c r="HV306" s="77"/>
      <c r="HW306" s="77"/>
      <c r="HX306" s="77"/>
      <c r="HY306" s="77"/>
      <c r="HZ306" s="77"/>
      <c r="IA306" s="77"/>
      <c r="IB306" s="77"/>
      <c r="IC306" s="77"/>
      <c r="ID306" s="77"/>
      <c r="IE306" s="77"/>
      <c r="IF306" s="77"/>
      <c r="IG306" s="77"/>
      <c r="IH306" s="77"/>
      <c r="II306" s="77"/>
      <c r="IJ306" s="77"/>
      <c r="IK306" s="77"/>
      <c r="IL306" s="77"/>
      <c r="IM306" s="77"/>
      <c r="IN306" s="77"/>
      <c r="IO306" s="77"/>
      <c r="IP306" s="77"/>
      <c r="IQ306" s="77"/>
      <c r="IR306" s="77"/>
      <c r="IS306" s="77"/>
      <c r="IT306" s="77"/>
      <c r="IU306" s="77"/>
      <c r="IV306" s="77"/>
      <c r="BFO306" s="77"/>
    </row>
    <row r="307" spans="1:256 1523:1523" ht="14.1" customHeight="1">
      <c r="A307" s="2521" t="s">
        <v>1557</v>
      </c>
      <c r="B307" s="3" t="s">
        <v>1549</v>
      </c>
      <c r="C307" s="3"/>
      <c r="D307" s="3"/>
      <c r="E307" s="3"/>
      <c r="F307" s="3"/>
      <c r="G307" s="3"/>
      <c r="H307" s="2586"/>
      <c r="I307" s="2586"/>
      <c r="J307" s="2586"/>
      <c r="K307" s="2586"/>
      <c r="L307" s="2586"/>
      <c r="M307" s="2586"/>
      <c r="N307" s="77"/>
      <c r="O307" s="66" t="s">
        <v>1451</v>
      </c>
      <c r="P307" s="4501"/>
      <c r="Q307" s="4502"/>
      <c r="R307" s="77"/>
      <c r="S307" s="955"/>
      <c r="T307" s="955"/>
      <c r="U307" s="955"/>
      <c r="V307" s="955"/>
      <c r="W307" s="955"/>
      <c r="X307" s="955"/>
      <c r="Y307" s="955"/>
      <c r="Z307" s="955"/>
      <c r="AA307" s="955"/>
      <c r="AB307" s="955"/>
      <c r="AC307" s="955"/>
      <c r="AD307" s="955"/>
      <c r="AE307" s="955"/>
      <c r="AF307" s="955"/>
      <c r="AG307" s="955"/>
      <c r="AH307" s="955"/>
      <c r="AI307" s="955"/>
      <c r="AJ307" s="955"/>
      <c r="AK307" s="955"/>
      <c r="AL307" s="955"/>
      <c r="AM307" s="955"/>
      <c r="AN307" s="955"/>
      <c r="AO307" s="955"/>
      <c r="AP307" s="955"/>
      <c r="AQ307" s="955"/>
      <c r="AR307" s="955"/>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c r="DA307" s="77"/>
      <c r="DB307" s="77"/>
      <c r="DC307" s="77"/>
      <c r="DD307" s="77"/>
      <c r="DE307" s="77"/>
      <c r="DF307" s="77"/>
      <c r="DG307" s="77"/>
      <c r="DH307" s="77"/>
      <c r="DI307" s="77"/>
      <c r="DJ307" s="77"/>
      <c r="DK307" s="77"/>
      <c r="DL307" s="77"/>
      <c r="DM307" s="77"/>
      <c r="DN307" s="77"/>
      <c r="DO307" s="77"/>
      <c r="DP307" s="77"/>
      <c r="DQ307" s="77"/>
      <c r="DR307" s="77"/>
      <c r="DS307" s="77"/>
      <c r="DT307" s="77"/>
      <c r="DU307" s="77"/>
      <c r="DV307" s="77"/>
      <c r="DW307" s="77"/>
      <c r="DX307" s="77"/>
      <c r="DY307" s="77"/>
      <c r="DZ307" s="77"/>
      <c r="EA307" s="77"/>
      <c r="EB307" s="77"/>
      <c r="EC307" s="77"/>
      <c r="ED307" s="77"/>
      <c r="EE307" s="77"/>
      <c r="EF307" s="77"/>
      <c r="EG307" s="77"/>
      <c r="EH307" s="77"/>
      <c r="EI307" s="77"/>
      <c r="EJ307" s="77"/>
      <c r="EK307" s="77"/>
      <c r="EL307" s="77"/>
      <c r="EM307" s="77"/>
      <c r="EN307" s="77"/>
      <c r="EO307" s="77"/>
      <c r="EP307" s="77"/>
      <c r="EQ307" s="77"/>
      <c r="ER307" s="77"/>
      <c r="ES307" s="77"/>
      <c r="ET307" s="77"/>
      <c r="EU307" s="77"/>
      <c r="EV307" s="77"/>
      <c r="EW307" s="77"/>
      <c r="EX307" s="77"/>
      <c r="EY307" s="77"/>
      <c r="EZ307" s="77"/>
      <c r="FA307" s="77"/>
      <c r="FB307" s="77"/>
      <c r="FC307" s="77"/>
      <c r="FD307" s="77"/>
      <c r="FE307" s="77"/>
      <c r="FF307" s="77"/>
      <c r="FG307" s="77"/>
      <c r="FH307" s="77"/>
      <c r="FI307" s="77"/>
      <c r="FJ307" s="77"/>
      <c r="FK307" s="77"/>
      <c r="FL307" s="77"/>
      <c r="FM307" s="77"/>
      <c r="FN307" s="77"/>
      <c r="FO307" s="77"/>
      <c r="FP307" s="77"/>
      <c r="FQ307" s="77"/>
      <c r="FR307" s="77"/>
      <c r="FS307" s="77"/>
      <c r="FT307" s="77"/>
      <c r="FU307" s="77"/>
      <c r="FV307" s="77"/>
      <c r="FW307" s="77"/>
      <c r="FX307" s="77"/>
      <c r="FY307" s="77"/>
      <c r="FZ307" s="77"/>
      <c r="GA307" s="77"/>
      <c r="GB307" s="77"/>
      <c r="GC307" s="77"/>
      <c r="GD307" s="77"/>
      <c r="GE307" s="77"/>
      <c r="GF307" s="77"/>
      <c r="GG307" s="77"/>
      <c r="GH307" s="77"/>
      <c r="GI307" s="77"/>
      <c r="GJ307" s="77"/>
      <c r="GK307" s="77"/>
      <c r="GL307" s="77"/>
      <c r="GM307" s="77"/>
      <c r="GN307" s="77"/>
      <c r="GO307" s="77"/>
      <c r="GP307" s="77"/>
      <c r="GQ307" s="77"/>
      <c r="GR307" s="77"/>
      <c r="GS307" s="77"/>
      <c r="GT307" s="77"/>
      <c r="GU307" s="77"/>
      <c r="GV307" s="77"/>
      <c r="GW307" s="77"/>
      <c r="GX307" s="77"/>
      <c r="GY307" s="77"/>
      <c r="GZ307" s="77"/>
      <c r="HA307" s="77"/>
      <c r="HB307" s="77"/>
      <c r="HC307" s="77"/>
      <c r="HD307" s="77"/>
      <c r="HE307" s="77"/>
      <c r="HF307" s="77"/>
      <c r="HG307" s="77"/>
      <c r="HH307" s="77"/>
      <c r="HI307" s="77"/>
      <c r="HJ307" s="77"/>
      <c r="HK307" s="77"/>
      <c r="HL307" s="77"/>
      <c r="HM307" s="77"/>
      <c r="HN307" s="77"/>
      <c r="HO307" s="77"/>
      <c r="HP307" s="77"/>
      <c r="HQ307" s="77"/>
      <c r="HR307" s="77"/>
      <c r="HS307" s="77"/>
      <c r="HT307" s="77"/>
      <c r="HU307" s="77"/>
      <c r="HV307" s="77"/>
      <c r="HW307" s="77"/>
      <c r="HX307" s="77"/>
      <c r="HY307" s="77"/>
      <c r="HZ307" s="77"/>
      <c r="IA307" s="77"/>
      <c r="IB307" s="77"/>
      <c r="IC307" s="77"/>
      <c r="ID307" s="77"/>
      <c r="IE307" s="77"/>
      <c r="IF307" s="77"/>
      <c r="IG307" s="77"/>
      <c r="IH307" s="77"/>
      <c r="II307" s="77"/>
      <c r="IJ307" s="77"/>
      <c r="IK307" s="77"/>
      <c r="IL307" s="77"/>
      <c r="IM307" s="77"/>
      <c r="IN307" s="77"/>
      <c r="IO307" s="77"/>
      <c r="IP307" s="77"/>
      <c r="IQ307" s="77"/>
      <c r="IR307" s="77"/>
      <c r="IS307" s="77"/>
      <c r="IT307" s="77"/>
      <c r="IU307" s="77"/>
      <c r="IV307" s="77"/>
      <c r="BFO307" s="77"/>
    </row>
    <row r="308" spans="1:256 1523:1523" ht="11.7" customHeight="1">
      <c r="A308" s="77"/>
      <c r="B308" s="25" t="s">
        <v>6631</v>
      </c>
      <c r="C308" s="77"/>
      <c r="D308" s="77"/>
      <c r="E308" s="77"/>
      <c r="F308" s="77"/>
      <c r="G308" s="77"/>
      <c r="H308" s="77"/>
      <c r="I308" s="77"/>
      <c r="J308" s="77"/>
      <c r="K308" s="77"/>
      <c r="L308" s="77"/>
      <c r="M308" s="77"/>
      <c r="N308" s="77"/>
      <c r="O308" s="77"/>
      <c r="P308" s="2898"/>
      <c r="Q308" s="2899"/>
      <c r="R308" s="77"/>
      <c r="S308" s="955"/>
      <c r="T308" s="955"/>
      <c r="U308" s="955"/>
      <c r="V308" s="955"/>
      <c r="W308" s="955"/>
      <c r="X308" s="955"/>
      <c r="Y308" s="955"/>
      <c r="Z308" s="955"/>
      <c r="AA308" s="955"/>
      <c r="AB308" s="955"/>
      <c r="AC308" s="955"/>
      <c r="AD308" s="955"/>
      <c r="AE308" s="955"/>
      <c r="AF308" s="955"/>
      <c r="AG308" s="955"/>
      <c r="AH308" s="955"/>
      <c r="AI308" s="955"/>
      <c r="AJ308" s="955"/>
      <c r="AK308" s="955"/>
      <c r="AL308" s="955"/>
      <c r="AM308" s="955"/>
      <c r="AN308" s="955"/>
      <c r="AO308" s="955"/>
      <c r="AP308" s="955"/>
      <c r="AQ308" s="955"/>
      <c r="AR308" s="955"/>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c r="DA308" s="77"/>
      <c r="DB308" s="77"/>
      <c r="DC308" s="77"/>
      <c r="DD308" s="77"/>
      <c r="DE308" s="77"/>
      <c r="DF308" s="77"/>
      <c r="DG308" s="77"/>
      <c r="DH308" s="77"/>
      <c r="DI308" s="77"/>
      <c r="DJ308" s="77"/>
      <c r="DK308" s="77"/>
      <c r="DL308" s="77"/>
      <c r="DM308" s="77"/>
      <c r="DN308" s="77"/>
      <c r="DO308" s="77"/>
      <c r="DP308" s="77"/>
      <c r="DQ308" s="77"/>
      <c r="DR308" s="77"/>
      <c r="DS308" s="77"/>
      <c r="DT308" s="77"/>
      <c r="DU308" s="77"/>
      <c r="DV308" s="77"/>
      <c r="DW308" s="77"/>
      <c r="DX308" s="77"/>
      <c r="DY308" s="77"/>
      <c r="DZ308" s="77"/>
      <c r="EA308" s="77"/>
      <c r="EB308" s="77"/>
      <c r="EC308" s="77"/>
      <c r="ED308" s="77"/>
      <c r="EE308" s="77"/>
      <c r="EF308" s="77"/>
      <c r="EG308" s="77"/>
      <c r="EH308" s="77"/>
      <c r="EI308" s="77"/>
      <c r="EJ308" s="77"/>
      <c r="EK308" s="77"/>
      <c r="EL308" s="77"/>
      <c r="EM308" s="77"/>
      <c r="EN308" s="77"/>
      <c r="EO308" s="77"/>
      <c r="EP308" s="77"/>
      <c r="EQ308" s="77"/>
      <c r="ER308" s="77"/>
      <c r="ES308" s="77"/>
      <c r="ET308" s="77"/>
      <c r="EU308" s="77"/>
      <c r="EV308" s="77"/>
      <c r="EW308" s="77"/>
      <c r="EX308" s="77"/>
      <c r="EY308" s="77"/>
      <c r="EZ308" s="77"/>
      <c r="FA308" s="77"/>
      <c r="FB308" s="77"/>
      <c r="FC308" s="77"/>
      <c r="FD308" s="77"/>
      <c r="FE308" s="77"/>
      <c r="FF308" s="77"/>
      <c r="FG308" s="77"/>
      <c r="FH308" s="77"/>
      <c r="FI308" s="77"/>
      <c r="FJ308" s="77"/>
      <c r="FK308" s="77"/>
      <c r="FL308" s="77"/>
      <c r="FM308" s="77"/>
      <c r="FN308" s="77"/>
      <c r="FO308" s="77"/>
      <c r="FP308" s="77"/>
      <c r="FQ308" s="77"/>
      <c r="FR308" s="77"/>
      <c r="FS308" s="77"/>
      <c r="FT308" s="77"/>
      <c r="FU308" s="77"/>
      <c r="FV308" s="77"/>
      <c r="FW308" s="77"/>
      <c r="FX308" s="77"/>
      <c r="FY308" s="77"/>
      <c r="FZ308" s="77"/>
      <c r="GA308" s="77"/>
      <c r="GB308" s="77"/>
      <c r="GC308" s="77"/>
      <c r="GD308" s="77"/>
      <c r="GE308" s="77"/>
      <c r="GF308" s="77"/>
      <c r="GG308" s="77"/>
      <c r="GH308" s="77"/>
      <c r="GI308" s="77"/>
      <c r="GJ308" s="77"/>
      <c r="GK308" s="77"/>
      <c r="GL308" s="77"/>
      <c r="GM308" s="77"/>
      <c r="GN308" s="77"/>
      <c r="GO308" s="77"/>
      <c r="GP308" s="77"/>
      <c r="GQ308" s="77"/>
      <c r="GR308" s="77"/>
      <c r="GS308" s="77"/>
      <c r="GT308" s="77"/>
      <c r="GU308" s="77"/>
      <c r="GV308" s="77"/>
      <c r="GW308" s="77"/>
      <c r="GX308" s="77"/>
      <c r="GY308" s="77"/>
      <c r="GZ308" s="77"/>
      <c r="HA308" s="77"/>
      <c r="HB308" s="77"/>
      <c r="HC308" s="77"/>
      <c r="HD308" s="77"/>
      <c r="HE308" s="77"/>
      <c r="HF308" s="77"/>
      <c r="HG308" s="77"/>
      <c r="HH308" s="77"/>
      <c r="HI308" s="77"/>
      <c r="HJ308" s="77"/>
      <c r="HK308" s="77"/>
      <c r="HL308" s="77"/>
      <c r="HM308" s="77"/>
      <c r="HN308" s="77"/>
      <c r="HO308" s="77"/>
      <c r="HP308" s="77"/>
      <c r="HQ308" s="77"/>
      <c r="HR308" s="77"/>
      <c r="HS308" s="77"/>
      <c r="HT308" s="77"/>
      <c r="HU308" s="77"/>
      <c r="HV308" s="77"/>
      <c r="HW308" s="77"/>
      <c r="HX308" s="77"/>
      <c r="HY308" s="77"/>
      <c r="HZ308" s="77"/>
      <c r="IA308" s="77"/>
      <c r="IB308" s="77"/>
      <c r="IC308" s="77"/>
      <c r="ID308" s="77"/>
      <c r="IE308" s="77"/>
      <c r="IF308" s="77"/>
      <c r="IG308" s="77"/>
      <c r="IH308" s="77"/>
      <c r="II308" s="77"/>
      <c r="IJ308" s="77"/>
      <c r="IK308" s="77"/>
      <c r="IL308" s="77"/>
      <c r="IM308" s="77"/>
      <c r="IN308" s="77"/>
      <c r="IO308" s="77"/>
      <c r="IP308" s="77"/>
      <c r="IQ308" s="77"/>
      <c r="IR308" s="77"/>
      <c r="IS308" s="77"/>
      <c r="IT308" s="77"/>
      <c r="IU308" s="77"/>
      <c r="IV308" s="77"/>
      <c r="BFO308" s="77"/>
    </row>
    <row r="309" spans="1:256 1523:1523" ht="12" customHeight="1">
      <c r="A309" s="77"/>
      <c r="B309" s="265" t="s">
        <v>6632</v>
      </c>
      <c r="C309" s="265"/>
      <c r="D309" s="265"/>
      <c r="E309" s="265"/>
      <c r="F309" s="265"/>
      <c r="G309" s="265"/>
      <c r="H309" s="265"/>
      <c r="I309" s="265"/>
      <c r="J309" s="265"/>
      <c r="K309" s="265"/>
      <c r="L309" s="265"/>
      <c r="M309" s="77"/>
      <c r="N309" s="77"/>
      <c r="O309" s="77"/>
      <c r="P309" s="118"/>
      <c r="Q309" s="300"/>
      <c r="R309" s="77"/>
      <c r="S309" s="955"/>
      <c r="T309" s="955"/>
      <c r="U309" s="955"/>
      <c r="V309" s="955"/>
      <c r="W309" s="955"/>
      <c r="X309" s="955"/>
      <c r="Y309" s="955"/>
      <c r="Z309" s="955"/>
      <c r="AA309" s="955"/>
      <c r="AB309" s="955"/>
      <c r="AC309" s="955"/>
      <c r="AD309" s="955"/>
      <c r="AE309" s="955"/>
      <c r="AF309" s="955"/>
      <c r="AG309" s="955"/>
      <c r="AH309" s="955"/>
      <c r="AI309" s="955"/>
      <c r="AJ309" s="955"/>
      <c r="AK309" s="955"/>
      <c r="AL309" s="955"/>
      <c r="AM309" s="955"/>
      <c r="AN309" s="955"/>
      <c r="AO309" s="955"/>
      <c r="AP309" s="955"/>
      <c r="AQ309" s="955"/>
      <c r="AR309" s="955"/>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c r="DA309" s="77"/>
      <c r="DB309" s="77"/>
      <c r="DC309" s="77"/>
      <c r="DD309" s="77"/>
      <c r="DE309" s="77"/>
      <c r="DF309" s="77"/>
      <c r="DG309" s="77"/>
      <c r="DH309" s="77"/>
      <c r="DI309" s="77"/>
      <c r="DJ309" s="77"/>
      <c r="DK309" s="77"/>
      <c r="DL309" s="77"/>
      <c r="DM309" s="77"/>
      <c r="DN309" s="77"/>
      <c r="DO309" s="77"/>
      <c r="DP309" s="77"/>
      <c r="DQ309" s="77"/>
      <c r="DR309" s="77"/>
      <c r="DS309" s="77"/>
      <c r="DT309" s="77"/>
      <c r="DU309" s="77"/>
      <c r="DV309" s="77"/>
      <c r="DW309" s="77"/>
      <c r="DX309" s="77"/>
      <c r="DY309" s="77"/>
      <c r="DZ309" s="77"/>
      <c r="EA309" s="77"/>
      <c r="EB309" s="77"/>
      <c r="EC309" s="77"/>
      <c r="ED309" s="77"/>
      <c r="EE309" s="77"/>
      <c r="EF309" s="77"/>
      <c r="EG309" s="77"/>
      <c r="EH309" s="77"/>
      <c r="EI309" s="77"/>
      <c r="EJ309" s="77"/>
      <c r="EK309" s="77"/>
      <c r="EL309" s="77"/>
      <c r="EM309" s="77"/>
      <c r="EN309" s="77"/>
      <c r="EO309" s="77"/>
      <c r="EP309" s="77"/>
      <c r="EQ309" s="77"/>
      <c r="ER309" s="77"/>
      <c r="ES309" s="77"/>
      <c r="ET309" s="77"/>
      <c r="EU309" s="77"/>
      <c r="EV309" s="77"/>
      <c r="EW309" s="77"/>
      <c r="EX309" s="77"/>
      <c r="EY309" s="77"/>
      <c r="EZ309" s="77"/>
      <c r="FA309" s="77"/>
      <c r="FB309" s="77"/>
      <c r="FC309" s="77"/>
      <c r="FD309" s="77"/>
      <c r="FE309" s="77"/>
      <c r="FF309" s="77"/>
      <c r="FG309" s="77"/>
      <c r="FH309" s="77"/>
      <c r="FI309" s="77"/>
      <c r="FJ309" s="77"/>
      <c r="FK309" s="77"/>
      <c r="FL309" s="77"/>
      <c r="FM309" s="77"/>
      <c r="FN309" s="77"/>
      <c r="FO309" s="77"/>
      <c r="FP309" s="77"/>
      <c r="FQ309" s="77"/>
      <c r="FR309" s="77"/>
      <c r="FS309" s="77"/>
      <c r="FT309" s="77"/>
      <c r="FU309" s="77"/>
      <c r="FV309" s="77"/>
      <c r="FW309" s="77"/>
      <c r="FX309" s="77"/>
      <c r="FY309" s="77"/>
      <c r="FZ309" s="77"/>
      <c r="GA309" s="77"/>
      <c r="GB309" s="77"/>
      <c r="GC309" s="77"/>
      <c r="GD309" s="77"/>
      <c r="GE309" s="77"/>
      <c r="GF309" s="77"/>
      <c r="GG309" s="77"/>
      <c r="GH309" s="77"/>
      <c r="GI309" s="77"/>
      <c r="GJ309" s="77"/>
      <c r="GK309" s="77"/>
      <c r="GL309" s="77"/>
      <c r="GM309" s="77"/>
      <c r="GN309" s="77"/>
      <c r="GO309" s="77"/>
      <c r="GP309" s="77"/>
      <c r="GQ309" s="77"/>
      <c r="GR309" s="77"/>
      <c r="GS309" s="77"/>
      <c r="GT309" s="77"/>
      <c r="GU309" s="77"/>
      <c r="GV309" s="77"/>
      <c r="GW309" s="77"/>
      <c r="GX309" s="77"/>
      <c r="GY309" s="77"/>
      <c r="GZ309" s="77"/>
      <c r="HA309" s="77"/>
      <c r="HB309" s="77"/>
      <c r="HC309" s="77"/>
      <c r="HD309" s="77"/>
      <c r="HE309" s="77"/>
      <c r="HF309" s="77"/>
      <c r="HG309" s="77"/>
      <c r="HH309" s="77"/>
      <c r="HI309" s="77"/>
      <c r="HJ309" s="77"/>
      <c r="HK309" s="77"/>
      <c r="HL309" s="77"/>
      <c r="HM309" s="77"/>
      <c r="HN309" s="77"/>
      <c r="HO309" s="77"/>
      <c r="HP309" s="77"/>
      <c r="HQ309" s="77"/>
      <c r="HR309" s="77"/>
      <c r="HS309" s="77"/>
      <c r="HT309" s="77"/>
      <c r="HU309" s="77"/>
      <c r="HV309" s="77"/>
      <c r="HW309" s="77"/>
      <c r="HX309" s="77"/>
      <c r="HY309" s="77"/>
      <c r="HZ309" s="77"/>
      <c r="IA309" s="77"/>
      <c r="IB309" s="77"/>
      <c r="IC309" s="77"/>
      <c r="ID309" s="77"/>
      <c r="IE309" s="77"/>
      <c r="IF309" s="77"/>
      <c r="IG309" s="77"/>
      <c r="IH309" s="77"/>
      <c r="II309" s="77"/>
      <c r="IJ309" s="77"/>
      <c r="IK309" s="77"/>
      <c r="IL309" s="77"/>
      <c r="IM309" s="77"/>
      <c r="IN309" s="77"/>
      <c r="IO309" s="77"/>
      <c r="IP309" s="77"/>
      <c r="IQ309" s="77"/>
      <c r="IR309" s="77"/>
      <c r="IS309" s="77"/>
      <c r="IT309" s="77"/>
      <c r="IU309" s="77"/>
      <c r="IV309" s="77"/>
      <c r="BFO309" s="77"/>
    </row>
    <row r="310" spans="1:256 1523:1523" s="77" customFormat="1" ht="11.7" customHeight="1">
      <c r="A310" s="22"/>
      <c r="B310" s="16" t="s">
        <v>6633</v>
      </c>
      <c r="E310" s="16"/>
      <c r="F310" s="16"/>
      <c r="G310" s="16"/>
      <c r="H310" s="16"/>
      <c r="I310" s="43"/>
      <c r="J310" s="28"/>
      <c r="K310" s="4397" t="s">
        <v>721</v>
      </c>
      <c r="L310" s="4398"/>
      <c r="M310" s="4398"/>
      <c r="N310" s="4432"/>
      <c r="O310" s="38"/>
      <c r="P310" s="2925"/>
      <c r="Q310" s="2901"/>
      <c r="R310" s="43"/>
      <c r="S310" s="955"/>
      <c r="T310" s="955"/>
      <c r="U310" s="955"/>
      <c r="V310" s="955"/>
      <c r="W310" s="955"/>
      <c r="X310" s="955"/>
      <c r="Y310" s="955"/>
      <c r="Z310" s="955"/>
      <c r="AA310" s="955"/>
      <c r="AB310" s="955"/>
      <c r="AC310" s="955"/>
      <c r="AD310" s="955"/>
      <c r="AE310" s="955"/>
      <c r="AF310" s="955"/>
      <c r="AG310" s="955"/>
      <c r="AH310" s="955"/>
      <c r="AI310" s="955"/>
      <c r="AJ310" s="955"/>
      <c r="AK310" s="955"/>
      <c r="AL310" s="955"/>
      <c r="AM310" s="955"/>
      <c r="AN310" s="955"/>
      <c r="AO310" s="955"/>
      <c r="AP310" s="955"/>
      <c r="AQ310" s="955"/>
      <c r="AR310" s="955"/>
    </row>
    <row r="311" spans="1:256 1523:1523" ht="11.7" customHeight="1">
      <c r="A311" s="75" t="s">
        <v>186</v>
      </c>
      <c r="B311" s="56" t="s">
        <v>6634</v>
      </c>
      <c r="C311" s="77"/>
      <c r="D311" s="16"/>
      <c r="E311" s="16"/>
      <c r="F311" s="16"/>
      <c r="G311" s="16"/>
      <c r="H311" s="16"/>
      <c r="I311" s="16"/>
      <c r="J311" s="16"/>
      <c r="K311" s="16"/>
      <c r="L311" s="16"/>
      <c r="M311" s="16"/>
      <c r="N311" s="84"/>
      <c r="O311" s="77"/>
      <c r="P311" s="77"/>
      <c r="Q311" s="77"/>
      <c r="R311" s="77"/>
      <c r="S311" s="955"/>
      <c r="T311" s="955"/>
      <c r="U311" s="955"/>
      <c r="V311" s="955"/>
      <c r="W311" s="955"/>
      <c r="X311" s="955"/>
      <c r="Y311" s="955"/>
      <c r="Z311" s="955"/>
      <c r="AA311" s="955"/>
      <c r="AB311" s="955"/>
      <c r="AC311" s="955"/>
      <c r="AD311" s="955"/>
      <c r="AE311" s="955"/>
      <c r="AF311" s="955"/>
      <c r="AG311" s="955"/>
      <c r="AH311" s="955"/>
      <c r="AI311" s="955"/>
      <c r="AJ311" s="955"/>
      <c r="AK311" s="955"/>
      <c r="AL311" s="955"/>
      <c r="AM311" s="955"/>
      <c r="AN311" s="955"/>
      <c r="AO311" s="955"/>
      <c r="AP311" s="955"/>
      <c r="AQ311" s="955"/>
      <c r="AR311" s="955"/>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c r="BO311" s="77"/>
      <c r="BP311" s="77"/>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c r="DA311" s="77"/>
      <c r="DB311" s="77"/>
      <c r="DC311" s="77"/>
      <c r="DD311" s="77"/>
      <c r="DE311" s="77"/>
      <c r="DF311" s="77"/>
      <c r="DG311" s="77"/>
      <c r="DH311" s="77"/>
      <c r="DI311" s="77"/>
      <c r="DJ311" s="77"/>
      <c r="DK311" s="77"/>
      <c r="DL311" s="77"/>
      <c r="DM311" s="77"/>
      <c r="DN311" s="77"/>
      <c r="DO311" s="77"/>
      <c r="DP311" s="77"/>
      <c r="DQ311" s="77"/>
      <c r="DR311" s="77"/>
      <c r="DS311" s="77"/>
      <c r="DT311" s="77"/>
      <c r="DU311" s="77"/>
      <c r="DV311" s="77"/>
      <c r="DW311" s="77"/>
      <c r="DX311" s="77"/>
      <c r="DY311" s="77"/>
      <c r="DZ311" s="77"/>
      <c r="EA311" s="77"/>
      <c r="EB311" s="77"/>
      <c r="EC311" s="77"/>
      <c r="ED311" s="77"/>
      <c r="EE311" s="77"/>
      <c r="EF311" s="77"/>
      <c r="EG311" s="77"/>
      <c r="EH311" s="77"/>
      <c r="EI311" s="77"/>
      <c r="EJ311" s="77"/>
      <c r="EK311" s="77"/>
      <c r="EL311" s="77"/>
      <c r="EM311" s="77"/>
      <c r="EN311" s="77"/>
      <c r="EO311" s="77"/>
      <c r="EP311" s="77"/>
      <c r="EQ311" s="77"/>
      <c r="ER311" s="77"/>
      <c r="ES311" s="77"/>
      <c r="ET311" s="77"/>
      <c r="EU311" s="77"/>
      <c r="EV311" s="77"/>
      <c r="EW311" s="77"/>
      <c r="EX311" s="77"/>
      <c r="EY311" s="77"/>
      <c r="EZ311" s="77"/>
      <c r="FA311" s="77"/>
      <c r="FB311" s="77"/>
      <c r="FC311" s="77"/>
      <c r="FD311" s="77"/>
      <c r="FE311" s="77"/>
      <c r="FF311" s="77"/>
      <c r="FG311" s="77"/>
      <c r="FH311" s="77"/>
      <c r="FI311" s="77"/>
      <c r="FJ311" s="77"/>
      <c r="FK311" s="77"/>
      <c r="FL311" s="77"/>
      <c r="FM311" s="77"/>
      <c r="FN311" s="77"/>
      <c r="FO311" s="77"/>
      <c r="FP311" s="77"/>
      <c r="FQ311" s="77"/>
      <c r="FR311" s="77"/>
      <c r="FS311" s="77"/>
      <c r="FT311" s="77"/>
      <c r="FU311" s="77"/>
      <c r="FV311" s="77"/>
      <c r="FW311" s="77"/>
      <c r="FX311" s="77"/>
      <c r="FY311" s="77"/>
      <c r="FZ311" s="77"/>
      <c r="GA311" s="77"/>
      <c r="GB311" s="77"/>
      <c r="GC311" s="77"/>
      <c r="GD311" s="77"/>
      <c r="GE311" s="77"/>
      <c r="GF311" s="77"/>
      <c r="GG311" s="77"/>
      <c r="GH311" s="77"/>
      <c r="GI311" s="77"/>
      <c r="GJ311" s="77"/>
      <c r="GK311" s="77"/>
      <c r="GL311" s="77"/>
      <c r="GM311" s="77"/>
      <c r="GN311" s="77"/>
      <c r="GO311" s="77"/>
      <c r="GP311" s="77"/>
      <c r="GQ311" s="77"/>
      <c r="GR311" s="77"/>
      <c r="GS311" s="77"/>
      <c r="GT311" s="77"/>
      <c r="GU311" s="77"/>
      <c r="GV311" s="77"/>
      <c r="GW311" s="77"/>
      <c r="GX311" s="77"/>
      <c r="GY311" s="77"/>
      <c r="GZ311" s="77"/>
      <c r="HA311" s="77"/>
      <c r="HB311" s="77"/>
      <c r="HC311" s="77"/>
      <c r="HD311" s="77"/>
      <c r="HE311" s="77"/>
      <c r="HF311" s="77"/>
      <c r="HG311" s="77"/>
      <c r="HH311" s="77"/>
      <c r="HI311" s="77"/>
      <c r="HJ311" s="77"/>
      <c r="HK311" s="77"/>
      <c r="HL311" s="77"/>
      <c r="HM311" s="77"/>
      <c r="HN311" s="77"/>
      <c r="HO311" s="77"/>
      <c r="HP311" s="77"/>
      <c r="HQ311" s="77"/>
      <c r="HR311" s="77"/>
      <c r="HS311" s="77"/>
      <c r="HT311" s="77"/>
      <c r="HU311" s="77"/>
      <c r="HV311" s="77"/>
      <c r="HW311" s="77"/>
      <c r="HX311" s="77"/>
      <c r="HY311" s="77"/>
      <c r="HZ311" s="77"/>
      <c r="IA311" s="77"/>
      <c r="IB311" s="77"/>
      <c r="IC311" s="77"/>
      <c r="ID311" s="77"/>
      <c r="IE311" s="77"/>
      <c r="IF311" s="77"/>
      <c r="IG311" s="77"/>
      <c r="IH311" s="77"/>
      <c r="II311" s="77"/>
      <c r="IJ311" s="77"/>
      <c r="IK311" s="77"/>
      <c r="IL311" s="77"/>
      <c r="IM311" s="77"/>
      <c r="IN311" s="77"/>
      <c r="IO311" s="77"/>
      <c r="IP311" s="77"/>
      <c r="IQ311" s="77"/>
      <c r="IR311" s="77"/>
      <c r="IS311" s="77"/>
      <c r="IT311" s="77"/>
      <c r="IU311" s="77"/>
      <c r="IV311" s="77"/>
      <c r="BFO311" s="77"/>
    </row>
    <row r="312" spans="1:256 1523:1523" ht="56.25" customHeight="1">
      <c r="A312" s="77"/>
      <c r="B312" s="4379" t="s">
        <v>6635</v>
      </c>
      <c r="C312" s="4379"/>
      <c r="D312" s="4379"/>
      <c r="E312" s="4379"/>
      <c r="F312" s="4379"/>
      <c r="G312" s="4379"/>
      <c r="H312" s="4379"/>
      <c r="I312" s="4379"/>
      <c r="J312" s="4379"/>
      <c r="K312" s="4379"/>
      <c r="L312" s="4379"/>
      <c r="M312" s="4379"/>
      <c r="N312" s="4379"/>
      <c r="O312" s="84" t="s">
        <v>186</v>
      </c>
      <c r="P312" s="2919"/>
      <c r="Q312" s="2920"/>
      <c r="R312" s="77"/>
      <c r="S312" s="955"/>
      <c r="T312" s="955"/>
      <c r="U312" s="955"/>
      <c r="V312" s="955"/>
      <c r="W312" s="955"/>
      <c r="X312" s="955"/>
      <c r="Y312" s="955"/>
      <c r="Z312" s="955"/>
      <c r="AA312" s="955"/>
      <c r="AB312" s="955"/>
      <c r="AC312" s="955"/>
      <c r="AD312" s="955"/>
      <c r="AE312" s="955"/>
      <c r="AF312" s="955"/>
      <c r="AG312" s="955"/>
      <c r="AH312" s="955"/>
      <c r="AI312" s="955"/>
      <c r="AJ312" s="955"/>
      <c r="AK312" s="955"/>
      <c r="AL312" s="955"/>
      <c r="AM312" s="955"/>
      <c r="AN312" s="955"/>
      <c r="AO312" s="955"/>
      <c r="AP312" s="955"/>
      <c r="AQ312" s="955"/>
      <c r="AR312" s="955"/>
      <c r="AS312" s="77"/>
      <c r="AT312" s="77"/>
      <c r="AU312" s="77"/>
      <c r="AV312" s="77"/>
      <c r="AW312" s="77"/>
      <c r="AX312" s="77"/>
      <c r="AY312" s="77"/>
      <c r="AZ312" s="77"/>
      <c r="BA312" s="77"/>
      <c r="BB312" s="77"/>
      <c r="BC312" s="77"/>
      <c r="BD312" s="77"/>
      <c r="BE312" s="77"/>
      <c r="BF312" s="77"/>
      <c r="BG312" s="77"/>
      <c r="BH312" s="77"/>
      <c r="BI312" s="77"/>
      <c r="BJ312" s="77"/>
      <c r="BK312" s="77"/>
      <c r="BL312" s="77"/>
      <c r="BM312" s="77"/>
      <c r="BN312" s="77"/>
      <c r="BO312" s="77"/>
      <c r="BP312" s="77"/>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c r="DA312" s="77"/>
      <c r="DB312" s="77"/>
      <c r="DC312" s="77"/>
      <c r="DD312" s="77"/>
      <c r="DE312" s="77"/>
      <c r="DF312" s="77"/>
      <c r="DG312" s="77"/>
      <c r="DH312" s="77"/>
      <c r="DI312" s="77"/>
      <c r="DJ312" s="77"/>
      <c r="DK312" s="77"/>
      <c r="DL312" s="77"/>
      <c r="DM312" s="77"/>
      <c r="DN312" s="77"/>
      <c r="DO312" s="77"/>
      <c r="DP312" s="77"/>
      <c r="DQ312" s="77"/>
      <c r="DR312" s="77"/>
      <c r="DS312" s="77"/>
      <c r="DT312" s="77"/>
      <c r="DU312" s="77"/>
      <c r="DV312" s="77"/>
      <c r="DW312" s="77"/>
      <c r="DX312" s="77"/>
      <c r="DY312" s="77"/>
      <c r="DZ312" s="77"/>
      <c r="EA312" s="77"/>
      <c r="EB312" s="77"/>
      <c r="EC312" s="77"/>
      <c r="ED312" s="77"/>
      <c r="EE312" s="77"/>
      <c r="EF312" s="77"/>
      <c r="EG312" s="77"/>
      <c r="EH312" s="77"/>
      <c r="EI312" s="77"/>
      <c r="EJ312" s="77"/>
      <c r="EK312" s="77"/>
      <c r="EL312" s="77"/>
      <c r="EM312" s="77"/>
      <c r="EN312" s="77"/>
      <c r="EO312" s="77"/>
      <c r="EP312" s="77"/>
      <c r="EQ312" s="77"/>
      <c r="ER312" s="77"/>
      <c r="ES312" s="77"/>
      <c r="ET312" s="77"/>
      <c r="EU312" s="77"/>
      <c r="EV312" s="77"/>
      <c r="EW312" s="77"/>
      <c r="EX312" s="77"/>
      <c r="EY312" s="77"/>
      <c r="EZ312" s="77"/>
      <c r="FA312" s="77"/>
      <c r="FB312" s="77"/>
      <c r="FC312" s="77"/>
      <c r="FD312" s="77"/>
      <c r="FE312" s="77"/>
      <c r="FF312" s="77"/>
      <c r="FG312" s="77"/>
      <c r="FH312" s="77"/>
      <c r="FI312" s="77"/>
      <c r="FJ312" s="77"/>
      <c r="FK312" s="77"/>
      <c r="FL312" s="77"/>
      <c r="FM312" s="77"/>
      <c r="FN312" s="77"/>
      <c r="FO312" s="77"/>
      <c r="FP312" s="77"/>
      <c r="FQ312" s="77"/>
      <c r="FR312" s="77"/>
      <c r="FS312" s="77"/>
      <c r="FT312" s="77"/>
      <c r="FU312" s="77"/>
      <c r="FV312" s="77"/>
      <c r="FW312" s="77"/>
      <c r="FX312" s="77"/>
      <c r="FY312" s="77"/>
      <c r="FZ312" s="77"/>
      <c r="GA312" s="77"/>
      <c r="GB312" s="77"/>
      <c r="GC312" s="77"/>
      <c r="GD312" s="77"/>
      <c r="GE312" s="77"/>
      <c r="GF312" s="77"/>
      <c r="GG312" s="77"/>
      <c r="GH312" s="77"/>
      <c r="GI312" s="77"/>
      <c r="GJ312" s="77"/>
      <c r="GK312" s="77"/>
      <c r="GL312" s="77"/>
      <c r="GM312" s="77"/>
      <c r="GN312" s="77"/>
      <c r="GO312" s="77"/>
      <c r="GP312" s="77"/>
      <c r="GQ312" s="77"/>
      <c r="GR312" s="77"/>
      <c r="GS312" s="77"/>
      <c r="GT312" s="77"/>
      <c r="GU312" s="77"/>
      <c r="GV312" s="77"/>
      <c r="GW312" s="77"/>
      <c r="GX312" s="77"/>
      <c r="GY312" s="77"/>
      <c r="GZ312" s="77"/>
      <c r="HA312" s="77"/>
      <c r="HB312" s="77"/>
      <c r="HC312" s="77"/>
      <c r="HD312" s="77"/>
      <c r="HE312" s="77"/>
      <c r="HF312" s="77"/>
      <c r="HG312" s="77"/>
      <c r="HH312" s="77"/>
      <c r="HI312" s="77"/>
      <c r="HJ312" s="77"/>
      <c r="HK312" s="77"/>
      <c r="HL312" s="77"/>
      <c r="HM312" s="77"/>
      <c r="HN312" s="77"/>
      <c r="HO312" s="77"/>
      <c r="HP312" s="77"/>
      <c r="HQ312" s="77"/>
      <c r="HR312" s="77"/>
      <c r="HS312" s="77"/>
      <c r="HT312" s="77"/>
      <c r="HU312" s="77"/>
      <c r="HV312" s="77"/>
      <c r="HW312" s="77"/>
      <c r="HX312" s="77"/>
      <c r="HY312" s="77"/>
      <c r="HZ312" s="77"/>
      <c r="IA312" s="77"/>
      <c r="IB312" s="77"/>
      <c r="IC312" s="77"/>
      <c r="ID312" s="77"/>
      <c r="IE312" s="77"/>
      <c r="IF312" s="77"/>
      <c r="IG312" s="77"/>
      <c r="IH312" s="77"/>
      <c r="II312" s="77"/>
      <c r="IJ312" s="77"/>
      <c r="IK312" s="77"/>
      <c r="IL312" s="77"/>
      <c r="IM312" s="77"/>
      <c r="IN312" s="77"/>
      <c r="IO312" s="77"/>
      <c r="IP312" s="77"/>
      <c r="IQ312" s="77"/>
      <c r="IR312" s="77"/>
      <c r="IS312" s="77"/>
      <c r="IT312" s="77"/>
      <c r="IU312" s="77"/>
      <c r="IV312" s="77"/>
      <c r="BFO312" s="77"/>
    </row>
    <row r="313" spans="1:256 1523:1523" ht="12.6" customHeight="1">
      <c r="A313" s="75" t="s">
        <v>198</v>
      </c>
      <c r="B313" s="38" t="s">
        <v>1551</v>
      </c>
      <c r="C313" s="77"/>
      <c r="D313" s="38"/>
      <c r="E313" s="38"/>
      <c r="F313" s="38"/>
      <c r="G313" s="38"/>
      <c r="H313" s="38"/>
      <c r="I313" s="38"/>
      <c r="J313" s="38"/>
      <c r="K313" s="38"/>
      <c r="L313" s="38"/>
      <c r="M313" s="38"/>
      <c r="N313" s="77"/>
      <c r="O313" s="84" t="s">
        <v>198</v>
      </c>
      <c r="P313" s="501"/>
      <c r="Q313" s="501"/>
      <c r="R313" s="77"/>
      <c r="S313" s="955"/>
      <c r="T313" s="955"/>
      <c r="U313" s="955"/>
      <c r="V313" s="955"/>
      <c r="W313" s="955"/>
      <c r="X313" s="955"/>
      <c r="Y313" s="955"/>
      <c r="Z313" s="955"/>
      <c r="AA313" s="955"/>
      <c r="AB313" s="955"/>
      <c r="AC313" s="955"/>
      <c r="AD313" s="955"/>
      <c r="AE313" s="955"/>
      <c r="AF313" s="955"/>
      <c r="AG313" s="955"/>
      <c r="AH313" s="955"/>
      <c r="AI313" s="955"/>
      <c r="AJ313" s="955"/>
      <c r="AK313" s="955"/>
      <c r="AL313" s="955"/>
      <c r="AM313" s="955"/>
      <c r="AN313" s="955"/>
      <c r="AO313" s="955"/>
      <c r="AP313" s="955"/>
      <c r="AQ313" s="955"/>
      <c r="AR313" s="955"/>
      <c r="AS313" s="77"/>
      <c r="AT313" s="77"/>
      <c r="AU313" s="77"/>
      <c r="AV313" s="77"/>
      <c r="AW313" s="77"/>
      <c r="AX313" s="77"/>
      <c r="AY313" s="77"/>
      <c r="AZ313" s="77"/>
      <c r="BA313" s="77"/>
      <c r="BB313" s="77"/>
      <c r="BC313" s="77"/>
      <c r="BD313" s="77"/>
      <c r="BE313" s="77"/>
      <c r="BF313" s="77"/>
      <c r="BG313" s="77"/>
      <c r="BH313" s="77"/>
      <c r="BI313" s="77"/>
      <c r="BJ313" s="77"/>
      <c r="BK313" s="77"/>
      <c r="BL313" s="77"/>
      <c r="BM313" s="77"/>
      <c r="BN313" s="77"/>
      <c r="BO313" s="77"/>
      <c r="BP313" s="77"/>
      <c r="BQ313" s="77"/>
      <c r="BR313" s="77"/>
      <c r="BS313" s="77"/>
      <c r="BT313" s="77"/>
      <c r="BU313" s="77"/>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c r="CU313" s="77"/>
      <c r="CV313" s="77"/>
      <c r="CW313" s="77"/>
      <c r="CX313" s="77"/>
      <c r="CY313" s="77"/>
      <c r="CZ313" s="77"/>
      <c r="DA313" s="77"/>
      <c r="DB313" s="77"/>
      <c r="DC313" s="77"/>
      <c r="DD313" s="77"/>
      <c r="DE313" s="77"/>
      <c r="DF313" s="77"/>
      <c r="DG313" s="77"/>
      <c r="DH313" s="77"/>
      <c r="DI313" s="77"/>
      <c r="DJ313" s="77"/>
      <c r="DK313" s="77"/>
      <c r="DL313" s="77"/>
      <c r="DM313" s="77"/>
      <c r="DN313" s="77"/>
      <c r="DO313" s="77"/>
      <c r="DP313" s="77"/>
      <c r="DQ313" s="77"/>
      <c r="DR313" s="77"/>
      <c r="DS313" s="77"/>
      <c r="DT313" s="77"/>
      <c r="DU313" s="77"/>
      <c r="DV313" s="77"/>
      <c r="DW313" s="77"/>
      <c r="DX313" s="77"/>
      <c r="DY313" s="77"/>
      <c r="DZ313" s="77"/>
      <c r="EA313" s="77"/>
      <c r="EB313" s="77"/>
      <c r="EC313" s="77"/>
      <c r="ED313" s="77"/>
      <c r="EE313" s="77"/>
      <c r="EF313" s="77"/>
      <c r="EG313" s="77"/>
      <c r="EH313" s="77"/>
      <c r="EI313" s="77"/>
      <c r="EJ313" s="77"/>
      <c r="EK313" s="77"/>
      <c r="EL313" s="77"/>
      <c r="EM313" s="77"/>
      <c r="EN313" s="77"/>
      <c r="EO313" s="77"/>
      <c r="EP313" s="77"/>
      <c r="EQ313" s="77"/>
      <c r="ER313" s="77"/>
      <c r="ES313" s="77"/>
      <c r="ET313" s="77"/>
      <c r="EU313" s="77"/>
      <c r="EV313" s="77"/>
      <c r="EW313" s="77"/>
      <c r="EX313" s="77"/>
      <c r="EY313" s="77"/>
      <c r="EZ313" s="77"/>
      <c r="FA313" s="77"/>
      <c r="FB313" s="77"/>
      <c r="FC313" s="77"/>
      <c r="FD313" s="77"/>
      <c r="FE313" s="77"/>
      <c r="FF313" s="77"/>
      <c r="FG313" s="77"/>
      <c r="FH313" s="77"/>
      <c r="FI313" s="77"/>
      <c r="FJ313" s="77"/>
      <c r="FK313" s="77"/>
      <c r="FL313" s="77"/>
      <c r="FM313" s="77"/>
      <c r="FN313" s="77"/>
      <c r="FO313" s="77"/>
      <c r="FP313" s="77"/>
      <c r="FQ313" s="77"/>
      <c r="FR313" s="77"/>
      <c r="FS313" s="77"/>
      <c r="FT313" s="77"/>
      <c r="FU313" s="77"/>
      <c r="FV313" s="77"/>
      <c r="FW313" s="77"/>
      <c r="FX313" s="77"/>
      <c r="FY313" s="77"/>
      <c r="FZ313" s="77"/>
      <c r="GA313" s="77"/>
      <c r="GB313" s="77"/>
      <c r="GC313" s="77"/>
      <c r="GD313" s="77"/>
      <c r="GE313" s="77"/>
      <c r="GF313" s="77"/>
      <c r="GG313" s="77"/>
      <c r="GH313" s="77"/>
      <c r="GI313" s="77"/>
      <c r="GJ313" s="77"/>
      <c r="GK313" s="77"/>
      <c r="GL313" s="77"/>
      <c r="GM313" s="77"/>
      <c r="GN313" s="77"/>
      <c r="GO313" s="77"/>
      <c r="GP313" s="77"/>
      <c r="GQ313" s="77"/>
      <c r="GR313" s="77"/>
      <c r="GS313" s="77"/>
      <c r="GT313" s="77"/>
      <c r="GU313" s="77"/>
      <c r="GV313" s="77"/>
      <c r="GW313" s="77"/>
      <c r="GX313" s="77"/>
      <c r="GY313" s="77"/>
      <c r="GZ313" s="77"/>
      <c r="HA313" s="77"/>
      <c r="HB313" s="77"/>
      <c r="HC313" s="77"/>
      <c r="HD313" s="77"/>
      <c r="HE313" s="77"/>
      <c r="HF313" s="77"/>
      <c r="HG313" s="77"/>
      <c r="HH313" s="77"/>
      <c r="HI313" s="77"/>
      <c r="HJ313" s="77"/>
      <c r="HK313" s="77"/>
      <c r="HL313" s="77"/>
      <c r="HM313" s="77"/>
      <c r="HN313" s="77"/>
      <c r="HO313" s="77"/>
      <c r="HP313" s="77"/>
      <c r="HQ313" s="77"/>
      <c r="HR313" s="77"/>
      <c r="HS313" s="77"/>
      <c r="HT313" s="77"/>
      <c r="HU313" s="77"/>
      <c r="HV313" s="77"/>
      <c r="HW313" s="77"/>
      <c r="HX313" s="77"/>
      <c r="HY313" s="77"/>
      <c r="HZ313" s="77"/>
      <c r="IA313" s="77"/>
      <c r="IB313" s="77"/>
      <c r="IC313" s="77"/>
      <c r="ID313" s="77"/>
      <c r="IE313" s="77"/>
      <c r="IF313" s="77"/>
      <c r="IG313" s="77"/>
      <c r="IH313" s="77"/>
      <c r="II313" s="77"/>
      <c r="IJ313" s="77"/>
      <c r="IK313" s="77"/>
      <c r="IL313" s="77"/>
      <c r="IM313" s="77"/>
      <c r="IN313" s="77"/>
      <c r="IO313" s="77"/>
      <c r="IP313" s="77"/>
      <c r="IQ313" s="77"/>
      <c r="IR313" s="77"/>
      <c r="IS313" s="77"/>
      <c r="IT313" s="77"/>
      <c r="IU313" s="77"/>
      <c r="IV313" s="77"/>
      <c r="BFO313" s="77"/>
    </row>
    <row r="314" spans="1:256 1523:1523" ht="38.25" customHeight="1">
      <c r="A314" s="77"/>
      <c r="B314" s="265" t="s">
        <v>1511</v>
      </c>
      <c r="C314" s="73" t="s">
        <v>6636</v>
      </c>
      <c r="D314" s="77"/>
      <c r="E314" s="229"/>
      <c r="F314" s="229"/>
      <c r="G314" s="4441" t="s">
        <v>1553</v>
      </c>
      <c r="H314" s="4442"/>
      <c r="I314" s="4442"/>
      <c r="J314" s="4442"/>
      <c r="K314" s="4442"/>
      <c r="L314" s="4442"/>
      <c r="M314" s="4442"/>
      <c r="N314" s="4443"/>
      <c r="O314" s="84" t="s">
        <v>1511</v>
      </c>
      <c r="P314" s="2913"/>
      <c r="Q314" s="2914"/>
      <c r="R314" s="77"/>
      <c r="S314" s="955"/>
      <c r="T314" s="955"/>
      <c r="U314" s="955"/>
      <c r="V314" s="955"/>
      <c r="W314" s="955"/>
      <c r="X314" s="955"/>
      <c r="Y314" s="955"/>
      <c r="Z314" s="955"/>
      <c r="AA314" s="955"/>
      <c r="AB314" s="955"/>
      <c r="AC314" s="955"/>
      <c r="AD314" s="955"/>
      <c r="AE314" s="955"/>
      <c r="AF314" s="955"/>
      <c r="AG314" s="955"/>
      <c r="AH314" s="955"/>
      <c r="AI314" s="955"/>
      <c r="AJ314" s="955"/>
      <c r="AK314" s="955"/>
      <c r="AL314" s="955"/>
      <c r="AM314" s="955"/>
      <c r="AN314" s="955"/>
      <c r="AO314" s="955"/>
      <c r="AP314" s="955"/>
      <c r="AQ314" s="955"/>
      <c r="AR314" s="955"/>
      <c r="AS314" s="77"/>
      <c r="AT314" s="77"/>
      <c r="AU314" s="77"/>
      <c r="AV314" s="77"/>
      <c r="AW314" s="77"/>
      <c r="AX314" s="77"/>
      <c r="AY314" s="77"/>
      <c r="AZ314" s="77"/>
      <c r="BA314" s="77"/>
      <c r="BB314" s="77"/>
      <c r="BC314" s="77"/>
      <c r="BD314" s="77"/>
      <c r="BE314" s="77"/>
      <c r="BF314" s="77"/>
      <c r="BG314" s="77"/>
      <c r="BH314" s="77"/>
      <c r="BI314" s="77"/>
      <c r="BJ314" s="77"/>
      <c r="BK314" s="77"/>
      <c r="BL314" s="77"/>
      <c r="BM314" s="77"/>
      <c r="BN314" s="77"/>
      <c r="BO314" s="77"/>
      <c r="BP314" s="77"/>
      <c r="BQ314" s="77"/>
      <c r="BR314" s="77"/>
      <c r="BS314" s="77"/>
      <c r="BT314" s="77"/>
      <c r="BU314" s="77"/>
      <c r="BV314" s="77"/>
      <c r="BW314" s="77"/>
      <c r="BX314" s="77"/>
      <c r="BY314" s="77"/>
      <c r="BZ314" s="77"/>
      <c r="CA314" s="77"/>
      <c r="CB314" s="77"/>
      <c r="CC314" s="77"/>
      <c r="CD314" s="77"/>
      <c r="CE314" s="77"/>
      <c r="CF314" s="77"/>
      <c r="CG314" s="77"/>
      <c r="CH314" s="77"/>
      <c r="CI314" s="77"/>
      <c r="CJ314" s="77"/>
      <c r="CK314" s="77"/>
      <c r="CL314" s="77"/>
      <c r="CM314" s="77"/>
      <c r="CN314" s="77"/>
      <c r="CO314" s="77"/>
      <c r="CP314" s="77"/>
      <c r="CQ314" s="77"/>
      <c r="CR314" s="77"/>
      <c r="CS314" s="77"/>
      <c r="CT314" s="77"/>
      <c r="CU314" s="77"/>
      <c r="CV314" s="77"/>
      <c r="CW314" s="77"/>
      <c r="CX314" s="77"/>
      <c r="CY314" s="77"/>
      <c r="CZ314" s="77"/>
      <c r="DA314" s="77"/>
      <c r="DB314" s="77"/>
      <c r="DC314" s="77"/>
      <c r="DD314" s="77"/>
      <c r="DE314" s="77"/>
      <c r="DF314" s="77"/>
      <c r="DG314" s="77"/>
      <c r="DH314" s="77"/>
      <c r="DI314" s="77"/>
      <c r="DJ314" s="77"/>
      <c r="DK314" s="77"/>
      <c r="DL314" s="77"/>
      <c r="DM314" s="77"/>
      <c r="DN314" s="77"/>
      <c r="DO314" s="77"/>
      <c r="DP314" s="77"/>
      <c r="DQ314" s="77"/>
      <c r="DR314" s="77"/>
      <c r="DS314" s="77"/>
      <c r="DT314" s="77"/>
      <c r="DU314" s="77"/>
      <c r="DV314" s="77"/>
      <c r="DW314" s="77"/>
      <c r="DX314" s="77"/>
      <c r="DY314" s="77"/>
      <c r="DZ314" s="77"/>
      <c r="EA314" s="77"/>
      <c r="EB314" s="77"/>
      <c r="EC314" s="77"/>
      <c r="ED314" s="77"/>
      <c r="EE314" s="77"/>
      <c r="EF314" s="77"/>
      <c r="EG314" s="77"/>
      <c r="EH314" s="77"/>
      <c r="EI314" s="77"/>
      <c r="EJ314" s="77"/>
      <c r="EK314" s="77"/>
      <c r="EL314" s="77"/>
      <c r="EM314" s="77"/>
      <c r="EN314" s="77"/>
      <c r="EO314" s="77"/>
      <c r="EP314" s="77"/>
      <c r="EQ314" s="77"/>
      <c r="ER314" s="77"/>
      <c r="ES314" s="77"/>
      <c r="ET314" s="77"/>
      <c r="EU314" s="77"/>
      <c r="EV314" s="77"/>
      <c r="EW314" s="77"/>
      <c r="EX314" s="77"/>
      <c r="EY314" s="77"/>
      <c r="EZ314" s="77"/>
      <c r="FA314" s="77"/>
      <c r="FB314" s="77"/>
      <c r="FC314" s="77"/>
      <c r="FD314" s="77"/>
      <c r="FE314" s="77"/>
      <c r="FF314" s="77"/>
      <c r="FG314" s="77"/>
      <c r="FH314" s="77"/>
      <c r="FI314" s="77"/>
      <c r="FJ314" s="77"/>
      <c r="FK314" s="77"/>
      <c r="FL314" s="77"/>
      <c r="FM314" s="77"/>
      <c r="FN314" s="77"/>
      <c r="FO314" s="77"/>
      <c r="FP314" s="77"/>
      <c r="FQ314" s="77"/>
      <c r="FR314" s="77"/>
      <c r="FS314" s="77"/>
      <c r="FT314" s="77"/>
      <c r="FU314" s="77"/>
      <c r="FV314" s="77"/>
      <c r="FW314" s="77"/>
      <c r="FX314" s="77"/>
      <c r="FY314" s="77"/>
      <c r="FZ314" s="77"/>
      <c r="GA314" s="77"/>
      <c r="GB314" s="77"/>
      <c r="GC314" s="77"/>
      <c r="GD314" s="77"/>
      <c r="GE314" s="77"/>
      <c r="GF314" s="77"/>
      <c r="GG314" s="77"/>
      <c r="GH314" s="77"/>
      <c r="GI314" s="77"/>
      <c r="GJ314" s="77"/>
      <c r="GK314" s="77"/>
      <c r="GL314" s="77"/>
      <c r="GM314" s="77"/>
      <c r="GN314" s="77"/>
      <c r="GO314" s="77"/>
      <c r="GP314" s="77"/>
      <c r="GQ314" s="77"/>
      <c r="GR314" s="77"/>
      <c r="GS314" s="77"/>
      <c r="GT314" s="77"/>
      <c r="GU314" s="77"/>
      <c r="GV314" s="77"/>
      <c r="GW314" s="77"/>
      <c r="GX314" s="77"/>
      <c r="GY314" s="77"/>
      <c r="GZ314" s="77"/>
      <c r="HA314" s="77"/>
      <c r="HB314" s="77"/>
      <c r="HC314" s="77"/>
      <c r="HD314" s="77"/>
      <c r="HE314" s="77"/>
      <c r="HF314" s="77"/>
      <c r="HG314" s="77"/>
      <c r="HH314" s="77"/>
      <c r="HI314" s="77"/>
      <c r="HJ314" s="77"/>
      <c r="HK314" s="77"/>
      <c r="HL314" s="77"/>
      <c r="HM314" s="77"/>
      <c r="HN314" s="77"/>
      <c r="HO314" s="77"/>
      <c r="HP314" s="77"/>
      <c r="HQ314" s="77"/>
      <c r="HR314" s="77"/>
      <c r="HS314" s="77"/>
      <c r="HT314" s="77"/>
      <c r="HU314" s="77"/>
      <c r="HV314" s="77"/>
      <c r="HW314" s="77"/>
      <c r="HX314" s="77"/>
      <c r="HY314" s="77"/>
      <c r="HZ314" s="77"/>
      <c r="IA314" s="77"/>
      <c r="IB314" s="77"/>
      <c r="IC314" s="77"/>
      <c r="ID314" s="77"/>
      <c r="IE314" s="77"/>
      <c r="IF314" s="77"/>
      <c r="IG314" s="77"/>
      <c r="IH314" s="77"/>
      <c r="II314" s="77"/>
      <c r="IJ314" s="77"/>
      <c r="IK314" s="77"/>
      <c r="IL314" s="77"/>
      <c r="IM314" s="77"/>
      <c r="IN314" s="77"/>
      <c r="IO314" s="77"/>
      <c r="IP314" s="77"/>
      <c r="IQ314" s="77"/>
      <c r="IR314" s="77"/>
      <c r="IS314" s="77"/>
      <c r="IT314" s="77"/>
      <c r="IU314" s="77"/>
      <c r="IV314" s="77"/>
      <c r="BFO314" s="77" t="s">
        <v>6637</v>
      </c>
    </row>
    <row r="315" spans="1:256 1523:1523" ht="23.25" customHeight="1">
      <c r="A315" s="77"/>
      <c r="B315" s="265" t="s">
        <v>1513</v>
      </c>
      <c r="C315" s="4379" t="s">
        <v>6638</v>
      </c>
      <c r="D315" s="4379"/>
      <c r="E315" s="4379"/>
      <c r="F315" s="4461"/>
      <c r="G315" s="3298" t="s">
        <v>1555</v>
      </c>
      <c r="H315" s="4465"/>
      <c r="I315" s="4465"/>
      <c r="J315" s="4465"/>
      <c r="K315" s="4465"/>
      <c r="L315" s="4465"/>
      <c r="M315" s="4465"/>
      <c r="N315" s="4466"/>
      <c r="O315" s="84" t="s">
        <v>1513</v>
      </c>
      <c r="P315" s="2595"/>
      <c r="Q315" s="2593"/>
      <c r="R315" s="77"/>
      <c r="S315" s="955"/>
      <c r="T315" s="955"/>
      <c r="U315" s="955"/>
      <c r="V315" s="955"/>
      <c r="W315" s="955"/>
      <c r="X315" s="955"/>
      <c r="Y315" s="955"/>
      <c r="Z315" s="955"/>
      <c r="AA315" s="955"/>
      <c r="AB315" s="955"/>
      <c r="AC315" s="955"/>
      <c r="AD315" s="955"/>
      <c r="AE315" s="955"/>
      <c r="AF315" s="955"/>
      <c r="AG315" s="955"/>
      <c r="AH315" s="955"/>
      <c r="AI315" s="955"/>
      <c r="AJ315" s="955"/>
      <c r="AK315" s="955"/>
      <c r="AL315" s="955"/>
      <c r="AM315" s="955"/>
      <c r="AN315" s="955"/>
      <c r="AO315" s="955"/>
      <c r="AP315" s="955"/>
      <c r="AQ315" s="955"/>
      <c r="AR315" s="955"/>
      <c r="AS315" s="77"/>
      <c r="AT315" s="77"/>
      <c r="AU315" s="77"/>
      <c r="AV315" s="77"/>
      <c r="AW315" s="77"/>
      <c r="AX315" s="77"/>
      <c r="AY315" s="77"/>
      <c r="AZ315" s="77"/>
      <c r="BA315" s="77"/>
      <c r="BB315" s="77"/>
      <c r="BC315" s="77"/>
      <c r="BD315" s="77"/>
      <c r="BE315" s="77"/>
      <c r="BF315" s="77"/>
      <c r="BG315" s="77"/>
      <c r="BH315" s="77"/>
      <c r="BI315" s="77"/>
      <c r="BJ315" s="77"/>
      <c r="BK315" s="77"/>
      <c r="BL315" s="77"/>
      <c r="BM315" s="77"/>
      <c r="BN315" s="77"/>
      <c r="BO315" s="77"/>
      <c r="BP315" s="77"/>
      <c r="BQ315" s="77"/>
      <c r="BR315" s="77"/>
      <c r="BS315" s="77"/>
      <c r="BT315" s="77"/>
      <c r="BU315" s="77"/>
      <c r="BV315" s="77"/>
      <c r="BW315" s="77"/>
      <c r="BX315" s="77"/>
      <c r="BY315" s="77"/>
      <c r="BZ315" s="77"/>
      <c r="CA315" s="77"/>
      <c r="CB315" s="77"/>
      <c r="CC315" s="77"/>
      <c r="CD315" s="77"/>
      <c r="CE315" s="77"/>
      <c r="CF315" s="77"/>
      <c r="CG315" s="77"/>
      <c r="CH315" s="77"/>
      <c r="CI315" s="77"/>
      <c r="CJ315" s="77"/>
      <c r="CK315" s="77"/>
      <c r="CL315" s="77"/>
      <c r="CM315" s="77"/>
      <c r="CN315" s="77"/>
      <c r="CO315" s="77"/>
      <c r="CP315" s="77"/>
      <c r="CQ315" s="77"/>
      <c r="CR315" s="77"/>
      <c r="CS315" s="77"/>
      <c r="CT315" s="77"/>
      <c r="CU315" s="77"/>
      <c r="CV315" s="77"/>
      <c r="CW315" s="77"/>
      <c r="CX315" s="77"/>
      <c r="CY315" s="77"/>
      <c r="CZ315" s="77"/>
      <c r="DA315" s="77"/>
      <c r="DB315" s="77"/>
      <c r="DC315" s="77"/>
      <c r="DD315" s="77"/>
      <c r="DE315" s="77"/>
      <c r="DF315" s="77"/>
      <c r="DG315" s="77"/>
      <c r="DH315" s="77"/>
      <c r="DI315" s="77"/>
      <c r="DJ315" s="77"/>
      <c r="DK315" s="77"/>
      <c r="DL315" s="77"/>
      <c r="DM315" s="77"/>
      <c r="DN315" s="77"/>
      <c r="DO315" s="77"/>
      <c r="DP315" s="77"/>
      <c r="DQ315" s="77"/>
      <c r="DR315" s="77"/>
      <c r="DS315" s="77"/>
      <c r="DT315" s="77"/>
      <c r="DU315" s="77"/>
      <c r="DV315" s="77"/>
      <c r="DW315" s="77"/>
      <c r="DX315" s="77"/>
      <c r="DY315" s="77"/>
      <c r="DZ315" s="77"/>
      <c r="EA315" s="77"/>
      <c r="EB315" s="77"/>
      <c r="EC315" s="77"/>
      <c r="ED315" s="77"/>
      <c r="EE315" s="77"/>
      <c r="EF315" s="77"/>
      <c r="EG315" s="77"/>
      <c r="EH315" s="77"/>
      <c r="EI315" s="77"/>
      <c r="EJ315" s="77"/>
      <c r="EK315" s="77"/>
      <c r="EL315" s="77"/>
      <c r="EM315" s="77"/>
      <c r="EN315" s="77"/>
      <c r="EO315" s="77"/>
      <c r="EP315" s="77"/>
      <c r="EQ315" s="77"/>
      <c r="ER315" s="77"/>
      <c r="ES315" s="77"/>
      <c r="ET315" s="77"/>
      <c r="EU315" s="77"/>
      <c r="EV315" s="77"/>
      <c r="EW315" s="77"/>
      <c r="EX315" s="77"/>
      <c r="EY315" s="77"/>
      <c r="EZ315" s="77"/>
      <c r="FA315" s="77"/>
      <c r="FB315" s="77"/>
      <c r="FC315" s="77"/>
      <c r="FD315" s="77"/>
      <c r="FE315" s="77"/>
      <c r="FF315" s="77"/>
      <c r="FG315" s="77"/>
      <c r="FH315" s="77"/>
      <c r="FI315" s="77"/>
      <c r="FJ315" s="77"/>
      <c r="FK315" s="77"/>
      <c r="FL315" s="77"/>
      <c r="FM315" s="77"/>
      <c r="FN315" s="77"/>
      <c r="FO315" s="77"/>
      <c r="FP315" s="77"/>
      <c r="FQ315" s="77"/>
      <c r="FR315" s="77"/>
      <c r="FS315" s="77"/>
      <c r="FT315" s="77"/>
      <c r="FU315" s="77"/>
      <c r="FV315" s="77"/>
      <c r="FW315" s="77"/>
      <c r="FX315" s="77"/>
      <c r="FY315" s="77"/>
      <c r="FZ315" s="77"/>
      <c r="GA315" s="77"/>
      <c r="GB315" s="77"/>
      <c r="GC315" s="77"/>
      <c r="GD315" s="77"/>
      <c r="GE315" s="77"/>
      <c r="GF315" s="77"/>
      <c r="GG315" s="77"/>
      <c r="GH315" s="77"/>
      <c r="GI315" s="77"/>
      <c r="GJ315" s="77"/>
      <c r="GK315" s="77"/>
      <c r="GL315" s="77"/>
      <c r="GM315" s="77"/>
      <c r="GN315" s="77"/>
      <c r="GO315" s="77"/>
      <c r="GP315" s="77"/>
      <c r="GQ315" s="77"/>
      <c r="GR315" s="77"/>
      <c r="GS315" s="77"/>
      <c r="GT315" s="77"/>
      <c r="GU315" s="77"/>
      <c r="GV315" s="77"/>
      <c r="GW315" s="77"/>
      <c r="GX315" s="77"/>
      <c r="GY315" s="77"/>
      <c r="GZ315" s="77"/>
      <c r="HA315" s="77"/>
      <c r="HB315" s="77"/>
      <c r="HC315" s="77"/>
      <c r="HD315" s="77"/>
      <c r="HE315" s="77"/>
      <c r="HF315" s="77"/>
      <c r="HG315" s="77"/>
      <c r="HH315" s="77"/>
      <c r="HI315" s="77"/>
      <c r="HJ315" s="77"/>
      <c r="HK315" s="77"/>
      <c r="HL315" s="77"/>
      <c r="HM315" s="77"/>
      <c r="HN315" s="77"/>
      <c r="HO315" s="77"/>
      <c r="HP315" s="77"/>
      <c r="HQ315" s="77"/>
      <c r="HR315" s="77"/>
      <c r="HS315" s="77"/>
      <c r="HT315" s="77"/>
      <c r="HU315" s="77"/>
      <c r="HV315" s="77"/>
      <c r="HW315" s="77"/>
      <c r="HX315" s="77"/>
      <c r="HY315" s="77"/>
      <c r="HZ315" s="77"/>
      <c r="IA315" s="77"/>
      <c r="IB315" s="77"/>
      <c r="IC315" s="77"/>
      <c r="ID315" s="77"/>
      <c r="IE315" s="77"/>
      <c r="IF315" s="77"/>
      <c r="IG315" s="77"/>
      <c r="IH315" s="77"/>
      <c r="II315" s="77"/>
      <c r="IJ315" s="77"/>
      <c r="IK315" s="77"/>
      <c r="IL315" s="77"/>
      <c r="IM315" s="77"/>
      <c r="IN315" s="77"/>
      <c r="IO315" s="77"/>
      <c r="IP315" s="77"/>
      <c r="IQ315" s="77"/>
      <c r="IR315" s="77"/>
      <c r="IS315" s="77"/>
      <c r="IT315" s="77"/>
      <c r="IU315" s="77"/>
      <c r="IV315" s="77"/>
      <c r="BFO315" s="77"/>
    </row>
    <row r="316" spans="1:256 1523:1523" ht="3" customHeight="1">
      <c r="A316" s="501"/>
      <c r="B316" s="509"/>
      <c r="C316" s="501"/>
      <c r="D316" s="501"/>
      <c r="E316" s="501"/>
      <c r="F316" s="501"/>
      <c r="G316" s="501"/>
      <c r="H316" s="501"/>
      <c r="I316" s="501"/>
      <c r="J316" s="501"/>
      <c r="K316" s="501"/>
      <c r="L316" s="501"/>
      <c r="M316" s="501"/>
      <c r="N316" s="501"/>
      <c r="O316" s="501"/>
      <c r="P316" s="501"/>
      <c r="Q316" s="501"/>
      <c r="R316" s="501"/>
      <c r="S316" s="963"/>
      <c r="T316" s="963"/>
      <c r="U316" s="963"/>
      <c r="V316" s="963"/>
      <c r="W316" s="963"/>
      <c r="X316" s="963"/>
      <c r="Y316" s="963"/>
      <c r="Z316" s="963"/>
      <c r="AA316" s="963"/>
      <c r="AB316" s="963"/>
      <c r="AC316" s="963"/>
      <c r="AD316" s="963"/>
      <c r="AE316" s="963"/>
      <c r="AF316" s="963"/>
      <c r="AG316" s="963"/>
      <c r="AH316" s="963"/>
      <c r="AI316" s="963"/>
      <c r="AJ316" s="963"/>
      <c r="AK316" s="963"/>
      <c r="AL316" s="963"/>
      <c r="AM316" s="963"/>
      <c r="AN316" s="963"/>
      <c r="AO316" s="963"/>
      <c r="AP316" s="963"/>
      <c r="AQ316" s="963"/>
      <c r="AR316" s="963"/>
      <c r="AS316" s="501"/>
      <c r="AT316" s="501"/>
      <c r="AU316" s="501"/>
      <c r="AV316" s="501"/>
      <c r="AW316" s="501"/>
      <c r="AX316" s="501"/>
      <c r="AY316" s="501"/>
      <c r="AZ316" s="501"/>
      <c r="BA316" s="501"/>
      <c r="BB316" s="501"/>
      <c r="BC316" s="501"/>
      <c r="BD316" s="501"/>
      <c r="BE316" s="501"/>
      <c r="BF316" s="501"/>
      <c r="BG316" s="501"/>
      <c r="BH316" s="501"/>
      <c r="BI316" s="501"/>
      <c r="BJ316" s="501"/>
      <c r="BK316" s="501"/>
      <c r="BL316" s="501"/>
      <c r="BM316" s="501"/>
      <c r="BN316" s="501"/>
      <c r="BO316" s="501"/>
      <c r="BP316" s="501"/>
      <c r="BQ316" s="501"/>
      <c r="BR316" s="501"/>
      <c r="BS316" s="501"/>
      <c r="BT316" s="501"/>
      <c r="BU316" s="501"/>
      <c r="BV316" s="501"/>
      <c r="BW316" s="501"/>
      <c r="BX316" s="501"/>
      <c r="BY316" s="501"/>
      <c r="BZ316" s="501"/>
      <c r="CA316" s="501"/>
      <c r="CB316" s="501"/>
      <c r="CC316" s="501"/>
      <c r="CD316" s="501"/>
      <c r="CE316" s="501"/>
      <c r="CF316" s="501"/>
      <c r="CG316" s="501"/>
      <c r="CH316" s="501"/>
      <c r="CI316" s="501"/>
      <c r="CJ316" s="501"/>
      <c r="CK316" s="501"/>
      <c r="CL316" s="501"/>
      <c r="CM316" s="501"/>
      <c r="CN316" s="501"/>
      <c r="CO316" s="501"/>
      <c r="CP316" s="501"/>
      <c r="CQ316" s="501"/>
      <c r="CR316" s="501"/>
      <c r="CS316" s="501"/>
      <c r="CT316" s="501"/>
      <c r="CU316" s="501"/>
      <c r="CV316" s="501"/>
      <c r="CW316" s="501"/>
      <c r="CX316" s="501"/>
      <c r="CY316" s="501"/>
      <c r="CZ316" s="501"/>
      <c r="DA316" s="501"/>
      <c r="DB316" s="501"/>
      <c r="DC316" s="501"/>
      <c r="DD316" s="501"/>
      <c r="DE316" s="501"/>
      <c r="DF316" s="501"/>
      <c r="DG316" s="501"/>
      <c r="DH316" s="501"/>
      <c r="DI316" s="501"/>
      <c r="DJ316" s="501"/>
      <c r="DK316" s="501"/>
      <c r="DL316" s="501"/>
      <c r="DM316" s="501"/>
      <c r="DN316" s="501"/>
      <c r="DO316" s="501"/>
      <c r="DP316" s="501"/>
      <c r="DQ316" s="501"/>
      <c r="DR316" s="501"/>
      <c r="DS316" s="501"/>
      <c r="DT316" s="501"/>
      <c r="DU316" s="501"/>
      <c r="DV316" s="501"/>
      <c r="DW316" s="501"/>
      <c r="DX316" s="501"/>
      <c r="DY316" s="501"/>
      <c r="DZ316" s="501"/>
      <c r="EA316" s="501"/>
      <c r="EB316" s="501"/>
      <c r="EC316" s="501"/>
      <c r="ED316" s="501"/>
      <c r="EE316" s="501"/>
      <c r="EF316" s="501"/>
      <c r="EG316" s="501"/>
      <c r="EH316" s="501"/>
      <c r="EI316" s="501"/>
      <c r="EJ316" s="501"/>
      <c r="EK316" s="501"/>
      <c r="EL316" s="501"/>
      <c r="EM316" s="501"/>
      <c r="EN316" s="501"/>
      <c r="EO316" s="501"/>
      <c r="EP316" s="501"/>
      <c r="EQ316" s="501"/>
      <c r="ER316" s="501"/>
      <c r="ES316" s="501"/>
      <c r="ET316" s="501"/>
      <c r="EU316" s="501"/>
      <c r="EV316" s="501"/>
      <c r="EW316" s="501"/>
      <c r="EX316" s="501"/>
      <c r="EY316" s="501"/>
      <c r="EZ316" s="501"/>
      <c r="FA316" s="501"/>
      <c r="FB316" s="501"/>
      <c r="FC316" s="501"/>
      <c r="FD316" s="501"/>
      <c r="FE316" s="501"/>
      <c r="FF316" s="501"/>
      <c r="FG316" s="501"/>
      <c r="FH316" s="501"/>
      <c r="FI316" s="501"/>
      <c r="FJ316" s="501"/>
      <c r="FK316" s="501"/>
      <c r="FL316" s="501"/>
      <c r="FM316" s="501"/>
      <c r="FN316" s="501"/>
      <c r="FO316" s="501"/>
      <c r="FP316" s="501"/>
      <c r="FQ316" s="501"/>
      <c r="FR316" s="501"/>
      <c r="FS316" s="501"/>
      <c r="FT316" s="501"/>
      <c r="FU316" s="501"/>
      <c r="FV316" s="501"/>
      <c r="FW316" s="501"/>
      <c r="FX316" s="501"/>
      <c r="FY316" s="501"/>
      <c r="FZ316" s="501"/>
      <c r="GA316" s="501"/>
      <c r="GB316" s="501"/>
      <c r="GC316" s="501"/>
      <c r="GD316" s="501"/>
      <c r="GE316" s="501"/>
      <c r="GF316" s="501"/>
      <c r="GG316" s="501"/>
      <c r="GH316" s="501"/>
      <c r="GI316" s="501"/>
      <c r="GJ316" s="501"/>
      <c r="GK316" s="501"/>
      <c r="GL316" s="501"/>
      <c r="GM316" s="501"/>
      <c r="GN316" s="501"/>
      <c r="GO316" s="501"/>
      <c r="GP316" s="501"/>
      <c r="GQ316" s="501"/>
      <c r="GR316" s="501"/>
      <c r="GS316" s="501"/>
      <c r="GT316" s="501"/>
      <c r="GU316" s="501"/>
      <c r="GV316" s="501"/>
      <c r="GW316" s="501"/>
      <c r="GX316" s="501"/>
      <c r="GY316" s="501"/>
      <c r="GZ316" s="501"/>
      <c r="HA316" s="501"/>
      <c r="HB316" s="501"/>
      <c r="HC316" s="501"/>
      <c r="HD316" s="501"/>
      <c r="HE316" s="501"/>
      <c r="HF316" s="501"/>
      <c r="HG316" s="501"/>
      <c r="HH316" s="501"/>
      <c r="HI316" s="501"/>
      <c r="HJ316" s="501"/>
      <c r="HK316" s="501"/>
      <c r="HL316" s="501"/>
      <c r="HM316" s="501"/>
      <c r="HN316" s="501"/>
      <c r="HO316" s="501"/>
      <c r="HP316" s="501"/>
      <c r="HQ316" s="501"/>
      <c r="HR316" s="501"/>
      <c r="HS316" s="501"/>
      <c r="HT316" s="501"/>
      <c r="HU316" s="501"/>
      <c r="HV316" s="501"/>
      <c r="HW316" s="501"/>
      <c r="HX316" s="501"/>
      <c r="HY316" s="501"/>
      <c r="HZ316" s="501"/>
      <c r="IA316" s="501"/>
      <c r="IB316" s="501"/>
      <c r="IC316" s="501"/>
      <c r="ID316" s="501"/>
      <c r="IE316" s="501"/>
      <c r="IF316" s="501"/>
      <c r="IG316" s="501"/>
      <c r="IH316" s="501"/>
      <c r="II316" s="501"/>
      <c r="IJ316" s="501"/>
      <c r="IK316" s="501"/>
      <c r="IL316" s="501"/>
      <c r="IM316" s="501"/>
      <c r="IN316" s="501"/>
      <c r="IO316" s="501"/>
      <c r="IP316" s="501"/>
      <c r="IQ316" s="501"/>
      <c r="IR316" s="501"/>
      <c r="IS316" s="501"/>
      <c r="IT316" s="501"/>
      <c r="IU316" s="501"/>
      <c r="IV316" s="501"/>
      <c r="BFO316" s="77"/>
    </row>
    <row r="317" spans="1:256 1523:1523" s="67" customFormat="1" ht="22.5" customHeight="1">
      <c r="A317" s="75"/>
      <c r="B317" s="265" t="s">
        <v>1514</v>
      </c>
      <c r="C317" s="1027" t="s">
        <v>6639</v>
      </c>
      <c r="D317" s="1026"/>
      <c r="E317" s="1026"/>
      <c r="F317" s="1026"/>
      <c r="G317" s="4400" t="s">
        <v>6640</v>
      </c>
      <c r="H317" s="4400"/>
      <c r="I317" s="4400"/>
      <c r="J317" s="4400"/>
      <c r="K317" s="4400"/>
      <c r="L317" s="4400"/>
      <c r="M317" s="4400"/>
      <c r="N317" s="4400"/>
      <c r="O317" s="246"/>
      <c r="P317" s="501"/>
      <c r="Q317" s="501"/>
      <c r="R317" s="229"/>
      <c r="S317" s="956"/>
      <c r="T317" s="956"/>
      <c r="U317" s="956"/>
      <c r="V317" s="956"/>
      <c r="W317" s="956"/>
      <c r="X317" s="956"/>
      <c r="Y317" s="956"/>
      <c r="Z317" s="956"/>
      <c r="AA317" s="956"/>
      <c r="AB317" s="956"/>
      <c r="AC317" s="956"/>
      <c r="AD317" s="956"/>
      <c r="AE317" s="956"/>
      <c r="AF317" s="956"/>
      <c r="AG317" s="956"/>
      <c r="AH317" s="956"/>
      <c r="AI317" s="956"/>
      <c r="AJ317" s="956"/>
      <c r="AK317" s="956"/>
      <c r="AL317" s="956"/>
      <c r="AM317" s="956"/>
      <c r="AN317" s="956"/>
      <c r="AO317" s="956"/>
      <c r="AP317" s="956"/>
      <c r="AQ317" s="956"/>
      <c r="AR317" s="956"/>
      <c r="AS317" s="229"/>
      <c r="AT317" s="229"/>
      <c r="AU317" s="229"/>
      <c r="AV317" s="229"/>
      <c r="AW317" s="229"/>
      <c r="AX317" s="229"/>
      <c r="AY317" s="229"/>
      <c r="AZ317" s="229"/>
      <c r="BA317" s="229"/>
      <c r="BB317" s="229"/>
      <c r="BC317" s="229"/>
      <c r="BD317" s="229"/>
      <c r="BE317" s="229"/>
      <c r="BF317" s="229"/>
      <c r="BG317" s="229"/>
      <c r="BH317" s="229"/>
      <c r="BI317" s="229"/>
      <c r="BJ317" s="229"/>
      <c r="BK317" s="229"/>
      <c r="BL317" s="229"/>
      <c r="BM317" s="229"/>
      <c r="BN317" s="229"/>
      <c r="BO317" s="229"/>
      <c r="BP317" s="229"/>
      <c r="BQ317" s="229"/>
      <c r="BR317" s="229"/>
      <c r="BS317" s="229"/>
      <c r="BT317" s="229"/>
      <c r="BU317" s="229"/>
      <c r="BV317" s="229"/>
      <c r="BW317" s="229"/>
      <c r="BX317" s="229"/>
      <c r="BY317" s="229"/>
      <c r="BZ317" s="229"/>
      <c r="CA317" s="229"/>
      <c r="CB317" s="229"/>
      <c r="CC317" s="229"/>
      <c r="CD317" s="229"/>
      <c r="CE317" s="229"/>
      <c r="CF317" s="229"/>
      <c r="CG317" s="229"/>
      <c r="CH317" s="229"/>
      <c r="CI317" s="229"/>
      <c r="CJ317" s="229"/>
      <c r="CK317" s="229"/>
      <c r="CL317" s="229"/>
      <c r="CM317" s="229"/>
      <c r="CN317" s="229"/>
      <c r="CO317" s="229"/>
      <c r="CP317" s="229"/>
      <c r="CQ317" s="229"/>
      <c r="CR317" s="229"/>
      <c r="CS317" s="229"/>
      <c r="CT317" s="229"/>
      <c r="CU317" s="229"/>
      <c r="CV317" s="229"/>
      <c r="CW317" s="229"/>
      <c r="CX317" s="229"/>
      <c r="CY317" s="229"/>
      <c r="CZ317" s="229"/>
      <c r="DA317" s="229"/>
      <c r="DB317" s="229"/>
      <c r="DC317" s="229"/>
      <c r="DD317" s="229"/>
      <c r="DE317" s="229"/>
      <c r="DF317" s="229"/>
      <c r="DG317" s="229"/>
      <c r="DH317" s="229"/>
      <c r="DI317" s="229"/>
      <c r="DJ317" s="229"/>
      <c r="DK317" s="229"/>
      <c r="DL317" s="229"/>
      <c r="DM317" s="229"/>
      <c r="DN317" s="229"/>
      <c r="DO317" s="229"/>
      <c r="DP317" s="229"/>
      <c r="DQ317" s="229"/>
      <c r="DR317" s="229"/>
      <c r="DS317" s="229"/>
      <c r="DT317" s="229"/>
      <c r="DU317" s="229"/>
      <c r="DV317" s="229"/>
      <c r="DW317" s="229"/>
      <c r="DX317" s="229"/>
      <c r="DY317" s="229"/>
      <c r="DZ317" s="229"/>
      <c r="EA317" s="229"/>
      <c r="EB317" s="229"/>
      <c r="EC317" s="229"/>
      <c r="ED317" s="229"/>
      <c r="EE317" s="229"/>
      <c r="EF317" s="229"/>
      <c r="EG317" s="229"/>
      <c r="EH317" s="229"/>
      <c r="EI317" s="229"/>
      <c r="EJ317" s="229"/>
      <c r="EK317" s="229"/>
      <c r="EL317" s="229"/>
      <c r="EM317" s="229"/>
      <c r="EN317" s="229"/>
      <c r="EO317" s="229"/>
      <c r="EP317" s="229"/>
      <c r="EQ317" s="229"/>
      <c r="ER317" s="229"/>
      <c r="ES317" s="229"/>
      <c r="ET317" s="229"/>
      <c r="EU317" s="229"/>
      <c r="EV317" s="229"/>
      <c r="EW317" s="229"/>
      <c r="EX317" s="229"/>
      <c r="EY317" s="229"/>
      <c r="EZ317" s="229"/>
      <c r="FA317" s="229"/>
      <c r="FB317" s="229"/>
      <c r="FC317" s="229"/>
      <c r="FD317" s="229"/>
      <c r="FE317" s="229"/>
      <c r="FF317" s="229"/>
      <c r="FG317" s="229"/>
      <c r="FH317" s="229"/>
      <c r="FI317" s="229"/>
      <c r="FJ317" s="229"/>
      <c r="FK317" s="229"/>
      <c r="FL317" s="229"/>
      <c r="FM317" s="229"/>
      <c r="FN317" s="229"/>
      <c r="FO317" s="229"/>
      <c r="FP317" s="229"/>
      <c r="FQ317" s="229"/>
      <c r="FR317" s="229"/>
      <c r="FS317" s="229"/>
      <c r="FT317" s="229"/>
      <c r="FU317" s="229"/>
      <c r="FV317" s="229"/>
      <c r="FW317" s="229"/>
      <c r="FX317" s="229"/>
      <c r="FY317" s="229"/>
      <c r="FZ317" s="229"/>
      <c r="GA317" s="229"/>
      <c r="GB317" s="229"/>
      <c r="GC317" s="229"/>
      <c r="GD317" s="229"/>
      <c r="GE317" s="229"/>
      <c r="GF317" s="229"/>
      <c r="GG317" s="229"/>
      <c r="GH317" s="229"/>
      <c r="GI317" s="229"/>
      <c r="GJ317" s="229"/>
      <c r="GK317" s="229"/>
      <c r="GL317" s="229"/>
      <c r="GM317" s="229"/>
      <c r="GN317" s="229"/>
      <c r="GO317" s="229"/>
      <c r="GP317" s="229"/>
      <c r="GQ317" s="229"/>
      <c r="GR317" s="229"/>
      <c r="GS317" s="229"/>
      <c r="GT317" s="229"/>
      <c r="GU317" s="229"/>
      <c r="GV317" s="229"/>
      <c r="GW317" s="229"/>
      <c r="GX317" s="229"/>
      <c r="GY317" s="229"/>
      <c r="GZ317" s="229"/>
      <c r="HA317" s="229"/>
      <c r="HB317" s="229"/>
      <c r="HC317" s="229"/>
      <c r="HD317" s="229"/>
      <c r="HE317" s="229"/>
      <c r="HF317" s="229"/>
      <c r="HG317" s="229"/>
      <c r="HH317" s="229"/>
      <c r="HI317" s="229"/>
      <c r="HJ317" s="229"/>
      <c r="HK317" s="229"/>
      <c r="HL317" s="229"/>
      <c r="HM317" s="229"/>
      <c r="HN317" s="229"/>
      <c r="HO317" s="229"/>
      <c r="HP317" s="229"/>
      <c r="HQ317" s="229"/>
      <c r="HR317" s="229"/>
      <c r="HS317" s="229"/>
      <c r="HT317" s="229"/>
      <c r="HU317" s="229"/>
      <c r="HV317" s="229"/>
      <c r="HW317" s="229"/>
      <c r="HX317" s="229"/>
      <c r="HY317" s="229"/>
      <c r="HZ317" s="229"/>
      <c r="IA317" s="229"/>
      <c r="IB317" s="229"/>
      <c r="IC317" s="229"/>
      <c r="ID317" s="229"/>
      <c r="IE317" s="229"/>
      <c r="IF317" s="229"/>
      <c r="IG317" s="229"/>
      <c r="IH317" s="229"/>
      <c r="II317" s="229"/>
      <c r="IJ317" s="229"/>
      <c r="IK317" s="229"/>
      <c r="IL317" s="229"/>
      <c r="IM317" s="229"/>
      <c r="IN317" s="229"/>
      <c r="IO317" s="229"/>
      <c r="IP317" s="229"/>
      <c r="IQ317" s="229"/>
      <c r="IR317" s="229"/>
      <c r="IS317" s="229"/>
      <c r="IT317" s="229"/>
      <c r="IU317" s="229"/>
      <c r="IV317" s="229"/>
      <c r="BFO317" s="229"/>
    </row>
    <row r="318" spans="1:256 1523:1523" s="67" customFormat="1" ht="11.25" customHeight="1">
      <c r="A318" s="76"/>
      <c r="B318" s="84" t="s">
        <v>6477</v>
      </c>
      <c r="C318" s="4448"/>
      <c r="D318" s="4449"/>
      <c r="E318" s="4449"/>
      <c r="F318" s="4449"/>
      <c r="G318" s="4449"/>
      <c r="H318" s="4449"/>
      <c r="I318" s="4449"/>
      <c r="J318" s="4449"/>
      <c r="K318" s="4449"/>
      <c r="L318" s="4449"/>
      <c r="M318" s="4449"/>
      <c r="N318" s="4450"/>
      <c r="O318" s="84" t="s">
        <v>6641</v>
      </c>
      <c r="P318" s="2913"/>
      <c r="Q318" s="2914"/>
      <c r="R318" s="229"/>
      <c r="S318" s="956"/>
      <c r="T318" s="956"/>
      <c r="U318" s="956"/>
      <c r="V318" s="956"/>
      <c r="W318" s="956"/>
      <c r="X318" s="956"/>
      <c r="Y318" s="956"/>
      <c r="Z318" s="956"/>
      <c r="AA318" s="956"/>
      <c r="AB318" s="956"/>
      <c r="AC318" s="956"/>
      <c r="AD318" s="956"/>
      <c r="AE318" s="956"/>
      <c r="AF318" s="956"/>
      <c r="AG318" s="956"/>
      <c r="AH318" s="956"/>
      <c r="AI318" s="956"/>
      <c r="AJ318" s="956"/>
      <c r="AK318" s="956"/>
      <c r="AL318" s="956"/>
      <c r="AM318" s="956"/>
      <c r="AN318" s="956"/>
      <c r="AO318" s="956"/>
      <c r="AP318" s="956"/>
      <c r="AQ318" s="956"/>
      <c r="AR318" s="956"/>
      <c r="AS318" s="229"/>
      <c r="AT318" s="229"/>
      <c r="AU318" s="229"/>
      <c r="AV318" s="229"/>
      <c r="AW318" s="229"/>
      <c r="AX318" s="229"/>
      <c r="AY318" s="229"/>
      <c r="AZ318" s="229"/>
      <c r="BA318" s="229"/>
      <c r="BB318" s="229"/>
      <c r="BC318" s="229"/>
      <c r="BD318" s="229"/>
      <c r="BE318" s="229"/>
      <c r="BF318" s="229"/>
      <c r="BG318" s="229"/>
      <c r="BH318" s="229"/>
      <c r="BI318" s="229"/>
      <c r="BJ318" s="229"/>
      <c r="BK318" s="229"/>
      <c r="BL318" s="229"/>
      <c r="BM318" s="229"/>
      <c r="BN318" s="229"/>
      <c r="BO318" s="229"/>
      <c r="BP318" s="229"/>
      <c r="BQ318" s="229"/>
      <c r="BR318" s="229"/>
      <c r="BS318" s="229"/>
      <c r="BT318" s="229"/>
      <c r="BU318" s="229"/>
      <c r="BV318" s="229"/>
      <c r="BW318" s="229"/>
      <c r="BX318" s="229"/>
      <c r="BY318" s="229"/>
      <c r="BZ318" s="229"/>
      <c r="CA318" s="229"/>
      <c r="CB318" s="229"/>
      <c r="CC318" s="229"/>
      <c r="CD318" s="229"/>
      <c r="CE318" s="229"/>
      <c r="CF318" s="229"/>
      <c r="CG318" s="229"/>
      <c r="CH318" s="229"/>
      <c r="CI318" s="229"/>
      <c r="CJ318" s="229"/>
      <c r="CK318" s="229"/>
      <c r="CL318" s="229"/>
      <c r="CM318" s="229"/>
      <c r="CN318" s="229"/>
      <c r="CO318" s="229"/>
      <c r="CP318" s="229"/>
      <c r="CQ318" s="229"/>
      <c r="CR318" s="229"/>
      <c r="CS318" s="229"/>
      <c r="CT318" s="229"/>
      <c r="CU318" s="229"/>
      <c r="CV318" s="229"/>
      <c r="CW318" s="229"/>
      <c r="CX318" s="229"/>
      <c r="CY318" s="229"/>
      <c r="CZ318" s="229"/>
      <c r="DA318" s="229"/>
      <c r="DB318" s="229"/>
      <c r="DC318" s="229"/>
      <c r="DD318" s="229"/>
      <c r="DE318" s="229"/>
      <c r="DF318" s="229"/>
      <c r="DG318" s="229"/>
      <c r="DH318" s="229"/>
      <c r="DI318" s="229"/>
      <c r="DJ318" s="229"/>
      <c r="DK318" s="229"/>
      <c r="DL318" s="229"/>
      <c r="DM318" s="229"/>
      <c r="DN318" s="229"/>
      <c r="DO318" s="229"/>
      <c r="DP318" s="229"/>
      <c r="DQ318" s="229"/>
      <c r="DR318" s="229"/>
      <c r="DS318" s="229"/>
      <c r="DT318" s="229"/>
      <c r="DU318" s="229"/>
      <c r="DV318" s="229"/>
      <c r="DW318" s="229"/>
      <c r="DX318" s="229"/>
      <c r="DY318" s="229"/>
      <c r="DZ318" s="229"/>
      <c r="EA318" s="229"/>
      <c r="EB318" s="229"/>
      <c r="EC318" s="229"/>
      <c r="ED318" s="229"/>
      <c r="EE318" s="229"/>
      <c r="EF318" s="229"/>
      <c r="EG318" s="229"/>
      <c r="EH318" s="229"/>
      <c r="EI318" s="229"/>
      <c r="EJ318" s="229"/>
      <c r="EK318" s="229"/>
      <c r="EL318" s="229"/>
      <c r="EM318" s="229"/>
      <c r="EN318" s="229"/>
      <c r="EO318" s="229"/>
      <c r="EP318" s="229"/>
      <c r="EQ318" s="229"/>
      <c r="ER318" s="229"/>
      <c r="ES318" s="229"/>
      <c r="ET318" s="229"/>
      <c r="EU318" s="229"/>
      <c r="EV318" s="229"/>
      <c r="EW318" s="229"/>
      <c r="EX318" s="229"/>
      <c r="EY318" s="229"/>
      <c r="EZ318" s="229"/>
      <c r="FA318" s="229"/>
      <c r="FB318" s="229"/>
      <c r="FC318" s="229"/>
      <c r="FD318" s="229"/>
      <c r="FE318" s="229"/>
      <c r="FF318" s="229"/>
      <c r="FG318" s="229"/>
      <c r="FH318" s="229"/>
      <c r="FI318" s="229"/>
      <c r="FJ318" s="229"/>
      <c r="FK318" s="229"/>
      <c r="FL318" s="229"/>
      <c r="FM318" s="229"/>
      <c r="FN318" s="229"/>
      <c r="FO318" s="229"/>
      <c r="FP318" s="229"/>
      <c r="FQ318" s="229"/>
      <c r="FR318" s="229"/>
      <c r="FS318" s="229"/>
      <c r="FT318" s="229"/>
      <c r="FU318" s="229"/>
      <c r="FV318" s="229"/>
      <c r="FW318" s="229"/>
      <c r="FX318" s="229"/>
      <c r="FY318" s="229"/>
      <c r="FZ318" s="229"/>
      <c r="GA318" s="229"/>
      <c r="GB318" s="229"/>
      <c r="GC318" s="229"/>
      <c r="GD318" s="229"/>
      <c r="GE318" s="229"/>
      <c r="GF318" s="229"/>
      <c r="GG318" s="229"/>
      <c r="GH318" s="229"/>
      <c r="GI318" s="229"/>
      <c r="GJ318" s="229"/>
      <c r="GK318" s="229"/>
      <c r="GL318" s="229"/>
      <c r="GM318" s="229"/>
      <c r="GN318" s="229"/>
      <c r="GO318" s="229"/>
      <c r="GP318" s="229"/>
      <c r="GQ318" s="229"/>
      <c r="GR318" s="229"/>
      <c r="GS318" s="229"/>
      <c r="GT318" s="229"/>
      <c r="GU318" s="229"/>
      <c r="GV318" s="229"/>
      <c r="GW318" s="229"/>
      <c r="GX318" s="229"/>
      <c r="GY318" s="229"/>
      <c r="GZ318" s="229"/>
      <c r="HA318" s="229"/>
      <c r="HB318" s="229"/>
      <c r="HC318" s="229"/>
      <c r="HD318" s="229"/>
      <c r="HE318" s="229"/>
      <c r="HF318" s="229"/>
      <c r="HG318" s="229"/>
      <c r="HH318" s="229"/>
      <c r="HI318" s="229"/>
      <c r="HJ318" s="229"/>
      <c r="HK318" s="229"/>
      <c r="HL318" s="229"/>
      <c r="HM318" s="229"/>
      <c r="HN318" s="229"/>
      <c r="HO318" s="229"/>
      <c r="HP318" s="229"/>
      <c r="HQ318" s="229"/>
      <c r="HR318" s="229"/>
      <c r="HS318" s="229"/>
      <c r="HT318" s="229"/>
      <c r="HU318" s="229"/>
      <c r="HV318" s="229"/>
      <c r="HW318" s="229"/>
      <c r="HX318" s="229"/>
      <c r="HY318" s="229"/>
      <c r="HZ318" s="229"/>
      <c r="IA318" s="229"/>
      <c r="IB318" s="229"/>
      <c r="IC318" s="229"/>
      <c r="ID318" s="229"/>
      <c r="IE318" s="229"/>
      <c r="IF318" s="229"/>
      <c r="IG318" s="229"/>
      <c r="IH318" s="229"/>
      <c r="II318" s="229"/>
      <c r="IJ318" s="229"/>
      <c r="IK318" s="229"/>
      <c r="IL318" s="229"/>
      <c r="IM318" s="229"/>
      <c r="IN318" s="229"/>
      <c r="IO318" s="229"/>
      <c r="IP318" s="229"/>
      <c r="IQ318" s="229"/>
      <c r="IR318" s="229"/>
      <c r="IS318" s="229"/>
      <c r="IT318" s="229"/>
      <c r="IU318" s="229"/>
      <c r="IV318" s="229"/>
      <c r="BFO318" s="229"/>
    </row>
    <row r="319" spans="1:256 1523:1523" s="67" customFormat="1" ht="11.25" customHeight="1">
      <c r="A319" s="76"/>
      <c r="B319" s="84" t="s">
        <v>6479</v>
      </c>
      <c r="C319" s="4462"/>
      <c r="D319" s="4463"/>
      <c r="E319" s="4463"/>
      <c r="F319" s="4463"/>
      <c r="G319" s="4463"/>
      <c r="H319" s="4463"/>
      <c r="I319" s="4463"/>
      <c r="J319" s="4463"/>
      <c r="K319" s="4463"/>
      <c r="L319" s="4463"/>
      <c r="M319" s="4463"/>
      <c r="N319" s="4464"/>
      <c r="O319" s="84" t="s">
        <v>6642</v>
      </c>
      <c r="P319" s="2595"/>
      <c r="Q319" s="2593"/>
      <c r="R319" s="229"/>
      <c r="S319" s="956"/>
      <c r="T319" s="956"/>
      <c r="U319" s="956"/>
      <c r="V319" s="956"/>
      <c r="W319" s="956"/>
      <c r="X319" s="956"/>
      <c r="Y319" s="956"/>
      <c r="Z319" s="956"/>
      <c r="AA319" s="956"/>
      <c r="AB319" s="956"/>
      <c r="AC319" s="956"/>
      <c r="AD319" s="956"/>
      <c r="AE319" s="956"/>
      <c r="AF319" s="956"/>
      <c r="AG319" s="956"/>
      <c r="AH319" s="956"/>
      <c r="AI319" s="956"/>
      <c r="AJ319" s="956"/>
      <c r="AK319" s="956"/>
      <c r="AL319" s="956"/>
      <c r="AM319" s="956"/>
      <c r="AN319" s="956"/>
      <c r="AO319" s="956"/>
      <c r="AP319" s="956"/>
      <c r="AQ319" s="956"/>
      <c r="AR319" s="956"/>
      <c r="AS319" s="229"/>
      <c r="AT319" s="229"/>
      <c r="AU319" s="229"/>
      <c r="AV319" s="229"/>
      <c r="AW319" s="229"/>
      <c r="AX319" s="229"/>
      <c r="AY319" s="229"/>
      <c r="AZ319" s="229"/>
      <c r="BA319" s="229"/>
      <c r="BB319" s="229"/>
      <c r="BC319" s="229"/>
      <c r="BD319" s="229"/>
      <c r="BE319" s="229"/>
      <c r="BF319" s="229"/>
      <c r="BG319" s="229"/>
      <c r="BH319" s="229"/>
      <c r="BI319" s="229"/>
      <c r="BJ319" s="229"/>
      <c r="BK319" s="229"/>
      <c r="BL319" s="229"/>
      <c r="BM319" s="229"/>
      <c r="BN319" s="229"/>
      <c r="BO319" s="229"/>
      <c r="BP319" s="229"/>
      <c r="BQ319" s="229"/>
      <c r="BR319" s="229"/>
      <c r="BS319" s="229"/>
      <c r="BT319" s="229"/>
      <c r="BU319" s="229"/>
      <c r="BV319" s="229"/>
      <c r="BW319" s="229"/>
      <c r="BX319" s="229"/>
      <c r="BY319" s="229"/>
      <c r="BZ319" s="229"/>
      <c r="CA319" s="229"/>
      <c r="CB319" s="229"/>
      <c r="CC319" s="229"/>
      <c r="CD319" s="229"/>
      <c r="CE319" s="229"/>
      <c r="CF319" s="229"/>
      <c r="CG319" s="229"/>
      <c r="CH319" s="229"/>
      <c r="CI319" s="229"/>
      <c r="CJ319" s="229"/>
      <c r="CK319" s="229"/>
      <c r="CL319" s="229"/>
      <c r="CM319" s="229"/>
      <c r="CN319" s="229"/>
      <c r="CO319" s="229"/>
      <c r="CP319" s="229"/>
      <c r="CQ319" s="229"/>
      <c r="CR319" s="229"/>
      <c r="CS319" s="229"/>
      <c r="CT319" s="229"/>
      <c r="CU319" s="229"/>
      <c r="CV319" s="229"/>
      <c r="CW319" s="229"/>
      <c r="CX319" s="229"/>
      <c r="CY319" s="229"/>
      <c r="CZ319" s="229"/>
      <c r="DA319" s="229"/>
      <c r="DB319" s="229"/>
      <c r="DC319" s="229"/>
      <c r="DD319" s="229"/>
      <c r="DE319" s="229"/>
      <c r="DF319" s="229"/>
      <c r="DG319" s="229"/>
      <c r="DH319" s="229"/>
      <c r="DI319" s="229"/>
      <c r="DJ319" s="229"/>
      <c r="DK319" s="229"/>
      <c r="DL319" s="229"/>
      <c r="DM319" s="229"/>
      <c r="DN319" s="229"/>
      <c r="DO319" s="229"/>
      <c r="DP319" s="229"/>
      <c r="DQ319" s="229"/>
      <c r="DR319" s="229"/>
      <c r="DS319" s="229"/>
      <c r="DT319" s="229"/>
      <c r="DU319" s="229"/>
      <c r="DV319" s="229"/>
      <c r="DW319" s="229"/>
      <c r="DX319" s="229"/>
      <c r="DY319" s="229"/>
      <c r="DZ319" s="229"/>
      <c r="EA319" s="229"/>
      <c r="EB319" s="229"/>
      <c r="EC319" s="229"/>
      <c r="ED319" s="229"/>
      <c r="EE319" s="229"/>
      <c r="EF319" s="229"/>
      <c r="EG319" s="229"/>
      <c r="EH319" s="229"/>
      <c r="EI319" s="229"/>
      <c r="EJ319" s="229"/>
      <c r="EK319" s="229"/>
      <c r="EL319" s="229"/>
      <c r="EM319" s="229"/>
      <c r="EN319" s="229"/>
      <c r="EO319" s="229"/>
      <c r="EP319" s="229"/>
      <c r="EQ319" s="229"/>
      <c r="ER319" s="229"/>
      <c r="ES319" s="229"/>
      <c r="ET319" s="229"/>
      <c r="EU319" s="229"/>
      <c r="EV319" s="229"/>
      <c r="EW319" s="229"/>
      <c r="EX319" s="229"/>
      <c r="EY319" s="229"/>
      <c r="EZ319" s="229"/>
      <c r="FA319" s="229"/>
      <c r="FB319" s="229"/>
      <c r="FC319" s="229"/>
      <c r="FD319" s="229"/>
      <c r="FE319" s="229"/>
      <c r="FF319" s="229"/>
      <c r="FG319" s="229"/>
      <c r="FH319" s="229"/>
      <c r="FI319" s="229"/>
      <c r="FJ319" s="229"/>
      <c r="FK319" s="229"/>
      <c r="FL319" s="229"/>
      <c r="FM319" s="229"/>
      <c r="FN319" s="229"/>
      <c r="FO319" s="229"/>
      <c r="FP319" s="229"/>
      <c r="FQ319" s="229"/>
      <c r="FR319" s="229"/>
      <c r="FS319" s="229"/>
      <c r="FT319" s="229"/>
      <c r="FU319" s="229"/>
      <c r="FV319" s="229"/>
      <c r="FW319" s="229"/>
      <c r="FX319" s="229"/>
      <c r="FY319" s="229"/>
      <c r="FZ319" s="229"/>
      <c r="GA319" s="229"/>
      <c r="GB319" s="229"/>
      <c r="GC319" s="229"/>
      <c r="GD319" s="229"/>
      <c r="GE319" s="229"/>
      <c r="GF319" s="229"/>
      <c r="GG319" s="229"/>
      <c r="GH319" s="229"/>
      <c r="GI319" s="229"/>
      <c r="GJ319" s="229"/>
      <c r="GK319" s="229"/>
      <c r="GL319" s="229"/>
      <c r="GM319" s="229"/>
      <c r="GN319" s="229"/>
      <c r="GO319" s="229"/>
      <c r="GP319" s="229"/>
      <c r="GQ319" s="229"/>
      <c r="GR319" s="229"/>
      <c r="GS319" s="229"/>
      <c r="GT319" s="229"/>
      <c r="GU319" s="229"/>
      <c r="GV319" s="229"/>
      <c r="GW319" s="229"/>
      <c r="GX319" s="229"/>
      <c r="GY319" s="229"/>
      <c r="GZ319" s="229"/>
      <c r="HA319" s="229"/>
      <c r="HB319" s="229"/>
      <c r="HC319" s="229"/>
      <c r="HD319" s="229"/>
      <c r="HE319" s="229"/>
      <c r="HF319" s="229"/>
      <c r="HG319" s="229"/>
      <c r="HH319" s="229"/>
      <c r="HI319" s="229"/>
      <c r="HJ319" s="229"/>
      <c r="HK319" s="229"/>
      <c r="HL319" s="229"/>
      <c r="HM319" s="229"/>
      <c r="HN319" s="229"/>
      <c r="HO319" s="229"/>
      <c r="HP319" s="229"/>
      <c r="HQ319" s="229"/>
      <c r="HR319" s="229"/>
      <c r="HS319" s="229"/>
      <c r="HT319" s="229"/>
      <c r="HU319" s="229"/>
      <c r="HV319" s="229"/>
      <c r="HW319" s="229"/>
      <c r="HX319" s="229"/>
      <c r="HY319" s="229"/>
      <c r="HZ319" s="229"/>
      <c r="IA319" s="229"/>
      <c r="IB319" s="229"/>
      <c r="IC319" s="229"/>
      <c r="ID319" s="229"/>
      <c r="IE319" s="229"/>
      <c r="IF319" s="229"/>
      <c r="IG319" s="229"/>
      <c r="IH319" s="229"/>
      <c r="II319" s="229"/>
      <c r="IJ319" s="229"/>
      <c r="IK319" s="229"/>
      <c r="IL319" s="229"/>
      <c r="IM319" s="229"/>
      <c r="IN319" s="229"/>
      <c r="IO319" s="229"/>
      <c r="IP319" s="229"/>
      <c r="IQ319" s="229"/>
      <c r="IR319" s="229"/>
      <c r="IS319" s="229"/>
      <c r="IT319" s="229"/>
      <c r="IU319" s="229"/>
      <c r="IV319" s="229"/>
      <c r="BFO319" s="229"/>
    </row>
    <row r="320" spans="1:256 1523:1523" ht="22.5" customHeight="1">
      <c r="A320" s="75" t="s">
        <v>221</v>
      </c>
      <c r="B320" s="4379" t="s">
        <v>6643</v>
      </c>
      <c r="C320" s="4379"/>
      <c r="D320" s="4379"/>
      <c r="E320" s="4379"/>
      <c r="F320" s="4379"/>
      <c r="G320" s="4379"/>
      <c r="H320" s="4379"/>
      <c r="I320" s="4379"/>
      <c r="J320" s="4379"/>
      <c r="K320" s="4379"/>
      <c r="L320" s="4379"/>
      <c r="M320" s="4379"/>
      <c r="N320" s="4379"/>
      <c r="O320" s="84" t="s">
        <v>221</v>
      </c>
      <c r="P320" s="2595"/>
      <c r="Q320" s="2593"/>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c r="BA320" s="77"/>
      <c r="BB320" s="77"/>
      <c r="BC320" s="77"/>
      <c r="BD320" s="77"/>
      <c r="BE320" s="77"/>
      <c r="BF320" s="77"/>
      <c r="BG320" s="77"/>
      <c r="BH320" s="77"/>
      <c r="BI320" s="77"/>
      <c r="BJ320" s="77"/>
      <c r="BK320" s="77"/>
      <c r="BL320" s="77"/>
      <c r="BM320" s="77"/>
      <c r="BN320" s="77"/>
      <c r="BO320" s="77"/>
      <c r="BP320" s="77"/>
      <c r="BQ320" s="77"/>
      <c r="BR320" s="77"/>
      <c r="BS320" s="77"/>
      <c r="BT320" s="77"/>
      <c r="BU320" s="77"/>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c r="CU320" s="77"/>
      <c r="CV320" s="77"/>
      <c r="CW320" s="77"/>
      <c r="CX320" s="77"/>
      <c r="CY320" s="77"/>
      <c r="CZ320" s="77"/>
      <c r="DA320" s="77"/>
      <c r="DB320" s="77"/>
      <c r="DC320" s="77"/>
      <c r="DD320" s="77"/>
      <c r="DE320" s="77"/>
      <c r="DF320" s="77"/>
      <c r="DG320" s="77"/>
      <c r="DH320" s="77"/>
      <c r="DI320" s="77"/>
      <c r="DJ320" s="77"/>
      <c r="DK320" s="77"/>
      <c r="DL320" s="77"/>
      <c r="DM320" s="77"/>
      <c r="DN320" s="77"/>
      <c r="DO320" s="77"/>
      <c r="DP320" s="77"/>
      <c r="DQ320" s="77"/>
      <c r="DR320" s="77"/>
      <c r="DS320" s="77"/>
      <c r="DT320" s="77"/>
      <c r="DU320" s="77"/>
      <c r="DV320" s="77"/>
      <c r="DW320" s="77"/>
      <c r="DX320" s="77"/>
      <c r="DY320" s="77"/>
      <c r="DZ320" s="77"/>
      <c r="EA320" s="77"/>
      <c r="EB320" s="77"/>
      <c r="EC320" s="77"/>
      <c r="ED320" s="77"/>
      <c r="EE320" s="77"/>
      <c r="EF320" s="77"/>
      <c r="EG320" s="77"/>
      <c r="EH320" s="77"/>
      <c r="EI320" s="77"/>
      <c r="EJ320" s="77"/>
      <c r="EK320" s="77"/>
      <c r="EL320" s="77"/>
      <c r="EM320" s="77"/>
      <c r="EN320" s="77"/>
      <c r="EO320" s="77"/>
      <c r="EP320" s="77"/>
      <c r="EQ320" s="77"/>
      <c r="ER320" s="77"/>
      <c r="ES320" s="77"/>
      <c r="ET320" s="77"/>
      <c r="EU320" s="77"/>
      <c r="EV320" s="77"/>
      <c r="EW320" s="77"/>
      <c r="EX320" s="77"/>
      <c r="EY320" s="77"/>
      <c r="EZ320" s="77"/>
      <c r="FA320" s="77"/>
      <c r="FB320" s="77"/>
      <c r="FC320" s="77"/>
      <c r="FD320" s="77"/>
      <c r="FE320" s="77"/>
      <c r="FF320" s="77"/>
      <c r="FG320" s="77"/>
      <c r="FH320" s="77"/>
      <c r="FI320" s="77"/>
      <c r="FJ320" s="77"/>
      <c r="FK320" s="77"/>
      <c r="FL320" s="77"/>
      <c r="FM320" s="77"/>
      <c r="FN320" s="77"/>
      <c r="FO320" s="77"/>
      <c r="FP320" s="77"/>
      <c r="FQ320" s="77"/>
      <c r="FR320" s="77"/>
      <c r="FS320" s="77"/>
      <c r="FT320" s="77"/>
      <c r="FU320" s="77"/>
      <c r="FV320" s="77"/>
      <c r="FW320" s="77"/>
      <c r="FX320" s="77"/>
      <c r="FY320" s="77"/>
      <c r="FZ320" s="77"/>
      <c r="GA320" s="77"/>
      <c r="GB320" s="77"/>
      <c r="GC320" s="77"/>
      <c r="GD320" s="77"/>
      <c r="GE320" s="77"/>
      <c r="GF320" s="77"/>
      <c r="GG320" s="77"/>
      <c r="GH320" s="77"/>
      <c r="GI320" s="77"/>
      <c r="GJ320" s="77"/>
      <c r="GK320" s="77"/>
      <c r="GL320" s="77"/>
      <c r="GM320" s="77"/>
      <c r="GN320" s="77"/>
      <c r="GO320" s="77"/>
      <c r="GP320" s="77"/>
      <c r="GQ320" s="77"/>
      <c r="GR320" s="77"/>
      <c r="GS320" s="77"/>
      <c r="GT320" s="77"/>
      <c r="GU320" s="77"/>
      <c r="GV320" s="77"/>
      <c r="GW320" s="77"/>
      <c r="GX320" s="77"/>
      <c r="GY320" s="77"/>
      <c r="GZ320" s="77"/>
      <c r="HA320" s="77"/>
      <c r="HB320" s="77"/>
      <c r="HC320" s="77"/>
      <c r="HD320" s="77"/>
      <c r="HE320" s="77"/>
      <c r="HF320" s="77"/>
      <c r="HG320" s="77"/>
      <c r="HH320" s="77"/>
      <c r="HI320" s="77"/>
      <c r="HJ320" s="77"/>
      <c r="HK320" s="77"/>
      <c r="HL320" s="77"/>
      <c r="HM320" s="77"/>
      <c r="HN320" s="77"/>
      <c r="HO320" s="77"/>
      <c r="HP320" s="77"/>
      <c r="HQ320" s="77"/>
      <c r="HR320" s="77"/>
      <c r="HS320" s="77"/>
      <c r="HT320" s="77"/>
      <c r="HU320" s="77"/>
      <c r="HV320" s="77"/>
      <c r="HW320" s="77"/>
      <c r="HX320" s="77"/>
      <c r="HY320" s="77"/>
      <c r="HZ320" s="77"/>
      <c r="IA320" s="77"/>
      <c r="IB320" s="77"/>
      <c r="IC320" s="77"/>
      <c r="ID320" s="77"/>
      <c r="IE320" s="77"/>
      <c r="IF320" s="77"/>
      <c r="IG320" s="77"/>
      <c r="IH320" s="77"/>
      <c r="II320" s="77"/>
      <c r="IJ320" s="77"/>
      <c r="IK320" s="77"/>
      <c r="IL320" s="77"/>
      <c r="IM320" s="77"/>
      <c r="IN320" s="77"/>
      <c r="IO320" s="77"/>
      <c r="IP320" s="77"/>
      <c r="IQ320" s="77"/>
      <c r="IR320" s="77"/>
      <c r="IS320" s="77"/>
      <c r="IT320" s="77"/>
      <c r="IU320" s="77"/>
      <c r="IV320" s="77"/>
      <c r="BFO320" s="77"/>
    </row>
    <row r="321" spans="1:256" ht="3" customHeight="1">
      <c r="A321" s="501"/>
      <c r="B321" s="501"/>
      <c r="C321" s="501"/>
      <c r="D321" s="501"/>
      <c r="E321" s="501"/>
      <c r="F321" s="501"/>
      <c r="G321" s="501"/>
      <c r="H321" s="501"/>
      <c r="I321" s="501"/>
      <c r="J321" s="501"/>
      <c r="K321" s="501"/>
      <c r="L321" s="501"/>
      <c r="M321" s="501"/>
      <c r="N321" s="501"/>
      <c r="O321" s="501"/>
      <c r="P321" s="501"/>
      <c r="Q321" s="501"/>
      <c r="R321" s="501"/>
      <c r="S321" s="963"/>
      <c r="T321" s="963"/>
      <c r="U321" s="963"/>
      <c r="V321" s="963"/>
      <c r="W321" s="963"/>
      <c r="X321" s="963"/>
      <c r="Y321" s="963"/>
      <c r="Z321" s="963"/>
      <c r="AA321" s="963"/>
      <c r="AB321" s="963"/>
      <c r="AC321" s="963"/>
      <c r="AD321" s="963"/>
      <c r="AE321" s="963"/>
      <c r="AF321" s="963"/>
      <c r="AG321" s="963"/>
      <c r="AH321" s="963"/>
      <c r="AI321" s="963"/>
      <c r="AJ321" s="963"/>
      <c r="AK321" s="963"/>
      <c r="AL321" s="963"/>
      <c r="AM321" s="963"/>
      <c r="AN321" s="963"/>
      <c r="AO321" s="963"/>
      <c r="AP321" s="963"/>
      <c r="AQ321" s="963"/>
      <c r="AR321" s="963"/>
      <c r="AS321" s="501"/>
      <c r="AT321" s="501"/>
      <c r="AU321" s="501"/>
      <c r="AV321" s="501"/>
      <c r="AW321" s="501"/>
      <c r="AX321" s="501"/>
      <c r="AY321" s="501"/>
      <c r="AZ321" s="501"/>
      <c r="BA321" s="501"/>
      <c r="BB321" s="501"/>
      <c r="BC321" s="501"/>
      <c r="BD321" s="501"/>
      <c r="BE321" s="501"/>
      <c r="BF321" s="501"/>
      <c r="BG321" s="501"/>
      <c r="BH321" s="501"/>
      <c r="BI321" s="501"/>
      <c r="BJ321" s="501"/>
      <c r="BK321" s="501"/>
      <c r="BL321" s="501"/>
      <c r="BM321" s="501"/>
      <c r="BN321" s="501"/>
      <c r="BO321" s="501"/>
      <c r="BP321" s="501"/>
      <c r="BQ321" s="501"/>
      <c r="BR321" s="501"/>
      <c r="BS321" s="501"/>
      <c r="BT321" s="501"/>
      <c r="BU321" s="501"/>
      <c r="BV321" s="501"/>
      <c r="BW321" s="501"/>
      <c r="BX321" s="501"/>
      <c r="BY321" s="501"/>
      <c r="BZ321" s="501"/>
      <c r="CA321" s="501"/>
      <c r="CB321" s="501"/>
      <c r="CC321" s="501"/>
      <c r="CD321" s="501"/>
      <c r="CE321" s="501"/>
      <c r="CF321" s="501"/>
      <c r="CG321" s="501"/>
      <c r="CH321" s="501"/>
      <c r="CI321" s="501"/>
      <c r="CJ321" s="501"/>
      <c r="CK321" s="501"/>
      <c r="CL321" s="501"/>
      <c r="CM321" s="501"/>
      <c r="CN321" s="501"/>
      <c r="CO321" s="501"/>
      <c r="CP321" s="501"/>
      <c r="CQ321" s="501"/>
      <c r="CR321" s="501"/>
      <c r="CS321" s="501"/>
      <c r="CT321" s="501"/>
      <c r="CU321" s="501"/>
      <c r="CV321" s="501"/>
      <c r="CW321" s="501"/>
      <c r="CX321" s="501"/>
      <c r="CY321" s="501"/>
      <c r="CZ321" s="501"/>
      <c r="DA321" s="501"/>
      <c r="DB321" s="501"/>
      <c r="DC321" s="501"/>
      <c r="DD321" s="501"/>
      <c r="DE321" s="501"/>
      <c r="DF321" s="501"/>
      <c r="DG321" s="501"/>
      <c r="DH321" s="501"/>
      <c r="DI321" s="501"/>
      <c r="DJ321" s="501"/>
      <c r="DK321" s="501"/>
      <c r="DL321" s="501"/>
      <c r="DM321" s="501"/>
      <c r="DN321" s="501"/>
      <c r="DO321" s="501"/>
      <c r="DP321" s="501"/>
      <c r="DQ321" s="501"/>
      <c r="DR321" s="501"/>
      <c r="DS321" s="501"/>
      <c r="DT321" s="501"/>
      <c r="DU321" s="501"/>
      <c r="DV321" s="501"/>
      <c r="DW321" s="501"/>
      <c r="DX321" s="501"/>
      <c r="DY321" s="501"/>
      <c r="DZ321" s="501"/>
      <c r="EA321" s="501"/>
      <c r="EB321" s="501"/>
      <c r="EC321" s="501"/>
      <c r="ED321" s="501"/>
      <c r="EE321" s="501"/>
      <c r="EF321" s="501"/>
      <c r="EG321" s="501"/>
      <c r="EH321" s="501"/>
      <c r="EI321" s="501"/>
      <c r="EJ321" s="501"/>
      <c r="EK321" s="501"/>
      <c r="EL321" s="501"/>
      <c r="EM321" s="501"/>
      <c r="EN321" s="501"/>
      <c r="EO321" s="501"/>
      <c r="EP321" s="501"/>
      <c r="EQ321" s="501"/>
      <c r="ER321" s="501"/>
      <c r="ES321" s="501"/>
      <c r="ET321" s="501"/>
      <c r="EU321" s="501"/>
      <c r="EV321" s="501"/>
      <c r="EW321" s="501"/>
      <c r="EX321" s="501"/>
      <c r="EY321" s="501"/>
      <c r="EZ321" s="501"/>
      <c r="FA321" s="501"/>
      <c r="FB321" s="501"/>
      <c r="FC321" s="501"/>
      <c r="FD321" s="501"/>
      <c r="FE321" s="501"/>
      <c r="FF321" s="501"/>
      <c r="FG321" s="501"/>
      <c r="FH321" s="501"/>
      <c r="FI321" s="501"/>
      <c r="FJ321" s="501"/>
      <c r="FK321" s="501"/>
      <c r="FL321" s="501"/>
      <c r="FM321" s="501"/>
      <c r="FN321" s="501"/>
      <c r="FO321" s="501"/>
      <c r="FP321" s="501"/>
      <c r="FQ321" s="501"/>
      <c r="FR321" s="501"/>
      <c r="FS321" s="501"/>
      <c r="FT321" s="501"/>
      <c r="FU321" s="501"/>
      <c r="FV321" s="501"/>
      <c r="FW321" s="501"/>
      <c r="FX321" s="501"/>
      <c r="FY321" s="501"/>
      <c r="FZ321" s="501"/>
      <c r="GA321" s="501"/>
      <c r="GB321" s="501"/>
      <c r="GC321" s="501"/>
      <c r="GD321" s="501"/>
      <c r="GE321" s="501"/>
      <c r="GF321" s="501"/>
      <c r="GG321" s="501"/>
      <c r="GH321" s="501"/>
      <c r="GI321" s="501"/>
      <c r="GJ321" s="501"/>
      <c r="GK321" s="501"/>
      <c r="GL321" s="501"/>
      <c r="GM321" s="501"/>
      <c r="GN321" s="501"/>
      <c r="GO321" s="501"/>
      <c r="GP321" s="501"/>
      <c r="GQ321" s="501"/>
      <c r="GR321" s="501"/>
      <c r="GS321" s="501"/>
      <c r="GT321" s="501"/>
      <c r="GU321" s="501"/>
      <c r="GV321" s="501"/>
      <c r="GW321" s="501"/>
      <c r="GX321" s="501"/>
      <c r="GY321" s="501"/>
      <c r="GZ321" s="501"/>
      <c r="HA321" s="501"/>
      <c r="HB321" s="501"/>
      <c r="HC321" s="501"/>
      <c r="HD321" s="501"/>
      <c r="HE321" s="501"/>
      <c r="HF321" s="501"/>
      <c r="HG321" s="501"/>
      <c r="HH321" s="501"/>
      <c r="HI321" s="501"/>
      <c r="HJ321" s="501"/>
      <c r="HK321" s="501"/>
      <c r="HL321" s="501"/>
      <c r="HM321" s="501"/>
      <c r="HN321" s="501"/>
      <c r="HO321" s="501"/>
      <c r="HP321" s="501"/>
      <c r="HQ321" s="501"/>
      <c r="HR321" s="501"/>
      <c r="HS321" s="501"/>
      <c r="HT321" s="501"/>
      <c r="HU321" s="501"/>
      <c r="HV321" s="501"/>
      <c r="HW321" s="501"/>
      <c r="HX321" s="501"/>
      <c r="HY321" s="501"/>
      <c r="HZ321" s="501"/>
      <c r="IA321" s="501"/>
      <c r="IB321" s="501"/>
      <c r="IC321" s="501"/>
      <c r="ID321" s="501"/>
      <c r="IE321" s="501"/>
      <c r="IF321" s="501"/>
      <c r="IG321" s="501"/>
      <c r="IH321" s="501"/>
      <c r="II321" s="501"/>
      <c r="IJ321" s="501"/>
      <c r="IK321" s="501"/>
      <c r="IL321" s="501"/>
      <c r="IM321" s="501"/>
      <c r="IN321" s="501"/>
      <c r="IO321" s="501"/>
      <c r="IP321" s="501"/>
      <c r="IQ321" s="501"/>
      <c r="IR321" s="501"/>
      <c r="IS321" s="501"/>
      <c r="IT321" s="501"/>
      <c r="IU321" s="501"/>
      <c r="IV321" s="501"/>
    </row>
    <row r="322" spans="1:256" ht="11.25" customHeight="1">
      <c r="A322" s="77"/>
      <c r="B322" s="74" t="s">
        <v>1457</v>
      </c>
      <c r="C322" s="77"/>
      <c r="D322" s="74"/>
      <c r="E322" s="74"/>
      <c r="F322" s="74"/>
      <c r="G322" s="74"/>
      <c r="H322" s="16"/>
      <c r="I322" s="2596"/>
      <c r="J322" s="2596"/>
      <c r="K322" s="2596"/>
      <c r="L322" s="501"/>
      <c r="M322" s="501"/>
      <c r="N322" s="501"/>
      <c r="O322" s="501"/>
      <c r="P322" s="501"/>
      <c r="Q322" s="501"/>
      <c r="R322" s="77"/>
      <c r="S322" s="955"/>
      <c r="T322" s="955"/>
      <c r="U322" s="955"/>
      <c r="V322" s="955"/>
      <c r="W322" s="955"/>
      <c r="X322" s="955"/>
      <c r="Y322" s="955"/>
      <c r="Z322" s="955"/>
      <c r="AA322" s="955"/>
      <c r="AB322" s="955"/>
      <c r="AC322" s="955"/>
      <c r="AD322" s="955"/>
      <c r="AE322" s="955"/>
      <c r="AF322" s="955"/>
      <c r="AG322" s="955"/>
      <c r="AH322" s="955"/>
      <c r="AI322" s="955"/>
      <c r="AJ322" s="955"/>
      <c r="AK322" s="955"/>
      <c r="AL322" s="955"/>
      <c r="AM322" s="955"/>
      <c r="AN322" s="955"/>
      <c r="AO322" s="955"/>
      <c r="AP322" s="955"/>
      <c r="AQ322" s="955"/>
      <c r="AR322" s="955"/>
      <c r="AS322" s="77"/>
      <c r="AT322" s="77"/>
      <c r="AU322" s="77"/>
      <c r="AV322" s="77"/>
      <c r="AW322" s="77"/>
      <c r="AX322" s="77"/>
      <c r="AY322" s="77"/>
      <c r="AZ322" s="77"/>
      <c r="BA322" s="77"/>
      <c r="BB322" s="77"/>
      <c r="BC322" s="77"/>
      <c r="BD322" s="77"/>
      <c r="BE322" s="77"/>
      <c r="BF322" s="77"/>
      <c r="BG322" s="77"/>
      <c r="BH322" s="77"/>
      <c r="BI322" s="77"/>
      <c r="BJ322" s="77"/>
      <c r="BK322" s="77"/>
      <c r="BL322" s="77"/>
      <c r="BM322" s="77"/>
      <c r="BN322" s="77"/>
      <c r="BO322" s="77"/>
      <c r="BP322" s="77"/>
      <c r="BQ322" s="77"/>
      <c r="BR322" s="77"/>
      <c r="BS322" s="77"/>
      <c r="BT322" s="77"/>
      <c r="BU322" s="77"/>
      <c r="BV322" s="77"/>
      <c r="BW322" s="77"/>
      <c r="BX322" s="77"/>
      <c r="BY322" s="77"/>
      <c r="BZ322" s="77"/>
      <c r="CA322" s="77"/>
      <c r="CB322" s="77"/>
      <c r="CC322" s="77"/>
      <c r="CD322" s="77"/>
      <c r="CE322" s="77"/>
      <c r="CF322" s="77"/>
      <c r="CG322" s="77"/>
      <c r="CH322" s="77"/>
      <c r="CI322" s="77"/>
      <c r="CJ322" s="77"/>
      <c r="CK322" s="77"/>
      <c r="CL322" s="77"/>
      <c r="CM322" s="77"/>
      <c r="CN322" s="77"/>
      <c r="CO322" s="77"/>
      <c r="CP322" s="77"/>
      <c r="CQ322" s="77"/>
      <c r="CR322" s="77"/>
      <c r="CS322" s="77"/>
      <c r="CT322" s="77"/>
      <c r="CU322" s="77"/>
      <c r="CV322" s="77"/>
      <c r="CW322" s="77"/>
      <c r="CX322" s="77"/>
      <c r="CY322" s="77"/>
      <c r="CZ322" s="77"/>
      <c r="DA322" s="77"/>
      <c r="DB322" s="77"/>
      <c r="DC322" s="77"/>
      <c r="DD322" s="77"/>
      <c r="DE322" s="77"/>
      <c r="DF322" s="77"/>
      <c r="DG322" s="77"/>
      <c r="DH322" s="77"/>
      <c r="DI322" s="77"/>
      <c r="DJ322" s="77"/>
      <c r="DK322" s="77"/>
      <c r="DL322" s="77"/>
      <c r="DM322" s="77"/>
      <c r="DN322" s="77"/>
      <c r="DO322" s="77"/>
      <c r="DP322" s="77"/>
      <c r="DQ322" s="77"/>
      <c r="DR322" s="77"/>
      <c r="DS322" s="77"/>
      <c r="DT322" s="77"/>
      <c r="DU322" s="77"/>
      <c r="DV322" s="77"/>
      <c r="DW322" s="77"/>
      <c r="DX322" s="77"/>
      <c r="DY322" s="77"/>
      <c r="DZ322" s="77"/>
      <c r="EA322" s="77"/>
      <c r="EB322" s="77"/>
      <c r="EC322" s="77"/>
      <c r="ED322" s="77"/>
      <c r="EE322" s="77"/>
      <c r="EF322" s="77"/>
      <c r="EG322" s="77"/>
      <c r="EH322" s="77"/>
      <c r="EI322" s="77"/>
      <c r="EJ322" s="77"/>
      <c r="EK322" s="77"/>
      <c r="EL322" s="77"/>
      <c r="EM322" s="77"/>
      <c r="EN322" s="77"/>
      <c r="EO322" s="77"/>
      <c r="EP322" s="77"/>
      <c r="EQ322" s="77"/>
      <c r="ER322" s="77"/>
      <c r="ES322" s="77"/>
      <c r="ET322" s="77"/>
      <c r="EU322" s="77"/>
      <c r="EV322" s="77"/>
      <c r="EW322" s="77"/>
      <c r="EX322" s="77"/>
      <c r="EY322" s="77"/>
      <c r="EZ322" s="77"/>
      <c r="FA322" s="77"/>
      <c r="FB322" s="77"/>
      <c r="FC322" s="77"/>
      <c r="FD322" s="77"/>
      <c r="FE322" s="77"/>
      <c r="FF322" s="77"/>
      <c r="FG322" s="77"/>
      <c r="FH322" s="77"/>
      <c r="FI322" s="77"/>
      <c r="FJ322" s="77"/>
      <c r="FK322" s="77"/>
      <c r="FL322" s="77"/>
      <c r="FM322" s="77"/>
      <c r="FN322" s="77"/>
      <c r="FO322" s="77"/>
      <c r="FP322" s="77"/>
      <c r="FQ322" s="77"/>
      <c r="FR322" s="77"/>
      <c r="FS322" s="77"/>
      <c r="FT322" s="77"/>
      <c r="FU322" s="77"/>
      <c r="FV322" s="77"/>
      <c r="FW322" s="77"/>
      <c r="FX322" s="77"/>
      <c r="FY322" s="77"/>
      <c r="FZ322" s="77"/>
      <c r="GA322" s="77"/>
      <c r="GB322" s="77"/>
      <c r="GC322" s="77"/>
      <c r="GD322" s="77"/>
      <c r="GE322" s="77"/>
      <c r="GF322" s="77"/>
      <c r="GG322" s="77"/>
      <c r="GH322" s="77"/>
      <c r="GI322" s="77"/>
      <c r="GJ322" s="77"/>
      <c r="GK322" s="77"/>
      <c r="GL322" s="77"/>
      <c r="GM322" s="77"/>
      <c r="GN322" s="77"/>
      <c r="GO322" s="77"/>
      <c r="GP322" s="77"/>
      <c r="GQ322" s="77"/>
      <c r="GR322" s="77"/>
      <c r="GS322" s="77"/>
      <c r="GT322" s="77"/>
      <c r="GU322" s="77"/>
      <c r="GV322" s="77"/>
      <c r="GW322" s="77"/>
      <c r="GX322" s="77"/>
      <c r="GY322" s="77"/>
      <c r="GZ322" s="77"/>
      <c r="HA322" s="77"/>
      <c r="HB322" s="77"/>
      <c r="HC322" s="77"/>
      <c r="HD322" s="77"/>
      <c r="HE322" s="77"/>
      <c r="HF322" s="77"/>
      <c r="HG322" s="77"/>
      <c r="HH322" s="77"/>
      <c r="HI322" s="77"/>
      <c r="HJ322" s="77"/>
      <c r="HK322" s="77"/>
      <c r="HL322" s="77"/>
      <c r="HM322" s="77"/>
      <c r="HN322" s="77"/>
      <c r="HO322" s="77"/>
      <c r="HP322" s="77"/>
      <c r="HQ322" s="77"/>
      <c r="HR322" s="77"/>
      <c r="HS322" s="77"/>
      <c r="HT322" s="77"/>
      <c r="HU322" s="77"/>
      <c r="HV322" s="77"/>
      <c r="HW322" s="77"/>
      <c r="HX322" s="77"/>
      <c r="HY322" s="77"/>
      <c r="HZ322" s="77"/>
      <c r="IA322" s="77"/>
      <c r="IB322" s="77"/>
      <c r="IC322" s="77"/>
      <c r="ID322" s="77"/>
      <c r="IE322" s="77"/>
      <c r="IF322" s="77"/>
      <c r="IG322" s="77"/>
      <c r="IH322" s="77"/>
      <c r="II322" s="77"/>
      <c r="IJ322" s="77"/>
      <c r="IK322" s="77"/>
      <c r="IL322" s="77"/>
      <c r="IM322" s="77"/>
      <c r="IN322" s="77"/>
      <c r="IO322" s="77"/>
      <c r="IP322" s="77"/>
      <c r="IQ322" s="77"/>
      <c r="IR322" s="77"/>
      <c r="IS322" s="77"/>
      <c r="IT322" s="77"/>
      <c r="IU322" s="77"/>
      <c r="IV322" s="77"/>
    </row>
    <row r="323" spans="1:256" ht="11.7" customHeight="1">
      <c r="A323" s="4390"/>
      <c r="B323" s="4391"/>
      <c r="C323" s="4391"/>
      <c r="D323" s="4391"/>
      <c r="E323" s="4391"/>
      <c r="F323" s="4391"/>
      <c r="G323" s="4391"/>
      <c r="H323" s="4391"/>
      <c r="I323" s="4391"/>
      <c r="J323" s="4391"/>
      <c r="K323" s="4391"/>
      <c r="L323" s="4391"/>
      <c r="M323" s="4391"/>
      <c r="N323" s="4391"/>
      <c r="O323" s="4391"/>
      <c r="P323" s="4391"/>
      <c r="Q323" s="4392"/>
      <c r="R323" s="259" t="s">
        <v>6410</v>
      </c>
      <c r="S323" s="964"/>
      <c r="T323" s="955"/>
      <c r="U323" s="954"/>
      <c r="V323" s="954"/>
      <c r="W323" s="954"/>
      <c r="X323" s="954"/>
      <c r="Y323" s="954"/>
      <c r="Z323" s="954"/>
      <c r="AA323" s="954"/>
      <c r="AB323" s="954"/>
      <c r="AC323" s="954"/>
      <c r="AD323" s="954"/>
      <c r="AE323" s="954"/>
      <c r="AF323" s="955"/>
      <c r="AG323" s="955"/>
      <c r="AH323" s="955"/>
      <c r="AI323" s="955"/>
      <c r="AJ323" s="955"/>
      <c r="AK323" s="955"/>
      <c r="AL323" s="955"/>
      <c r="AM323" s="955"/>
      <c r="AN323" s="955"/>
      <c r="AO323" s="955"/>
      <c r="AP323" s="955"/>
      <c r="AQ323" s="955"/>
      <c r="AR323" s="955"/>
      <c r="AS323" s="77"/>
      <c r="AT323" s="77"/>
      <c r="AU323" s="77"/>
      <c r="AV323" s="77"/>
      <c r="AW323" s="77"/>
      <c r="AX323" s="77"/>
      <c r="AY323" s="77"/>
      <c r="AZ323" s="77"/>
      <c r="BA323" s="77"/>
      <c r="BB323" s="77"/>
      <c r="BC323" s="77"/>
      <c r="BD323" s="77"/>
      <c r="BE323" s="77"/>
      <c r="BF323" s="77"/>
      <c r="BG323" s="77"/>
      <c r="BH323" s="77"/>
      <c r="BI323" s="77"/>
      <c r="BJ323" s="77"/>
      <c r="BK323" s="77"/>
      <c r="BL323" s="77"/>
      <c r="BM323" s="77"/>
      <c r="BN323" s="77"/>
      <c r="BO323" s="77"/>
      <c r="BP323" s="77"/>
      <c r="BQ323" s="77"/>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c r="CU323" s="77"/>
      <c r="CV323" s="77"/>
      <c r="CW323" s="77"/>
      <c r="CX323" s="77"/>
      <c r="CY323" s="77"/>
      <c r="CZ323" s="77"/>
      <c r="DA323" s="77"/>
      <c r="DB323" s="77"/>
      <c r="DC323" s="77"/>
      <c r="DD323" s="77"/>
      <c r="DE323" s="77"/>
      <c r="DF323" s="77"/>
      <c r="DG323" s="77"/>
      <c r="DH323" s="77"/>
      <c r="DI323" s="77"/>
      <c r="DJ323" s="77"/>
      <c r="DK323" s="77"/>
      <c r="DL323" s="77"/>
      <c r="DM323" s="77"/>
      <c r="DN323" s="77"/>
      <c r="DO323" s="77"/>
      <c r="DP323" s="77"/>
      <c r="DQ323" s="77"/>
      <c r="DR323" s="77"/>
      <c r="DS323" s="77"/>
      <c r="DT323" s="77"/>
      <c r="DU323" s="77"/>
      <c r="DV323" s="77"/>
      <c r="DW323" s="77"/>
      <c r="DX323" s="77"/>
      <c r="DY323" s="77"/>
      <c r="DZ323" s="77"/>
      <c r="EA323" s="77"/>
      <c r="EB323" s="77"/>
      <c r="EC323" s="77"/>
      <c r="ED323" s="77"/>
      <c r="EE323" s="77"/>
      <c r="EF323" s="77"/>
      <c r="EG323" s="77"/>
      <c r="EH323" s="77"/>
      <c r="EI323" s="77"/>
      <c r="EJ323" s="77"/>
      <c r="EK323" s="77"/>
      <c r="EL323" s="77"/>
      <c r="EM323" s="77"/>
      <c r="EN323" s="77"/>
      <c r="EO323" s="77"/>
      <c r="EP323" s="77"/>
      <c r="EQ323" s="77"/>
      <c r="ER323" s="77"/>
      <c r="ES323" s="77"/>
      <c r="ET323" s="77"/>
      <c r="EU323" s="77"/>
      <c r="EV323" s="77"/>
      <c r="EW323" s="77"/>
      <c r="EX323" s="77"/>
      <c r="EY323" s="77"/>
      <c r="EZ323" s="77"/>
      <c r="FA323" s="77"/>
      <c r="FB323" s="77"/>
      <c r="FC323" s="77"/>
      <c r="FD323" s="77"/>
      <c r="FE323" s="77"/>
      <c r="FF323" s="77"/>
      <c r="FG323" s="77"/>
      <c r="FH323" s="77"/>
      <c r="FI323" s="77"/>
      <c r="FJ323" s="77"/>
      <c r="FK323" s="77"/>
      <c r="FL323" s="77"/>
      <c r="FM323" s="77"/>
      <c r="FN323" s="77"/>
      <c r="FO323" s="77"/>
      <c r="FP323" s="77"/>
      <c r="FQ323" s="77"/>
      <c r="FR323" s="77"/>
      <c r="FS323" s="77"/>
      <c r="FT323" s="77"/>
      <c r="FU323" s="77"/>
      <c r="FV323" s="77"/>
      <c r="FW323" s="77"/>
      <c r="FX323" s="77"/>
      <c r="FY323" s="77"/>
      <c r="FZ323" s="77"/>
      <c r="GA323" s="77"/>
      <c r="GB323" s="77"/>
      <c r="GC323" s="77"/>
      <c r="GD323" s="77"/>
      <c r="GE323" s="77"/>
      <c r="GF323" s="77"/>
      <c r="GG323" s="77"/>
      <c r="GH323" s="77"/>
      <c r="GI323" s="77"/>
      <c r="GJ323" s="77"/>
      <c r="GK323" s="77"/>
      <c r="GL323" s="77"/>
      <c r="GM323" s="77"/>
      <c r="GN323" s="77"/>
      <c r="GO323" s="77"/>
      <c r="GP323" s="77"/>
      <c r="GQ323" s="77"/>
      <c r="GR323" s="77"/>
      <c r="GS323" s="77"/>
      <c r="GT323" s="77"/>
      <c r="GU323" s="77"/>
      <c r="GV323" s="77"/>
      <c r="GW323" s="77"/>
      <c r="GX323" s="77"/>
      <c r="GY323" s="77"/>
      <c r="GZ323" s="77"/>
      <c r="HA323" s="77"/>
      <c r="HB323" s="77"/>
      <c r="HC323" s="77"/>
      <c r="HD323" s="77"/>
      <c r="HE323" s="77"/>
      <c r="HF323" s="77"/>
      <c r="HG323" s="77"/>
      <c r="HH323" s="77"/>
      <c r="HI323" s="77"/>
      <c r="HJ323" s="77"/>
      <c r="HK323" s="77"/>
      <c r="HL323" s="77"/>
      <c r="HM323" s="77"/>
      <c r="HN323" s="77"/>
      <c r="HO323" s="77"/>
      <c r="HP323" s="77"/>
      <c r="HQ323" s="77"/>
      <c r="HR323" s="77"/>
      <c r="HS323" s="77"/>
      <c r="HT323" s="77"/>
      <c r="HU323" s="77"/>
      <c r="HV323" s="77"/>
      <c r="HW323" s="77"/>
      <c r="HX323" s="77"/>
      <c r="HY323" s="77"/>
      <c r="HZ323" s="77"/>
      <c r="IA323" s="77"/>
      <c r="IB323" s="77"/>
      <c r="IC323" s="77"/>
      <c r="ID323" s="77"/>
      <c r="IE323" s="77"/>
      <c r="IF323" s="77"/>
      <c r="IG323" s="77"/>
      <c r="IH323" s="77"/>
      <c r="II323" s="77"/>
      <c r="IJ323" s="77"/>
      <c r="IK323" s="77"/>
      <c r="IL323" s="77"/>
      <c r="IM323" s="77"/>
      <c r="IN323" s="77"/>
      <c r="IO323" s="77"/>
      <c r="IP323" s="77"/>
      <c r="IQ323" s="77"/>
      <c r="IR323" s="77"/>
      <c r="IS323" s="77"/>
      <c r="IT323" s="77"/>
      <c r="IU323" s="77"/>
      <c r="IV323" s="77"/>
    </row>
    <row r="324" spans="1:256" ht="11.25" customHeight="1">
      <c r="A324" s="77"/>
      <c r="B324" s="70" t="s">
        <v>1453</v>
      </c>
      <c r="C324" s="71"/>
      <c r="D324" s="2586"/>
      <c r="E324" s="2586"/>
      <c r="F324" s="2586"/>
      <c r="G324" s="2586"/>
      <c r="H324" s="2586"/>
      <c r="I324" s="2586"/>
      <c r="J324" s="2586"/>
      <c r="K324" s="2586"/>
      <c r="L324" s="2586"/>
      <c r="M324" s="2586"/>
      <c r="N324" s="2586"/>
      <c r="O324" s="2586"/>
      <c r="P324" s="2586"/>
      <c r="Q324" s="2586"/>
      <c r="R324" s="77"/>
      <c r="S324" s="955"/>
      <c r="T324" s="955"/>
      <c r="U324" s="955"/>
      <c r="V324" s="955"/>
      <c r="W324" s="955"/>
      <c r="X324" s="955"/>
      <c r="Y324" s="955"/>
      <c r="Z324" s="955"/>
      <c r="AA324" s="955"/>
      <c r="AB324" s="955"/>
      <c r="AC324" s="955"/>
      <c r="AD324" s="955"/>
      <c r="AE324" s="955"/>
      <c r="AF324" s="955"/>
      <c r="AG324" s="955"/>
      <c r="AH324" s="955"/>
      <c r="AI324" s="955"/>
      <c r="AJ324" s="955"/>
      <c r="AK324" s="955"/>
      <c r="AL324" s="955"/>
      <c r="AM324" s="955"/>
      <c r="AN324" s="955"/>
      <c r="AO324" s="955"/>
      <c r="AP324" s="955"/>
      <c r="AQ324" s="955"/>
      <c r="AR324" s="955"/>
      <c r="AS324" s="77"/>
      <c r="AT324" s="77"/>
      <c r="AU324" s="77"/>
      <c r="AV324" s="77"/>
      <c r="AW324" s="77"/>
      <c r="AX324" s="77"/>
      <c r="AY324" s="77"/>
      <c r="AZ324" s="77"/>
      <c r="BA324" s="77"/>
      <c r="BB324" s="77"/>
      <c r="BC324" s="77"/>
      <c r="BD324" s="77"/>
      <c r="BE324" s="77"/>
      <c r="BF324" s="77"/>
      <c r="BG324" s="77"/>
      <c r="BH324" s="77"/>
      <c r="BI324" s="77"/>
      <c r="BJ324" s="77"/>
      <c r="BK324" s="77"/>
      <c r="BL324" s="77"/>
      <c r="BM324" s="77"/>
      <c r="BN324" s="77"/>
      <c r="BO324" s="77"/>
      <c r="BP324" s="77"/>
      <c r="BQ324" s="77"/>
      <c r="BR324" s="77"/>
      <c r="BS324" s="77"/>
      <c r="BT324" s="77"/>
      <c r="BU324" s="77"/>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c r="CU324" s="77"/>
      <c r="CV324" s="77"/>
      <c r="CW324" s="77"/>
      <c r="CX324" s="77"/>
      <c r="CY324" s="77"/>
      <c r="CZ324" s="77"/>
      <c r="DA324" s="77"/>
      <c r="DB324" s="77"/>
      <c r="DC324" s="77"/>
      <c r="DD324" s="77"/>
      <c r="DE324" s="77"/>
      <c r="DF324" s="77"/>
      <c r="DG324" s="77"/>
      <c r="DH324" s="77"/>
      <c r="DI324" s="77"/>
      <c r="DJ324" s="77"/>
      <c r="DK324" s="77"/>
      <c r="DL324" s="77"/>
      <c r="DM324" s="77"/>
      <c r="DN324" s="77"/>
      <c r="DO324" s="77"/>
      <c r="DP324" s="77"/>
      <c r="DQ324" s="77"/>
      <c r="DR324" s="77"/>
      <c r="DS324" s="77"/>
      <c r="DT324" s="77"/>
      <c r="DU324" s="77"/>
      <c r="DV324" s="77"/>
      <c r="DW324" s="77"/>
      <c r="DX324" s="77"/>
      <c r="DY324" s="77"/>
      <c r="DZ324" s="77"/>
      <c r="EA324" s="77"/>
      <c r="EB324" s="77"/>
      <c r="EC324" s="77"/>
      <c r="ED324" s="77"/>
      <c r="EE324" s="77"/>
      <c r="EF324" s="77"/>
      <c r="EG324" s="77"/>
      <c r="EH324" s="77"/>
      <c r="EI324" s="77"/>
      <c r="EJ324" s="77"/>
      <c r="EK324" s="77"/>
      <c r="EL324" s="77"/>
      <c r="EM324" s="77"/>
      <c r="EN324" s="77"/>
      <c r="EO324" s="77"/>
      <c r="EP324" s="77"/>
      <c r="EQ324" s="77"/>
      <c r="ER324" s="77"/>
      <c r="ES324" s="77"/>
      <c r="ET324" s="77"/>
      <c r="EU324" s="77"/>
      <c r="EV324" s="77"/>
      <c r="EW324" s="77"/>
      <c r="EX324" s="77"/>
      <c r="EY324" s="77"/>
      <c r="EZ324" s="77"/>
      <c r="FA324" s="77"/>
      <c r="FB324" s="77"/>
      <c r="FC324" s="77"/>
      <c r="FD324" s="77"/>
      <c r="FE324" s="77"/>
      <c r="FF324" s="77"/>
      <c r="FG324" s="77"/>
      <c r="FH324" s="77"/>
      <c r="FI324" s="77"/>
      <c r="FJ324" s="77"/>
      <c r="FK324" s="77"/>
      <c r="FL324" s="77"/>
      <c r="FM324" s="77"/>
      <c r="FN324" s="77"/>
      <c r="FO324" s="77"/>
      <c r="FP324" s="77"/>
      <c r="FQ324" s="77"/>
      <c r="FR324" s="77"/>
      <c r="FS324" s="77"/>
      <c r="FT324" s="77"/>
      <c r="FU324" s="77"/>
      <c r="FV324" s="77"/>
      <c r="FW324" s="77"/>
      <c r="FX324" s="77"/>
      <c r="FY324" s="77"/>
      <c r="FZ324" s="77"/>
      <c r="GA324" s="77"/>
      <c r="GB324" s="77"/>
      <c r="GC324" s="77"/>
      <c r="GD324" s="77"/>
      <c r="GE324" s="77"/>
      <c r="GF324" s="77"/>
      <c r="GG324" s="77"/>
      <c r="GH324" s="77"/>
      <c r="GI324" s="77"/>
      <c r="GJ324" s="77"/>
      <c r="GK324" s="77"/>
      <c r="GL324" s="77"/>
      <c r="GM324" s="77"/>
      <c r="GN324" s="77"/>
      <c r="GO324" s="77"/>
      <c r="GP324" s="77"/>
      <c r="GQ324" s="77"/>
      <c r="GR324" s="77"/>
      <c r="GS324" s="77"/>
      <c r="GT324" s="77"/>
      <c r="GU324" s="77"/>
      <c r="GV324" s="77"/>
      <c r="GW324" s="77"/>
      <c r="GX324" s="77"/>
      <c r="GY324" s="77"/>
      <c r="GZ324" s="77"/>
      <c r="HA324" s="77"/>
      <c r="HB324" s="77"/>
      <c r="HC324" s="77"/>
      <c r="HD324" s="77"/>
      <c r="HE324" s="77"/>
      <c r="HF324" s="77"/>
      <c r="HG324" s="77"/>
      <c r="HH324" s="77"/>
      <c r="HI324" s="77"/>
      <c r="HJ324" s="77"/>
      <c r="HK324" s="77"/>
      <c r="HL324" s="77"/>
      <c r="HM324" s="77"/>
      <c r="HN324" s="77"/>
      <c r="HO324" s="77"/>
      <c r="HP324" s="77"/>
      <c r="HQ324" s="77"/>
      <c r="HR324" s="77"/>
      <c r="HS324" s="77"/>
      <c r="HT324" s="77"/>
      <c r="HU324" s="77"/>
      <c r="HV324" s="77"/>
      <c r="HW324" s="77"/>
      <c r="HX324" s="77"/>
      <c r="HY324" s="77"/>
      <c r="HZ324" s="77"/>
      <c r="IA324" s="77"/>
      <c r="IB324" s="77"/>
      <c r="IC324" s="77"/>
      <c r="ID324" s="77"/>
      <c r="IE324" s="77"/>
      <c r="IF324" s="77"/>
      <c r="IG324" s="77"/>
      <c r="IH324" s="77"/>
      <c r="II324" s="77"/>
      <c r="IJ324" s="77"/>
      <c r="IK324" s="77"/>
      <c r="IL324" s="77"/>
      <c r="IM324" s="77"/>
      <c r="IN324" s="77"/>
      <c r="IO324" s="77"/>
      <c r="IP324" s="77"/>
      <c r="IQ324" s="77"/>
      <c r="IR324" s="77"/>
      <c r="IS324" s="77"/>
      <c r="IT324" s="77"/>
      <c r="IU324" s="77"/>
      <c r="IV324" s="77"/>
    </row>
    <row r="325" spans="1:256" ht="11.7" customHeight="1">
      <c r="A325" s="4387"/>
      <c r="B325" s="4388"/>
      <c r="C325" s="4388"/>
      <c r="D325" s="4388"/>
      <c r="E325" s="4388"/>
      <c r="F325" s="4388"/>
      <c r="G325" s="4388"/>
      <c r="H325" s="4388"/>
      <c r="I325" s="4388"/>
      <c r="J325" s="4388"/>
      <c r="K325" s="4388"/>
      <c r="L325" s="4388"/>
      <c r="M325" s="4388"/>
      <c r="N325" s="4388"/>
      <c r="O325" s="4388"/>
      <c r="P325" s="4388"/>
      <c r="Q325" s="4389"/>
      <c r="R325" s="77"/>
      <c r="S325" s="955"/>
      <c r="T325" s="955"/>
      <c r="U325" s="955"/>
      <c r="V325" s="955"/>
      <c r="W325" s="955"/>
      <c r="X325" s="955"/>
      <c r="Y325" s="955"/>
      <c r="Z325" s="955"/>
      <c r="AA325" s="955"/>
      <c r="AB325" s="955"/>
      <c r="AC325" s="955"/>
      <c r="AD325" s="955"/>
      <c r="AE325" s="955"/>
      <c r="AF325" s="955"/>
      <c r="AG325" s="955"/>
      <c r="AH325" s="955"/>
      <c r="AI325" s="955"/>
      <c r="AJ325" s="955"/>
      <c r="AK325" s="955"/>
      <c r="AL325" s="955"/>
      <c r="AM325" s="955"/>
      <c r="AN325" s="955"/>
      <c r="AO325" s="955"/>
      <c r="AP325" s="955"/>
      <c r="AQ325" s="955"/>
      <c r="AR325" s="955"/>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7"/>
      <c r="BU325" s="77"/>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c r="CU325" s="77"/>
      <c r="CV325" s="77"/>
      <c r="CW325" s="77"/>
      <c r="CX325" s="77"/>
      <c r="CY325" s="77"/>
      <c r="CZ325" s="77"/>
      <c r="DA325" s="77"/>
      <c r="DB325" s="77"/>
      <c r="DC325" s="77"/>
      <c r="DD325" s="77"/>
      <c r="DE325" s="77"/>
      <c r="DF325" s="77"/>
      <c r="DG325" s="77"/>
      <c r="DH325" s="77"/>
      <c r="DI325" s="77"/>
      <c r="DJ325" s="77"/>
      <c r="DK325" s="77"/>
      <c r="DL325" s="77"/>
      <c r="DM325" s="77"/>
      <c r="DN325" s="77"/>
      <c r="DO325" s="77"/>
      <c r="DP325" s="77"/>
      <c r="DQ325" s="77"/>
      <c r="DR325" s="77"/>
      <c r="DS325" s="77"/>
      <c r="DT325" s="77"/>
      <c r="DU325" s="77"/>
      <c r="DV325" s="77"/>
      <c r="DW325" s="77"/>
      <c r="DX325" s="77"/>
      <c r="DY325" s="77"/>
      <c r="DZ325" s="77"/>
      <c r="EA325" s="77"/>
      <c r="EB325" s="77"/>
      <c r="EC325" s="77"/>
      <c r="ED325" s="77"/>
      <c r="EE325" s="77"/>
      <c r="EF325" s="77"/>
      <c r="EG325" s="77"/>
      <c r="EH325" s="77"/>
      <c r="EI325" s="77"/>
      <c r="EJ325" s="77"/>
      <c r="EK325" s="77"/>
      <c r="EL325" s="77"/>
      <c r="EM325" s="77"/>
      <c r="EN325" s="77"/>
      <c r="EO325" s="77"/>
      <c r="EP325" s="77"/>
      <c r="EQ325" s="77"/>
      <c r="ER325" s="77"/>
      <c r="ES325" s="77"/>
      <c r="ET325" s="77"/>
      <c r="EU325" s="77"/>
      <c r="EV325" s="77"/>
      <c r="EW325" s="77"/>
      <c r="EX325" s="77"/>
      <c r="EY325" s="77"/>
      <c r="EZ325" s="77"/>
      <c r="FA325" s="77"/>
      <c r="FB325" s="77"/>
      <c r="FC325" s="77"/>
      <c r="FD325" s="77"/>
      <c r="FE325" s="77"/>
      <c r="FF325" s="77"/>
      <c r="FG325" s="77"/>
      <c r="FH325" s="77"/>
      <c r="FI325" s="77"/>
      <c r="FJ325" s="77"/>
      <c r="FK325" s="77"/>
      <c r="FL325" s="77"/>
      <c r="FM325" s="77"/>
      <c r="FN325" s="77"/>
      <c r="FO325" s="77"/>
      <c r="FP325" s="77"/>
      <c r="FQ325" s="77"/>
      <c r="FR325" s="77"/>
      <c r="FS325" s="77"/>
      <c r="FT325" s="77"/>
      <c r="FU325" s="77"/>
      <c r="FV325" s="77"/>
      <c r="FW325" s="77"/>
      <c r="FX325" s="77"/>
      <c r="FY325" s="77"/>
      <c r="FZ325" s="77"/>
      <c r="GA325" s="77"/>
      <c r="GB325" s="77"/>
      <c r="GC325" s="77"/>
      <c r="GD325" s="77"/>
      <c r="GE325" s="77"/>
      <c r="GF325" s="77"/>
      <c r="GG325" s="77"/>
      <c r="GH325" s="77"/>
      <c r="GI325" s="77"/>
      <c r="GJ325" s="77"/>
      <c r="GK325" s="77"/>
      <c r="GL325" s="77"/>
      <c r="GM325" s="77"/>
      <c r="GN325" s="77"/>
      <c r="GO325" s="77"/>
      <c r="GP325" s="77"/>
      <c r="GQ325" s="77"/>
      <c r="GR325" s="77"/>
      <c r="GS325" s="77"/>
      <c r="GT325" s="77"/>
      <c r="GU325" s="77"/>
      <c r="GV325" s="77"/>
      <c r="GW325" s="77"/>
      <c r="GX325" s="77"/>
      <c r="GY325" s="77"/>
      <c r="GZ325" s="77"/>
      <c r="HA325" s="77"/>
      <c r="HB325" s="77"/>
      <c r="HC325" s="77"/>
      <c r="HD325" s="77"/>
      <c r="HE325" s="77"/>
      <c r="HF325" s="77"/>
      <c r="HG325" s="77"/>
      <c r="HH325" s="77"/>
      <c r="HI325" s="77"/>
      <c r="HJ325" s="77"/>
      <c r="HK325" s="77"/>
      <c r="HL325" s="77"/>
      <c r="HM325" s="77"/>
      <c r="HN325" s="77"/>
      <c r="HO325" s="77"/>
      <c r="HP325" s="77"/>
      <c r="HQ325" s="77"/>
      <c r="HR325" s="77"/>
      <c r="HS325" s="77"/>
      <c r="HT325" s="77"/>
      <c r="HU325" s="77"/>
      <c r="HV325" s="77"/>
      <c r="HW325" s="77"/>
      <c r="HX325" s="77"/>
      <c r="HY325" s="77"/>
      <c r="HZ325" s="77"/>
      <c r="IA325" s="77"/>
      <c r="IB325" s="77"/>
      <c r="IC325" s="77"/>
      <c r="ID325" s="77"/>
      <c r="IE325" s="77"/>
      <c r="IF325" s="77"/>
      <c r="IG325" s="77"/>
      <c r="IH325" s="77"/>
      <c r="II325" s="77"/>
      <c r="IJ325" s="77"/>
      <c r="IK325" s="77"/>
      <c r="IL325" s="77"/>
      <c r="IM325" s="77"/>
      <c r="IN325" s="77"/>
      <c r="IO325" s="77"/>
      <c r="IP325" s="77"/>
      <c r="IQ325" s="77"/>
      <c r="IR325" s="77"/>
      <c r="IS325" s="77"/>
      <c r="IT325" s="77"/>
      <c r="IU325" s="77"/>
      <c r="IV325" s="77"/>
    </row>
    <row r="326" spans="1:256" ht="14.1" customHeight="1">
      <c r="A326" s="2521" t="s">
        <v>1565</v>
      </c>
      <c r="B326" s="104" t="s">
        <v>6644</v>
      </c>
      <c r="C326" s="2521"/>
      <c r="D326" s="2586"/>
      <c r="E326" s="2586"/>
      <c r="F326" s="2586"/>
      <c r="G326" s="2586"/>
      <c r="H326" s="2586"/>
      <c r="I326" s="77"/>
      <c r="J326" s="77"/>
      <c r="K326" s="77"/>
      <c r="L326" s="77"/>
      <c r="M326" s="77"/>
      <c r="N326" s="621" t="s">
        <v>6462</v>
      </c>
      <c r="O326" s="66" t="s">
        <v>1451</v>
      </c>
      <c r="P326" s="4382"/>
      <c r="Q326" s="4383"/>
      <c r="R326" s="623" t="s">
        <v>6463</v>
      </c>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J326" s="77"/>
      <c r="BK326" s="77"/>
      <c r="BL326" s="77"/>
      <c r="BM326" s="77"/>
      <c r="BN326" s="77"/>
      <c r="BO326" s="77"/>
      <c r="BP326" s="77"/>
      <c r="BQ326" s="77"/>
      <c r="BR326" s="77"/>
      <c r="BS326" s="77"/>
      <c r="BT326" s="77"/>
      <c r="BU326" s="77"/>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c r="CU326" s="77"/>
      <c r="CV326" s="77"/>
      <c r="CW326" s="77"/>
      <c r="CX326" s="77"/>
      <c r="CY326" s="77"/>
      <c r="CZ326" s="77"/>
      <c r="DA326" s="77"/>
      <c r="DB326" s="77"/>
      <c r="DC326" s="77"/>
      <c r="DD326" s="77"/>
      <c r="DE326" s="77"/>
      <c r="DF326" s="77"/>
      <c r="DG326" s="77"/>
      <c r="DH326" s="77"/>
      <c r="DI326" s="77"/>
      <c r="DJ326" s="77"/>
      <c r="DK326" s="77"/>
      <c r="DL326" s="77"/>
      <c r="DM326" s="77"/>
      <c r="DN326" s="77"/>
      <c r="DO326" s="77"/>
      <c r="DP326" s="77"/>
      <c r="DQ326" s="77"/>
      <c r="DR326" s="77"/>
      <c r="DS326" s="77"/>
      <c r="DT326" s="77"/>
      <c r="DU326" s="77"/>
      <c r="DV326" s="77"/>
      <c r="DW326" s="77"/>
      <c r="DX326" s="77"/>
      <c r="DY326" s="77"/>
      <c r="DZ326" s="77"/>
      <c r="EA326" s="77"/>
      <c r="EB326" s="77"/>
      <c r="EC326" s="77"/>
      <c r="ED326" s="77"/>
      <c r="EE326" s="77"/>
      <c r="EF326" s="77"/>
      <c r="EG326" s="77"/>
      <c r="EH326" s="77"/>
      <c r="EI326" s="77"/>
      <c r="EJ326" s="77"/>
      <c r="EK326" s="77"/>
      <c r="EL326" s="77"/>
      <c r="EM326" s="77"/>
      <c r="EN326" s="77"/>
      <c r="EO326" s="77"/>
      <c r="EP326" s="77"/>
      <c r="EQ326" s="77"/>
      <c r="ER326" s="77"/>
      <c r="ES326" s="77"/>
      <c r="ET326" s="77"/>
      <c r="EU326" s="77"/>
      <c r="EV326" s="77"/>
      <c r="EW326" s="77"/>
      <c r="EX326" s="77"/>
      <c r="EY326" s="77"/>
      <c r="EZ326" s="77"/>
      <c r="FA326" s="77"/>
      <c r="FB326" s="77"/>
      <c r="FC326" s="77"/>
      <c r="FD326" s="77"/>
      <c r="FE326" s="77"/>
      <c r="FF326" s="77"/>
      <c r="FG326" s="77"/>
      <c r="FH326" s="77"/>
      <c r="FI326" s="77"/>
      <c r="FJ326" s="77"/>
      <c r="FK326" s="77"/>
      <c r="FL326" s="77"/>
      <c r="FM326" s="77"/>
      <c r="FN326" s="77"/>
      <c r="FO326" s="77"/>
      <c r="FP326" s="77"/>
      <c r="FQ326" s="77"/>
      <c r="FR326" s="77"/>
      <c r="FS326" s="77"/>
      <c r="FT326" s="77"/>
      <c r="FU326" s="77"/>
      <c r="FV326" s="77"/>
      <c r="FW326" s="77"/>
      <c r="FX326" s="77"/>
      <c r="FY326" s="77"/>
      <c r="FZ326" s="77"/>
      <c r="GA326" s="77"/>
      <c r="GB326" s="77"/>
      <c r="GC326" s="77"/>
      <c r="GD326" s="77"/>
      <c r="GE326" s="77"/>
      <c r="GF326" s="77"/>
      <c r="GG326" s="77"/>
      <c r="GH326" s="77"/>
      <c r="GI326" s="77"/>
      <c r="GJ326" s="77"/>
      <c r="GK326" s="77"/>
      <c r="GL326" s="77"/>
      <c r="GM326" s="77"/>
      <c r="GN326" s="77"/>
      <c r="GO326" s="77"/>
      <c r="GP326" s="77"/>
      <c r="GQ326" s="77"/>
      <c r="GR326" s="77"/>
      <c r="GS326" s="77"/>
      <c r="GT326" s="77"/>
      <c r="GU326" s="77"/>
      <c r="GV326" s="77"/>
      <c r="GW326" s="77"/>
      <c r="GX326" s="77"/>
      <c r="GY326" s="77"/>
      <c r="GZ326" s="77"/>
      <c r="HA326" s="77"/>
      <c r="HB326" s="77"/>
      <c r="HC326" s="77"/>
      <c r="HD326" s="77"/>
      <c r="HE326" s="77"/>
      <c r="HF326" s="77"/>
      <c r="HG326" s="77"/>
      <c r="HH326" s="77"/>
      <c r="HI326" s="77"/>
      <c r="HJ326" s="77"/>
      <c r="HK326" s="77"/>
      <c r="HL326" s="77"/>
      <c r="HM326" s="77"/>
      <c r="HN326" s="77"/>
      <c r="HO326" s="77"/>
      <c r="HP326" s="77"/>
      <c r="HQ326" s="77"/>
      <c r="HR326" s="77"/>
      <c r="HS326" s="77"/>
      <c r="HT326" s="77"/>
      <c r="HU326" s="77"/>
      <c r="HV326" s="77"/>
      <c r="HW326" s="77"/>
      <c r="HX326" s="77"/>
      <c r="HY326" s="77"/>
      <c r="HZ326" s="77"/>
      <c r="IA326" s="77"/>
      <c r="IB326" s="77"/>
      <c r="IC326" s="77"/>
      <c r="ID326" s="77"/>
      <c r="IE326" s="77"/>
      <c r="IF326" s="77"/>
      <c r="IG326" s="77"/>
      <c r="IH326" s="77"/>
      <c r="II326" s="77"/>
      <c r="IJ326" s="77"/>
      <c r="IK326" s="77"/>
      <c r="IL326" s="77"/>
      <c r="IM326" s="77"/>
      <c r="IN326" s="77"/>
      <c r="IO326" s="77"/>
      <c r="IP326" s="77"/>
      <c r="IQ326" s="77"/>
      <c r="IR326" s="77"/>
      <c r="IS326" s="77"/>
      <c r="IT326" s="77"/>
      <c r="IU326" s="77"/>
      <c r="IV326" s="77"/>
    </row>
    <row r="327" spans="1:256" ht="11.7" customHeight="1">
      <c r="A327" s="22" t="s">
        <v>186</v>
      </c>
      <c r="B327" s="25" t="s">
        <v>6645</v>
      </c>
      <c r="C327" s="77"/>
      <c r="D327" s="77"/>
      <c r="E327" s="77"/>
      <c r="F327" s="77"/>
      <c r="G327" s="77"/>
      <c r="H327" s="77"/>
      <c r="I327" s="77"/>
      <c r="J327" s="77"/>
      <c r="K327" s="77"/>
      <c r="L327" s="77"/>
      <c r="M327" s="77"/>
      <c r="N327" s="77"/>
      <c r="O327" s="84" t="s">
        <v>186</v>
      </c>
      <c r="P327" s="2898"/>
      <c r="Q327" s="2899"/>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J327" s="77"/>
      <c r="BK327" s="77"/>
      <c r="BL327" s="77"/>
      <c r="BM327" s="77"/>
      <c r="BN327" s="77"/>
      <c r="BO327" s="77"/>
      <c r="BP327" s="77"/>
      <c r="BQ327" s="77"/>
      <c r="BR327" s="77"/>
      <c r="BS327" s="77"/>
      <c r="BT327" s="77"/>
      <c r="BU327" s="77"/>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DX327" s="77"/>
      <c r="DY327" s="77"/>
      <c r="DZ327" s="77"/>
      <c r="EA327" s="77"/>
      <c r="EB327" s="77"/>
      <c r="EC327" s="77"/>
      <c r="ED327" s="77"/>
      <c r="EE327" s="77"/>
      <c r="EF327" s="77"/>
      <c r="EG327" s="77"/>
      <c r="EH327" s="77"/>
      <c r="EI327" s="77"/>
      <c r="EJ327" s="77"/>
      <c r="EK327" s="77"/>
      <c r="EL327" s="77"/>
      <c r="EM327" s="77"/>
      <c r="EN327" s="77"/>
      <c r="EO327" s="77"/>
      <c r="EP327" s="77"/>
      <c r="EQ327" s="77"/>
      <c r="ER327" s="77"/>
      <c r="ES327" s="77"/>
      <c r="ET327" s="77"/>
      <c r="EU327" s="77"/>
      <c r="EV327" s="77"/>
      <c r="EW327" s="77"/>
      <c r="EX327" s="77"/>
      <c r="EY327" s="77"/>
      <c r="EZ327" s="77"/>
      <c r="FA327" s="77"/>
      <c r="FB327" s="77"/>
      <c r="FC327" s="77"/>
      <c r="FD327" s="77"/>
      <c r="FE327" s="77"/>
      <c r="FF327" s="77"/>
      <c r="FG327" s="77"/>
      <c r="FH327" s="77"/>
      <c r="FI327" s="77"/>
      <c r="FJ327" s="77"/>
      <c r="FK327" s="77"/>
      <c r="FL327" s="77"/>
      <c r="FM327" s="77"/>
      <c r="FN327" s="77"/>
      <c r="FO327" s="77"/>
      <c r="FP327" s="77"/>
      <c r="FQ327" s="77"/>
      <c r="FR327" s="77"/>
      <c r="FS327" s="77"/>
      <c r="FT327" s="77"/>
      <c r="FU327" s="77"/>
      <c r="FV327" s="77"/>
      <c r="FW327" s="77"/>
      <c r="FX327" s="77"/>
      <c r="FY327" s="77"/>
      <c r="FZ327" s="77"/>
      <c r="GA327" s="77"/>
      <c r="GB327" s="77"/>
      <c r="GC327" s="77"/>
      <c r="GD327" s="77"/>
      <c r="GE327" s="77"/>
      <c r="GF327" s="77"/>
      <c r="GG327" s="77"/>
      <c r="GH327" s="77"/>
      <c r="GI327" s="77"/>
      <c r="GJ327" s="77"/>
      <c r="GK327" s="77"/>
      <c r="GL327" s="77"/>
      <c r="GM327" s="77"/>
      <c r="GN327" s="77"/>
      <c r="GO327" s="77"/>
      <c r="GP327" s="77"/>
      <c r="GQ327" s="77"/>
      <c r="GR327" s="77"/>
      <c r="GS327" s="77"/>
      <c r="GT327" s="77"/>
      <c r="GU327" s="77"/>
      <c r="GV327" s="77"/>
      <c r="GW327" s="77"/>
      <c r="GX327" s="77"/>
      <c r="GY327" s="77"/>
      <c r="GZ327" s="77"/>
      <c r="HA327" s="77"/>
      <c r="HB327" s="77"/>
      <c r="HC327" s="77"/>
      <c r="HD327" s="77"/>
      <c r="HE327" s="77"/>
      <c r="HF327" s="77"/>
      <c r="HG327" s="77"/>
      <c r="HH327" s="77"/>
      <c r="HI327" s="77"/>
      <c r="HJ327" s="77"/>
      <c r="HK327" s="77"/>
      <c r="HL327" s="77"/>
      <c r="HM327" s="77"/>
      <c r="HN327" s="77"/>
      <c r="HO327" s="77"/>
      <c r="HP327" s="77"/>
      <c r="HQ327" s="77"/>
      <c r="HR327" s="77"/>
      <c r="HS327" s="77"/>
      <c r="HT327" s="77"/>
      <c r="HU327" s="77"/>
      <c r="HV327" s="77"/>
      <c r="HW327" s="77"/>
      <c r="HX327" s="77"/>
      <c r="HY327" s="77"/>
      <c r="HZ327" s="77"/>
      <c r="IA327" s="77"/>
      <c r="IB327" s="77"/>
      <c r="IC327" s="77"/>
      <c r="ID327" s="77"/>
      <c r="IE327" s="77"/>
      <c r="IF327" s="77"/>
      <c r="IG327" s="77"/>
      <c r="IH327" s="77"/>
      <c r="II327" s="77"/>
      <c r="IJ327" s="77"/>
      <c r="IK327" s="77"/>
      <c r="IL327" s="77"/>
      <c r="IM327" s="77"/>
      <c r="IN327" s="77"/>
      <c r="IO327" s="77"/>
      <c r="IP327" s="77"/>
      <c r="IQ327" s="77"/>
      <c r="IR327" s="77"/>
      <c r="IS327" s="77"/>
      <c r="IT327" s="77"/>
      <c r="IU327" s="77"/>
      <c r="IV327" s="77"/>
    </row>
    <row r="328" spans="1:256" ht="11.7" customHeight="1">
      <c r="A328" s="75" t="s">
        <v>198</v>
      </c>
      <c r="B328" s="25" t="s">
        <v>6646</v>
      </c>
      <c r="C328" s="77"/>
      <c r="D328" s="77"/>
      <c r="E328" s="77"/>
      <c r="F328" s="77"/>
      <c r="G328" s="77"/>
      <c r="H328" s="77"/>
      <c r="I328" s="77"/>
      <c r="J328" s="77"/>
      <c r="K328" s="77"/>
      <c r="L328" s="77"/>
      <c r="M328" s="77"/>
      <c r="N328" s="77"/>
      <c r="O328" s="84" t="s">
        <v>198</v>
      </c>
      <c r="P328" s="1193"/>
      <c r="Q328" s="2603"/>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J328" s="77"/>
      <c r="BK328" s="77"/>
      <c r="BL328" s="77"/>
      <c r="BM328" s="77"/>
      <c r="BN328" s="77"/>
      <c r="BO328" s="77"/>
      <c r="BP328" s="77"/>
      <c r="BQ328" s="77"/>
      <c r="BR328" s="77"/>
      <c r="BS328" s="77"/>
      <c r="BT328" s="77"/>
      <c r="BU328" s="77"/>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DX328" s="77"/>
      <c r="DY328" s="77"/>
      <c r="DZ328" s="77"/>
      <c r="EA328" s="77"/>
      <c r="EB328" s="77"/>
      <c r="EC328" s="77"/>
      <c r="ED328" s="77"/>
      <c r="EE328" s="77"/>
      <c r="EF328" s="77"/>
      <c r="EG328" s="77"/>
      <c r="EH328" s="77"/>
      <c r="EI328" s="77"/>
      <c r="EJ328" s="77"/>
      <c r="EK328" s="77"/>
      <c r="EL328" s="77"/>
      <c r="EM328" s="77"/>
      <c r="EN328" s="77"/>
      <c r="EO328" s="77"/>
      <c r="EP328" s="77"/>
      <c r="EQ328" s="77"/>
      <c r="ER328" s="77"/>
      <c r="ES328" s="77"/>
      <c r="ET328" s="77"/>
      <c r="EU328" s="77"/>
      <c r="EV328" s="77"/>
      <c r="EW328" s="77"/>
      <c r="EX328" s="77"/>
      <c r="EY328" s="77"/>
      <c r="EZ328" s="77"/>
      <c r="FA328" s="77"/>
      <c r="FB328" s="77"/>
      <c r="FC328" s="77"/>
      <c r="FD328" s="77"/>
      <c r="FE328" s="77"/>
      <c r="FF328" s="77"/>
      <c r="FG328" s="77"/>
      <c r="FH328" s="77"/>
      <c r="FI328" s="77"/>
      <c r="FJ328" s="77"/>
      <c r="FK328" s="77"/>
      <c r="FL328" s="77"/>
      <c r="FM328" s="77"/>
      <c r="FN328" s="77"/>
      <c r="FO328" s="77"/>
      <c r="FP328" s="77"/>
      <c r="FQ328" s="77"/>
      <c r="FR328" s="77"/>
      <c r="FS328" s="77"/>
      <c r="FT328" s="77"/>
      <c r="FU328" s="77"/>
      <c r="FV328" s="77"/>
      <c r="FW328" s="77"/>
      <c r="FX328" s="77"/>
      <c r="FY328" s="77"/>
      <c r="FZ328" s="77"/>
      <c r="GA328" s="77"/>
      <c r="GB328" s="77"/>
      <c r="GC328" s="77"/>
      <c r="GD328" s="77"/>
      <c r="GE328" s="77"/>
      <c r="GF328" s="77"/>
      <c r="GG328" s="77"/>
      <c r="GH328" s="77"/>
      <c r="GI328" s="77"/>
      <c r="GJ328" s="77"/>
      <c r="GK328" s="77"/>
      <c r="GL328" s="77"/>
      <c r="GM328" s="77"/>
      <c r="GN328" s="77"/>
      <c r="GO328" s="77"/>
      <c r="GP328" s="77"/>
      <c r="GQ328" s="77"/>
      <c r="GR328" s="77"/>
      <c r="GS328" s="77"/>
      <c r="GT328" s="77"/>
      <c r="GU328" s="77"/>
      <c r="GV328" s="77"/>
      <c r="GW328" s="77"/>
      <c r="GX328" s="77"/>
      <c r="GY328" s="77"/>
      <c r="GZ328" s="77"/>
      <c r="HA328" s="77"/>
      <c r="HB328" s="77"/>
      <c r="HC328" s="77"/>
      <c r="HD328" s="77"/>
      <c r="HE328" s="77"/>
      <c r="HF328" s="77"/>
      <c r="HG328" s="77"/>
      <c r="HH328" s="77"/>
      <c r="HI328" s="77"/>
      <c r="HJ328" s="77"/>
      <c r="HK328" s="77"/>
      <c r="HL328" s="77"/>
      <c r="HM328" s="77"/>
      <c r="HN328" s="77"/>
      <c r="HO328" s="77"/>
      <c r="HP328" s="77"/>
      <c r="HQ328" s="77"/>
      <c r="HR328" s="77"/>
      <c r="HS328" s="77"/>
      <c r="HT328" s="77"/>
      <c r="HU328" s="77"/>
      <c r="HV328" s="77"/>
      <c r="HW328" s="77"/>
      <c r="HX328" s="77"/>
      <c r="HY328" s="77"/>
      <c r="HZ328" s="77"/>
      <c r="IA328" s="77"/>
      <c r="IB328" s="77"/>
      <c r="IC328" s="77"/>
      <c r="ID328" s="77"/>
      <c r="IE328" s="77"/>
      <c r="IF328" s="77"/>
      <c r="IG328" s="77"/>
      <c r="IH328" s="77"/>
      <c r="II328" s="77"/>
      <c r="IJ328" s="77"/>
      <c r="IK328" s="77"/>
      <c r="IL328" s="77"/>
      <c r="IM328" s="77"/>
      <c r="IN328" s="77"/>
      <c r="IO328" s="77"/>
      <c r="IP328" s="77"/>
      <c r="IQ328" s="77"/>
      <c r="IR328" s="77"/>
      <c r="IS328" s="77"/>
      <c r="IT328" s="77"/>
      <c r="IU328" s="77"/>
      <c r="IV328" s="77"/>
    </row>
    <row r="329" spans="1:256" ht="11.7" customHeight="1">
      <c r="A329" s="75" t="s">
        <v>219</v>
      </c>
      <c r="B329" s="25" t="s">
        <v>6647</v>
      </c>
      <c r="C329" s="77"/>
      <c r="D329" s="77"/>
      <c r="E329" s="77"/>
      <c r="F329" s="77"/>
      <c r="G329" s="77"/>
      <c r="H329" s="77"/>
      <c r="I329" s="77"/>
      <c r="J329" s="77"/>
      <c r="K329" s="143"/>
      <c r="L329" s="77"/>
      <c r="M329" s="84" t="s">
        <v>219</v>
      </c>
      <c r="N329" s="4444" t="s">
        <v>721</v>
      </c>
      <c r="O329" s="4445"/>
      <c r="P329" s="4446" t="s">
        <v>721</v>
      </c>
      <c r="Q329" s="4447"/>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77"/>
      <c r="BM329" s="77"/>
      <c r="BN329" s="77"/>
      <c r="BO329" s="77"/>
      <c r="BP329" s="77"/>
      <c r="BQ329" s="77"/>
      <c r="BR329" s="77"/>
      <c r="BS329" s="77"/>
      <c r="BT329" s="77"/>
      <c r="BU329" s="77"/>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c r="CU329" s="77"/>
      <c r="CV329" s="77"/>
      <c r="CW329" s="77"/>
      <c r="CX329" s="77"/>
      <c r="CY329" s="77"/>
      <c r="CZ329" s="77"/>
      <c r="DA329" s="77"/>
      <c r="DB329" s="77"/>
      <c r="DC329" s="77"/>
      <c r="DD329" s="77"/>
      <c r="DE329" s="77"/>
      <c r="DF329" s="77"/>
      <c r="DG329" s="77"/>
      <c r="DH329" s="77"/>
      <c r="DI329" s="77"/>
      <c r="DJ329" s="77"/>
      <c r="DK329" s="77"/>
      <c r="DL329" s="77"/>
      <c r="DM329" s="77"/>
      <c r="DN329" s="77"/>
      <c r="DO329" s="77"/>
      <c r="DP329" s="77"/>
      <c r="DQ329" s="77"/>
      <c r="DR329" s="77"/>
      <c r="DS329" s="77"/>
      <c r="DT329" s="77"/>
      <c r="DU329" s="77"/>
      <c r="DV329" s="77"/>
      <c r="DW329" s="77"/>
      <c r="DX329" s="77"/>
      <c r="DY329" s="77"/>
      <c r="DZ329" s="77"/>
      <c r="EA329" s="77"/>
      <c r="EB329" s="77"/>
      <c r="EC329" s="77"/>
      <c r="ED329" s="77"/>
      <c r="EE329" s="77"/>
      <c r="EF329" s="77"/>
      <c r="EG329" s="77"/>
      <c r="EH329" s="77"/>
      <c r="EI329" s="77"/>
      <c r="EJ329" s="77"/>
      <c r="EK329" s="77"/>
      <c r="EL329" s="77"/>
      <c r="EM329" s="77"/>
      <c r="EN329" s="77"/>
      <c r="EO329" s="77"/>
      <c r="EP329" s="77"/>
      <c r="EQ329" s="77"/>
      <c r="ER329" s="77"/>
      <c r="ES329" s="77"/>
      <c r="ET329" s="77"/>
      <c r="EU329" s="77"/>
      <c r="EV329" s="77"/>
      <c r="EW329" s="77"/>
      <c r="EX329" s="77"/>
      <c r="EY329" s="77"/>
      <c r="EZ329" s="77"/>
      <c r="FA329" s="77"/>
      <c r="FB329" s="77"/>
      <c r="FC329" s="77"/>
      <c r="FD329" s="77"/>
      <c r="FE329" s="77"/>
      <c r="FF329" s="77"/>
      <c r="FG329" s="77"/>
      <c r="FH329" s="77"/>
      <c r="FI329" s="77"/>
      <c r="FJ329" s="77"/>
      <c r="FK329" s="77"/>
      <c r="FL329" s="77"/>
      <c r="FM329" s="77"/>
      <c r="FN329" s="77"/>
      <c r="FO329" s="77"/>
      <c r="FP329" s="77"/>
      <c r="FQ329" s="77"/>
      <c r="FR329" s="77"/>
      <c r="FS329" s="77"/>
      <c r="FT329" s="77"/>
      <c r="FU329" s="77"/>
      <c r="FV329" s="77"/>
      <c r="FW329" s="77"/>
      <c r="FX329" s="77"/>
      <c r="FY329" s="77"/>
      <c r="FZ329" s="77"/>
      <c r="GA329" s="77"/>
      <c r="GB329" s="77"/>
      <c r="GC329" s="77"/>
      <c r="GD329" s="77"/>
      <c r="GE329" s="77"/>
      <c r="GF329" s="77"/>
      <c r="GG329" s="77"/>
      <c r="GH329" s="77"/>
      <c r="GI329" s="77"/>
      <c r="GJ329" s="77"/>
      <c r="GK329" s="77"/>
      <c r="GL329" s="77"/>
      <c r="GM329" s="77"/>
      <c r="GN329" s="77"/>
      <c r="GO329" s="77"/>
      <c r="GP329" s="77"/>
      <c r="GQ329" s="77"/>
      <c r="GR329" s="77"/>
      <c r="GS329" s="77"/>
      <c r="GT329" s="77"/>
      <c r="GU329" s="77"/>
      <c r="GV329" s="77"/>
      <c r="GW329" s="77"/>
      <c r="GX329" s="77"/>
      <c r="GY329" s="77"/>
      <c r="GZ329" s="77"/>
      <c r="HA329" s="77"/>
      <c r="HB329" s="77"/>
      <c r="HC329" s="77"/>
      <c r="HD329" s="77"/>
      <c r="HE329" s="77"/>
      <c r="HF329" s="77"/>
      <c r="HG329" s="77"/>
      <c r="HH329" s="77"/>
      <c r="HI329" s="77"/>
      <c r="HJ329" s="77"/>
      <c r="HK329" s="77"/>
      <c r="HL329" s="77"/>
      <c r="HM329" s="77"/>
      <c r="HN329" s="77"/>
      <c r="HO329" s="77"/>
      <c r="HP329" s="77"/>
      <c r="HQ329" s="77"/>
      <c r="HR329" s="77"/>
      <c r="HS329" s="77"/>
      <c r="HT329" s="77"/>
      <c r="HU329" s="77"/>
      <c r="HV329" s="77"/>
      <c r="HW329" s="77"/>
      <c r="HX329" s="77"/>
      <c r="HY329" s="77"/>
      <c r="HZ329" s="77"/>
      <c r="IA329" s="77"/>
      <c r="IB329" s="77"/>
      <c r="IC329" s="77"/>
      <c r="ID329" s="77"/>
      <c r="IE329" s="77"/>
      <c r="IF329" s="77"/>
      <c r="IG329" s="77"/>
      <c r="IH329" s="77"/>
      <c r="II329" s="77"/>
      <c r="IJ329" s="77"/>
      <c r="IK329" s="77"/>
      <c r="IL329" s="77"/>
      <c r="IM329" s="77"/>
      <c r="IN329" s="77"/>
      <c r="IO329" s="77"/>
      <c r="IP329" s="77"/>
      <c r="IQ329" s="77"/>
      <c r="IR329" s="77"/>
      <c r="IS329" s="77"/>
      <c r="IT329" s="77"/>
      <c r="IU329" s="77"/>
      <c r="IV329" s="77"/>
    </row>
    <row r="330" spans="1:256" ht="11.7" customHeight="1">
      <c r="A330" s="22" t="s">
        <v>221</v>
      </c>
      <c r="B330" s="25" t="s">
        <v>6648</v>
      </c>
      <c r="C330" s="77"/>
      <c r="D330" s="77"/>
      <c r="E330" s="77"/>
      <c r="F330" s="77"/>
      <c r="G330" s="77"/>
      <c r="H330" s="77"/>
      <c r="I330" s="77"/>
      <c r="J330" s="77"/>
      <c r="K330" s="77"/>
      <c r="L330" s="77"/>
      <c r="M330" s="77"/>
      <c r="N330" s="77"/>
      <c r="O330" s="28" t="s">
        <v>221</v>
      </c>
      <c r="P330" s="942"/>
      <c r="Q330" s="941"/>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77"/>
      <c r="BJ330" s="77"/>
      <c r="BK330" s="77"/>
      <c r="BL330" s="77"/>
      <c r="BM330" s="77"/>
      <c r="BN330" s="77"/>
      <c r="BO330" s="77"/>
      <c r="BP330" s="77"/>
      <c r="BQ330" s="77"/>
      <c r="BR330" s="77"/>
      <c r="BS330" s="77"/>
      <c r="BT330" s="77"/>
      <c r="BU330" s="77"/>
      <c r="BV330" s="77"/>
      <c r="BW330" s="77"/>
      <c r="BX330" s="77"/>
      <c r="BY330" s="77"/>
      <c r="BZ330" s="77"/>
      <c r="CA330" s="77"/>
      <c r="CB330" s="77"/>
      <c r="CC330" s="77"/>
      <c r="CD330" s="77"/>
      <c r="CE330" s="77"/>
      <c r="CF330" s="77"/>
      <c r="CG330" s="77"/>
      <c r="CH330" s="77"/>
      <c r="CI330" s="77"/>
      <c r="CJ330" s="77"/>
      <c r="CK330" s="77"/>
      <c r="CL330" s="77"/>
      <c r="CM330" s="77"/>
      <c r="CN330" s="77"/>
      <c r="CO330" s="77"/>
      <c r="CP330" s="77"/>
      <c r="CQ330" s="77"/>
      <c r="CR330" s="77"/>
      <c r="CS330" s="77"/>
      <c r="CT330" s="77"/>
      <c r="CU330" s="77"/>
      <c r="CV330" s="77"/>
      <c r="CW330" s="77"/>
      <c r="CX330" s="77"/>
      <c r="CY330" s="77"/>
      <c r="CZ330" s="77"/>
      <c r="DA330" s="77"/>
      <c r="DB330" s="77"/>
      <c r="DC330" s="77"/>
      <c r="DD330" s="77"/>
      <c r="DE330" s="77"/>
      <c r="DF330" s="77"/>
      <c r="DG330" s="77"/>
      <c r="DH330" s="77"/>
      <c r="DI330" s="77"/>
      <c r="DJ330" s="77"/>
      <c r="DK330" s="77"/>
      <c r="DL330" s="77"/>
      <c r="DM330" s="77"/>
      <c r="DN330" s="77"/>
      <c r="DO330" s="77"/>
      <c r="DP330" s="77"/>
      <c r="DQ330" s="77"/>
      <c r="DR330" s="77"/>
      <c r="DS330" s="77"/>
      <c r="DT330" s="77"/>
      <c r="DU330" s="77"/>
      <c r="DV330" s="77"/>
      <c r="DW330" s="77"/>
      <c r="DX330" s="77"/>
      <c r="DY330" s="77"/>
      <c r="DZ330" s="77"/>
      <c r="EA330" s="77"/>
      <c r="EB330" s="77"/>
      <c r="EC330" s="77"/>
      <c r="ED330" s="77"/>
      <c r="EE330" s="77"/>
      <c r="EF330" s="77"/>
      <c r="EG330" s="77"/>
      <c r="EH330" s="77"/>
      <c r="EI330" s="77"/>
      <c r="EJ330" s="77"/>
      <c r="EK330" s="77"/>
      <c r="EL330" s="77"/>
      <c r="EM330" s="77"/>
      <c r="EN330" s="77"/>
      <c r="EO330" s="77"/>
      <c r="EP330" s="77"/>
      <c r="EQ330" s="77"/>
      <c r="ER330" s="77"/>
      <c r="ES330" s="77"/>
      <c r="ET330" s="77"/>
      <c r="EU330" s="77"/>
      <c r="EV330" s="77"/>
      <c r="EW330" s="77"/>
      <c r="EX330" s="77"/>
      <c r="EY330" s="77"/>
      <c r="EZ330" s="77"/>
      <c r="FA330" s="77"/>
      <c r="FB330" s="77"/>
      <c r="FC330" s="77"/>
      <c r="FD330" s="77"/>
      <c r="FE330" s="77"/>
      <c r="FF330" s="77"/>
      <c r="FG330" s="77"/>
      <c r="FH330" s="77"/>
      <c r="FI330" s="77"/>
      <c r="FJ330" s="77"/>
      <c r="FK330" s="77"/>
      <c r="FL330" s="77"/>
      <c r="FM330" s="77"/>
      <c r="FN330" s="77"/>
      <c r="FO330" s="77"/>
      <c r="FP330" s="77"/>
      <c r="FQ330" s="77"/>
      <c r="FR330" s="77"/>
      <c r="FS330" s="77"/>
      <c r="FT330" s="77"/>
      <c r="FU330" s="77"/>
      <c r="FV330" s="77"/>
      <c r="FW330" s="77"/>
      <c r="FX330" s="77"/>
      <c r="FY330" s="77"/>
      <c r="FZ330" s="77"/>
      <c r="GA330" s="77"/>
      <c r="GB330" s="77"/>
      <c r="GC330" s="77"/>
      <c r="GD330" s="77"/>
      <c r="GE330" s="77"/>
      <c r="GF330" s="77"/>
      <c r="GG330" s="77"/>
      <c r="GH330" s="77"/>
      <c r="GI330" s="77"/>
      <c r="GJ330" s="77"/>
      <c r="GK330" s="77"/>
      <c r="GL330" s="77"/>
      <c r="GM330" s="77"/>
      <c r="GN330" s="77"/>
      <c r="GO330" s="77"/>
      <c r="GP330" s="77"/>
      <c r="GQ330" s="77"/>
      <c r="GR330" s="77"/>
      <c r="GS330" s="77"/>
      <c r="GT330" s="77"/>
      <c r="GU330" s="77"/>
      <c r="GV330" s="77"/>
      <c r="GW330" s="77"/>
      <c r="GX330" s="77"/>
      <c r="GY330" s="77"/>
      <c r="GZ330" s="77"/>
      <c r="HA330" s="77"/>
      <c r="HB330" s="77"/>
      <c r="HC330" s="77"/>
      <c r="HD330" s="77"/>
      <c r="HE330" s="77"/>
      <c r="HF330" s="77"/>
      <c r="HG330" s="77"/>
      <c r="HH330" s="77"/>
      <c r="HI330" s="77"/>
      <c r="HJ330" s="77"/>
      <c r="HK330" s="77"/>
      <c r="HL330" s="77"/>
      <c r="HM330" s="77"/>
      <c r="HN330" s="77"/>
      <c r="HO330" s="77"/>
      <c r="HP330" s="77"/>
      <c r="HQ330" s="77"/>
      <c r="HR330" s="77"/>
      <c r="HS330" s="77"/>
      <c r="HT330" s="77"/>
      <c r="HU330" s="77"/>
      <c r="HV330" s="77"/>
      <c r="HW330" s="77"/>
      <c r="HX330" s="77"/>
      <c r="HY330" s="77"/>
      <c r="HZ330" s="77"/>
      <c r="IA330" s="77"/>
      <c r="IB330" s="77"/>
      <c r="IC330" s="77"/>
      <c r="ID330" s="77"/>
      <c r="IE330" s="77"/>
      <c r="IF330" s="77"/>
      <c r="IG330" s="77"/>
      <c r="IH330" s="77"/>
      <c r="II330" s="77"/>
      <c r="IJ330" s="77"/>
      <c r="IK330" s="77"/>
      <c r="IL330" s="77"/>
      <c r="IM330" s="77"/>
      <c r="IN330" s="77"/>
      <c r="IO330" s="77"/>
      <c r="IP330" s="77"/>
      <c r="IQ330" s="77"/>
      <c r="IR330" s="77"/>
      <c r="IS330" s="77"/>
      <c r="IT330" s="77"/>
      <c r="IU330" s="77"/>
      <c r="IV330" s="77"/>
    </row>
    <row r="331" spans="1:256" ht="11.7" customHeight="1">
      <c r="A331" s="75" t="s">
        <v>228</v>
      </c>
      <c r="B331" s="25" t="s">
        <v>6649</v>
      </c>
      <c r="C331" s="77"/>
      <c r="D331" s="77"/>
      <c r="E331" s="77"/>
      <c r="F331" s="77"/>
      <c r="G331" s="77"/>
      <c r="H331" s="77"/>
      <c r="I331" s="77"/>
      <c r="J331" s="77"/>
      <c r="K331" s="77"/>
      <c r="L331" s="77"/>
      <c r="M331" s="77"/>
      <c r="N331" s="84" t="s">
        <v>228</v>
      </c>
      <c r="O331" s="4438" t="s">
        <v>71</v>
      </c>
      <c r="P331" s="4439"/>
      <c r="Q331" s="4440"/>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c r="BA331" s="77"/>
      <c r="BB331" s="77"/>
      <c r="BC331" s="77"/>
      <c r="BD331" s="77"/>
      <c r="BE331" s="77"/>
      <c r="BF331" s="77"/>
      <c r="BG331" s="77"/>
      <c r="BH331" s="77"/>
      <c r="BI331" s="77"/>
      <c r="BJ331" s="77"/>
      <c r="BK331" s="77"/>
      <c r="BL331" s="77"/>
      <c r="BM331" s="77"/>
      <c r="BN331" s="77"/>
      <c r="BO331" s="77"/>
      <c r="BP331" s="77"/>
      <c r="BQ331" s="77"/>
      <c r="BR331" s="77"/>
      <c r="BS331" s="77"/>
      <c r="BT331" s="77"/>
      <c r="BU331" s="77"/>
      <c r="BV331" s="77"/>
      <c r="BW331" s="77"/>
      <c r="BX331" s="77"/>
      <c r="BY331" s="77"/>
      <c r="BZ331" s="77"/>
      <c r="CA331" s="77"/>
      <c r="CB331" s="77"/>
      <c r="CC331" s="77"/>
      <c r="CD331" s="77"/>
      <c r="CE331" s="77"/>
      <c r="CF331" s="77"/>
      <c r="CG331" s="77"/>
      <c r="CH331" s="77"/>
      <c r="CI331" s="77"/>
      <c r="CJ331" s="77"/>
      <c r="CK331" s="77"/>
      <c r="CL331" s="77"/>
      <c r="CM331" s="77"/>
      <c r="CN331" s="77"/>
      <c r="CO331" s="77"/>
      <c r="CP331" s="77"/>
      <c r="CQ331" s="77"/>
      <c r="CR331" s="77"/>
      <c r="CS331" s="77"/>
      <c r="CT331" s="77"/>
      <c r="CU331" s="77"/>
      <c r="CV331" s="77"/>
      <c r="CW331" s="77"/>
      <c r="CX331" s="77"/>
      <c r="CY331" s="77"/>
      <c r="CZ331" s="77"/>
      <c r="DA331" s="77"/>
      <c r="DB331" s="77"/>
      <c r="DC331" s="77"/>
      <c r="DD331" s="77"/>
      <c r="DE331" s="77"/>
      <c r="DF331" s="77"/>
      <c r="DG331" s="77"/>
      <c r="DH331" s="77"/>
      <c r="DI331" s="77"/>
      <c r="DJ331" s="77"/>
      <c r="DK331" s="77"/>
      <c r="DL331" s="77"/>
      <c r="DM331" s="77"/>
      <c r="DN331" s="77"/>
      <c r="DO331" s="77"/>
      <c r="DP331" s="77"/>
      <c r="DQ331" s="77"/>
      <c r="DR331" s="77"/>
      <c r="DS331" s="77"/>
      <c r="DT331" s="77"/>
      <c r="DU331" s="77"/>
      <c r="DV331" s="77"/>
      <c r="DW331" s="77"/>
      <c r="DX331" s="77"/>
      <c r="DY331" s="77"/>
      <c r="DZ331" s="77"/>
      <c r="EA331" s="77"/>
      <c r="EB331" s="77"/>
      <c r="EC331" s="77"/>
      <c r="ED331" s="77"/>
      <c r="EE331" s="77"/>
      <c r="EF331" s="77"/>
      <c r="EG331" s="77"/>
      <c r="EH331" s="77"/>
      <c r="EI331" s="77"/>
      <c r="EJ331" s="77"/>
      <c r="EK331" s="77"/>
      <c r="EL331" s="77"/>
      <c r="EM331" s="77"/>
      <c r="EN331" s="77"/>
      <c r="EO331" s="77"/>
      <c r="EP331" s="77"/>
      <c r="EQ331" s="77"/>
      <c r="ER331" s="77"/>
      <c r="ES331" s="77"/>
      <c r="ET331" s="77"/>
      <c r="EU331" s="77"/>
      <c r="EV331" s="77"/>
      <c r="EW331" s="77"/>
      <c r="EX331" s="77"/>
      <c r="EY331" s="77"/>
      <c r="EZ331" s="77"/>
      <c r="FA331" s="77"/>
      <c r="FB331" s="77"/>
      <c r="FC331" s="77"/>
      <c r="FD331" s="77"/>
      <c r="FE331" s="77"/>
      <c r="FF331" s="77"/>
      <c r="FG331" s="77"/>
      <c r="FH331" s="77"/>
      <c r="FI331" s="77"/>
      <c r="FJ331" s="77"/>
      <c r="FK331" s="77"/>
      <c r="FL331" s="77"/>
      <c r="FM331" s="77"/>
      <c r="FN331" s="77"/>
      <c r="FO331" s="77"/>
      <c r="FP331" s="77"/>
      <c r="FQ331" s="77"/>
      <c r="FR331" s="77"/>
      <c r="FS331" s="77"/>
      <c r="FT331" s="77"/>
      <c r="FU331" s="77"/>
      <c r="FV331" s="77"/>
      <c r="FW331" s="77"/>
      <c r="FX331" s="77"/>
      <c r="FY331" s="77"/>
      <c r="FZ331" s="77"/>
      <c r="GA331" s="77"/>
      <c r="GB331" s="77"/>
      <c r="GC331" s="77"/>
      <c r="GD331" s="77"/>
      <c r="GE331" s="77"/>
      <c r="GF331" s="77"/>
      <c r="GG331" s="77"/>
      <c r="GH331" s="77"/>
      <c r="GI331" s="77"/>
      <c r="GJ331" s="77"/>
      <c r="GK331" s="77"/>
      <c r="GL331" s="77"/>
      <c r="GM331" s="77"/>
      <c r="GN331" s="77"/>
      <c r="GO331" s="77"/>
      <c r="GP331" s="77"/>
      <c r="GQ331" s="77"/>
      <c r="GR331" s="77"/>
      <c r="GS331" s="77"/>
      <c r="GT331" s="77"/>
      <c r="GU331" s="77"/>
      <c r="GV331" s="77"/>
      <c r="GW331" s="77"/>
      <c r="GX331" s="77"/>
      <c r="GY331" s="77"/>
      <c r="GZ331" s="77"/>
      <c r="HA331" s="77"/>
      <c r="HB331" s="77"/>
      <c r="HC331" s="77"/>
      <c r="HD331" s="77"/>
      <c r="HE331" s="77"/>
      <c r="HF331" s="77"/>
      <c r="HG331" s="77"/>
      <c r="HH331" s="77"/>
      <c r="HI331" s="77"/>
      <c r="HJ331" s="77"/>
      <c r="HK331" s="77"/>
      <c r="HL331" s="77"/>
      <c r="HM331" s="77"/>
      <c r="HN331" s="77"/>
      <c r="HO331" s="77"/>
      <c r="HP331" s="77"/>
      <c r="HQ331" s="77"/>
      <c r="HR331" s="77"/>
      <c r="HS331" s="77"/>
      <c r="HT331" s="77"/>
      <c r="HU331" s="77"/>
      <c r="HV331" s="77"/>
      <c r="HW331" s="77"/>
      <c r="HX331" s="77"/>
      <c r="HY331" s="77"/>
      <c r="HZ331" s="77"/>
      <c r="IA331" s="77"/>
      <c r="IB331" s="77"/>
      <c r="IC331" s="77"/>
      <c r="ID331" s="77"/>
      <c r="IE331" s="77"/>
      <c r="IF331" s="77"/>
      <c r="IG331" s="77"/>
      <c r="IH331" s="77"/>
      <c r="II331" s="77"/>
      <c r="IJ331" s="77"/>
      <c r="IK331" s="77"/>
      <c r="IL331" s="77"/>
      <c r="IM331" s="77"/>
      <c r="IN331" s="77"/>
      <c r="IO331" s="77"/>
      <c r="IP331" s="77"/>
      <c r="IQ331" s="77"/>
      <c r="IR331" s="77"/>
      <c r="IS331" s="77"/>
      <c r="IT331" s="77"/>
      <c r="IU331" s="77"/>
      <c r="IV331" s="77"/>
    </row>
    <row r="332" spans="1:256" ht="11.7" customHeight="1">
      <c r="A332" s="75" t="s">
        <v>230</v>
      </c>
      <c r="B332" s="39" t="s">
        <v>6650</v>
      </c>
      <c r="C332" s="77"/>
      <c r="D332" s="77"/>
      <c r="E332" s="77"/>
      <c r="F332" s="77"/>
      <c r="G332" s="77"/>
      <c r="H332" s="77"/>
      <c r="I332" s="77"/>
      <c r="J332" s="77"/>
      <c r="K332" s="77"/>
      <c r="L332" s="77"/>
      <c r="M332" s="77"/>
      <c r="N332" s="84" t="s">
        <v>230</v>
      </c>
      <c r="O332" s="4503" t="s">
        <v>71</v>
      </c>
      <c r="P332" s="4504"/>
      <c r="Q332" s="4505"/>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c r="BA332" s="77"/>
      <c r="BB332" s="77"/>
      <c r="BC332" s="77"/>
      <c r="BD332" s="77"/>
      <c r="BE332" s="77"/>
      <c r="BF332" s="77"/>
      <c r="BG332" s="77"/>
      <c r="BH332" s="77"/>
      <c r="BI332" s="77"/>
      <c r="BJ332" s="77"/>
      <c r="BK332" s="77"/>
      <c r="BL332" s="77"/>
      <c r="BM332" s="77"/>
      <c r="BN332" s="77"/>
      <c r="BO332" s="77"/>
      <c r="BP332" s="77"/>
      <c r="BQ332" s="77"/>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s="77"/>
      <c r="CT332" s="77"/>
      <c r="CU332" s="77"/>
      <c r="CV332" s="77"/>
      <c r="CW332" s="77"/>
      <c r="CX332" s="77"/>
      <c r="CY332" s="77"/>
      <c r="CZ332" s="77"/>
      <c r="DA332" s="77"/>
      <c r="DB332" s="77"/>
      <c r="DC332" s="77"/>
      <c r="DD332" s="77"/>
      <c r="DE332" s="77"/>
      <c r="DF332" s="77"/>
      <c r="DG332" s="77"/>
      <c r="DH332" s="77"/>
      <c r="DI332" s="77"/>
      <c r="DJ332" s="77"/>
      <c r="DK332" s="77"/>
      <c r="DL332" s="77"/>
      <c r="DM332" s="77"/>
      <c r="DN332" s="77"/>
      <c r="DO332" s="77"/>
      <c r="DP332" s="77"/>
      <c r="DQ332" s="77"/>
      <c r="DR332" s="77"/>
      <c r="DS332" s="77"/>
      <c r="DT332" s="77"/>
      <c r="DU332" s="77"/>
      <c r="DV332" s="77"/>
      <c r="DW332" s="77"/>
      <c r="DX332" s="77"/>
      <c r="DY332" s="77"/>
      <c r="DZ332" s="77"/>
      <c r="EA332" s="77"/>
      <c r="EB332" s="77"/>
      <c r="EC332" s="77"/>
      <c r="ED332" s="77"/>
      <c r="EE332" s="77"/>
      <c r="EF332" s="77"/>
      <c r="EG332" s="77"/>
      <c r="EH332" s="77"/>
      <c r="EI332" s="77"/>
      <c r="EJ332" s="77"/>
      <c r="EK332" s="77"/>
      <c r="EL332" s="77"/>
      <c r="EM332" s="77"/>
      <c r="EN332" s="77"/>
      <c r="EO332" s="77"/>
      <c r="EP332" s="77"/>
      <c r="EQ332" s="77"/>
      <c r="ER332" s="77"/>
      <c r="ES332" s="77"/>
      <c r="ET332" s="77"/>
      <c r="EU332" s="77"/>
      <c r="EV332" s="77"/>
      <c r="EW332" s="77"/>
      <c r="EX332" s="77"/>
      <c r="EY332" s="77"/>
      <c r="EZ332" s="77"/>
      <c r="FA332" s="77"/>
      <c r="FB332" s="77"/>
      <c r="FC332" s="77"/>
      <c r="FD332" s="77"/>
      <c r="FE332" s="77"/>
      <c r="FF332" s="77"/>
      <c r="FG332" s="77"/>
      <c r="FH332" s="77"/>
      <c r="FI332" s="77"/>
      <c r="FJ332" s="77"/>
      <c r="FK332" s="77"/>
      <c r="FL332" s="77"/>
      <c r="FM332" s="77"/>
      <c r="FN332" s="77"/>
      <c r="FO332" s="77"/>
      <c r="FP332" s="77"/>
      <c r="FQ332" s="77"/>
      <c r="FR332" s="77"/>
      <c r="FS332" s="77"/>
      <c r="FT332" s="77"/>
      <c r="FU332" s="77"/>
      <c r="FV332" s="77"/>
      <c r="FW332" s="77"/>
      <c r="FX332" s="77"/>
      <c r="FY332" s="77"/>
      <c r="FZ332" s="77"/>
      <c r="GA332" s="77"/>
      <c r="GB332" s="77"/>
      <c r="GC332" s="77"/>
      <c r="GD332" s="77"/>
      <c r="GE332" s="77"/>
      <c r="GF332" s="77"/>
      <c r="GG332" s="77"/>
      <c r="GH332" s="77"/>
      <c r="GI332" s="77"/>
      <c r="GJ332" s="77"/>
      <c r="GK332" s="77"/>
      <c r="GL332" s="77"/>
      <c r="GM332" s="77"/>
      <c r="GN332" s="77"/>
      <c r="GO332" s="77"/>
      <c r="GP332" s="77"/>
      <c r="GQ332" s="77"/>
      <c r="GR332" s="77"/>
      <c r="GS332" s="77"/>
      <c r="GT332" s="77"/>
      <c r="GU332" s="77"/>
      <c r="GV332" s="77"/>
      <c r="GW332" s="77"/>
      <c r="GX332" s="77"/>
      <c r="GY332" s="77"/>
      <c r="GZ332" s="77"/>
      <c r="HA332" s="77"/>
      <c r="HB332" s="77"/>
      <c r="HC332" s="77"/>
      <c r="HD332" s="77"/>
      <c r="HE332" s="77"/>
      <c r="HF332" s="77"/>
      <c r="HG332" s="77"/>
      <c r="HH332" s="77"/>
      <c r="HI332" s="77"/>
      <c r="HJ332" s="77"/>
      <c r="HK332" s="77"/>
      <c r="HL332" s="77"/>
      <c r="HM332" s="77"/>
      <c r="HN332" s="77"/>
      <c r="HO332" s="77"/>
      <c r="HP332" s="77"/>
      <c r="HQ332" s="77"/>
      <c r="HR332" s="77"/>
      <c r="HS332" s="77"/>
      <c r="HT332" s="77"/>
      <c r="HU332" s="77"/>
      <c r="HV332" s="77"/>
      <c r="HW332" s="77"/>
      <c r="HX332" s="77"/>
      <c r="HY332" s="77"/>
      <c r="HZ332" s="77"/>
      <c r="IA332" s="77"/>
      <c r="IB332" s="77"/>
      <c r="IC332" s="77"/>
      <c r="ID332" s="77"/>
      <c r="IE332" s="77"/>
      <c r="IF332" s="77"/>
      <c r="IG332" s="77"/>
      <c r="IH332" s="77"/>
      <c r="II332" s="77"/>
      <c r="IJ332" s="77"/>
      <c r="IK332" s="77"/>
      <c r="IL332" s="77"/>
      <c r="IM332" s="77"/>
      <c r="IN332" s="77"/>
      <c r="IO332" s="77"/>
      <c r="IP332" s="77"/>
      <c r="IQ332" s="77"/>
      <c r="IR332" s="77"/>
      <c r="IS332" s="77"/>
      <c r="IT332" s="77"/>
      <c r="IU332" s="77"/>
      <c r="IV332" s="77"/>
    </row>
    <row r="333" spans="1:256" ht="11.25" customHeight="1">
      <c r="A333" s="77"/>
      <c r="B333" s="74" t="s">
        <v>1457</v>
      </c>
      <c r="C333" s="77"/>
      <c r="D333" s="74"/>
      <c r="E333" s="74"/>
      <c r="F333" s="74"/>
      <c r="G333" s="74"/>
      <c r="H333" s="16"/>
      <c r="I333" s="2596"/>
      <c r="J333" s="2596"/>
      <c r="K333" s="2596"/>
      <c r="L333" s="501"/>
      <c r="M333" s="501"/>
      <c r="N333" s="501"/>
      <c r="O333" s="501"/>
      <c r="P333" s="501"/>
      <c r="Q333" s="501"/>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c r="BA333" s="77"/>
      <c r="BB333" s="77"/>
      <c r="BC333" s="77"/>
      <c r="BD333" s="77"/>
      <c r="BE333" s="77"/>
      <c r="BF333" s="77"/>
      <c r="BG333" s="77"/>
      <c r="BH333" s="77"/>
      <c r="BI333" s="77"/>
      <c r="BJ333" s="77"/>
      <c r="BK333" s="77"/>
      <c r="BL333" s="77"/>
      <c r="BM333" s="77"/>
      <c r="BN333" s="77"/>
      <c r="BO333" s="77"/>
      <c r="BP333" s="77"/>
      <c r="BQ333" s="77"/>
      <c r="BR333" s="77"/>
      <c r="BS333" s="77"/>
      <c r="BT333" s="77"/>
      <c r="BU333" s="77"/>
      <c r="BV333" s="77"/>
      <c r="BW333" s="77"/>
      <c r="BX333" s="77"/>
      <c r="BY333" s="77"/>
      <c r="BZ333" s="77"/>
      <c r="CA333" s="77"/>
      <c r="CB333" s="77"/>
      <c r="CC333" s="77"/>
      <c r="CD333" s="77"/>
      <c r="CE333" s="77"/>
      <c r="CF333" s="77"/>
      <c r="CG333" s="77"/>
      <c r="CH333" s="77"/>
      <c r="CI333" s="77"/>
      <c r="CJ333" s="77"/>
      <c r="CK333" s="77"/>
      <c r="CL333" s="77"/>
      <c r="CM333" s="77"/>
      <c r="CN333" s="77"/>
      <c r="CO333" s="77"/>
      <c r="CP333" s="77"/>
      <c r="CQ333" s="77"/>
      <c r="CR333" s="77"/>
      <c r="CS333" s="77"/>
      <c r="CT333" s="77"/>
      <c r="CU333" s="77"/>
      <c r="CV333" s="77"/>
      <c r="CW333" s="77"/>
      <c r="CX333" s="77"/>
      <c r="CY333" s="77"/>
      <c r="CZ333" s="77"/>
      <c r="DA333" s="77"/>
      <c r="DB333" s="77"/>
      <c r="DC333" s="77"/>
      <c r="DD333" s="77"/>
      <c r="DE333" s="77"/>
      <c r="DF333" s="77"/>
      <c r="DG333" s="77"/>
      <c r="DH333" s="77"/>
      <c r="DI333" s="77"/>
      <c r="DJ333" s="77"/>
      <c r="DK333" s="77"/>
      <c r="DL333" s="77"/>
      <c r="DM333" s="77"/>
      <c r="DN333" s="77"/>
      <c r="DO333" s="77"/>
      <c r="DP333" s="77"/>
      <c r="DQ333" s="77"/>
      <c r="DR333" s="77"/>
      <c r="DS333" s="77"/>
      <c r="DT333" s="77"/>
      <c r="DU333" s="77"/>
      <c r="DV333" s="77"/>
      <c r="DW333" s="77"/>
      <c r="DX333" s="77"/>
      <c r="DY333" s="77"/>
      <c r="DZ333" s="77"/>
      <c r="EA333" s="77"/>
      <c r="EB333" s="77"/>
      <c r="EC333" s="77"/>
      <c r="ED333" s="77"/>
      <c r="EE333" s="77"/>
      <c r="EF333" s="77"/>
      <c r="EG333" s="77"/>
      <c r="EH333" s="77"/>
      <c r="EI333" s="77"/>
      <c r="EJ333" s="77"/>
      <c r="EK333" s="77"/>
      <c r="EL333" s="77"/>
      <c r="EM333" s="77"/>
      <c r="EN333" s="77"/>
      <c r="EO333" s="77"/>
      <c r="EP333" s="77"/>
      <c r="EQ333" s="77"/>
      <c r="ER333" s="77"/>
      <c r="ES333" s="77"/>
      <c r="ET333" s="77"/>
      <c r="EU333" s="77"/>
      <c r="EV333" s="77"/>
      <c r="EW333" s="77"/>
      <c r="EX333" s="77"/>
      <c r="EY333" s="77"/>
      <c r="EZ333" s="77"/>
      <c r="FA333" s="77"/>
      <c r="FB333" s="77"/>
      <c r="FC333" s="77"/>
      <c r="FD333" s="77"/>
      <c r="FE333" s="77"/>
      <c r="FF333" s="77"/>
      <c r="FG333" s="77"/>
      <c r="FH333" s="77"/>
      <c r="FI333" s="77"/>
      <c r="FJ333" s="77"/>
      <c r="FK333" s="77"/>
      <c r="FL333" s="77"/>
      <c r="FM333" s="77"/>
      <c r="FN333" s="77"/>
      <c r="FO333" s="77"/>
      <c r="FP333" s="77"/>
      <c r="FQ333" s="77"/>
      <c r="FR333" s="77"/>
      <c r="FS333" s="77"/>
      <c r="FT333" s="77"/>
      <c r="FU333" s="77"/>
      <c r="FV333" s="77"/>
      <c r="FW333" s="77"/>
      <c r="FX333" s="77"/>
      <c r="FY333" s="77"/>
      <c r="FZ333" s="77"/>
      <c r="GA333" s="77"/>
      <c r="GB333" s="77"/>
      <c r="GC333" s="77"/>
      <c r="GD333" s="77"/>
      <c r="GE333" s="77"/>
      <c r="GF333" s="77"/>
      <c r="GG333" s="77"/>
      <c r="GH333" s="77"/>
      <c r="GI333" s="77"/>
      <c r="GJ333" s="77"/>
      <c r="GK333" s="77"/>
      <c r="GL333" s="77"/>
      <c r="GM333" s="77"/>
      <c r="GN333" s="77"/>
      <c r="GO333" s="77"/>
      <c r="GP333" s="77"/>
      <c r="GQ333" s="77"/>
      <c r="GR333" s="77"/>
      <c r="GS333" s="77"/>
      <c r="GT333" s="77"/>
      <c r="GU333" s="77"/>
      <c r="GV333" s="77"/>
      <c r="GW333" s="77"/>
      <c r="GX333" s="77"/>
      <c r="GY333" s="77"/>
      <c r="GZ333" s="77"/>
      <c r="HA333" s="77"/>
      <c r="HB333" s="77"/>
      <c r="HC333" s="77"/>
      <c r="HD333" s="77"/>
      <c r="HE333" s="77"/>
      <c r="HF333" s="77"/>
      <c r="HG333" s="77"/>
      <c r="HH333" s="77"/>
      <c r="HI333" s="77"/>
      <c r="HJ333" s="77"/>
      <c r="HK333" s="77"/>
      <c r="HL333" s="77"/>
      <c r="HM333" s="77"/>
      <c r="HN333" s="77"/>
      <c r="HO333" s="77"/>
      <c r="HP333" s="77"/>
      <c r="HQ333" s="77"/>
      <c r="HR333" s="77"/>
      <c r="HS333" s="77"/>
      <c r="HT333" s="77"/>
      <c r="HU333" s="77"/>
      <c r="HV333" s="77"/>
      <c r="HW333" s="77"/>
      <c r="HX333" s="77"/>
      <c r="HY333" s="77"/>
      <c r="HZ333" s="77"/>
      <c r="IA333" s="77"/>
      <c r="IB333" s="77"/>
      <c r="IC333" s="77"/>
      <c r="ID333" s="77"/>
      <c r="IE333" s="77"/>
      <c r="IF333" s="77"/>
      <c r="IG333" s="77"/>
      <c r="IH333" s="77"/>
      <c r="II333" s="77"/>
      <c r="IJ333" s="77"/>
      <c r="IK333" s="77"/>
      <c r="IL333" s="77"/>
      <c r="IM333" s="77"/>
      <c r="IN333" s="77"/>
      <c r="IO333" s="77"/>
      <c r="IP333" s="77"/>
      <c r="IQ333" s="77"/>
      <c r="IR333" s="77"/>
      <c r="IS333" s="77"/>
      <c r="IT333" s="77"/>
      <c r="IU333" s="77"/>
      <c r="IV333" s="77"/>
    </row>
    <row r="334" spans="1:256" ht="13.35" customHeight="1">
      <c r="A334" s="4390"/>
      <c r="B334" s="4391"/>
      <c r="C334" s="4391"/>
      <c r="D334" s="4391"/>
      <c r="E334" s="4391"/>
      <c r="F334" s="4391"/>
      <c r="G334" s="4391"/>
      <c r="H334" s="4391"/>
      <c r="I334" s="4391"/>
      <c r="J334" s="4391"/>
      <c r="K334" s="4391"/>
      <c r="L334" s="4391"/>
      <c r="M334" s="4391"/>
      <c r="N334" s="4391"/>
      <c r="O334" s="4391"/>
      <c r="P334" s="4391"/>
      <c r="Q334" s="4392"/>
      <c r="R334" s="248" t="s">
        <v>6410</v>
      </c>
      <c r="S334" s="249"/>
      <c r="T334" s="77"/>
      <c r="U334" s="69"/>
      <c r="V334" s="69"/>
      <c r="W334" s="69"/>
      <c r="X334" s="69"/>
      <c r="Y334" s="69"/>
      <c r="Z334" s="69"/>
      <c r="AA334" s="69"/>
      <c r="AB334" s="69"/>
      <c r="AC334" s="69"/>
      <c r="AD334" s="69"/>
      <c r="AE334" s="69"/>
      <c r="AF334" s="77"/>
      <c r="AG334" s="77"/>
      <c r="AH334" s="77"/>
      <c r="AI334" s="77"/>
      <c r="AJ334" s="77"/>
      <c r="AK334" s="77"/>
      <c r="AL334" s="77"/>
      <c r="AM334" s="77"/>
      <c r="AN334" s="77"/>
      <c r="AO334" s="77"/>
      <c r="AP334" s="77"/>
      <c r="AQ334" s="77"/>
      <c r="AR334" s="77"/>
      <c r="AS334" s="77"/>
      <c r="AT334" s="77"/>
      <c r="AU334" s="77"/>
      <c r="AV334" s="77"/>
      <c r="AW334" s="77"/>
      <c r="AX334" s="77"/>
      <c r="AY334" s="77"/>
      <c r="AZ334" s="77"/>
      <c r="BA334" s="77"/>
      <c r="BB334" s="77"/>
      <c r="BC334" s="77"/>
      <c r="BD334" s="77"/>
      <c r="BE334" s="77"/>
      <c r="BF334" s="77"/>
      <c r="BG334" s="77"/>
      <c r="BH334" s="77"/>
      <c r="BI334" s="77"/>
      <c r="BJ334" s="77"/>
      <c r="BK334" s="77"/>
      <c r="BL334" s="77"/>
      <c r="BM334" s="77"/>
      <c r="BN334" s="77"/>
      <c r="BO334" s="77"/>
      <c r="BP334" s="77"/>
      <c r="BQ334" s="77"/>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77"/>
      <c r="CT334" s="77"/>
      <c r="CU334" s="77"/>
      <c r="CV334" s="77"/>
      <c r="CW334" s="77"/>
      <c r="CX334" s="77"/>
      <c r="CY334" s="77"/>
      <c r="CZ334" s="77"/>
      <c r="DA334" s="77"/>
      <c r="DB334" s="77"/>
      <c r="DC334" s="77"/>
      <c r="DD334" s="77"/>
      <c r="DE334" s="77"/>
      <c r="DF334" s="77"/>
      <c r="DG334" s="77"/>
      <c r="DH334" s="77"/>
      <c r="DI334" s="77"/>
      <c r="DJ334" s="77"/>
      <c r="DK334" s="77"/>
      <c r="DL334" s="77"/>
      <c r="DM334" s="77"/>
      <c r="DN334" s="77"/>
      <c r="DO334" s="77"/>
      <c r="DP334" s="77"/>
      <c r="DQ334" s="77"/>
      <c r="DR334" s="77"/>
      <c r="DS334" s="77"/>
      <c r="DT334" s="77"/>
      <c r="DU334" s="77"/>
      <c r="DV334" s="77"/>
      <c r="DW334" s="77"/>
      <c r="DX334" s="77"/>
      <c r="DY334" s="77"/>
      <c r="DZ334" s="77"/>
      <c r="EA334" s="77"/>
      <c r="EB334" s="77"/>
      <c r="EC334" s="77"/>
      <c r="ED334" s="77"/>
      <c r="EE334" s="77"/>
      <c r="EF334" s="77"/>
      <c r="EG334" s="77"/>
      <c r="EH334" s="77"/>
      <c r="EI334" s="77"/>
      <c r="EJ334" s="77"/>
      <c r="EK334" s="77"/>
      <c r="EL334" s="77"/>
      <c r="EM334" s="77"/>
      <c r="EN334" s="77"/>
      <c r="EO334" s="77"/>
      <c r="EP334" s="77"/>
      <c r="EQ334" s="77"/>
      <c r="ER334" s="77"/>
      <c r="ES334" s="77"/>
      <c r="ET334" s="77"/>
      <c r="EU334" s="77"/>
      <c r="EV334" s="77"/>
      <c r="EW334" s="77"/>
      <c r="EX334" s="77"/>
      <c r="EY334" s="77"/>
      <c r="EZ334" s="77"/>
      <c r="FA334" s="77"/>
      <c r="FB334" s="77"/>
      <c r="FC334" s="77"/>
      <c r="FD334" s="77"/>
      <c r="FE334" s="77"/>
      <c r="FF334" s="77"/>
      <c r="FG334" s="77"/>
      <c r="FH334" s="77"/>
      <c r="FI334" s="77"/>
      <c r="FJ334" s="77"/>
      <c r="FK334" s="77"/>
      <c r="FL334" s="77"/>
      <c r="FM334" s="77"/>
      <c r="FN334" s="77"/>
      <c r="FO334" s="77"/>
      <c r="FP334" s="77"/>
      <c r="FQ334" s="77"/>
      <c r="FR334" s="77"/>
      <c r="FS334" s="77"/>
      <c r="FT334" s="77"/>
      <c r="FU334" s="77"/>
      <c r="FV334" s="77"/>
      <c r="FW334" s="77"/>
      <c r="FX334" s="77"/>
      <c r="FY334" s="77"/>
      <c r="FZ334" s="77"/>
      <c r="GA334" s="77"/>
      <c r="GB334" s="77"/>
      <c r="GC334" s="77"/>
      <c r="GD334" s="77"/>
      <c r="GE334" s="77"/>
      <c r="GF334" s="77"/>
      <c r="GG334" s="77"/>
      <c r="GH334" s="77"/>
      <c r="GI334" s="77"/>
      <c r="GJ334" s="77"/>
      <c r="GK334" s="77"/>
      <c r="GL334" s="77"/>
      <c r="GM334" s="77"/>
      <c r="GN334" s="77"/>
      <c r="GO334" s="77"/>
      <c r="GP334" s="77"/>
      <c r="GQ334" s="77"/>
      <c r="GR334" s="77"/>
      <c r="GS334" s="77"/>
      <c r="GT334" s="77"/>
      <c r="GU334" s="77"/>
      <c r="GV334" s="77"/>
      <c r="GW334" s="77"/>
      <c r="GX334" s="77"/>
      <c r="GY334" s="77"/>
      <c r="GZ334" s="77"/>
      <c r="HA334" s="77"/>
      <c r="HB334" s="77"/>
      <c r="HC334" s="77"/>
      <c r="HD334" s="77"/>
      <c r="HE334" s="77"/>
      <c r="HF334" s="77"/>
      <c r="HG334" s="77"/>
      <c r="HH334" s="77"/>
      <c r="HI334" s="77"/>
      <c r="HJ334" s="77"/>
      <c r="HK334" s="77"/>
      <c r="HL334" s="77"/>
      <c r="HM334" s="77"/>
      <c r="HN334" s="77"/>
      <c r="HO334" s="77"/>
      <c r="HP334" s="77"/>
      <c r="HQ334" s="77"/>
      <c r="HR334" s="77"/>
      <c r="HS334" s="77"/>
      <c r="HT334" s="77"/>
      <c r="HU334" s="77"/>
      <c r="HV334" s="77"/>
      <c r="HW334" s="77"/>
      <c r="HX334" s="77"/>
      <c r="HY334" s="77"/>
      <c r="HZ334" s="77"/>
      <c r="IA334" s="77"/>
      <c r="IB334" s="77"/>
      <c r="IC334" s="77"/>
      <c r="ID334" s="77"/>
      <c r="IE334" s="77"/>
      <c r="IF334" s="77"/>
      <c r="IG334" s="77"/>
      <c r="IH334" s="77"/>
      <c r="II334" s="77"/>
      <c r="IJ334" s="77"/>
      <c r="IK334" s="77"/>
      <c r="IL334" s="77"/>
      <c r="IM334" s="77"/>
      <c r="IN334" s="77"/>
      <c r="IO334" s="77"/>
      <c r="IP334" s="77"/>
      <c r="IQ334" s="77"/>
      <c r="IR334" s="77"/>
      <c r="IS334" s="77"/>
      <c r="IT334" s="77"/>
      <c r="IU334" s="77"/>
      <c r="IV334" s="77"/>
    </row>
    <row r="335" spans="1:256" ht="11.25" customHeight="1">
      <c r="A335" s="77"/>
      <c r="B335" s="70" t="s">
        <v>1453</v>
      </c>
      <c r="C335" s="71"/>
      <c r="D335" s="2586"/>
      <c r="E335" s="2586"/>
      <c r="F335" s="2586"/>
      <c r="G335" s="2586"/>
      <c r="H335" s="2586"/>
      <c r="I335" s="2586"/>
      <c r="J335" s="2586"/>
      <c r="K335" s="2586"/>
      <c r="L335" s="2586"/>
      <c r="M335" s="2586"/>
      <c r="N335" s="2586"/>
      <c r="O335" s="2586"/>
      <c r="P335" s="2586"/>
      <c r="Q335" s="2586"/>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c r="BA335" s="77"/>
      <c r="BB335" s="77"/>
      <c r="BC335" s="77"/>
      <c r="BD335" s="77"/>
      <c r="BE335" s="77"/>
      <c r="BF335" s="77"/>
      <c r="BG335" s="77"/>
      <c r="BH335" s="77"/>
      <c r="BI335" s="77"/>
      <c r="BJ335" s="77"/>
      <c r="BK335" s="77"/>
      <c r="BL335" s="77"/>
      <c r="BM335" s="77"/>
      <c r="BN335" s="77"/>
      <c r="BO335" s="77"/>
      <c r="BP335" s="77"/>
      <c r="BQ335" s="77"/>
      <c r="BR335" s="77"/>
      <c r="BS335" s="77"/>
      <c r="BT335" s="77"/>
      <c r="BU335" s="77"/>
      <c r="BV335" s="77"/>
      <c r="BW335" s="77"/>
      <c r="BX335" s="77"/>
      <c r="BY335" s="77"/>
      <c r="BZ335" s="77"/>
      <c r="CA335" s="77"/>
      <c r="CB335" s="77"/>
      <c r="CC335" s="77"/>
      <c r="CD335" s="77"/>
      <c r="CE335" s="77"/>
      <c r="CF335" s="77"/>
      <c r="CG335" s="77"/>
      <c r="CH335" s="77"/>
      <c r="CI335" s="77"/>
      <c r="CJ335" s="77"/>
      <c r="CK335" s="77"/>
      <c r="CL335" s="77"/>
      <c r="CM335" s="77"/>
      <c r="CN335" s="77"/>
      <c r="CO335" s="77"/>
      <c r="CP335" s="77"/>
      <c r="CQ335" s="77"/>
      <c r="CR335" s="77"/>
      <c r="CS335" s="77"/>
      <c r="CT335" s="77"/>
      <c r="CU335" s="77"/>
      <c r="CV335" s="77"/>
      <c r="CW335" s="77"/>
      <c r="CX335" s="77"/>
      <c r="CY335" s="77"/>
      <c r="CZ335" s="77"/>
      <c r="DA335" s="77"/>
      <c r="DB335" s="77"/>
      <c r="DC335" s="77"/>
      <c r="DD335" s="77"/>
      <c r="DE335" s="77"/>
      <c r="DF335" s="77"/>
      <c r="DG335" s="77"/>
      <c r="DH335" s="77"/>
      <c r="DI335" s="77"/>
      <c r="DJ335" s="77"/>
      <c r="DK335" s="77"/>
      <c r="DL335" s="77"/>
      <c r="DM335" s="77"/>
      <c r="DN335" s="77"/>
      <c r="DO335" s="77"/>
      <c r="DP335" s="77"/>
      <c r="DQ335" s="77"/>
      <c r="DR335" s="77"/>
      <c r="DS335" s="77"/>
      <c r="DT335" s="77"/>
      <c r="DU335" s="77"/>
      <c r="DV335" s="77"/>
      <c r="DW335" s="77"/>
      <c r="DX335" s="77"/>
      <c r="DY335" s="77"/>
      <c r="DZ335" s="77"/>
      <c r="EA335" s="77"/>
      <c r="EB335" s="77"/>
      <c r="EC335" s="77"/>
      <c r="ED335" s="77"/>
      <c r="EE335" s="77"/>
      <c r="EF335" s="77"/>
      <c r="EG335" s="77"/>
      <c r="EH335" s="77"/>
      <c r="EI335" s="77"/>
      <c r="EJ335" s="77"/>
      <c r="EK335" s="77"/>
      <c r="EL335" s="77"/>
      <c r="EM335" s="77"/>
      <c r="EN335" s="77"/>
      <c r="EO335" s="77"/>
      <c r="EP335" s="77"/>
      <c r="EQ335" s="77"/>
      <c r="ER335" s="77"/>
      <c r="ES335" s="77"/>
      <c r="ET335" s="77"/>
      <c r="EU335" s="77"/>
      <c r="EV335" s="77"/>
      <c r="EW335" s="77"/>
      <c r="EX335" s="77"/>
      <c r="EY335" s="77"/>
      <c r="EZ335" s="77"/>
      <c r="FA335" s="77"/>
      <c r="FB335" s="77"/>
      <c r="FC335" s="77"/>
      <c r="FD335" s="77"/>
      <c r="FE335" s="77"/>
      <c r="FF335" s="77"/>
      <c r="FG335" s="77"/>
      <c r="FH335" s="77"/>
      <c r="FI335" s="77"/>
      <c r="FJ335" s="77"/>
      <c r="FK335" s="77"/>
      <c r="FL335" s="77"/>
      <c r="FM335" s="77"/>
      <c r="FN335" s="77"/>
      <c r="FO335" s="77"/>
      <c r="FP335" s="77"/>
      <c r="FQ335" s="77"/>
      <c r="FR335" s="77"/>
      <c r="FS335" s="77"/>
      <c r="FT335" s="77"/>
      <c r="FU335" s="77"/>
      <c r="FV335" s="77"/>
      <c r="FW335" s="77"/>
      <c r="FX335" s="77"/>
      <c r="FY335" s="77"/>
      <c r="FZ335" s="77"/>
      <c r="GA335" s="77"/>
      <c r="GB335" s="77"/>
      <c r="GC335" s="77"/>
      <c r="GD335" s="77"/>
      <c r="GE335" s="77"/>
      <c r="GF335" s="77"/>
      <c r="GG335" s="77"/>
      <c r="GH335" s="77"/>
      <c r="GI335" s="77"/>
      <c r="GJ335" s="77"/>
      <c r="GK335" s="77"/>
      <c r="GL335" s="77"/>
      <c r="GM335" s="77"/>
      <c r="GN335" s="77"/>
      <c r="GO335" s="77"/>
      <c r="GP335" s="77"/>
      <c r="GQ335" s="77"/>
      <c r="GR335" s="77"/>
      <c r="GS335" s="77"/>
      <c r="GT335" s="77"/>
      <c r="GU335" s="77"/>
      <c r="GV335" s="77"/>
      <c r="GW335" s="77"/>
      <c r="GX335" s="77"/>
      <c r="GY335" s="77"/>
      <c r="GZ335" s="77"/>
      <c r="HA335" s="77"/>
      <c r="HB335" s="77"/>
      <c r="HC335" s="77"/>
      <c r="HD335" s="77"/>
      <c r="HE335" s="77"/>
      <c r="HF335" s="77"/>
      <c r="HG335" s="77"/>
      <c r="HH335" s="77"/>
      <c r="HI335" s="77"/>
      <c r="HJ335" s="77"/>
      <c r="HK335" s="77"/>
      <c r="HL335" s="77"/>
      <c r="HM335" s="77"/>
      <c r="HN335" s="77"/>
      <c r="HO335" s="77"/>
      <c r="HP335" s="77"/>
      <c r="HQ335" s="77"/>
      <c r="HR335" s="77"/>
      <c r="HS335" s="77"/>
      <c r="HT335" s="77"/>
      <c r="HU335" s="77"/>
      <c r="HV335" s="77"/>
      <c r="HW335" s="77"/>
      <c r="HX335" s="77"/>
      <c r="HY335" s="77"/>
      <c r="HZ335" s="77"/>
      <c r="IA335" s="77"/>
      <c r="IB335" s="77"/>
      <c r="IC335" s="77"/>
      <c r="ID335" s="77"/>
      <c r="IE335" s="77"/>
      <c r="IF335" s="77"/>
      <c r="IG335" s="77"/>
      <c r="IH335" s="77"/>
      <c r="II335" s="77"/>
      <c r="IJ335" s="77"/>
      <c r="IK335" s="77"/>
      <c r="IL335" s="77"/>
      <c r="IM335" s="77"/>
      <c r="IN335" s="77"/>
      <c r="IO335" s="77"/>
      <c r="IP335" s="77"/>
      <c r="IQ335" s="77"/>
      <c r="IR335" s="77"/>
      <c r="IS335" s="77"/>
      <c r="IT335" s="77"/>
      <c r="IU335" s="77"/>
      <c r="IV335" s="77"/>
    </row>
    <row r="336" spans="1:256" ht="13.35" customHeight="1">
      <c r="A336" s="4387"/>
      <c r="B336" s="4388"/>
      <c r="C336" s="4388"/>
      <c r="D336" s="4388"/>
      <c r="E336" s="4388"/>
      <c r="F336" s="4388"/>
      <c r="G336" s="4388"/>
      <c r="H336" s="4388"/>
      <c r="I336" s="4388"/>
      <c r="J336" s="4388"/>
      <c r="K336" s="4388"/>
      <c r="L336" s="4388"/>
      <c r="M336" s="4388"/>
      <c r="N336" s="4388"/>
      <c r="O336" s="4388"/>
      <c r="P336" s="4388"/>
      <c r="Q336" s="4389"/>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c r="BA336" s="77"/>
      <c r="BB336" s="77"/>
      <c r="BC336" s="77"/>
      <c r="BD336" s="77"/>
      <c r="BE336" s="77"/>
      <c r="BF336" s="77"/>
      <c r="BG336" s="77"/>
      <c r="BH336" s="77"/>
      <c r="BI336" s="77"/>
      <c r="BJ336" s="77"/>
      <c r="BK336" s="77"/>
      <c r="BL336" s="77"/>
      <c r="BM336" s="77"/>
      <c r="BN336" s="77"/>
      <c r="BO336" s="77"/>
      <c r="BP336" s="77"/>
      <c r="BQ336" s="77"/>
      <c r="BR336" s="77"/>
      <c r="BS336" s="77"/>
      <c r="BT336" s="77"/>
      <c r="BU336" s="77"/>
      <c r="BV336" s="77"/>
      <c r="BW336" s="77"/>
      <c r="BX336" s="77"/>
      <c r="BY336" s="77"/>
      <c r="BZ336" s="77"/>
      <c r="CA336" s="77"/>
      <c r="CB336" s="77"/>
      <c r="CC336" s="77"/>
      <c r="CD336" s="77"/>
      <c r="CE336" s="77"/>
      <c r="CF336" s="77"/>
      <c r="CG336" s="77"/>
      <c r="CH336" s="77"/>
      <c r="CI336" s="77"/>
      <c r="CJ336" s="77"/>
      <c r="CK336" s="77"/>
      <c r="CL336" s="77"/>
      <c r="CM336" s="77"/>
      <c r="CN336" s="77"/>
      <c r="CO336" s="77"/>
      <c r="CP336" s="77"/>
      <c r="CQ336" s="77"/>
      <c r="CR336" s="77"/>
      <c r="CS336" s="77"/>
      <c r="CT336" s="77"/>
      <c r="CU336" s="77"/>
      <c r="CV336" s="77"/>
      <c r="CW336" s="77"/>
      <c r="CX336" s="77"/>
      <c r="CY336" s="77"/>
      <c r="CZ336" s="77"/>
      <c r="DA336" s="77"/>
      <c r="DB336" s="77"/>
      <c r="DC336" s="77"/>
      <c r="DD336" s="77"/>
      <c r="DE336" s="77"/>
      <c r="DF336" s="77"/>
      <c r="DG336" s="77"/>
      <c r="DH336" s="77"/>
      <c r="DI336" s="77"/>
      <c r="DJ336" s="77"/>
      <c r="DK336" s="77"/>
      <c r="DL336" s="77"/>
      <c r="DM336" s="77"/>
      <c r="DN336" s="77"/>
      <c r="DO336" s="77"/>
      <c r="DP336" s="77"/>
      <c r="DQ336" s="77"/>
      <c r="DR336" s="77"/>
      <c r="DS336" s="77"/>
      <c r="DT336" s="77"/>
      <c r="DU336" s="77"/>
      <c r="DV336" s="77"/>
      <c r="DW336" s="77"/>
      <c r="DX336" s="77"/>
      <c r="DY336" s="77"/>
      <c r="DZ336" s="77"/>
      <c r="EA336" s="77"/>
      <c r="EB336" s="77"/>
      <c r="EC336" s="77"/>
      <c r="ED336" s="77"/>
      <c r="EE336" s="77"/>
      <c r="EF336" s="77"/>
      <c r="EG336" s="77"/>
      <c r="EH336" s="77"/>
      <c r="EI336" s="77"/>
      <c r="EJ336" s="77"/>
      <c r="EK336" s="77"/>
      <c r="EL336" s="77"/>
      <c r="EM336" s="77"/>
      <c r="EN336" s="77"/>
      <c r="EO336" s="77"/>
      <c r="EP336" s="77"/>
      <c r="EQ336" s="77"/>
      <c r="ER336" s="77"/>
      <c r="ES336" s="77"/>
      <c r="ET336" s="77"/>
      <c r="EU336" s="77"/>
      <c r="EV336" s="77"/>
      <c r="EW336" s="77"/>
      <c r="EX336" s="77"/>
      <c r="EY336" s="77"/>
      <c r="EZ336" s="77"/>
      <c r="FA336" s="77"/>
      <c r="FB336" s="77"/>
      <c r="FC336" s="77"/>
      <c r="FD336" s="77"/>
      <c r="FE336" s="77"/>
      <c r="FF336" s="77"/>
      <c r="FG336" s="77"/>
      <c r="FH336" s="77"/>
      <c r="FI336" s="77"/>
      <c r="FJ336" s="77"/>
      <c r="FK336" s="77"/>
      <c r="FL336" s="77"/>
      <c r="FM336" s="77"/>
      <c r="FN336" s="77"/>
      <c r="FO336" s="77"/>
      <c r="FP336" s="77"/>
      <c r="FQ336" s="77"/>
      <c r="FR336" s="77"/>
      <c r="FS336" s="77"/>
      <c r="FT336" s="77"/>
      <c r="FU336" s="77"/>
      <c r="FV336" s="77"/>
      <c r="FW336" s="77"/>
      <c r="FX336" s="77"/>
      <c r="FY336" s="77"/>
      <c r="FZ336" s="77"/>
      <c r="GA336" s="77"/>
      <c r="GB336" s="77"/>
      <c r="GC336" s="77"/>
      <c r="GD336" s="77"/>
      <c r="GE336" s="77"/>
      <c r="GF336" s="77"/>
      <c r="GG336" s="77"/>
      <c r="GH336" s="77"/>
      <c r="GI336" s="77"/>
      <c r="GJ336" s="77"/>
      <c r="GK336" s="77"/>
      <c r="GL336" s="77"/>
      <c r="GM336" s="77"/>
      <c r="GN336" s="77"/>
      <c r="GO336" s="77"/>
      <c r="GP336" s="77"/>
      <c r="GQ336" s="77"/>
      <c r="GR336" s="77"/>
      <c r="GS336" s="77"/>
      <c r="GT336" s="77"/>
      <c r="GU336" s="77"/>
      <c r="GV336" s="77"/>
      <c r="GW336" s="77"/>
      <c r="GX336" s="77"/>
      <c r="GY336" s="77"/>
      <c r="GZ336" s="77"/>
      <c r="HA336" s="77"/>
      <c r="HB336" s="77"/>
      <c r="HC336" s="77"/>
      <c r="HD336" s="77"/>
      <c r="HE336" s="77"/>
      <c r="HF336" s="77"/>
      <c r="HG336" s="77"/>
      <c r="HH336" s="77"/>
      <c r="HI336" s="77"/>
      <c r="HJ336" s="77"/>
      <c r="HK336" s="77"/>
      <c r="HL336" s="77"/>
      <c r="HM336" s="77"/>
      <c r="HN336" s="77"/>
      <c r="HO336" s="77"/>
      <c r="HP336" s="77"/>
      <c r="HQ336" s="77"/>
      <c r="HR336" s="77"/>
      <c r="HS336" s="77"/>
      <c r="HT336" s="77"/>
      <c r="HU336" s="77"/>
      <c r="HV336" s="77"/>
      <c r="HW336" s="77"/>
      <c r="HX336" s="77"/>
      <c r="HY336" s="77"/>
      <c r="HZ336" s="77"/>
      <c r="IA336" s="77"/>
      <c r="IB336" s="77"/>
      <c r="IC336" s="77"/>
      <c r="ID336" s="77"/>
      <c r="IE336" s="77"/>
      <c r="IF336" s="77"/>
      <c r="IG336" s="77"/>
      <c r="IH336" s="77"/>
      <c r="II336" s="77"/>
      <c r="IJ336" s="77"/>
      <c r="IK336" s="77"/>
      <c r="IL336" s="77"/>
      <c r="IM336" s="77"/>
      <c r="IN336" s="77"/>
      <c r="IO336" s="77"/>
      <c r="IP336" s="77"/>
      <c r="IQ336" s="77"/>
      <c r="IR336" s="77"/>
      <c r="IS336" s="77"/>
      <c r="IT336" s="77"/>
      <c r="IU336" s="77"/>
      <c r="IV336" s="77"/>
    </row>
    <row r="337" spans="1:44" ht="2.25" customHeight="1">
      <c r="A337" s="501"/>
      <c r="B337" s="2596"/>
      <c r="C337" s="2586"/>
      <c r="D337" s="2586"/>
      <c r="E337" s="2586"/>
      <c r="F337" s="2586"/>
      <c r="G337" s="2586"/>
      <c r="H337" s="2586"/>
      <c r="I337" s="2586"/>
      <c r="J337" s="2586"/>
      <c r="K337" s="2586"/>
      <c r="L337" s="2586"/>
      <c r="M337" s="2586"/>
      <c r="N337" s="2586"/>
      <c r="O337" s="2586"/>
      <c r="P337" s="2586"/>
      <c r="Q337" s="501"/>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row>
    <row r="338" spans="1:44" ht="14.1" customHeight="1">
      <c r="A338" s="2521" t="s">
        <v>1577</v>
      </c>
      <c r="B338" s="3" t="s">
        <v>1566</v>
      </c>
      <c r="C338" s="3"/>
      <c r="D338" s="3"/>
      <c r="E338" s="3"/>
      <c r="F338" s="3"/>
      <c r="G338" s="3"/>
      <c r="H338" s="2586"/>
      <c r="I338" s="2586"/>
      <c r="J338" s="2586"/>
      <c r="K338" s="2586"/>
      <c r="L338" s="2586"/>
      <c r="M338" s="2586"/>
      <c r="N338" s="805" t="str">
        <f>IF(OR('Part VIII Scoring Criteria OLD'!$P$45="yes",'Part VIII Scoring Criteria OLD'!$P$46="yes",'Part VIII Scoring Criteria OLD'!$P$47="yes"),"Applicant has applied for a Preservation Set Aside.","Applicant has NOT applied for a Preservation Set Aside.")</f>
        <v>Applicant has NOT applied for a Preservation Set Aside.</v>
      </c>
      <c r="O338" s="66" t="s">
        <v>1451</v>
      </c>
      <c r="P338" s="4382"/>
      <c r="Q338" s="4383"/>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row>
    <row r="339" spans="1:44" ht="14.1" customHeight="1">
      <c r="A339" s="2521"/>
      <c r="B339" s="13" t="s">
        <v>6651</v>
      </c>
      <c r="C339" s="3"/>
      <c r="D339" s="3"/>
      <c r="E339" s="3"/>
      <c r="F339" s="3"/>
      <c r="G339" s="3"/>
      <c r="H339" s="2586"/>
      <c r="I339" s="2586"/>
      <c r="J339" s="2586"/>
      <c r="K339" s="2586"/>
      <c r="L339" s="2586"/>
      <c r="M339" s="2586"/>
      <c r="N339" s="283"/>
      <c r="O339" s="77"/>
      <c r="P339" s="66"/>
      <c r="Q339" s="1311" t="str">
        <f>IF(OR(AND(P341="Agree",P344="Agree",P346="Agree"),AND(P341="Agree",P344="Agree"),AND(P344="Agree",P346="Agree"),AND(P341="Agree",P346="Agree")), "PLEASE CHOOSE NO MORE THAN ONE PRESERVATION SET-ASIDE!","")</f>
        <v/>
      </c>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row>
    <row r="340" spans="1:44" ht="14.1" customHeight="1">
      <c r="A340" s="2521"/>
      <c r="B340" s="13" t="s">
        <v>6652</v>
      </c>
      <c r="C340" s="3"/>
      <c r="D340" s="3"/>
      <c r="E340" s="3"/>
      <c r="F340" s="3"/>
      <c r="G340" s="3"/>
      <c r="H340" s="2586"/>
      <c r="I340" s="2586"/>
      <c r="J340" s="2586"/>
      <c r="K340" s="2586"/>
      <c r="L340" s="2586"/>
      <c r="M340" s="2586"/>
      <c r="N340" s="283"/>
      <c r="O340" s="66"/>
      <c r="P340" s="2900"/>
      <c r="Q340" s="2901"/>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row>
    <row r="341" spans="1:44" ht="21.75" customHeight="1">
      <c r="A341" s="75" t="s">
        <v>186</v>
      </c>
      <c r="B341" s="4379" t="s">
        <v>6653</v>
      </c>
      <c r="C341" s="4379"/>
      <c r="D341" s="4379"/>
      <c r="E341" s="4379"/>
      <c r="F341" s="4379"/>
      <c r="G341" s="4379"/>
      <c r="H341" s="4379"/>
      <c r="I341" s="4379"/>
      <c r="J341" s="4379"/>
      <c r="K341" s="4379"/>
      <c r="L341" s="4379"/>
      <c r="M341" s="4379"/>
      <c r="N341" s="4379"/>
      <c r="O341" s="84" t="s">
        <v>186</v>
      </c>
      <c r="P341" s="2913"/>
      <c r="Q341" s="2914"/>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row>
    <row r="342" spans="1:44" s="18" customFormat="1" ht="12.75" customHeight="1">
      <c r="A342" s="22"/>
      <c r="B342" s="16" t="s">
        <v>1511</v>
      </c>
      <c r="C342" s="13" t="s">
        <v>6654</v>
      </c>
      <c r="D342" s="13"/>
      <c r="E342" s="13"/>
      <c r="F342" s="13"/>
      <c r="G342" s="13"/>
      <c r="H342" s="13"/>
      <c r="I342" s="13"/>
      <c r="J342" s="13"/>
      <c r="K342" s="43"/>
      <c r="L342" s="43"/>
      <c r="M342" s="43"/>
      <c r="N342" s="43"/>
      <c r="O342" s="28" t="s">
        <v>6540</v>
      </c>
      <c r="P342" s="1231"/>
      <c r="Q342" s="1232"/>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row>
    <row r="343" spans="1:44" s="77" customFormat="1">
      <c r="A343" s="75"/>
      <c r="B343" s="265"/>
      <c r="C343" s="13" t="s">
        <v>1232</v>
      </c>
      <c r="D343" s="13"/>
      <c r="E343" s="1028" t="e">
        <f>#REF!</f>
        <v>#REF!</v>
      </c>
      <c r="F343" s="13" t="s">
        <v>6655</v>
      </c>
      <c r="G343" s="1029" t="e">
        <f>#REF!</f>
        <v>#REF!</v>
      </c>
      <c r="H343" s="43"/>
      <c r="I343" s="13" t="s">
        <v>1242</v>
      </c>
      <c r="J343" s="43"/>
      <c r="K343" s="43"/>
      <c r="L343" s="1028" t="e">
        <f>#REF!</f>
        <v>#REF!</v>
      </c>
      <c r="M343" s="28" t="s">
        <v>6656</v>
      </c>
      <c r="N343" s="2926" t="e">
        <f>IF(E343=0,"",(G343+L343)/E343)</f>
        <v>#REF!</v>
      </c>
      <c r="P343" s="73"/>
      <c r="Q343" s="73"/>
      <c r="S343" s="955"/>
      <c r="T343" s="955"/>
      <c r="U343" s="955"/>
      <c r="V343" s="955"/>
      <c r="W343" s="955"/>
      <c r="X343" s="955"/>
      <c r="Y343" s="955"/>
      <c r="Z343" s="955"/>
      <c r="AA343" s="955"/>
      <c r="AB343" s="955"/>
      <c r="AC343" s="955"/>
      <c r="AD343" s="955"/>
      <c r="AE343" s="955"/>
      <c r="AF343" s="955"/>
      <c r="AG343" s="955"/>
      <c r="AH343" s="955"/>
      <c r="AI343" s="955"/>
      <c r="AJ343" s="955"/>
      <c r="AK343" s="955"/>
      <c r="AL343" s="955"/>
      <c r="AM343" s="955"/>
      <c r="AN343" s="955"/>
      <c r="AO343" s="955"/>
      <c r="AP343" s="955"/>
      <c r="AQ343" s="955"/>
      <c r="AR343" s="955"/>
    </row>
    <row r="344" spans="1:44">
      <c r="A344" s="75" t="s">
        <v>198</v>
      </c>
      <c r="B344" s="4379" t="s">
        <v>6657</v>
      </c>
      <c r="C344" s="4379"/>
      <c r="D344" s="4379"/>
      <c r="E344" s="4379"/>
      <c r="F344" s="4379"/>
      <c r="G344" s="4379"/>
      <c r="H344" s="4379"/>
      <c r="I344" s="4379"/>
      <c r="J344" s="4379"/>
      <c r="K344" s="4379"/>
      <c r="L344" s="4379"/>
      <c r="M344" s="4379"/>
      <c r="N344" s="4379"/>
      <c r="O344" s="84" t="s">
        <v>198</v>
      </c>
      <c r="P344" s="2919"/>
      <c r="Q344" s="2920"/>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row>
    <row r="345" spans="1:44" s="77" customFormat="1">
      <c r="A345" s="75"/>
      <c r="B345" s="265"/>
      <c r="C345" s="13" t="s">
        <v>1232</v>
      </c>
      <c r="D345" s="13"/>
      <c r="E345" s="1028" t="e">
        <f>#REF!</f>
        <v>#REF!</v>
      </c>
      <c r="F345" s="13" t="s">
        <v>6658</v>
      </c>
      <c r="H345" s="43"/>
      <c r="L345" s="2927"/>
      <c r="M345" s="28" t="s">
        <v>6656</v>
      </c>
      <c r="N345" s="2926" t="e">
        <f>IF(E345=0,"",L345/E345)</f>
        <v>#REF!</v>
      </c>
      <c r="P345" s="73"/>
      <c r="Q345" s="73"/>
      <c r="S345" s="955"/>
      <c r="T345" s="955"/>
      <c r="U345" s="955"/>
      <c r="V345" s="955"/>
      <c r="W345" s="955"/>
      <c r="X345" s="955"/>
      <c r="Y345" s="955"/>
      <c r="Z345" s="955"/>
      <c r="AA345" s="955"/>
      <c r="AB345" s="955"/>
      <c r="AC345" s="955"/>
      <c r="AD345" s="955"/>
      <c r="AE345" s="955"/>
      <c r="AF345" s="955"/>
      <c r="AG345" s="955"/>
      <c r="AH345" s="955"/>
      <c r="AI345" s="955"/>
      <c r="AJ345" s="955"/>
      <c r="AK345" s="955"/>
      <c r="AL345" s="955"/>
      <c r="AM345" s="955"/>
      <c r="AN345" s="955"/>
      <c r="AO345" s="955"/>
      <c r="AP345" s="955"/>
      <c r="AQ345" s="955"/>
      <c r="AR345" s="955"/>
    </row>
    <row r="346" spans="1:44" ht="21.75" customHeight="1">
      <c r="A346" s="75" t="s">
        <v>219</v>
      </c>
      <c r="B346" s="4379" t="s">
        <v>6659</v>
      </c>
      <c r="C346" s="4379"/>
      <c r="D346" s="4379"/>
      <c r="E346" s="4379"/>
      <c r="F346" s="4379"/>
      <c r="G346" s="4379"/>
      <c r="H346" s="4379"/>
      <c r="I346" s="4379"/>
      <c r="J346" s="4379"/>
      <c r="K346" s="4379"/>
      <c r="L346" s="4379"/>
      <c r="M346" s="4379"/>
      <c r="N346" s="4379"/>
      <c r="O346" s="84" t="s">
        <v>219</v>
      </c>
      <c r="P346" s="2913"/>
      <c r="Q346" s="2914"/>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row>
    <row r="347" spans="1:44" ht="14.1" customHeight="1">
      <c r="A347" s="2520"/>
      <c r="B347" s="263" t="s">
        <v>1511</v>
      </c>
      <c r="C347" s="25" t="s">
        <v>6660</v>
      </c>
      <c r="D347" s="6"/>
      <c r="E347" s="6"/>
      <c r="F347" s="6"/>
      <c r="G347" s="6"/>
      <c r="H347" s="2588"/>
      <c r="I347" s="2588"/>
      <c r="J347" s="2588"/>
      <c r="K347" s="2588"/>
      <c r="L347" s="2588"/>
      <c r="M347" s="2588"/>
      <c r="N347" s="1230"/>
      <c r="O347" s="28" t="s">
        <v>6594</v>
      </c>
      <c r="P347" s="1233"/>
      <c r="Q347" s="1234"/>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row>
    <row r="348" spans="1:44" s="77" customFormat="1">
      <c r="A348" s="75"/>
      <c r="B348" s="265"/>
      <c r="C348" s="13" t="s">
        <v>1232</v>
      </c>
      <c r="D348" s="13"/>
      <c r="E348" s="1028" t="e">
        <f>#REF!</f>
        <v>#REF!</v>
      </c>
      <c r="F348" s="13" t="s">
        <v>6655</v>
      </c>
      <c r="G348" s="1029" t="e">
        <f>#REF!</f>
        <v>#REF!</v>
      </c>
      <c r="H348" s="43"/>
      <c r="I348" s="13" t="s">
        <v>1242</v>
      </c>
      <c r="J348" s="43"/>
      <c r="K348" s="43"/>
      <c r="L348" s="1028" t="e">
        <f>#REF!</f>
        <v>#REF!</v>
      </c>
      <c r="M348" s="28" t="s">
        <v>6656</v>
      </c>
      <c r="N348" s="2926" t="e">
        <f>IF(E348=0,"",(G348+L348)/E348)</f>
        <v>#REF!</v>
      </c>
      <c r="P348" s="73"/>
      <c r="Q348" s="73"/>
      <c r="S348" s="955"/>
      <c r="T348" s="955"/>
      <c r="U348" s="955"/>
      <c r="V348" s="955"/>
      <c r="W348" s="955"/>
      <c r="X348" s="955"/>
      <c r="Y348" s="955"/>
      <c r="Z348" s="955"/>
      <c r="AA348" s="955"/>
      <c r="AB348" s="955"/>
      <c r="AC348" s="955"/>
      <c r="AD348" s="955"/>
      <c r="AE348" s="955"/>
      <c r="AF348" s="955"/>
      <c r="AG348" s="955"/>
      <c r="AH348" s="955"/>
      <c r="AI348" s="955"/>
      <c r="AJ348" s="955"/>
      <c r="AK348" s="955"/>
      <c r="AL348" s="955"/>
      <c r="AM348" s="955"/>
      <c r="AN348" s="955"/>
      <c r="AO348" s="955"/>
      <c r="AP348" s="955"/>
      <c r="AQ348" s="955"/>
      <c r="AR348" s="955"/>
    </row>
    <row r="349" spans="1:44" ht="10.5" customHeight="1">
      <c r="A349" s="77"/>
      <c r="B349" s="74" t="s">
        <v>1457</v>
      </c>
      <c r="C349" s="77"/>
      <c r="D349" s="74"/>
      <c r="E349" s="74"/>
      <c r="F349" s="74"/>
      <c r="G349" s="74"/>
      <c r="H349" s="16"/>
      <c r="I349" s="2596"/>
      <c r="J349" s="2596"/>
      <c r="K349" s="2596"/>
      <c r="L349" s="501"/>
      <c r="M349" s="501"/>
      <c r="N349" s="501"/>
      <c r="O349" s="501"/>
      <c r="P349" s="501"/>
      <c r="Q349" s="501"/>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row>
    <row r="350" spans="1:44" ht="12" customHeight="1">
      <c r="A350" s="4390"/>
      <c r="B350" s="4391"/>
      <c r="C350" s="4391"/>
      <c r="D350" s="4391"/>
      <c r="E350" s="4391"/>
      <c r="F350" s="4391"/>
      <c r="G350" s="4391"/>
      <c r="H350" s="4391"/>
      <c r="I350" s="4391"/>
      <c r="J350" s="4391"/>
      <c r="K350" s="4391"/>
      <c r="L350" s="4391"/>
      <c r="M350" s="4391"/>
      <c r="N350" s="4391"/>
      <c r="O350" s="4391"/>
      <c r="P350" s="4391"/>
      <c r="Q350" s="4392"/>
      <c r="R350" s="77"/>
      <c r="S350" s="77"/>
      <c r="T350" s="77"/>
      <c r="U350" s="69"/>
      <c r="V350" s="69"/>
      <c r="W350" s="69"/>
      <c r="X350" s="69"/>
      <c r="Y350" s="69"/>
      <c r="Z350" s="69"/>
      <c r="AA350" s="69"/>
      <c r="AB350" s="69"/>
      <c r="AC350" s="69"/>
      <c r="AD350" s="69"/>
      <c r="AE350" s="69"/>
      <c r="AF350" s="77"/>
      <c r="AG350" s="77"/>
      <c r="AH350" s="77"/>
      <c r="AI350" s="77"/>
      <c r="AJ350" s="77"/>
      <c r="AK350" s="77"/>
      <c r="AL350" s="77"/>
      <c r="AM350" s="77"/>
      <c r="AN350" s="77"/>
      <c r="AO350" s="77"/>
      <c r="AP350" s="77"/>
      <c r="AQ350" s="77"/>
      <c r="AR350" s="77"/>
    </row>
    <row r="351" spans="1:44" ht="10.5" customHeight="1">
      <c r="A351" s="77"/>
      <c r="B351" s="70" t="s">
        <v>1453</v>
      </c>
      <c r="C351" s="71"/>
      <c r="D351" s="2586"/>
      <c r="E351" s="2586"/>
      <c r="F351" s="2586"/>
      <c r="G351" s="2586"/>
      <c r="H351" s="2586"/>
      <c r="I351" s="2586"/>
      <c r="J351" s="2586"/>
      <c r="K351" s="2586"/>
      <c r="L351" s="2586"/>
      <c r="M351" s="2586"/>
      <c r="N351" s="2586"/>
      <c r="O351" s="2586"/>
      <c r="P351" s="2586"/>
      <c r="Q351" s="2586"/>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row>
    <row r="352" spans="1:44" ht="12" customHeight="1">
      <c r="A352" s="4387"/>
      <c r="B352" s="4388"/>
      <c r="C352" s="4388"/>
      <c r="D352" s="4388"/>
      <c r="E352" s="4388"/>
      <c r="F352" s="4388"/>
      <c r="G352" s="4388"/>
      <c r="H352" s="4388"/>
      <c r="I352" s="4388"/>
      <c r="J352" s="4388"/>
      <c r="K352" s="4388"/>
      <c r="L352" s="4388"/>
      <c r="M352" s="4388"/>
      <c r="N352" s="4388"/>
      <c r="O352" s="4388"/>
      <c r="P352" s="4388"/>
      <c r="Q352" s="4389"/>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row>
    <row r="353" spans="1:31" ht="2.25" customHeight="1">
      <c r="A353" s="501"/>
      <c r="B353" s="2596"/>
      <c r="C353" s="2586"/>
      <c r="D353" s="2586"/>
      <c r="E353" s="2586"/>
      <c r="F353" s="2586"/>
      <c r="G353" s="2586"/>
      <c r="H353" s="2586"/>
      <c r="I353" s="2586"/>
      <c r="J353" s="2586"/>
      <c r="K353" s="2586"/>
      <c r="L353" s="2586"/>
      <c r="M353" s="2586"/>
      <c r="N353" s="2586"/>
      <c r="O353" s="2586"/>
      <c r="P353" s="2586"/>
      <c r="Q353" s="501"/>
      <c r="R353" s="77"/>
      <c r="S353" s="77"/>
      <c r="T353" s="77"/>
      <c r="U353" s="77"/>
      <c r="V353" s="77"/>
      <c r="W353" s="77"/>
      <c r="X353" s="77"/>
      <c r="Y353" s="77"/>
      <c r="Z353" s="77"/>
      <c r="AA353" s="77"/>
      <c r="AB353" s="77"/>
      <c r="AC353" s="77"/>
      <c r="AD353" s="77"/>
      <c r="AE353" s="77"/>
    </row>
    <row r="354" spans="1:31" ht="14.1" customHeight="1">
      <c r="A354" s="2521" t="s">
        <v>1582</v>
      </c>
      <c r="B354" s="3" t="s">
        <v>1578</v>
      </c>
      <c r="C354" s="3"/>
      <c r="D354" s="3"/>
      <c r="E354" s="3"/>
      <c r="F354" s="3"/>
      <c r="G354" s="3"/>
      <c r="H354" s="2586"/>
      <c r="I354" s="2586"/>
      <c r="J354" s="2586"/>
      <c r="K354" s="2586"/>
      <c r="L354" s="2586"/>
      <c r="M354" s="2586"/>
      <c r="N354" s="283" t="str">
        <f>IF('Part VIII Scoring Criteria OLD'!$P$42="yes","Applicant has applied for Nonprofit Setaside.","Applicant has NOT applied for Nonprofit Setaside.")</f>
        <v>Applicant has NOT applied for Nonprofit Setaside.</v>
      </c>
      <c r="O354" s="66" t="s">
        <v>1451</v>
      </c>
      <c r="P354" s="4538"/>
      <c r="Q354" s="4383"/>
      <c r="R354" s="77"/>
      <c r="S354" s="77"/>
      <c r="T354" s="77"/>
      <c r="U354" s="77"/>
      <c r="V354" s="77"/>
      <c r="W354" s="77"/>
      <c r="X354" s="77"/>
      <c r="Y354" s="77"/>
      <c r="Z354" s="77"/>
      <c r="AA354" s="77"/>
      <c r="AB354" s="77"/>
      <c r="AC354" s="77"/>
      <c r="AD354" s="77"/>
      <c r="AE354" s="77"/>
    </row>
    <row r="355" spans="1:31" ht="10.5" customHeight="1">
      <c r="A355" s="22" t="s">
        <v>186</v>
      </c>
      <c r="B355" s="13" t="s">
        <v>1579</v>
      </c>
      <c r="C355" s="77"/>
      <c r="D355" s="78"/>
      <c r="E355" s="78"/>
      <c r="F355" s="78"/>
      <c r="G355" s="78"/>
      <c r="H355" s="28" t="s">
        <v>186</v>
      </c>
      <c r="I355" s="4401"/>
      <c r="J355" s="4402"/>
      <c r="K355" s="4402"/>
      <c r="L355" s="4402"/>
      <c r="M355" s="4402"/>
      <c r="N355" s="4402"/>
      <c r="O355" s="4402"/>
      <c r="P355" s="4403"/>
      <c r="Q355" s="2899"/>
      <c r="R355" s="77"/>
      <c r="S355" s="77"/>
      <c r="T355" s="77"/>
      <c r="U355" s="77"/>
      <c r="V355" s="77"/>
      <c r="W355" s="77"/>
      <c r="X355" s="77"/>
      <c r="Y355" s="77"/>
      <c r="Z355" s="77"/>
      <c r="AA355" s="77"/>
      <c r="AB355" s="77"/>
      <c r="AC355" s="77"/>
      <c r="AD355" s="77"/>
      <c r="AE355" s="77"/>
    </row>
    <row r="356" spans="1:31" ht="10.5" customHeight="1">
      <c r="A356" s="75" t="s">
        <v>198</v>
      </c>
      <c r="B356" s="13" t="s">
        <v>1580</v>
      </c>
      <c r="C356" s="77"/>
      <c r="D356" s="78"/>
      <c r="E356" s="78"/>
      <c r="F356" s="78"/>
      <c r="G356" s="78"/>
      <c r="H356" s="84" t="s">
        <v>198</v>
      </c>
      <c r="I356" s="4425"/>
      <c r="J356" s="4426"/>
      <c r="K356" s="4426"/>
      <c r="L356" s="4426"/>
      <c r="M356" s="4426"/>
      <c r="N356" s="4426"/>
      <c r="O356" s="4426"/>
      <c r="P356" s="4427"/>
      <c r="Q356" s="300"/>
      <c r="R356" s="77"/>
      <c r="S356" s="77"/>
      <c r="T356" s="77"/>
      <c r="U356" s="77"/>
      <c r="V356" s="77"/>
      <c r="W356" s="77"/>
      <c r="X356" s="77"/>
      <c r="Y356" s="77"/>
      <c r="Z356" s="77"/>
      <c r="AA356" s="77"/>
      <c r="AB356" s="77"/>
      <c r="AC356" s="77"/>
      <c r="AD356" s="77"/>
      <c r="AE356" s="77"/>
    </row>
    <row r="357" spans="1:31" ht="21.75" customHeight="1">
      <c r="A357" s="75" t="s">
        <v>219</v>
      </c>
      <c r="B357" s="4396" t="s">
        <v>6661</v>
      </c>
      <c r="C357" s="4396"/>
      <c r="D357" s="4396"/>
      <c r="E357" s="4396"/>
      <c r="F357" s="4396"/>
      <c r="G357" s="4396"/>
      <c r="H357" s="4396"/>
      <c r="I357" s="4396"/>
      <c r="J357" s="4396"/>
      <c r="K357" s="4396"/>
      <c r="L357" s="4396"/>
      <c r="M357" s="4396"/>
      <c r="N357" s="4396"/>
      <c r="O357" s="84" t="s">
        <v>219</v>
      </c>
      <c r="P357" s="2600"/>
      <c r="Q357" s="2914"/>
      <c r="R357" s="77"/>
      <c r="S357" s="77"/>
      <c r="T357" s="77"/>
      <c r="U357" s="77"/>
      <c r="V357" s="77"/>
      <c r="W357" s="77"/>
      <c r="X357" s="77"/>
      <c r="Y357" s="77"/>
      <c r="Z357" s="77"/>
      <c r="AA357" s="77"/>
      <c r="AB357" s="77"/>
      <c r="AC357" s="77"/>
      <c r="AD357" s="77"/>
      <c r="AE357" s="77"/>
    </row>
    <row r="358" spans="1:31" ht="21.75" customHeight="1">
      <c r="A358" s="75" t="s">
        <v>221</v>
      </c>
      <c r="B358" s="4379" t="s">
        <v>6662</v>
      </c>
      <c r="C358" s="4379"/>
      <c r="D358" s="4379"/>
      <c r="E358" s="4379"/>
      <c r="F358" s="4379"/>
      <c r="G358" s="4379"/>
      <c r="H358" s="4379"/>
      <c r="I358" s="4379"/>
      <c r="J358" s="4379"/>
      <c r="K358" s="4379"/>
      <c r="L358" s="4379"/>
      <c r="M358" s="4379"/>
      <c r="N358" s="4379"/>
      <c r="O358" s="84" t="s">
        <v>221</v>
      </c>
      <c r="P358" s="2594"/>
      <c r="Q358" s="2592"/>
      <c r="R358" s="77"/>
      <c r="S358" s="77"/>
      <c r="T358" s="77"/>
      <c r="U358" s="77"/>
      <c r="V358" s="77"/>
      <c r="W358" s="77"/>
      <c r="X358" s="77"/>
      <c r="Y358" s="77"/>
      <c r="Z358" s="77"/>
      <c r="AA358" s="77"/>
      <c r="AB358" s="77"/>
      <c r="AC358" s="77"/>
      <c r="AD358" s="77"/>
      <c r="AE358" s="77"/>
    </row>
    <row r="359" spans="1:31" ht="10.5" customHeight="1">
      <c r="A359" s="75" t="s">
        <v>228</v>
      </c>
      <c r="B359" s="13" t="s">
        <v>6663</v>
      </c>
      <c r="C359" s="77"/>
      <c r="D359" s="13"/>
      <c r="E359" s="13"/>
      <c r="F359" s="13"/>
      <c r="G359" s="13"/>
      <c r="H359" s="13"/>
      <c r="I359" s="13"/>
      <c r="J359" s="13"/>
      <c r="K359" s="13"/>
      <c r="L359" s="13"/>
      <c r="M359" s="13"/>
      <c r="N359" s="77"/>
      <c r="O359" s="84" t="s">
        <v>228</v>
      </c>
      <c r="P359" s="202"/>
      <c r="Q359" s="299"/>
      <c r="R359" s="77"/>
      <c r="S359" s="77"/>
      <c r="T359" s="77"/>
      <c r="U359" s="77"/>
      <c r="V359" s="77"/>
      <c r="W359" s="77"/>
      <c r="X359" s="77"/>
      <c r="Y359" s="77"/>
      <c r="Z359" s="77"/>
      <c r="AA359" s="77"/>
      <c r="AB359" s="77"/>
      <c r="AC359" s="77"/>
      <c r="AD359" s="77"/>
      <c r="AE359" s="77"/>
    </row>
    <row r="360" spans="1:31" s="67" customFormat="1" ht="21.75" customHeight="1">
      <c r="A360" s="75" t="s">
        <v>230</v>
      </c>
      <c r="B360" s="4379" t="s">
        <v>6664</v>
      </c>
      <c r="C360" s="4379"/>
      <c r="D360" s="4379"/>
      <c r="E360" s="4379"/>
      <c r="F360" s="4379"/>
      <c r="G360" s="4379"/>
      <c r="H360" s="4379"/>
      <c r="I360" s="4379"/>
      <c r="J360" s="4379"/>
      <c r="K360" s="4379"/>
      <c r="L360" s="4379"/>
      <c r="M360" s="4379"/>
      <c r="N360" s="4379"/>
      <c r="O360" s="84" t="s">
        <v>230</v>
      </c>
      <c r="P360" s="2599"/>
      <c r="Q360" s="2597"/>
      <c r="R360" s="229"/>
      <c r="S360" s="229"/>
      <c r="T360" s="229"/>
      <c r="U360" s="229"/>
      <c r="V360" s="229"/>
      <c r="W360" s="229"/>
      <c r="X360" s="229"/>
      <c r="Y360" s="229"/>
      <c r="Z360" s="229"/>
      <c r="AA360" s="229"/>
      <c r="AB360" s="229"/>
      <c r="AC360" s="229"/>
      <c r="AD360" s="229"/>
      <c r="AE360" s="229"/>
    </row>
    <row r="361" spans="1:31" s="67" customFormat="1" ht="10.5" customHeight="1">
      <c r="A361" s="75" t="s">
        <v>6446</v>
      </c>
      <c r="B361" s="73" t="s">
        <v>6665</v>
      </c>
      <c r="C361" s="229"/>
      <c r="D361" s="329"/>
      <c r="E361" s="329"/>
      <c r="F361" s="329"/>
      <c r="G361" s="329"/>
      <c r="H361" s="329"/>
      <c r="I361" s="329"/>
      <c r="J361" s="329"/>
      <c r="K361" s="329"/>
      <c r="L361" s="329"/>
      <c r="M361" s="329"/>
      <c r="N361" s="329"/>
      <c r="O361" s="84" t="s">
        <v>6446</v>
      </c>
      <c r="P361" s="2913"/>
      <c r="Q361" s="2914"/>
      <c r="R361" s="229"/>
      <c r="S361" s="229"/>
      <c r="T361" s="229"/>
      <c r="U361" s="229"/>
      <c r="V361" s="229"/>
      <c r="W361" s="229"/>
      <c r="X361" s="229"/>
      <c r="Y361" s="229"/>
      <c r="Z361" s="229"/>
      <c r="AA361" s="229"/>
      <c r="AB361" s="229"/>
      <c r="AC361" s="229"/>
      <c r="AD361" s="229"/>
      <c r="AE361" s="229"/>
    </row>
    <row r="362" spans="1:31" s="67" customFormat="1" ht="10.5" customHeight="1">
      <c r="A362" s="229"/>
      <c r="B362" s="229"/>
      <c r="C362" s="265" t="s">
        <v>6666</v>
      </c>
      <c r="D362" s="229"/>
      <c r="E362" s="2586"/>
      <c r="F362" s="2586"/>
      <c r="G362" s="2586"/>
      <c r="H362" s="2586"/>
      <c r="I362" s="2586"/>
      <c r="J362" s="2586"/>
      <c r="K362" s="2586"/>
      <c r="L362" s="2586"/>
      <c r="M362" s="2586"/>
      <c r="N362" s="2586"/>
      <c r="O362" s="229"/>
      <c r="P362" s="2595"/>
      <c r="Q362" s="2593"/>
      <c r="R362" s="229"/>
      <c r="S362" s="229"/>
      <c r="T362" s="229"/>
      <c r="U362" s="229"/>
      <c r="V362" s="229"/>
      <c r="W362" s="229"/>
      <c r="X362" s="229"/>
      <c r="Y362" s="229"/>
      <c r="Z362" s="229"/>
      <c r="AA362" s="229"/>
      <c r="AB362" s="229"/>
      <c r="AC362" s="229"/>
      <c r="AD362" s="229"/>
      <c r="AE362" s="229"/>
    </row>
    <row r="363" spans="1:31" ht="21.75" customHeight="1">
      <c r="A363" s="75" t="s">
        <v>6448</v>
      </c>
      <c r="B363" s="4379" t="s">
        <v>6667</v>
      </c>
      <c r="C363" s="4379"/>
      <c r="D363" s="4379"/>
      <c r="E363" s="4379"/>
      <c r="F363" s="4379"/>
      <c r="G363" s="4379"/>
      <c r="H363" s="4379"/>
      <c r="I363" s="4379"/>
      <c r="J363" s="4379"/>
      <c r="K363" s="4379"/>
      <c r="L363" s="4379"/>
      <c r="M363" s="4379"/>
      <c r="N363" s="4379"/>
      <c r="O363" s="84" t="s">
        <v>6448</v>
      </c>
      <c r="P363" s="2913"/>
      <c r="Q363" s="2914"/>
      <c r="R363" s="77"/>
      <c r="S363" s="77"/>
      <c r="T363" s="77"/>
      <c r="U363" s="77"/>
      <c r="V363" s="77"/>
      <c r="W363" s="77"/>
      <c r="X363" s="77"/>
      <c r="Y363" s="77"/>
      <c r="Z363" s="77"/>
      <c r="AA363" s="77"/>
      <c r="AB363" s="77"/>
      <c r="AC363" s="77"/>
      <c r="AD363" s="77"/>
      <c r="AE363" s="77"/>
    </row>
    <row r="364" spans="1:31" ht="33" customHeight="1">
      <c r="A364" s="75" t="s">
        <v>21</v>
      </c>
      <c r="B364" s="4379" t="s">
        <v>6668</v>
      </c>
      <c r="C364" s="4379"/>
      <c r="D364" s="4379"/>
      <c r="E364" s="4379"/>
      <c r="F364" s="4379"/>
      <c r="G364" s="4379"/>
      <c r="H364" s="4379"/>
      <c r="I364" s="4379"/>
      <c r="J364" s="4379"/>
      <c r="K364" s="4379"/>
      <c r="L364" s="4379"/>
      <c r="M364" s="4379"/>
      <c r="N364" s="4379"/>
      <c r="O364" s="84" t="s">
        <v>21</v>
      </c>
      <c r="P364" s="2595"/>
      <c r="Q364" s="2593"/>
      <c r="R364" s="77"/>
      <c r="S364" s="77"/>
      <c r="T364" s="77"/>
      <c r="U364" s="77"/>
      <c r="V364" s="77"/>
      <c r="W364" s="77"/>
      <c r="X364" s="77"/>
      <c r="Y364" s="77"/>
      <c r="Z364" s="77"/>
      <c r="AA364" s="77"/>
      <c r="AB364" s="77"/>
      <c r="AC364" s="77"/>
      <c r="AD364" s="77"/>
      <c r="AE364" s="77"/>
    </row>
    <row r="365" spans="1:31" ht="10.5" customHeight="1">
      <c r="A365" s="77"/>
      <c r="B365" s="74" t="s">
        <v>1457</v>
      </c>
      <c r="C365" s="77"/>
      <c r="D365" s="74"/>
      <c r="E365" s="74"/>
      <c r="F365" s="74"/>
      <c r="G365" s="74"/>
      <c r="H365" s="16"/>
      <c r="I365" s="2596"/>
      <c r="J365" s="2596"/>
      <c r="K365" s="2596"/>
      <c r="L365" s="501"/>
      <c r="M365" s="501"/>
      <c r="N365" s="501"/>
      <c r="O365" s="501"/>
      <c r="P365" s="501"/>
      <c r="Q365" s="501"/>
      <c r="R365" s="77"/>
      <c r="S365" s="77"/>
      <c r="T365" s="77"/>
      <c r="U365" s="77"/>
      <c r="V365" s="77"/>
      <c r="W365" s="77"/>
      <c r="X365" s="77"/>
      <c r="Y365" s="77"/>
      <c r="Z365" s="77"/>
      <c r="AA365" s="77"/>
      <c r="AB365" s="77"/>
      <c r="AC365" s="77"/>
      <c r="AD365" s="77"/>
      <c r="AE365" s="77"/>
    </row>
    <row r="366" spans="1:31" ht="31.5" customHeight="1">
      <c r="A366" s="4390"/>
      <c r="B366" s="4391"/>
      <c r="C366" s="4391"/>
      <c r="D366" s="4391"/>
      <c r="E366" s="4391"/>
      <c r="F366" s="4391"/>
      <c r="G366" s="4391"/>
      <c r="H366" s="4391"/>
      <c r="I366" s="4391"/>
      <c r="J366" s="4391"/>
      <c r="K366" s="4391"/>
      <c r="L366" s="4391"/>
      <c r="M366" s="4391"/>
      <c r="N366" s="4391"/>
      <c r="O366" s="4391"/>
      <c r="P366" s="4391"/>
      <c r="Q366" s="4392"/>
      <c r="R366" s="77"/>
      <c r="S366" s="77"/>
      <c r="T366" s="77"/>
      <c r="U366" s="69"/>
      <c r="V366" s="69"/>
      <c r="W366" s="69"/>
      <c r="X366" s="69"/>
      <c r="Y366" s="69"/>
      <c r="Z366" s="69"/>
      <c r="AA366" s="69"/>
      <c r="AB366" s="69"/>
      <c r="AC366" s="69"/>
      <c r="AD366" s="69"/>
      <c r="AE366" s="69"/>
    </row>
    <row r="367" spans="1:31" ht="10.5" customHeight="1">
      <c r="A367" s="77"/>
      <c r="B367" s="70" t="s">
        <v>1453</v>
      </c>
      <c r="C367" s="71"/>
      <c r="D367" s="2586"/>
      <c r="E367" s="2586"/>
      <c r="F367" s="2586"/>
      <c r="G367" s="2586"/>
      <c r="H367" s="2586"/>
      <c r="I367" s="2586"/>
      <c r="J367" s="2586"/>
      <c r="K367" s="2586"/>
      <c r="L367" s="2586"/>
      <c r="M367" s="2586"/>
      <c r="N367" s="2586"/>
      <c r="O367" s="2586"/>
      <c r="P367" s="2586"/>
      <c r="Q367" s="2586"/>
      <c r="R367" s="77"/>
      <c r="S367" s="77"/>
      <c r="T367" s="77"/>
      <c r="U367" s="77"/>
      <c r="V367" s="77"/>
      <c r="W367" s="77"/>
      <c r="X367" s="77"/>
      <c r="Y367" s="77"/>
      <c r="Z367" s="77"/>
      <c r="AA367" s="77"/>
      <c r="AB367" s="77"/>
      <c r="AC367" s="77"/>
      <c r="AD367" s="77"/>
      <c r="AE367" s="77"/>
    </row>
    <row r="368" spans="1:31" ht="23.25" customHeight="1">
      <c r="A368" s="4387"/>
      <c r="B368" s="4388"/>
      <c r="C368" s="4388"/>
      <c r="D368" s="4388"/>
      <c r="E368" s="4388"/>
      <c r="F368" s="4388"/>
      <c r="G368" s="4388"/>
      <c r="H368" s="4388"/>
      <c r="I368" s="4388"/>
      <c r="J368" s="4388"/>
      <c r="K368" s="4388"/>
      <c r="L368" s="4388"/>
      <c r="M368" s="4388"/>
      <c r="N368" s="4388"/>
      <c r="O368" s="4388"/>
      <c r="P368" s="4388"/>
      <c r="Q368" s="4389"/>
      <c r="R368" s="77"/>
      <c r="S368" s="77"/>
      <c r="T368" s="77"/>
      <c r="U368" s="77"/>
      <c r="V368" s="77"/>
      <c r="W368" s="77"/>
      <c r="X368" s="77"/>
      <c r="Y368" s="77"/>
      <c r="Z368" s="77"/>
      <c r="AA368" s="77"/>
      <c r="AB368" s="77"/>
      <c r="AC368" s="77"/>
      <c r="AD368" s="77"/>
      <c r="AE368" s="77"/>
    </row>
    <row r="369" spans="1:31" ht="3" customHeight="1">
      <c r="A369" s="501"/>
      <c r="B369" s="2596"/>
      <c r="C369" s="2586"/>
      <c r="D369" s="2586"/>
      <c r="E369" s="2586"/>
      <c r="F369" s="2586"/>
      <c r="G369" s="2586"/>
      <c r="H369" s="2586"/>
      <c r="I369" s="2586"/>
      <c r="J369" s="2586"/>
      <c r="K369" s="2586"/>
      <c r="L369" s="2586"/>
      <c r="M369" s="2586"/>
      <c r="N369" s="77"/>
      <c r="O369" s="77"/>
      <c r="P369" s="77"/>
      <c r="Q369" s="501"/>
      <c r="R369" s="77"/>
      <c r="S369" s="77"/>
      <c r="T369" s="77"/>
      <c r="U369" s="77"/>
      <c r="V369" s="77"/>
      <c r="W369" s="77"/>
      <c r="X369" s="77"/>
      <c r="Y369" s="77"/>
      <c r="Z369" s="77"/>
      <c r="AA369" s="77"/>
      <c r="AB369" s="77"/>
      <c r="AC369" s="77"/>
      <c r="AD369" s="77"/>
      <c r="AE369" s="77"/>
    </row>
    <row r="370" spans="1:31" ht="3" customHeight="1">
      <c r="A370" s="501"/>
      <c r="B370" s="2596"/>
      <c r="C370" s="2586"/>
      <c r="D370" s="2586"/>
      <c r="E370" s="2586"/>
      <c r="F370" s="2586"/>
      <c r="G370" s="2586"/>
      <c r="H370" s="2586"/>
      <c r="I370" s="2586"/>
      <c r="J370" s="2586"/>
      <c r="K370" s="2586"/>
      <c r="L370" s="2586"/>
      <c r="M370" s="2586"/>
      <c r="N370" s="77"/>
      <c r="O370" s="77"/>
      <c r="P370" s="77"/>
      <c r="Q370" s="501"/>
      <c r="R370" s="77"/>
      <c r="S370" s="77"/>
      <c r="T370" s="77"/>
      <c r="U370" s="77"/>
      <c r="V370" s="77"/>
      <c r="W370" s="77"/>
      <c r="X370" s="77"/>
      <c r="Y370" s="77"/>
      <c r="Z370" s="77"/>
      <c r="AA370" s="77"/>
      <c r="AB370" s="77"/>
      <c r="AC370" s="77"/>
      <c r="AD370" s="77"/>
      <c r="AE370" s="77"/>
    </row>
    <row r="371" spans="1:31" ht="14.1" customHeight="1">
      <c r="A371" s="2521" t="s">
        <v>1587</v>
      </c>
      <c r="B371" s="3" t="s">
        <v>6669</v>
      </c>
      <c r="C371" s="3"/>
      <c r="D371" s="3"/>
      <c r="E371" s="3"/>
      <c r="F371" s="3"/>
      <c r="G371" s="3"/>
      <c r="H371" s="2586"/>
      <c r="I371" s="2586"/>
      <c r="J371" s="2586"/>
      <c r="K371" s="77"/>
      <c r="L371" s="77"/>
      <c r="M371" s="77"/>
      <c r="N371" s="283" t="str">
        <f>IF('Part VIII Scoring Criteria OLD'!$P$48="yes","Applicant has applied for CHDO Setaside.","Applicant has NOT applied for CHDO Setaside.")</f>
        <v>Applicant has NOT applied for CHDO Setaside.</v>
      </c>
      <c r="O371" s="66" t="s">
        <v>1451</v>
      </c>
      <c r="P371" s="4382"/>
      <c r="Q371" s="4383"/>
      <c r="R371" s="77"/>
      <c r="S371" s="77"/>
      <c r="T371" s="77"/>
      <c r="U371" s="77"/>
      <c r="V371" s="77"/>
      <c r="W371" s="77"/>
      <c r="X371" s="77"/>
      <c r="Y371" s="77"/>
      <c r="Z371" s="77"/>
      <c r="AA371" s="77"/>
      <c r="AB371" s="77"/>
      <c r="AC371" s="77"/>
      <c r="AD371" s="77"/>
      <c r="AE371" s="77"/>
    </row>
    <row r="372" spans="1:31" ht="11.7" customHeight="1">
      <c r="A372" s="22" t="s">
        <v>186</v>
      </c>
      <c r="B372" s="13" t="s">
        <v>6670</v>
      </c>
      <c r="C372" s="77"/>
      <c r="D372" s="77"/>
      <c r="E372" s="4397"/>
      <c r="F372" s="4398"/>
      <c r="G372" s="4398"/>
      <c r="H372" s="4398"/>
      <c r="I372" s="4432"/>
      <c r="J372" s="4433" t="s">
        <v>6671</v>
      </c>
      <c r="K372" s="4434"/>
      <c r="L372" s="4435"/>
      <c r="M372" s="4397"/>
      <c r="N372" s="4398"/>
      <c r="O372" s="4398"/>
      <c r="P372" s="4398"/>
      <c r="Q372" s="4432"/>
      <c r="R372" s="77"/>
      <c r="S372" s="77"/>
      <c r="T372" s="77"/>
      <c r="U372" s="77"/>
      <c r="V372" s="77"/>
      <c r="W372" s="77"/>
      <c r="X372" s="77"/>
      <c r="Y372" s="77"/>
      <c r="Z372" s="77"/>
      <c r="AA372" s="77"/>
      <c r="AB372" s="77"/>
      <c r="AC372" s="77"/>
      <c r="AD372" s="77"/>
      <c r="AE372" s="77"/>
    </row>
    <row r="373" spans="1:31" s="67" customFormat="1" ht="22.5" customHeight="1">
      <c r="A373" s="75" t="s">
        <v>198</v>
      </c>
      <c r="B373" s="4379" t="s">
        <v>6672</v>
      </c>
      <c r="C373" s="4379"/>
      <c r="D373" s="4379"/>
      <c r="E373" s="4379"/>
      <c r="F373" s="4379"/>
      <c r="G373" s="4379"/>
      <c r="H373" s="4379"/>
      <c r="I373" s="4379"/>
      <c r="J373" s="4379"/>
      <c r="K373" s="4379"/>
      <c r="L373" s="4379"/>
      <c r="M373" s="4379"/>
      <c r="N373" s="4379"/>
      <c r="O373" s="84" t="s">
        <v>198</v>
      </c>
      <c r="P373" s="2594"/>
      <c r="Q373" s="2592"/>
      <c r="R373" s="229"/>
      <c r="S373" s="229"/>
      <c r="T373" s="229"/>
      <c r="U373" s="229"/>
      <c r="V373" s="229"/>
      <c r="W373" s="229"/>
      <c r="X373" s="229"/>
      <c r="Y373" s="229"/>
      <c r="Z373" s="229"/>
      <c r="AA373" s="229"/>
      <c r="AB373" s="229"/>
      <c r="AC373" s="229"/>
      <c r="AD373" s="229"/>
      <c r="AE373" s="229"/>
    </row>
    <row r="374" spans="1:31">
      <c r="A374" s="75" t="s">
        <v>219</v>
      </c>
      <c r="B374" s="25" t="s">
        <v>6673</v>
      </c>
      <c r="C374" s="77"/>
      <c r="D374" s="77"/>
      <c r="E374" s="77"/>
      <c r="F374" s="77"/>
      <c r="G374" s="2590"/>
      <c r="H374" s="2590"/>
      <c r="I374" s="2590"/>
      <c r="J374" s="16" t="s">
        <v>6674</v>
      </c>
      <c r="K374" s="77"/>
      <c r="L374" s="2590"/>
      <c r="M374" s="4436" t="e">
        <f>#REF!</f>
        <v>#REF!</v>
      </c>
      <c r="N374" s="4437"/>
      <c r="O374" s="84" t="s">
        <v>219</v>
      </c>
      <c r="P374" s="118"/>
      <c r="Q374" s="300"/>
      <c r="R374" s="77"/>
      <c r="S374" s="77"/>
      <c r="T374" s="77"/>
      <c r="U374" s="77"/>
      <c r="V374" s="77"/>
      <c r="W374" s="77"/>
      <c r="X374" s="77"/>
      <c r="Y374" s="77"/>
      <c r="Z374" s="77"/>
      <c r="AA374" s="77"/>
      <c r="AB374" s="77"/>
      <c r="AC374" s="77"/>
      <c r="AD374" s="77"/>
      <c r="AE374" s="77"/>
    </row>
    <row r="375" spans="1:31" ht="11.25" customHeight="1">
      <c r="A375" s="77"/>
      <c r="B375" s="74" t="s">
        <v>1457</v>
      </c>
      <c r="C375" s="77"/>
      <c r="D375" s="74"/>
      <c r="E375" s="74"/>
      <c r="F375" s="74"/>
      <c r="G375" s="74"/>
      <c r="H375" s="16"/>
      <c r="I375" s="2596"/>
      <c r="J375" s="2596"/>
      <c r="K375" s="2596"/>
      <c r="L375" s="501"/>
      <c r="M375" s="501"/>
      <c r="N375" s="501"/>
      <c r="O375" s="501"/>
      <c r="P375" s="501"/>
      <c r="Q375" s="501"/>
      <c r="R375" s="77"/>
      <c r="S375" s="77"/>
      <c r="T375" s="77"/>
      <c r="U375" s="77"/>
      <c r="V375" s="77"/>
      <c r="W375" s="77"/>
      <c r="X375" s="77"/>
      <c r="Y375" s="77"/>
      <c r="Z375" s="77"/>
      <c r="AA375" s="77"/>
      <c r="AB375" s="77"/>
      <c r="AC375" s="77"/>
      <c r="AD375" s="77"/>
      <c r="AE375" s="77"/>
    </row>
    <row r="376" spans="1:31" ht="11.7" customHeight="1">
      <c r="A376" s="4390"/>
      <c r="B376" s="4391"/>
      <c r="C376" s="4391"/>
      <c r="D376" s="4391"/>
      <c r="E376" s="4391"/>
      <c r="F376" s="4391"/>
      <c r="G376" s="4391"/>
      <c r="H376" s="4391"/>
      <c r="I376" s="4391"/>
      <c r="J376" s="4391"/>
      <c r="K376" s="4391"/>
      <c r="L376" s="4391"/>
      <c r="M376" s="4391"/>
      <c r="N376" s="4391"/>
      <c r="O376" s="4391"/>
      <c r="P376" s="4391"/>
      <c r="Q376" s="4392"/>
      <c r="R376" s="77"/>
      <c r="S376" s="77"/>
      <c r="T376" s="77"/>
      <c r="U376" s="69"/>
      <c r="V376" s="69"/>
      <c r="W376" s="69"/>
      <c r="X376" s="69"/>
      <c r="Y376" s="69"/>
      <c r="Z376" s="69"/>
      <c r="AA376" s="69"/>
      <c r="AB376" s="69"/>
      <c r="AC376" s="69"/>
      <c r="AD376" s="69"/>
      <c r="AE376" s="69"/>
    </row>
    <row r="377" spans="1:31" ht="11.25" customHeight="1">
      <c r="A377" s="77"/>
      <c r="B377" s="70" t="s">
        <v>1453</v>
      </c>
      <c r="C377" s="71"/>
      <c r="D377" s="2586"/>
      <c r="E377" s="2586"/>
      <c r="F377" s="2586"/>
      <c r="G377" s="2586"/>
      <c r="H377" s="2586"/>
      <c r="I377" s="2586"/>
      <c r="J377" s="2586"/>
      <c r="K377" s="2586"/>
      <c r="L377" s="2586"/>
      <c r="M377" s="2586"/>
      <c r="N377" s="2586"/>
      <c r="O377" s="2586"/>
      <c r="P377" s="2586"/>
      <c r="Q377" s="2586"/>
      <c r="R377" s="77"/>
      <c r="S377" s="77"/>
      <c r="T377" s="77"/>
      <c r="U377" s="77"/>
      <c r="V377" s="77"/>
      <c r="W377" s="77"/>
      <c r="X377" s="77"/>
      <c r="Y377" s="77"/>
      <c r="Z377" s="77"/>
      <c r="AA377" s="77"/>
      <c r="AB377" s="77"/>
      <c r="AC377" s="77"/>
      <c r="AD377" s="77"/>
      <c r="AE377" s="77"/>
    </row>
    <row r="378" spans="1:31" ht="11.7" customHeight="1">
      <c r="A378" s="4387"/>
      <c r="B378" s="4388"/>
      <c r="C378" s="4388"/>
      <c r="D378" s="4388"/>
      <c r="E378" s="4388"/>
      <c r="F378" s="4388"/>
      <c r="G378" s="4388"/>
      <c r="H378" s="4388"/>
      <c r="I378" s="4388"/>
      <c r="J378" s="4388"/>
      <c r="K378" s="4388"/>
      <c r="L378" s="4388"/>
      <c r="M378" s="4388"/>
      <c r="N378" s="4388"/>
      <c r="O378" s="4388"/>
      <c r="P378" s="4388"/>
      <c r="Q378" s="4389"/>
      <c r="R378" s="77"/>
      <c r="S378" s="77"/>
      <c r="T378" s="77"/>
      <c r="U378" s="77"/>
      <c r="V378" s="77"/>
      <c r="W378" s="77"/>
      <c r="X378" s="77"/>
      <c r="Y378" s="77"/>
      <c r="Z378" s="77"/>
      <c r="AA378" s="77"/>
      <c r="AB378" s="77"/>
      <c r="AC378" s="77"/>
      <c r="AD378" s="77"/>
      <c r="AE378" s="77"/>
    </row>
    <row r="379" spans="1:31" ht="3.6" customHeight="1">
      <c r="A379" s="501"/>
      <c r="B379" s="2596"/>
      <c r="C379" s="2586"/>
      <c r="D379" s="2586"/>
      <c r="E379" s="2586"/>
      <c r="F379" s="2586"/>
      <c r="G379" s="2586"/>
      <c r="H379" s="2586"/>
      <c r="I379" s="2586"/>
      <c r="J379" s="2586"/>
      <c r="K379" s="2586"/>
      <c r="L379" s="2586"/>
      <c r="M379" s="2586"/>
      <c r="N379" s="77"/>
      <c r="O379" s="77"/>
      <c r="P379" s="77"/>
      <c r="Q379" s="501"/>
      <c r="R379" s="77"/>
      <c r="S379" s="77"/>
      <c r="T379" s="77"/>
      <c r="U379" s="77"/>
      <c r="V379" s="77"/>
      <c r="W379" s="77"/>
      <c r="X379" s="77"/>
      <c r="Y379" s="77"/>
      <c r="Z379" s="77"/>
      <c r="AA379" s="77"/>
      <c r="AB379" s="77"/>
      <c r="AC379" s="77"/>
      <c r="AD379" s="77"/>
      <c r="AE379" s="77"/>
    </row>
    <row r="380" spans="1:31" ht="14.1" customHeight="1">
      <c r="A380" s="2521" t="s">
        <v>1593</v>
      </c>
      <c r="B380" s="3" t="s">
        <v>1583</v>
      </c>
      <c r="C380" s="3"/>
      <c r="D380" s="3"/>
      <c r="E380" s="2586"/>
      <c r="F380" s="77"/>
      <c r="G380" s="73" t="s">
        <v>1584</v>
      </c>
      <c r="H380" s="2586"/>
      <c r="I380" s="2586"/>
      <c r="J380" s="2586"/>
      <c r="K380" s="2586"/>
      <c r="L380" s="2586"/>
      <c r="M380" s="2586"/>
      <c r="N380" s="77"/>
      <c r="O380" s="66" t="s">
        <v>1451</v>
      </c>
      <c r="P380" s="4382"/>
      <c r="Q380" s="4428"/>
      <c r="R380" s="77"/>
      <c r="S380" s="77"/>
      <c r="T380" s="77"/>
      <c r="U380" s="77"/>
      <c r="V380" s="77"/>
      <c r="W380" s="77"/>
      <c r="X380" s="77"/>
      <c r="Y380" s="77"/>
      <c r="Z380" s="77"/>
      <c r="AA380" s="77"/>
      <c r="AB380" s="77"/>
      <c r="AC380" s="77"/>
      <c r="AD380" s="77"/>
      <c r="AE380" s="77"/>
    </row>
    <row r="381" spans="1:31" ht="12" customHeight="1">
      <c r="A381" s="22" t="s">
        <v>186</v>
      </c>
      <c r="B381" s="13" t="s">
        <v>1585</v>
      </c>
      <c r="C381" s="77"/>
      <c r="D381" s="329"/>
      <c r="E381" s="329"/>
      <c r="F381" s="77"/>
      <c r="G381" s="77"/>
      <c r="H381" s="77"/>
      <c r="I381" s="77"/>
      <c r="J381" s="77"/>
      <c r="K381" s="77"/>
      <c r="L381" s="77"/>
      <c r="M381" s="77"/>
      <c r="N381" s="77"/>
      <c r="O381" s="28" t="s">
        <v>186</v>
      </c>
      <c r="P381" s="2898"/>
      <c r="Q381" s="2899"/>
      <c r="R381" s="77"/>
      <c r="S381" s="77"/>
      <c r="T381" s="77"/>
      <c r="U381" s="77"/>
      <c r="V381" s="77"/>
      <c r="W381" s="77"/>
      <c r="X381" s="77"/>
      <c r="Y381" s="77"/>
      <c r="Z381" s="77"/>
      <c r="AA381" s="77"/>
      <c r="AB381" s="77"/>
      <c r="AC381" s="77"/>
      <c r="AD381" s="77"/>
      <c r="AE381" s="77"/>
    </row>
    <row r="382" spans="1:31" ht="12" customHeight="1">
      <c r="A382" s="22" t="s">
        <v>198</v>
      </c>
      <c r="B382" s="13" t="s">
        <v>1586</v>
      </c>
      <c r="C382" s="77"/>
      <c r="D382" s="329"/>
      <c r="E382" s="329"/>
      <c r="F382" s="77"/>
      <c r="G382" s="77"/>
      <c r="H382" s="77"/>
      <c r="I382" s="77"/>
      <c r="J382" s="77"/>
      <c r="K382" s="77"/>
      <c r="L382" s="77"/>
      <c r="M382" s="77"/>
      <c r="N382" s="77"/>
      <c r="O382" s="28" t="s">
        <v>198</v>
      </c>
      <c r="P382" s="202"/>
      <c r="Q382" s="299"/>
      <c r="R382" s="77"/>
      <c r="S382" s="77"/>
      <c r="T382" s="77"/>
      <c r="U382" s="77"/>
      <c r="V382" s="77"/>
      <c r="W382" s="77"/>
      <c r="X382" s="77"/>
      <c r="Y382" s="77"/>
      <c r="Z382" s="77"/>
      <c r="AA382" s="77"/>
      <c r="AB382" s="77"/>
      <c r="AC382" s="77"/>
      <c r="AD382" s="77"/>
      <c r="AE382" s="77"/>
    </row>
    <row r="383" spans="1:31" ht="12" customHeight="1">
      <c r="A383" s="22" t="s">
        <v>219</v>
      </c>
      <c r="B383" s="13" t="s">
        <v>6675</v>
      </c>
      <c r="C383" s="77"/>
      <c r="D383" s="329"/>
      <c r="E383" s="329"/>
      <c r="F383" s="77"/>
      <c r="G383" s="77"/>
      <c r="H383" s="77"/>
      <c r="I383" s="77"/>
      <c r="J383" s="77"/>
      <c r="K383" s="77"/>
      <c r="L383" s="77"/>
      <c r="M383" s="77"/>
      <c r="N383" s="77"/>
      <c r="O383" s="28" t="s">
        <v>219</v>
      </c>
      <c r="P383" s="202"/>
      <c r="Q383" s="299"/>
      <c r="R383" s="77"/>
      <c r="S383" s="77"/>
      <c r="T383" s="77"/>
      <c r="U383" s="77"/>
      <c r="V383" s="77"/>
      <c r="W383" s="77"/>
      <c r="X383" s="77"/>
      <c r="Y383" s="77"/>
      <c r="Z383" s="77"/>
      <c r="AA383" s="77"/>
      <c r="AB383" s="77"/>
      <c r="AC383" s="77"/>
      <c r="AD383" s="77"/>
      <c r="AE383" s="77"/>
    </row>
    <row r="384" spans="1:31" ht="12" customHeight="1">
      <c r="A384" s="22" t="s">
        <v>221</v>
      </c>
      <c r="B384" s="13" t="s">
        <v>6676</v>
      </c>
      <c r="C384" s="77"/>
      <c r="D384" s="77"/>
      <c r="E384" s="73"/>
      <c r="F384" s="77"/>
      <c r="G384" s="77"/>
      <c r="H384" s="77"/>
      <c r="I384" s="77"/>
      <c r="J384" s="77"/>
      <c r="K384" s="77"/>
      <c r="L384" s="77"/>
      <c r="M384" s="77"/>
      <c r="N384" s="77"/>
      <c r="O384" s="28" t="s">
        <v>221</v>
      </c>
      <c r="P384" s="202"/>
      <c r="Q384" s="299"/>
      <c r="R384" s="77"/>
      <c r="S384" s="77"/>
      <c r="T384" s="77"/>
      <c r="U384" s="77"/>
      <c r="V384" s="77"/>
      <c r="W384" s="77"/>
      <c r="X384" s="77"/>
      <c r="Y384" s="77"/>
      <c r="Z384" s="77"/>
      <c r="AA384" s="77"/>
      <c r="AB384" s="77"/>
      <c r="AC384" s="77"/>
      <c r="AD384" s="77"/>
      <c r="AE384" s="77"/>
    </row>
    <row r="385" spans="1:31" ht="12" customHeight="1">
      <c r="A385" s="22" t="s">
        <v>228</v>
      </c>
      <c r="B385" s="13" t="s">
        <v>6677</v>
      </c>
      <c r="C385" s="77"/>
      <c r="D385" s="77"/>
      <c r="E385" s="73"/>
      <c r="F385" s="77"/>
      <c r="G385" s="28" t="s">
        <v>228</v>
      </c>
      <c r="H385" s="4393"/>
      <c r="I385" s="4394"/>
      <c r="J385" s="4394"/>
      <c r="K385" s="4394"/>
      <c r="L385" s="4394"/>
      <c r="M385" s="4394"/>
      <c r="N385" s="4394"/>
      <c r="O385" s="4395"/>
      <c r="P385" s="118"/>
      <c r="Q385" s="300"/>
      <c r="R385" s="77"/>
      <c r="S385" s="77"/>
      <c r="T385" s="77"/>
      <c r="U385" s="77"/>
      <c r="V385" s="77"/>
      <c r="W385" s="77"/>
      <c r="X385" s="77"/>
      <c r="Y385" s="77"/>
      <c r="Z385" s="77"/>
      <c r="AA385" s="77"/>
      <c r="AB385" s="77"/>
      <c r="AC385" s="77"/>
      <c r="AD385" s="77"/>
      <c r="AE385" s="77"/>
    </row>
    <row r="386" spans="1:31" ht="11.25" customHeight="1">
      <c r="A386" s="77"/>
      <c r="B386" s="74" t="s">
        <v>1457</v>
      </c>
      <c r="C386" s="77"/>
      <c r="D386" s="74"/>
      <c r="E386" s="74"/>
      <c r="F386" s="74"/>
      <c r="G386" s="74"/>
      <c r="H386" s="16"/>
      <c r="I386" s="2596"/>
      <c r="J386" s="2596"/>
      <c r="K386" s="2596"/>
      <c r="L386" s="501"/>
      <c r="M386" s="501"/>
      <c r="N386" s="501"/>
      <c r="O386" s="501"/>
      <c r="P386" s="501"/>
      <c r="Q386" s="501"/>
      <c r="R386" s="77"/>
      <c r="S386" s="77"/>
      <c r="T386" s="77"/>
      <c r="U386" s="77"/>
      <c r="V386" s="77"/>
      <c r="W386" s="77"/>
      <c r="X386" s="77"/>
      <c r="Y386" s="77"/>
      <c r="Z386" s="77"/>
      <c r="AA386" s="77"/>
      <c r="AB386" s="77"/>
      <c r="AC386" s="77"/>
      <c r="AD386" s="77"/>
      <c r="AE386" s="77"/>
    </row>
    <row r="387" spans="1:31" ht="11.7" customHeight="1">
      <c r="A387" s="4390"/>
      <c r="B387" s="4391"/>
      <c r="C387" s="4391"/>
      <c r="D387" s="4391"/>
      <c r="E387" s="4391"/>
      <c r="F387" s="4391"/>
      <c r="G387" s="4391"/>
      <c r="H387" s="4391"/>
      <c r="I387" s="4391"/>
      <c r="J387" s="4391"/>
      <c r="K387" s="4391"/>
      <c r="L387" s="4391"/>
      <c r="M387" s="4391"/>
      <c r="N387" s="4391"/>
      <c r="O387" s="4391"/>
      <c r="P387" s="4391"/>
      <c r="Q387" s="4392"/>
      <c r="R387" s="77"/>
      <c r="S387" s="77"/>
      <c r="T387" s="77"/>
      <c r="U387" s="69"/>
      <c r="V387" s="69"/>
      <c r="W387" s="69"/>
      <c r="X387" s="69"/>
      <c r="Y387" s="69"/>
      <c r="Z387" s="69"/>
      <c r="AA387" s="69"/>
      <c r="AB387" s="69"/>
      <c r="AC387" s="69"/>
      <c r="AD387" s="69"/>
      <c r="AE387" s="69"/>
    </row>
    <row r="388" spans="1:31" ht="11.25" customHeight="1">
      <c r="A388" s="77"/>
      <c r="B388" s="70" t="s">
        <v>1453</v>
      </c>
      <c r="C388" s="71"/>
      <c r="D388" s="2586"/>
      <c r="E388" s="2586"/>
      <c r="F388" s="2586"/>
      <c r="G388" s="2586"/>
      <c r="H388" s="2586"/>
      <c r="I388" s="2586"/>
      <c r="J388" s="2586"/>
      <c r="K388" s="2586"/>
      <c r="L388" s="2586"/>
      <c r="M388" s="2586"/>
      <c r="N388" s="2586"/>
      <c r="O388" s="2586"/>
      <c r="P388" s="2586"/>
      <c r="Q388" s="2586"/>
      <c r="R388" s="77"/>
      <c r="S388" s="77"/>
      <c r="T388" s="77"/>
      <c r="U388" s="77"/>
      <c r="V388" s="77"/>
      <c r="W388" s="77"/>
      <c r="X388" s="77"/>
      <c r="Y388" s="77"/>
      <c r="Z388" s="77"/>
      <c r="AA388" s="77"/>
      <c r="AB388" s="77"/>
      <c r="AC388" s="77"/>
      <c r="AD388" s="77"/>
      <c r="AE388" s="77"/>
    </row>
    <row r="389" spans="1:31" ht="11.7" customHeight="1">
      <c r="A389" s="4387"/>
      <c r="B389" s="4388"/>
      <c r="C389" s="4388"/>
      <c r="D389" s="4388"/>
      <c r="E389" s="4388"/>
      <c r="F389" s="4388"/>
      <c r="G389" s="4388"/>
      <c r="H389" s="4388"/>
      <c r="I389" s="4388"/>
      <c r="J389" s="4388"/>
      <c r="K389" s="4388"/>
      <c r="L389" s="4388"/>
      <c r="M389" s="4388"/>
      <c r="N389" s="4388"/>
      <c r="O389" s="4388"/>
      <c r="P389" s="4388"/>
      <c r="Q389" s="4389"/>
      <c r="R389" s="77"/>
      <c r="S389" s="77"/>
      <c r="T389" s="77"/>
      <c r="U389" s="77"/>
      <c r="V389" s="77"/>
      <c r="W389" s="77"/>
      <c r="X389" s="77"/>
      <c r="Y389" s="77"/>
      <c r="Z389" s="77"/>
      <c r="AA389" s="77"/>
      <c r="AB389" s="77"/>
      <c r="AC389" s="77"/>
      <c r="AD389" s="77"/>
      <c r="AE389" s="77"/>
    </row>
    <row r="390" spans="1:31" ht="3" customHeight="1">
      <c r="A390" s="501"/>
      <c r="B390" s="2596"/>
      <c r="C390" s="2586"/>
      <c r="D390" s="2586"/>
      <c r="E390" s="2586"/>
      <c r="F390" s="2586"/>
      <c r="G390" s="2586"/>
      <c r="H390" s="2586"/>
      <c r="I390" s="2586"/>
      <c r="J390" s="2586"/>
      <c r="K390" s="2586"/>
      <c r="L390" s="2586"/>
      <c r="M390" s="2586"/>
      <c r="N390" s="2586"/>
      <c r="O390" s="2586"/>
      <c r="P390" s="2586"/>
      <c r="Q390" s="501"/>
      <c r="R390" s="77"/>
      <c r="S390" s="77"/>
      <c r="T390" s="77"/>
      <c r="U390" s="77"/>
      <c r="V390" s="77"/>
      <c r="W390" s="77"/>
      <c r="X390" s="77"/>
      <c r="Y390" s="77"/>
      <c r="Z390" s="77"/>
      <c r="AA390" s="77"/>
      <c r="AB390" s="77"/>
      <c r="AC390" s="77"/>
      <c r="AD390" s="77"/>
      <c r="AE390" s="77"/>
    </row>
    <row r="391" spans="1:31" ht="14.1" customHeight="1">
      <c r="A391" s="2521" t="s">
        <v>1597</v>
      </c>
      <c r="B391" s="3" t="s">
        <v>1588</v>
      </c>
      <c r="C391" s="3"/>
      <c r="D391" s="3"/>
      <c r="E391" s="3"/>
      <c r="F391" s="3"/>
      <c r="G391" s="3"/>
      <c r="H391" s="2586"/>
      <c r="I391" s="2586"/>
      <c r="J391" s="2586"/>
      <c r="K391" s="2586"/>
      <c r="L391" s="2586"/>
      <c r="M391" s="2586"/>
      <c r="N391" s="77"/>
      <c r="O391" s="66" t="s">
        <v>1451</v>
      </c>
      <c r="P391" s="4382"/>
      <c r="Q391" s="4383"/>
      <c r="R391" s="77"/>
      <c r="S391" s="77"/>
      <c r="T391" s="77"/>
      <c r="U391" s="77"/>
      <c r="V391" s="77"/>
      <c r="W391" s="77"/>
      <c r="X391" s="77"/>
      <c r="Y391" s="77"/>
      <c r="Z391" s="77"/>
      <c r="AA391" s="77"/>
      <c r="AB391" s="77"/>
      <c r="AC391" s="77"/>
      <c r="AD391" s="77"/>
      <c r="AE391" s="77"/>
    </row>
    <row r="392" spans="1:31" ht="12" customHeight="1">
      <c r="A392" s="77"/>
      <c r="B392" s="25" t="s">
        <v>1589</v>
      </c>
      <c r="C392" s="77"/>
      <c r="D392" s="77"/>
      <c r="E392" s="77"/>
      <c r="F392" s="77"/>
      <c r="G392" s="77"/>
      <c r="H392" s="77"/>
      <c r="I392" s="77"/>
      <c r="J392" s="77"/>
      <c r="K392" s="77"/>
      <c r="L392" s="77"/>
      <c r="M392" s="77"/>
      <c r="N392" s="77"/>
      <c r="O392" s="28"/>
      <c r="P392" s="2900"/>
      <c r="Q392" s="2901"/>
      <c r="R392" s="77"/>
      <c r="S392" s="77"/>
      <c r="T392" s="77"/>
      <c r="U392" s="77"/>
      <c r="V392" s="77"/>
      <c r="W392" s="77"/>
      <c r="X392" s="77"/>
      <c r="Y392" s="77"/>
      <c r="Z392" s="77"/>
      <c r="AA392" s="77"/>
      <c r="AB392" s="77"/>
      <c r="AC392" s="77"/>
      <c r="AD392" s="77"/>
      <c r="AE392" s="77"/>
    </row>
    <row r="393" spans="1:31" ht="12" customHeight="1">
      <c r="A393" s="22" t="s">
        <v>186</v>
      </c>
      <c r="B393" s="38" t="s">
        <v>6678</v>
      </c>
      <c r="C393" s="77"/>
      <c r="D393" s="43"/>
      <c r="E393" s="43"/>
      <c r="F393" s="43"/>
      <c r="G393" s="43"/>
      <c r="H393" s="43"/>
      <c r="I393" s="43"/>
      <c r="J393" s="43"/>
      <c r="K393" s="43"/>
      <c r="L393" s="43"/>
      <c r="M393" s="43"/>
      <c r="N393" s="43"/>
      <c r="O393" s="43"/>
      <c r="P393" s="43"/>
      <c r="Q393" s="43"/>
      <c r="R393" s="77"/>
      <c r="S393" s="77"/>
      <c r="T393" s="77"/>
      <c r="U393" s="77"/>
      <c r="V393" s="77"/>
      <c r="W393" s="77"/>
      <c r="X393" s="77"/>
      <c r="Y393" s="77"/>
      <c r="Z393" s="77"/>
      <c r="AA393" s="77"/>
      <c r="AB393" s="77"/>
      <c r="AC393" s="77"/>
      <c r="AD393" s="77"/>
      <c r="AE393" s="77"/>
    </row>
    <row r="394" spans="1:31" ht="12" customHeight="1">
      <c r="A394" s="22"/>
      <c r="B394" s="896" t="s">
        <v>201</v>
      </c>
      <c r="C394" s="25" t="s">
        <v>1590</v>
      </c>
      <c r="D394" s="43"/>
      <c r="E394" s="43"/>
      <c r="F394" s="43"/>
      <c r="G394" s="43"/>
      <c r="H394" s="43"/>
      <c r="I394" s="43"/>
      <c r="J394" s="43"/>
      <c r="K394" s="43"/>
      <c r="L394" s="43"/>
      <c r="M394" s="43"/>
      <c r="N394" s="43"/>
      <c r="O394" s="28">
        <v>1</v>
      </c>
      <c r="P394" s="2928"/>
      <c r="Q394" s="2907"/>
      <c r="R394" s="77"/>
      <c r="S394" s="77"/>
      <c r="T394" s="77"/>
      <c r="U394" s="77"/>
      <c r="V394" s="77"/>
      <c r="W394" s="77"/>
      <c r="X394" s="77"/>
      <c r="Y394" s="77"/>
      <c r="Z394" s="77"/>
      <c r="AA394" s="77"/>
      <c r="AB394" s="77"/>
      <c r="AC394" s="77"/>
      <c r="AD394" s="77"/>
      <c r="AE394" s="77"/>
    </row>
    <row r="395" spans="1:31" ht="12" customHeight="1">
      <c r="A395" s="77"/>
      <c r="B395" s="13"/>
      <c r="C395" s="13" t="s">
        <v>6679</v>
      </c>
      <c r="D395" s="25" t="s">
        <v>6680</v>
      </c>
      <c r="E395" s="43"/>
      <c r="F395" s="43"/>
      <c r="G395" s="43"/>
      <c r="H395" s="43"/>
      <c r="I395" s="43"/>
      <c r="J395" s="43"/>
      <c r="K395" s="43"/>
      <c r="L395" s="43"/>
      <c r="M395" s="43"/>
      <c r="N395" s="43"/>
      <c r="O395" s="28" t="s">
        <v>6679</v>
      </c>
      <c r="P395" s="4469"/>
      <c r="Q395" s="4467"/>
      <c r="R395" s="77"/>
      <c r="S395" s="77"/>
      <c r="T395" s="77"/>
      <c r="U395" s="77"/>
      <c r="V395" s="77"/>
      <c r="W395" s="77"/>
      <c r="X395" s="77"/>
      <c r="Y395" s="77"/>
      <c r="Z395" s="77"/>
      <c r="AA395" s="77"/>
      <c r="AB395" s="77"/>
      <c r="AC395" s="77"/>
      <c r="AD395" s="77"/>
      <c r="AE395" s="77"/>
    </row>
    <row r="396" spans="1:31" ht="12" customHeight="1">
      <c r="A396" s="22"/>
      <c r="B396" s="77"/>
      <c r="C396" s="77"/>
      <c r="D396" s="13" t="s">
        <v>6681</v>
      </c>
      <c r="E396" s="13"/>
      <c r="F396" s="13"/>
      <c r="G396" s="13"/>
      <c r="H396" s="13"/>
      <c r="I396" s="13"/>
      <c r="J396" s="13"/>
      <c r="K396" s="13"/>
      <c r="L396" s="13"/>
      <c r="M396" s="13"/>
      <c r="N396" s="43"/>
      <c r="O396" s="2381"/>
      <c r="P396" s="4470"/>
      <c r="Q396" s="4468"/>
      <c r="R396" s="77"/>
      <c r="S396" s="77"/>
      <c r="T396" s="77"/>
      <c r="U396" s="77"/>
      <c r="V396" s="77"/>
      <c r="W396" s="77"/>
      <c r="X396" s="77"/>
      <c r="Y396" s="77"/>
      <c r="Z396" s="77"/>
      <c r="AA396" s="77"/>
      <c r="AB396" s="77"/>
      <c r="AC396" s="77"/>
      <c r="AD396" s="77"/>
      <c r="AE396" s="77"/>
    </row>
    <row r="397" spans="1:31" ht="12" customHeight="1">
      <c r="A397" s="77"/>
      <c r="B397" s="77"/>
      <c r="C397" s="13" t="s">
        <v>6479</v>
      </c>
      <c r="D397" s="13" t="s">
        <v>6682</v>
      </c>
      <c r="E397" s="13"/>
      <c r="F397" s="13"/>
      <c r="G397" s="13"/>
      <c r="H397" s="13"/>
      <c r="I397" s="13"/>
      <c r="J397" s="13"/>
      <c r="K397" s="13"/>
      <c r="L397" s="13"/>
      <c r="M397" s="13"/>
      <c r="N397" s="43"/>
      <c r="O397" s="28" t="s">
        <v>6479</v>
      </c>
      <c r="P397" s="584"/>
      <c r="Q397" s="2604"/>
      <c r="R397" s="77"/>
      <c r="S397" s="77"/>
      <c r="T397" s="77"/>
      <c r="U397" s="77"/>
      <c r="V397" s="77"/>
      <c r="W397" s="77"/>
      <c r="X397" s="77"/>
      <c r="Y397" s="77"/>
      <c r="Z397" s="77"/>
      <c r="AA397" s="77"/>
      <c r="AB397" s="77"/>
      <c r="AC397" s="77"/>
      <c r="AD397" s="77"/>
      <c r="AE397" s="77"/>
    </row>
    <row r="398" spans="1:31" s="77" customFormat="1" ht="12" customHeight="1">
      <c r="A398" s="22"/>
      <c r="C398" s="13" t="s">
        <v>6683</v>
      </c>
      <c r="D398" s="13" t="s">
        <v>6684</v>
      </c>
      <c r="E398" s="13"/>
      <c r="F398" s="13"/>
      <c r="G398" s="13"/>
      <c r="H398" s="13"/>
      <c r="I398" s="13"/>
      <c r="J398" s="13"/>
      <c r="K398" s="13"/>
      <c r="L398" s="13"/>
      <c r="M398" s="13"/>
      <c r="N398" s="43"/>
      <c r="O398" s="28" t="s">
        <v>6685</v>
      </c>
      <c r="P398" s="1193"/>
      <c r="Q398" s="2603"/>
    </row>
    <row r="399" spans="1:31" ht="12" customHeight="1">
      <c r="A399" s="22"/>
      <c r="B399" s="896" t="s">
        <v>209</v>
      </c>
      <c r="C399" s="13" t="s">
        <v>6686</v>
      </c>
      <c r="D399" s="77"/>
      <c r="E399" s="13"/>
      <c r="F399" s="13"/>
      <c r="G399" s="13"/>
      <c r="H399" s="13"/>
      <c r="I399" s="13"/>
      <c r="J399" s="13"/>
      <c r="K399" s="13"/>
      <c r="L399" s="13"/>
      <c r="M399" s="13"/>
      <c r="N399" s="13"/>
      <c r="O399" s="28">
        <v>2</v>
      </c>
      <c r="P399" s="2900"/>
      <c r="Q399" s="2901"/>
      <c r="R399" s="77"/>
      <c r="S399" s="77"/>
      <c r="T399" s="77"/>
      <c r="U399" s="77"/>
      <c r="V399" s="77"/>
      <c r="W399" s="77"/>
      <c r="X399" s="77"/>
      <c r="Y399" s="77"/>
      <c r="Z399" s="77"/>
      <c r="AA399" s="77"/>
      <c r="AB399" s="77"/>
      <c r="AC399" s="77"/>
      <c r="AD399" s="77"/>
      <c r="AE399" s="77"/>
    </row>
    <row r="400" spans="1:31" ht="12" customHeight="1">
      <c r="A400" s="22"/>
      <c r="B400" s="896" t="s">
        <v>213</v>
      </c>
      <c r="C400" s="4379" t="s">
        <v>6687</v>
      </c>
      <c r="D400" s="4379"/>
      <c r="E400" s="4379"/>
      <c r="F400" s="4379"/>
      <c r="G400" s="13" t="s">
        <v>6688</v>
      </c>
      <c r="H400" s="77"/>
      <c r="I400" s="77"/>
      <c r="J400" s="2929"/>
      <c r="K400" s="2930"/>
      <c r="L400" s="77"/>
      <c r="M400" s="13" t="s">
        <v>6689</v>
      </c>
      <c r="N400" s="77"/>
      <c r="O400" s="77"/>
      <c r="P400" s="1194"/>
      <c r="Q400" s="1195"/>
      <c r="R400" s="77"/>
      <c r="S400" s="77"/>
      <c r="T400" s="77"/>
      <c r="U400" s="77"/>
      <c r="V400" s="77"/>
      <c r="W400" s="77"/>
      <c r="X400" s="77"/>
      <c r="Y400" s="77"/>
      <c r="Z400" s="77"/>
      <c r="AA400" s="77"/>
      <c r="AB400" s="77"/>
      <c r="AC400" s="77"/>
      <c r="AD400" s="77"/>
      <c r="AE400" s="77"/>
    </row>
    <row r="401" spans="1:44" ht="12" customHeight="1">
      <c r="A401" s="22"/>
      <c r="B401" s="77"/>
      <c r="C401" s="4379"/>
      <c r="D401" s="4379"/>
      <c r="E401" s="4379"/>
      <c r="F401" s="4379"/>
      <c r="G401" s="13" t="s">
        <v>6690</v>
      </c>
      <c r="H401" s="77"/>
      <c r="I401" s="77"/>
      <c r="J401" s="523"/>
      <c r="K401" s="302"/>
      <c r="L401" s="77"/>
      <c r="M401" s="13" t="s">
        <v>6691</v>
      </c>
      <c r="N401" s="77"/>
      <c r="O401" s="77"/>
      <c r="P401" s="523"/>
      <c r="Q401" s="302"/>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row>
    <row r="402" spans="1:44" ht="8.25" customHeight="1">
      <c r="A402" s="22"/>
      <c r="B402" s="77"/>
      <c r="C402" s="4379"/>
      <c r="D402" s="4379"/>
      <c r="E402" s="4379"/>
      <c r="F402" s="4379"/>
      <c r="G402" s="77"/>
      <c r="H402" s="77"/>
      <c r="I402" s="77"/>
      <c r="J402" s="2911"/>
      <c r="K402" s="77"/>
      <c r="L402" s="16"/>
      <c r="M402" s="43"/>
      <c r="N402" s="28"/>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row>
    <row r="403" spans="1:44" s="43" customFormat="1" ht="12.75" customHeight="1">
      <c r="A403" s="72"/>
      <c r="B403" s="104"/>
      <c r="D403" s="645"/>
      <c r="E403" s="645"/>
      <c r="F403" s="645"/>
      <c r="G403" s="645"/>
      <c r="H403" s="645"/>
      <c r="I403" s="4384" t="s">
        <v>6692</v>
      </c>
      <c r="J403" s="4384" t="s">
        <v>6693</v>
      </c>
      <c r="K403" s="4384" t="s">
        <v>6694</v>
      </c>
      <c r="L403" s="4384"/>
      <c r="M403" s="4384"/>
      <c r="N403" s="4418" t="s">
        <v>6695</v>
      </c>
      <c r="O403" s="28"/>
      <c r="P403" s="4533" t="s">
        <v>6696</v>
      </c>
      <c r="Q403" s="4533"/>
      <c r="S403" s="958"/>
      <c r="T403" s="958"/>
      <c r="U403" s="958"/>
      <c r="V403" s="958"/>
      <c r="W403" s="958"/>
      <c r="X403" s="958"/>
      <c r="Y403" s="958"/>
      <c r="Z403" s="958"/>
      <c r="AA403" s="958"/>
      <c r="AB403" s="958"/>
      <c r="AC403" s="958"/>
      <c r="AD403" s="958"/>
      <c r="AE403" s="958"/>
      <c r="AF403" s="958"/>
      <c r="AG403" s="958"/>
      <c r="AH403" s="958"/>
      <c r="AI403" s="958"/>
      <c r="AJ403" s="958"/>
      <c r="AK403" s="958"/>
      <c r="AL403" s="958"/>
      <c r="AM403" s="958"/>
      <c r="AN403" s="958"/>
      <c r="AO403" s="958"/>
      <c r="AP403" s="958"/>
      <c r="AQ403" s="958"/>
      <c r="AR403" s="958"/>
    </row>
    <row r="404" spans="1:44" s="43" customFormat="1" ht="12.75" customHeight="1">
      <c r="A404" s="72"/>
      <c r="B404" s="104"/>
      <c r="D404" s="645"/>
      <c r="E404" s="645"/>
      <c r="F404" s="645"/>
      <c r="G404" s="645"/>
      <c r="H404" s="645"/>
      <c r="I404" s="4498"/>
      <c r="J404" s="4384"/>
      <c r="K404" s="4384"/>
      <c r="L404" s="4384"/>
      <c r="M404" s="4384"/>
      <c r="N404" s="4419"/>
      <c r="O404" s="28"/>
      <c r="P404" s="4534"/>
      <c r="Q404" s="4534"/>
      <c r="S404" s="958"/>
      <c r="T404" s="958"/>
      <c r="U404" s="958"/>
      <c r="V404" s="958"/>
      <c r="W404" s="958"/>
      <c r="X404" s="958"/>
      <c r="Y404" s="958"/>
      <c r="Z404" s="958"/>
      <c r="AA404" s="958"/>
      <c r="AB404" s="958"/>
      <c r="AC404" s="958"/>
      <c r="AD404" s="958"/>
      <c r="AE404" s="958"/>
      <c r="AF404" s="958"/>
      <c r="AG404" s="958"/>
      <c r="AH404" s="958"/>
      <c r="AI404" s="958"/>
      <c r="AJ404" s="958"/>
      <c r="AK404" s="958"/>
      <c r="AL404" s="958"/>
      <c r="AM404" s="958"/>
      <c r="AN404" s="958"/>
      <c r="AO404" s="958"/>
      <c r="AP404" s="958"/>
      <c r="AQ404" s="958"/>
      <c r="AR404" s="958"/>
    </row>
    <row r="405" spans="1:44" s="43" customFormat="1" ht="12.75" customHeight="1">
      <c r="A405" s="102"/>
      <c r="B405" s="265"/>
      <c r="C405" s="4379" t="s">
        <v>6697</v>
      </c>
      <c r="D405" s="4379"/>
      <c r="E405" s="4379"/>
      <c r="F405" s="4379"/>
      <c r="G405" s="4379"/>
      <c r="H405" s="4379"/>
      <c r="I405" s="258">
        <f>K290</f>
        <v>0</v>
      </c>
      <c r="J405" s="2931"/>
      <c r="K405" s="4385"/>
      <c r="L405" s="4385"/>
      <c r="M405" s="4386"/>
      <c r="N405" s="1065">
        <f>MAX(J405,K405)</f>
        <v>0</v>
      </c>
      <c r="O405" s="28" t="s">
        <v>6698</v>
      </c>
      <c r="P405" s="2900"/>
      <c r="Q405" s="2901"/>
      <c r="S405" s="958"/>
      <c r="T405" s="958"/>
      <c r="U405" s="958"/>
      <c r="V405" s="958"/>
      <c r="W405" s="958"/>
      <c r="X405" s="958"/>
      <c r="Y405" s="958"/>
      <c r="Z405" s="958"/>
      <c r="AA405" s="958"/>
      <c r="AB405" s="958"/>
      <c r="AC405" s="958"/>
      <c r="AD405" s="958"/>
      <c r="AE405" s="958"/>
      <c r="AF405" s="958"/>
      <c r="AG405" s="958"/>
      <c r="AH405" s="958"/>
      <c r="AI405" s="958"/>
      <c r="AJ405" s="958"/>
      <c r="AK405" s="958"/>
      <c r="AL405" s="958"/>
      <c r="AM405" s="958"/>
      <c r="AN405" s="958"/>
      <c r="AO405" s="958"/>
      <c r="AP405" s="958"/>
      <c r="AQ405" s="958"/>
      <c r="AR405" s="958"/>
    </row>
    <row r="406" spans="1:44" s="95" customFormat="1" ht="12.75" customHeight="1">
      <c r="A406" s="155"/>
      <c r="B406" s="153"/>
      <c r="C406" s="4379"/>
      <c r="D406" s="4379"/>
      <c r="E406" s="4379"/>
      <c r="F406" s="4379"/>
      <c r="G406" s="4379"/>
      <c r="H406" s="4379"/>
      <c r="I406" s="2517"/>
      <c r="J406" s="2932"/>
      <c r="K406" s="4420"/>
      <c r="L406" s="4420"/>
      <c r="M406" s="4421"/>
      <c r="N406" s="1065">
        <f>MAX(J406,K406)</f>
        <v>0</v>
      </c>
      <c r="P406" s="2517"/>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row>
    <row r="407" spans="1:44" s="95" customFormat="1" ht="9" customHeight="1">
      <c r="A407" s="155"/>
      <c r="B407" s="153"/>
      <c r="C407" s="329"/>
      <c r="D407" s="329"/>
      <c r="E407" s="329"/>
      <c r="F407" s="329"/>
      <c r="G407" s="329"/>
      <c r="H407" s="329"/>
      <c r="I407" s="13"/>
      <c r="J407" s="13"/>
      <c r="M407" s="645"/>
      <c r="N407" s="1066"/>
      <c r="O407" s="28"/>
      <c r="S407" s="166"/>
      <c r="T407" s="166"/>
      <c r="U407" s="166"/>
      <c r="V407" s="959"/>
      <c r="W407" s="166"/>
      <c r="X407" s="959"/>
      <c r="Y407" s="166"/>
      <c r="Z407" s="960" t="str">
        <f t="shared" ref="Z407:AG407" si="3">IF(AA407="","",IF(AA407&lt;AC407,"Check!!!",""))</f>
        <v/>
      </c>
      <c r="AA407" s="960" t="str">
        <f t="shared" si="3"/>
        <v/>
      </c>
      <c r="AB407" s="960" t="str">
        <f t="shared" si="3"/>
        <v/>
      </c>
      <c r="AC407" s="960" t="str">
        <f t="shared" si="3"/>
        <v/>
      </c>
      <c r="AD407" s="960" t="str">
        <f t="shared" si="3"/>
        <v/>
      </c>
      <c r="AE407" s="960" t="str">
        <f t="shared" si="3"/>
        <v/>
      </c>
      <c r="AF407" s="960" t="str">
        <f t="shared" si="3"/>
        <v/>
      </c>
      <c r="AG407" s="960" t="str">
        <f t="shared" si="3"/>
        <v/>
      </c>
      <c r="AH407" s="166"/>
      <c r="AI407" s="166"/>
      <c r="AJ407" s="166"/>
      <c r="AK407" s="166"/>
      <c r="AL407" s="166"/>
      <c r="AM407" s="166"/>
      <c r="AN407" s="166"/>
      <c r="AO407" s="166"/>
      <c r="AP407" s="166"/>
      <c r="AQ407" s="166"/>
      <c r="AR407" s="166"/>
    </row>
    <row r="408" spans="1:44" s="43" customFormat="1" ht="12.75" customHeight="1">
      <c r="A408" s="75"/>
      <c r="B408" s="265"/>
      <c r="D408" s="73" t="s">
        <v>6699</v>
      </c>
      <c r="E408" s="73"/>
      <c r="F408" s="73"/>
      <c r="G408" s="73"/>
      <c r="H408" s="73"/>
      <c r="I408" s="258">
        <f>K291</f>
        <v>0</v>
      </c>
      <c r="J408" s="2931"/>
      <c r="K408" s="4385"/>
      <c r="L408" s="4385"/>
      <c r="M408" s="4386"/>
      <c r="N408" s="1065">
        <f>MAX(J408,K408)</f>
        <v>0</v>
      </c>
      <c r="O408" s="28"/>
      <c r="P408" s="2919"/>
      <c r="Q408" s="2933"/>
      <c r="S408" s="958"/>
      <c r="T408" s="961"/>
      <c r="U408" s="961"/>
      <c r="V408" s="961"/>
      <c r="W408" s="961"/>
      <c r="X408" s="961"/>
      <c r="Y408" s="961"/>
      <c r="Z408" s="961"/>
      <c r="AA408" s="961"/>
      <c r="AB408" s="961"/>
      <c r="AC408" s="961"/>
      <c r="AD408" s="961"/>
      <c r="AE408" s="961"/>
      <c r="AF408" s="961"/>
      <c r="AG408" s="961"/>
      <c r="AH408" s="958"/>
      <c r="AI408" s="958"/>
      <c r="AJ408" s="958"/>
      <c r="AK408" s="958"/>
      <c r="AL408" s="958"/>
      <c r="AM408" s="958"/>
      <c r="AN408" s="958"/>
      <c r="AO408" s="958"/>
      <c r="AP408" s="958"/>
      <c r="AQ408" s="958"/>
      <c r="AR408" s="958"/>
    </row>
    <row r="409" spans="1:44" s="95" customFormat="1" ht="12.75" customHeight="1">
      <c r="A409" s="155"/>
      <c r="B409" s="153"/>
      <c r="C409" s="329"/>
      <c r="D409" s="73"/>
      <c r="E409" s="73"/>
      <c r="F409" s="73"/>
      <c r="G409" s="73"/>
      <c r="H409" s="73"/>
      <c r="J409" s="2932"/>
      <c r="K409" s="4420"/>
      <c r="L409" s="4420"/>
      <c r="M409" s="4421"/>
      <c r="N409" s="1065">
        <f>MAX(J409,K409)</f>
        <v>0</v>
      </c>
      <c r="O409" s="16"/>
      <c r="P409" s="16"/>
      <c r="Q409" s="16"/>
      <c r="S409" s="166"/>
      <c r="T409" s="166"/>
      <c r="U409" s="166"/>
      <c r="V409" s="959"/>
      <c r="W409" s="962"/>
      <c r="X409" s="959"/>
      <c r="Y409" s="166"/>
      <c r="Z409" s="960" t="str">
        <f t="shared" ref="Z409:AG409" si="4">IF(AA409="","",IF(AA409&lt;AC409,"Check!!!",""))</f>
        <v/>
      </c>
      <c r="AA409" s="960" t="str">
        <f t="shared" si="4"/>
        <v/>
      </c>
      <c r="AB409" s="960" t="str">
        <f t="shared" si="4"/>
        <v/>
      </c>
      <c r="AC409" s="960" t="str">
        <f t="shared" si="4"/>
        <v/>
      </c>
      <c r="AD409" s="960" t="str">
        <f t="shared" si="4"/>
        <v/>
      </c>
      <c r="AE409" s="960" t="str">
        <f t="shared" si="4"/>
        <v/>
      </c>
      <c r="AF409" s="960" t="str">
        <f t="shared" si="4"/>
        <v/>
      </c>
      <c r="AG409" s="960" t="str">
        <f t="shared" si="4"/>
        <v/>
      </c>
      <c r="AH409" s="166"/>
      <c r="AI409" s="166"/>
      <c r="AJ409" s="166"/>
      <c r="AK409" s="166"/>
      <c r="AL409" s="166"/>
      <c r="AM409" s="166"/>
      <c r="AN409" s="166"/>
      <c r="AO409" s="166"/>
      <c r="AP409" s="166"/>
      <c r="AQ409" s="166"/>
      <c r="AR409" s="166"/>
    </row>
    <row r="410" spans="1:44" s="95" customFormat="1" ht="9" customHeight="1">
      <c r="A410" s="155"/>
      <c r="B410" s="153"/>
      <c r="C410" s="329"/>
      <c r="D410" s="73"/>
      <c r="E410" s="73"/>
      <c r="F410" s="73"/>
      <c r="G410" s="73"/>
      <c r="H410" s="73"/>
      <c r="M410" s="645"/>
      <c r="N410" s="1066"/>
      <c r="O410" s="16"/>
      <c r="P410" s="16"/>
      <c r="Q410" s="16"/>
      <c r="S410" s="166"/>
      <c r="T410" s="166"/>
      <c r="U410" s="166"/>
      <c r="V410" s="959"/>
      <c r="W410" s="962"/>
      <c r="X410" s="959"/>
      <c r="Y410" s="166"/>
      <c r="Z410" s="960"/>
      <c r="AA410" s="960"/>
      <c r="AB410" s="960"/>
      <c r="AC410" s="960"/>
      <c r="AD410" s="960"/>
      <c r="AE410" s="960"/>
      <c r="AF410" s="960"/>
      <c r="AG410" s="960"/>
      <c r="AH410" s="166"/>
      <c r="AI410" s="166"/>
      <c r="AJ410" s="166"/>
      <c r="AK410" s="166"/>
      <c r="AL410" s="166"/>
      <c r="AM410" s="166"/>
      <c r="AN410" s="166"/>
      <c r="AO410" s="166"/>
      <c r="AP410" s="166"/>
      <c r="AQ410" s="166"/>
      <c r="AR410" s="166"/>
    </row>
    <row r="411" spans="1:44" s="43" customFormat="1" ht="12.75" customHeight="1">
      <c r="A411" s="22"/>
      <c r="B411" s="16"/>
      <c r="C411" s="4379" t="s">
        <v>6700</v>
      </c>
      <c r="D411" s="4379"/>
      <c r="E411" s="4379"/>
      <c r="F411" s="4379"/>
      <c r="G411" s="4379"/>
      <c r="H411" s="4379"/>
      <c r="I411" s="258">
        <f>K293</f>
        <v>0</v>
      </c>
      <c r="J411" s="2931"/>
      <c r="K411" s="4385"/>
      <c r="L411" s="4385"/>
      <c r="M411" s="4386"/>
      <c r="N411" s="1065">
        <f>MAX(J411,K411)</f>
        <v>0</v>
      </c>
      <c r="O411" s="28" t="s">
        <v>6701</v>
      </c>
      <c r="P411" s="2900"/>
      <c r="Q411" s="2901"/>
      <c r="S411" s="958"/>
      <c r="T411" s="959"/>
      <c r="U411" s="959"/>
      <c r="V411" s="959"/>
      <c r="W411" s="959"/>
      <c r="X411" s="959"/>
      <c r="Y411" s="959"/>
      <c r="Z411" s="959"/>
      <c r="AA411" s="959"/>
      <c r="AB411" s="959"/>
      <c r="AC411" s="959"/>
      <c r="AD411" s="959"/>
      <c r="AE411" s="959"/>
      <c r="AF411" s="959"/>
      <c r="AG411" s="959"/>
      <c r="AH411" s="958"/>
      <c r="AI411" s="958"/>
      <c r="AJ411" s="958"/>
      <c r="AK411" s="958"/>
      <c r="AL411" s="958"/>
      <c r="AM411" s="958"/>
      <c r="AN411" s="958"/>
      <c r="AO411" s="958"/>
      <c r="AP411" s="958"/>
      <c r="AQ411" s="958"/>
      <c r="AR411" s="958"/>
    </row>
    <row r="412" spans="1:44" s="95" customFormat="1" ht="12.75" customHeight="1">
      <c r="A412" s="155"/>
      <c r="C412" s="4379"/>
      <c r="D412" s="4379"/>
      <c r="E412" s="4379"/>
      <c r="F412" s="4379"/>
      <c r="G412" s="4379"/>
      <c r="H412" s="4379"/>
      <c r="J412" s="2932"/>
      <c r="K412" s="4420"/>
      <c r="L412" s="4420"/>
      <c r="M412" s="4421"/>
      <c r="N412" s="1065">
        <f>MAX(J412,K412)</f>
        <v>0</v>
      </c>
      <c r="O412" s="13"/>
      <c r="P412" s="2596"/>
      <c r="Q412" s="13"/>
      <c r="S412" s="166"/>
      <c r="T412" s="959"/>
      <c r="U412" s="962"/>
      <c r="V412" s="959"/>
      <c r="W412" s="962"/>
      <c r="X412" s="959"/>
      <c r="Y412" s="959"/>
      <c r="Z412" s="959"/>
      <c r="AA412" s="959"/>
      <c r="AB412" s="959"/>
      <c r="AC412" s="959"/>
      <c r="AD412" s="959"/>
      <c r="AE412" s="959"/>
      <c r="AF412" s="959"/>
      <c r="AG412" s="959"/>
      <c r="AH412" s="166"/>
      <c r="AI412" s="166"/>
      <c r="AJ412" s="166"/>
      <c r="AK412" s="166"/>
      <c r="AL412" s="166"/>
      <c r="AM412" s="166"/>
      <c r="AN412" s="166"/>
      <c r="AO412" s="166"/>
      <c r="AP412" s="166"/>
      <c r="AQ412" s="166"/>
      <c r="AR412" s="166"/>
    </row>
    <row r="413" spans="1:44" s="95" customFormat="1" ht="3" customHeight="1">
      <c r="A413" s="155"/>
      <c r="C413" s="2586"/>
      <c r="D413" s="2586"/>
      <c r="E413" s="2586"/>
      <c r="F413" s="2586"/>
      <c r="G413" s="2586"/>
      <c r="H413" s="2586"/>
      <c r="O413" s="16"/>
      <c r="P413" s="28"/>
      <c r="S413" s="166"/>
      <c r="T413" s="166"/>
      <c r="U413" s="166"/>
      <c r="V413" s="959"/>
      <c r="W413" s="962"/>
      <c r="X413" s="959"/>
      <c r="Y413" s="166"/>
      <c r="Z413" s="960"/>
      <c r="AA413" s="960"/>
      <c r="AB413" s="960"/>
      <c r="AC413" s="960"/>
      <c r="AD413" s="960"/>
      <c r="AE413" s="960"/>
      <c r="AF413" s="960"/>
      <c r="AG413" s="960"/>
      <c r="AH413" s="166"/>
      <c r="AI413" s="166"/>
      <c r="AJ413" s="166"/>
      <c r="AK413" s="166"/>
      <c r="AL413" s="166"/>
      <c r="AM413" s="166"/>
      <c r="AN413" s="166"/>
      <c r="AO413" s="166"/>
      <c r="AP413" s="166"/>
      <c r="AQ413" s="166"/>
      <c r="AR413" s="166"/>
    </row>
    <row r="414" spans="1:44" ht="12" customHeight="1">
      <c r="A414" s="22"/>
      <c r="B414" s="896" t="s">
        <v>253</v>
      </c>
      <c r="C414" s="16" t="s">
        <v>6702</v>
      </c>
      <c r="D414" s="77"/>
      <c r="E414" s="16"/>
      <c r="F414" s="16"/>
      <c r="G414" s="16"/>
      <c r="H414" s="77"/>
      <c r="I414" s="77"/>
      <c r="J414" s="43"/>
      <c r="K414" s="16"/>
      <c r="L414" s="16"/>
      <c r="M414" s="43"/>
      <c r="N414" s="28"/>
      <c r="O414" s="77"/>
      <c r="P414" s="28"/>
      <c r="Q414" s="28"/>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row>
    <row r="415" spans="1:44" ht="12" customHeight="1">
      <c r="A415" s="22"/>
      <c r="B415" s="25"/>
      <c r="C415" s="16" t="s">
        <v>6703</v>
      </c>
      <c r="D415" s="77"/>
      <c r="E415" s="16"/>
      <c r="F415" s="16"/>
      <c r="G415" s="77"/>
      <c r="H415" s="77"/>
      <c r="I415" s="77"/>
      <c r="J415" s="77"/>
      <c r="K415" s="77"/>
      <c r="L415" s="16"/>
      <c r="M415" s="16"/>
      <c r="N415" s="77"/>
      <c r="O415" s="28" t="s">
        <v>6477</v>
      </c>
      <c r="P415" s="2900" t="s">
        <v>721</v>
      </c>
      <c r="Q415" s="2901" t="s">
        <v>721</v>
      </c>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row>
    <row r="416" spans="1:44" ht="12" customHeight="1">
      <c r="A416" s="43"/>
      <c r="B416" s="77"/>
      <c r="C416" s="77"/>
      <c r="D416" s="4381" t="s">
        <v>6704</v>
      </c>
      <c r="E416" s="246" t="s">
        <v>6705</v>
      </c>
      <c r="F416" s="25" t="s">
        <v>6706</v>
      </c>
      <c r="G416" s="3715"/>
      <c r="H416" s="3716"/>
      <c r="I416" s="3716"/>
      <c r="J416" s="3716"/>
      <c r="K416" s="3717"/>
      <c r="L416" s="246"/>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row>
    <row r="417" spans="1:31" ht="12" customHeight="1">
      <c r="A417" s="77"/>
      <c r="B417" s="77"/>
      <c r="C417" s="77"/>
      <c r="D417" s="4381"/>
      <c r="E417" s="246" t="s">
        <v>6707</v>
      </c>
      <c r="F417" s="25" t="s">
        <v>6708</v>
      </c>
      <c r="G417" s="4429" t="s">
        <v>1211</v>
      </c>
      <c r="H417" s="4430"/>
      <c r="I417" s="4431"/>
      <c r="J417" s="25" t="s">
        <v>6709</v>
      </c>
      <c r="K417" s="77"/>
      <c r="L417" s="77"/>
      <c r="M417" s="3715"/>
      <c r="N417" s="3716"/>
      <c r="O417" s="3716"/>
      <c r="P417" s="3716"/>
      <c r="Q417" s="3717"/>
      <c r="R417" s="77"/>
      <c r="S417" s="77"/>
      <c r="T417" s="77"/>
      <c r="U417" s="77"/>
      <c r="V417" s="77"/>
      <c r="W417" s="77"/>
      <c r="X417" s="77"/>
      <c r="Y417" s="77"/>
      <c r="Z417" s="77"/>
      <c r="AA417" s="77"/>
      <c r="AB417" s="77"/>
      <c r="AC417" s="77"/>
      <c r="AD417" s="77"/>
      <c r="AE417" s="77"/>
    </row>
    <row r="418" spans="1:31" ht="12" customHeight="1">
      <c r="A418" s="43"/>
      <c r="B418" s="77"/>
      <c r="C418" s="25" t="s">
        <v>6710</v>
      </c>
      <c r="D418" s="77"/>
      <c r="E418" s="16"/>
      <c r="F418" s="16"/>
      <c r="G418" s="16"/>
      <c r="H418" s="16"/>
      <c r="I418" s="16"/>
      <c r="J418" s="16"/>
      <c r="K418" s="16"/>
      <c r="L418" s="16"/>
      <c r="M418" s="16"/>
      <c r="N418" s="16"/>
      <c r="O418" s="16"/>
      <c r="P418" s="16"/>
      <c r="Q418" s="16"/>
      <c r="R418" s="77"/>
      <c r="S418" s="77"/>
      <c r="T418" s="77"/>
      <c r="U418" s="77"/>
      <c r="V418" s="77"/>
      <c r="W418" s="77"/>
      <c r="X418" s="77"/>
      <c r="Y418" s="77"/>
      <c r="Z418" s="77"/>
      <c r="AA418" s="77"/>
      <c r="AB418" s="77"/>
      <c r="AC418" s="77"/>
      <c r="AD418" s="77"/>
      <c r="AE418" s="77"/>
    </row>
    <row r="419" spans="1:31" ht="44.7" customHeight="1">
      <c r="A419" s="77"/>
      <c r="B419" s="4422"/>
      <c r="C419" s="4423"/>
      <c r="D419" s="4423"/>
      <c r="E419" s="4423"/>
      <c r="F419" s="4423"/>
      <c r="G419" s="4423"/>
      <c r="H419" s="4423"/>
      <c r="I419" s="4423"/>
      <c r="J419" s="4423"/>
      <c r="K419" s="4423"/>
      <c r="L419" s="4423"/>
      <c r="M419" s="4423"/>
      <c r="N419" s="4423"/>
      <c r="O419" s="4423"/>
      <c r="P419" s="4423"/>
      <c r="Q419" s="4424"/>
      <c r="R419" s="248" t="s">
        <v>6711</v>
      </c>
      <c r="S419" s="77"/>
      <c r="T419" s="77"/>
      <c r="U419" s="69"/>
      <c r="V419" s="69"/>
      <c r="W419" s="69"/>
      <c r="X419" s="69"/>
      <c r="Y419" s="69"/>
      <c r="Z419" s="69"/>
      <c r="AA419" s="69"/>
      <c r="AB419" s="69"/>
      <c r="AC419" s="69"/>
      <c r="AD419" s="69"/>
      <c r="AE419" s="69"/>
    </row>
    <row r="420" spans="1:31" s="77" customFormat="1" ht="3" customHeight="1">
      <c r="A420" s="350"/>
      <c r="B420" s="350"/>
      <c r="C420" s="350"/>
      <c r="D420" s="350"/>
      <c r="E420" s="350"/>
      <c r="F420" s="350"/>
      <c r="G420" s="350"/>
      <c r="H420" s="350"/>
      <c r="I420" s="350"/>
      <c r="J420" s="350"/>
      <c r="K420" s="350"/>
      <c r="L420" s="350"/>
      <c r="M420" s="350"/>
      <c r="N420" s="350"/>
      <c r="O420" s="350"/>
      <c r="P420" s="350"/>
      <c r="Q420" s="350"/>
    </row>
    <row r="421" spans="1:31" s="77" customFormat="1">
      <c r="A421" s="75" t="s">
        <v>198</v>
      </c>
      <c r="B421" s="4380" t="s">
        <v>6712</v>
      </c>
      <c r="C421" s="4379"/>
      <c r="D421" s="4379"/>
      <c r="E421" s="4379"/>
      <c r="F421" s="4379"/>
      <c r="G421" s="4379"/>
      <c r="H421" s="4379"/>
      <c r="I421" s="4379"/>
      <c r="J421" s="4379"/>
      <c r="K421" s="4379"/>
      <c r="L421" s="4379"/>
      <c r="M421" s="4379"/>
      <c r="N421" s="4379"/>
    </row>
    <row r="422" spans="1:31" s="77" customFormat="1" ht="45" customHeight="1">
      <c r="B422" s="4379" t="s">
        <v>6713</v>
      </c>
      <c r="C422" s="4379"/>
      <c r="D422" s="4379"/>
      <c r="E422" s="4379"/>
      <c r="F422" s="4379"/>
      <c r="G422" s="4379"/>
      <c r="H422" s="4379"/>
      <c r="I422" s="4379"/>
      <c r="J422" s="4379"/>
      <c r="K422" s="4379"/>
      <c r="L422" s="4379"/>
      <c r="M422" s="4379"/>
      <c r="N422" s="4379"/>
      <c r="O422" s="84" t="s">
        <v>198</v>
      </c>
      <c r="P422" s="2919"/>
      <c r="Q422" s="2920"/>
    </row>
    <row r="423" spans="1:31" ht="12" customHeight="1">
      <c r="A423" s="77"/>
      <c r="B423" s="74" t="s">
        <v>1457</v>
      </c>
      <c r="C423" s="77"/>
      <c r="D423" s="74"/>
      <c r="E423" s="74"/>
      <c r="F423" s="74"/>
      <c r="G423" s="74"/>
      <c r="H423" s="16"/>
      <c r="I423" s="2596"/>
      <c r="J423" s="2596"/>
      <c r="K423" s="2596"/>
      <c r="L423" s="77"/>
      <c r="M423" s="77"/>
      <c r="N423" s="77"/>
      <c r="O423" s="77"/>
      <c r="P423" s="77"/>
      <c r="Q423" s="77"/>
      <c r="R423" s="77"/>
      <c r="S423" s="77"/>
      <c r="T423" s="77"/>
      <c r="U423" s="77"/>
      <c r="V423" s="77"/>
      <c r="W423" s="77"/>
      <c r="X423" s="77"/>
      <c r="Y423" s="77"/>
      <c r="Z423" s="77"/>
      <c r="AA423" s="77"/>
      <c r="AB423" s="77"/>
      <c r="AC423" s="77"/>
      <c r="AD423" s="77"/>
      <c r="AE423" s="77"/>
    </row>
    <row r="424" spans="1:31" ht="33.6" customHeight="1">
      <c r="A424" s="4390"/>
      <c r="B424" s="4391"/>
      <c r="C424" s="4391"/>
      <c r="D424" s="4391"/>
      <c r="E424" s="4391"/>
      <c r="F424" s="4391"/>
      <c r="G424" s="4391"/>
      <c r="H424" s="4391"/>
      <c r="I424" s="4391"/>
      <c r="J424" s="4391"/>
      <c r="K424" s="4391"/>
      <c r="L424" s="4391"/>
      <c r="M424" s="4391"/>
      <c r="N424" s="4391"/>
      <c r="O424" s="4391"/>
      <c r="P424" s="4391"/>
      <c r="Q424" s="4392"/>
      <c r="R424" s="77"/>
      <c r="S424" s="77"/>
      <c r="T424" s="77"/>
      <c r="U424" s="69"/>
      <c r="V424" s="69"/>
      <c r="W424" s="69"/>
      <c r="X424" s="69"/>
      <c r="Y424" s="69"/>
      <c r="Z424" s="69"/>
      <c r="AA424" s="69"/>
      <c r="AB424" s="69"/>
      <c r="AC424" s="69"/>
      <c r="AD424" s="69"/>
      <c r="AE424" s="69"/>
    </row>
    <row r="425" spans="1:31" ht="12" customHeight="1">
      <c r="A425" s="77"/>
      <c r="B425" s="70" t="s">
        <v>1453</v>
      </c>
      <c r="C425" s="71"/>
      <c r="D425" s="2586"/>
      <c r="E425" s="2586"/>
      <c r="F425" s="2586"/>
      <c r="G425" s="2586"/>
      <c r="H425" s="2586"/>
      <c r="I425" s="2586"/>
      <c r="J425" s="2586"/>
      <c r="K425" s="2586"/>
      <c r="L425" s="2586"/>
      <c r="M425" s="2586"/>
      <c r="N425" s="2586"/>
      <c r="O425" s="2586"/>
      <c r="P425" s="2586"/>
      <c r="Q425" s="2586"/>
      <c r="R425" s="77"/>
      <c r="S425" s="77"/>
      <c r="T425" s="77"/>
      <c r="U425" s="77"/>
      <c r="V425" s="77"/>
      <c r="W425" s="77"/>
      <c r="X425" s="77"/>
      <c r="Y425" s="77"/>
      <c r="Z425" s="77"/>
      <c r="AA425" s="77"/>
      <c r="AB425" s="77"/>
      <c r="AC425" s="77"/>
      <c r="AD425" s="77"/>
      <c r="AE425" s="77"/>
    </row>
    <row r="426" spans="1:31" ht="33.6" customHeight="1">
      <c r="A426" s="4387"/>
      <c r="B426" s="4388"/>
      <c r="C426" s="4388"/>
      <c r="D426" s="4388"/>
      <c r="E426" s="4388"/>
      <c r="F426" s="4388"/>
      <c r="G426" s="4388"/>
      <c r="H426" s="4388"/>
      <c r="I426" s="4388"/>
      <c r="J426" s="4388"/>
      <c r="K426" s="4388"/>
      <c r="L426" s="4388"/>
      <c r="M426" s="4388"/>
      <c r="N426" s="4388"/>
      <c r="O426" s="4388"/>
      <c r="P426" s="4388"/>
      <c r="Q426" s="4389"/>
      <c r="R426" s="77"/>
      <c r="S426" s="77"/>
      <c r="T426" s="77"/>
      <c r="U426" s="77"/>
      <c r="V426" s="77"/>
      <c r="W426" s="77"/>
      <c r="X426" s="77"/>
      <c r="Y426" s="77"/>
      <c r="Z426" s="77"/>
      <c r="AA426" s="77"/>
      <c r="AB426" s="77"/>
      <c r="AC426" s="77"/>
      <c r="AD426" s="77"/>
      <c r="AE426" s="77"/>
    </row>
    <row r="427" spans="1:31" ht="3" customHeight="1">
      <c r="A427" s="501"/>
      <c r="B427" s="2596"/>
      <c r="C427" s="2586"/>
      <c r="D427" s="2586"/>
      <c r="E427" s="2586"/>
      <c r="F427" s="2586"/>
      <c r="G427" s="2586"/>
      <c r="H427" s="2586"/>
      <c r="I427" s="2586"/>
      <c r="J427" s="2586"/>
      <c r="K427" s="2586"/>
      <c r="L427" s="2586"/>
      <c r="M427" s="2586"/>
      <c r="N427" s="77"/>
      <c r="O427" s="77"/>
      <c r="P427" s="77"/>
      <c r="Q427" s="501"/>
      <c r="R427" s="77"/>
      <c r="S427" s="77"/>
      <c r="T427" s="77"/>
      <c r="U427" s="77"/>
      <c r="V427" s="77"/>
      <c r="W427" s="77"/>
      <c r="X427" s="77"/>
      <c r="Y427" s="77"/>
      <c r="Z427" s="77"/>
      <c r="AA427" s="77"/>
      <c r="AB427" s="77"/>
      <c r="AC427" s="77"/>
      <c r="AD427" s="77"/>
      <c r="AE427" s="77"/>
    </row>
    <row r="428" spans="1:31" ht="14.1" customHeight="1">
      <c r="A428" s="2521" t="s">
        <v>1603</v>
      </c>
      <c r="B428" s="3" t="s">
        <v>1594</v>
      </c>
      <c r="C428" s="3"/>
      <c r="D428" s="38"/>
      <c r="E428" s="2586"/>
      <c r="F428" s="2586"/>
      <c r="G428" s="2586"/>
      <c r="H428" s="2586"/>
      <c r="I428" s="77"/>
      <c r="J428" s="77"/>
      <c r="K428" s="77"/>
      <c r="L428" s="77"/>
      <c r="M428" s="77"/>
      <c r="N428" s="77"/>
      <c r="O428" s="66" t="s">
        <v>1451</v>
      </c>
      <c r="P428" s="4382"/>
      <c r="Q428" s="4383"/>
      <c r="R428" s="77"/>
      <c r="S428" s="77"/>
      <c r="T428" s="77"/>
      <c r="U428" s="77"/>
      <c r="V428" s="77"/>
      <c r="W428" s="77"/>
      <c r="X428" s="77"/>
      <c r="Y428" s="77"/>
      <c r="Z428" s="77"/>
      <c r="AA428" s="77"/>
      <c r="AB428" s="77"/>
      <c r="AC428" s="77"/>
      <c r="AD428" s="77"/>
      <c r="AE428" s="77"/>
    </row>
    <row r="429" spans="1:31" ht="14.1" customHeight="1">
      <c r="A429" s="77"/>
      <c r="B429" s="38" t="s">
        <v>6714</v>
      </c>
      <c r="C429" s="3"/>
      <c r="D429" s="38"/>
      <c r="E429" s="2586"/>
      <c r="F429" s="2586"/>
      <c r="G429" s="2586"/>
      <c r="H429" s="2586"/>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row>
    <row r="430" spans="1:31" s="67" customFormat="1" ht="21.75" customHeight="1">
      <c r="A430" s="75" t="s">
        <v>186</v>
      </c>
      <c r="B430" s="4379" t="s">
        <v>6715</v>
      </c>
      <c r="C430" s="4379"/>
      <c r="D430" s="4379"/>
      <c r="E430" s="4379"/>
      <c r="F430" s="4379"/>
      <c r="G430" s="4379"/>
      <c r="H430" s="4379"/>
      <c r="I430" s="4379"/>
      <c r="J430" s="4379"/>
      <c r="K430" s="4379"/>
      <c r="L430" s="4379"/>
      <c r="M430" s="4379"/>
      <c r="N430" s="4379"/>
      <c r="O430" s="84" t="s">
        <v>186</v>
      </c>
      <c r="P430" s="2913"/>
      <c r="Q430" s="2914"/>
      <c r="R430" s="229"/>
      <c r="S430" s="229"/>
      <c r="T430" s="229"/>
      <c r="U430" s="229"/>
      <c r="V430" s="229"/>
      <c r="W430" s="229"/>
      <c r="X430" s="229"/>
      <c r="Y430" s="229"/>
      <c r="Z430" s="229"/>
      <c r="AA430" s="229"/>
      <c r="AB430" s="229"/>
      <c r="AC430" s="229"/>
      <c r="AD430" s="229"/>
      <c r="AE430" s="229"/>
    </row>
    <row r="431" spans="1:31" s="67" customFormat="1" ht="22.5" customHeight="1">
      <c r="A431" s="75" t="s">
        <v>198</v>
      </c>
      <c r="B431" s="4379" t="s">
        <v>6716</v>
      </c>
      <c r="C431" s="4379"/>
      <c r="D431" s="4379"/>
      <c r="E431" s="4379"/>
      <c r="F431" s="4379"/>
      <c r="G431" s="4379"/>
      <c r="H431" s="4379"/>
      <c r="I431" s="4379"/>
      <c r="J431" s="4379"/>
      <c r="K431" s="4379"/>
      <c r="L431" s="4379"/>
      <c r="M431" s="4379"/>
      <c r="N431" s="4379"/>
      <c r="O431" s="84" t="s">
        <v>198</v>
      </c>
      <c r="P431" s="2594"/>
      <c r="Q431" s="2592"/>
      <c r="R431" s="229"/>
      <c r="S431" s="229"/>
      <c r="T431" s="229"/>
      <c r="U431" s="229"/>
      <c r="V431" s="229"/>
      <c r="W431" s="229"/>
      <c r="X431" s="229"/>
      <c r="Y431" s="229"/>
      <c r="Z431" s="229"/>
      <c r="AA431" s="229"/>
      <c r="AB431" s="229"/>
      <c r="AC431" s="229"/>
      <c r="AD431" s="229"/>
      <c r="AE431" s="229"/>
    </row>
    <row r="432" spans="1:31" s="67" customFormat="1" ht="22.5" customHeight="1">
      <c r="A432" s="229"/>
      <c r="B432" s="265" t="s">
        <v>1511</v>
      </c>
      <c r="C432" s="4379" t="s">
        <v>6717</v>
      </c>
      <c r="D432" s="4379"/>
      <c r="E432" s="4379"/>
      <c r="F432" s="4379"/>
      <c r="G432" s="4379"/>
      <c r="H432" s="4379"/>
      <c r="I432" s="4379"/>
      <c r="J432" s="4379"/>
      <c r="K432" s="4379"/>
      <c r="L432" s="4379"/>
      <c r="M432" s="4379"/>
      <c r="N432" s="4379"/>
      <c r="O432" s="84" t="s">
        <v>1511</v>
      </c>
      <c r="P432" s="2594"/>
      <c r="Q432" s="2592"/>
      <c r="R432" s="229"/>
      <c r="S432" s="229"/>
      <c r="T432" s="229"/>
      <c r="U432" s="229"/>
      <c r="V432" s="229"/>
      <c r="W432" s="229"/>
      <c r="X432" s="229"/>
      <c r="Y432" s="229"/>
      <c r="Z432" s="229"/>
      <c r="AA432" s="229"/>
      <c r="AB432" s="229"/>
      <c r="AC432" s="229"/>
      <c r="AD432" s="229"/>
      <c r="AE432" s="229"/>
    </row>
    <row r="433" spans="1:31" s="18" customFormat="1" ht="12" customHeight="1">
      <c r="A433" s="43"/>
      <c r="B433" s="265" t="s">
        <v>1513</v>
      </c>
      <c r="C433" s="13" t="s">
        <v>6718</v>
      </c>
      <c r="D433" s="68"/>
      <c r="E433" s="68"/>
      <c r="F433" s="68"/>
      <c r="G433" s="68"/>
      <c r="H433" s="68"/>
      <c r="I433" s="68"/>
      <c r="J433" s="68"/>
      <c r="K433" s="68"/>
      <c r="L433" s="68"/>
      <c r="M433" s="68"/>
      <c r="N433" s="68"/>
      <c r="O433" s="28" t="s">
        <v>1513</v>
      </c>
      <c r="P433" s="202"/>
      <c r="Q433" s="299"/>
      <c r="R433" s="43"/>
      <c r="S433" s="43"/>
      <c r="T433" s="43"/>
      <c r="U433" s="43"/>
      <c r="V433" s="43"/>
      <c r="W433" s="43"/>
      <c r="X433" s="43"/>
      <c r="Y433" s="43"/>
      <c r="Z433" s="43"/>
      <c r="AA433" s="43"/>
      <c r="AB433" s="43"/>
      <c r="AC433" s="43"/>
      <c r="AD433" s="43"/>
      <c r="AE433" s="43"/>
    </row>
    <row r="434" spans="1:31" s="67" customFormat="1" ht="33" customHeight="1">
      <c r="A434" s="229"/>
      <c r="B434" s="265" t="s">
        <v>1514</v>
      </c>
      <c r="C434" s="4379" t="s">
        <v>6719</v>
      </c>
      <c r="D434" s="4379"/>
      <c r="E434" s="4379"/>
      <c r="F434" s="4379"/>
      <c r="G434" s="4379"/>
      <c r="H434" s="4379"/>
      <c r="I434" s="4379"/>
      <c r="J434" s="4379"/>
      <c r="K434" s="4379"/>
      <c r="L434" s="4379"/>
      <c r="M434" s="4379"/>
      <c r="N434" s="4379"/>
      <c r="O434" s="84" t="s">
        <v>1514</v>
      </c>
      <c r="P434" s="2594"/>
      <c r="Q434" s="2592"/>
      <c r="R434" s="229"/>
      <c r="S434" s="229"/>
      <c r="T434" s="229"/>
      <c r="U434" s="229"/>
      <c r="V434" s="229"/>
      <c r="W434" s="229"/>
      <c r="X434" s="229"/>
      <c r="Y434" s="229"/>
      <c r="Z434" s="229"/>
      <c r="AA434" s="229"/>
      <c r="AB434" s="229"/>
      <c r="AC434" s="229"/>
      <c r="AD434" s="229"/>
      <c r="AE434" s="229"/>
    </row>
    <row r="435" spans="1:31" s="67" customFormat="1" ht="22.5" customHeight="1">
      <c r="A435" s="229"/>
      <c r="B435" s="265" t="s">
        <v>1515</v>
      </c>
      <c r="C435" s="4379" t="s">
        <v>6720</v>
      </c>
      <c r="D435" s="4379"/>
      <c r="E435" s="4379"/>
      <c r="F435" s="4379"/>
      <c r="G435" s="4379"/>
      <c r="H435" s="4379"/>
      <c r="I435" s="4379"/>
      <c r="J435" s="4379"/>
      <c r="K435" s="4379"/>
      <c r="L435" s="4379"/>
      <c r="M435" s="4379"/>
      <c r="N435" s="4379"/>
      <c r="O435" s="84" t="s">
        <v>1515</v>
      </c>
      <c r="P435" s="2594"/>
      <c r="Q435" s="2592"/>
      <c r="R435" s="229"/>
      <c r="S435" s="229"/>
      <c r="T435" s="229"/>
      <c r="U435" s="229"/>
      <c r="V435" s="229"/>
      <c r="W435" s="229"/>
      <c r="X435" s="229"/>
      <c r="Y435" s="229"/>
      <c r="Z435" s="229"/>
      <c r="AA435" s="229"/>
      <c r="AB435" s="229"/>
      <c r="AC435" s="229"/>
      <c r="AD435" s="229"/>
      <c r="AE435" s="229"/>
    </row>
    <row r="436" spans="1:31" s="67" customFormat="1" ht="22.5" customHeight="1">
      <c r="A436" s="75" t="s">
        <v>219</v>
      </c>
      <c r="B436" s="4379" t="s">
        <v>6721</v>
      </c>
      <c r="C436" s="4379"/>
      <c r="D436" s="4379"/>
      <c r="E436" s="4379"/>
      <c r="F436" s="4379"/>
      <c r="G436" s="4379"/>
      <c r="H436" s="4379"/>
      <c r="I436" s="4379"/>
      <c r="J436" s="4379"/>
      <c r="K436" s="4379"/>
      <c r="L436" s="4379"/>
      <c r="M436" s="4379"/>
      <c r="N436" s="4379"/>
      <c r="O436" s="84" t="s">
        <v>219</v>
      </c>
      <c r="P436" s="2594"/>
      <c r="Q436" s="2592"/>
      <c r="R436" s="229"/>
      <c r="S436" s="229"/>
      <c r="T436" s="229"/>
      <c r="U436" s="229"/>
      <c r="V436" s="229"/>
      <c r="W436" s="229"/>
      <c r="X436" s="229"/>
      <c r="Y436" s="229"/>
      <c r="Z436" s="229"/>
      <c r="AA436" s="229"/>
      <c r="AB436" s="229"/>
      <c r="AC436" s="229"/>
      <c r="AD436" s="229"/>
      <c r="AE436" s="229"/>
    </row>
    <row r="437" spans="1:31" s="67" customFormat="1" ht="22.5" customHeight="1">
      <c r="A437" s="75" t="s">
        <v>221</v>
      </c>
      <c r="B437" s="4379" t="s">
        <v>6722</v>
      </c>
      <c r="C437" s="4379"/>
      <c r="D437" s="4379"/>
      <c r="E437" s="4379"/>
      <c r="F437" s="4379"/>
      <c r="G437" s="4379"/>
      <c r="H437" s="4379"/>
      <c r="I437" s="4379"/>
      <c r="J437" s="4379"/>
      <c r="K437" s="4379"/>
      <c r="L437" s="4379"/>
      <c r="M437" s="4379"/>
      <c r="N437" s="4379"/>
      <c r="O437" s="84" t="s">
        <v>221</v>
      </c>
      <c r="P437" s="2594"/>
      <c r="Q437" s="2592"/>
      <c r="R437" s="229"/>
      <c r="S437" s="229"/>
      <c r="T437" s="229"/>
      <c r="U437" s="229"/>
      <c r="V437" s="229"/>
      <c r="W437" s="229"/>
      <c r="X437" s="229"/>
      <c r="Y437" s="229"/>
      <c r="Z437" s="229"/>
      <c r="AA437" s="229"/>
      <c r="AB437" s="229"/>
      <c r="AC437" s="229"/>
      <c r="AD437" s="229"/>
      <c r="AE437" s="229"/>
    </row>
    <row r="438" spans="1:31" s="67" customFormat="1" ht="21.75" customHeight="1">
      <c r="A438" s="75" t="s">
        <v>228</v>
      </c>
      <c r="B438" s="4379" t="s">
        <v>6723</v>
      </c>
      <c r="C438" s="4379"/>
      <c r="D438" s="4379"/>
      <c r="E438" s="4379"/>
      <c r="F438" s="4379"/>
      <c r="G438" s="4379"/>
      <c r="H438" s="4379"/>
      <c r="I438" s="4379"/>
      <c r="J438" s="4379"/>
      <c r="K438" s="4379"/>
      <c r="L438" s="4379"/>
      <c r="M438" s="4379"/>
      <c r="N438" s="4379"/>
      <c r="O438" s="84" t="s">
        <v>228</v>
      </c>
      <c r="P438" s="2594"/>
      <c r="Q438" s="2592"/>
      <c r="R438" s="229"/>
      <c r="S438" s="229"/>
      <c r="T438" s="229"/>
      <c r="U438" s="229"/>
      <c r="V438" s="229"/>
      <c r="W438" s="229"/>
      <c r="X438" s="229"/>
      <c r="Y438" s="229"/>
      <c r="Z438" s="229"/>
      <c r="AA438" s="229"/>
      <c r="AB438" s="229"/>
      <c r="AC438" s="229"/>
      <c r="AD438" s="229"/>
      <c r="AE438" s="229"/>
    </row>
    <row r="439" spans="1:31" s="229" customFormat="1" ht="21.75" customHeight="1">
      <c r="A439" s="75" t="s">
        <v>230</v>
      </c>
      <c r="B439" s="4379" t="s">
        <v>6724</v>
      </c>
      <c r="C439" s="4379"/>
      <c r="D439" s="4379"/>
      <c r="E439" s="4379"/>
      <c r="F439" s="4379"/>
      <c r="G439" s="4379"/>
      <c r="H439" s="4379"/>
      <c r="I439" s="4379"/>
      <c r="J439" s="4379"/>
      <c r="K439" s="4379"/>
      <c r="L439" s="4379"/>
      <c r="M439" s="4379"/>
      <c r="N439" s="4379"/>
      <c r="O439" s="84" t="s">
        <v>230</v>
      </c>
      <c r="P439" s="2595"/>
      <c r="Q439" s="2593"/>
    </row>
    <row r="440" spans="1:31" ht="11.25" customHeight="1">
      <c r="A440" s="77"/>
      <c r="B440" s="74" t="s">
        <v>1457</v>
      </c>
      <c r="C440" s="77"/>
      <c r="D440" s="74"/>
      <c r="E440" s="74"/>
      <c r="F440" s="74"/>
      <c r="G440" s="74"/>
      <c r="H440" s="16"/>
      <c r="I440" s="2596"/>
      <c r="J440" s="2596"/>
      <c r="K440" s="2596"/>
      <c r="L440" s="501"/>
      <c r="M440" s="501"/>
      <c r="N440" s="501"/>
      <c r="O440" s="501"/>
      <c r="P440" s="501"/>
      <c r="Q440" s="501"/>
      <c r="R440" s="77"/>
      <c r="S440" s="77"/>
      <c r="T440" s="77"/>
      <c r="U440" s="77"/>
      <c r="V440" s="77"/>
      <c r="W440" s="77"/>
      <c r="X440" s="77"/>
      <c r="Y440" s="77"/>
      <c r="Z440" s="77"/>
      <c r="AA440" s="77"/>
      <c r="AB440" s="77"/>
      <c r="AC440" s="77"/>
      <c r="AD440" s="77"/>
      <c r="AE440" s="77"/>
    </row>
    <row r="441" spans="1:31" ht="12.75" customHeight="1">
      <c r="A441" s="4390"/>
      <c r="B441" s="4391"/>
      <c r="C441" s="4391"/>
      <c r="D441" s="4391"/>
      <c r="E441" s="4391"/>
      <c r="F441" s="4391"/>
      <c r="G441" s="4391"/>
      <c r="H441" s="4391"/>
      <c r="I441" s="4391"/>
      <c r="J441" s="4391"/>
      <c r="K441" s="4391"/>
      <c r="L441" s="4391"/>
      <c r="M441" s="4391"/>
      <c r="N441" s="4391"/>
      <c r="O441" s="4391"/>
      <c r="P441" s="4391"/>
      <c r="Q441" s="4392"/>
      <c r="R441" s="248" t="s">
        <v>6410</v>
      </c>
      <c r="S441" s="249"/>
      <c r="T441" s="77"/>
      <c r="U441" s="69"/>
      <c r="V441" s="69"/>
      <c r="W441" s="69"/>
      <c r="X441" s="69"/>
      <c r="Y441" s="69"/>
      <c r="Z441" s="69"/>
      <c r="AA441" s="69"/>
      <c r="AB441" s="69"/>
      <c r="AC441" s="69"/>
      <c r="AD441" s="69"/>
      <c r="AE441" s="69"/>
    </row>
    <row r="442" spans="1:31" ht="11.25" customHeight="1">
      <c r="A442" s="77"/>
      <c r="B442" s="70" t="s">
        <v>1453</v>
      </c>
      <c r="C442" s="71"/>
      <c r="D442" s="2586"/>
      <c r="E442" s="2586"/>
      <c r="F442" s="2586"/>
      <c r="G442" s="2586"/>
      <c r="H442" s="2586"/>
      <c r="I442" s="2586"/>
      <c r="J442" s="2586"/>
      <c r="K442" s="2586"/>
      <c r="L442" s="2586"/>
      <c r="M442" s="2586"/>
      <c r="N442" s="2586"/>
      <c r="O442" s="2586"/>
      <c r="P442" s="2586"/>
      <c r="Q442" s="2586"/>
      <c r="R442" s="77"/>
      <c r="S442" s="77"/>
      <c r="T442" s="77"/>
      <c r="U442" s="77"/>
      <c r="V442" s="77"/>
      <c r="W442" s="77"/>
      <c r="X442" s="77"/>
      <c r="Y442" s="77"/>
      <c r="Z442" s="77"/>
      <c r="AA442" s="77"/>
      <c r="AB442" s="77"/>
      <c r="AC442" s="77"/>
      <c r="AD442" s="77"/>
      <c r="AE442" s="77"/>
    </row>
    <row r="443" spans="1:31" ht="12.75" customHeight="1">
      <c r="A443" s="4387"/>
      <c r="B443" s="4388"/>
      <c r="C443" s="4388"/>
      <c r="D443" s="4388"/>
      <c r="E443" s="4388"/>
      <c r="F443" s="4388"/>
      <c r="G443" s="4388"/>
      <c r="H443" s="4388"/>
      <c r="I443" s="4388"/>
      <c r="J443" s="4388"/>
      <c r="K443" s="4388"/>
      <c r="L443" s="4388"/>
      <c r="M443" s="4388"/>
      <c r="N443" s="4388"/>
      <c r="O443" s="4388"/>
      <c r="P443" s="4388"/>
      <c r="Q443" s="4389"/>
      <c r="R443" s="77"/>
      <c r="S443" s="77"/>
      <c r="T443" s="77"/>
      <c r="U443" s="77"/>
      <c r="V443" s="77"/>
      <c r="W443" s="77"/>
      <c r="X443" s="77"/>
      <c r="Y443" s="77"/>
      <c r="Z443" s="77"/>
      <c r="AA443" s="77"/>
      <c r="AB443" s="77"/>
      <c r="AC443" s="77"/>
      <c r="AD443" s="77"/>
      <c r="AE443" s="77"/>
    </row>
    <row r="444" spans="1:31" ht="3" customHeight="1">
      <c r="A444" s="501"/>
      <c r="B444" s="2596"/>
      <c r="C444" s="2586"/>
      <c r="D444" s="2586"/>
      <c r="E444" s="2586"/>
      <c r="F444" s="2586"/>
      <c r="G444" s="2586"/>
      <c r="H444" s="2586"/>
      <c r="I444" s="2586"/>
      <c r="J444" s="2586"/>
      <c r="K444" s="2586"/>
      <c r="L444" s="2586"/>
      <c r="M444" s="2586"/>
      <c r="N444" s="77"/>
      <c r="O444" s="77"/>
      <c r="P444" s="77"/>
      <c r="Q444" s="501"/>
      <c r="R444" s="77"/>
      <c r="S444" s="77"/>
      <c r="T444" s="77"/>
      <c r="U444" s="77"/>
      <c r="V444" s="77"/>
      <c r="W444" s="77"/>
      <c r="X444" s="77"/>
      <c r="Y444" s="77"/>
      <c r="Z444" s="77"/>
      <c r="AA444" s="77"/>
      <c r="AB444" s="77"/>
      <c r="AC444" s="77"/>
      <c r="AD444" s="77"/>
      <c r="AE444" s="77"/>
    </row>
    <row r="445" spans="1:31" ht="14.1" customHeight="1">
      <c r="A445" s="2521" t="s">
        <v>1606</v>
      </c>
      <c r="B445" s="3"/>
      <c r="C445" s="3" t="s">
        <v>1614</v>
      </c>
      <c r="D445" s="38"/>
      <c r="E445" s="2586"/>
      <c r="F445" s="2586"/>
      <c r="G445" s="2586"/>
      <c r="H445" s="2586"/>
      <c r="I445" s="77"/>
      <c r="J445" s="2586"/>
      <c r="K445" s="2586"/>
      <c r="L445" s="2586"/>
      <c r="M445" s="2586"/>
      <c r="N445" s="77"/>
      <c r="O445" s="66" t="s">
        <v>1451</v>
      </c>
      <c r="P445" s="4382"/>
      <c r="Q445" s="4383"/>
      <c r="R445" s="77"/>
      <c r="S445" s="77"/>
      <c r="T445" s="77"/>
      <c r="U445" s="77"/>
      <c r="V445" s="77"/>
      <c r="W445" s="77"/>
      <c r="X445" s="77"/>
      <c r="Y445" s="77"/>
      <c r="Z445" s="77"/>
      <c r="AA445" s="77"/>
      <c r="AB445" s="77"/>
      <c r="AC445" s="77"/>
      <c r="AD445" s="77"/>
      <c r="AE445" s="77"/>
    </row>
    <row r="446" spans="1:31" ht="11.25" customHeight="1">
      <c r="A446" s="2521"/>
      <c r="B446" s="74" t="s">
        <v>1457</v>
      </c>
      <c r="C446" s="77"/>
      <c r="D446" s="74"/>
      <c r="E446" s="74"/>
      <c r="F446" s="74"/>
      <c r="G446" s="74"/>
      <c r="H446" s="16"/>
      <c r="I446" s="2596"/>
      <c r="J446" s="2596"/>
      <c r="K446" s="2596"/>
      <c r="L446" s="501"/>
      <c r="M446" s="501"/>
      <c r="N446" s="501"/>
      <c r="O446" s="501"/>
      <c r="P446" s="501"/>
      <c r="Q446" s="501"/>
      <c r="R446" s="77"/>
      <c r="S446" s="77"/>
      <c r="T446" s="77"/>
      <c r="U446" s="77"/>
      <c r="V446" s="77"/>
      <c r="W446" s="77"/>
      <c r="X446" s="77"/>
      <c r="Y446" s="77"/>
      <c r="Z446" s="77"/>
      <c r="AA446" s="77"/>
      <c r="AB446" s="77"/>
      <c r="AC446" s="77"/>
      <c r="AD446" s="77"/>
      <c r="AE446" s="77"/>
    </row>
    <row r="447" spans="1:31" ht="12" customHeight="1">
      <c r="A447" s="4390"/>
      <c r="B447" s="4391"/>
      <c r="C447" s="4391"/>
      <c r="D447" s="4391"/>
      <c r="E447" s="4391"/>
      <c r="F447" s="4391"/>
      <c r="G447" s="4391"/>
      <c r="H447" s="4391"/>
      <c r="I447" s="4391"/>
      <c r="J447" s="4391"/>
      <c r="K447" s="4391"/>
      <c r="L447" s="4391"/>
      <c r="M447" s="4391"/>
      <c r="N447" s="4391"/>
      <c r="O447" s="4391"/>
      <c r="P447" s="4391"/>
      <c r="Q447" s="4392"/>
      <c r="R447" s="248" t="s">
        <v>6410</v>
      </c>
      <c r="S447" s="249"/>
      <c r="T447" s="77"/>
      <c r="U447" s="69"/>
      <c r="V447" s="69"/>
      <c r="W447" s="69"/>
      <c r="X447" s="69"/>
      <c r="Y447" s="69"/>
      <c r="Z447" s="69"/>
      <c r="AA447" s="69"/>
      <c r="AB447" s="69"/>
      <c r="AC447" s="69"/>
      <c r="AD447" s="69"/>
      <c r="AE447" s="69"/>
    </row>
    <row r="448" spans="1:31" ht="11.25" customHeight="1">
      <c r="A448" s="77"/>
      <c r="B448" s="70" t="s">
        <v>1453</v>
      </c>
      <c r="C448" s="71"/>
      <c r="D448" s="2586"/>
      <c r="E448" s="2586"/>
      <c r="F448" s="2586"/>
      <c r="G448" s="2586"/>
      <c r="H448" s="2586"/>
      <c r="I448" s="2586"/>
      <c r="J448" s="2586"/>
      <c r="K448" s="2586"/>
      <c r="L448" s="2586"/>
      <c r="M448" s="2586"/>
      <c r="N448" s="2586"/>
      <c r="O448" s="2586"/>
      <c r="P448" s="2586"/>
      <c r="Q448" s="2586"/>
      <c r="R448" s="77"/>
      <c r="S448" s="77"/>
      <c r="T448" s="77"/>
      <c r="U448" s="77"/>
      <c r="V448" s="77"/>
      <c r="W448" s="77"/>
      <c r="X448" s="77"/>
      <c r="Y448" s="77"/>
      <c r="Z448" s="77"/>
      <c r="AA448" s="77"/>
      <c r="AB448" s="77"/>
      <c r="AC448" s="77"/>
      <c r="AD448" s="77"/>
      <c r="AE448" s="77"/>
    </row>
    <row r="449" spans="1:18" ht="12" customHeight="1">
      <c r="A449" s="4387"/>
      <c r="B449" s="4388"/>
      <c r="C449" s="4388"/>
      <c r="D449" s="4388"/>
      <c r="E449" s="4388"/>
      <c r="F449" s="4388"/>
      <c r="G449" s="4388"/>
      <c r="H449" s="4388"/>
      <c r="I449" s="4388"/>
      <c r="J449" s="4388"/>
      <c r="K449" s="4388"/>
      <c r="L449" s="4388"/>
      <c r="M449" s="4388"/>
      <c r="N449" s="4388"/>
      <c r="O449" s="4388"/>
      <c r="P449" s="4388"/>
      <c r="Q449" s="4389"/>
      <c r="R449" s="77"/>
    </row>
    <row r="450" spans="1:18" ht="3" customHeight="1">
      <c r="A450" s="501"/>
      <c r="B450" s="2596"/>
      <c r="C450" s="2586"/>
      <c r="D450" s="2586"/>
      <c r="E450" s="2586"/>
      <c r="F450" s="2586"/>
      <c r="G450" s="2586"/>
      <c r="H450" s="2586"/>
      <c r="I450" s="2586"/>
      <c r="J450" s="2586"/>
      <c r="K450" s="2586"/>
      <c r="L450" s="2586"/>
      <c r="M450" s="2586"/>
      <c r="N450" s="2586"/>
      <c r="O450" s="2586"/>
      <c r="P450" s="2586"/>
      <c r="Q450" s="501"/>
      <c r="R450" s="77"/>
    </row>
    <row r="451" spans="1:18" ht="3" customHeight="1">
      <c r="A451" s="501"/>
      <c r="B451" s="2596"/>
      <c r="C451" s="2586"/>
      <c r="D451" s="2586"/>
      <c r="E451" s="2586"/>
      <c r="F451" s="2586"/>
      <c r="G451" s="2586"/>
      <c r="H451" s="2586"/>
      <c r="I451" s="2586"/>
      <c r="J451" s="2586"/>
      <c r="K451" s="2586"/>
      <c r="L451" s="2586"/>
      <c r="M451" s="2586"/>
      <c r="N451" s="2586"/>
      <c r="O451" s="2586"/>
      <c r="P451" s="2586"/>
      <c r="Q451" s="501"/>
      <c r="R451" s="77"/>
    </row>
    <row r="452" spans="1:18">
      <c r="A452" s="77"/>
      <c r="B452" s="77"/>
      <c r="C452" s="77"/>
      <c r="D452" s="77"/>
      <c r="E452" s="77"/>
      <c r="F452" s="77"/>
      <c r="G452" s="77"/>
      <c r="H452" s="77"/>
      <c r="I452" s="77"/>
      <c r="J452" s="77"/>
      <c r="K452" s="77"/>
      <c r="L452" s="77"/>
      <c r="M452" s="77"/>
      <c r="N452" s="77"/>
      <c r="O452" s="77"/>
      <c r="P452" s="77"/>
      <c r="Q452" s="77"/>
      <c r="R452" s="77"/>
    </row>
    <row r="453" spans="1:18">
      <c r="A453" s="77"/>
      <c r="B453" s="77"/>
      <c r="C453" s="77"/>
      <c r="D453" s="77"/>
      <c r="E453" s="77"/>
      <c r="F453" s="77"/>
      <c r="G453" s="77"/>
      <c r="H453" s="77"/>
      <c r="I453" s="77"/>
      <c r="J453" s="77"/>
      <c r="K453" s="77"/>
      <c r="L453" s="77"/>
      <c r="M453" s="77"/>
      <c r="N453" s="77"/>
      <c r="O453" s="77"/>
      <c r="P453" s="77"/>
      <c r="Q453" s="77"/>
      <c r="R453" s="77"/>
    </row>
    <row r="454" spans="1:18">
      <c r="A454" s="77"/>
      <c r="B454" s="77"/>
      <c r="C454" s="77"/>
      <c r="D454" s="77"/>
      <c r="E454" s="77"/>
      <c r="F454" s="77"/>
      <c r="G454" s="77"/>
      <c r="H454" s="77"/>
      <c r="I454" s="77"/>
      <c r="J454" s="77"/>
      <c r="K454" s="77"/>
      <c r="L454" s="77"/>
      <c r="M454" s="77"/>
      <c r="N454" s="77"/>
      <c r="O454" s="77"/>
      <c r="P454" s="77"/>
      <c r="Q454" s="77"/>
      <c r="R454" s="77"/>
    </row>
    <row r="455" spans="1:18">
      <c r="A455" s="77"/>
      <c r="B455" s="77"/>
      <c r="C455" s="251"/>
      <c r="D455" s="251"/>
      <c r="E455" s="251"/>
      <c r="F455" s="251"/>
      <c r="G455" s="251"/>
      <c r="H455" s="251"/>
      <c r="I455" s="251"/>
      <c r="J455" s="251"/>
      <c r="K455" s="251"/>
      <c r="L455" s="251"/>
      <c r="M455" s="251"/>
      <c r="N455" s="251"/>
      <c r="O455" s="251"/>
      <c r="P455" s="251"/>
      <c r="Q455" s="251"/>
      <c r="R455" s="77"/>
    </row>
    <row r="456" spans="1:18" s="590" customFormat="1" ht="10.199999999999999">
      <c r="A456" s="25"/>
      <c r="B456" s="25"/>
      <c r="C456" s="590" t="s">
        <v>721</v>
      </c>
      <c r="J456" s="1284" t="s">
        <v>1615</v>
      </c>
      <c r="N456" s="591"/>
      <c r="O456" s="1284" t="s">
        <v>1616</v>
      </c>
      <c r="P456" s="1285"/>
      <c r="R456" s="25"/>
    </row>
    <row r="457" spans="1:18" s="590" customFormat="1" ht="10.199999999999999">
      <c r="A457" s="25"/>
      <c r="B457" s="25"/>
      <c r="C457" s="1286" t="s">
        <v>1617</v>
      </c>
      <c r="J457" s="1284" t="s">
        <v>1618</v>
      </c>
      <c r="N457" s="591"/>
      <c r="O457" s="1284" t="s">
        <v>1619</v>
      </c>
      <c r="P457" s="1285"/>
      <c r="R457" s="25"/>
    </row>
    <row r="458" spans="1:18" s="590" customFormat="1" ht="10.199999999999999">
      <c r="A458" s="25"/>
      <c r="B458" s="25"/>
      <c r="C458" s="1286" t="s">
        <v>1620</v>
      </c>
      <c r="J458" s="1284" t="s">
        <v>1621</v>
      </c>
      <c r="N458" s="591"/>
      <c r="O458" s="1284" t="s">
        <v>1622</v>
      </c>
      <c r="P458" s="1285"/>
      <c r="R458" s="25"/>
    </row>
    <row r="459" spans="1:18" s="590" customFormat="1" ht="10.199999999999999">
      <c r="A459" s="25"/>
      <c r="B459" s="25"/>
      <c r="C459" s="1286" t="s">
        <v>1623</v>
      </c>
      <c r="J459" s="1284" t="s">
        <v>1624</v>
      </c>
      <c r="N459" s="591"/>
      <c r="O459" s="1284" t="s">
        <v>1625</v>
      </c>
      <c r="P459" s="1285"/>
      <c r="R459" s="25"/>
    </row>
    <row r="460" spans="1:18" s="590" customFormat="1" ht="10.199999999999999">
      <c r="A460" s="25"/>
      <c r="B460" s="25"/>
      <c r="C460" s="1286" t="s">
        <v>1626</v>
      </c>
      <c r="J460" s="1284" t="s">
        <v>1627</v>
      </c>
      <c r="N460" s="591"/>
      <c r="O460" s="1284" t="s">
        <v>1628</v>
      </c>
      <c r="P460" s="1285"/>
      <c r="R460" s="25"/>
    </row>
    <row r="461" spans="1:18" s="590" customFormat="1" ht="10.199999999999999">
      <c r="A461" s="25"/>
      <c r="B461" s="25"/>
      <c r="C461" s="1286" t="s">
        <v>1629</v>
      </c>
      <c r="J461" s="1284" t="s">
        <v>1630</v>
      </c>
      <c r="N461" s="591"/>
      <c r="O461" s="1284" t="s">
        <v>1631</v>
      </c>
      <c r="P461" s="1285"/>
      <c r="R461" s="25"/>
    </row>
    <row r="462" spans="1:18" s="590" customFormat="1" ht="10.199999999999999">
      <c r="A462" s="25"/>
      <c r="B462" s="25"/>
      <c r="C462" s="1286" t="s">
        <v>1632</v>
      </c>
      <c r="J462" s="1284" t="s">
        <v>1633</v>
      </c>
      <c r="N462" s="591"/>
      <c r="O462" s="1284" t="s">
        <v>1634</v>
      </c>
      <c r="P462" s="1285"/>
      <c r="R462" s="25"/>
    </row>
    <row r="463" spans="1:18" s="590" customFormat="1" ht="10.199999999999999">
      <c r="A463" s="25"/>
      <c r="B463" s="25"/>
      <c r="C463" s="1286" t="s">
        <v>1635</v>
      </c>
      <c r="J463" s="1284" t="s">
        <v>1636</v>
      </c>
      <c r="N463" s="591"/>
      <c r="O463" s="590" t="s">
        <v>1637</v>
      </c>
      <c r="P463" s="1285"/>
      <c r="R463" s="25"/>
    </row>
    <row r="464" spans="1:18" s="590" customFormat="1" ht="10.199999999999999">
      <c r="A464" s="25"/>
      <c r="B464" s="25"/>
      <c r="C464" s="1286" t="s">
        <v>1638</v>
      </c>
      <c r="J464" s="1284" t="s">
        <v>1639</v>
      </c>
      <c r="N464" s="591"/>
      <c r="O464" s="590" t="s">
        <v>1640</v>
      </c>
      <c r="P464" s="1285"/>
      <c r="R464" s="25"/>
    </row>
    <row r="465" spans="1:22" s="590" customFormat="1" ht="10.199999999999999">
      <c r="A465" s="25"/>
      <c r="B465" s="25"/>
      <c r="C465" s="1286" t="s">
        <v>1641</v>
      </c>
      <c r="J465" s="1284" t="s">
        <v>1642</v>
      </c>
      <c r="N465" s="591"/>
      <c r="O465" s="1284"/>
      <c r="P465" s="1285"/>
      <c r="R465" s="25"/>
    </row>
    <row r="466" spans="1:22" s="590" customFormat="1" ht="10.199999999999999">
      <c r="A466" s="25"/>
      <c r="B466" s="25"/>
      <c r="C466" s="1286" t="s">
        <v>1643</v>
      </c>
      <c r="J466" s="1284" t="s">
        <v>1644</v>
      </c>
      <c r="N466" s="591"/>
      <c r="O466" s="1285"/>
      <c r="P466" s="1285"/>
      <c r="R466" s="25"/>
    </row>
    <row r="467" spans="1:22" s="590" customFormat="1" ht="10.199999999999999">
      <c r="A467" s="25"/>
      <c r="B467" s="25"/>
      <c r="C467" s="1286" t="s">
        <v>1645</v>
      </c>
      <c r="J467" s="1284" t="s">
        <v>1646</v>
      </c>
      <c r="N467" s="591"/>
      <c r="O467" s="1284"/>
      <c r="P467" s="1285"/>
      <c r="R467" s="25"/>
    </row>
    <row r="468" spans="1:22" s="590" customFormat="1" ht="10.199999999999999">
      <c r="A468" s="25"/>
      <c r="B468" s="25"/>
      <c r="C468" s="1286" t="s">
        <v>1648</v>
      </c>
      <c r="N468" s="591"/>
      <c r="O468" s="1285"/>
      <c r="P468" s="1285"/>
      <c r="R468" s="25"/>
    </row>
    <row r="469" spans="1:22" s="590" customFormat="1" ht="10.199999999999999">
      <c r="A469" s="25"/>
      <c r="B469" s="25"/>
      <c r="N469" s="591"/>
      <c r="O469" s="1285"/>
      <c r="P469" s="1285"/>
      <c r="R469" s="25"/>
    </row>
    <row r="470" spans="1:22" s="590" customFormat="1" ht="10.199999999999999">
      <c r="A470" s="25"/>
      <c r="B470" s="25"/>
      <c r="R470" s="25"/>
      <c r="S470" s="25"/>
      <c r="T470" s="25"/>
      <c r="U470" s="25"/>
      <c r="V470" s="25"/>
    </row>
    <row r="471" spans="1:22" s="590" customFormat="1" ht="10.199999999999999">
      <c r="A471" s="25"/>
      <c r="B471" s="25"/>
      <c r="C471" s="1287" t="s">
        <v>1652</v>
      </c>
      <c r="R471" s="25"/>
    </row>
    <row r="472" spans="1:22" s="590" customFormat="1" ht="10.199999999999999">
      <c r="A472" s="25"/>
      <c r="B472" s="25"/>
      <c r="C472" s="590" t="s">
        <v>1653</v>
      </c>
      <c r="R472" s="25"/>
    </row>
    <row r="473" spans="1:22" s="590" customFormat="1" ht="10.199999999999999">
      <c r="A473" s="25"/>
      <c r="B473" s="25"/>
      <c r="C473" s="1286" t="s">
        <v>1654</v>
      </c>
      <c r="R473" s="25"/>
    </row>
    <row r="474" spans="1:22" s="590" customFormat="1" ht="10.199999999999999">
      <c r="A474" s="25"/>
      <c r="B474" s="25"/>
      <c r="C474" s="1286" t="s">
        <v>1655</v>
      </c>
      <c r="L474" s="1286"/>
      <c r="R474" s="25"/>
    </row>
    <row r="475" spans="1:22" s="590" customFormat="1" ht="10.199999999999999">
      <c r="A475" s="25"/>
      <c r="B475" s="25"/>
      <c r="C475" s="1286" t="s">
        <v>1656</v>
      </c>
      <c r="L475" s="1286"/>
      <c r="R475" s="25"/>
    </row>
    <row r="476" spans="1:22" s="590" customFormat="1" ht="10.199999999999999">
      <c r="A476" s="25"/>
      <c r="B476" s="25"/>
      <c r="C476" s="1286" t="s">
        <v>1657</v>
      </c>
      <c r="L476" s="1286"/>
      <c r="R476" s="25"/>
    </row>
    <row r="477" spans="1:22" s="590" customFormat="1" ht="10.199999999999999">
      <c r="A477" s="25"/>
      <c r="B477" s="25"/>
      <c r="C477" s="1286" t="s">
        <v>1658</v>
      </c>
      <c r="L477" s="1286"/>
      <c r="R477" s="25"/>
    </row>
    <row r="478" spans="1:22" s="590" customFormat="1" ht="10.199999999999999">
      <c r="A478" s="25"/>
      <c r="B478" s="25"/>
      <c r="C478" s="590" t="s">
        <v>1659</v>
      </c>
      <c r="L478" s="1286"/>
      <c r="R478" s="25"/>
    </row>
    <row r="479" spans="1:22" s="590" customFormat="1" ht="10.199999999999999">
      <c r="A479" s="25"/>
      <c r="B479" s="25"/>
      <c r="C479" s="590" t="s">
        <v>1660</v>
      </c>
      <c r="R479" s="25"/>
    </row>
    <row r="480" spans="1:22" s="590" customFormat="1" ht="10.199999999999999">
      <c r="A480" s="25"/>
      <c r="B480" s="25"/>
      <c r="C480" s="1286" t="s">
        <v>1661</v>
      </c>
      <c r="L480" s="1286"/>
      <c r="R480" s="25"/>
    </row>
    <row r="481" spans="1:18" s="590" customFormat="1" ht="10.199999999999999">
      <c r="A481" s="25"/>
      <c r="B481" s="25"/>
      <c r="C481" s="590" t="s">
        <v>1662</v>
      </c>
      <c r="L481" s="1286"/>
      <c r="R481" s="25"/>
    </row>
    <row r="482" spans="1:18" s="590" customFormat="1" ht="10.199999999999999">
      <c r="A482" s="25"/>
      <c r="B482" s="25"/>
      <c r="C482" s="590" t="s">
        <v>1658</v>
      </c>
      <c r="L482" s="1286"/>
      <c r="R482" s="25"/>
    </row>
    <row r="483" spans="1:18" s="590" customFormat="1" ht="10.199999999999999">
      <c r="A483" s="25"/>
      <c r="B483" s="25"/>
      <c r="C483" s="590" t="s">
        <v>1663</v>
      </c>
      <c r="L483" s="1286"/>
      <c r="R483" s="25"/>
    </row>
    <row r="484" spans="1:18" s="590" customFormat="1" ht="10.199999999999999">
      <c r="A484" s="25"/>
      <c r="B484" s="25"/>
      <c r="C484" s="590" t="s">
        <v>1664</v>
      </c>
      <c r="R484" s="25"/>
    </row>
    <row r="485" spans="1:18" s="590" customFormat="1" ht="10.199999999999999">
      <c r="A485" s="25"/>
      <c r="B485" s="25"/>
      <c r="C485" s="1286" t="s">
        <v>1665</v>
      </c>
      <c r="L485" s="1286"/>
      <c r="R485" s="25"/>
    </row>
    <row r="486" spans="1:18" s="590" customFormat="1" ht="10.199999999999999">
      <c r="A486" s="25"/>
      <c r="B486" s="25"/>
      <c r="C486" s="590" t="s">
        <v>1666</v>
      </c>
      <c r="L486" s="1286"/>
      <c r="R486" s="25"/>
    </row>
    <row r="487" spans="1:18" s="590" customFormat="1" ht="10.199999999999999">
      <c r="A487" s="25"/>
      <c r="B487" s="25"/>
      <c r="C487" s="590" t="s">
        <v>1667</v>
      </c>
      <c r="L487" s="1286"/>
      <c r="R487" s="25"/>
    </row>
    <row r="488" spans="1:18" s="590" customFormat="1" ht="10.199999999999999">
      <c r="A488" s="25"/>
      <c r="B488" s="25"/>
      <c r="C488" s="590" t="s">
        <v>1668</v>
      </c>
      <c r="K488" s="1287" t="s">
        <v>1669</v>
      </c>
      <c r="L488" s="1286"/>
      <c r="R488" s="25"/>
    </row>
    <row r="489" spans="1:18" s="590" customFormat="1" ht="10.199999999999999">
      <c r="A489" s="25"/>
      <c r="B489" s="25"/>
      <c r="C489" s="590" t="s">
        <v>1670</v>
      </c>
      <c r="K489" s="590" t="s">
        <v>1555</v>
      </c>
      <c r="L489" s="1286"/>
      <c r="R489" s="25"/>
    </row>
    <row r="490" spans="1:18" s="590" customFormat="1" ht="10.199999999999999">
      <c r="A490" s="25"/>
      <c r="B490" s="25"/>
      <c r="C490" s="590" t="s">
        <v>1671</v>
      </c>
      <c r="K490" s="590" t="s">
        <v>6725</v>
      </c>
      <c r="R490" s="25"/>
    </row>
    <row r="491" spans="1:18" s="590" customFormat="1" ht="10.199999999999999">
      <c r="A491" s="25"/>
      <c r="B491" s="25"/>
      <c r="C491" s="1286" t="s">
        <v>1673</v>
      </c>
      <c r="K491" s="590" t="s">
        <v>1674</v>
      </c>
      <c r="R491" s="25"/>
    </row>
    <row r="492" spans="1:18" s="590" customFormat="1" ht="10.199999999999999">
      <c r="A492" s="25"/>
      <c r="B492" s="25"/>
      <c r="R492" s="25"/>
    </row>
    <row r="493" spans="1:18" s="590" customFormat="1" ht="10.199999999999999">
      <c r="A493" s="25"/>
      <c r="B493" s="25"/>
      <c r="C493" s="1287" t="s">
        <v>1675</v>
      </c>
      <c r="K493" s="1287" t="s">
        <v>1676</v>
      </c>
      <c r="R493" s="25"/>
    </row>
    <row r="494" spans="1:18" s="590" customFormat="1" ht="10.199999999999999">
      <c r="A494" s="25"/>
      <c r="B494" s="25"/>
      <c r="C494" s="590" t="s">
        <v>1677</v>
      </c>
      <c r="K494" s="590" t="s">
        <v>1553</v>
      </c>
      <c r="R494" s="25"/>
    </row>
    <row r="495" spans="1:18" s="590" customFormat="1" ht="10.199999999999999">
      <c r="A495" s="25"/>
      <c r="B495" s="25"/>
      <c r="C495" s="590" t="s">
        <v>1678</v>
      </c>
      <c r="K495" s="590" t="s">
        <v>6726</v>
      </c>
      <c r="R495" s="25"/>
    </row>
    <row r="496" spans="1:18" s="590" customFormat="1" ht="10.199999999999999">
      <c r="A496" s="25"/>
      <c r="B496" s="25"/>
      <c r="C496" s="590" t="s">
        <v>1680</v>
      </c>
      <c r="K496" s="590" t="s">
        <v>6727</v>
      </c>
      <c r="R496" s="25"/>
    </row>
    <row r="497" spans="1:18" s="590" customFormat="1" ht="10.199999999999999">
      <c r="A497" s="25"/>
      <c r="B497" s="25"/>
      <c r="C497" s="590" t="s">
        <v>1682</v>
      </c>
      <c r="K497" s="590" t="s">
        <v>6728</v>
      </c>
      <c r="R497" s="25"/>
    </row>
    <row r="498" spans="1:18" s="590" customFormat="1" ht="10.199999999999999">
      <c r="A498" s="25"/>
      <c r="B498" s="25"/>
      <c r="C498" s="590" t="s">
        <v>1684</v>
      </c>
      <c r="K498" s="590" t="s">
        <v>6729</v>
      </c>
      <c r="R498" s="25"/>
    </row>
    <row r="499" spans="1:18" s="590" customFormat="1" ht="10.199999999999999">
      <c r="A499" s="25"/>
      <c r="B499" s="25"/>
      <c r="K499" s="1287" t="s">
        <v>1686</v>
      </c>
      <c r="R499" s="25"/>
    </row>
    <row r="500" spans="1:18" s="590" customFormat="1" ht="10.199999999999999">
      <c r="A500" s="25"/>
      <c r="B500" s="25"/>
      <c r="K500" s="590" t="s">
        <v>1687</v>
      </c>
      <c r="R500" s="25"/>
    </row>
    <row r="501" spans="1:18" s="590" customFormat="1" ht="10.199999999999999">
      <c r="A501" s="25"/>
      <c r="B501" s="25"/>
      <c r="K501" s="590" t="s">
        <v>1688</v>
      </c>
      <c r="R501" s="25"/>
    </row>
    <row r="502" spans="1:18" s="590" customFormat="1" ht="10.199999999999999">
      <c r="A502" s="25"/>
      <c r="B502" s="25"/>
      <c r="K502" s="590" t="s">
        <v>1689</v>
      </c>
      <c r="R502" s="25"/>
    </row>
    <row r="503" spans="1:18" s="590" customFormat="1" ht="10.199999999999999">
      <c r="A503" s="25"/>
      <c r="B503" s="25"/>
      <c r="K503" s="590" t="s">
        <v>1690</v>
      </c>
      <c r="R503" s="25"/>
    </row>
    <row r="504" spans="1:18" s="590" customFormat="1" ht="10.199999999999999">
      <c r="A504" s="25"/>
      <c r="B504" s="25"/>
      <c r="K504" s="590" t="s">
        <v>1691</v>
      </c>
      <c r="R504" s="25"/>
    </row>
    <row r="505" spans="1:18" s="590" customFormat="1" ht="10.199999999999999">
      <c r="A505" s="25"/>
      <c r="B505" s="25"/>
      <c r="R505" s="25"/>
    </row>
    <row r="506" spans="1:18" s="590" customFormat="1" ht="10.199999999999999">
      <c r="A506" s="25"/>
      <c r="B506" s="25"/>
      <c r="C506" s="1287" t="s">
        <v>1692</v>
      </c>
      <c r="M506" s="1287" t="s">
        <v>1693</v>
      </c>
      <c r="R506" s="25"/>
    </row>
    <row r="507" spans="1:18" s="590" customFormat="1" ht="10.199999999999999">
      <c r="A507" s="25"/>
      <c r="B507" s="25"/>
      <c r="C507" s="590" t="s">
        <v>1512</v>
      </c>
      <c r="M507" s="590" t="s">
        <v>1512</v>
      </c>
      <c r="R507" s="25"/>
    </row>
    <row r="508" spans="1:18" s="590" customFormat="1" ht="10.199999999999999">
      <c r="A508" s="25"/>
      <c r="B508" s="25"/>
      <c r="C508" s="590" t="s">
        <v>1694</v>
      </c>
      <c r="M508" s="590" t="s">
        <v>1695</v>
      </c>
      <c r="R508" s="25"/>
    </row>
    <row r="509" spans="1:18" s="590" customFormat="1" ht="10.199999999999999">
      <c r="A509" s="25"/>
      <c r="B509" s="25"/>
      <c r="C509" s="590" t="s">
        <v>1696</v>
      </c>
      <c r="M509" s="590" t="s">
        <v>1697</v>
      </c>
      <c r="R509" s="25"/>
    </row>
    <row r="510" spans="1:18" s="590" customFormat="1" ht="10.199999999999999">
      <c r="A510" s="25"/>
      <c r="B510" s="25"/>
      <c r="C510" s="590" t="s">
        <v>1698</v>
      </c>
      <c r="M510" s="590" t="s">
        <v>1699</v>
      </c>
      <c r="R510" s="25"/>
    </row>
    <row r="511" spans="1:18" s="590" customFormat="1" ht="10.199999999999999">
      <c r="A511" s="25"/>
      <c r="B511" s="25"/>
      <c r="C511" s="590" t="s">
        <v>1700</v>
      </c>
      <c r="M511" s="590" t="s">
        <v>1701</v>
      </c>
      <c r="R511" s="25"/>
    </row>
    <row r="512" spans="1:18" s="590" customFormat="1" ht="10.199999999999999">
      <c r="A512" s="25"/>
      <c r="B512" s="25"/>
      <c r="C512" s="590" t="s">
        <v>1702</v>
      </c>
      <c r="M512" s="590" t="s">
        <v>1703</v>
      </c>
      <c r="R512" s="25"/>
    </row>
    <row r="513" spans="1:18" s="590" customFormat="1" ht="10.199999999999999">
      <c r="A513" s="25"/>
      <c r="B513" s="25"/>
      <c r="C513" s="590" t="s">
        <v>1704</v>
      </c>
      <c r="M513" s="590" t="s">
        <v>1705</v>
      </c>
      <c r="R513" s="25"/>
    </row>
    <row r="514" spans="1:18" s="590" customFormat="1" ht="10.199999999999999">
      <c r="A514" s="25"/>
      <c r="B514" s="25"/>
      <c r="C514" s="590" t="s">
        <v>1706</v>
      </c>
      <c r="M514" s="590" t="s">
        <v>1707</v>
      </c>
      <c r="R514" s="25"/>
    </row>
    <row r="515" spans="1:18" s="590" customFormat="1" ht="10.199999999999999">
      <c r="A515" s="25"/>
      <c r="B515" s="25"/>
      <c r="M515" s="590" t="s">
        <v>1646</v>
      </c>
      <c r="R515" s="25"/>
    </row>
    <row r="516" spans="1:18" s="590" customFormat="1" ht="10.199999999999999">
      <c r="A516" s="25"/>
      <c r="B516" s="25"/>
      <c r="R516" s="25"/>
    </row>
    <row r="517" spans="1:18" s="590" customFormat="1" ht="10.199999999999999">
      <c r="A517" s="25"/>
      <c r="B517" s="25"/>
      <c r="R517" s="25"/>
    </row>
    <row r="518" spans="1:18" s="590" customFormat="1" ht="10.199999999999999">
      <c r="A518" s="25"/>
      <c r="B518" s="25"/>
      <c r="M518" s="1288" t="s">
        <v>2102</v>
      </c>
      <c r="R518" s="25"/>
    </row>
    <row r="519" spans="1:18" s="590" customFormat="1" ht="10.199999999999999">
      <c r="A519" s="25"/>
      <c r="B519" s="25"/>
      <c r="M519" s="590" t="s">
        <v>1527</v>
      </c>
      <c r="R519" s="25"/>
    </row>
    <row r="520" spans="1:18" s="590" customFormat="1" ht="10.199999999999999">
      <c r="A520" s="25"/>
      <c r="B520" s="25"/>
      <c r="M520" s="590" t="s">
        <v>2107</v>
      </c>
      <c r="R520" s="25"/>
    </row>
    <row r="521" spans="1:18" s="590" customFormat="1" ht="10.199999999999999">
      <c r="A521" s="25"/>
      <c r="B521" s="25"/>
      <c r="M521" s="590" t="s">
        <v>1709</v>
      </c>
      <c r="R521" s="25"/>
    </row>
    <row r="522" spans="1:18" s="590" customFormat="1" ht="10.199999999999999">
      <c r="A522" s="25"/>
      <c r="B522" s="25"/>
      <c r="M522" s="590" t="s">
        <v>2110</v>
      </c>
      <c r="R522" s="25"/>
    </row>
    <row r="523" spans="1:18" s="590" customFormat="1" ht="10.199999999999999">
      <c r="A523" s="25"/>
      <c r="B523" s="25"/>
      <c r="D523" s="1288" t="s">
        <v>1712</v>
      </c>
      <c r="M523" s="590" t="s">
        <v>1711</v>
      </c>
      <c r="R523" s="25"/>
    </row>
    <row r="524" spans="1:18" s="590" customFormat="1">
      <c r="A524" s="25"/>
      <c r="B524" s="25"/>
      <c r="J524" s="251"/>
      <c r="M524" s="590" t="s">
        <v>2113</v>
      </c>
      <c r="R524" s="25"/>
    </row>
    <row r="525" spans="1:18" s="251" customFormat="1">
      <c r="A525" s="77"/>
      <c r="B525" s="77"/>
      <c r="M525" s="590" t="s">
        <v>1713</v>
      </c>
      <c r="O525" s="590"/>
      <c r="R525" s="77"/>
    </row>
    <row r="526" spans="1:18" s="251" customFormat="1">
      <c r="A526" s="77"/>
      <c r="B526" s="77"/>
      <c r="M526" s="590" t="s">
        <v>2116</v>
      </c>
      <c r="R526" s="77"/>
    </row>
    <row r="527" spans="1:18" s="251" customFormat="1">
      <c r="A527" s="77"/>
      <c r="B527" s="77"/>
      <c r="M527" s="590" t="s">
        <v>1715</v>
      </c>
      <c r="R527" s="77"/>
    </row>
    <row r="528" spans="1:18" s="251" customFormat="1">
      <c r="A528" s="77"/>
      <c r="B528" s="77"/>
      <c r="M528" s="590" t="s">
        <v>2121</v>
      </c>
      <c r="R528" s="77"/>
    </row>
    <row r="529" spans="1:22" s="251" customFormat="1">
      <c r="A529" s="77"/>
      <c r="B529" s="77"/>
      <c r="M529" s="590" t="s">
        <v>2123</v>
      </c>
      <c r="R529" s="77"/>
    </row>
    <row r="530" spans="1:22" s="251" customFormat="1">
      <c r="A530" s="77"/>
      <c r="B530" s="77"/>
      <c r="M530" s="590" t="s">
        <v>2125</v>
      </c>
      <c r="R530" s="77"/>
    </row>
    <row r="531" spans="1:22" s="251" customFormat="1">
      <c r="A531" s="77"/>
      <c r="B531" s="77"/>
      <c r="M531" s="590" t="s">
        <v>2127</v>
      </c>
      <c r="R531" s="77"/>
    </row>
    <row r="532" spans="1:22" s="251" customFormat="1">
      <c r="A532" s="77"/>
      <c r="B532" s="77"/>
      <c r="M532" s="590" t="s">
        <v>2129</v>
      </c>
      <c r="R532" s="77"/>
    </row>
    <row r="533" spans="1:22" s="251" customFormat="1">
      <c r="A533" s="77"/>
      <c r="B533" s="77"/>
      <c r="M533" s="590" t="s">
        <v>6730</v>
      </c>
      <c r="R533" s="77"/>
    </row>
    <row r="534" spans="1:22" s="251" customFormat="1">
      <c r="A534" s="77"/>
      <c r="B534" s="77"/>
      <c r="M534" s="590"/>
      <c r="R534" s="77"/>
    </row>
    <row r="535" spans="1:22" s="251" customFormat="1">
      <c r="A535" s="77"/>
      <c r="B535" s="77"/>
      <c r="R535" s="77"/>
      <c r="S535" s="77"/>
      <c r="T535" s="77"/>
      <c r="U535" s="77"/>
      <c r="V535" s="77"/>
    </row>
    <row r="536" spans="1:22" s="251" customFormat="1">
      <c r="A536" s="77"/>
      <c r="B536" s="77"/>
      <c r="R536" s="77"/>
      <c r="S536" s="77"/>
      <c r="T536" s="77"/>
      <c r="U536" s="77"/>
      <c r="V536" s="77"/>
    </row>
    <row r="537" spans="1:22" s="251" customFormat="1">
      <c r="A537" s="77"/>
      <c r="B537" s="77"/>
      <c r="R537" s="77"/>
      <c r="S537" s="77"/>
      <c r="T537" s="77"/>
      <c r="U537" s="77"/>
      <c r="V537" s="77"/>
    </row>
    <row r="538" spans="1:22" s="251" customFormat="1">
      <c r="A538" s="77"/>
      <c r="B538" s="77"/>
      <c r="R538" s="77"/>
      <c r="S538" s="77"/>
      <c r="T538" s="77"/>
      <c r="U538" s="77"/>
      <c r="V538" s="77"/>
    </row>
    <row r="539" spans="1:22">
      <c r="A539" s="77"/>
      <c r="B539" s="77"/>
      <c r="C539" s="251"/>
      <c r="D539" s="251"/>
      <c r="E539" s="251"/>
      <c r="F539" s="251"/>
      <c r="G539" s="251"/>
      <c r="H539" s="251"/>
      <c r="I539" s="251"/>
      <c r="J539" s="251"/>
      <c r="K539" s="251"/>
      <c r="L539" s="251"/>
      <c r="M539" s="251"/>
      <c r="N539" s="251"/>
      <c r="O539" s="251"/>
      <c r="P539" s="251"/>
      <c r="Q539" s="251"/>
      <c r="R539" s="77"/>
      <c r="S539" s="77"/>
      <c r="T539" s="77"/>
      <c r="U539" s="77"/>
      <c r="V539" s="77"/>
    </row>
    <row r="540" spans="1:22">
      <c r="A540" s="77"/>
      <c r="B540" s="77"/>
      <c r="C540" s="251"/>
      <c r="D540" s="251"/>
      <c r="E540" s="251"/>
      <c r="F540" s="251"/>
      <c r="G540" s="251"/>
      <c r="H540" s="251"/>
      <c r="I540" s="251"/>
      <c r="J540" s="251"/>
      <c r="K540" s="251"/>
      <c r="L540" s="251"/>
      <c r="M540" s="251"/>
      <c r="N540" s="251"/>
      <c r="O540" s="251"/>
      <c r="P540" s="251"/>
      <c r="Q540" s="251"/>
      <c r="R540" s="77"/>
      <c r="S540" s="77"/>
      <c r="T540" s="77"/>
      <c r="U540" s="77"/>
      <c r="V540" s="77"/>
    </row>
    <row r="541" spans="1:22">
      <c r="A541" s="77"/>
      <c r="B541" s="77"/>
      <c r="C541" s="251"/>
      <c r="D541" s="251"/>
      <c r="E541" s="251"/>
      <c r="F541" s="251"/>
      <c r="G541" s="251"/>
      <c r="H541" s="251"/>
      <c r="I541" s="251"/>
      <c r="J541" s="251"/>
      <c r="K541" s="251"/>
      <c r="L541" s="251"/>
      <c r="M541" s="251"/>
      <c r="N541" s="251"/>
      <c r="O541" s="251"/>
      <c r="P541" s="251"/>
      <c r="Q541" s="251"/>
      <c r="R541" s="77"/>
      <c r="S541" s="77"/>
      <c r="T541" s="77"/>
      <c r="U541" s="77"/>
      <c r="V541" s="77"/>
    </row>
    <row r="542" spans="1:22">
      <c r="A542" s="77"/>
      <c r="B542" s="77"/>
      <c r="C542" s="251"/>
      <c r="D542" s="251"/>
      <c r="E542" s="251"/>
      <c r="F542" s="251"/>
      <c r="G542" s="251"/>
      <c r="H542" s="251"/>
      <c r="I542" s="251"/>
      <c r="J542" s="251"/>
      <c r="K542" s="251"/>
      <c r="L542" s="251"/>
      <c r="M542" s="251"/>
      <c r="N542" s="251"/>
      <c r="O542" s="251"/>
      <c r="P542" s="251"/>
      <c r="Q542" s="251"/>
      <c r="R542" s="77"/>
      <c r="S542" s="77"/>
      <c r="T542" s="77"/>
      <c r="U542" s="77"/>
      <c r="V542" s="77"/>
    </row>
    <row r="543" spans="1:22">
      <c r="A543" s="77"/>
      <c r="B543" s="77"/>
      <c r="C543" s="251"/>
      <c r="D543" s="251"/>
      <c r="E543" s="251"/>
      <c r="F543" s="251"/>
      <c r="G543" s="251"/>
      <c r="H543" s="251"/>
      <c r="I543" s="251"/>
      <c r="J543" s="251"/>
      <c r="K543" s="251"/>
      <c r="L543" s="251"/>
      <c r="M543" s="251"/>
      <c r="N543" s="251"/>
      <c r="O543" s="251"/>
      <c r="P543" s="251"/>
      <c r="Q543" s="251"/>
      <c r="R543" s="77"/>
      <c r="S543" s="77"/>
      <c r="T543" s="77"/>
      <c r="U543" s="77"/>
      <c r="V543" s="77"/>
    </row>
    <row r="544" spans="1:22">
      <c r="A544" s="77"/>
      <c r="B544" s="77"/>
      <c r="C544" s="251"/>
      <c r="D544" s="251"/>
      <c r="E544" s="251"/>
      <c r="F544" s="251"/>
      <c r="G544" s="251"/>
      <c r="H544" s="251"/>
      <c r="I544" s="251"/>
      <c r="J544" s="251"/>
      <c r="K544" s="251"/>
      <c r="L544" s="251"/>
      <c r="M544" s="251"/>
      <c r="N544" s="251"/>
      <c r="O544" s="251"/>
      <c r="P544" s="251"/>
      <c r="Q544" s="251"/>
      <c r="R544" s="77"/>
      <c r="S544" s="77"/>
      <c r="T544" s="77"/>
      <c r="U544" s="77"/>
      <c r="V544" s="77"/>
    </row>
    <row r="545" spans="1:22">
      <c r="A545" s="77"/>
      <c r="B545" s="77"/>
      <c r="C545" s="251"/>
      <c r="D545" s="251"/>
      <c r="E545" s="251"/>
      <c r="F545" s="251"/>
      <c r="G545" s="251"/>
      <c r="H545" s="251"/>
      <c r="I545" s="251"/>
      <c r="J545" s="251"/>
      <c r="K545" s="251"/>
      <c r="L545" s="251"/>
      <c r="M545" s="251"/>
      <c r="N545" s="251"/>
      <c r="O545" s="251"/>
      <c r="P545" s="251"/>
      <c r="Q545" s="251"/>
      <c r="R545" s="77"/>
      <c r="S545" s="77"/>
      <c r="T545" s="77"/>
      <c r="U545" s="77"/>
      <c r="V545" s="77"/>
    </row>
    <row r="546" spans="1:22">
      <c r="A546" s="77"/>
      <c r="B546" s="77"/>
      <c r="C546" s="251"/>
      <c r="D546" s="251"/>
      <c r="E546" s="251"/>
      <c r="F546" s="251"/>
      <c r="G546" s="251"/>
      <c r="H546" s="251"/>
      <c r="I546" s="251"/>
      <c r="J546" s="251"/>
      <c r="K546" s="251"/>
      <c r="L546" s="251"/>
      <c r="M546" s="251"/>
      <c r="N546" s="251"/>
      <c r="O546" s="251"/>
      <c r="P546" s="251"/>
      <c r="Q546" s="251"/>
      <c r="R546" s="77"/>
      <c r="S546" s="77"/>
      <c r="T546" s="77"/>
      <c r="U546" s="77"/>
      <c r="V546" s="77"/>
    </row>
    <row r="547" spans="1:22">
      <c r="A547" s="77"/>
      <c r="B547" s="77"/>
      <c r="C547" s="251"/>
      <c r="D547" s="251"/>
      <c r="E547" s="251"/>
      <c r="F547" s="251"/>
      <c r="G547" s="251"/>
      <c r="H547" s="251"/>
      <c r="I547" s="251"/>
      <c r="J547" s="251"/>
      <c r="K547" s="251"/>
      <c r="L547" s="251"/>
      <c r="M547" s="251"/>
      <c r="N547" s="251"/>
      <c r="O547" s="251"/>
      <c r="P547" s="251"/>
      <c r="Q547" s="251"/>
      <c r="R547" s="77"/>
      <c r="S547" s="77"/>
      <c r="T547" s="77"/>
      <c r="U547" s="77"/>
      <c r="V547" s="77"/>
    </row>
    <row r="548" spans="1:22">
      <c r="A548" s="77"/>
      <c r="B548" s="77"/>
      <c r="C548" s="251"/>
      <c r="D548" s="251"/>
      <c r="E548" s="251"/>
      <c r="F548" s="251"/>
      <c r="G548" s="251"/>
      <c r="H548" s="251"/>
      <c r="I548" s="251"/>
      <c r="J548" s="251"/>
      <c r="K548" s="251"/>
      <c r="L548" s="251"/>
      <c r="M548" s="251"/>
      <c r="N548" s="251"/>
      <c r="O548" s="251"/>
      <c r="P548" s="251"/>
      <c r="Q548" s="251"/>
      <c r="R548" s="77"/>
      <c r="S548" s="77"/>
      <c r="T548" s="77"/>
      <c r="U548" s="77"/>
      <c r="V548" s="77"/>
    </row>
    <row r="549" spans="1:22">
      <c r="A549" s="77"/>
      <c r="B549" s="77"/>
      <c r="C549" s="251"/>
      <c r="D549" s="251"/>
      <c r="E549" s="251"/>
      <c r="F549" s="251"/>
      <c r="G549" s="251"/>
      <c r="H549" s="251"/>
      <c r="I549" s="251"/>
      <c r="J549" s="251"/>
      <c r="K549" s="251"/>
      <c r="L549" s="251"/>
      <c r="M549" s="251"/>
      <c r="N549" s="251"/>
      <c r="O549" s="251"/>
      <c r="P549" s="251"/>
      <c r="Q549" s="251"/>
      <c r="R549" s="77"/>
      <c r="S549" s="77"/>
      <c r="T549" s="77"/>
      <c r="U549" s="77"/>
      <c r="V549" s="77"/>
    </row>
    <row r="550" spans="1:22">
      <c r="A550" s="77"/>
      <c r="B550" s="77"/>
      <c r="C550" s="251"/>
      <c r="D550" s="251"/>
      <c r="E550" s="251"/>
      <c r="F550" s="251"/>
      <c r="G550" s="251"/>
      <c r="H550" s="251"/>
      <c r="I550" s="251"/>
      <c r="J550" s="251"/>
      <c r="K550" s="251"/>
      <c r="L550" s="251"/>
      <c r="M550" s="251"/>
      <c r="N550" s="251"/>
      <c r="O550" s="251"/>
      <c r="P550" s="251"/>
      <c r="Q550" s="251"/>
      <c r="R550" s="77"/>
      <c r="S550" s="77"/>
      <c r="T550" s="77"/>
      <c r="U550" s="77"/>
      <c r="V550" s="77"/>
    </row>
    <row r="551" spans="1:22">
      <c r="A551" s="77"/>
      <c r="B551" s="77"/>
      <c r="C551" s="251"/>
      <c r="D551" s="251"/>
      <c r="E551" s="251"/>
      <c r="F551" s="251"/>
      <c r="G551" s="251"/>
      <c r="H551" s="251"/>
      <c r="I551" s="251"/>
      <c r="J551" s="251"/>
      <c r="K551" s="251"/>
      <c r="L551" s="251"/>
      <c r="M551" s="251"/>
      <c r="N551" s="251"/>
      <c r="O551" s="251"/>
      <c r="P551" s="251"/>
      <c r="Q551" s="251"/>
      <c r="R551" s="77"/>
      <c r="S551" s="77"/>
      <c r="T551" s="77"/>
      <c r="U551" s="77"/>
      <c r="V551" s="77"/>
    </row>
    <row r="552" spans="1:22">
      <c r="A552" s="77"/>
      <c r="B552" s="77"/>
      <c r="C552" s="251"/>
      <c r="D552" s="251"/>
      <c r="E552" s="251"/>
      <c r="F552" s="251"/>
      <c r="G552" s="251"/>
      <c r="H552" s="251"/>
      <c r="I552" s="251"/>
      <c r="J552" s="251"/>
      <c r="K552" s="251"/>
      <c r="L552" s="251"/>
      <c r="M552" s="251"/>
      <c r="N552" s="251"/>
      <c r="O552" s="251"/>
      <c r="P552" s="251"/>
      <c r="Q552" s="251"/>
      <c r="R552" s="77"/>
      <c r="S552" s="77"/>
      <c r="T552" s="77"/>
      <c r="U552" s="77"/>
      <c r="V552" s="77"/>
    </row>
    <row r="553" spans="1:22">
      <c r="A553" s="77"/>
      <c r="B553" s="77"/>
      <c r="C553" s="251"/>
      <c r="D553" s="251"/>
      <c r="E553" s="251"/>
      <c r="F553" s="251"/>
      <c r="G553" s="251"/>
      <c r="H553" s="251"/>
      <c r="I553" s="251"/>
      <c r="J553" s="251"/>
      <c r="K553" s="251"/>
      <c r="L553" s="251"/>
      <c r="M553" s="251"/>
      <c r="N553" s="251"/>
      <c r="O553" s="251"/>
      <c r="P553" s="251"/>
      <c r="Q553" s="251"/>
      <c r="R553" s="77"/>
      <c r="S553" s="77"/>
      <c r="T553" s="77"/>
      <c r="U553" s="77"/>
      <c r="V553" s="77"/>
    </row>
    <row r="554" spans="1:22">
      <c r="A554" s="77"/>
      <c r="B554" s="77"/>
      <c r="C554" s="251"/>
      <c r="D554" s="251"/>
      <c r="E554" s="251"/>
      <c r="F554" s="251"/>
      <c r="G554" s="251"/>
      <c r="H554" s="251"/>
      <c r="I554" s="251"/>
      <c r="J554" s="251"/>
      <c r="K554" s="251"/>
      <c r="L554" s="251"/>
      <c r="M554" s="251"/>
      <c r="N554" s="251"/>
      <c r="O554" s="251"/>
      <c r="P554" s="251"/>
      <c r="Q554" s="251"/>
      <c r="R554" s="77"/>
      <c r="S554" s="77"/>
      <c r="T554" s="77"/>
      <c r="U554" s="77"/>
      <c r="V554" s="77"/>
    </row>
    <row r="555" spans="1:22">
      <c r="A555" s="77"/>
      <c r="B555" s="77"/>
      <c r="C555" s="251"/>
      <c r="D555" s="251"/>
      <c r="E555" s="251"/>
      <c r="F555" s="251"/>
      <c r="G555" s="251"/>
      <c r="H555" s="251"/>
      <c r="I555" s="251"/>
      <c r="J555" s="251"/>
      <c r="K555" s="251"/>
      <c r="L555" s="251"/>
      <c r="M555" s="251"/>
      <c r="N555" s="251"/>
      <c r="O555" s="251"/>
      <c r="P555" s="251"/>
      <c r="Q555" s="251"/>
      <c r="R555" s="77"/>
      <c r="S555" s="77"/>
      <c r="T555" s="77"/>
      <c r="U555" s="77"/>
      <c r="V555" s="77"/>
    </row>
    <row r="556" spans="1:22">
      <c r="A556" s="77"/>
      <c r="B556" s="77"/>
      <c r="C556" s="251"/>
      <c r="D556" s="251"/>
      <c r="E556" s="251"/>
      <c r="F556" s="251"/>
      <c r="G556" s="251"/>
      <c r="H556" s="251"/>
      <c r="I556" s="251"/>
      <c r="J556" s="251"/>
      <c r="K556" s="251"/>
      <c r="L556" s="251"/>
      <c r="M556" s="251"/>
      <c r="N556" s="251"/>
      <c r="O556" s="251"/>
      <c r="P556" s="251"/>
      <c r="Q556" s="251"/>
      <c r="R556" s="77"/>
      <c r="S556" s="77"/>
      <c r="T556" s="77"/>
      <c r="U556" s="77"/>
      <c r="V556" s="77"/>
    </row>
    <row r="557" spans="1:22">
      <c r="A557" s="77"/>
      <c r="B557" s="77"/>
      <c r="C557" s="251"/>
      <c r="D557" s="251"/>
      <c r="E557" s="251"/>
      <c r="F557" s="251"/>
      <c r="G557" s="251"/>
      <c r="H557" s="251"/>
      <c r="I557" s="251"/>
      <c r="J557" s="251"/>
      <c r="K557" s="251"/>
      <c r="L557" s="251"/>
      <c r="M557" s="251"/>
      <c r="N557" s="251"/>
      <c r="O557" s="251"/>
      <c r="P557" s="251"/>
      <c r="Q557" s="251"/>
      <c r="R557" s="77"/>
      <c r="S557" s="77"/>
      <c r="T557" s="77"/>
      <c r="U557" s="77"/>
      <c r="V557" s="77"/>
    </row>
    <row r="558" spans="1:22">
      <c r="A558" s="77"/>
      <c r="B558" s="77"/>
      <c r="C558" s="251"/>
      <c r="D558" s="251"/>
      <c r="E558" s="251"/>
      <c r="F558" s="251"/>
      <c r="G558" s="251"/>
      <c r="H558" s="251"/>
      <c r="I558" s="251"/>
      <c r="J558" s="251"/>
      <c r="K558" s="251"/>
      <c r="L558" s="251"/>
      <c r="M558" s="251"/>
      <c r="N558" s="251"/>
      <c r="O558" s="251"/>
      <c r="P558" s="251"/>
      <c r="Q558" s="251"/>
      <c r="R558" s="77"/>
      <c r="S558" s="77"/>
      <c r="T558" s="77"/>
      <c r="U558" s="77"/>
      <c r="V558" s="77"/>
    </row>
    <row r="559" spans="1:22">
      <c r="A559" s="77"/>
      <c r="B559" s="77"/>
      <c r="C559" s="251"/>
      <c r="D559" s="251"/>
      <c r="E559" s="251"/>
      <c r="F559" s="251"/>
      <c r="G559" s="251"/>
      <c r="H559" s="251"/>
      <c r="I559" s="251"/>
      <c r="J559" s="251"/>
      <c r="K559" s="251"/>
      <c r="L559" s="251"/>
      <c r="M559" s="251"/>
      <c r="N559" s="251"/>
      <c r="O559" s="251"/>
      <c r="P559" s="251"/>
      <c r="Q559" s="251"/>
      <c r="R559" s="77"/>
      <c r="S559" s="77"/>
      <c r="T559" s="77"/>
      <c r="U559" s="77"/>
      <c r="V559" s="77"/>
    </row>
    <row r="560" spans="1:22">
      <c r="A560" s="77"/>
      <c r="B560" s="77"/>
      <c r="C560" s="251"/>
      <c r="D560" s="251"/>
      <c r="E560" s="251"/>
      <c r="F560" s="251"/>
      <c r="G560" s="251"/>
      <c r="H560" s="251"/>
      <c r="I560" s="251"/>
      <c r="J560" s="251"/>
      <c r="K560" s="251"/>
      <c r="L560" s="251"/>
      <c r="M560" s="251"/>
      <c r="N560" s="251"/>
      <c r="O560" s="251"/>
      <c r="P560" s="251"/>
      <c r="Q560" s="251"/>
      <c r="R560" s="77"/>
      <c r="S560" s="77"/>
      <c r="T560" s="77"/>
      <c r="U560" s="77"/>
      <c r="V560" s="77"/>
    </row>
    <row r="561" spans="1:22">
      <c r="A561" s="77"/>
      <c r="B561" s="77"/>
      <c r="C561" s="251"/>
      <c r="D561" s="251"/>
      <c r="E561" s="251"/>
      <c r="F561" s="251"/>
      <c r="G561" s="251"/>
      <c r="H561" s="251"/>
      <c r="I561" s="251"/>
      <c r="J561" s="251"/>
      <c r="K561" s="251"/>
      <c r="L561" s="251"/>
      <c r="M561" s="251"/>
      <c r="N561" s="251"/>
      <c r="O561" s="251"/>
      <c r="P561" s="251"/>
      <c r="Q561" s="251"/>
      <c r="R561" s="77"/>
      <c r="S561" s="77"/>
      <c r="T561" s="77"/>
      <c r="U561" s="77"/>
      <c r="V561" s="77"/>
    </row>
    <row r="562" spans="1:22">
      <c r="A562" s="77"/>
      <c r="B562" s="77"/>
      <c r="C562" s="251"/>
      <c r="D562" s="251"/>
      <c r="E562" s="251"/>
      <c r="F562" s="251"/>
      <c r="G562" s="251"/>
      <c r="H562" s="251"/>
      <c r="I562" s="251"/>
      <c r="J562" s="251"/>
      <c r="K562" s="251"/>
      <c r="L562" s="251"/>
      <c r="M562" s="251"/>
      <c r="N562" s="251"/>
      <c r="O562" s="251"/>
      <c r="P562" s="251"/>
      <c r="Q562" s="251"/>
      <c r="R562" s="77"/>
      <c r="S562" s="77"/>
      <c r="T562" s="77"/>
      <c r="U562" s="77"/>
      <c r="V562" s="77"/>
    </row>
    <row r="563" spans="1:22">
      <c r="A563" s="77"/>
      <c r="B563" s="77"/>
      <c r="C563" s="251"/>
      <c r="D563" s="251"/>
      <c r="E563" s="251"/>
      <c r="F563" s="251"/>
      <c r="G563" s="251"/>
      <c r="H563" s="251"/>
      <c r="I563" s="251"/>
      <c r="J563" s="251"/>
      <c r="K563" s="251"/>
      <c r="L563" s="251"/>
      <c r="M563" s="251"/>
      <c r="N563" s="251"/>
      <c r="O563" s="251"/>
      <c r="P563" s="251"/>
      <c r="Q563" s="251"/>
      <c r="R563" s="77"/>
      <c r="S563" s="77"/>
      <c r="T563" s="77"/>
      <c r="U563" s="77"/>
      <c r="V563" s="77"/>
    </row>
    <row r="564" spans="1:22">
      <c r="A564" s="77"/>
      <c r="B564" s="77"/>
      <c r="C564" s="251"/>
      <c r="D564" s="251"/>
      <c r="E564" s="251"/>
      <c r="F564" s="251"/>
      <c r="G564" s="251"/>
      <c r="H564" s="251"/>
      <c r="I564" s="251"/>
      <c r="J564" s="251"/>
      <c r="K564" s="251"/>
      <c r="L564" s="251"/>
      <c r="M564" s="251"/>
      <c r="N564" s="251"/>
      <c r="O564" s="251"/>
      <c r="P564" s="251"/>
      <c r="Q564" s="251"/>
      <c r="R564" s="77"/>
      <c r="S564" s="77"/>
      <c r="T564" s="77"/>
      <c r="U564" s="77"/>
      <c r="V564" s="77"/>
    </row>
    <row r="565" spans="1:22">
      <c r="A565" s="77"/>
      <c r="B565" s="77"/>
      <c r="C565" s="251"/>
      <c r="D565" s="251"/>
      <c r="E565" s="251"/>
      <c r="F565" s="251"/>
      <c r="G565" s="251"/>
      <c r="H565" s="251"/>
      <c r="I565" s="251"/>
      <c r="J565" s="251"/>
      <c r="K565" s="251"/>
      <c r="L565" s="251"/>
      <c r="M565" s="251"/>
      <c r="N565" s="251"/>
      <c r="O565" s="251"/>
      <c r="P565" s="251"/>
      <c r="Q565" s="251"/>
      <c r="R565" s="77"/>
      <c r="S565" s="77"/>
      <c r="T565" s="77"/>
      <c r="U565" s="77"/>
      <c r="V565" s="77"/>
    </row>
    <row r="566" spans="1:22">
      <c r="A566" s="77"/>
      <c r="B566" s="77"/>
      <c r="C566" s="251"/>
      <c r="D566" s="251"/>
      <c r="E566" s="251"/>
      <c r="F566" s="251"/>
      <c r="G566" s="251"/>
      <c r="H566" s="251"/>
      <c r="I566" s="251"/>
      <c r="J566" s="251"/>
      <c r="K566" s="251"/>
      <c r="L566" s="251"/>
      <c r="M566" s="251"/>
      <c r="N566" s="251"/>
      <c r="O566" s="251"/>
      <c r="P566" s="251"/>
      <c r="Q566" s="251"/>
      <c r="R566" s="77"/>
      <c r="S566" s="77"/>
      <c r="T566" s="77"/>
      <c r="U566" s="77"/>
      <c r="V566" s="77"/>
    </row>
    <row r="567" spans="1:22">
      <c r="A567" s="77"/>
      <c r="B567" s="77"/>
      <c r="C567" s="251"/>
      <c r="D567" s="251"/>
      <c r="E567" s="251"/>
      <c r="F567" s="251"/>
      <c r="G567" s="251"/>
      <c r="H567" s="251"/>
      <c r="I567" s="251"/>
      <c r="J567" s="251"/>
      <c r="K567" s="251"/>
      <c r="L567" s="251"/>
      <c r="M567" s="251"/>
      <c r="N567" s="251"/>
      <c r="O567" s="251"/>
      <c r="P567" s="251"/>
      <c r="Q567" s="251"/>
      <c r="R567" s="77"/>
      <c r="S567" s="77"/>
      <c r="T567" s="77"/>
      <c r="U567" s="77"/>
      <c r="V567" s="77"/>
    </row>
    <row r="568" spans="1:22">
      <c r="A568" s="77"/>
      <c r="B568" s="77"/>
      <c r="C568" s="251"/>
      <c r="D568" s="251"/>
      <c r="E568" s="251"/>
      <c r="F568" s="251"/>
      <c r="G568" s="251"/>
      <c r="H568" s="251"/>
      <c r="I568" s="251"/>
      <c r="J568" s="251"/>
      <c r="K568" s="251"/>
      <c r="L568" s="251"/>
      <c r="M568" s="251"/>
      <c r="N568" s="251"/>
      <c r="O568" s="251"/>
      <c r="P568" s="251"/>
      <c r="Q568" s="251"/>
      <c r="R568" s="77"/>
      <c r="S568" s="77"/>
      <c r="T568" s="77"/>
      <c r="U568" s="77"/>
      <c r="V568" s="77"/>
    </row>
    <row r="569" spans="1:22">
      <c r="A569" s="77"/>
      <c r="B569" s="77"/>
      <c r="C569" s="251"/>
      <c r="D569" s="251"/>
      <c r="E569" s="251"/>
      <c r="F569" s="251"/>
      <c r="G569" s="251"/>
      <c r="H569" s="251"/>
      <c r="I569" s="251"/>
      <c r="J569" s="251"/>
      <c r="K569" s="251"/>
      <c r="L569" s="251"/>
      <c r="M569" s="251"/>
      <c r="N569" s="251"/>
      <c r="O569" s="251"/>
      <c r="P569" s="251"/>
      <c r="Q569" s="251"/>
      <c r="R569" s="77"/>
      <c r="S569" s="77"/>
      <c r="T569" s="77"/>
      <c r="U569" s="77"/>
      <c r="V569" s="77"/>
    </row>
    <row r="570" spans="1:22">
      <c r="A570" s="77"/>
      <c r="B570" s="77"/>
      <c r="C570" s="251"/>
      <c r="D570" s="251"/>
      <c r="E570" s="251"/>
      <c r="F570" s="251"/>
      <c r="G570" s="251"/>
      <c r="H570" s="251"/>
      <c r="I570" s="251"/>
      <c r="J570" s="251"/>
      <c r="K570" s="251"/>
      <c r="L570" s="251"/>
      <c r="M570" s="251"/>
      <c r="N570" s="251"/>
      <c r="O570" s="251"/>
      <c r="P570" s="251"/>
      <c r="Q570" s="251"/>
      <c r="R570" s="77"/>
      <c r="S570" s="77"/>
      <c r="T570" s="77"/>
      <c r="U570" s="77"/>
      <c r="V570" s="77"/>
    </row>
    <row r="571" spans="1:22">
      <c r="A571" s="77"/>
      <c r="B571" s="77"/>
      <c r="C571" s="251"/>
      <c r="D571" s="251"/>
      <c r="E571" s="251"/>
      <c r="F571" s="251"/>
      <c r="G571" s="251"/>
      <c r="H571" s="251"/>
      <c r="I571" s="251"/>
      <c r="J571" s="251"/>
      <c r="K571" s="251"/>
      <c r="L571" s="251"/>
      <c r="M571" s="251"/>
      <c r="N571" s="251"/>
      <c r="O571" s="251"/>
      <c r="P571" s="251"/>
      <c r="Q571" s="251"/>
      <c r="R571" s="77"/>
      <c r="S571" s="77"/>
      <c r="T571" s="77"/>
      <c r="U571" s="77"/>
      <c r="V571" s="77"/>
    </row>
    <row r="572" spans="1:22">
      <c r="A572" s="77"/>
      <c r="B572" s="77"/>
      <c r="C572" s="251"/>
      <c r="D572" s="251"/>
      <c r="E572" s="251"/>
      <c r="F572" s="251"/>
      <c r="G572" s="251"/>
      <c r="H572" s="251"/>
      <c r="I572" s="251"/>
      <c r="J572" s="251"/>
      <c r="K572" s="251"/>
      <c r="L572" s="251"/>
      <c r="M572" s="251"/>
      <c r="N572" s="251"/>
      <c r="O572" s="251"/>
      <c r="P572" s="251"/>
      <c r="Q572" s="251"/>
      <c r="R572" s="77"/>
      <c r="S572" s="77"/>
      <c r="T572" s="77"/>
      <c r="U572" s="77"/>
      <c r="V572" s="77"/>
    </row>
    <row r="573" spans="1:22">
      <c r="A573" s="77"/>
      <c r="B573" s="77"/>
      <c r="C573" s="251"/>
      <c r="D573" s="251"/>
      <c r="E573" s="251"/>
      <c r="F573" s="251"/>
      <c r="G573" s="251"/>
      <c r="H573" s="251"/>
      <c r="I573" s="251"/>
      <c r="J573" s="251"/>
      <c r="K573" s="251"/>
      <c r="L573" s="251"/>
      <c r="M573" s="251"/>
      <c r="N573" s="251"/>
      <c r="O573" s="251"/>
      <c r="P573" s="251"/>
      <c r="Q573" s="251"/>
      <c r="R573" s="77"/>
      <c r="S573" s="77"/>
      <c r="T573" s="77"/>
      <c r="U573" s="77"/>
      <c r="V573" s="77"/>
    </row>
    <row r="574" spans="1:22">
      <c r="A574" s="77"/>
      <c r="B574" s="77"/>
      <c r="C574" s="251"/>
      <c r="D574" s="251"/>
      <c r="E574" s="251"/>
      <c r="F574" s="251"/>
      <c r="G574" s="251"/>
      <c r="H574" s="251"/>
      <c r="I574" s="251"/>
      <c r="J574" s="251"/>
      <c r="K574" s="251"/>
      <c r="L574" s="251"/>
      <c r="M574" s="251"/>
      <c r="N574" s="251"/>
      <c r="O574" s="251"/>
      <c r="P574" s="251"/>
      <c r="Q574" s="251"/>
      <c r="R574" s="77"/>
      <c r="S574" s="77"/>
      <c r="T574" s="77"/>
      <c r="U574" s="77"/>
      <c r="V574" s="77"/>
    </row>
    <row r="575" spans="1:22">
      <c r="A575" s="77"/>
      <c r="B575" s="77"/>
      <c r="C575" s="251"/>
      <c r="D575" s="251"/>
      <c r="E575" s="251"/>
      <c r="F575" s="251"/>
      <c r="G575" s="251"/>
      <c r="H575" s="251"/>
      <c r="I575" s="251"/>
      <c r="J575" s="251"/>
      <c r="K575" s="251"/>
      <c r="L575" s="251"/>
      <c r="M575" s="251"/>
      <c r="N575" s="251"/>
      <c r="O575" s="251"/>
      <c r="P575" s="251"/>
      <c r="Q575" s="251"/>
      <c r="R575" s="77"/>
      <c r="S575" s="77"/>
      <c r="T575" s="77"/>
      <c r="U575" s="77"/>
      <c r="V575" s="77"/>
    </row>
    <row r="576" spans="1:22">
      <c r="A576" s="77"/>
      <c r="B576" s="77"/>
      <c r="C576" s="251"/>
      <c r="D576" s="251"/>
      <c r="E576" s="251"/>
      <c r="F576" s="251"/>
      <c r="G576" s="251"/>
      <c r="H576" s="251"/>
      <c r="I576" s="251"/>
      <c r="J576" s="251"/>
      <c r="K576" s="251"/>
      <c r="L576" s="251"/>
      <c r="M576" s="251"/>
      <c r="N576" s="251"/>
      <c r="O576" s="251"/>
      <c r="P576" s="251"/>
      <c r="Q576" s="251"/>
      <c r="R576" s="77"/>
      <c r="S576" s="77"/>
      <c r="T576" s="77"/>
      <c r="U576" s="77"/>
      <c r="V576" s="77"/>
    </row>
    <row r="577" spans="1:22">
      <c r="A577" s="77"/>
      <c r="B577" s="77"/>
      <c r="C577" s="251"/>
      <c r="D577" s="251"/>
      <c r="E577" s="251"/>
      <c r="F577" s="251"/>
      <c r="G577" s="251"/>
      <c r="H577" s="251"/>
      <c r="I577" s="251"/>
      <c r="J577" s="251"/>
      <c r="K577" s="251"/>
      <c r="L577" s="251"/>
      <c r="M577" s="251"/>
      <c r="N577" s="251"/>
      <c r="O577" s="251"/>
      <c r="P577" s="251"/>
      <c r="Q577" s="251"/>
      <c r="R577" s="77"/>
      <c r="S577" s="77"/>
      <c r="T577" s="77"/>
      <c r="U577" s="77"/>
      <c r="V577" s="77"/>
    </row>
    <row r="578" spans="1:22">
      <c r="A578" s="77"/>
      <c r="B578" s="77"/>
      <c r="C578" s="251"/>
      <c r="D578" s="251"/>
      <c r="E578" s="251"/>
      <c r="F578" s="251"/>
      <c r="G578" s="251"/>
      <c r="H578" s="251"/>
      <c r="I578" s="251"/>
      <c r="J578" s="251"/>
      <c r="K578" s="251"/>
      <c r="L578" s="251"/>
      <c r="M578" s="251"/>
      <c r="N578" s="251"/>
      <c r="O578" s="251"/>
      <c r="P578" s="251"/>
      <c r="Q578" s="251"/>
      <c r="R578" s="77"/>
      <c r="S578" s="77"/>
      <c r="T578" s="77"/>
      <c r="U578" s="77"/>
      <c r="V578" s="77"/>
    </row>
    <row r="579" spans="1:22">
      <c r="A579" s="77"/>
      <c r="B579" s="77"/>
      <c r="C579" s="251"/>
      <c r="D579" s="251"/>
      <c r="E579" s="251"/>
      <c r="F579" s="251"/>
      <c r="G579" s="251"/>
      <c r="H579" s="251"/>
      <c r="I579" s="251"/>
      <c r="J579" s="251"/>
      <c r="K579" s="251"/>
      <c r="L579" s="251"/>
      <c r="M579" s="251"/>
      <c r="N579" s="251"/>
      <c r="O579" s="251"/>
      <c r="P579" s="251"/>
      <c r="Q579" s="251"/>
      <c r="R579" s="77"/>
      <c r="S579" s="77"/>
      <c r="T579" s="77"/>
      <c r="U579" s="77"/>
      <c r="V579" s="77"/>
    </row>
    <row r="580" spans="1:22">
      <c r="A580" s="77"/>
      <c r="B580" s="77"/>
      <c r="C580" s="251"/>
      <c r="D580" s="251"/>
      <c r="E580" s="251"/>
      <c r="F580" s="251"/>
      <c r="G580" s="251"/>
      <c r="H580" s="251"/>
      <c r="I580" s="251"/>
      <c r="J580" s="251"/>
      <c r="K580" s="251"/>
      <c r="L580" s="251"/>
      <c r="M580" s="251"/>
      <c r="N580" s="251"/>
      <c r="O580" s="251"/>
      <c r="P580" s="251"/>
      <c r="Q580" s="251"/>
      <c r="R580" s="77"/>
      <c r="S580" s="77"/>
      <c r="T580" s="77"/>
      <c r="U580" s="77"/>
      <c r="V580" s="77"/>
    </row>
    <row r="581" spans="1:22">
      <c r="A581" s="77"/>
      <c r="B581" s="77"/>
      <c r="C581" s="251"/>
      <c r="D581" s="251"/>
      <c r="E581" s="251"/>
      <c r="F581" s="251"/>
      <c r="G581" s="251"/>
      <c r="H581" s="251"/>
      <c r="I581" s="251"/>
      <c r="J581" s="251"/>
      <c r="K581" s="251"/>
      <c r="L581" s="251"/>
      <c r="M581" s="251"/>
      <c r="N581" s="251"/>
      <c r="O581" s="251"/>
      <c r="P581" s="251"/>
      <c r="Q581" s="251"/>
      <c r="R581" s="77"/>
      <c r="S581" s="77"/>
      <c r="T581" s="77"/>
      <c r="U581" s="77"/>
      <c r="V581" s="77"/>
    </row>
    <row r="582" spans="1:22">
      <c r="A582" s="77"/>
      <c r="B582" s="77"/>
      <c r="C582" s="251"/>
      <c r="D582" s="251"/>
      <c r="E582" s="251"/>
      <c r="F582" s="251"/>
      <c r="G582" s="251"/>
      <c r="H582" s="251"/>
      <c r="I582" s="251"/>
      <c r="J582" s="251"/>
      <c r="K582" s="251"/>
      <c r="L582" s="251"/>
      <c r="M582" s="251"/>
      <c r="N582" s="251"/>
      <c r="O582" s="251"/>
      <c r="P582" s="251"/>
      <c r="Q582" s="251"/>
      <c r="R582" s="77"/>
      <c r="S582" s="77"/>
      <c r="T582" s="77"/>
      <c r="U582" s="77"/>
      <c r="V582" s="77"/>
    </row>
    <row r="583" spans="1:22">
      <c r="A583" s="77"/>
      <c r="B583" s="77"/>
      <c r="C583" s="251"/>
      <c r="D583" s="251"/>
      <c r="E583" s="251"/>
      <c r="F583" s="251"/>
      <c r="G583" s="251"/>
      <c r="H583" s="251"/>
      <c r="I583" s="251"/>
      <c r="J583" s="251"/>
      <c r="K583" s="251"/>
      <c r="L583" s="251"/>
      <c r="M583" s="251"/>
      <c r="N583" s="251"/>
      <c r="O583" s="251"/>
      <c r="P583" s="251"/>
      <c r="Q583" s="251"/>
      <c r="R583" s="77"/>
      <c r="S583" s="77"/>
      <c r="T583" s="77"/>
      <c r="U583" s="77"/>
      <c r="V583" s="77"/>
    </row>
    <row r="584" spans="1:22">
      <c r="A584" s="77"/>
      <c r="B584" s="77"/>
      <c r="C584" s="251"/>
      <c r="D584" s="251"/>
      <c r="E584" s="251"/>
      <c r="F584" s="251"/>
      <c r="G584" s="251"/>
      <c r="H584" s="251"/>
      <c r="I584" s="251"/>
      <c r="J584" s="251"/>
      <c r="K584" s="251"/>
      <c r="L584" s="251"/>
      <c r="M584" s="251"/>
      <c r="N584" s="251"/>
      <c r="O584" s="251"/>
      <c r="P584" s="251"/>
      <c r="Q584" s="251"/>
      <c r="R584" s="77"/>
      <c r="S584" s="77"/>
      <c r="T584" s="77"/>
      <c r="U584" s="77"/>
      <c r="V584" s="77"/>
    </row>
    <row r="585" spans="1:22">
      <c r="A585" s="77"/>
      <c r="B585" s="77"/>
      <c r="C585" s="251"/>
      <c r="D585" s="251"/>
      <c r="E585" s="251"/>
      <c r="F585" s="251"/>
      <c r="G585" s="251"/>
      <c r="H585" s="251"/>
      <c r="I585" s="251"/>
      <c r="J585" s="251"/>
      <c r="K585" s="251"/>
      <c r="L585" s="251"/>
      <c r="M585" s="251"/>
      <c r="N585" s="251"/>
      <c r="O585" s="251"/>
      <c r="P585" s="251"/>
      <c r="Q585" s="251"/>
      <c r="R585" s="77"/>
      <c r="S585" s="77"/>
      <c r="T585" s="77"/>
      <c r="U585" s="77"/>
      <c r="V585" s="77"/>
    </row>
    <row r="586" spans="1:22">
      <c r="A586" s="77"/>
      <c r="B586" s="77"/>
      <c r="C586" s="251"/>
      <c r="D586" s="251"/>
      <c r="E586" s="251"/>
      <c r="F586" s="251"/>
      <c r="G586" s="251"/>
      <c r="H586" s="251"/>
      <c r="I586" s="251"/>
      <c r="J586" s="251"/>
      <c r="K586" s="251"/>
      <c r="L586" s="251"/>
      <c r="M586" s="251"/>
      <c r="N586" s="251"/>
      <c r="O586" s="251"/>
      <c r="P586" s="251"/>
      <c r="Q586" s="251"/>
      <c r="R586" s="77"/>
      <c r="S586" s="77"/>
      <c r="T586" s="77"/>
      <c r="U586" s="77"/>
      <c r="V586" s="77"/>
    </row>
    <row r="587" spans="1:22">
      <c r="A587" s="77"/>
      <c r="B587" s="77"/>
      <c r="C587" s="251"/>
      <c r="D587" s="251"/>
      <c r="E587" s="251"/>
      <c r="F587" s="251"/>
      <c r="G587" s="251"/>
      <c r="H587" s="251"/>
      <c r="I587" s="251"/>
      <c r="J587" s="251"/>
      <c r="K587" s="251"/>
      <c r="L587" s="251"/>
      <c r="M587" s="251"/>
      <c r="N587" s="251"/>
      <c r="O587" s="251"/>
      <c r="P587" s="251"/>
      <c r="Q587" s="251"/>
      <c r="R587" s="77"/>
      <c r="S587" s="77"/>
      <c r="T587" s="77"/>
      <c r="U587" s="77"/>
      <c r="V587" s="77"/>
    </row>
    <row r="588" spans="1:22">
      <c r="A588" s="77"/>
      <c r="B588" s="77"/>
      <c r="C588" s="251"/>
      <c r="D588" s="251"/>
      <c r="E588" s="251"/>
      <c r="F588" s="251"/>
      <c r="G588" s="251"/>
      <c r="H588" s="251"/>
      <c r="I588" s="251"/>
      <c r="J588" s="251"/>
      <c r="K588" s="251"/>
      <c r="L588" s="251"/>
      <c r="M588" s="251"/>
      <c r="N588" s="251"/>
      <c r="O588" s="251"/>
      <c r="P588" s="251"/>
      <c r="Q588" s="251"/>
      <c r="R588" s="77"/>
      <c r="S588" s="77"/>
      <c r="T588" s="77"/>
      <c r="U588" s="77"/>
      <c r="V588" s="77"/>
    </row>
    <row r="589" spans="1:22">
      <c r="A589" s="77"/>
      <c r="B589" s="77"/>
      <c r="C589" s="251"/>
      <c r="D589" s="251"/>
      <c r="E589" s="251"/>
      <c r="F589" s="251"/>
      <c r="G589" s="251"/>
      <c r="H589" s="251"/>
      <c r="I589" s="251"/>
      <c r="J589" s="251"/>
      <c r="K589" s="251"/>
      <c r="L589" s="251"/>
      <c r="M589" s="251"/>
      <c r="N589" s="251"/>
      <c r="O589" s="251"/>
      <c r="P589" s="251"/>
      <c r="Q589" s="251"/>
      <c r="R589" s="77"/>
      <c r="S589" s="77"/>
      <c r="T589" s="77"/>
      <c r="U589" s="77"/>
      <c r="V589" s="77"/>
    </row>
    <row r="590" spans="1:22">
      <c r="A590" s="77"/>
      <c r="B590" s="77"/>
      <c r="C590" s="251"/>
      <c r="D590" s="251"/>
      <c r="E590" s="251"/>
      <c r="F590" s="251"/>
      <c r="G590" s="251"/>
      <c r="H590" s="251"/>
      <c r="I590" s="251"/>
      <c r="J590" s="251"/>
      <c r="K590" s="251"/>
      <c r="L590" s="251"/>
      <c r="M590" s="251"/>
      <c r="N590" s="251"/>
      <c r="O590" s="251"/>
      <c r="P590" s="251"/>
      <c r="Q590" s="251"/>
      <c r="R590" s="77"/>
      <c r="S590" s="77"/>
      <c r="T590" s="77"/>
      <c r="U590" s="77"/>
      <c r="V590" s="77"/>
    </row>
    <row r="591" spans="1:22">
      <c r="A591" s="77"/>
      <c r="B591" s="77"/>
      <c r="C591" s="251"/>
      <c r="D591" s="251"/>
      <c r="E591" s="251"/>
      <c r="F591" s="251"/>
      <c r="G591" s="251"/>
      <c r="H591" s="251"/>
      <c r="I591" s="251"/>
      <c r="J591" s="251"/>
      <c r="K591" s="251"/>
      <c r="L591" s="251"/>
      <c r="M591" s="251"/>
      <c r="N591" s="251"/>
      <c r="O591" s="251"/>
      <c r="P591" s="251"/>
      <c r="Q591" s="251"/>
      <c r="R591" s="77"/>
      <c r="S591" s="77"/>
      <c r="T591" s="77"/>
      <c r="U591" s="77"/>
      <c r="V591" s="77"/>
    </row>
    <row r="592" spans="1:22">
      <c r="A592" s="77"/>
      <c r="B592" s="77"/>
      <c r="C592" s="251"/>
      <c r="D592" s="251"/>
      <c r="E592" s="251"/>
      <c r="F592" s="251"/>
      <c r="G592" s="251"/>
      <c r="H592" s="251"/>
      <c r="I592" s="251"/>
      <c r="J592" s="251"/>
      <c r="K592" s="251"/>
      <c r="L592" s="251"/>
      <c r="M592" s="251"/>
      <c r="N592" s="251"/>
      <c r="O592" s="251"/>
      <c r="P592" s="251"/>
      <c r="Q592" s="251"/>
      <c r="R592" s="77"/>
      <c r="S592" s="77"/>
      <c r="T592" s="77"/>
      <c r="U592" s="77"/>
      <c r="V592" s="77"/>
    </row>
    <row r="593" spans="1:22">
      <c r="A593" s="77"/>
      <c r="B593" s="77"/>
      <c r="C593" s="251"/>
      <c r="D593" s="251"/>
      <c r="E593" s="251"/>
      <c r="F593" s="251"/>
      <c r="G593" s="251"/>
      <c r="H593" s="251"/>
      <c r="I593" s="251"/>
      <c r="J593" s="251"/>
      <c r="K593" s="251"/>
      <c r="L593" s="251"/>
      <c r="M593" s="251"/>
      <c r="N593" s="251"/>
      <c r="O593" s="251"/>
      <c r="P593" s="251"/>
      <c r="Q593" s="251"/>
      <c r="R593" s="77"/>
      <c r="S593" s="77"/>
      <c r="T593" s="77"/>
      <c r="U593" s="77"/>
      <c r="V593" s="77"/>
    </row>
    <row r="594" spans="1:22">
      <c r="A594" s="77"/>
      <c r="B594" s="77"/>
      <c r="C594" s="251"/>
      <c r="D594" s="251"/>
      <c r="E594" s="251"/>
      <c r="F594" s="251"/>
      <c r="G594" s="251"/>
      <c r="H594" s="251"/>
      <c r="I594" s="251"/>
      <c r="J594" s="251"/>
      <c r="K594" s="251"/>
      <c r="L594" s="251"/>
      <c r="M594" s="251"/>
      <c r="N594" s="251"/>
      <c r="O594" s="251"/>
      <c r="P594" s="251"/>
      <c r="Q594" s="251"/>
      <c r="R594" s="77"/>
      <c r="S594" s="77"/>
      <c r="T594" s="77"/>
      <c r="U594" s="77"/>
      <c r="V594" s="77"/>
    </row>
    <row r="595" spans="1:22">
      <c r="A595" s="77"/>
      <c r="B595" s="77"/>
      <c r="C595" s="251"/>
      <c r="D595" s="251"/>
      <c r="E595" s="251"/>
      <c r="F595" s="251"/>
      <c r="G595" s="251"/>
      <c r="H595" s="251"/>
      <c r="I595" s="251"/>
      <c r="J595" s="251"/>
      <c r="K595" s="251"/>
      <c r="L595" s="251"/>
      <c r="M595" s="251"/>
      <c r="N595" s="251"/>
      <c r="O595" s="251"/>
      <c r="P595" s="251"/>
      <c r="Q595" s="251"/>
      <c r="R595" s="77"/>
      <c r="S595" s="77"/>
      <c r="T595" s="77"/>
      <c r="U595" s="77"/>
      <c r="V595" s="77"/>
    </row>
    <row r="596" spans="1:22">
      <c r="A596" s="77"/>
      <c r="B596" s="77"/>
      <c r="C596" s="251"/>
      <c r="D596" s="251"/>
      <c r="E596" s="251"/>
      <c r="F596" s="251"/>
      <c r="G596" s="251"/>
      <c r="H596" s="251"/>
      <c r="I596" s="251"/>
      <c r="J596" s="251"/>
      <c r="K596" s="251"/>
      <c r="L596" s="251"/>
      <c r="M596" s="251"/>
      <c r="N596" s="251"/>
      <c r="O596" s="251"/>
      <c r="P596" s="251"/>
      <c r="Q596" s="251"/>
      <c r="R596" s="77"/>
      <c r="S596" s="77"/>
      <c r="T596" s="77"/>
      <c r="U596" s="77"/>
      <c r="V596" s="77"/>
    </row>
    <row r="597" spans="1:22">
      <c r="A597" s="77"/>
      <c r="B597" s="77"/>
      <c r="C597" s="251"/>
      <c r="D597" s="251"/>
      <c r="E597" s="251"/>
      <c r="F597" s="251"/>
      <c r="G597" s="251"/>
      <c r="H597" s="251"/>
      <c r="I597" s="251"/>
      <c r="J597" s="251"/>
      <c r="K597" s="251"/>
      <c r="L597" s="251"/>
      <c r="M597" s="251"/>
      <c r="N597" s="251"/>
      <c r="O597" s="251"/>
      <c r="P597" s="251"/>
      <c r="Q597" s="251"/>
      <c r="R597" s="77"/>
      <c r="S597" s="77"/>
      <c r="T597" s="77"/>
      <c r="U597" s="77"/>
      <c r="V597" s="77"/>
    </row>
    <row r="598" spans="1:22">
      <c r="A598" s="77"/>
      <c r="B598" s="77"/>
      <c r="C598" s="251"/>
      <c r="D598" s="251"/>
      <c r="E598" s="251"/>
      <c r="F598" s="251"/>
      <c r="G598" s="251"/>
      <c r="H598" s="251"/>
      <c r="I598" s="251"/>
      <c r="J598" s="251"/>
      <c r="K598" s="251"/>
      <c r="L598" s="251"/>
      <c r="M598" s="251"/>
      <c r="N598" s="251"/>
      <c r="O598" s="251"/>
      <c r="P598" s="251"/>
      <c r="Q598" s="251"/>
      <c r="R598" s="77"/>
      <c r="S598" s="77"/>
      <c r="T598" s="77"/>
      <c r="U598" s="77"/>
      <c r="V598" s="77"/>
    </row>
    <row r="599" spans="1:22">
      <c r="A599" s="77"/>
      <c r="B599" s="77"/>
      <c r="C599" s="251"/>
      <c r="D599" s="251"/>
      <c r="E599" s="251"/>
      <c r="F599" s="251"/>
      <c r="G599" s="251"/>
      <c r="H599" s="251"/>
      <c r="I599" s="251"/>
      <c r="J599" s="251"/>
      <c r="K599" s="251"/>
      <c r="L599" s="251"/>
      <c r="M599" s="251"/>
      <c r="N599" s="251"/>
      <c r="O599" s="251"/>
      <c r="P599" s="251"/>
      <c r="Q599" s="251"/>
      <c r="R599" s="77"/>
      <c r="S599" s="77"/>
      <c r="T599" s="77"/>
      <c r="U599" s="77"/>
      <c r="V599" s="77"/>
    </row>
    <row r="600" spans="1:22">
      <c r="A600" s="77"/>
      <c r="B600" s="77"/>
      <c r="C600" s="251"/>
      <c r="D600" s="251"/>
      <c r="E600" s="251"/>
      <c r="F600" s="251"/>
      <c r="G600" s="251"/>
      <c r="H600" s="251"/>
      <c r="I600" s="251"/>
      <c r="J600" s="251"/>
      <c r="K600" s="251"/>
      <c r="L600" s="251"/>
      <c r="M600" s="251"/>
      <c r="N600" s="251"/>
      <c r="O600" s="251"/>
      <c r="P600" s="251"/>
      <c r="Q600" s="251"/>
      <c r="R600" s="77"/>
      <c r="S600" s="77"/>
      <c r="T600" s="77"/>
      <c r="U600" s="77"/>
      <c r="V600" s="77"/>
    </row>
    <row r="601" spans="1:22">
      <c r="A601" s="77"/>
      <c r="B601" s="77"/>
      <c r="C601" s="251"/>
      <c r="D601" s="251"/>
      <c r="E601" s="251"/>
      <c r="F601" s="251"/>
      <c r="G601" s="251"/>
      <c r="H601" s="251"/>
      <c r="I601" s="251"/>
      <c r="J601" s="251"/>
      <c r="K601" s="251"/>
      <c r="L601" s="251"/>
      <c r="M601" s="251"/>
      <c r="N601" s="251"/>
      <c r="O601" s="251"/>
      <c r="P601" s="251"/>
      <c r="Q601" s="251"/>
      <c r="R601" s="77"/>
      <c r="S601" s="77"/>
      <c r="T601" s="77"/>
      <c r="U601" s="77"/>
      <c r="V601" s="77"/>
    </row>
    <row r="602" spans="1:22">
      <c r="A602" s="77"/>
      <c r="B602" s="77"/>
      <c r="C602" s="251"/>
      <c r="D602" s="251"/>
      <c r="E602" s="251"/>
      <c r="F602" s="251"/>
      <c r="G602" s="251"/>
      <c r="H602" s="251"/>
      <c r="I602" s="251"/>
      <c r="J602" s="251"/>
      <c r="K602" s="251"/>
      <c r="L602" s="251"/>
      <c r="M602" s="251"/>
      <c r="N602" s="251"/>
      <c r="O602" s="251"/>
      <c r="P602" s="251"/>
      <c r="Q602" s="251"/>
      <c r="R602" s="77"/>
      <c r="S602" s="77"/>
      <c r="T602" s="77"/>
      <c r="U602" s="77"/>
      <c r="V602" s="77"/>
    </row>
    <row r="603" spans="1:22">
      <c r="A603" s="77"/>
      <c r="B603" s="77"/>
      <c r="C603" s="251"/>
      <c r="D603" s="251"/>
      <c r="E603" s="251"/>
      <c r="F603" s="251"/>
      <c r="G603" s="251"/>
      <c r="H603" s="251"/>
      <c r="I603" s="251"/>
      <c r="J603" s="251"/>
      <c r="K603" s="251"/>
      <c r="L603" s="251"/>
      <c r="M603" s="251"/>
      <c r="N603" s="251"/>
      <c r="O603" s="251"/>
      <c r="P603" s="251"/>
      <c r="Q603" s="251"/>
      <c r="R603" s="77"/>
      <c r="S603" s="77"/>
      <c r="T603" s="77"/>
      <c r="U603" s="77"/>
      <c r="V603" s="77"/>
    </row>
    <row r="604" spans="1:22">
      <c r="A604" s="77"/>
      <c r="B604" s="77"/>
      <c r="C604" s="251"/>
      <c r="D604" s="251"/>
      <c r="E604" s="251"/>
      <c r="F604" s="251"/>
      <c r="G604" s="251"/>
      <c r="H604" s="251"/>
      <c r="I604" s="251"/>
      <c r="J604" s="251"/>
      <c r="K604" s="251"/>
      <c r="L604" s="251"/>
      <c r="M604" s="251"/>
      <c r="N604" s="251"/>
      <c r="O604" s="251"/>
      <c r="P604" s="251"/>
      <c r="Q604" s="251"/>
      <c r="R604" s="77"/>
      <c r="S604" s="77"/>
      <c r="T604" s="77"/>
      <c r="U604" s="77"/>
      <c r="V604" s="77"/>
    </row>
    <row r="605" spans="1:22">
      <c r="A605" s="77"/>
      <c r="B605" s="77"/>
      <c r="C605" s="251"/>
      <c r="D605" s="251"/>
      <c r="E605" s="251"/>
      <c r="F605" s="251"/>
      <c r="G605" s="251"/>
      <c r="H605" s="251"/>
      <c r="I605" s="251"/>
      <c r="J605" s="251"/>
      <c r="K605" s="251"/>
      <c r="L605" s="251"/>
      <c r="M605" s="251"/>
      <c r="N605" s="251"/>
      <c r="O605" s="251"/>
      <c r="P605" s="251"/>
      <c r="Q605" s="251"/>
      <c r="R605" s="77"/>
      <c r="S605" s="77"/>
      <c r="T605" s="77"/>
      <c r="U605" s="77"/>
      <c r="V605" s="77"/>
    </row>
    <row r="606" spans="1:22">
      <c r="A606" s="77"/>
      <c r="B606" s="77"/>
      <c r="C606" s="251"/>
      <c r="D606" s="251"/>
      <c r="E606" s="251"/>
      <c r="F606" s="251"/>
      <c r="G606" s="251"/>
      <c r="H606" s="251"/>
      <c r="I606" s="251"/>
      <c r="J606" s="251"/>
      <c r="K606" s="251"/>
      <c r="L606" s="251"/>
      <c r="M606" s="251"/>
      <c r="N606" s="251"/>
      <c r="O606" s="251"/>
      <c r="P606" s="251"/>
      <c r="Q606" s="251"/>
      <c r="R606" s="77"/>
      <c r="S606" s="77"/>
      <c r="T606" s="77"/>
      <c r="U606" s="77"/>
      <c r="V606" s="77"/>
    </row>
    <row r="607" spans="1:22">
      <c r="A607" s="77"/>
      <c r="B607" s="77"/>
      <c r="C607" s="251"/>
      <c r="D607" s="251"/>
      <c r="E607" s="251"/>
      <c r="F607" s="251"/>
      <c r="G607" s="251"/>
      <c r="H607" s="251"/>
      <c r="I607" s="251"/>
      <c r="J607" s="251"/>
      <c r="K607" s="251"/>
      <c r="L607" s="251"/>
      <c r="M607" s="251"/>
      <c r="N607" s="251"/>
      <c r="O607" s="251"/>
      <c r="P607" s="251"/>
      <c r="Q607" s="251"/>
      <c r="R607" s="77"/>
      <c r="S607" s="77"/>
      <c r="T607" s="77"/>
      <c r="U607" s="77"/>
      <c r="V607" s="77"/>
    </row>
    <row r="608" spans="1:22">
      <c r="A608" s="77"/>
      <c r="B608" s="77"/>
      <c r="C608" s="251"/>
      <c r="D608" s="251"/>
      <c r="E608" s="251"/>
      <c r="F608" s="251"/>
      <c r="G608" s="251"/>
      <c r="H608" s="251"/>
      <c r="I608" s="251"/>
      <c r="J608" s="251"/>
      <c r="K608" s="251"/>
      <c r="L608" s="251"/>
      <c r="M608" s="251"/>
      <c r="N608" s="251"/>
      <c r="O608" s="251"/>
      <c r="P608" s="251"/>
      <c r="Q608" s="251"/>
      <c r="R608" s="77"/>
      <c r="S608" s="77"/>
      <c r="T608" s="77"/>
      <c r="U608" s="77"/>
      <c r="V608" s="77"/>
    </row>
    <row r="609" spans="1:22">
      <c r="A609" s="77"/>
      <c r="B609" s="77"/>
      <c r="C609" s="251"/>
      <c r="D609" s="251"/>
      <c r="E609" s="251"/>
      <c r="F609" s="251"/>
      <c r="G609" s="251"/>
      <c r="H609" s="251"/>
      <c r="I609" s="251"/>
      <c r="J609" s="251"/>
      <c r="K609" s="251"/>
      <c r="L609" s="251"/>
      <c r="M609" s="251"/>
      <c r="N609" s="251"/>
      <c r="O609" s="251"/>
      <c r="P609" s="251"/>
      <c r="Q609" s="251"/>
      <c r="R609" s="77"/>
      <c r="S609" s="77"/>
      <c r="T609" s="77"/>
      <c r="U609" s="77"/>
      <c r="V609" s="77"/>
    </row>
    <row r="610" spans="1:22">
      <c r="A610" s="77"/>
      <c r="B610" s="77"/>
      <c r="C610" s="251"/>
      <c r="D610" s="251"/>
      <c r="E610" s="251"/>
      <c r="F610" s="251"/>
      <c r="G610" s="251"/>
      <c r="H610" s="251"/>
      <c r="I610" s="251"/>
      <c r="J610" s="251"/>
      <c r="K610" s="251"/>
      <c r="L610" s="251"/>
      <c r="M610" s="251"/>
      <c r="N610" s="251"/>
      <c r="O610" s="251"/>
      <c r="P610" s="251"/>
      <c r="Q610" s="251"/>
      <c r="R610" s="77"/>
      <c r="S610" s="77"/>
      <c r="T610" s="77"/>
      <c r="U610" s="77"/>
      <c r="V610" s="77"/>
    </row>
    <row r="611" spans="1:22">
      <c r="A611" s="77"/>
      <c r="B611" s="77"/>
      <c r="C611" s="251"/>
      <c r="D611" s="251"/>
      <c r="E611" s="251"/>
      <c r="F611" s="251"/>
      <c r="G611" s="251"/>
      <c r="H611" s="251"/>
      <c r="I611" s="251"/>
      <c r="J611" s="251"/>
      <c r="K611" s="251"/>
      <c r="L611" s="251"/>
      <c r="M611" s="251"/>
      <c r="N611" s="251"/>
      <c r="O611" s="251"/>
      <c r="P611" s="251"/>
      <c r="Q611" s="251"/>
      <c r="R611" s="77"/>
      <c r="S611" s="77"/>
      <c r="T611" s="77"/>
      <c r="U611" s="77"/>
      <c r="V611" s="77"/>
    </row>
    <row r="612" spans="1:22">
      <c r="A612" s="77"/>
      <c r="B612" s="77"/>
      <c r="C612" s="251"/>
      <c r="D612" s="251"/>
      <c r="E612" s="251"/>
      <c r="F612" s="251"/>
      <c r="G612" s="251"/>
      <c r="H612" s="251"/>
      <c r="I612" s="251"/>
      <c r="J612" s="251"/>
      <c r="K612" s="251"/>
      <c r="L612" s="251"/>
      <c r="M612" s="251"/>
      <c r="N612" s="251"/>
      <c r="O612" s="251"/>
      <c r="P612" s="251"/>
      <c r="Q612" s="251"/>
      <c r="R612" s="77"/>
      <c r="S612" s="77"/>
      <c r="T612" s="77"/>
      <c r="U612" s="77"/>
      <c r="V612" s="77"/>
    </row>
    <row r="613" spans="1:22">
      <c r="A613" s="77"/>
      <c r="B613" s="77"/>
      <c r="C613" s="251"/>
      <c r="D613" s="251"/>
      <c r="E613" s="251"/>
      <c r="F613" s="251"/>
      <c r="G613" s="251"/>
      <c r="H613" s="251"/>
      <c r="I613" s="251"/>
      <c r="J613" s="251"/>
      <c r="K613" s="251"/>
      <c r="L613" s="251"/>
      <c r="M613" s="251"/>
      <c r="N613" s="251"/>
      <c r="O613" s="251"/>
      <c r="P613" s="251"/>
      <c r="Q613" s="251"/>
      <c r="R613" s="77"/>
      <c r="S613" s="77"/>
      <c r="T613" s="77"/>
      <c r="U613" s="77"/>
      <c r="V613" s="77"/>
    </row>
    <row r="614" spans="1:22">
      <c r="A614" s="77"/>
      <c r="B614" s="77"/>
      <c r="C614" s="251"/>
      <c r="D614" s="251"/>
      <c r="E614" s="251"/>
      <c r="F614" s="251"/>
      <c r="G614" s="251"/>
      <c r="H614" s="251"/>
      <c r="I614" s="251"/>
      <c r="J614" s="251"/>
      <c r="K614" s="251"/>
      <c r="L614" s="251"/>
      <c r="M614" s="251"/>
      <c r="N614" s="251"/>
      <c r="O614" s="251"/>
      <c r="P614" s="251"/>
      <c r="Q614" s="251"/>
      <c r="R614" s="77"/>
      <c r="S614" s="77"/>
      <c r="T614" s="77"/>
      <c r="U614" s="77"/>
      <c r="V614" s="77"/>
    </row>
    <row r="615" spans="1:22">
      <c r="A615" s="77"/>
      <c r="B615" s="77"/>
      <c r="C615" s="251"/>
      <c r="D615" s="251"/>
      <c r="E615" s="251"/>
      <c r="F615" s="251"/>
      <c r="G615" s="251"/>
      <c r="H615" s="251"/>
      <c r="I615" s="251"/>
      <c r="J615" s="251"/>
      <c r="K615" s="251"/>
      <c r="L615" s="251"/>
      <c r="M615" s="251"/>
      <c r="N615" s="251"/>
      <c r="O615" s="251"/>
      <c r="P615" s="251"/>
      <c r="Q615" s="251"/>
      <c r="R615" s="77"/>
      <c r="S615" s="77"/>
      <c r="T615" s="77"/>
      <c r="U615" s="77"/>
      <c r="V615" s="77"/>
    </row>
    <row r="616" spans="1:22">
      <c r="A616" s="77"/>
      <c r="B616" s="77"/>
      <c r="C616" s="77"/>
      <c r="D616" s="77"/>
      <c r="E616" s="77"/>
      <c r="F616" s="77"/>
      <c r="G616" s="77"/>
      <c r="H616" s="77"/>
      <c r="I616" s="77"/>
      <c r="J616" s="77"/>
      <c r="K616" s="77"/>
      <c r="L616" s="77"/>
      <c r="M616" s="77"/>
      <c r="N616" s="77"/>
      <c r="O616" s="77"/>
      <c r="P616" s="77"/>
      <c r="Q616" s="77"/>
      <c r="R616" s="77"/>
      <c r="S616" s="77"/>
      <c r="T616" s="77"/>
      <c r="U616" s="77"/>
      <c r="V616" s="77"/>
    </row>
    <row r="617" spans="1:22">
      <c r="A617" s="77"/>
      <c r="B617" s="77"/>
      <c r="C617" s="77"/>
      <c r="D617" s="77"/>
      <c r="E617" s="77"/>
      <c r="F617" s="77"/>
      <c r="G617" s="77"/>
      <c r="H617" s="77"/>
      <c r="I617" s="77"/>
      <c r="J617" s="77"/>
      <c r="K617" s="77"/>
      <c r="L617" s="77"/>
      <c r="M617" s="77"/>
      <c r="N617" s="77"/>
      <c r="O617" s="77"/>
      <c r="P617" s="77"/>
      <c r="Q617" s="77"/>
      <c r="R617" s="77"/>
      <c r="S617" s="77"/>
      <c r="T617" s="77"/>
      <c r="U617" s="77"/>
      <c r="V617" s="77"/>
    </row>
    <row r="618" spans="1:22">
      <c r="A618" s="77"/>
      <c r="B618" s="77"/>
      <c r="C618" s="77"/>
      <c r="D618" s="77"/>
      <c r="E618" s="77"/>
      <c r="F618" s="77"/>
      <c r="G618" s="77"/>
      <c r="H618" s="77"/>
      <c r="I618" s="77"/>
      <c r="J618" s="77"/>
      <c r="K618" s="77"/>
      <c r="L618" s="77"/>
      <c r="M618" s="77"/>
      <c r="N618" s="77"/>
      <c r="O618" s="77"/>
      <c r="P618" s="77"/>
      <c r="Q618" s="77"/>
      <c r="R618" s="77"/>
      <c r="S618" s="77"/>
      <c r="T618" s="77"/>
      <c r="U618" s="77"/>
      <c r="V618" s="77"/>
    </row>
    <row r="619" spans="1:22">
      <c r="A619" s="77"/>
      <c r="B619" s="77"/>
      <c r="C619" s="77"/>
      <c r="D619" s="77"/>
      <c r="E619" s="77"/>
      <c r="F619" s="77"/>
      <c r="G619" s="77"/>
      <c r="H619" s="77"/>
      <c r="I619" s="77"/>
      <c r="J619" s="77"/>
      <c r="K619" s="77"/>
      <c r="L619" s="77"/>
      <c r="M619" s="77"/>
      <c r="N619" s="77"/>
      <c r="O619" s="77"/>
      <c r="P619" s="77"/>
      <c r="Q619" s="77"/>
      <c r="R619" s="77"/>
      <c r="S619" s="77"/>
      <c r="T619" s="77"/>
      <c r="U619" s="77"/>
      <c r="V619" s="77"/>
    </row>
    <row r="620" spans="1:22">
      <c r="A620" s="77"/>
      <c r="B620" s="77"/>
      <c r="C620" s="77"/>
      <c r="D620" s="77"/>
      <c r="E620" s="77"/>
      <c r="F620" s="77"/>
      <c r="G620" s="77"/>
      <c r="H620" s="77"/>
      <c r="I620" s="77"/>
      <c r="J620" s="77"/>
      <c r="K620" s="77"/>
      <c r="L620" s="77"/>
      <c r="M620" s="77"/>
      <c r="N620" s="77"/>
      <c r="O620" s="77"/>
      <c r="P620" s="77"/>
      <c r="Q620" s="77"/>
      <c r="R620" s="77"/>
      <c r="S620" s="77"/>
      <c r="T620" s="77"/>
      <c r="U620" s="77"/>
      <c r="V620" s="77"/>
    </row>
    <row r="621" spans="1:22">
      <c r="A621" s="77"/>
      <c r="B621" s="77"/>
      <c r="C621" s="77"/>
      <c r="D621" s="77"/>
      <c r="E621" s="77"/>
      <c r="F621" s="77"/>
      <c r="G621" s="77"/>
      <c r="H621" s="77"/>
      <c r="I621" s="77"/>
      <c r="J621" s="77"/>
      <c r="K621" s="77"/>
      <c r="L621" s="77"/>
      <c r="M621" s="77"/>
      <c r="N621" s="77"/>
      <c r="O621" s="77"/>
      <c r="P621" s="77"/>
      <c r="Q621" s="77"/>
      <c r="R621" s="77"/>
      <c r="S621" s="77"/>
      <c r="T621" s="77"/>
      <c r="U621" s="77"/>
      <c r="V621" s="77"/>
    </row>
    <row r="622" spans="1:22">
      <c r="A622" s="77"/>
      <c r="B622" s="77"/>
      <c r="C622" s="77"/>
      <c r="D622" s="77"/>
      <c r="E622" s="77"/>
      <c r="F622" s="77"/>
      <c r="G622" s="77"/>
      <c r="H622" s="77"/>
      <c r="I622" s="77"/>
      <c r="J622" s="77"/>
      <c r="K622" s="77"/>
      <c r="L622" s="77"/>
      <c r="M622" s="77"/>
      <c r="N622" s="77"/>
      <c r="O622" s="77"/>
      <c r="P622" s="77"/>
      <c r="Q622" s="77"/>
      <c r="R622" s="77"/>
      <c r="S622" s="77"/>
      <c r="T622" s="77"/>
      <c r="U622" s="77"/>
      <c r="V622" s="77"/>
    </row>
    <row r="623" spans="1:22">
      <c r="A623" s="77"/>
      <c r="B623" s="77"/>
      <c r="C623" s="77"/>
      <c r="D623" s="77"/>
      <c r="E623" s="77"/>
      <c r="F623" s="77"/>
      <c r="G623" s="77"/>
      <c r="H623" s="77"/>
      <c r="I623" s="77"/>
      <c r="J623" s="77"/>
      <c r="K623" s="77"/>
      <c r="L623" s="77"/>
      <c r="M623" s="77"/>
      <c r="N623" s="77"/>
      <c r="O623" s="77"/>
      <c r="P623" s="77"/>
      <c r="Q623" s="77"/>
      <c r="R623" s="77"/>
      <c r="S623" s="77"/>
      <c r="T623" s="77"/>
      <c r="U623" s="77"/>
      <c r="V623" s="77"/>
    </row>
    <row r="624" spans="1:22">
      <c r="A624" s="77"/>
      <c r="B624" s="77"/>
      <c r="C624" s="77"/>
      <c r="D624" s="77"/>
      <c r="E624" s="77"/>
      <c r="F624" s="77"/>
      <c r="G624" s="77"/>
      <c r="H624" s="77"/>
      <c r="I624" s="77"/>
      <c r="J624" s="77"/>
      <c r="K624" s="77"/>
      <c r="L624" s="77"/>
      <c r="M624" s="77"/>
      <c r="N624" s="77"/>
      <c r="O624" s="77"/>
      <c r="P624" s="77"/>
      <c r="Q624" s="77"/>
      <c r="R624" s="77"/>
      <c r="S624" s="77"/>
      <c r="T624" s="77"/>
      <c r="U624" s="77"/>
      <c r="V624" s="77"/>
    </row>
    <row r="625" spans="1:22">
      <c r="A625" s="77"/>
      <c r="B625" s="77"/>
      <c r="C625" s="77"/>
      <c r="D625" s="77"/>
      <c r="E625" s="77"/>
      <c r="F625" s="77"/>
      <c r="G625" s="77"/>
      <c r="H625" s="77"/>
      <c r="I625" s="77"/>
      <c r="J625" s="77"/>
      <c r="K625" s="77"/>
      <c r="L625" s="77"/>
      <c r="M625" s="77"/>
      <c r="N625" s="77"/>
      <c r="O625" s="77"/>
      <c r="P625" s="77"/>
      <c r="Q625" s="77"/>
      <c r="R625" s="77"/>
      <c r="S625" s="77"/>
      <c r="T625" s="77"/>
      <c r="U625" s="77"/>
      <c r="V625" s="77"/>
    </row>
    <row r="626" spans="1:22">
      <c r="A626" s="77"/>
      <c r="B626" s="77"/>
      <c r="C626" s="77"/>
      <c r="D626" s="77"/>
      <c r="E626" s="77"/>
      <c r="F626" s="77"/>
      <c r="G626" s="77"/>
      <c r="H626" s="77"/>
      <c r="I626" s="77"/>
      <c r="J626" s="77"/>
      <c r="K626" s="77"/>
      <c r="L626" s="77"/>
      <c r="M626" s="77"/>
      <c r="N626" s="77"/>
      <c r="O626" s="77"/>
      <c r="P626" s="77"/>
      <c r="Q626" s="77"/>
      <c r="R626" s="77"/>
      <c r="S626" s="77"/>
      <c r="T626" s="77"/>
      <c r="U626" s="77"/>
      <c r="V626" s="77"/>
    </row>
    <row r="627" spans="1:22">
      <c r="A627" s="77"/>
      <c r="B627" s="77"/>
      <c r="C627" s="77"/>
      <c r="D627" s="77"/>
      <c r="E627" s="77"/>
      <c r="F627" s="77"/>
      <c r="G627" s="77"/>
      <c r="H627" s="77"/>
      <c r="I627" s="77"/>
      <c r="J627" s="77"/>
      <c r="K627" s="77"/>
      <c r="L627" s="77"/>
      <c r="M627" s="77"/>
      <c r="N627" s="77"/>
      <c r="O627" s="77"/>
      <c r="P627" s="77"/>
      <c r="Q627" s="77"/>
      <c r="R627" s="77"/>
      <c r="S627" s="77"/>
      <c r="T627" s="77"/>
      <c r="U627" s="77"/>
      <c r="V627" s="77"/>
    </row>
    <row r="628" spans="1:22">
      <c r="A628" s="77"/>
      <c r="B628" s="77"/>
      <c r="C628" s="77"/>
      <c r="D628" s="77"/>
      <c r="E628" s="77"/>
      <c r="F628" s="77"/>
      <c r="G628" s="77"/>
      <c r="H628" s="77"/>
      <c r="I628" s="77"/>
      <c r="J628" s="77"/>
      <c r="K628" s="77"/>
      <c r="L628" s="77"/>
      <c r="M628" s="77"/>
      <c r="N628" s="77"/>
      <c r="O628" s="77"/>
      <c r="P628" s="77"/>
      <c r="Q628" s="77"/>
      <c r="R628" s="77"/>
      <c r="S628" s="77"/>
      <c r="T628" s="77"/>
      <c r="U628" s="77"/>
      <c r="V628" s="77"/>
    </row>
    <row r="629" spans="1:22">
      <c r="A629" s="77"/>
      <c r="B629" s="77"/>
      <c r="C629" s="77"/>
      <c r="D629" s="77"/>
      <c r="E629" s="77"/>
      <c r="F629" s="77"/>
      <c r="G629" s="77"/>
      <c r="H629" s="77"/>
      <c r="I629" s="77"/>
      <c r="J629" s="77"/>
      <c r="K629" s="77"/>
      <c r="L629" s="77"/>
      <c r="M629" s="77"/>
      <c r="N629" s="77"/>
      <c r="O629" s="77"/>
      <c r="P629" s="77"/>
      <c r="Q629" s="77"/>
      <c r="R629" s="77"/>
      <c r="S629" s="77"/>
      <c r="T629" s="77"/>
      <c r="U629" s="77"/>
      <c r="V629" s="77"/>
    </row>
    <row r="630" spans="1:22">
      <c r="A630" s="77"/>
      <c r="B630" s="77"/>
      <c r="C630" s="77"/>
      <c r="D630" s="77"/>
      <c r="E630" s="77"/>
      <c r="F630" s="77"/>
      <c r="G630" s="77"/>
      <c r="H630" s="77"/>
      <c r="I630" s="77"/>
      <c r="J630" s="77"/>
      <c r="K630" s="77"/>
      <c r="L630" s="77"/>
      <c r="M630" s="77"/>
      <c r="N630" s="77"/>
      <c r="O630" s="77"/>
      <c r="P630" s="77"/>
      <c r="Q630" s="77"/>
      <c r="R630" s="77"/>
      <c r="S630" s="77"/>
      <c r="T630" s="77"/>
      <c r="U630" s="77"/>
      <c r="V630" s="77"/>
    </row>
    <row r="631" spans="1:22">
      <c r="A631" s="77"/>
      <c r="B631" s="77"/>
      <c r="C631" s="77"/>
      <c r="D631" s="77"/>
      <c r="E631" s="77"/>
      <c r="F631" s="77"/>
      <c r="G631" s="77"/>
      <c r="H631" s="77"/>
      <c r="I631" s="77"/>
      <c r="J631" s="77"/>
      <c r="K631" s="77"/>
      <c r="L631" s="77"/>
      <c r="M631" s="77"/>
      <c r="N631" s="77"/>
      <c r="O631" s="77"/>
      <c r="P631" s="77"/>
      <c r="Q631" s="77"/>
      <c r="R631" s="77"/>
      <c r="S631" s="77"/>
      <c r="T631" s="77"/>
      <c r="U631" s="77"/>
      <c r="V631" s="77"/>
    </row>
    <row r="632" spans="1:22">
      <c r="A632" s="77"/>
      <c r="B632" s="77"/>
      <c r="C632" s="77"/>
      <c r="D632" s="77"/>
      <c r="E632" s="77"/>
      <c r="F632" s="77"/>
      <c r="G632" s="77"/>
      <c r="H632" s="77"/>
      <c r="I632" s="77"/>
      <c r="J632" s="77"/>
      <c r="K632" s="77"/>
      <c r="L632" s="77"/>
      <c r="M632" s="77"/>
      <c r="N632" s="77"/>
      <c r="O632" s="77"/>
      <c r="P632" s="77"/>
      <c r="Q632" s="77"/>
      <c r="R632" s="77"/>
      <c r="S632" s="77"/>
      <c r="T632" s="77"/>
      <c r="U632" s="77"/>
      <c r="V632" s="77"/>
    </row>
    <row r="633" spans="1:22">
      <c r="A633" s="77"/>
      <c r="B633" s="77"/>
      <c r="C633" s="77"/>
      <c r="D633" s="77"/>
      <c r="E633" s="77"/>
      <c r="F633" s="77"/>
      <c r="G633" s="77"/>
      <c r="H633" s="77"/>
      <c r="I633" s="77"/>
      <c r="J633" s="77"/>
      <c r="K633" s="77"/>
      <c r="L633" s="77"/>
      <c r="M633" s="77"/>
      <c r="N633" s="77"/>
      <c r="O633" s="77"/>
      <c r="P633" s="77"/>
      <c r="Q633" s="77"/>
      <c r="R633" s="77"/>
      <c r="S633" s="77"/>
      <c r="T633" s="77"/>
      <c r="U633" s="77"/>
      <c r="V633" s="77"/>
    </row>
    <row r="634" spans="1:22">
      <c r="A634" s="77"/>
      <c r="B634" s="77"/>
      <c r="C634" s="77"/>
      <c r="D634" s="77"/>
      <c r="E634" s="77"/>
      <c r="F634" s="77"/>
      <c r="G634" s="77"/>
      <c r="H634" s="77"/>
      <c r="I634" s="77"/>
      <c r="J634" s="77"/>
      <c r="K634" s="77"/>
      <c r="L634" s="77"/>
      <c r="M634" s="77"/>
      <c r="N634" s="77"/>
      <c r="O634" s="77"/>
      <c r="P634" s="77"/>
      <c r="Q634" s="77"/>
      <c r="R634" s="77"/>
      <c r="S634" s="77"/>
      <c r="T634" s="77"/>
      <c r="U634" s="77"/>
      <c r="V634" s="77"/>
    </row>
    <row r="635" spans="1:22">
      <c r="A635" s="77"/>
      <c r="B635" s="77"/>
      <c r="C635" s="77"/>
      <c r="D635" s="77"/>
      <c r="E635" s="77"/>
      <c r="F635" s="77"/>
      <c r="G635" s="77"/>
      <c r="H635" s="77"/>
      <c r="I635" s="77"/>
      <c r="J635" s="77"/>
      <c r="K635" s="77"/>
      <c r="L635" s="77"/>
      <c r="M635" s="77"/>
      <c r="N635" s="77"/>
      <c r="O635" s="77"/>
      <c r="P635" s="77"/>
      <c r="Q635" s="77"/>
      <c r="R635" s="77"/>
      <c r="S635" s="77"/>
      <c r="T635" s="77"/>
      <c r="U635" s="77"/>
      <c r="V635" s="77"/>
    </row>
    <row r="636" spans="1:22">
      <c r="A636" s="77"/>
      <c r="B636" s="77"/>
      <c r="C636" s="77"/>
      <c r="D636" s="77"/>
      <c r="E636" s="77"/>
      <c r="F636" s="77"/>
      <c r="G636" s="77"/>
      <c r="H636" s="77"/>
      <c r="I636" s="77"/>
      <c r="J636" s="77"/>
      <c r="K636" s="77"/>
      <c r="L636" s="77"/>
      <c r="M636" s="77"/>
      <c r="N636" s="77"/>
      <c r="O636" s="77"/>
      <c r="P636" s="77"/>
      <c r="Q636" s="77"/>
      <c r="R636" s="77"/>
      <c r="S636" s="77"/>
      <c r="T636" s="77"/>
      <c r="U636" s="77"/>
      <c r="V636" s="77"/>
    </row>
    <row r="637" spans="1:22">
      <c r="A637" s="77"/>
      <c r="B637" s="77"/>
      <c r="C637" s="77"/>
      <c r="D637" s="77"/>
      <c r="E637" s="77"/>
      <c r="F637" s="77"/>
      <c r="G637" s="77"/>
      <c r="H637" s="77"/>
      <c r="I637" s="77"/>
      <c r="J637" s="77"/>
      <c r="K637" s="77"/>
      <c r="L637" s="77"/>
      <c r="M637" s="77"/>
      <c r="N637" s="77"/>
      <c r="O637" s="77"/>
      <c r="P637" s="77"/>
      <c r="Q637" s="77"/>
      <c r="R637" s="77"/>
      <c r="S637" s="77"/>
      <c r="T637" s="77"/>
      <c r="U637" s="77"/>
      <c r="V637" s="77"/>
    </row>
    <row r="638" spans="1:22">
      <c r="A638" s="77"/>
      <c r="B638" s="77"/>
      <c r="C638" s="77"/>
      <c r="D638" s="77"/>
      <c r="E638" s="77"/>
      <c r="F638" s="77"/>
      <c r="G638" s="77"/>
      <c r="H638" s="77"/>
      <c r="I638" s="77"/>
      <c r="J638" s="77"/>
      <c r="K638" s="77"/>
      <c r="L638" s="77"/>
      <c r="M638" s="77"/>
      <c r="N638" s="77"/>
      <c r="O638" s="77"/>
      <c r="P638" s="77"/>
      <c r="Q638" s="77"/>
      <c r="R638" s="77"/>
      <c r="S638" s="77"/>
      <c r="T638" s="77"/>
      <c r="U638" s="77"/>
      <c r="V638" s="77"/>
    </row>
    <row r="639" spans="1:22">
      <c r="A639" s="77"/>
      <c r="B639" s="77"/>
      <c r="C639" s="77"/>
      <c r="D639" s="77"/>
      <c r="E639" s="77"/>
      <c r="F639" s="77"/>
      <c r="G639" s="77"/>
      <c r="H639" s="77"/>
      <c r="I639" s="77"/>
      <c r="J639" s="77"/>
      <c r="K639" s="77"/>
      <c r="L639" s="77"/>
      <c r="M639" s="77"/>
      <c r="N639" s="77"/>
      <c r="O639" s="77"/>
      <c r="P639" s="77"/>
      <c r="Q639" s="77"/>
      <c r="R639" s="77"/>
      <c r="S639" s="77"/>
      <c r="T639" s="77"/>
      <c r="U639" s="77"/>
      <c r="V639" s="77"/>
    </row>
    <row r="640" spans="1:22">
      <c r="A640" s="77"/>
      <c r="B640" s="77"/>
      <c r="C640" s="77"/>
      <c r="D640" s="77"/>
      <c r="E640" s="77"/>
      <c r="F640" s="77"/>
      <c r="G640" s="77"/>
      <c r="H640" s="77"/>
      <c r="I640" s="77"/>
      <c r="J640" s="77"/>
      <c r="K640" s="77"/>
      <c r="L640" s="77"/>
      <c r="M640" s="77"/>
      <c r="N640" s="77"/>
      <c r="O640" s="77"/>
      <c r="P640" s="77"/>
      <c r="Q640" s="77"/>
      <c r="R640" s="77"/>
      <c r="S640" s="77"/>
      <c r="T640" s="77"/>
      <c r="U640" s="77"/>
      <c r="V640" s="77"/>
    </row>
    <row r="641" spans="1:22">
      <c r="A641" s="77"/>
      <c r="B641" s="77"/>
      <c r="C641" s="77"/>
      <c r="D641" s="77"/>
      <c r="E641" s="77"/>
      <c r="F641" s="77"/>
      <c r="G641" s="77"/>
      <c r="H641" s="77"/>
      <c r="I641" s="77"/>
      <c r="J641" s="77"/>
      <c r="K641" s="77"/>
      <c r="L641" s="77"/>
      <c r="M641" s="77"/>
      <c r="N641" s="77"/>
      <c r="O641" s="77"/>
      <c r="P641" s="77"/>
      <c r="Q641" s="77"/>
      <c r="R641" s="77"/>
      <c r="S641" s="77"/>
      <c r="T641" s="77"/>
      <c r="U641" s="77"/>
      <c r="V641" s="77"/>
    </row>
    <row r="642" spans="1:22">
      <c r="A642" s="77"/>
      <c r="B642" s="77"/>
      <c r="C642" s="77"/>
      <c r="D642" s="77"/>
      <c r="E642" s="77"/>
      <c r="F642" s="77"/>
      <c r="G642" s="77"/>
      <c r="H642" s="77"/>
      <c r="I642" s="77"/>
      <c r="J642" s="77"/>
      <c r="K642" s="77"/>
      <c r="L642" s="77"/>
      <c r="M642" s="77"/>
      <c r="N642" s="77"/>
      <c r="O642" s="77"/>
      <c r="P642" s="77"/>
      <c r="Q642" s="77"/>
      <c r="R642" s="77"/>
      <c r="S642" s="77"/>
      <c r="T642" s="77"/>
      <c r="U642" s="77"/>
      <c r="V642" s="77"/>
    </row>
    <row r="643" spans="1:22">
      <c r="A643" s="77"/>
      <c r="B643" s="77"/>
      <c r="C643" s="77"/>
      <c r="D643" s="77"/>
      <c r="E643" s="77"/>
      <c r="F643" s="77"/>
      <c r="G643" s="77"/>
      <c r="H643" s="77"/>
      <c r="I643" s="77"/>
      <c r="J643" s="77"/>
      <c r="K643" s="77"/>
      <c r="L643" s="77"/>
      <c r="M643" s="77"/>
      <c r="N643" s="77"/>
      <c r="O643" s="77"/>
      <c r="P643" s="77"/>
      <c r="Q643" s="77"/>
      <c r="R643" s="77"/>
      <c r="S643" s="77"/>
      <c r="T643" s="77"/>
      <c r="U643" s="77"/>
      <c r="V643" s="77"/>
    </row>
    <row r="644" spans="1:22">
      <c r="A644" s="77"/>
      <c r="B644" s="77"/>
      <c r="C644" s="77"/>
      <c r="D644" s="77"/>
      <c r="E644" s="77"/>
      <c r="F644" s="77"/>
      <c r="G644" s="77"/>
      <c r="H644" s="77"/>
      <c r="I644" s="77"/>
      <c r="J644" s="77"/>
      <c r="K644" s="77"/>
      <c r="L644" s="77"/>
      <c r="M644" s="77"/>
      <c r="N644" s="77"/>
      <c r="O644" s="77"/>
      <c r="P644" s="77"/>
      <c r="Q644" s="77"/>
      <c r="R644" s="77"/>
      <c r="S644" s="77"/>
      <c r="T644" s="77"/>
      <c r="U644" s="77"/>
      <c r="V644" s="77"/>
    </row>
    <row r="645" spans="1:22">
      <c r="A645" s="77"/>
      <c r="B645" s="77"/>
      <c r="C645" s="77"/>
      <c r="D645" s="77"/>
      <c r="E645" s="77"/>
      <c r="F645" s="77"/>
      <c r="G645" s="77"/>
      <c r="H645" s="77"/>
      <c r="I645" s="77"/>
      <c r="J645" s="77"/>
      <c r="K645" s="77"/>
      <c r="L645" s="77"/>
      <c r="M645" s="77"/>
      <c r="N645" s="77"/>
      <c r="O645" s="77"/>
      <c r="P645" s="77"/>
      <c r="Q645" s="77"/>
      <c r="R645" s="77"/>
      <c r="S645" s="77"/>
      <c r="T645" s="77"/>
      <c r="U645" s="77"/>
      <c r="V645" s="77"/>
    </row>
    <row r="646" spans="1:22">
      <c r="A646" s="77"/>
      <c r="B646" s="77"/>
      <c r="C646" s="77"/>
      <c r="D646" s="77"/>
      <c r="E646" s="77"/>
      <c r="F646" s="77"/>
      <c r="G646" s="77"/>
      <c r="H646" s="77"/>
      <c r="I646" s="77"/>
      <c r="J646" s="77"/>
      <c r="K646" s="77"/>
      <c r="L646" s="77"/>
      <c r="M646" s="77"/>
      <c r="N646" s="77"/>
      <c r="O646" s="77"/>
      <c r="P646" s="77"/>
      <c r="Q646" s="77"/>
      <c r="R646" s="77"/>
      <c r="S646" s="77"/>
      <c r="T646" s="77"/>
      <c r="U646" s="77"/>
      <c r="V646" s="77"/>
    </row>
    <row r="647" spans="1:22">
      <c r="A647" s="77"/>
      <c r="B647" s="77"/>
      <c r="C647" s="77"/>
      <c r="D647" s="77"/>
      <c r="E647" s="77"/>
      <c r="F647" s="77"/>
      <c r="G647" s="77"/>
      <c r="H647" s="77"/>
      <c r="I647" s="77"/>
      <c r="J647" s="77"/>
      <c r="K647" s="77"/>
      <c r="L647" s="77"/>
      <c r="M647" s="77"/>
      <c r="N647" s="77"/>
      <c r="O647" s="77"/>
      <c r="P647" s="77"/>
      <c r="Q647" s="77"/>
      <c r="R647" s="77"/>
      <c r="S647" s="77"/>
      <c r="T647" s="77"/>
      <c r="U647" s="77"/>
      <c r="V647" s="77"/>
    </row>
    <row r="648" spans="1:22">
      <c r="A648" s="77"/>
      <c r="B648" s="77"/>
      <c r="C648" s="77"/>
      <c r="D648" s="77"/>
      <c r="E648" s="77"/>
      <c r="F648" s="77"/>
      <c r="G648" s="77"/>
      <c r="H648" s="77"/>
      <c r="I648" s="77"/>
      <c r="J648" s="77"/>
      <c r="K648" s="77"/>
      <c r="L648" s="77"/>
      <c r="M648" s="77"/>
      <c r="N648" s="77"/>
      <c r="O648" s="77"/>
      <c r="P648" s="77"/>
      <c r="Q648" s="77"/>
      <c r="R648" s="77"/>
      <c r="S648" s="77"/>
      <c r="T648" s="77"/>
      <c r="U648" s="77"/>
      <c r="V648" s="77"/>
    </row>
    <row r="649" spans="1:22">
      <c r="A649" s="77"/>
      <c r="B649" s="77"/>
      <c r="C649" s="77"/>
      <c r="D649" s="77"/>
      <c r="E649" s="77"/>
      <c r="F649" s="77"/>
      <c r="G649" s="77"/>
      <c r="H649" s="77"/>
      <c r="I649" s="77"/>
      <c r="J649" s="77"/>
      <c r="K649" s="77"/>
      <c r="L649" s="77"/>
      <c r="M649" s="77"/>
      <c r="N649" s="77"/>
      <c r="O649" s="77"/>
      <c r="P649" s="77"/>
      <c r="Q649" s="77"/>
      <c r="R649" s="77"/>
      <c r="S649" s="77"/>
      <c r="T649" s="77"/>
      <c r="U649" s="77"/>
      <c r="V649" s="77"/>
    </row>
    <row r="650" spans="1:22">
      <c r="A650" s="77"/>
      <c r="B650" s="77"/>
      <c r="C650" s="77"/>
      <c r="D650" s="77"/>
      <c r="E650" s="77"/>
      <c r="F650" s="77"/>
      <c r="G650" s="77"/>
      <c r="H650" s="77"/>
      <c r="I650" s="77"/>
      <c r="J650" s="77"/>
      <c r="K650" s="77"/>
      <c r="L650" s="77"/>
      <c r="M650" s="77"/>
      <c r="N650" s="77"/>
      <c r="O650" s="77"/>
      <c r="P650" s="77"/>
      <c r="Q650" s="77"/>
      <c r="R650" s="77"/>
      <c r="S650" s="77"/>
      <c r="T650" s="77"/>
      <c r="U650" s="77"/>
      <c r="V650" s="77"/>
    </row>
    <row r="651" spans="1:22">
      <c r="A651" s="77"/>
      <c r="B651" s="77"/>
      <c r="C651" s="77"/>
      <c r="D651" s="77"/>
      <c r="E651" s="77"/>
      <c r="F651" s="77"/>
      <c r="G651" s="77"/>
      <c r="H651" s="77"/>
      <c r="I651" s="77"/>
      <c r="J651" s="77"/>
      <c r="K651" s="77"/>
      <c r="L651" s="77"/>
      <c r="M651" s="77"/>
      <c r="N651" s="77"/>
      <c r="O651" s="77"/>
      <c r="P651" s="77"/>
      <c r="Q651" s="77"/>
      <c r="R651" s="77"/>
      <c r="S651" s="77"/>
      <c r="T651" s="77"/>
      <c r="U651" s="77"/>
      <c r="V651" s="77"/>
    </row>
    <row r="652" spans="1:22">
      <c r="A652" s="77"/>
      <c r="B652" s="77"/>
      <c r="C652" s="77"/>
      <c r="D652" s="77"/>
      <c r="E652" s="77"/>
      <c r="F652" s="77"/>
      <c r="G652" s="77"/>
      <c r="H652" s="77"/>
      <c r="I652" s="77"/>
      <c r="J652" s="77"/>
      <c r="K652" s="77"/>
      <c r="L652" s="77"/>
      <c r="M652" s="77"/>
      <c r="N652" s="77"/>
      <c r="O652" s="77"/>
      <c r="P652" s="77"/>
      <c r="Q652" s="77"/>
      <c r="R652" s="77"/>
      <c r="S652" s="77"/>
      <c r="T652" s="77"/>
      <c r="U652" s="77"/>
      <c r="V652" s="77"/>
    </row>
    <row r="653" spans="1:22">
      <c r="A653" s="77"/>
      <c r="B653" s="77"/>
      <c r="C653" s="77"/>
      <c r="D653" s="77"/>
      <c r="E653" s="77"/>
      <c r="F653" s="77"/>
      <c r="G653" s="77"/>
      <c r="H653" s="77"/>
      <c r="I653" s="77"/>
      <c r="J653" s="77"/>
      <c r="K653" s="77"/>
      <c r="L653" s="77"/>
      <c r="M653" s="77"/>
      <c r="N653" s="77"/>
      <c r="O653" s="77"/>
      <c r="P653" s="77"/>
      <c r="Q653" s="77"/>
      <c r="R653" s="77"/>
      <c r="S653" s="77"/>
      <c r="T653" s="77"/>
      <c r="U653" s="77"/>
      <c r="V653" s="77"/>
    </row>
    <row r="654" spans="1:22">
      <c r="A654" s="77"/>
      <c r="B654" s="77"/>
      <c r="C654" s="77"/>
      <c r="D654" s="77"/>
      <c r="E654" s="77"/>
      <c r="F654" s="77"/>
      <c r="G654" s="77"/>
      <c r="H654" s="77"/>
      <c r="I654" s="77"/>
      <c r="J654" s="77"/>
      <c r="K654" s="77"/>
      <c r="L654" s="77"/>
      <c r="M654" s="77"/>
      <c r="N654" s="77"/>
      <c r="O654" s="77"/>
      <c r="P654" s="77"/>
      <c r="Q654" s="77"/>
      <c r="R654" s="77"/>
      <c r="S654" s="77"/>
      <c r="T654" s="77"/>
      <c r="U654" s="77"/>
      <c r="V654" s="77"/>
    </row>
    <row r="655" spans="1:22">
      <c r="A655" s="77"/>
      <c r="B655" s="77"/>
      <c r="C655" s="77"/>
      <c r="D655" s="77"/>
      <c r="E655" s="77"/>
      <c r="F655" s="77"/>
      <c r="G655" s="77"/>
      <c r="H655" s="77"/>
      <c r="I655" s="77"/>
      <c r="J655" s="77"/>
      <c r="K655" s="77"/>
      <c r="L655" s="77"/>
      <c r="M655" s="77"/>
      <c r="N655" s="77"/>
      <c r="O655" s="77"/>
      <c r="P655" s="77"/>
      <c r="Q655" s="77"/>
      <c r="R655" s="77"/>
      <c r="S655" s="77"/>
      <c r="T655" s="77"/>
      <c r="U655" s="77"/>
      <c r="V655" s="77"/>
    </row>
    <row r="656" spans="1:22">
      <c r="A656" s="77"/>
      <c r="B656" s="77"/>
      <c r="C656" s="77"/>
      <c r="D656" s="77"/>
      <c r="E656" s="77"/>
      <c r="F656" s="77"/>
      <c r="G656" s="77"/>
      <c r="H656" s="77"/>
      <c r="I656" s="77"/>
      <c r="J656" s="77"/>
      <c r="K656" s="77"/>
      <c r="L656" s="77"/>
      <c r="M656" s="77"/>
      <c r="N656" s="77"/>
      <c r="O656" s="77"/>
      <c r="P656" s="77"/>
      <c r="Q656" s="77"/>
      <c r="R656" s="77"/>
      <c r="S656" s="77"/>
      <c r="T656" s="77"/>
      <c r="U656" s="77"/>
      <c r="V656" s="77"/>
    </row>
    <row r="657" spans="1:22">
      <c r="A657" s="77"/>
      <c r="B657" s="77"/>
      <c r="C657" s="77"/>
      <c r="D657" s="77"/>
      <c r="E657" s="77"/>
      <c r="F657" s="77"/>
      <c r="G657" s="77"/>
      <c r="H657" s="77"/>
      <c r="I657" s="77"/>
      <c r="J657" s="77"/>
      <c r="K657" s="77"/>
      <c r="L657" s="77"/>
      <c r="M657" s="77"/>
      <c r="N657" s="77"/>
      <c r="O657" s="77"/>
      <c r="P657" s="77"/>
      <c r="Q657" s="77"/>
      <c r="R657" s="77"/>
      <c r="S657" s="77"/>
      <c r="T657" s="77"/>
      <c r="U657" s="77"/>
      <c r="V657" s="77"/>
    </row>
    <row r="658" spans="1:22">
      <c r="A658" s="77"/>
      <c r="B658" s="77"/>
      <c r="C658" s="77"/>
      <c r="D658" s="77"/>
      <c r="E658" s="77"/>
      <c r="F658" s="77"/>
      <c r="G658" s="77"/>
      <c r="H658" s="77"/>
      <c r="I658" s="77"/>
      <c r="J658" s="77"/>
      <c r="K658" s="77"/>
      <c r="L658" s="77"/>
      <c r="M658" s="77"/>
      <c r="N658" s="77"/>
      <c r="O658" s="77"/>
      <c r="P658" s="77"/>
      <c r="Q658" s="77"/>
      <c r="R658" s="77"/>
      <c r="S658" s="77"/>
      <c r="T658" s="77"/>
      <c r="U658" s="77"/>
      <c r="V658" s="77"/>
    </row>
    <row r="659" spans="1:22">
      <c r="A659" s="77"/>
      <c r="B659" s="77"/>
      <c r="C659" s="77"/>
      <c r="D659" s="77"/>
      <c r="E659" s="77"/>
      <c r="F659" s="77"/>
      <c r="G659" s="77"/>
      <c r="H659" s="77"/>
      <c r="I659" s="77"/>
      <c r="J659" s="77"/>
      <c r="K659" s="77"/>
      <c r="L659" s="77"/>
      <c r="M659" s="77"/>
      <c r="N659" s="77"/>
      <c r="O659" s="77"/>
      <c r="P659" s="77"/>
      <c r="Q659" s="77"/>
      <c r="R659" s="77"/>
      <c r="S659" s="77"/>
      <c r="T659" s="77"/>
      <c r="U659" s="77"/>
      <c r="V659" s="77"/>
    </row>
    <row r="660" spans="1:22">
      <c r="A660" s="77"/>
      <c r="B660" s="77"/>
      <c r="C660" s="77"/>
      <c r="D660" s="77"/>
      <c r="E660" s="77"/>
      <c r="F660" s="77"/>
      <c r="G660" s="77"/>
      <c r="H660" s="77"/>
      <c r="I660" s="77"/>
      <c r="J660" s="77"/>
      <c r="K660" s="77"/>
      <c r="L660" s="77"/>
      <c r="M660" s="77"/>
      <c r="N660" s="77"/>
      <c r="O660" s="77"/>
      <c r="P660" s="77"/>
      <c r="Q660" s="77"/>
      <c r="R660" s="77"/>
      <c r="S660" s="77"/>
      <c r="T660" s="77"/>
      <c r="U660" s="77"/>
      <c r="V660" s="77"/>
    </row>
    <row r="661" spans="1:22">
      <c r="A661" s="77"/>
      <c r="B661" s="77"/>
      <c r="C661" s="77"/>
      <c r="D661" s="77"/>
      <c r="E661" s="77"/>
      <c r="F661" s="77"/>
      <c r="G661" s="77"/>
      <c r="H661" s="77"/>
      <c r="I661" s="77"/>
      <c r="J661" s="77"/>
      <c r="K661" s="77"/>
      <c r="L661" s="77"/>
      <c r="M661" s="77"/>
      <c r="N661" s="77"/>
      <c r="O661" s="77"/>
      <c r="P661" s="77"/>
      <c r="Q661" s="77"/>
      <c r="R661" s="77"/>
      <c r="S661" s="77"/>
      <c r="T661" s="77"/>
      <c r="U661" s="77"/>
      <c r="V661" s="77"/>
    </row>
    <row r="662" spans="1:22">
      <c r="A662" s="77"/>
      <c r="B662" s="77"/>
      <c r="C662" s="77"/>
      <c r="D662" s="77"/>
      <c r="E662" s="77"/>
      <c r="F662" s="77"/>
      <c r="G662" s="77"/>
      <c r="H662" s="77"/>
      <c r="I662" s="77"/>
      <c r="J662" s="77"/>
      <c r="K662" s="77"/>
      <c r="L662" s="77"/>
      <c r="M662" s="77"/>
      <c r="N662" s="77"/>
      <c r="O662" s="77"/>
      <c r="P662" s="77"/>
      <c r="Q662" s="77"/>
      <c r="R662" s="77"/>
      <c r="S662" s="77"/>
      <c r="T662" s="77"/>
      <c r="U662" s="77"/>
      <c r="V662" s="77"/>
    </row>
    <row r="663" spans="1:22">
      <c r="A663" s="77"/>
      <c r="B663" s="77"/>
      <c r="C663" s="77"/>
      <c r="D663" s="77"/>
      <c r="E663" s="77"/>
      <c r="F663" s="77"/>
      <c r="G663" s="77"/>
      <c r="H663" s="77"/>
      <c r="I663" s="77"/>
      <c r="J663" s="77"/>
      <c r="K663" s="77"/>
      <c r="L663" s="77"/>
      <c r="M663" s="77"/>
      <c r="N663" s="77"/>
      <c r="O663" s="77"/>
      <c r="P663" s="77"/>
      <c r="Q663" s="77"/>
      <c r="R663" s="77"/>
      <c r="S663" s="77"/>
      <c r="T663" s="77"/>
      <c r="U663" s="77"/>
      <c r="V663" s="77"/>
    </row>
    <row r="664" spans="1:22">
      <c r="A664" s="77"/>
      <c r="B664" s="77"/>
      <c r="C664" s="77"/>
      <c r="D664" s="77"/>
      <c r="E664" s="77"/>
      <c r="F664" s="77"/>
      <c r="G664" s="77"/>
      <c r="H664" s="77"/>
      <c r="I664" s="77"/>
      <c r="J664" s="77"/>
      <c r="K664" s="77"/>
      <c r="L664" s="77"/>
      <c r="M664" s="77"/>
      <c r="N664" s="77"/>
      <c r="O664" s="77"/>
      <c r="P664" s="77"/>
      <c r="Q664" s="77"/>
      <c r="R664" s="77"/>
      <c r="S664" s="77"/>
      <c r="T664" s="77"/>
      <c r="U664" s="77"/>
      <c r="V664" s="77"/>
    </row>
    <row r="665" spans="1:22">
      <c r="A665" s="77"/>
      <c r="B665" s="77"/>
      <c r="C665" s="77"/>
      <c r="D665" s="77"/>
      <c r="E665" s="77"/>
      <c r="F665" s="77"/>
      <c r="G665" s="77"/>
      <c r="H665" s="77"/>
      <c r="I665" s="77"/>
      <c r="J665" s="77"/>
      <c r="K665" s="77"/>
      <c r="L665" s="77"/>
      <c r="M665" s="77"/>
      <c r="N665" s="77"/>
      <c r="O665" s="77"/>
      <c r="P665" s="77"/>
      <c r="Q665" s="77"/>
      <c r="R665" s="77"/>
      <c r="S665" s="77"/>
      <c r="T665" s="77"/>
      <c r="U665" s="77"/>
      <c r="V665" s="77"/>
    </row>
    <row r="666" spans="1:22">
      <c r="A666" s="77"/>
      <c r="B666" s="77"/>
      <c r="C666" s="77"/>
      <c r="D666" s="77"/>
      <c r="E666" s="77"/>
      <c r="F666" s="77"/>
      <c r="G666" s="77"/>
      <c r="H666" s="77"/>
      <c r="I666" s="77"/>
      <c r="J666" s="77"/>
      <c r="K666" s="77"/>
      <c r="L666" s="77"/>
      <c r="M666" s="77"/>
      <c r="N666" s="77"/>
      <c r="O666" s="77"/>
      <c r="P666" s="77"/>
      <c r="Q666" s="77"/>
      <c r="R666" s="77"/>
      <c r="S666" s="77"/>
      <c r="T666" s="77"/>
      <c r="U666" s="77"/>
      <c r="V666" s="77"/>
    </row>
    <row r="667" spans="1:22">
      <c r="A667" s="77"/>
      <c r="B667" s="77"/>
      <c r="C667" s="77"/>
      <c r="D667" s="77"/>
      <c r="E667" s="77"/>
      <c r="F667" s="77"/>
      <c r="G667" s="77"/>
      <c r="H667" s="77"/>
      <c r="I667" s="77"/>
      <c r="J667" s="77"/>
      <c r="K667" s="77"/>
      <c r="L667" s="77"/>
      <c r="M667" s="77"/>
      <c r="N667" s="77"/>
      <c r="O667" s="77"/>
      <c r="P667" s="77"/>
      <c r="Q667" s="77"/>
      <c r="R667" s="77"/>
      <c r="S667" s="77"/>
      <c r="T667" s="77"/>
      <c r="U667" s="77"/>
      <c r="V667" s="77"/>
    </row>
    <row r="668" spans="1:22">
      <c r="A668" s="77"/>
      <c r="B668" s="77"/>
      <c r="C668" s="77"/>
      <c r="D668" s="77"/>
      <c r="E668" s="77"/>
      <c r="F668" s="77"/>
      <c r="G668" s="77"/>
      <c r="H668" s="77"/>
      <c r="I668" s="77"/>
      <c r="J668" s="77"/>
      <c r="K668" s="77"/>
      <c r="L668" s="77"/>
      <c r="M668" s="77"/>
      <c r="N668" s="77"/>
      <c r="O668" s="77"/>
      <c r="P668" s="77"/>
      <c r="Q668" s="77"/>
      <c r="R668" s="77"/>
      <c r="S668" s="77"/>
      <c r="T668" s="77"/>
      <c r="U668" s="77"/>
      <c r="V668" s="77"/>
    </row>
    <row r="669" spans="1:22">
      <c r="A669" s="77"/>
      <c r="B669" s="77"/>
      <c r="C669" s="77"/>
      <c r="D669" s="77"/>
      <c r="E669" s="77"/>
      <c r="F669" s="77"/>
      <c r="G669" s="77"/>
      <c r="H669" s="77"/>
      <c r="I669" s="77"/>
      <c r="J669" s="77"/>
      <c r="K669" s="77"/>
      <c r="L669" s="77"/>
      <c r="M669" s="77"/>
      <c r="N669" s="77"/>
      <c r="O669" s="77"/>
      <c r="P669" s="77"/>
      <c r="Q669" s="77"/>
      <c r="R669" s="77"/>
      <c r="S669" s="77"/>
      <c r="T669" s="77"/>
      <c r="U669" s="77"/>
      <c r="V669" s="77"/>
    </row>
    <row r="670" spans="1:22">
      <c r="A670" s="77"/>
      <c r="B670" s="77"/>
      <c r="C670" s="77"/>
      <c r="D670" s="77"/>
      <c r="E670" s="77"/>
      <c r="F670" s="77"/>
      <c r="G670" s="77"/>
      <c r="H670" s="77"/>
      <c r="I670" s="77"/>
      <c r="J670" s="77"/>
      <c r="K670" s="77"/>
      <c r="L670" s="77"/>
      <c r="M670" s="77"/>
      <c r="N670" s="77"/>
      <c r="O670" s="77"/>
      <c r="P670" s="77"/>
      <c r="Q670" s="77"/>
      <c r="R670" s="77"/>
      <c r="S670" s="77"/>
      <c r="T670" s="77"/>
      <c r="U670" s="77"/>
      <c r="V670" s="77"/>
    </row>
    <row r="671" spans="1:22">
      <c r="A671" s="77"/>
      <c r="B671" s="77"/>
      <c r="C671" s="77"/>
      <c r="D671" s="77"/>
      <c r="E671" s="77"/>
      <c r="F671" s="77"/>
      <c r="G671" s="77"/>
      <c r="H671" s="77"/>
      <c r="I671" s="77"/>
      <c r="J671" s="77"/>
      <c r="K671" s="77"/>
      <c r="L671" s="77"/>
      <c r="M671" s="77"/>
      <c r="N671" s="77"/>
      <c r="O671" s="77"/>
      <c r="P671" s="77"/>
      <c r="Q671" s="77"/>
      <c r="R671" s="77"/>
      <c r="S671" s="77"/>
      <c r="T671" s="77"/>
      <c r="U671" s="77"/>
      <c r="V671" s="77"/>
    </row>
    <row r="672" spans="1:22">
      <c r="A672" s="77"/>
      <c r="B672" s="77"/>
      <c r="C672" s="77"/>
      <c r="D672" s="77"/>
      <c r="E672" s="77"/>
      <c r="F672" s="77"/>
      <c r="G672" s="77"/>
      <c r="H672" s="77"/>
      <c r="I672" s="77"/>
      <c r="J672" s="77"/>
      <c r="K672" s="77"/>
      <c r="L672" s="77"/>
      <c r="M672" s="77"/>
      <c r="N672" s="77"/>
      <c r="O672" s="77"/>
      <c r="P672" s="77"/>
      <c r="Q672" s="77"/>
      <c r="R672" s="77"/>
      <c r="S672" s="77"/>
      <c r="T672" s="77"/>
      <c r="U672" s="77"/>
      <c r="V672" s="77"/>
    </row>
    <row r="673" spans="1:22">
      <c r="A673" s="77"/>
      <c r="B673" s="77"/>
      <c r="C673" s="77"/>
      <c r="D673" s="77"/>
      <c r="E673" s="77"/>
      <c r="F673" s="77"/>
      <c r="G673" s="77"/>
      <c r="H673" s="77"/>
      <c r="I673" s="77"/>
      <c r="J673" s="77"/>
      <c r="K673" s="77"/>
      <c r="L673" s="77"/>
      <c r="M673" s="77"/>
      <c r="N673" s="77"/>
      <c r="O673" s="77"/>
      <c r="P673" s="77"/>
      <c r="Q673" s="77"/>
      <c r="R673" s="77"/>
      <c r="S673" s="77"/>
      <c r="T673" s="77"/>
      <c r="U673" s="77"/>
      <c r="V673" s="77"/>
    </row>
    <row r="674" spans="1:22">
      <c r="A674" s="77"/>
      <c r="B674" s="77"/>
      <c r="C674" s="77"/>
      <c r="D674" s="77"/>
      <c r="E674" s="77"/>
      <c r="F674" s="77"/>
      <c r="G674" s="77"/>
      <c r="H674" s="77"/>
      <c r="I674" s="77"/>
      <c r="J674" s="77"/>
      <c r="K674" s="77"/>
      <c r="L674" s="77"/>
      <c r="M674" s="77"/>
      <c r="N674" s="77"/>
      <c r="O674" s="77"/>
      <c r="P674" s="77"/>
      <c r="Q674" s="77"/>
      <c r="R674" s="77"/>
      <c r="S674" s="77"/>
      <c r="T674" s="77"/>
      <c r="U674" s="77"/>
      <c r="V674" s="77"/>
    </row>
    <row r="675" spans="1:22">
      <c r="A675" s="77"/>
      <c r="B675" s="77"/>
      <c r="C675" s="77"/>
      <c r="D675" s="77"/>
      <c r="E675" s="77"/>
      <c r="F675" s="77"/>
      <c r="G675" s="77"/>
      <c r="H675" s="77"/>
      <c r="I675" s="77"/>
      <c r="J675" s="77"/>
      <c r="K675" s="77"/>
      <c r="L675" s="77"/>
      <c r="M675" s="77"/>
      <c r="N675" s="77"/>
      <c r="O675" s="77"/>
      <c r="P675" s="77"/>
      <c r="Q675" s="77"/>
      <c r="R675" s="77"/>
      <c r="S675" s="77"/>
      <c r="T675" s="77"/>
      <c r="U675" s="77"/>
      <c r="V675" s="77"/>
    </row>
    <row r="676" spans="1:22">
      <c r="A676" s="77"/>
      <c r="B676" s="77"/>
      <c r="C676" s="77"/>
      <c r="D676" s="77"/>
      <c r="E676" s="77"/>
      <c r="F676" s="77"/>
      <c r="G676" s="77"/>
      <c r="H676" s="77"/>
      <c r="I676" s="77"/>
      <c r="J676" s="77"/>
      <c r="K676" s="77"/>
      <c r="L676" s="77"/>
      <c r="M676" s="77"/>
      <c r="N676" s="77"/>
      <c r="O676" s="77"/>
      <c r="P676" s="77"/>
      <c r="Q676" s="77"/>
      <c r="R676" s="77"/>
      <c r="S676" s="77"/>
      <c r="T676" s="77"/>
      <c r="U676" s="77"/>
      <c r="V676" s="77"/>
    </row>
    <row r="677" spans="1:22">
      <c r="A677" s="77"/>
      <c r="B677" s="77"/>
      <c r="C677" s="77"/>
      <c r="D677" s="77"/>
      <c r="E677" s="77"/>
      <c r="F677" s="77"/>
      <c r="G677" s="77"/>
      <c r="H677" s="77"/>
      <c r="I677" s="77"/>
      <c r="J677" s="77"/>
      <c r="K677" s="77"/>
      <c r="L677" s="77"/>
      <c r="M677" s="77"/>
      <c r="N677" s="77"/>
      <c r="O677" s="77"/>
      <c r="P677" s="77"/>
      <c r="Q677" s="77"/>
      <c r="R677" s="77"/>
      <c r="S677" s="77"/>
      <c r="T677" s="77"/>
      <c r="U677" s="77"/>
      <c r="V677" s="77"/>
    </row>
    <row r="678" spans="1:22">
      <c r="A678" s="77"/>
      <c r="B678" s="77"/>
      <c r="C678" s="77"/>
      <c r="D678" s="77"/>
      <c r="E678" s="77"/>
      <c r="F678" s="77"/>
      <c r="G678" s="77"/>
      <c r="H678" s="77"/>
      <c r="I678" s="77"/>
      <c r="J678" s="77"/>
      <c r="K678" s="77"/>
      <c r="L678" s="77"/>
      <c r="M678" s="77"/>
      <c r="N678" s="77"/>
      <c r="O678" s="77"/>
      <c r="P678" s="77"/>
      <c r="Q678" s="77"/>
      <c r="R678" s="77"/>
      <c r="S678" s="77"/>
      <c r="T678" s="77"/>
      <c r="U678" s="77"/>
      <c r="V678" s="77"/>
    </row>
    <row r="679" spans="1:22">
      <c r="A679" s="77"/>
      <c r="B679" s="77"/>
      <c r="C679" s="77"/>
      <c r="D679" s="77"/>
      <c r="E679" s="77"/>
      <c r="F679" s="77"/>
      <c r="G679" s="77"/>
      <c r="H679" s="77"/>
      <c r="I679" s="77"/>
      <c r="J679" s="77"/>
      <c r="K679" s="77"/>
      <c r="L679" s="77"/>
      <c r="M679" s="77"/>
      <c r="N679" s="77"/>
      <c r="O679" s="77"/>
      <c r="P679" s="77"/>
      <c r="Q679" s="77"/>
      <c r="R679" s="77"/>
      <c r="S679" s="77"/>
      <c r="T679" s="77"/>
      <c r="U679" s="77"/>
      <c r="V679" s="77"/>
    </row>
    <row r="680" spans="1:22">
      <c r="A680" s="77"/>
      <c r="B680" s="77"/>
      <c r="C680" s="77"/>
      <c r="D680" s="77"/>
      <c r="E680" s="77"/>
      <c r="F680" s="77"/>
      <c r="G680" s="77"/>
      <c r="H680" s="77"/>
      <c r="I680" s="77"/>
      <c r="J680" s="77"/>
      <c r="K680" s="77"/>
      <c r="L680" s="77"/>
      <c r="M680" s="77"/>
      <c r="N680" s="77"/>
      <c r="O680" s="77"/>
      <c r="P680" s="77"/>
      <c r="Q680" s="77"/>
      <c r="R680" s="77"/>
      <c r="S680" s="77"/>
      <c r="T680" s="77"/>
      <c r="U680" s="77"/>
      <c r="V680" s="77"/>
    </row>
    <row r="681" spans="1:22">
      <c r="A681" s="77"/>
      <c r="B681" s="77"/>
      <c r="C681" s="77"/>
      <c r="D681" s="77"/>
      <c r="E681" s="77"/>
      <c r="F681" s="77"/>
      <c r="G681" s="77"/>
      <c r="H681" s="77"/>
      <c r="I681" s="77"/>
      <c r="J681" s="77"/>
      <c r="K681" s="77"/>
      <c r="L681" s="77"/>
      <c r="M681" s="77"/>
      <c r="N681" s="77"/>
      <c r="O681" s="77"/>
      <c r="P681" s="77"/>
      <c r="Q681" s="77"/>
      <c r="R681" s="77"/>
      <c r="S681" s="77"/>
      <c r="T681" s="77"/>
      <c r="U681" s="77"/>
      <c r="V681" s="77"/>
    </row>
    <row r="682" spans="1:22">
      <c r="A682" s="77"/>
      <c r="B682" s="77"/>
      <c r="C682" s="77"/>
      <c r="D682" s="77"/>
      <c r="E682" s="77"/>
      <c r="F682" s="77"/>
      <c r="G682" s="77"/>
      <c r="H682" s="77"/>
      <c r="I682" s="77"/>
      <c r="J682" s="77"/>
      <c r="K682" s="77"/>
      <c r="L682" s="77"/>
      <c r="M682" s="77"/>
      <c r="N682" s="77"/>
      <c r="O682" s="77"/>
      <c r="P682" s="77"/>
      <c r="Q682" s="77"/>
      <c r="R682" s="77"/>
      <c r="S682" s="77"/>
      <c r="T682" s="77"/>
      <c r="U682" s="77"/>
      <c r="V682" s="77"/>
    </row>
    <row r="683" spans="1:22">
      <c r="A683" s="77"/>
      <c r="B683" s="77"/>
      <c r="C683" s="77"/>
      <c r="D683" s="77"/>
      <c r="E683" s="77"/>
      <c r="F683" s="77"/>
      <c r="G683" s="77"/>
      <c r="H683" s="77"/>
      <c r="I683" s="77"/>
      <c r="J683" s="77"/>
      <c r="K683" s="77"/>
      <c r="L683" s="77"/>
      <c r="M683" s="77"/>
      <c r="N683" s="77"/>
      <c r="O683" s="77"/>
      <c r="P683" s="77"/>
      <c r="Q683" s="77"/>
      <c r="R683" s="77"/>
      <c r="S683" s="77"/>
      <c r="T683" s="77"/>
      <c r="U683" s="77"/>
      <c r="V683" s="77"/>
    </row>
    <row r="684" spans="1:22">
      <c r="A684" s="77"/>
      <c r="B684" s="77"/>
      <c r="C684" s="77"/>
      <c r="D684" s="77"/>
      <c r="E684" s="77"/>
      <c r="F684" s="77"/>
      <c r="G684" s="77"/>
      <c r="H684" s="77"/>
      <c r="I684" s="77"/>
      <c r="J684" s="77"/>
      <c r="K684" s="77"/>
      <c r="L684" s="77"/>
      <c r="M684" s="77"/>
      <c r="N684" s="77"/>
      <c r="O684" s="77"/>
      <c r="P684" s="77"/>
      <c r="Q684" s="77"/>
      <c r="R684" s="77"/>
      <c r="S684" s="77"/>
      <c r="T684" s="77"/>
      <c r="U684" s="77"/>
      <c r="V684" s="77"/>
    </row>
    <row r="685" spans="1:22">
      <c r="A685" s="77"/>
      <c r="B685" s="77"/>
      <c r="C685" s="77"/>
      <c r="D685" s="77"/>
      <c r="E685" s="77"/>
      <c r="F685" s="77"/>
      <c r="G685" s="77"/>
      <c r="H685" s="77"/>
      <c r="I685" s="77"/>
      <c r="J685" s="16"/>
      <c r="K685" s="77"/>
      <c r="L685" s="77"/>
      <c r="M685" s="77"/>
      <c r="N685" s="77"/>
      <c r="O685" s="77"/>
      <c r="P685" s="77"/>
      <c r="Q685" s="77"/>
      <c r="R685" s="77"/>
      <c r="S685" s="77"/>
      <c r="T685" s="77"/>
      <c r="U685" s="77"/>
      <c r="V685" s="77"/>
    </row>
    <row r="686" spans="1:22" s="18" customFormat="1" ht="11.25" customHeight="1">
      <c r="A686" s="30"/>
      <c r="B686" s="30"/>
      <c r="C686" s="30"/>
      <c r="D686" s="77"/>
      <c r="E686" s="77"/>
      <c r="F686" s="77"/>
      <c r="G686" s="16"/>
      <c r="H686" s="16"/>
      <c r="I686" s="16"/>
      <c r="J686" s="16"/>
      <c r="K686" s="30"/>
      <c r="L686" s="30"/>
      <c r="M686" s="30"/>
      <c r="N686" s="77"/>
      <c r="O686" s="77"/>
      <c r="P686" s="16"/>
      <c r="Q686" s="30"/>
      <c r="R686" s="43"/>
      <c r="S686" s="43"/>
      <c r="T686" s="43"/>
      <c r="U686" s="43"/>
      <c r="V686" s="43"/>
    </row>
    <row r="687" spans="1:22" s="18" customFormat="1" ht="11.25" customHeight="1">
      <c r="A687" s="16"/>
      <c r="B687" s="16"/>
      <c r="C687" s="16"/>
      <c r="D687" s="77"/>
      <c r="E687" s="77"/>
      <c r="F687" s="77"/>
      <c r="G687" s="16"/>
      <c r="H687" s="16"/>
      <c r="I687" s="16"/>
      <c r="J687" s="16"/>
      <c r="K687" s="16"/>
      <c r="L687" s="16"/>
      <c r="M687" s="16"/>
      <c r="N687" s="77"/>
      <c r="O687" s="16"/>
      <c r="P687" s="16"/>
      <c r="Q687" s="16"/>
      <c r="R687" s="43"/>
      <c r="S687" s="43"/>
      <c r="T687" s="43"/>
      <c r="U687" s="43"/>
      <c r="V687" s="43"/>
    </row>
    <row r="688" spans="1:22" s="18" customFormat="1" ht="11.25" customHeight="1">
      <c r="A688" s="16"/>
      <c r="B688" s="16"/>
      <c r="C688" s="16"/>
      <c r="D688" s="77"/>
      <c r="E688" s="77"/>
      <c r="F688" s="77"/>
      <c r="G688" s="16"/>
      <c r="H688" s="16"/>
      <c r="I688" s="16"/>
      <c r="J688" s="16"/>
      <c r="K688" s="16"/>
      <c r="L688" s="16"/>
      <c r="M688" s="16"/>
      <c r="N688" s="77"/>
      <c r="O688" s="16"/>
      <c r="P688" s="16"/>
      <c r="Q688" s="16"/>
      <c r="R688" s="43"/>
      <c r="S688" s="43"/>
      <c r="T688" s="43"/>
      <c r="U688" s="43"/>
      <c r="V688" s="43"/>
    </row>
    <row r="689" spans="1:22" s="18" customFormat="1" ht="11.25" customHeight="1">
      <c r="A689" s="16"/>
      <c r="B689" s="16"/>
      <c r="C689" s="16"/>
      <c r="D689" s="77"/>
      <c r="E689" s="77"/>
      <c r="F689" s="77"/>
      <c r="G689" s="16"/>
      <c r="H689" s="16"/>
      <c r="I689" s="16"/>
      <c r="J689" s="16"/>
      <c r="K689" s="16"/>
      <c r="L689" s="16"/>
      <c r="M689" s="16"/>
      <c r="N689" s="77"/>
      <c r="O689" s="16"/>
      <c r="P689" s="16"/>
      <c r="Q689" s="16"/>
      <c r="R689" s="43"/>
      <c r="S689" s="43"/>
      <c r="T689" s="43"/>
      <c r="U689" s="43"/>
      <c r="V689" s="43"/>
    </row>
    <row r="690" spans="1:22" s="18" customFormat="1" ht="11.25" customHeight="1">
      <c r="A690" s="16"/>
      <c r="B690" s="16"/>
      <c r="C690" s="16"/>
      <c r="D690" s="77"/>
      <c r="E690" s="77"/>
      <c r="F690" s="77"/>
      <c r="G690" s="77"/>
      <c r="H690" s="77"/>
      <c r="I690" s="16"/>
      <c r="J690" s="77"/>
      <c r="K690" s="16"/>
      <c r="L690" s="16"/>
      <c r="M690" s="16"/>
      <c r="N690" s="77"/>
      <c r="O690" s="16"/>
      <c r="P690" s="77"/>
      <c r="Q690" s="16"/>
      <c r="R690" s="43"/>
      <c r="S690" s="43"/>
      <c r="T690" s="43"/>
      <c r="U690" s="43"/>
      <c r="V690" s="43"/>
    </row>
    <row r="691" spans="1:22">
      <c r="A691" s="16"/>
      <c r="B691" s="16"/>
      <c r="C691" s="16"/>
      <c r="D691" s="77"/>
      <c r="E691" s="77"/>
      <c r="F691" s="77"/>
      <c r="G691" s="77"/>
      <c r="H691" s="77"/>
      <c r="I691" s="77"/>
      <c r="J691" s="77"/>
      <c r="K691" s="16"/>
      <c r="L691" s="16"/>
      <c r="M691" s="16"/>
      <c r="N691" s="77"/>
      <c r="O691" s="16"/>
      <c r="P691" s="77"/>
      <c r="Q691" s="16"/>
      <c r="R691" s="77"/>
      <c r="S691" s="77"/>
      <c r="T691" s="77"/>
      <c r="U691" s="77"/>
      <c r="V691" s="77"/>
    </row>
    <row r="692" spans="1:22">
      <c r="A692" s="77"/>
      <c r="B692" s="77"/>
      <c r="C692" s="77"/>
      <c r="D692" s="77"/>
      <c r="E692" s="77"/>
      <c r="F692" s="77"/>
      <c r="G692" s="77"/>
      <c r="H692" s="77"/>
      <c r="I692" s="77"/>
      <c r="J692" s="77"/>
      <c r="K692" s="77"/>
      <c r="L692" s="77"/>
      <c r="M692" s="77"/>
      <c r="N692" s="77"/>
      <c r="O692" s="77"/>
      <c r="P692" s="77"/>
      <c r="Q692" s="77"/>
      <c r="R692" s="77"/>
      <c r="S692" s="77"/>
      <c r="T692" s="77"/>
      <c r="U692" s="77"/>
      <c r="V692" s="77"/>
    </row>
    <row r="693" spans="1:22">
      <c r="A693" s="77"/>
      <c r="B693" s="77"/>
      <c r="C693" s="77"/>
      <c r="D693" s="77"/>
      <c r="E693" s="77"/>
      <c r="F693" s="77"/>
      <c r="G693" s="77"/>
      <c r="H693" s="77"/>
      <c r="I693" s="77"/>
      <c r="J693" s="77"/>
      <c r="K693" s="77"/>
      <c r="L693" s="77"/>
      <c r="M693" s="77"/>
      <c r="N693" s="77"/>
      <c r="O693" s="77"/>
      <c r="P693" s="77"/>
      <c r="Q693" s="77"/>
      <c r="R693" s="77"/>
      <c r="S693" s="77"/>
      <c r="T693" s="77"/>
      <c r="U693" s="77"/>
      <c r="V693" s="77"/>
    </row>
    <row r="694" spans="1:22">
      <c r="A694" s="77"/>
      <c r="B694" s="77"/>
      <c r="C694" s="77"/>
      <c r="D694" s="77"/>
      <c r="E694" s="77"/>
      <c r="F694" s="77"/>
      <c r="G694" s="77"/>
      <c r="H694" s="77"/>
      <c r="I694" s="77"/>
      <c r="J694" s="77"/>
      <c r="K694" s="77"/>
      <c r="L694" s="77"/>
      <c r="M694" s="77"/>
      <c r="N694" s="77"/>
      <c r="O694" s="77"/>
      <c r="P694" s="77"/>
      <c r="Q694" s="77"/>
      <c r="R694" s="77"/>
      <c r="S694" s="77"/>
      <c r="T694" s="77"/>
      <c r="U694" s="77"/>
      <c r="V694" s="77"/>
    </row>
    <row r="695" spans="1:22">
      <c r="A695" s="77"/>
      <c r="B695" s="77"/>
      <c r="C695" s="77"/>
      <c r="D695" s="77"/>
      <c r="E695" s="77"/>
      <c r="F695" s="77"/>
      <c r="G695" s="77"/>
      <c r="H695" s="77"/>
      <c r="I695" s="77"/>
      <c r="J695" s="77"/>
      <c r="K695" s="77"/>
      <c r="L695" s="77"/>
      <c r="M695" s="77"/>
      <c r="N695" s="77"/>
      <c r="O695" s="77"/>
      <c r="P695" s="77"/>
      <c r="Q695" s="77"/>
      <c r="R695" s="77"/>
      <c r="S695" s="77"/>
      <c r="T695" s="77"/>
      <c r="U695" s="77"/>
      <c r="V695" s="77"/>
    </row>
    <row r="696" spans="1:22">
      <c r="A696" s="77"/>
      <c r="B696" s="77"/>
      <c r="C696" s="77"/>
      <c r="D696" s="77"/>
      <c r="E696" s="77"/>
      <c r="F696" s="77"/>
      <c r="G696" s="77"/>
      <c r="H696" s="77"/>
      <c r="I696" s="77"/>
      <c r="J696" s="77"/>
      <c r="K696" s="77"/>
      <c r="L696" s="77"/>
      <c r="M696" s="77"/>
      <c r="N696" s="77"/>
      <c r="O696" s="77"/>
      <c r="P696" s="77"/>
      <c r="Q696" s="77"/>
      <c r="R696" s="77"/>
      <c r="S696" s="77"/>
      <c r="T696" s="77"/>
      <c r="U696" s="77"/>
      <c r="V696" s="77"/>
    </row>
    <row r="697" spans="1:22">
      <c r="A697" s="77"/>
      <c r="B697" s="77"/>
      <c r="C697" s="77"/>
      <c r="D697" s="77"/>
      <c r="E697" s="77"/>
      <c r="F697" s="77"/>
      <c r="G697" s="77"/>
      <c r="H697" s="77"/>
      <c r="I697" s="77"/>
      <c r="J697" s="77"/>
      <c r="K697" s="77"/>
      <c r="L697" s="77"/>
      <c r="M697" s="77"/>
      <c r="N697" s="77"/>
      <c r="O697" s="77"/>
      <c r="P697" s="77"/>
      <c r="Q697" s="77"/>
      <c r="R697" s="77"/>
      <c r="S697" s="77"/>
      <c r="T697" s="77"/>
      <c r="U697" s="77"/>
      <c r="V697" s="77"/>
    </row>
    <row r="698" spans="1:22">
      <c r="A698" s="77"/>
      <c r="B698" s="77"/>
      <c r="C698" s="77"/>
      <c r="D698" s="77"/>
      <c r="E698" s="77"/>
      <c r="F698" s="77"/>
      <c r="G698" s="77"/>
      <c r="H698" s="77"/>
      <c r="I698" s="77"/>
      <c r="J698" s="77"/>
      <c r="K698" s="77"/>
      <c r="L698" s="77"/>
      <c r="M698" s="77"/>
      <c r="N698" s="77"/>
      <c r="O698" s="77"/>
      <c r="P698" s="77"/>
      <c r="Q698" s="77"/>
      <c r="R698" s="77"/>
      <c r="S698" s="77"/>
      <c r="T698" s="77"/>
      <c r="U698" s="77"/>
      <c r="V698" s="77"/>
    </row>
    <row r="699" spans="1:22">
      <c r="A699" s="77"/>
      <c r="B699" s="77"/>
      <c r="C699" s="77"/>
      <c r="D699" s="77"/>
      <c r="E699" s="77"/>
      <c r="F699" s="77"/>
      <c r="G699" s="77"/>
      <c r="H699" s="77"/>
      <c r="I699" s="77"/>
      <c r="J699" s="77"/>
      <c r="K699" s="77"/>
      <c r="L699" s="77"/>
      <c r="M699" s="77"/>
      <c r="N699" s="77"/>
      <c r="O699" s="77"/>
      <c r="P699" s="77"/>
      <c r="Q699" s="77"/>
      <c r="R699" s="77"/>
      <c r="S699" s="77"/>
      <c r="T699" s="77"/>
      <c r="U699" s="77"/>
      <c r="V699" s="77"/>
    </row>
    <row r="700" spans="1:22">
      <c r="A700" s="77"/>
      <c r="B700" s="77"/>
      <c r="C700" s="77"/>
      <c r="D700" s="77"/>
      <c r="E700" s="77"/>
      <c r="F700" s="77"/>
      <c r="G700" s="77"/>
      <c r="H700" s="77"/>
      <c r="I700" s="77"/>
      <c r="J700" s="77"/>
      <c r="K700" s="77"/>
      <c r="L700" s="77"/>
      <c r="M700" s="77"/>
      <c r="N700" s="77"/>
      <c r="O700" s="77"/>
      <c r="P700" s="77"/>
      <c r="Q700" s="77"/>
      <c r="R700" s="77"/>
      <c r="S700" s="77"/>
      <c r="T700" s="77"/>
      <c r="U700" s="77"/>
      <c r="V700" s="77"/>
    </row>
    <row r="701" spans="1:22">
      <c r="A701" s="77"/>
      <c r="B701" s="77"/>
      <c r="C701" s="77"/>
      <c r="D701" s="77"/>
      <c r="E701" s="77"/>
      <c r="F701" s="77"/>
      <c r="G701" s="77"/>
      <c r="H701" s="77"/>
      <c r="I701" s="77"/>
      <c r="J701" s="77"/>
      <c r="K701" s="77"/>
      <c r="L701" s="77"/>
      <c r="M701" s="77"/>
      <c r="N701" s="77"/>
      <c r="O701" s="77"/>
      <c r="P701" s="77"/>
      <c r="Q701" s="77"/>
      <c r="R701" s="77"/>
      <c r="S701" s="77"/>
      <c r="T701" s="77"/>
      <c r="U701" s="77"/>
      <c r="V701" s="77"/>
    </row>
    <row r="702" spans="1:22">
      <c r="A702" s="77"/>
      <c r="B702" s="77"/>
      <c r="C702" s="77"/>
      <c r="D702" s="77"/>
      <c r="E702" s="77"/>
      <c r="F702" s="77"/>
      <c r="G702" s="77"/>
      <c r="H702" s="77"/>
      <c r="I702" s="77"/>
      <c r="J702" s="77"/>
      <c r="K702" s="77"/>
      <c r="L702" s="77"/>
      <c r="M702" s="77"/>
      <c r="N702" s="77"/>
      <c r="O702" s="77"/>
      <c r="P702" s="77"/>
      <c r="Q702" s="77"/>
      <c r="R702" s="77"/>
      <c r="S702" s="77"/>
      <c r="T702" s="77"/>
      <c r="U702" s="77"/>
      <c r="V702" s="77"/>
    </row>
    <row r="703" spans="1:22">
      <c r="A703" s="77"/>
      <c r="B703" s="77"/>
      <c r="C703" s="77"/>
      <c r="D703" s="77"/>
      <c r="E703" s="77"/>
      <c r="F703" s="77"/>
      <c r="G703" s="77"/>
      <c r="H703" s="77"/>
      <c r="I703" s="77"/>
      <c r="J703" s="77"/>
      <c r="K703" s="77"/>
      <c r="L703" s="77"/>
      <c r="M703" s="77"/>
      <c r="N703" s="77"/>
      <c r="O703" s="77"/>
      <c r="P703" s="77"/>
      <c r="Q703" s="77"/>
      <c r="R703" s="77"/>
      <c r="S703" s="77"/>
      <c r="T703" s="77"/>
      <c r="U703" s="77"/>
      <c r="V703" s="77"/>
    </row>
    <row r="704" spans="1:22">
      <c r="A704" s="77"/>
      <c r="B704" s="77"/>
      <c r="C704" s="77"/>
      <c r="D704" s="77"/>
      <c r="E704" s="77"/>
      <c r="F704" s="77"/>
      <c r="G704" s="77"/>
      <c r="H704" s="77"/>
      <c r="I704" s="77"/>
      <c r="J704" s="77"/>
      <c r="K704" s="77"/>
      <c r="L704" s="77"/>
      <c r="M704" s="77"/>
      <c r="N704" s="77"/>
      <c r="O704" s="77"/>
      <c r="P704" s="77"/>
      <c r="Q704" s="77"/>
      <c r="R704" s="77"/>
      <c r="S704" s="77"/>
      <c r="T704" s="77"/>
      <c r="U704" s="77"/>
      <c r="V704" s="77"/>
    </row>
    <row r="705" spans="1:22">
      <c r="A705" s="77"/>
      <c r="B705" s="77"/>
      <c r="C705" s="77"/>
      <c r="D705" s="77"/>
      <c r="E705" s="77"/>
      <c r="F705" s="77"/>
      <c r="G705" s="77"/>
      <c r="H705" s="77"/>
      <c r="I705" s="77"/>
      <c r="J705" s="77"/>
      <c r="K705" s="77"/>
      <c r="L705" s="77"/>
      <c r="M705" s="77"/>
      <c r="N705" s="77"/>
      <c r="O705" s="77"/>
      <c r="P705" s="77"/>
      <c r="Q705" s="77"/>
      <c r="R705" s="77"/>
      <c r="S705" s="77"/>
      <c r="T705" s="77"/>
      <c r="U705" s="77"/>
      <c r="V705" s="77"/>
    </row>
    <row r="706" spans="1:22">
      <c r="A706" s="77"/>
      <c r="B706" s="77"/>
      <c r="C706" s="77"/>
      <c r="D706" s="77"/>
      <c r="E706" s="77"/>
      <c r="F706" s="77"/>
      <c r="G706" s="77"/>
      <c r="H706" s="77"/>
      <c r="I706" s="77"/>
      <c r="J706" s="77"/>
      <c r="K706" s="77"/>
      <c r="L706" s="77"/>
      <c r="M706" s="77"/>
      <c r="N706" s="77"/>
      <c r="O706" s="77"/>
      <c r="P706" s="77"/>
      <c r="Q706" s="77"/>
      <c r="R706" s="77"/>
      <c r="S706" s="77"/>
      <c r="T706" s="77"/>
      <c r="U706" s="77"/>
      <c r="V706" s="77"/>
    </row>
    <row r="707" spans="1:22">
      <c r="A707" s="77"/>
      <c r="B707" s="77"/>
      <c r="C707" s="77"/>
      <c r="D707" s="77"/>
      <c r="E707" s="77"/>
      <c r="F707" s="77"/>
      <c r="G707" s="77"/>
      <c r="H707" s="77"/>
      <c r="I707" s="77"/>
      <c r="J707" s="77"/>
      <c r="K707" s="77"/>
      <c r="L707" s="77"/>
      <c r="M707" s="77"/>
      <c r="N707" s="77"/>
      <c r="O707" s="77"/>
      <c r="P707" s="77"/>
      <c r="Q707" s="77"/>
      <c r="R707" s="77"/>
      <c r="S707" s="77"/>
      <c r="T707" s="77"/>
      <c r="U707" s="77"/>
      <c r="V707" s="77"/>
    </row>
    <row r="708" spans="1:22">
      <c r="A708" s="77"/>
      <c r="B708" s="77"/>
      <c r="C708" s="77"/>
      <c r="D708" s="77"/>
      <c r="E708" s="77"/>
      <c r="F708" s="77"/>
      <c r="G708" s="77"/>
      <c r="H708" s="77"/>
      <c r="I708" s="77"/>
      <c r="J708" s="77"/>
      <c r="K708" s="77"/>
      <c r="L708" s="77"/>
      <c r="M708" s="77"/>
      <c r="N708" s="77"/>
      <c r="O708" s="77"/>
      <c r="P708" s="77"/>
      <c r="Q708" s="77"/>
      <c r="R708" s="77"/>
      <c r="S708" s="77"/>
      <c r="T708" s="77"/>
      <c r="U708" s="77"/>
      <c r="V708" s="77"/>
    </row>
    <row r="709" spans="1:22">
      <c r="A709" s="77"/>
      <c r="B709" s="77"/>
      <c r="C709" s="77"/>
      <c r="D709" s="77"/>
      <c r="E709" s="77"/>
      <c r="F709" s="77"/>
      <c r="G709" s="77"/>
      <c r="H709" s="77"/>
      <c r="I709" s="77"/>
      <c r="J709" s="77"/>
      <c r="K709" s="77"/>
      <c r="L709" s="77"/>
      <c r="M709" s="77"/>
      <c r="N709" s="77"/>
      <c r="O709" s="77"/>
      <c r="P709" s="77"/>
      <c r="Q709" s="77"/>
      <c r="R709" s="77"/>
      <c r="S709" s="77"/>
      <c r="T709" s="77"/>
      <c r="U709" s="77"/>
      <c r="V709" s="77"/>
    </row>
    <row r="710" spans="1:22">
      <c r="A710" s="77"/>
      <c r="B710" s="77"/>
      <c r="C710" s="77"/>
      <c r="D710" s="77"/>
      <c r="E710" s="77"/>
      <c r="F710" s="77"/>
      <c r="G710" s="77"/>
      <c r="H710" s="77"/>
      <c r="I710" s="77"/>
      <c r="J710" s="77"/>
      <c r="K710" s="77"/>
      <c r="L710" s="77"/>
      <c r="M710" s="77"/>
      <c r="N710" s="77"/>
      <c r="O710" s="77"/>
      <c r="P710" s="77"/>
      <c r="Q710" s="77"/>
      <c r="R710" s="77"/>
      <c r="S710" s="77"/>
      <c r="T710" s="77"/>
      <c r="U710" s="77"/>
      <c r="V710" s="77"/>
    </row>
    <row r="711" spans="1:22">
      <c r="A711" s="77"/>
      <c r="B711" s="77"/>
      <c r="C711" s="77"/>
      <c r="D711" s="77"/>
      <c r="E711" s="77"/>
      <c r="F711" s="77"/>
      <c r="G711" s="77"/>
      <c r="H711" s="77"/>
      <c r="I711" s="77"/>
      <c r="J711" s="77"/>
      <c r="K711" s="77"/>
      <c r="L711" s="77"/>
      <c r="M711" s="77"/>
      <c r="N711" s="77"/>
      <c r="O711" s="77"/>
      <c r="P711" s="77"/>
      <c r="Q711" s="77"/>
      <c r="R711" s="77"/>
      <c r="S711" s="77"/>
      <c r="T711" s="77"/>
      <c r="U711" s="77"/>
      <c r="V711" s="77"/>
    </row>
    <row r="712" spans="1:22">
      <c r="A712" s="77"/>
      <c r="B712" s="77"/>
      <c r="C712" s="77"/>
      <c r="D712" s="77"/>
      <c r="E712" s="77"/>
      <c r="F712" s="77"/>
      <c r="G712" s="77"/>
      <c r="H712" s="77"/>
      <c r="I712" s="77"/>
      <c r="J712" s="77"/>
      <c r="K712" s="77"/>
      <c r="L712" s="77"/>
      <c r="M712" s="77"/>
      <c r="N712" s="77"/>
      <c r="O712" s="77"/>
      <c r="P712" s="77"/>
      <c r="Q712" s="77"/>
      <c r="R712" s="77"/>
      <c r="S712" s="77"/>
      <c r="T712" s="77"/>
      <c r="U712" s="77"/>
      <c r="V712" s="77"/>
    </row>
    <row r="713" spans="1:22">
      <c r="A713" s="77"/>
      <c r="B713" s="77"/>
      <c r="C713" s="77"/>
      <c r="D713" s="77"/>
      <c r="E713" s="77"/>
      <c r="F713" s="77"/>
      <c r="G713" s="77"/>
      <c r="H713" s="77"/>
      <c r="I713" s="77"/>
      <c r="J713" s="77"/>
      <c r="K713" s="77"/>
      <c r="L713" s="77"/>
      <c r="M713" s="77"/>
      <c r="N713" s="77"/>
      <c r="O713" s="77"/>
      <c r="P713" s="77"/>
      <c r="Q713" s="77"/>
      <c r="R713" s="77"/>
      <c r="S713" s="77"/>
      <c r="T713" s="77"/>
      <c r="U713" s="77"/>
      <c r="V713" s="77"/>
    </row>
    <row r="714" spans="1:22">
      <c r="A714" s="77"/>
      <c r="B714" s="77"/>
      <c r="C714" s="77"/>
      <c r="D714" s="77"/>
      <c r="E714" s="77"/>
      <c r="F714" s="77"/>
      <c r="G714" s="77"/>
      <c r="H714" s="77"/>
      <c r="I714" s="77"/>
      <c r="J714" s="77"/>
      <c r="K714" s="77"/>
      <c r="L714" s="77"/>
      <c r="M714" s="77"/>
      <c r="N714" s="77"/>
      <c r="O714" s="77"/>
      <c r="P714" s="77"/>
      <c r="Q714" s="77"/>
      <c r="R714" s="77"/>
      <c r="S714" s="77"/>
      <c r="T714" s="77"/>
      <c r="U714" s="77"/>
      <c r="V714" s="77"/>
    </row>
    <row r="715" spans="1:22">
      <c r="A715" s="77"/>
      <c r="B715" s="77"/>
      <c r="C715" s="77"/>
      <c r="D715" s="77"/>
      <c r="E715" s="77"/>
      <c r="F715" s="77"/>
      <c r="G715" s="77"/>
      <c r="H715" s="77"/>
      <c r="I715" s="77"/>
      <c r="J715" s="77"/>
      <c r="K715" s="77"/>
      <c r="L715" s="77"/>
      <c r="M715" s="77"/>
      <c r="N715" s="77"/>
      <c r="O715" s="77"/>
      <c r="P715" s="77"/>
      <c r="Q715" s="77"/>
      <c r="R715" s="77"/>
      <c r="S715" s="77"/>
      <c r="T715" s="77"/>
      <c r="U715" s="77"/>
      <c r="V715" s="77"/>
    </row>
    <row r="716" spans="1:22">
      <c r="A716" s="77"/>
      <c r="B716" s="77"/>
      <c r="C716" s="77"/>
      <c r="D716" s="77"/>
      <c r="E716" s="77"/>
      <c r="F716" s="77"/>
      <c r="G716" s="77"/>
      <c r="H716" s="77"/>
      <c r="I716" s="77"/>
      <c r="J716" s="77"/>
      <c r="K716" s="77"/>
      <c r="L716" s="77"/>
      <c r="M716" s="77"/>
      <c r="N716" s="77"/>
      <c r="O716" s="77"/>
      <c r="P716" s="77"/>
      <c r="Q716" s="77"/>
      <c r="R716" s="77"/>
      <c r="S716" s="77"/>
      <c r="T716" s="77"/>
      <c r="U716" s="77"/>
      <c r="V716" s="77"/>
    </row>
    <row r="717" spans="1:22">
      <c r="A717" s="77"/>
      <c r="B717" s="77"/>
      <c r="C717" s="77"/>
      <c r="D717" s="77"/>
      <c r="E717" s="77"/>
      <c r="F717" s="77"/>
      <c r="G717" s="77"/>
      <c r="H717" s="77"/>
      <c r="I717" s="77"/>
      <c r="J717" s="77"/>
      <c r="K717" s="77"/>
      <c r="L717" s="77"/>
      <c r="M717" s="77"/>
      <c r="N717" s="77"/>
      <c r="O717" s="77"/>
      <c r="P717" s="77"/>
      <c r="Q717" s="77"/>
      <c r="R717" s="77"/>
      <c r="S717" s="77"/>
      <c r="T717" s="77"/>
      <c r="U717" s="77"/>
      <c r="V717" s="77"/>
    </row>
    <row r="718" spans="1:22">
      <c r="A718" s="77"/>
      <c r="B718" s="77"/>
      <c r="C718" s="77"/>
      <c r="D718" s="77"/>
      <c r="E718" s="77"/>
      <c r="F718" s="77"/>
      <c r="G718" s="77"/>
      <c r="H718" s="77"/>
      <c r="I718" s="77"/>
      <c r="J718" s="77"/>
      <c r="K718" s="77"/>
      <c r="L718" s="77"/>
      <c r="M718" s="77"/>
      <c r="N718" s="77"/>
      <c r="O718" s="77"/>
      <c r="P718" s="77"/>
      <c r="Q718" s="77"/>
      <c r="R718" s="77"/>
      <c r="S718" s="77"/>
      <c r="T718" s="77"/>
      <c r="U718" s="77"/>
      <c r="V718" s="77"/>
    </row>
    <row r="719" spans="1:22">
      <c r="A719" s="77"/>
      <c r="B719" s="77"/>
      <c r="C719" s="77"/>
      <c r="D719" s="77"/>
      <c r="E719" s="77"/>
      <c r="F719" s="77"/>
      <c r="G719" s="77"/>
      <c r="H719" s="77"/>
      <c r="I719" s="77"/>
      <c r="J719" s="77"/>
      <c r="K719" s="77"/>
      <c r="L719" s="77"/>
      <c r="M719" s="77"/>
      <c r="N719" s="77"/>
      <c r="O719" s="77"/>
      <c r="P719" s="77"/>
      <c r="Q719" s="77"/>
      <c r="R719" s="77"/>
      <c r="S719" s="77"/>
      <c r="T719" s="77"/>
      <c r="U719" s="77"/>
      <c r="V719" s="77"/>
    </row>
    <row r="720" spans="1:22">
      <c r="A720" s="77"/>
      <c r="B720" s="77"/>
      <c r="C720" s="77"/>
      <c r="D720" s="77"/>
      <c r="E720" s="77"/>
      <c r="F720" s="77"/>
      <c r="G720" s="77"/>
      <c r="H720" s="77"/>
      <c r="I720" s="77"/>
      <c r="J720" s="77"/>
      <c r="K720" s="77"/>
      <c r="L720" s="77"/>
      <c r="M720" s="77"/>
      <c r="N720" s="77"/>
      <c r="O720" s="77"/>
      <c r="P720" s="77"/>
      <c r="Q720" s="77"/>
      <c r="R720" s="77"/>
      <c r="S720" s="77"/>
      <c r="T720" s="77"/>
      <c r="U720" s="77"/>
      <c r="V720" s="77"/>
    </row>
    <row r="721" spans="1:22">
      <c r="A721" s="77"/>
      <c r="B721" s="77"/>
      <c r="C721" s="77"/>
      <c r="D721" s="77"/>
      <c r="E721" s="77"/>
      <c r="F721" s="77"/>
      <c r="G721" s="77"/>
      <c r="H721" s="77"/>
      <c r="I721" s="77"/>
      <c r="J721" s="77"/>
      <c r="K721" s="77"/>
      <c r="L721" s="77"/>
      <c r="M721" s="77"/>
      <c r="N721" s="77"/>
      <c r="O721" s="77"/>
      <c r="P721" s="77"/>
      <c r="Q721" s="77"/>
      <c r="R721" s="77"/>
      <c r="S721" s="77"/>
      <c r="T721" s="77"/>
      <c r="U721" s="77"/>
      <c r="V721" s="77"/>
    </row>
    <row r="722" spans="1:22">
      <c r="A722" s="77"/>
      <c r="B722" s="77"/>
      <c r="C722" s="77"/>
      <c r="D722" s="77"/>
      <c r="E722" s="77"/>
      <c r="F722" s="77"/>
      <c r="G722" s="77"/>
      <c r="H722" s="77"/>
      <c r="I722" s="77"/>
      <c r="J722" s="77"/>
      <c r="K722" s="77"/>
      <c r="L722" s="77"/>
      <c r="M722" s="77"/>
      <c r="N722" s="77"/>
      <c r="O722" s="77"/>
      <c r="P722" s="77"/>
      <c r="Q722" s="77"/>
      <c r="R722" s="77"/>
      <c r="S722" s="77"/>
      <c r="T722" s="77"/>
      <c r="U722" s="77"/>
      <c r="V722" s="77"/>
    </row>
    <row r="723" spans="1:22">
      <c r="A723" s="77"/>
      <c r="B723" s="77"/>
      <c r="C723" s="77"/>
      <c r="D723" s="77"/>
      <c r="E723" s="77"/>
      <c r="F723" s="77"/>
      <c r="G723" s="77"/>
      <c r="H723" s="77"/>
      <c r="I723" s="77"/>
      <c r="J723" s="77"/>
      <c r="K723" s="77"/>
      <c r="L723" s="77"/>
      <c r="M723" s="77"/>
      <c r="N723" s="77"/>
      <c r="O723" s="77"/>
      <c r="P723" s="77"/>
      <c r="Q723" s="77"/>
      <c r="R723" s="77"/>
      <c r="S723" s="77"/>
      <c r="T723" s="77"/>
      <c r="U723" s="77"/>
      <c r="V723" s="77"/>
    </row>
    <row r="724" spans="1:22">
      <c r="A724" s="77"/>
      <c r="B724" s="77"/>
      <c r="C724" s="77"/>
      <c r="D724" s="77"/>
      <c r="E724" s="77"/>
      <c r="F724" s="77"/>
      <c r="G724" s="77"/>
      <c r="H724" s="77"/>
      <c r="I724" s="77"/>
      <c r="J724" s="77"/>
      <c r="K724" s="77"/>
      <c r="L724" s="77"/>
      <c r="M724" s="77"/>
      <c r="N724" s="77"/>
      <c r="O724" s="77"/>
      <c r="P724" s="77"/>
      <c r="Q724" s="77"/>
      <c r="R724" s="77"/>
      <c r="S724" s="77"/>
      <c r="T724" s="77"/>
      <c r="U724" s="77"/>
      <c r="V724" s="77"/>
    </row>
    <row r="725" spans="1:22">
      <c r="A725" s="77"/>
      <c r="B725" s="77"/>
      <c r="C725" s="77"/>
      <c r="D725" s="77"/>
      <c r="E725" s="77"/>
      <c r="F725" s="77"/>
      <c r="G725" s="77"/>
      <c r="H725" s="77"/>
      <c r="I725" s="77"/>
      <c r="J725" s="77"/>
      <c r="K725" s="77"/>
      <c r="L725" s="77"/>
      <c r="M725" s="77"/>
      <c r="N725" s="77"/>
      <c r="O725" s="77"/>
      <c r="P725" s="77"/>
      <c r="Q725" s="77"/>
      <c r="R725" s="77"/>
      <c r="S725" s="77"/>
      <c r="T725" s="77"/>
      <c r="U725" s="77"/>
      <c r="V725" s="77"/>
    </row>
    <row r="726" spans="1:22">
      <c r="A726" s="77"/>
      <c r="B726" s="77"/>
      <c r="C726" s="77"/>
      <c r="D726" s="77"/>
      <c r="E726" s="77"/>
      <c r="F726" s="77"/>
      <c r="G726" s="77"/>
      <c r="H726" s="77"/>
      <c r="I726" s="77"/>
      <c r="J726" s="77"/>
      <c r="K726" s="77"/>
      <c r="L726" s="77"/>
      <c r="M726" s="77"/>
      <c r="N726" s="77"/>
      <c r="O726" s="77"/>
      <c r="P726" s="77"/>
      <c r="Q726" s="77"/>
      <c r="R726" s="77"/>
      <c r="S726" s="77"/>
      <c r="T726" s="77"/>
      <c r="U726" s="77"/>
      <c r="V726" s="77"/>
    </row>
    <row r="727" spans="1:22">
      <c r="A727" s="77"/>
      <c r="B727" s="77"/>
      <c r="C727" s="77"/>
      <c r="D727" s="77"/>
      <c r="E727" s="77"/>
      <c r="F727" s="77"/>
      <c r="G727" s="77"/>
      <c r="H727" s="77"/>
      <c r="I727" s="77"/>
      <c r="J727" s="77"/>
      <c r="K727" s="77"/>
      <c r="L727" s="77"/>
      <c r="M727" s="77"/>
      <c r="N727" s="77"/>
      <c r="O727" s="77"/>
      <c r="P727" s="77"/>
      <c r="Q727" s="77"/>
      <c r="R727" s="77"/>
      <c r="S727" s="77"/>
      <c r="T727" s="77"/>
      <c r="U727" s="77"/>
      <c r="V727" s="77"/>
    </row>
    <row r="728" spans="1:22">
      <c r="A728" s="77"/>
      <c r="B728" s="77"/>
      <c r="C728" s="77"/>
      <c r="D728" s="77"/>
      <c r="E728" s="77"/>
      <c r="F728" s="77"/>
      <c r="G728" s="77"/>
      <c r="H728" s="77"/>
      <c r="I728" s="77"/>
      <c r="J728" s="77"/>
      <c r="K728" s="77"/>
      <c r="L728" s="77"/>
      <c r="M728" s="77"/>
      <c r="N728" s="77"/>
      <c r="O728" s="77"/>
      <c r="P728" s="77"/>
      <c r="Q728" s="77"/>
      <c r="R728" s="77"/>
      <c r="S728" s="77"/>
      <c r="T728" s="77"/>
      <c r="U728" s="77"/>
      <c r="V728" s="77"/>
    </row>
    <row r="729" spans="1:22">
      <c r="A729" s="77"/>
      <c r="B729" s="77"/>
      <c r="C729" s="77"/>
      <c r="D729" s="77"/>
      <c r="E729" s="77"/>
      <c r="F729" s="77"/>
      <c r="G729" s="77"/>
      <c r="H729" s="77"/>
      <c r="I729" s="77"/>
      <c r="J729" s="77"/>
      <c r="K729" s="77"/>
      <c r="L729" s="77"/>
      <c r="M729" s="77"/>
      <c r="N729" s="77"/>
      <c r="O729" s="77"/>
      <c r="P729" s="77"/>
      <c r="Q729" s="77"/>
      <c r="R729" s="77"/>
      <c r="S729" s="77"/>
      <c r="T729" s="77"/>
      <c r="U729" s="77"/>
      <c r="V729" s="77"/>
    </row>
    <row r="730" spans="1:22">
      <c r="A730" s="77"/>
      <c r="B730" s="77"/>
      <c r="C730" s="77"/>
      <c r="D730" s="77"/>
      <c r="E730" s="77"/>
      <c r="F730" s="77"/>
      <c r="G730" s="77"/>
      <c r="H730" s="77"/>
      <c r="I730" s="77"/>
      <c r="J730" s="77"/>
      <c r="K730" s="77"/>
      <c r="L730" s="77"/>
      <c r="M730" s="77"/>
      <c r="N730" s="77"/>
      <c r="O730" s="77"/>
      <c r="P730" s="77"/>
      <c r="Q730" s="77"/>
      <c r="R730" s="77"/>
      <c r="S730" s="77"/>
      <c r="T730" s="77"/>
      <c r="U730" s="77"/>
      <c r="V730" s="77"/>
    </row>
    <row r="731" spans="1:22">
      <c r="A731" s="77"/>
      <c r="B731" s="77"/>
      <c r="C731" s="77"/>
      <c r="D731" s="77"/>
      <c r="E731" s="77"/>
      <c r="F731" s="77"/>
      <c r="G731" s="77"/>
      <c r="H731" s="77"/>
      <c r="I731" s="77"/>
      <c r="J731" s="77"/>
      <c r="K731" s="77"/>
      <c r="L731" s="77"/>
      <c r="M731" s="77"/>
      <c r="N731" s="77"/>
      <c r="O731" s="77"/>
      <c r="P731" s="77"/>
      <c r="Q731" s="77"/>
      <c r="R731" s="77"/>
      <c r="S731" s="77"/>
      <c r="T731" s="77"/>
      <c r="U731" s="77"/>
      <c r="V731" s="77"/>
    </row>
    <row r="732" spans="1:22">
      <c r="A732" s="77"/>
      <c r="B732" s="77"/>
      <c r="C732" s="77"/>
      <c r="D732" s="77"/>
      <c r="E732" s="77"/>
      <c r="F732" s="77"/>
      <c r="G732" s="77"/>
      <c r="H732" s="77"/>
      <c r="I732" s="77"/>
      <c r="J732" s="77"/>
      <c r="K732" s="77"/>
      <c r="L732" s="77"/>
      <c r="M732" s="77"/>
      <c r="N732" s="77"/>
      <c r="O732" s="77"/>
      <c r="P732" s="77"/>
      <c r="Q732" s="77"/>
      <c r="R732" s="77"/>
      <c r="S732" s="77"/>
      <c r="T732" s="77"/>
      <c r="U732" s="77"/>
      <c r="V732" s="77"/>
    </row>
    <row r="733" spans="1:22">
      <c r="A733" s="77"/>
      <c r="B733" s="77"/>
      <c r="C733" s="77"/>
      <c r="D733" s="77"/>
      <c r="E733" s="77"/>
      <c r="F733" s="77"/>
      <c r="G733" s="77"/>
      <c r="H733" s="77"/>
      <c r="I733" s="77"/>
      <c r="J733" s="77"/>
      <c r="K733" s="77"/>
      <c r="L733" s="77"/>
      <c r="M733" s="77"/>
      <c r="N733" s="77"/>
      <c r="O733" s="77"/>
      <c r="P733" s="77"/>
      <c r="Q733" s="77"/>
      <c r="R733" s="77"/>
      <c r="S733" s="77"/>
      <c r="T733" s="77"/>
      <c r="U733" s="77"/>
      <c r="V733" s="77"/>
    </row>
    <row r="734" spans="1:22">
      <c r="A734" s="77"/>
      <c r="B734" s="77"/>
      <c r="C734" s="77"/>
      <c r="D734" s="77"/>
      <c r="E734" s="77"/>
      <c r="F734" s="77"/>
      <c r="G734" s="77"/>
      <c r="H734" s="77"/>
      <c r="I734" s="77"/>
      <c r="J734" s="77"/>
      <c r="K734" s="77"/>
      <c r="L734" s="77"/>
      <c r="M734" s="77"/>
      <c r="N734" s="77"/>
      <c r="O734" s="77"/>
      <c r="P734" s="77"/>
      <c r="Q734" s="77"/>
      <c r="R734" s="77"/>
      <c r="S734" s="77"/>
      <c r="T734" s="77"/>
      <c r="U734" s="77"/>
      <c r="V734" s="77"/>
    </row>
    <row r="735" spans="1:22">
      <c r="A735" s="77"/>
      <c r="B735" s="77"/>
      <c r="C735" s="77"/>
      <c r="D735" s="77"/>
      <c r="E735" s="77"/>
      <c r="F735" s="77"/>
      <c r="G735" s="77"/>
      <c r="H735" s="77"/>
      <c r="I735" s="77"/>
      <c r="J735" s="77"/>
      <c r="K735" s="77"/>
      <c r="L735" s="77"/>
      <c r="M735" s="77"/>
      <c r="N735" s="77"/>
      <c r="O735" s="77"/>
      <c r="P735" s="77"/>
      <c r="Q735" s="77"/>
      <c r="R735" s="77"/>
      <c r="S735" s="77"/>
      <c r="T735" s="77"/>
      <c r="U735" s="77"/>
      <c r="V735" s="77"/>
    </row>
    <row r="736" spans="1:22">
      <c r="A736" s="77"/>
      <c r="B736" s="77"/>
      <c r="C736" s="77"/>
      <c r="D736" s="77"/>
      <c r="E736" s="77"/>
      <c r="F736" s="77"/>
      <c r="G736" s="77"/>
      <c r="H736" s="77"/>
      <c r="I736" s="77"/>
      <c r="J736" s="77"/>
      <c r="K736" s="77"/>
      <c r="L736" s="77"/>
      <c r="M736" s="77"/>
      <c r="N736" s="77"/>
      <c r="O736" s="77"/>
      <c r="P736" s="77"/>
      <c r="Q736" s="77"/>
      <c r="R736" s="77"/>
      <c r="S736" s="77"/>
      <c r="T736" s="77"/>
      <c r="U736" s="77"/>
      <c r="V736" s="77"/>
    </row>
    <row r="737" spans="1:22">
      <c r="A737" s="77"/>
      <c r="B737" s="77"/>
      <c r="C737" s="77"/>
      <c r="D737" s="77"/>
      <c r="E737" s="77"/>
      <c r="F737" s="77"/>
      <c r="G737" s="77"/>
      <c r="H737" s="77"/>
      <c r="I737" s="77"/>
      <c r="J737" s="77"/>
      <c r="K737" s="77"/>
      <c r="L737" s="77"/>
      <c r="M737" s="77"/>
      <c r="N737" s="77"/>
      <c r="O737" s="77"/>
      <c r="P737" s="77"/>
      <c r="Q737" s="77"/>
      <c r="R737" s="77"/>
      <c r="S737" s="77"/>
      <c r="T737" s="77"/>
      <c r="U737" s="77"/>
      <c r="V737" s="77"/>
    </row>
    <row r="738" spans="1:22">
      <c r="A738" s="77"/>
      <c r="B738" s="77"/>
      <c r="C738" s="77"/>
      <c r="D738" s="77"/>
      <c r="E738" s="77"/>
      <c r="F738" s="77"/>
      <c r="G738" s="77"/>
      <c r="H738" s="77"/>
      <c r="I738" s="77"/>
      <c r="J738" s="77"/>
      <c r="K738" s="77"/>
      <c r="L738" s="77"/>
      <c r="M738" s="77"/>
      <c r="N738" s="77"/>
      <c r="O738" s="77"/>
      <c r="P738" s="77"/>
      <c r="Q738" s="77"/>
      <c r="R738" s="77"/>
      <c r="S738" s="77"/>
      <c r="T738" s="77"/>
      <c r="U738" s="77"/>
      <c r="V738" s="77"/>
    </row>
    <row r="739" spans="1:22">
      <c r="A739" s="77"/>
      <c r="B739" s="77"/>
      <c r="C739" s="77"/>
      <c r="D739" s="77"/>
      <c r="E739" s="77"/>
      <c r="F739" s="77"/>
      <c r="G739" s="77"/>
      <c r="H739" s="77"/>
      <c r="I739" s="77"/>
      <c r="J739" s="77"/>
      <c r="K739" s="77"/>
      <c r="L739" s="77"/>
      <c r="M739" s="77"/>
      <c r="N739" s="77"/>
      <c r="O739" s="77"/>
      <c r="P739" s="77"/>
      <c r="Q739" s="77"/>
      <c r="R739" s="77"/>
      <c r="S739" s="77"/>
      <c r="T739" s="77"/>
      <c r="U739" s="77"/>
      <c r="V739" s="77"/>
    </row>
    <row r="740" spans="1:22">
      <c r="A740" s="77"/>
      <c r="B740" s="77"/>
      <c r="C740" s="77"/>
      <c r="D740" s="77"/>
      <c r="E740" s="77"/>
      <c r="F740" s="77"/>
      <c r="G740" s="77"/>
      <c r="H740" s="77"/>
      <c r="I740" s="77"/>
      <c r="J740" s="77"/>
      <c r="K740" s="77"/>
      <c r="L740" s="77"/>
      <c r="M740" s="77"/>
      <c r="N740" s="77"/>
      <c r="O740" s="77"/>
      <c r="P740" s="77"/>
      <c r="Q740" s="77"/>
      <c r="R740" s="77"/>
      <c r="S740" s="77"/>
      <c r="T740" s="77"/>
      <c r="U740" s="77"/>
      <c r="V740" s="77"/>
    </row>
    <row r="741" spans="1:22">
      <c r="A741" s="77"/>
      <c r="B741" s="77"/>
      <c r="C741" s="77"/>
      <c r="D741" s="77"/>
      <c r="E741" s="77"/>
      <c r="F741" s="77"/>
      <c r="G741" s="77"/>
      <c r="H741" s="77"/>
      <c r="I741" s="77"/>
      <c r="J741" s="77"/>
      <c r="K741" s="77"/>
      <c r="L741" s="77"/>
      <c r="M741" s="77"/>
      <c r="N741" s="77"/>
      <c r="O741" s="77"/>
      <c r="P741" s="77"/>
      <c r="Q741" s="77"/>
      <c r="R741" s="77"/>
      <c r="S741" s="77"/>
      <c r="T741" s="77"/>
      <c r="U741" s="77"/>
      <c r="V741" s="77"/>
    </row>
    <row r="742" spans="1:22">
      <c r="A742" s="77"/>
      <c r="B742" s="77"/>
      <c r="C742" s="77"/>
      <c r="D742" s="77"/>
      <c r="E742" s="77"/>
      <c r="F742" s="77"/>
      <c r="G742" s="77"/>
      <c r="H742" s="77"/>
      <c r="I742" s="77"/>
      <c r="J742" s="77"/>
      <c r="K742" s="77"/>
      <c r="L742" s="77"/>
      <c r="M742" s="77"/>
      <c r="N742" s="77"/>
      <c r="O742" s="77"/>
      <c r="P742" s="77"/>
      <c r="Q742" s="77"/>
      <c r="R742" s="77"/>
      <c r="S742" s="77"/>
      <c r="T742" s="77"/>
      <c r="U742" s="77"/>
      <c r="V742" s="77"/>
    </row>
    <row r="743" spans="1:22">
      <c r="A743" s="77"/>
      <c r="B743" s="77"/>
      <c r="C743" s="77"/>
      <c r="D743" s="77"/>
      <c r="E743" s="77"/>
      <c r="F743" s="77"/>
      <c r="G743" s="77"/>
      <c r="H743" s="77"/>
      <c r="I743" s="77"/>
      <c r="J743" s="77"/>
      <c r="K743" s="77"/>
      <c r="L743" s="77"/>
      <c r="M743" s="77"/>
      <c r="N743" s="77"/>
      <c r="O743" s="77"/>
      <c r="P743" s="77"/>
      <c r="Q743" s="77"/>
      <c r="R743" s="77"/>
      <c r="S743" s="77"/>
      <c r="T743" s="77"/>
      <c r="U743" s="77"/>
      <c r="V743" s="77"/>
    </row>
    <row r="744" spans="1:22">
      <c r="A744" s="77"/>
      <c r="B744" s="77"/>
      <c r="C744" s="77"/>
      <c r="D744" s="77"/>
      <c r="E744" s="77"/>
      <c r="F744" s="77"/>
      <c r="G744" s="77"/>
      <c r="H744" s="77"/>
      <c r="I744" s="77"/>
      <c r="J744" s="77"/>
      <c r="K744" s="77"/>
      <c r="L744" s="77"/>
      <c r="M744" s="77"/>
      <c r="N744" s="77"/>
      <c r="O744" s="77"/>
      <c r="P744" s="77"/>
      <c r="Q744" s="77"/>
      <c r="R744" s="77"/>
      <c r="S744" s="77"/>
      <c r="T744" s="77"/>
      <c r="U744" s="77"/>
      <c r="V744" s="77"/>
    </row>
    <row r="745" spans="1:22">
      <c r="A745" s="77"/>
      <c r="B745" s="77"/>
      <c r="C745" s="77"/>
      <c r="D745" s="77"/>
      <c r="E745" s="77"/>
      <c r="F745" s="77"/>
      <c r="G745" s="77"/>
      <c r="H745" s="77"/>
      <c r="I745" s="77"/>
      <c r="J745" s="77"/>
      <c r="K745" s="77"/>
      <c r="L745" s="77"/>
      <c r="M745" s="77"/>
      <c r="N745" s="77"/>
      <c r="O745" s="77"/>
      <c r="P745" s="77"/>
      <c r="Q745" s="77"/>
      <c r="R745" s="77"/>
      <c r="S745" s="77"/>
      <c r="T745" s="77"/>
      <c r="U745" s="77"/>
      <c r="V745" s="77"/>
    </row>
    <row r="746" spans="1:22">
      <c r="A746" s="77"/>
      <c r="B746" s="77"/>
      <c r="C746" s="77"/>
      <c r="D746" s="77"/>
      <c r="E746" s="77"/>
      <c r="F746" s="77"/>
      <c r="G746" s="77"/>
      <c r="H746" s="77"/>
      <c r="I746" s="77"/>
      <c r="J746" s="77"/>
      <c r="K746" s="77"/>
      <c r="L746" s="77"/>
      <c r="M746" s="77"/>
      <c r="N746" s="77"/>
      <c r="O746" s="77"/>
      <c r="P746" s="77"/>
      <c r="Q746" s="77"/>
      <c r="R746" s="77"/>
      <c r="S746" s="77"/>
      <c r="T746" s="77"/>
      <c r="U746" s="77"/>
      <c r="V746" s="77"/>
    </row>
    <row r="747" spans="1:22">
      <c r="A747" s="77"/>
      <c r="B747" s="77"/>
      <c r="C747" s="77"/>
      <c r="D747" s="77"/>
      <c r="E747" s="77"/>
      <c r="F747" s="77"/>
      <c r="G747" s="77"/>
      <c r="H747" s="77"/>
      <c r="I747" s="77"/>
      <c r="J747" s="77"/>
      <c r="K747" s="77"/>
      <c r="L747" s="77"/>
      <c r="M747" s="77"/>
      <c r="N747" s="77"/>
      <c r="O747" s="77"/>
      <c r="P747" s="77"/>
      <c r="Q747" s="77"/>
      <c r="R747" s="77"/>
      <c r="S747" s="77"/>
      <c r="T747" s="77"/>
      <c r="U747" s="77"/>
      <c r="V747" s="77"/>
    </row>
    <row r="748" spans="1:22">
      <c r="A748" s="77"/>
      <c r="B748" s="77"/>
      <c r="C748" s="77"/>
      <c r="D748" s="77"/>
      <c r="E748" s="77"/>
      <c r="F748" s="77"/>
      <c r="G748" s="77"/>
      <c r="H748" s="77"/>
      <c r="I748" s="77"/>
      <c r="J748" s="77"/>
      <c r="K748" s="77"/>
      <c r="L748" s="77"/>
      <c r="M748" s="77"/>
      <c r="N748" s="77"/>
      <c r="O748" s="77"/>
      <c r="P748" s="77"/>
      <c r="Q748" s="77"/>
      <c r="R748" s="77"/>
      <c r="S748" s="77"/>
      <c r="T748" s="77"/>
      <c r="U748" s="77"/>
      <c r="V748" s="77"/>
    </row>
    <row r="749" spans="1:22">
      <c r="A749" s="77"/>
      <c r="B749" s="77"/>
      <c r="C749" s="77"/>
      <c r="D749" s="77"/>
      <c r="E749" s="77"/>
      <c r="F749" s="77"/>
      <c r="G749" s="77"/>
      <c r="H749" s="77"/>
      <c r="I749" s="77"/>
      <c r="J749" s="77"/>
      <c r="K749" s="77"/>
      <c r="L749" s="77"/>
      <c r="M749" s="77"/>
      <c r="N749" s="77"/>
      <c r="O749" s="77"/>
      <c r="P749" s="77"/>
      <c r="Q749" s="77"/>
      <c r="R749" s="77"/>
      <c r="S749" s="77"/>
      <c r="T749" s="77"/>
      <c r="U749" s="77"/>
      <c r="V749" s="77"/>
    </row>
    <row r="750" spans="1:22">
      <c r="A750" s="77"/>
      <c r="B750" s="77"/>
      <c r="C750" s="77"/>
      <c r="D750" s="77"/>
      <c r="E750" s="77"/>
      <c r="F750" s="77"/>
      <c r="G750" s="77"/>
      <c r="H750" s="77"/>
      <c r="I750" s="77"/>
      <c r="J750" s="77"/>
      <c r="K750" s="77"/>
      <c r="L750" s="77"/>
      <c r="M750" s="77"/>
      <c r="N750" s="77"/>
      <c r="O750" s="77"/>
      <c r="P750" s="77"/>
      <c r="Q750" s="77"/>
      <c r="R750" s="77"/>
      <c r="S750" s="77"/>
      <c r="T750" s="77"/>
      <c r="U750" s="77"/>
      <c r="V750" s="77"/>
    </row>
    <row r="751" spans="1:22">
      <c r="A751" s="77"/>
      <c r="B751" s="77"/>
      <c r="C751" s="77"/>
      <c r="D751" s="77"/>
      <c r="E751" s="77"/>
      <c r="F751" s="77"/>
      <c r="G751" s="77"/>
      <c r="H751" s="77"/>
      <c r="I751" s="77"/>
      <c r="J751" s="77"/>
      <c r="K751" s="77"/>
      <c r="L751" s="77"/>
      <c r="M751" s="77"/>
      <c r="N751" s="77"/>
      <c r="O751" s="77"/>
      <c r="P751" s="77"/>
      <c r="Q751" s="77"/>
      <c r="R751" s="77"/>
      <c r="S751" s="77"/>
      <c r="T751" s="77"/>
      <c r="U751" s="77"/>
      <c r="V751" s="77"/>
    </row>
    <row r="752" spans="1:22">
      <c r="A752" s="77"/>
      <c r="B752" s="77"/>
      <c r="C752" s="77"/>
      <c r="D752" s="77"/>
      <c r="E752" s="77"/>
      <c r="F752" s="77"/>
      <c r="G752" s="77"/>
      <c r="H752" s="77"/>
      <c r="I752" s="77"/>
      <c r="J752" s="77"/>
      <c r="K752" s="77"/>
      <c r="L752" s="77"/>
      <c r="M752" s="77"/>
      <c r="N752" s="77"/>
      <c r="O752" s="77"/>
      <c r="P752" s="77"/>
      <c r="Q752" s="77"/>
      <c r="R752" s="77"/>
      <c r="S752" s="77"/>
      <c r="T752" s="77"/>
      <c r="U752" s="77"/>
      <c r="V752" s="77"/>
    </row>
    <row r="753" spans="1:22">
      <c r="A753" s="77"/>
      <c r="B753" s="77"/>
      <c r="C753" s="77"/>
      <c r="D753" s="77"/>
      <c r="E753" s="77"/>
      <c r="F753" s="77"/>
      <c r="G753" s="77"/>
      <c r="H753" s="77"/>
      <c r="I753" s="77"/>
      <c r="J753" s="77"/>
      <c r="K753" s="77"/>
      <c r="L753" s="77"/>
      <c r="M753" s="77"/>
      <c r="N753" s="77"/>
      <c r="O753" s="77"/>
      <c r="P753" s="77"/>
      <c r="Q753" s="77"/>
      <c r="R753" s="77"/>
      <c r="S753" s="77"/>
      <c r="T753" s="77"/>
      <c r="U753" s="77"/>
      <c r="V753" s="77"/>
    </row>
    <row r="754" spans="1:22">
      <c r="A754" s="77"/>
      <c r="B754" s="77"/>
      <c r="C754" s="77"/>
      <c r="D754" s="77"/>
      <c r="E754" s="77"/>
      <c r="F754" s="77"/>
      <c r="G754" s="77"/>
      <c r="H754" s="77"/>
      <c r="I754" s="77"/>
      <c r="J754" s="77"/>
      <c r="K754" s="77"/>
      <c r="L754" s="77"/>
      <c r="M754" s="77"/>
      <c r="N754" s="77"/>
      <c r="O754" s="77"/>
      <c r="P754" s="77"/>
      <c r="Q754" s="77"/>
      <c r="R754" s="77"/>
      <c r="S754" s="77"/>
      <c r="T754" s="77"/>
      <c r="U754" s="77"/>
      <c r="V754" s="77"/>
    </row>
    <row r="755" spans="1:22">
      <c r="A755" s="77"/>
      <c r="B755" s="77"/>
      <c r="C755" s="77"/>
      <c r="D755" s="77"/>
      <c r="E755" s="77"/>
      <c r="F755" s="77"/>
      <c r="G755" s="77"/>
      <c r="H755" s="77"/>
      <c r="I755" s="77"/>
      <c r="J755" s="77"/>
      <c r="K755" s="77"/>
      <c r="L755" s="77"/>
      <c r="M755" s="77"/>
      <c r="N755" s="77"/>
      <c r="O755" s="77"/>
      <c r="P755" s="77"/>
      <c r="Q755" s="77"/>
      <c r="R755" s="77"/>
      <c r="S755" s="77"/>
      <c r="T755" s="77"/>
      <c r="U755" s="77"/>
      <c r="V755" s="77"/>
    </row>
    <row r="756" spans="1:22">
      <c r="A756" s="77"/>
      <c r="B756" s="77"/>
      <c r="C756" s="77"/>
      <c r="D756" s="77"/>
      <c r="E756" s="77"/>
      <c r="F756" s="77"/>
      <c r="G756" s="77"/>
      <c r="H756" s="77"/>
      <c r="I756" s="77"/>
      <c r="J756" s="77"/>
      <c r="K756" s="77"/>
      <c r="L756" s="77"/>
      <c r="M756" s="77"/>
      <c r="N756" s="77"/>
      <c r="O756" s="77"/>
      <c r="P756" s="77"/>
      <c r="Q756" s="77"/>
      <c r="R756" s="77"/>
      <c r="S756" s="77"/>
      <c r="T756" s="77"/>
      <c r="U756" s="77"/>
      <c r="V756" s="77"/>
    </row>
    <row r="757" spans="1:22">
      <c r="A757" s="77"/>
      <c r="B757" s="77"/>
      <c r="C757" s="77"/>
      <c r="D757" s="77"/>
      <c r="E757" s="77"/>
      <c r="F757" s="77"/>
      <c r="G757" s="77"/>
      <c r="H757" s="77"/>
      <c r="I757" s="77"/>
      <c r="J757" s="77"/>
      <c r="K757" s="77"/>
      <c r="L757" s="77"/>
      <c r="M757" s="77"/>
      <c r="N757" s="77"/>
      <c r="O757" s="77"/>
      <c r="P757" s="77"/>
      <c r="Q757" s="77"/>
      <c r="R757" s="77"/>
      <c r="S757" s="77"/>
      <c r="T757" s="77"/>
      <c r="U757" s="77"/>
      <c r="V757" s="77"/>
    </row>
    <row r="758" spans="1:22">
      <c r="A758" s="77"/>
      <c r="B758" s="77"/>
      <c r="C758" s="77"/>
      <c r="D758" s="77"/>
      <c r="E758" s="77"/>
      <c r="F758" s="77"/>
      <c r="G758" s="77"/>
      <c r="H758" s="77"/>
      <c r="I758" s="77"/>
      <c r="J758" s="77"/>
      <c r="K758" s="77"/>
      <c r="L758" s="77"/>
      <c r="M758" s="77"/>
      <c r="N758" s="77"/>
      <c r="O758" s="77"/>
      <c r="P758" s="77"/>
      <c r="Q758" s="77"/>
      <c r="R758" s="77"/>
      <c r="S758" s="77"/>
      <c r="T758" s="77"/>
      <c r="U758" s="77"/>
      <c r="V758" s="77"/>
    </row>
    <row r="759" spans="1:22">
      <c r="A759" s="77"/>
      <c r="B759" s="77"/>
      <c r="C759" s="77"/>
      <c r="D759" s="77"/>
      <c r="E759" s="77"/>
      <c r="F759" s="77"/>
      <c r="G759" s="77"/>
      <c r="H759" s="77"/>
      <c r="I759" s="77"/>
      <c r="J759" s="77"/>
      <c r="K759" s="77"/>
      <c r="L759" s="77"/>
      <c r="M759" s="77"/>
      <c r="N759" s="77"/>
      <c r="O759" s="77"/>
      <c r="P759" s="77"/>
      <c r="Q759" s="77"/>
      <c r="R759" s="77"/>
      <c r="S759" s="77"/>
      <c r="T759" s="77"/>
      <c r="U759" s="77"/>
      <c r="V759" s="77"/>
    </row>
    <row r="760" spans="1:22">
      <c r="A760" s="77"/>
      <c r="B760" s="77"/>
      <c r="C760" s="77"/>
      <c r="D760" s="77"/>
      <c r="E760" s="77"/>
      <c r="F760" s="77"/>
      <c r="G760" s="77"/>
      <c r="H760" s="77"/>
      <c r="I760" s="77"/>
      <c r="J760" s="77"/>
      <c r="K760" s="77"/>
      <c r="L760" s="77"/>
      <c r="M760" s="77"/>
      <c r="N760" s="77"/>
      <c r="O760" s="77"/>
      <c r="P760" s="77"/>
      <c r="Q760" s="77"/>
      <c r="R760" s="77"/>
      <c r="S760" s="77"/>
      <c r="T760" s="77"/>
      <c r="U760" s="77"/>
      <c r="V760" s="77"/>
    </row>
    <row r="761" spans="1:22">
      <c r="A761" s="77"/>
      <c r="B761" s="77"/>
      <c r="C761" s="77"/>
      <c r="D761" s="77"/>
      <c r="E761" s="77"/>
      <c r="F761" s="77"/>
      <c r="G761" s="77"/>
      <c r="H761" s="77"/>
      <c r="I761" s="77"/>
      <c r="J761" s="77"/>
      <c r="K761" s="77"/>
      <c r="L761" s="77"/>
      <c r="M761" s="77"/>
      <c r="N761" s="77"/>
      <c r="O761" s="77"/>
      <c r="P761" s="77"/>
      <c r="Q761" s="77"/>
      <c r="R761" s="77"/>
      <c r="S761" s="77"/>
      <c r="T761" s="77"/>
      <c r="U761" s="77"/>
      <c r="V761" s="77"/>
    </row>
    <row r="762" spans="1:22">
      <c r="A762" s="77"/>
      <c r="B762" s="77"/>
      <c r="C762" s="77"/>
      <c r="D762" s="77"/>
      <c r="E762" s="77"/>
      <c r="F762" s="77"/>
      <c r="G762" s="77"/>
      <c r="H762" s="77"/>
      <c r="I762" s="77"/>
      <c r="J762" s="77"/>
      <c r="K762" s="77"/>
      <c r="L762" s="77"/>
      <c r="M762" s="77"/>
      <c r="N762" s="77"/>
      <c r="O762" s="77"/>
      <c r="P762" s="77"/>
      <c r="Q762" s="77"/>
      <c r="R762" s="77"/>
      <c r="S762" s="77"/>
      <c r="T762" s="77"/>
      <c r="U762" s="77"/>
      <c r="V762" s="77"/>
    </row>
    <row r="763" spans="1:22">
      <c r="A763" s="77"/>
      <c r="B763" s="77"/>
      <c r="C763" s="77"/>
      <c r="D763" s="77"/>
      <c r="E763" s="77"/>
      <c r="F763" s="77"/>
      <c r="G763" s="77"/>
      <c r="H763" s="77"/>
      <c r="I763" s="77"/>
      <c r="J763" s="77"/>
      <c r="K763" s="77"/>
      <c r="L763" s="77"/>
      <c r="M763" s="77"/>
      <c r="N763" s="77"/>
      <c r="O763" s="77"/>
      <c r="P763" s="77"/>
      <c r="Q763" s="77"/>
      <c r="R763" s="77"/>
      <c r="S763" s="77"/>
      <c r="T763" s="77"/>
      <c r="U763" s="77"/>
      <c r="V763" s="77"/>
    </row>
    <row r="764" spans="1:22">
      <c r="A764" s="77"/>
      <c r="B764" s="77"/>
      <c r="C764" s="77"/>
      <c r="D764" s="77"/>
      <c r="E764" s="77"/>
      <c r="F764" s="77"/>
      <c r="G764" s="77"/>
      <c r="H764" s="77"/>
      <c r="I764" s="77"/>
      <c r="J764" s="77"/>
      <c r="K764" s="77"/>
      <c r="L764" s="77"/>
      <c r="M764" s="77"/>
      <c r="N764" s="77"/>
      <c r="O764" s="77"/>
      <c r="P764" s="77"/>
      <c r="Q764" s="77"/>
      <c r="R764" s="77"/>
      <c r="S764" s="77"/>
      <c r="T764" s="77"/>
      <c r="U764" s="77"/>
      <c r="V764" s="77"/>
    </row>
    <row r="765" spans="1:22">
      <c r="A765" s="77"/>
      <c r="B765" s="77"/>
      <c r="C765" s="77"/>
      <c r="D765" s="77"/>
      <c r="E765" s="77"/>
      <c r="F765" s="77"/>
      <c r="G765" s="77"/>
      <c r="H765" s="77"/>
      <c r="I765" s="77"/>
      <c r="J765" s="77"/>
      <c r="K765" s="77"/>
      <c r="L765" s="77"/>
      <c r="M765" s="77"/>
      <c r="N765" s="77"/>
      <c r="O765" s="77"/>
      <c r="P765" s="77"/>
      <c r="Q765" s="77"/>
      <c r="R765" s="77"/>
      <c r="S765" s="77"/>
      <c r="T765" s="77"/>
      <c r="U765" s="77"/>
      <c r="V765" s="77"/>
    </row>
    <row r="766" spans="1:22">
      <c r="A766" s="77"/>
      <c r="B766" s="77"/>
      <c r="C766" s="77"/>
      <c r="D766" s="77"/>
      <c r="E766" s="77"/>
      <c r="F766" s="77"/>
      <c r="G766" s="77"/>
      <c r="H766" s="77"/>
      <c r="I766" s="77"/>
      <c r="J766" s="77"/>
      <c r="K766" s="77"/>
      <c r="L766" s="77"/>
      <c r="M766" s="77"/>
      <c r="N766" s="77"/>
      <c r="O766" s="77"/>
      <c r="P766" s="77"/>
      <c r="Q766" s="77"/>
      <c r="R766" s="77"/>
      <c r="S766" s="77"/>
      <c r="T766" s="77"/>
      <c r="U766" s="77"/>
      <c r="V766" s="77"/>
    </row>
    <row r="767" spans="1:22">
      <c r="A767" s="77"/>
      <c r="B767" s="77"/>
      <c r="C767" s="77"/>
      <c r="D767" s="77"/>
      <c r="E767" s="77"/>
      <c r="F767" s="77"/>
      <c r="G767" s="77"/>
      <c r="H767" s="77"/>
      <c r="I767" s="77"/>
      <c r="J767" s="77"/>
      <c r="K767" s="77"/>
      <c r="L767" s="77"/>
      <c r="M767" s="77"/>
      <c r="N767" s="77"/>
      <c r="O767" s="77"/>
      <c r="P767" s="77"/>
      <c r="Q767" s="77"/>
      <c r="R767" s="77"/>
      <c r="S767" s="77"/>
      <c r="T767" s="77"/>
      <c r="U767" s="77"/>
      <c r="V767" s="77"/>
    </row>
    <row r="768" spans="1:22">
      <c r="A768" s="77"/>
      <c r="B768" s="77"/>
      <c r="C768" s="77"/>
      <c r="D768" s="77"/>
      <c r="E768" s="77"/>
      <c r="F768" s="77"/>
      <c r="G768" s="77"/>
      <c r="H768" s="77"/>
      <c r="I768" s="77"/>
      <c r="J768" s="77"/>
      <c r="K768" s="77"/>
      <c r="L768" s="77"/>
      <c r="M768" s="77"/>
      <c r="N768" s="77"/>
      <c r="O768" s="77"/>
      <c r="P768" s="77"/>
      <c r="Q768" s="77"/>
      <c r="R768" s="77"/>
      <c r="S768" s="77"/>
      <c r="T768" s="77"/>
      <c r="U768" s="77"/>
      <c r="V768" s="77"/>
    </row>
    <row r="769" spans="1:18">
      <c r="A769" s="77"/>
      <c r="B769" s="77"/>
      <c r="C769" s="77"/>
      <c r="D769" s="77"/>
      <c r="E769" s="77"/>
      <c r="F769" s="77"/>
      <c r="G769" s="77"/>
      <c r="H769" s="77"/>
      <c r="I769" s="77"/>
      <c r="J769" s="77"/>
      <c r="K769" s="77"/>
      <c r="L769" s="77"/>
      <c r="M769" s="77"/>
      <c r="N769" s="77"/>
      <c r="O769" s="77"/>
      <c r="P769" s="77"/>
      <c r="Q769" s="77"/>
      <c r="R769" s="77"/>
    </row>
    <row r="770" spans="1:18">
      <c r="A770" s="77"/>
      <c r="B770" s="77"/>
      <c r="C770" s="77"/>
      <c r="D770" s="77"/>
      <c r="E770" s="77"/>
      <c r="F770" s="77"/>
      <c r="G770" s="77"/>
      <c r="H770" s="77"/>
      <c r="I770" s="77"/>
      <c r="J770" s="77"/>
      <c r="K770" s="77"/>
      <c r="L770" s="77"/>
      <c r="M770" s="77"/>
      <c r="N770" s="77"/>
      <c r="O770" s="77"/>
      <c r="P770" s="77"/>
      <c r="Q770" s="77"/>
      <c r="R770" s="77"/>
    </row>
    <row r="771" spans="1:18">
      <c r="A771" s="77"/>
      <c r="B771" s="77"/>
      <c r="C771" s="77"/>
      <c r="D771" s="77"/>
      <c r="E771" s="77"/>
      <c r="F771" s="77"/>
      <c r="G771" s="77"/>
      <c r="H771" s="77"/>
      <c r="I771" s="77"/>
      <c r="J771" s="77"/>
      <c r="K771" s="77"/>
      <c r="L771" s="77"/>
      <c r="M771" s="77"/>
      <c r="N771" s="77"/>
      <c r="O771" s="77"/>
      <c r="P771" s="77"/>
      <c r="Q771" s="77"/>
      <c r="R771" s="77"/>
    </row>
    <row r="772" spans="1:18">
      <c r="A772" s="77"/>
      <c r="B772" s="77"/>
      <c r="C772" s="77"/>
      <c r="D772" s="77"/>
      <c r="E772" s="77"/>
      <c r="F772" s="77"/>
      <c r="G772" s="77"/>
      <c r="H772" s="77"/>
      <c r="I772" s="77"/>
      <c r="J772" s="77"/>
      <c r="K772" s="77"/>
      <c r="L772" s="77"/>
      <c r="M772" s="77"/>
      <c r="N772" s="77"/>
      <c r="O772" s="77"/>
      <c r="P772" s="77"/>
      <c r="Q772" s="77"/>
      <c r="R772" s="77"/>
    </row>
    <row r="773" spans="1:18">
      <c r="A773" s="77"/>
      <c r="B773" s="77"/>
      <c r="C773" s="77"/>
      <c r="D773" s="77"/>
      <c r="E773" s="77"/>
      <c r="F773" s="77"/>
      <c r="G773" s="77"/>
      <c r="H773" s="77"/>
      <c r="I773" s="77"/>
      <c r="J773" s="77"/>
      <c r="K773" s="77"/>
      <c r="L773" s="77"/>
      <c r="M773" s="77"/>
      <c r="N773" s="77"/>
      <c r="O773" s="77"/>
      <c r="P773" s="77"/>
      <c r="Q773" s="77"/>
      <c r="R773" s="77"/>
    </row>
    <row r="774" spans="1:18">
      <c r="A774" s="77"/>
      <c r="B774" s="77"/>
      <c r="C774" s="77"/>
      <c r="D774" s="77"/>
      <c r="E774" s="77"/>
      <c r="F774" s="77"/>
      <c r="G774" s="77"/>
      <c r="H774" s="77"/>
      <c r="I774" s="77"/>
      <c r="J774" s="77"/>
      <c r="K774" s="77"/>
      <c r="L774" s="77"/>
      <c r="M774" s="77"/>
      <c r="N774" s="77"/>
      <c r="O774" s="77"/>
      <c r="P774" s="77"/>
      <c r="Q774" s="77"/>
      <c r="R774" s="77"/>
    </row>
    <row r="775" spans="1:18">
      <c r="A775" s="77"/>
      <c r="B775" s="77"/>
      <c r="C775" s="77"/>
      <c r="D775" s="77"/>
      <c r="E775" s="77"/>
      <c r="F775" s="77"/>
      <c r="G775" s="77"/>
      <c r="H775" s="77"/>
      <c r="I775" s="77"/>
      <c r="J775" s="77"/>
      <c r="K775" s="77"/>
      <c r="L775" s="77"/>
      <c r="M775" s="77"/>
      <c r="N775" s="77"/>
      <c r="O775" s="77"/>
      <c r="P775" s="77"/>
      <c r="Q775" s="77"/>
      <c r="R775" s="77"/>
    </row>
    <row r="776" spans="1:18">
      <c r="A776" s="77"/>
      <c r="B776" s="77"/>
      <c r="C776" s="77"/>
      <c r="D776" s="77"/>
      <c r="E776" s="77"/>
      <c r="F776" s="77"/>
      <c r="G776" s="77"/>
      <c r="H776" s="77"/>
      <c r="I776" s="77"/>
      <c r="J776" s="77"/>
      <c r="K776" s="77"/>
      <c r="L776" s="77"/>
      <c r="M776" s="77"/>
      <c r="N776" s="77"/>
      <c r="O776" s="77"/>
      <c r="P776" s="77"/>
      <c r="Q776" s="77"/>
      <c r="R776" s="77"/>
    </row>
    <row r="777" spans="1:18">
      <c r="A777" s="77"/>
      <c r="B777" s="77"/>
      <c r="C777" s="77"/>
      <c r="D777" s="77"/>
      <c r="E777" s="77"/>
      <c r="F777" s="77"/>
      <c r="G777" s="77"/>
      <c r="H777" s="77"/>
      <c r="I777" s="77"/>
      <c r="J777" s="77"/>
      <c r="K777" s="77"/>
      <c r="L777" s="77"/>
      <c r="M777" s="77"/>
      <c r="N777" s="77"/>
      <c r="O777" s="77"/>
      <c r="P777" s="77"/>
      <c r="Q777" s="77"/>
      <c r="R777" s="77"/>
    </row>
    <row r="778" spans="1:18">
      <c r="A778" s="77"/>
      <c r="B778" s="77"/>
      <c r="C778" s="77"/>
      <c r="D778" s="77"/>
      <c r="E778" s="77"/>
      <c r="F778" s="77"/>
      <c r="G778" s="77"/>
      <c r="H778" s="77"/>
      <c r="I778" s="77"/>
      <c r="J778" s="77"/>
      <c r="K778" s="77"/>
      <c r="L778" s="77"/>
      <c r="M778" s="77"/>
      <c r="N778" s="77"/>
      <c r="O778" s="77"/>
      <c r="P778" s="77"/>
      <c r="Q778" s="77"/>
      <c r="R778" s="77"/>
    </row>
    <row r="779" spans="1:18">
      <c r="A779" s="77"/>
      <c r="B779" s="77"/>
      <c r="C779" s="77"/>
      <c r="D779" s="77"/>
      <c r="E779" s="77"/>
      <c r="F779" s="77"/>
      <c r="G779" s="77"/>
      <c r="H779" s="77"/>
      <c r="I779" s="77"/>
      <c r="J779" s="77"/>
      <c r="K779" s="77"/>
      <c r="L779" s="77"/>
      <c r="M779" s="77"/>
      <c r="N779" s="77"/>
      <c r="O779" s="77"/>
      <c r="P779" s="77"/>
      <c r="Q779" s="77"/>
      <c r="R779" s="77"/>
    </row>
    <row r="780" spans="1:18">
      <c r="A780" s="77"/>
      <c r="B780" s="77"/>
      <c r="C780" s="77"/>
      <c r="D780" s="77"/>
      <c r="E780" s="77"/>
      <c r="F780" s="77"/>
      <c r="G780" s="77"/>
      <c r="H780" s="77"/>
      <c r="I780" s="77"/>
      <c r="J780" s="77"/>
      <c r="K780" s="77"/>
      <c r="L780" s="77"/>
      <c r="M780" s="77"/>
      <c r="N780" s="77"/>
      <c r="O780" s="77"/>
      <c r="P780" s="77"/>
      <c r="Q780" s="77"/>
      <c r="R780" s="77"/>
    </row>
    <row r="781" spans="1:18">
      <c r="A781" s="77"/>
      <c r="B781" s="77"/>
      <c r="C781" s="77"/>
      <c r="D781" s="77"/>
      <c r="E781" s="77"/>
      <c r="F781" s="77"/>
      <c r="G781" s="77"/>
      <c r="H781" s="77"/>
      <c r="I781" s="77"/>
      <c r="J781" s="77"/>
      <c r="K781" s="77"/>
      <c r="L781" s="77"/>
      <c r="M781" s="77"/>
      <c r="N781" s="77"/>
      <c r="O781" s="77"/>
      <c r="P781" s="77"/>
      <c r="Q781" s="77"/>
      <c r="R781" s="77"/>
    </row>
    <row r="782" spans="1:18">
      <c r="A782" s="77"/>
      <c r="B782" s="77"/>
      <c r="C782" s="77"/>
      <c r="D782" s="77"/>
      <c r="E782" s="77"/>
      <c r="F782" s="77"/>
      <c r="G782" s="77"/>
      <c r="H782" s="77"/>
      <c r="I782" s="77"/>
      <c r="J782" s="77"/>
      <c r="K782" s="77"/>
      <c r="L782" s="77"/>
      <c r="M782" s="77"/>
      <c r="N782" s="77"/>
      <c r="O782" s="77"/>
      <c r="P782" s="77"/>
      <c r="Q782" s="77"/>
      <c r="R782" s="77"/>
    </row>
    <row r="783" spans="1:18">
      <c r="A783" s="77"/>
      <c r="B783" s="77"/>
      <c r="C783" s="77"/>
      <c r="D783" s="77"/>
      <c r="E783" s="77"/>
      <c r="F783" s="77"/>
      <c r="G783" s="77"/>
      <c r="H783" s="77"/>
      <c r="I783" s="77"/>
      <c r="J783" s="77"/>
      <c r="K783" s="77"/>
      <c r="L783" s="77"/>
      <c r="M783" s="77"/>
      <c r="N783" s="77"/>
      <c r="O783" s="77"/>
      <c r="P783" s="77"/>
      <c r="Q783" s="77"/>
      <c r="R783" s="77"/>
    </row>
    <row r="784" spans="1:18">
      <c r="A784" s="77"/>
      <c r="B784" s="77"/>
      <c r="C784" s="77"/>
      <c r="D784" s="77"/>
      <c r="E784" s="77"/>
      <c r="F784" s="77"/>
      <c r="G784" s="77"/>
      <c r="H784" s="77"/>
      <c r="I784" s="77"/>
      <c r="J784" s="77"/>
      <c r="K784" s="77"/>
      <c r="L784" s="77"/>
      <c r="M784" s="77"/>
      <c r="N784" s="77"/>
      <c r="O784" s="77"/>
      <c r="P784" s="77"/>
      <c r="Q784" s="77"/>
      <c r="R784" s="77"/>
    </row>
    <row r="785" spans="1:18">
      <c r="A785" s="77"/>
      <c r="B785" s="77"/>
      <c r="C785" s="77"/>
      <c r="D785" s="77"/>
      <c r="E785" s="77"/>
      <c r="F785" s="77"/>
      <c r="G785" s="77"/>
      <c r="H785" s="77"/>
      <c r="I785" s="77"/>
      <c r="J785" s="77"/>
      <c r="K785" s="77"/>
      <c r="L785" s="77"/>
      <c r="M785" s="77"/>
      <c r="N785" s="77"/>
      <c r="O785" s="77"/>
      <c r="P785" s="77"/>
      <c r="Q785" s="77"/>
      <c r="R785" s="77"/>
    </row>
    <row r="786" spans="1:18">
      <c r="A786" s="77"/>
      <c r="B786" s="77"/>
      <c r="C786" s="77"/>
      <c r="D786" s="77"/>
      <c r="E786" s="77"/>
      <c r="F786" s="77"/>
      <c r="G786" s="77"/>
      <c r="H786" s="77"/>
      <c r="I786" s="77"/>
      <c r="J786" s="77"/>
      <c r="K786" s="77"/>
      <c r="L786" s="77"/>
      <c r="M786" s="77"/>
      <c r="N786" s="77"/>
      <c r="O786" s="77"/>
      <c r="P786" s="77"/>
      <c r="Q786" s="77"/>
      <c r="R786" s="77"/>
    </row>
    <row r="787" spans="1:18">
      <c r="A787" s="77"/>
      <c r="B787" s="77"/>
      <c r="C787" s="77"/>
      <c r="D787" s="77"/>
      <c r="E787" s="77"/>
      <c r="F787" s="77"/>
      <c r="G787" s="77"/>
      <c r="H787" s="77"/>
      <c r="I787" s="77"/>
      <c r="J787" s="77"/>
      <c r="K787" s="77"/>
      <c r="L787" s="77"/>
      <c r="M787" s="77"/>
      <c r="N787" s="77"/>
      <c r="O787" s="77"/>
      <c r="P787" s="77"/>
      <c r="Q787" s="77"/>
      <c r="R787" s="77"/>
    </row>
    <row r="788" spans="1:18">
      <c r="A788" s="77"/>
      <c r="B788" s="77"/>
      <c r="C788" s="77"/>
      <c r="D788" s="77"/>
      <c r="E788" s="77"/>
      <c r="F788" s="77"/>
      <c r="G788" s="77"/>
      <c r="H788" s="77"/>
      <c r="I788" s="77"/>
      <c r="J788" s="77"/>
      <c r="K788" s="77"/>
      <c r="L788" s="77"/>
      <c r="M788" s="77"/>
      <c r="N788" s="77"/>
      <c r="O788" s="77"/>
      <c r="P788" s="77"/>
      <c r="Q788" s="77"/>
      <c r="R788" s="77"/>
    </row>
    <row r="789" spans="1:18">
      <c r="A789" s="77"/>
      <c r="B789" s="77"/>
      <c r="C789" s="77"/>
      <c r="D789" s="77"/>
      <c r="E789" s="77"/>
      <c r="F789" s="77"/>
      <c r="G789" s="77"/>
      <c r="H789" s="77"/>
      <c r="I789" s="77"/>
      <c r="J789" s="77"/>
      <c r="K789" s="77"/>
      <c r="L789" s="77"/>
      <c r="M789" s="77"/>
      <c r="N789" s="77"/>
      <c r="O789" s="77"/>
      <c r="P789" s="77"/>
      <c r="Q789" s="77"/>
      <c r="R789" s="77"/>
    </row>
    <row r="790" spans="1:18">
      <c r="A790" s="77"/>
      <c r="B790" s="77"/>
      <c r="C790" s="77"/>
      <c r="D790" s="77"/>
      <c r="E790" s="77"/>
      <c r="F790" s="77"/>
      <c r="G790" s="77"/>
      <c r="H790" s="77"/>
      <c r="I790" s="77"/>
      <c r="J790" s="77"/>
      <c r="K790" s="77"/>
      <c r="L790" s="77"/>
      <c r="M790" s="77"/>
      <c r="N790" s="77"/>
      <c r="O790" s="77"/>
      <c r="P790" s="77"/>
      <c r="Q790" s="77"/>
      <c r="R790" s="77"/>
    </row>
    <row r="791" spans="1:18">
      <c r="A791" s="77"/>
      <c r="B791" s="77"/>
      <c r="C791" s="77"/>
      <c r="D791" s="77"/>
      <c r="E791" s="77"/>
      <c r="F791" s="77"/>
      <c r="G791" s="77"/>
      <c r="H791" s="77"/>
      <c r="I791" s="77"/>
      <c r="J791" s="77"/>
      <c r="K791" s="77"/>
      <c r="L791" s="77"/>
      <c r="M791" s="77"/>
      <c r="N791" s="77"/>
      <c r="O791" s="77"/>
      <c r="P791" s="77"/>
      <c r="Q791" s="77"/>
      <c r="R791" s="77"/>
    </row>
    <row r="792" spans="1:18">
      <c r="A792" s="77"/>
      <c r="B792" s="77"/>
      <c r="C792" s="77"/>
      <c r="D792" s="77"/>
      <c r="E792" s="77"/>
      <c r="F792" s="77"/>
      <c r="G792" s="77"/>
      <c r="H792" s="77"/>
      <c r="I792" s="77"/>
      <c r="J792" s="77"/>
      <c r="K792" s="77"/>
      <c r="L792" s="77"/>
      <c r="M792" s="77"/>
      <c r="N792" s="77"/>
      <c r="O792" s="77"/>
      <c r="P792" s="77"/>
      <c r="Q792" s="77"/>
      <c r="R792" s="77"/>
    </row>
    <row r="793" spans="1:18">
      <c r="A793" s="77"/>
      <c r="B793" s="77"/>
      <c r="C793" s="77"/>
      <c r="D793" s="77"/>
      <c r="E793" s="77"/>
      <c r="F793" s="77"/>
      <c r="G793" s="77"/>
      <c r="H793" s="77"/>
      <c r="I793" s="77"/>
      <c r="J793" s="77"/>
      <c r="K793" s="77"/>
      <c r="L793" s="77"/>
      <c r="M793" s="77"/>
      <c r="N793" s="77"/>
      <c r="O793" s="77"/>
      <c r="P793" s="77"/>
      <c r="Q793" s="77"/>
      <c r="R793" s="77"/>
    </row>
    <row r="794" spans="1:18">
      <c r="A794" s="77"/>
      <c r="B794" s="77"/>
      <c r="C794" s="77"/>
      <c r="D794" s="77"/>
      <c r="E794" s="77"/>
      <c r="F794" s="77"/>
      <c r="G794" s="77"/>
      <c r="H794" s="77"/>
      <c r="I794" s="77"/>
      <c r="J794" s="77"/>
      <c r="K794" s="77"/>
      <c r="L794" s="77"/>
      <c r="M794" s="77"/>
      <c r="N794" s="77"/>
      <c r="O794" s="77"/>
      <c r="P794" s="77"/>
      <c r="Q794" s="77"/>
      <c r="R794" s="77"/>
    </row>
    <row r="795" spans="1:18">
      <c r="A795" s="77"/>
      <c r="B795" s="77"/>
      <c r="C795" s="77"/>
      <c r="D795" s="77"/>
      <c r="E795" s="77"/>
      <c r="F795" s="77"/>
      <c r="G795" s="77"/>
      <c r="H795" s="77"/>
      <c r="I795" s="77"/>
      <c r="J795" s="77"/>
      <c r="K795" s="77"/>
      <c r="L795" s="77"/>
      <c r="M795" s="77"/>
      <c r="N795" s="77"/>
      <c r="O795" s="77"/>
      <c r="P795" s="77"/>
      <c r="Q795" s="77"/>
      <c r="R795" s="77"/>
    </row>
    <row r="796" spans="1:18">
      <c r="A796" s="77"/>
      <c r="B796" s="77"/>
      <c r="C796" s="77"/>
      <c r="D796" s="77"/>
      <c r="E796" s="77"/>
      <c r="F796" s="77"/>
      <c r="G796" s="77"/>
      <c r="H796" s="77"/>
      <c r="I796" s="77"/>
      <c r="J796" s="77"/>
      <c r="K796" s="77"/>
      <c r="L796" s="77"/>
      <c r="M796" s="77"/>
      <c r="N796" s="77"/>
      <c r="O796" s="77"/>
      <c r="P796" s="77"/>
      <c r="Q796" s="77"/>
      <c r="R796" s="77"/>
    </row>
    <row r="797" spans="1:18">
      <c r="A797" s="77"/>
      <c r="B797" s="77"/>
      <c r="C797" s="77"/>
      <c r="D797" s="77"/>
      <c r="E797" s="77"/>
      <c r="F797" s="77"/>
      <c r="G797" s="77"/>
      <c r="H797" s="77"/>
      <c r="I797" s="77"/>
      <c r="J797" s="77"/>
      <c r="K797" s="77"/>
      <c r="L797" s="77"/>
      <c r="M797" s="77"/>
      <c r="N797" s="77"/>
      <c r="O797" s="77"/>
      <c r="P797" s="77"/>
      <c r="Q797" s="77"/>
      <c r="R797" s="77"/>
    </row>
    <row r="798" spans="1:18">
      <c r="A798" s="77"/>
      <c r="B798" s="77"/>
      <c r="C798" s="77"/>
      <c r="D798" s="77"/>
      <c r="E798" s="77"/>
      <c r="F798" s="77"/>
      <c r="G798" s="77"/>
      <c r="H798" s="77"/>
      <c r="I798" s="77"/>
      <c r="J798" s="77"/>
      <c r="K798" s="77"/>
      <c r="L798" s="77"/>
      <c r="M798" s="77"/>
      <c r="N798" s="77"/>
      <c r="O798" s="77"/>
      <c r="P798" s="77"/>
      <c r="Q798" s="77"/>
      <c r="R798" s="77"/>
    </row>
    <row r="799" spans="1:18">
      <c r="A799" s="77"/>
      <c r="B799" s="77"/>
      <c r="C799" s="77"/>
      <c r="D799" s="77"/>
      <c r="E799" s="77"/>
      <c r="F799" s="77"/>
      <c r="G799" s="77"/>
      <c r="H799" s="77"/>
      <c r="I799" s="77"/>
      <c r="J799" s="77"/>
      <c r="K799" s="77"/>
      <c r="L799" s="77"/>
      <c r="M799" s="77"/>
      <c r="N799" s="77"/>
      <c r="O799" s="77"/>
      <c r="P799" s="77"/>
      <c r="Q799" s="77"/>
      <c r="R799" s="77"/>
    </row>
    <row r="800" spans="1:18">
      <c r="A800" s="77"/>
      <c r="B800" s="77"/>
      <c r="C800" s="77"/>
      <c r="D800" s="77"/>
      <c r="E800" s="77"/>
      <c r="F800" s="77"/>
      <c r="G800" s="77"/>
      <c r="H800" s="77"/>
      <c r="I800" s="77"/>
      <c r="J800" s="77"/>
      <c r="K800" s="77"/>
      <c r="L800" s="77"/>
      <c r="M800" s="77"/>
      <c r="N800" s="77"/>
      <c r="O800" s="77"/>
      <c r="P800" s="77"/>
      <c r="Q800" s="77"/>
      <c r="R800" s="77"/>
    </row>
    <row r="801" spans="1:18">
      <c r="A801" s="77"/>
      <c r="B801" s="77"/>
      <c r="C801" s="77"/>
      <c r="D801" s="77"/>
      <c r="E801" s="77"/>
      <c r="F801" s="77"/>
      <c r="G801" s="77"/>
      <c r="H801" s="77"/>
      <c r="I801" s="77"/>
      <c r="J801" s="77"/>
      <c r="K801" s="77"/>
      <c r="L801" s="77"/>
      <c r="M801" s="77"/>
      <c r="N801" s="77"/>
      <c r="O801" s="77"/>
      <c r="P801" s="77"/>
      <c r="Q801" s="77"/>
      <c r="R801" s="77"/>
    </row>
    <row r="802" spans="1:18">
      <c r="A802" s="77"/>
      <c r="B802" s="77"/>
      <c r="C802" s="77"/>
      <c r="D802" s="77"/>
      <c r="E802" s="77"/>
      <c r="F802" s="77"/>
      <c r="G802" s="77"/>
      <c r="H802" s="77"/>
      <c r="I802" s="77"/>
      <c r="J802" s="77"/>
      <c r="K802" s="77"/>
      <c r="L802" s="77"/>
      <c r="M802" s="77"/>
      <c r="N802" s="77"/>
      <c r="O802" s="77"/>
      <c r="P802" s="77"/>
      <c r="Q802" s="77"/>
      <c r="R802" s="77"/>
    </row>
    <row r="803" spans="1:18">
      <c r="A803" s="77"/>
      <c r="B803" s="77"/>
      <c r="C803" s="77"/>
      <c r="D803" s="77"/>
      <c r="E803" s="77"/>
      <c r="F803" s="77"/>
      <c r="G803" s="77"/>
      <c r="H803" s="77"/>
      <c r="I803" s="77"/>
      <c r="J803" s="77"/>
      <c r="K803" s="77"/>
      <c r="L803" s="77"/>
      <c r="M803" s="77"/>
      <c r="N803" s="77"/>
      <c r="O803" s="77"/>
      <c r="P803" s="77"/>
      <c r="Q803" s="77"/>
      <c r="R803" s="77"/>
    </row>
    <row r="804" spans="1:18">
      <c r="A804" s="77"/>
      <c r="B804" s="77"/>
      <c r="C804" s="77"/>
      <c r="D804" s="77"/>
      <c r="E804" s="77"/>
      <c r="F804" s="77"/>
      <c r="G804" s="77"/>
      <c r="H804" s="77"/>
      <c r="I804" s="77"/>
      <c r="J804" s="77"/>
      <c r="K804" s="77"/>
      <c r="L804" s="77"/>
      <c r="M804" s="77"/>
      <c r="N804" s="77"/>
      <c r="O804" s="77"/>
      <c r="P804" s="77"/>
      <c r="Q804" s="77"/>
      <c r="R804" s="77"/>
    </row>
    <row r="805" spans="1:18">
      <c r="A805" s="77"/>
      <c r="B805" s="77"/>
      <c r="C805" s="77"/>
      <c r="D805" s="77"/>
      <c r="E805" s="77"/>
      <c r="F805" s="77"/>
      <c r="G805" s="77"/>
      <c r="H805" s="77"/>
      <c r="I805" s="77"/>
      <c r="J805" s="77"/>
      <c r="K805" s="77"/>
      <c r="L805" s="77"/>
      <c r="M805" s="77"/>
      <c r="N805" s="77"/>
      <c r="O805" s="77"/>
      <c r="P805" s="77"/>
      <c r="Q805" s="77"/>
      <c r="R805" s="77"/>
    </row>
    <row r="806" spans="1:18">
      <c r="A806" s="77"/>
      <c r="B806" s="77"/>
      <c r="C806" s="77"/>
      <c r="D806" s="77"/>
      <c r="E806" s="77"/>
      <c r="F806" s="77"/>
      <c r="G806" s="77"/>
      <c r="H806" s="77"/>
      <c r="I806" s="77"/>
      <c r="J806" s="77"/>
      <c r="K806" s="77"/>
      <c r="L806" s="77"/>
      <c r="M806" s="77"/>
      <c r="N806" s="77"/>
      <c r="O806" s="77"/>
      <c r="P806" s="77"/>
      <c r="Q806" s="77"/>
      <c r="R806" s="77"/>
    </row>
    <row r="807" spans="1:18">
      <c r="A807" s="77"/>
      <c r="B807" s="77"/>
      <c r="C807" s="77"/>
      <c r="D807" s="77"/>
      <c r="E807" s="77"/>
      <c r="F807" s="77"/>
      <c r="G807" s="77"/>
      <c r="H807" s="77"/>
      <c r="I807" s="77"/>
      <c r="J807" s="77"/>
      <c r="K807" s="77"/>
      <c r="L807" s="77"/>
      <c r="M807" s="77"/>
      <c r="N807" s="77"/>
      <c r="O807" s="77"/>
      <c r="P807" s="77"/>
      <c r="Q807" s="77"/>
      <c r="R807" s="77"/>
    </row>
    <row r="808" spans="1:18">
      <c r="A808" s="77"/>
      <c r="B808" s="77"/>
      <c r="C808" s="77"/>
      <c r="D808" s="77"/>
      <c r="E808" s="77"/>
      <c r="F808" s="77"/>
      <c r="G808" s="77"/>
      <c r="H808" s="77"/>
      <c r="I808" s="77"/>
      <c r="J808" s="77"/>
      <c r="K808" s="77"/>
      <c r="L808" s="77"/>
      <c r="M808" s="77"/>
      <c r="N808" s="77"/>
      <c r="O808" s="77"/>
      <c r="P808" s="77"/>
      <c r="Q808" s="77"/>
      <c r="R808" s="77"/>
    </row>
    <row r="809" spans="1:18">
      <c r="A809" s="77"/>
      <c r="B809" s="77"/>
      <c r="C809" s="77"/>
      <c r="D809" s="77"/>
      <c r="E809" s="77"/>
      <c r="F809" s="77"/>
      <c r="G809" s="77"/>
      <c r="H809" s="77"/>
      <c r="I809" s="77"/>
      <c r="J809" s="77"/>
      <c r="K809" s="77"/>
      <c r="L809" s="77"/>
      <c r="M809" s="77"/>
      <c r="N809" s="77"/>
      <c r="O809" s="77"/>
      <c r="P809" s="77"/>
      <c r="Q809" s="77"/>
      <c r="R809" s="77"/>
    </row>
    <row r="810" spans="1:18">
      <c r="A810" s="77"/>
      <c r="B810" s="77"/>
      <c r="C810" s="77"/>
      <c r="D810" s="77"/>
      <c r="E810" s="77"/>
      <c r="F810" s="77"/>
      <c r="G810" s="77"/>
      <c r="H810" s="77"/>
      <c r="I810" s="77"/>
      <c r="J810" s="77"/>
      <c r="K810" s="77"/>
      <c r="L810" s="77"/>
      <c r="M810" s="77"/>
      <c r="N810" s="77"/>
      <c r="O810" s="77"/>
      <c r="P810" s="77"/>
      <c r="Q810" s="77"/>
      <c r="R810" s="77"/>
    </row>
    <row r="811" spans="1:18">
      <c r="A811" s="77"/>
      <c r="B811" s="77"/>
      <c r="C811" s="77"/>
      <c r="D811" s="77"/>
      <c r="E811" s="77"/>
      <c r="F811" s="77"/>
      <c r="G811" s="77"/>
      <c r="H811" s="77"/>
      <c r="I811" s="77"/>
      <c r="J811" s="77"/>
      <c r="K811" s="77"/>
      <c r="L811" s="77"/>
      <c r="M811" s="77"/>
      <c r="N811" s="77"/>
      <c r="O811" s="77"/>
      <c r="P811" s="77"/>
      <c r="Q811" s="77"/>
      <c r="R811" s="77"/>
    </row>
    <row r="812" spans="1:18">
      <c r="A812" s="77"/>
      <c r="B812" s="77"/>
      <c r="C812" s="77"/>
      <c r="D812" s="77"/>
      <c r="E812" s="77"/>
      <c r="F812" s="77"/>
      <c r="G812" s="77"/>
      <c r="H812" s="77"/>
      <c r="I812" s="77"/>
      <c r="J812" s="77"/>
      <c r="K812" s="77"/>
      <c r="L812" s="77"/>
      <c r="M812" s="77"/>
      <c r="N812" s="77"/>
      <c r="O812" s="77"/>
      <c r="P812" s="77"/>
      <c r="Q812" s="77"/>
      <c r="R812" s="77"/>
    </row>
    <row r="813" spans="1:18">
      <c r="A813" s="77"/>
      <c r="B813" s="77"/>
      <c r="C813" s="77"/>
      <c r="D813" s="77"/>
      <c r="E813" s="77"/>
      <c r="F813" s="77"/>
      <c r="G813" s="77"/>
      <c r="H813" s="77"/>
      <c r="I813" s="77"/>
      <c r="J813" s="77"/>
      <c r="K813" s="77"/>
      <c r="L813" s="77"/>
      <c r="M813" s="77"/>
      <c r="N813" s="77"/>
      <c r="O813" s="77"/>
      <c r="P813" s="77"/>
      <c r="Q813" s="77"/>
      <c r="R813" s="77"/>
    </row>
    <row r="814" spans="1:18">
      <c r="A814" s="77"/>
      <c r="B814" s="77"/>
      <c r="C814" s="77"/>
      <c r="D814" s="77"/>
      <c r="E814" s="77"/>
      <c r="F814" s="77"/>
      <c r="G814" s="77"/>
      <c r="H814" s="77"/>
      <c r="I814" s="77"/>
      <c r="J814" s="77"/>
      <c r="K814" s="77"/>
      <c r="L814" s="77"/>
      <c r="M814" s="77"/>
      <c r="N814" s="77"/>
      <c r="O814" s="77"/>
      <c r="P814" s="77"/>
      <c r="Q814" s="77"/>
      <c r="R814" s="77"/>
    </row>
    <row r="815" spans="1:18">
      <c r="A815" s="77"/>
      <c r="B815" s="77"/>
      <c r="C815" s="77"/>
      <c r="D815" s="77"/>
      <c r="E815" s="77"/>
      <c r="F815" s="77"/>
      <c r="G815" s="77"/>
      <c r="H815" s="77"/>
      <c r="I815" s="77"/>
      <c r="J815" s="77"/>
      <c r="K815" s="77"/>
      <c r="L815" s="77"/>
      <c r="M815" s="77"/>
      <c r="N815" s="77"/>
      <c r="O815" s="77"/>
      <c r="P815" s="77"/>
      <c r="Q815" s="77"/>
      <c r="R815" s="77"/>
    </row>
    <row r="816" spans="1:18">
      <c r="A816" s="77"/>
      <c r="B816" s="77"/>
      <c r="C816" s="77"/>
      <c r="D816" s="77"/>
      <c r="E816" s="77"/>
      <c r="F816" s="77"/>
      <c r="G816" s="77"/>
      <c r="H816" s="77"/>
      <c r="I816" s="77"/>
      <c r="J816" s="77"/>
      <c r="K816" s="77"/>
      <c r="L816" s="77"/>
      <c r="M816" s="77"/>
      <c r="N816" s="77"/>
      <c r="O816" s="77"/>
      <c r="P816" s="77"/>
      <c r="Q816" s="77"/>
      <c r="R816" s="77"/>
    </row>
    <row r="817" spans="1:18">
      <c r="A817" s="77"/>
      <c r="B817" s="77"/>
      <c r="C817" s="77"/>
      <c r="D817" s="77"/>
      <c r="E817" s="77"/>
      <c r="F817" s="77"/>
      <c r="G817" s="77"/>
      <c r="H817" s="77"/>
      <c r="I817" s="77"/>
      <c r="J817" s="77"/>
      <c r="K817" s="77"/>
      <c r="L817" s="77"/>
      <c r="M817" s="77"/>
      <c r="N817" s="77"/>
      <c r="O817" s="77"/>
      <c r="P817" s="77"/>
      <c r="Q817" s="77"/>
      <c r="R817" s="77"/>
    </row>
    <row r="818" spans="1:18">
      <c r="A818" s="77"/>
      <c r="B818" s="77"/>
      <c r="C818" s="77"/>
      <c r="D818" s="77"/>
      <c r="E818" s="77"/>
      <c r="F818" s="77"/>
      <c r="G818" s="77"/>
      <c r="H818" s="77"/>
      <c r="I818" s="77"/>
      <c r="J818" s="77"/>
      <c r="K818" s="77"/>
      <c r="L818" s="77"/>
      <c r="M818" s="77"/>
      <c r="N818" s="77"/>
      <c r="O818" s="77"/>
      <c r="P818" s="77"/>
      <c r="Q818" s="77"/>
      <c r="R818" s="77"/>
    </row>
    <row r="819" spans="1:18">
      <c r="A819" s="77"/>
      <c r="B819" s="77"/>
      <c r="C819" s="77"/>
      <c r="D819" s="77"/>
      <c r="E819" s="77"/>
      <c r="F819" s="77"/>
      <c r="G819" s="77"/>
      <c r="H819" s="77"/>
      <c r="I819" s="77"/>
      <c r="J819" s="77"/>
      <c r="K819" s="77"/>
      <c r="L819" s="77"/>
      <c r="M819" s="77"/>
      <c r="N819" s="77"/>
      <c r="O819" s="77"/>
      <c r="P819" s="77"/>
      <c r="Q819" s="77"/>
      <c r="R819" s="77"/>
    </row>
    <row r="820" spans="1:18">
      <c r="A820" s="77"/>
      <c r="B820" s="77"/>
      <c r="C820" s="77"/>
      <c r="D820" s="77"/>
      <c r="E820" s="77"/>
      <c r="F820" s="77"/>
      <c r="G820" s="77"/>
      <c r="H820" s="77"/>
      <c r="I820" s="77"/>
      <c r="J820" s="77"/>
      <c r="K820" s="77"/>
      <c r="L820" s="77"/>
      <c r="M820" s="77"/>
      <c r="N820" s="77"/>
      <c r="O820" s="77"/>
      <c r="P820" s="77"/>
      <c r="Q820" s="77"/>
      <c r="R820" s="77"/>
    </row>
    <row r="821" spans="1:18">
      <c r="A821" s="77"/>
      <c r="B821" s="77"/>
      <c r="C821" s="77"/>
      <c r="D821" s="77"/>
      <c r="E821" s="77"/>
      <c r="F821" s="77"/>
      <c r="G821" s="77"/>
      <c r="H821" s="77"/>
      <c r="I821" s="77"/>
      <c r="J821" s="77"/>
      <c r="K821" s="77"/>
      <c r="L821" s="77"/>
      <c r="M821" s="77"/>
      <c r="N821" s="77"/>
      <c r="O821" s="77"/>
      <c r="P821" s="77"/>
      <c r="Q821" s="77"/>
      <c r="R821" s="77"/>
    </row>
    <row r="822" spans="1:18">
      <c r="A822" s="77"/>
      <c r="B822" s="77"/>
      <c r="C822" s="77"/>
      <c r="D822" s="77"/>
      <c r="E822" s="77"/>
      <c r="F822" s="77"/>
      <c r="G822" s="77"/>
      <c r="H822" s="77"/>
      <c r="I822" s="77"/>
      <c r="J822" s="77"/>
      <c r="K822" s="77"/>
      <c r="L822" s="77"/>
      <c r="M822" s="77"/>
      <c r="N822" s="77"/>
      <c r="O822" s="77"/>
      <c r="P822" s="77"/>
      <c r="Q822" s="77"/>
      <c r="R822" s="77"/>
    </row>
    <row r="823" spans="1:18">
      <c r="A823" s="77"/>
      <c r="B823" s="77"/>
      <c r="C823" s="77"/>
      <c r="D823" s="77"/>
      <c r="E823" s="77"/>
      <c r="F823" s="77"/>
      <c r="G823" s="77"/>
      <c r="H823" s="77"/>
      <c r="I823" s="77"/>
      <c r="J823" s="77"/>
      <c r="K823" s="77"/>
      <c r="L823" s="77"/>
      <c r="M823" s="77"/>
      <c r="N823" s="77"/>
      <c r="O823" s="77"/>
      <c r="P823" s="77"/>
      <c r="Q823" s="77"/>
      <c r="R823" s="77"/>
    </row>
    <row r="824" spans="1:18">
      <c r="A824" s="77"/>
      <c r="B824" s="77"/>
      <c r="C824" s="77"/>
      <c r="D824" s="77"/>
      <c r="E824" s="77"/>
      <c r="F824" s="77"/>
      <c r="G824" s="77"/>
      <c r="H824" s="77"/>
      <c r="I824" s="77"/>
      <c r="J824" s="77"/>
      <c r="K824" s="77"/>
      <c r="L824" s="77"/>
      <c r="M824" s="77"/>
      <c r="N824" s="77"/>
      <c r="O824" s="77"/>
      <c r="P824" s="77"/>
      <c r="Q824" s="77"/>
      <c r="R824" s="77"/>
    </row>
    <row r="825" spans="1:18">
      <c r="A825" s="77"/>
      <c r="B825" s="77"/>
      <c r="C825" s="77"/>
      <c r="D825" s="77"/>
      <c r="E825" s="77"/>
      <c r="F825" s="77"/>
      <c r="G825" s="77"/>
      <c r="H825" s="77"/>
      <c r="I825" s="77"/>
      <c r="J825" s="77"/>
      <c r="K825" s="77"/>
      <c r="L825" s="77"/>
      <c r="M825" s="77"/>
      <c r="N825" s="77"/>
      <c r="O825" s="77"/>
      <c r="P825" s="77"/>
      <c r="Q825" s="77"/>
      <c r="R825" s="77"/>
    </row>
    <row r="826" spans="1:18">
      <c r="A826" s="77"/>
      <c r="B826" s="77"/>
      <c r="C826" s="77"/>
      <c r="D826" s="77"/>
      <c r="E826" s="77"/>
      <c r="F826" s="77"/>
      <c r="G826" s="77"/>
      <c r="H826" s="77"/>
      <c r="I826" s="77"/>
      <c r="J826" s="77"/>
      <c r="K826" s="77"/>
      <c r="L826" s="77"/>
      <c r="M826" s="77"/>
      <c r="N826" s="77"/>
      <c r="O826" s="77"/>
      <c r="P826" s="77"/>
      <c r="Q826" s="77"/>
      <c r="R826" s="77"/>
    </row>
    <row r="827" spans="1:18">
      <c r="A827" s="77"/>
      <c r="B827" s="77"/>
      <c r="C827" s="77"/>
      <c r="D827" s="77"/>
      <c r="E827" s="77"/>
      <c r="F827" s="77"/>
      <c r="G827" s="77"/>
      <c r="H827" s="77"/>
      <c r="I827" s="77"/>
      <c r="J827" s="77"/>
      <c r="K827" s="77"/>
      <c r="L827" s="77"/>
      <c r="M827" s="77"/>
      <c r="N827" s="77"/>
      <c r="O827" s="77"/>
      <c r="P827" s="77"/>
      <c r="Q827" s="77"/>
      <c r="R827" s="77"/>
    </row>
    <row r="828" spans="1:18">
      <c r="A828" s="77"/>
      <c r="B828" s="77"/>
      <c r="C828" s="77"/>
      <c r="D828" s="77"/>
      <c r="E828" s="77"/>
      <c r="F828" s="77"/>
      <c r="G828" s="77"/>
      <c r="H828" s="77"/>
      <c r="I828" s="77"/>
      <c r="J828" s="77"/>
      <c r="K828" s="77"/>
      <c r="L828" s="77"/>
      <c r="M828" s="77"/>
      <c r="N828" s="77"/>
      <c r="O828" s="77"/>
      <c r="P828" s="77"/>
      <c r="Q828" s="77"/>
      <c r="R828" s="77"/>
    </row>
    <row r="829" spans="1:18">
      <c r="A829" s="77"/>
      <c r="B829" s="77"/>
      <c r="C829" s="77"/>
      <c r="D829" s="77"/>
      <c r="E829" s="77"/>
      <c r="F829" s="77"/>
      <c r="G829" s="77"/>
      <c r="H829" s="77"/>
      <c r="I829" s="77"/>
      <c r="J829" s="77"/>
      <c r="K829" s="77"/>
      <c r="L829" s="77"/>
      <c r="M829" s="77"/>
      <c r="N829" s="77"/>
      <c r="O829" s="77"/>
      <c r="P829" s="77"/>
      <c r="Q829" s="77"/>
      <c r="R829" s="77"/>
    </row>
    <row r="830" spans="1:18">
      <c r="A830" s="77"/>
      <c r="B830" s="77"/>
      <c r="C830" s="77"/>
      <c r="D830" s="77"/>
      <c r="E830" s="77"/>
      <c r="F830" s="77"/>
      <c r="G830" s="77"/>
      <c r="H830" s="77"/>
      <c r="I830" s="77"/>
      <c r="J830" s="77"/>
      <c r="K830" s="77"/>
      <c r="L830" s="77"/>
      <c r="M830" s="77"/>
      <c r="N830" s="77"/>
      <c r="O830" s="77"/>
      <c r="P830" s="77"/>
      <c r="Q830" s="77"/>
      <c r="R830" s="77"/>
    </row>
    <row r="831" spans="1:18">
      <c r="A831" s="77"/>
      <c r="B831" s="77"/>
      <c r="C831" s="77"/>
      <c r="D831" s="77"/>
      <c r="E831" s="77"/>
      <c r="F831" s="77"/>
      <c r="G831" s="77"/>
      <c r="H831" s="77"/>
      <c r="I831" s="77"/>
      <c r="J831" s="77"/>
      <c r="K831" s="77"/>
      <c r="L831" s="77"/>
      <c r="M831" s="77"/>
      <c r="N831" s="77"/>
      <c r="O831" s="77"/>
      <c r="P831" s="77"/>
      <c r="Q831" s="77"/>
      <c r="R831" s="77"/>
    </row>
    <row r="832" spans="1:18">
      <c r="A832" s="77"/>
      <c r="B832" s="77"/>
      <c r="C832" s="77"/>
      <c r="D832" s="77"/>
      <c r="E832" s="77"/>
      <c r="F832" s="77"/>
      <c r="G832" s="77"/>
      <c r="H832" s="77"/>
      <c r="I832" s="77"/>
      <c r="J832" s="77"/>
      <c r="K832" s="77"/>
      <c r="L832" s="77"/>
      <c r="M832" s="77"/>
      <c r="N832" s="77"/>
      <c r="O832" s="77"/>
      <c r="P832" s="77"/>
      <c r="Q832" s="77"/>
      <c r="R832" s="77"/>
    </row>
    <row r="833" spans="1:18">
      <c r="A833" s="77"/>
      <c r="B833" s="77"/>
      <c r="C833" s="77"/>
      <c r="D833" s="77"/>
      <c r="E833" s="77"/>
      <c r="F833" s="77"/>
      <c r="G833" s="77"/>
      <c r="H833" s="77"/>
      <c r="I833" s="77"/>
      <c r="J833" s="77"/>
      <c r="K833" s="77"/>
      <c r="L833" s="77"/>
      <c r="M833" s="77"/>
      <c r="N833" s="77"/>
      <c r="O833" s="77"/>
      <c r="P833" s="77"/>
      <c r="Q833" s="77"/>
      <c r="R833" s="77"/>
    </row>
    <row r="834" spans="1:18">
      <c r="A834" s="77"/>
      <c r="B834" s="77"/>
      <c r="C834" s="77"/>
      <c r="D834" s="77"/>
      <c r="E834" s="77"/>
      <c r="F834" s="77"/>
      <c r="G834" s="77"/>
      <c r="H834" s="77"/>
      <c r="I834" s="77"/>
      <c r="J834" s="77"/>
      <c r="K834" s="77"/>
      <c r="L834" s="77"/>
      <c r="M834" s="77"/>
      <c r="N834" s="77"/>
      <c r="O834" s="77"/>
      <c r="P834" s="77"/>
      <c r="Q834" s="77"/>
      <c r="R834" s="77"/>
    </row>
    <row r="835" spans="1:18">
      <c r="A835" s="77"/>
      <c r="B835" s="77"/>
      <c r="C835" s="77"/>
      <c r="D835" s="77"/>
      <c r="E835" s="77"/>
      <c r="F835" s="77"/>
      <c r="G835" s="77"/>
      <c r="H835" s="77"/>
      <c r="I835" s="77"/>
      <c r="J835" s="77"/>
      <c r="K835" s="77"/>
      <c r="L835" s="77"/>
      <c r="M835" s="77"/>
      <c r="N835" s="77"/>
      <c r="O835" s="77"/>
      <c r="P835" s="77"/>
      <c r="Q835" s="77"/>
      <c r="R835" s="77"/>
    </row>
    <row r="836" spans="1:18">
      <c r="A836" s="77"/>
      <c r="B836" s="77"/>
      <c r="C836" s="77"/>
      <c r="D836" s="77"/>
      <c r="E836" s="77"/>
      <c r="F836" s="77"/>
      <c r="G836" s="77"/>
      <c r="H836" s="77"/>
      <c r="I836" s="77"/>
      <c r="J836" s="77"/>
      <c r="K836" s="77"/>
      <c r="L836" s="77"/>
      <c r="M836" s="77"/>
      <c r="N836" s="77"/>
      <c r="O836" s="77"/>
      <c r="P836" s="77"/>
      <c r="Q836" s="77"/>
      <c r="R836" s="77"/>
    </row>
    <row r="837" spans="1:18">
      <c r="A837" s="77"/>
      <c r="B837" s="77"/>
      <c r="C837" s="77"/>
      <c r="D837" s="77"/>
      <c r="E837" s="77"/>
      <c r="F837" s="77"/>
      <c r="G837" s="77"/>
      <c r="H837" s="77"/>
      <c r="I837" s="77"/>
      <c r="J837" s="77"/>
      <c r="K837" s="77"/>
      <c r="L837" s="77"/>
      <c r="M837" s="77"/>
      <c r="N837" s="77"/>
      <c r="O837" s="77"/>
      <c r="P837" s="77"/>
      <c r="Q837" s="77"/>
      <c r="R837" s="77"/>
    </row>
    <row r="838" spans="1:18">
      <c r="A838" s="77"/>
      <c r="B838" s="77"/>
      <c r="C838" s="77"/>
      <c r="D838" s="77"/>
      <c r="E838" s="77"/>
      <c r="F838" s="77"/>
      <c r="G838" s="77"/>
      <c r="H838" s="77"/>
      <c r="I838" s="77"/>
      <c r="J838" s="77"/>
      <c r="K838" s="77"/>
      <c r="L838" s="77"/>
      <c r="M838" s="77"/>
      <c r="N838" s="77"/>
      <c r="O838" s="77"/>
      <c r="P838" s="77"/>
      <c r="Q838" s="77"/>
      <c r="R838" s="77"/>
    </row>
    <row r="839" spans="1:18">
      <c r="A839" s="77"/>
      <c r="B839" s="77"/>
      <c r="C839" s="77"/>
      <c r="D839" s="77"/>
      <c r="E839" s="77"/>
      <c r="F839" s="77"/>
      <c r="G839" s="77"/>
      <c r="H839" s="77"/>
      <c r="I839" s="77"/>
      <c r="J839" s="77"/>
      <c r="K839" s="77"/>
      <c r="L839" s="77"/>
      <c r="M839" s="77"/>
      <c r="N839" s="77"/>
      <c r="O839" s="77"/>
      <c r="P839" s="77"/>
      <c r="Q839" s="77"/>
      <c r="R839" s="77"/>
    </row>
    <row r="840" spans="1:18">
      <c r="A840" s="77"/>
      <c r="B840" s="77"/>
      <c r="C840" s="77"/>
      <c r="D840" s="77"/>
      <c r="E840" s="77"/>
      <c r="F840" s="77"/>
      <c r="G840" s="77"/>
      <c r="H840" s="77"/>
      <c r="I840" s="77"/>
      <c r="J840" s="77"/>
      <c r="K840" s="77"/>
      <c r="L840" s="77"/>
      <c r="M840" s="77"/>
      <c r="N840" s="77"/>
      <c r="O840" s="77"/>
      <c r="P840" s="77"/>
      <c r="Q840" s="77"/>
      <c r="R840" s="77"/>
    </row>
    <row r="841" spans="1:18">
      <c r="A841" s="77"/>
      <c r="B841" s="77"/>
      <c r="C841" s="77"/>
      <c r="D841" s="77"/>
      <c r="E841" s="77"/>
      <c r="F841" s="77"/>
      <c r="G841" s="77"/>
      <c r="H841" s="77"/>
      <c r="I841" s="77"/>
      <c r="J841" s="77"/>
      <c r="K841" s="77"/>
      <c r="L841" s="77"/>
      <c r="M841" s="77"/>
      <c r="N841" s="77"/>
      <c r="O841" s="77"/>
      <c r="P841" s="77"/>
      <c r="Q841" s="77"/>
      <c r="R841" s="77"/>
    </row>
    <row r="842" spans="1:18">
      <c r="A842" s="77"/>
      <c r="B842" s="77"/>
      <c r="C842" s="77"/>
      <c r="D842" s="77"/>
      <c r="E842" s="77"/>
      <c r="F842" s="77"/>
      <c r="G842" s="77"/>
      <c r="H842" s="77"/>
      <c r="I842" s="77"/>
      <c r="J842" s="77"/>
      <c r="K842" s="77"/>
      <c r="L842" s="77"/>
      <c r="M842" s="77"/>
      <c r="N842" s="77"/>
      <c r="O842" s="77"/>
      <c r="P842" s="77"/>
      <c r="Q842" s="77"/>
      <c r="R842" s="77"/>
    </row>
    <row r="843" spans="1:18">
      <c r="A843" s="77"/>
      <c r="B843" s="77"/>
      <c r="C843" s="77"/>
      <c r="D843" s="77"/>
      <c r="E843" s="77"/>
      <c r="F843" s="77"/>
      <c r="G843" s="77"/>
      <c r="H843" s="77"/>
      <c r="I843" s="77"/>
      <c r="J843" s="77"/>
      <c r="K843" s="77"/>
      <c r="L843" s="77"/>
      <c r="M843" s="77"/>
      <c r="N843" s="77"/>
      <c r="O843" s="77"/>
      <c r="P843" s="77"/>
      <c r="Q843" s="77"/>
      <c r="R843" s="77"/>
    </row>
    <row r="844" spans="1:18">
      <c r="A844" s="77"/>
      <c r="B844" s="77"/>
      <c r="C844" s="77"/>
      <c r="D844" s="77"/>
      <c r="E844" s="77"/>
      <c r="F844" s="77"/>
      <c r="G844" s="77"/>
      <c r="H844" s="77"/>
      <c r="I844" s="77"/>
      <c r="J844" s="77"/>
      <c r="K844" s="77"/>
      <c r="L844" s="77"/>
      <c r="M844" s="77"/>
      <c r="N844" s="77"/>
      <c r="O844" s="77"/>
      <c r="P844" s="77"/>
      <c r="Q844" s="77"/>
      <c r="R844" s="77"/>
    </row>
    <row r="845" spans="1:18">
      <c r="A845" s="77"/>
      <c r="B845" s="77"/>
      <c r="C845" s="77"/>
      <c r="D845" s="77"/>
      <c r="E845" s="77"/>
      <c r="F845" s="77"/>
      <c r="G845" s="77"/>
      <c r="H845" s="77"/>
      <c r="I845" s="77"/>
      <c r="J845" s="77"/>
      <c r="K845" s="77"/>
      <c r="L845" s="77"/>
      <c r="M845" s="77"/>
      <c r="N845" s="77"/>
      <c r="O845" s="77"/>
      <c r="P845" s="77"/>
      <c r="Q845" s="77"/>
      <c r="R845" s="77"/>
    </row>
    <row r="846" spans="1:18">
      <c r="A846" s="77"/>
      <c r="B846" s="77"/>
      <c r="C846" s="77"/>
      <c r="D846" s="77"/>
      <c r="E846" s="77"/>
      <c r="F846" s="77"/>
      <c r="G846" s="77"/>
      <c r="H846" s="77"/>
      <c r="I846" s="77"/>
      <c r="J846" s="77"/>
      <c r="K846" s="77"/>
      <c r="L846" s="77"/>
      <c r="M846" s="77"/>
      <c r="N846" s="77"/>
      <c r="O846" s="77"/>
      <c r="P846" s="77"/>
      <c r="Q846" s="77"/>
      <c r="R846" s="77"/>
    </row>
    <row r="847" spans="1:18">
      <c r="A847" s="77"/>
      <c r="B847" s="77"/>
      <c r="C847" s="77"/>
      <c r="D847" s="77"/>
      <c r="E847" s="77"/>
      <c r="F847" s="77"/>
      <c r="G847" s="77"/>
      <c r="H847" s="77"/>
      <c r="I847" s="77"/>
      <c r="J847" s="77"/>
      <c r="K847" s="77"/>
      <c r="L847" s="77"/>
      <c r="M847" s="77"/>
      <c r="N847" s="77"/>
      <c r="O847" s="77"/>
      <c r="P847" s="77"/>
      <c r="Q847" s="77"/>
      <c r="R847" s="77"/>
    </row>
    <row r="848" spans="1:18">
      <c r="A848" s="77"/>
      <c r="B848" s="77"/>
      <c r="C848" s="77"/>
      <c r="D848" s="77"/>
      <c r="E848" s="77"/>
      <c r="F848" s="77"/>
      <c r="G848" s="77"/>
      <c r="H848" s="77"/>
      <c r="I848" s="77"/>
      <c r="J848" s="77"/>
      <c r="K848" s="77"/>
      <c r="L848" s="77"/>
      <c r="M848" s="77"/>
      <c r="N848" s="77"/>
      <c r="O848" s="77"/>
      <c r="P848" s="77"/>
      <c r="Q848" s="77"/>
      <c r="R848" s="77"/>
    </row>
    <row r="849" spans="1:18">
      <c r="A849" s="77"/>
      <c r="B849" s="77"/>
      <c r="C849" s="77"/>
      <c r="D849" s="77"/>
      <c r="E849" s="77"/>
      <c r="F849" s="77"/>
      <c r="G849" s="77"/>
      <c r="H849" s="77"/>
      <c r="I849" s="77"/>
      <c r="J849" s="77"/>
      <c r="K849" s="77"/>
      <c r="L849" s="77"/>
      <c r="M849" s="77"/>
      <c r="N849" s="77"/>
      <c r="O849" s="77"/>
      <c r="P849" s="77"/>
      <c r="Q849" s="77"/>
      <c r="R849" s="77"/>
    </row>
    <row r="850" spans="1:18">
      <c r="A850" s="77"/>
      <c r="B850" s="77"/>
      <c r="C850" s="77"/>
      <c r="D850" s="77"/>
      <c r="E850" s="77"/>
      <c r="F850" s="77"/>
      <c r="G850" s="77"/>
      <c r="H850" s="77"/>
      <c r="I850" s="77"/>
      <c r="J850" s="77"/>
      <c r="K850" s="77"/>
      <c r="L850" s="77"/>
      <c r="M850" s="77"/>
      <c r="N850" s="77"/>
      <c r="O850" s="77"/>
      <c r="P850" s="77"/>
      <c r="Q850" s="77"/>
      <c r="R850" s="77"/>
    </row>
    <row r="851" spans="1:18">
      <c r="A851" s="77"/>
      <c r="B851" s="77"/>
      <c r="C851" s="77"/>
      <c r="D851" s="77"/>
      <c r="E851" s="77"/>
      <c r="F851" s="77"/>
      <c r="G851" s="77"/>
      <c r="H851" s="77"/>
      <c r="I851" s="77"/>
      <c r="J851" s="77"/>
      <c r="K851" s="77"/>
      <c r="L851" s="77"/>
      <c r="M851" s="77"/>
      <c r="N851" s="77"/>
      <c r="O851" s="77"/>
      <c r="P851" s="77"/>
      <c r="Q851" s="77"/>
      <c r="R851" s="77"/>
    </row>
    <row r="852" spans="1:18">
      <c r="A852" s="77"/>
      <c r="B852" s="77"/>
      <c r="C852" s="77"/>
      <c r="D852" s="77"/>
      <c r="E852" s="77"/>
      <c r="F852" s="77"/>
      <c r="G852" s="77"/>
      <c r="H852" s="77"/>
      <c r="I852" s="77"/>
      <c r="J852" s="77"/>
      <c r="K852" s="77"/>
      <c r="L852" s="77"/>
      <c r="M852" s="77"/>
      <c r="N852" s="77"/>
      <c r="O852" s="77"/>
      <c r="P852" s="77"/>
      <c r="Q852" s="77"/>
      <c r="R852" s="77"/>
    </row>
    <row r="853" spans="1:18">
      <c r="A853" s="77"/>
      <c r="B853" s="77"/>
      <c r="C853" s="77"/>
      <c r="D853" s="77"/>
      <c r="E853" s="77"/>
      <c r="F853" s="77"/>
      <c r="G853" s="77"/>
      <c r="H853" s="77"/>
      <c r="I853" s="77"/>
      <c r="J853" s="77"/>
      <c r="K853" s="77"/>
      <c r="L853" s="77"/>
      <c r="M853" s="77"/>
      <c r="N853" s="77"/>
      <c r="O853" s="77"/>
      <c r="P853" s="77"/>
      <c r="Q853" s="77"/>
      <c r="R853" s="77"/>
    </row>
    <row r="854" spans="1:18">
      <c r="A854" s="77"/>
      <c r="B854" s="77"/>
      <c r="C854" s="77"/>
      <c r="D854" s="77"/>
      <c r="E854" s="77"/>
      <c r="F854" s="77"/>
      <c r="G854" s="77"/>
      <c r="H854" s="77"/>
      <c r="I854" s="77"/>
      <c r="J854" s="77"/>
      <c r="K854" s="77"/>
      <c r="L854" s="77"/>
      <c r="M854" s="77"/>
      <c r="N854" s="77"/>
      <c r="O854" s="77"/>
      <c r="P854" s="77"/>
      <c r="Q854" s="77"/>
      <c r="R854" s="77"/>
    </row>
    <row r="855" spans="1:18">
      <c r="A855" s="77"/>
      <c r="B855" s="77"/>
      <c r="C855" s="77"/>
      <c r="D855" s="77"/>
      <c r="E855" s="77"/>
      <c r="F855" s="77"/>
      <c r="G855" s="77"/>
      <c r="H855" s="77"/>
      <c r="I855" s="77"/>
      <c r="J855" s="77"/>
      <c r="K855" s="77"/>
      <c r="L855" s="77"/>
      <c r="M855" s="77"/>
      <c r="N855" s="77"/>
      <c r="O855" s="77"/>
      <c r="P855" s="77"/>
      <c r="Q855" s="77"/>
      <c r="R855" s="77"/>
    </row>
    <row r="856" spans="1:18">
      <c r="A856" s="77"/>
      <c r="B856" s="77"/>
      <c r="C856" s="77"/>
      <c r="D856" s="77"/>
      <c r="E856" s="77"/>
      <c r="F856" s="77"/>
      <c r="G856" s="77"/>
      <c r="H856" s="77"/>
      <c r="I856" s="77"/>
      <c r="J856" s="77"/>
      <c r="K856" s="77"/>
      <c r="L856" s="77"/>
      <c r="M856" s="77"/>
      <c r="N856" s="77"/>
      <c r="O856" s="77"/>
      <c r="P856" s="77"/>
      <c r="Q856" s="77"/>
      <c r="R856" s="77"/>
    </row>
    <row r="857" spans="1:18">
      <c r="A857" s="77"/>
      <c r="B857" s="77"/>
      <c r="C857" s="77"/>
      <c r="D857" s="77"/>
      <c r="E857" s="77"/>
      <c r="F857" s="77"/>
      <c r="G857" s="77"/>
      <c r="H857" s="77"/>
      <c r="I857" s="77"/>
      <c r="J857" s="77"/>
      <c r="K857" s="77"/>
      <c r="L857" s="77"/>
      <c r="M857" s="77"/>
      <c r="N857" s="77"/>
      <c r="O857" s="77"/>
      <c r="P857" s="77"/>
      <c r="Q857" s="77"/>
      <c r="R857" s="77"/>
    </row>
    <row r="858" spans="1:18">
      <c r="A858" s="77"/>
      <c r="B858" s="77"/>
      <c r="C858" s="77"/>
      <c r="D858" s="77"/>
      <c r="E858" s="77"/>
      <c r="F858" s="77"/>
      <c r="G858" s="77"/>
      <c r="H858" s="77"/>
      <c r="I858" s="77"/>
      <c r="J858" s="77"/>
      <c r="K858" s="77"/>
      <c r="L858" s="77"/>
      <c r="M858" s="77"/>
      <c r="N858" s="77"/>
      <c r="O858" s="77"/>
      <c r="P858" s="77"/>
      <c r="Q858" s="77"/>
      <c r="R858" s="77"/>
    </row>
    <row r="859" spans="1:18">
      <c r="A859" s="77"/>
      <c r="B859" s="77"/>
      <c r="C859" s="77"/>
      <c r="D859" s="77"/>
      <c r="E859" s="77"/>
      <c r="F859" s="77"/>
      <c r="G859" s="77"/>
      <c r="H859" s="77"/>
      <c r="I859" s="77"/>
      <c r="J859" s="77"/>
      <c r="K859" s="77"/>
      <c r="L859" s="77"/>
      <c r="M859" s="77"/>
      <c r="N859" s="77"/>
      <c r="O859" s="77"/>
      <c r="P859" s="77"/>
      <c r="Q859" s="77"/>
      <c r="R859" s="77"/>
    </row>
    <row r="860" spans="1:18">
      <c r="A860" s="77"/>
      <c r="B860" s="77"/>
      <c r="C860" s="77"/>
      <c r="D860" s="77"/>
      <c r="E860" s="77"/>
      <c r="F860" s="77"/>
      <c r="G860" s="77"/>
      <c r="H860" s="77"/>
      <c r="I860" s="77"/>
      <c r="J860" s="77"/>
      <c r="K860" s="77"/>
      <c r="L860" s="77"/>
      <c r="M860" s="77"/>
      <c r="N860" s="77"/>
      <c r="O860" s="77"/>
      <c r="P860" s="77"/>
      <c r="Q860" s="77"/>
      <c r="R860" s="77"/>
    </row>
    <row r="861" spans="1:18">
      <c r="A861" s="77"/>
      <c r="B861" s="77"/>
      <c r="C861" s="77"/>
      <c r="D861" s="77"/>
      <c r="E861" s="77"/>
      <c r="F861" s="77"/>
      <c r="G861" s="77"/>
      <c r="H861" s="77"/>
      <c r="I861" s="77"/>
      <c r="J861" s="77"/>
      <c r="K861" s="77"/>
      <c r="L861" s="77"/>
      <c r="M861" s="77"/>
      <c r="N861" s="77"/>
      <c r="O861" s="77"/>
      <c r="P861" s="77"/>
      <c r="Q861" s="77"/>
      <c r="R861" s="77"/>
    </row>
    <row r="862" spans="1:18">
      <c r="A862" s="77"/>
      <c r="B862" s="77"/>
      <c r="C862" s="77"/>
      <c r="D862" s="77"/>
      <c r="E862" s="77"/>
      <c r="F862" s="77"/>
      <c r="G862" s="77"/>
      <c r="H862" s="77"/>
      <c r="I862" s="77"/>
      <c r="J862" s="77"/>
      <c r="K862" s="77"/>
      <c r="L862" s="77"/>
      <c r="M862" s="77"/>
      <c r="N862" s="77"/>
      <c r="O862" s="77"/>
      <c r="P862" s="77"/>
      <c r="Q862" s="77"/>
      <c r="R862" s="77"/>
    </row>
    <row r="863" spans="1:18">
      <c r="A863" s="77"/>
      <c r="B863" s="77"/>
      <c r="C863" s="77"/>
      <c r="D863" s="77"/>
      <c r="E863" s="77"/>
      <c r="F863" s="77"/>
      <c r="G863" s="77"/>
      <c r="H863" s="77"/>
      <c r="I863" s="77"/>
      <c r="J863" s="77"/>
      <c r="K863" s="77"/>
      <c r="L863" s="77"/>
      <c r="M863" s="77"/>
      <c r="N863" s="77"/>
      <c r="O863" s="77"/>
      <c r="P863" s="77"/>
      <c r="Q863" s="77"/>
      <c r="R863" s="77"/>
    </row>
    <row r="864" spans="1:18">
      <c r="A864" s="77"/>
      <c r="B864" s="77"/>
      <c r="C864" s="77"/>
      <c r="D864" s="77"/>
      <c r="E864" s="77"/>
      <c r="F864" s="77"/>
      <c r="G864" s="77"/>
      <c r="H864" s="77"/>
      <c r="I864" s="77"/>
      <c r="J864" s="77"/>
      <c r="K864" s="77"/>
      <c r="L864" s="77"/>
      <c r="M864" s="77"/>
      <c r="N864" s="77"/>
      <c r="O864" s="77"/>
      <c r="P864" s="77"/>
      <c r="Q864" s="77"/>
      <c r="R864" s="77"/>
    </row>
    <row r="865" spans="1:18">
      <c r="A865" s="77"/>
      <c r="B865" s="77"/>
      <c r="C865" s="77"/>
      <c r="D865" s="77"/>
      <c r="E865" s="77"/>
      <c r="F865" s="77"/>
      <c r="G865" s="77"/>
      <c r="H865" s="77"/>
      <c r="I865" s="77"/>
      <c r="J865" s="77"/>
      <c r="K865" s="77"/>
      <c r="L865" s="77"/>
      <c r="M865" s="77"/>
      <c r="N865" s="77"/>
      <c r="O865" s="77"/>
      <c r="P865" s="77"/>
      <c r="Q865" s="77"/>
      <c r="R865" s="77"/>
    </row>
    <row r="866" spans="1:18">
      <c r="A866" s="77"/>
      <c r="B866" s="77"/>
      <c r="C866" s="77"/>
      <c r="D866" s="77"/>
      <c r="E866" s="77"/>
      <c r="F866" s="77"/>
      <c r="G866" s="77"/>
      <c r="H866" s="77"/>
      <c r="I866" s="77"/>
      <c r="J866" s="77"/>
      <c r="K866" s="77"/>
      <c r="L866" s="77"/>
      <c r="M866" s="77"/>
      <c r="N866" s="77"/>
      <c r="O866" s="77"/>
      <c r="P866" s="77"/>
      <c r="Q866" s="77"/>
      <c r="R866" s="77"/>
    </row>
    <row r="867" spans="1:18">
      <c r="A867" s="77"/>
      <c r="B867" s="77"/>
      <c r="C867" s="77"/>
      <c r="D867" s="77"/>
      <c r="E867" s="77"/>
      <c r="F867" s="77"/>
      <c r="G867" s="77"/>
      <c r="H867" s="77"/>
      <c r="I867" s="77"/>
      <c r="J867" s="77"/>
      <c r="K867" s="77"/>
      <c r="L867" s="77"/>
      <c r="M867" s="77"/>
      <c r="N867" s="77"/>
      <c r="O867" s="77"/>
      <c r="P867" s="77"/>
      <c r="Q867" s="77"/>
      <c r="R867" s="77"/>
    </row>
    <row r="868" spans="1:18">
      <c r="A868" s="77"/>
      <c r="B868" s="77"/>
      <c r="C868" s="77"/>
      <c r="D868" s="77"/>
      <c r="E868" s="77"/>
      <c r="F868" s="77"/>
      <c r="G868" s="77"/>
      <c r="H868" s="77"/>
      <c r="I868" s="77"/>
      <c r="J868" s="77"/>
      <c r="K868" s="77"/>
      <c r="L868" s="77"/>
      <c r="M868" s="77"/>
      <c r="N868" s="77"/>
      <c r="O868" s="77"/>
      <c r="P868" s="77"/>
      <c r="Q868" s="77"/>
      <c r="R868" s="77"/>
    </row>
    <row r="869" spans="1:18">
      <c r="A869" s="77"/>
      <c r="B869" s="77"/>
      <c r="C869" s="77"/>
      <c r="D869" s="77"/>
      <c r="E869" s="77"/>
      <c r="F869" s="77"/>
      <c r="G869" s="77"/>
      <c r="H869" s="77"/>
      <c r="I869" s="77"/>
      <c r="J869" s="77"/>
      <c r="K869" s="77"/>
      <c r="L869" s="77"/>
      <c r="M869" s="77"/>
      <c r="N869" s="77"/>
      <c r="O869" s="77"/>
      <c r="P869" s="77"/>
      <c r="Q869" s="77"/>
      <c r="R869" s="77"/>
    </row>
    <row r="870" spans="1:18">
      <c r="A870" s="77"/>
      <c r="B870" s="77"/>
      <c r="C870" s="77"/>
      <c r="D870" s="77"/>
      <c r="E870" s="77"/>
      <c r="F870" s="77"/>
      <c r="G870" s="77"/>
      <c r="H870" s="77"/>
      <c r="I870" s="77"/>
      <c r="J870" s="77"/>
      <c r="K870" s="77"/>
      <c r="L870" s="77"/>
      <c r="M870" s="77"/>
      <c r="N870" s="77"/>
      <c r="O870" s="77"/>
      <c r="P870" s="77"/>
      <c r="Q870" s="77"/>
      <c r="R870" s="77"/>
    </row>
    <row r="871" spans="1:18">
      <c r="A871" s="77"/>
      <c r="B871" s="77"/>
      <c r="C871" s="77"/>
      <c r="D871" s="77"/>
      <c r="E871" s="77"/>
      <c r="F871" s="77"/>
      <c r="G871" s="77"/>
      <c r="H871" s="77"/>
      <c r="I871" s="77"/>
      <c r="J871" s="77"/>
      <c r="K871" s="77"/>
      <c r="L871" s="77"/>
      <c r="M871" s="77"/>
      <c r="N871" s="77"/>
      <c r="O871" s="77"/>
      <c r="P871" s="77"/>
      <c r="Q871" s="77"/>
      <c r="R871" s="77"/>
    </row>
    <row r="872" spans="1:18">
      <c r="A872" s="77"/>
      <c r="B872" s="77"/>
      <c r="C872" s="77"/>
      <c r="D872" s="77"/>
      <c r="E872" s="77"/>
      <c r="F872" s="77"/>
      <c r="G872" s="77"/>
      <c r="H872" s="77"/>
      <c r="I872" s="77"/>
      <c r="J872" s="77"/>
      <c r="K872" s="77"/>
      <c r="L872" s="77"/>
      <c r="M872" s="77"/>
      <c r="N872" s="77"/>
      <c r="O872" s="77"/>
      <c r="P872" s="77"/>
      <c r="Q872" s="77"/>
      <c r="R872" s="77"/>
    </row>
    <row r="873" spans="1:18">
      <c r="A873" s="77"/>
      <c r="B873" s="77"/>
      <c r="C873" s="77"/>
      <c r="D873" s="77"/>
      <c r="E873" s="77"/>
      <c r="F873" s="77"/>
      <c r="G873" s="77"/>
      <c r="H873" s="77"/>
      <c r="I873" s="77"/>
      <c r="J873" s="77"/>
      <c r="K873" s="77"/>
      <c r="L873" s="77"/>
      <c r="M873" s="77"/>
      <c r="N873" s="77"/>
      <c r="O873" s="77"/>
      <c r="P873" s="77"/>
      <c r="Q873" s="77"/>
      <c r="R873" s="77"/>
    </row>
    <row r="874" spans="1:18">
      <c r="A874" s="77"/>
      <c r="B874" s="77"/>
      <c r="C874" s="77"/>
      <c r="D874" s="77"/>
      <c r="E874" s="77"/>
      <c r="F874" s="77"/>
      <c r="G874" s="77"/>
      <c r="H874" s="77"/>
      <c r="I874" s="77"/>
      <c r="J874" s="77"/>
      <c r="K874" s="77"/>
      <c r="L874" s="77"/>
      <c r="M874" s="77"/>
      <c r="N874" s="77"/>
      <c r="O874" s="77"/>
      <c r="P874" s="77"/>
      <c r="Q874" s="77"/>
      <c r="R874" s="77"/>
    </row>
    <row r="875" spans="1:18">
      <c r="A875" s="77"/>
      <c r="B875" s="77"/>
      <c r="C875" s="77"/>
      <c r="D875" s="77"/>
      <c r="E875" s="77"/>
      <c r="F875" s="77"/>
      <c r="G875" s="77"/>
      <c r="H875" s="77"/>
      <c r="I875" s="77"/>
      <c r="J875" s="77"/>
      <c r="K875" s="77"/>
      <c r="L875" s="77"/>
      <c r="M875" s="77"/>
      <c r="N875" s="77"/>
      <c r="O875" s="77"/>
      <c r="P875" s="77"/>
      <c r="Q875" s="77"/>
      <c r="R875" s="77"/>
    </row>
    <row r="876" spans="1:18">
      <c r="A876" s="77"/>
      <c r="B876" s="77"/>
      <c r="C876" s="77"/>
      <c r="D876" s="77"/>
      <c r="E876" s="77"/>
      <c r="F876" s="77"/>
      <c r="G876" s="77"/>
      <c r="H876" s="77"/>
      <c r="I876" s="77"/>
      <c r="J876" s="77"/>
      <c r="K876" s="77"/>
      <c r="L876" s="77"/>
      <c r="M876" s="77"/>
      <c r="N876" s="77"/>
      <c r="O876" s="77"/>
      <c r="P876" s="77"/>
      <c r="Q876" s="77"/>
      <c r="R876" s="77"/>
    </row>
    <row r="877" spans="1:18">
      <c r="A877" s="77"/>
      <c r="B877" s="77"/>
      <c r="C877" s="77"/>
      <c r="D877" s="77"/>
      <c r="E877" s="77"/>
      <c r="F877" s="77"/>
      <c r="G877" s="77"/>
      <c r="H877" s="77"/>
      <c r="I877" s="77"/>
      <c r="J877" s="77"/>
      <c r="K877" s="77"/>
      <c r="L877" s="77"/>
      <c r="M877" s="77"/>
      <c r="N877" s="77"/>
      <c r="O877" s="77"/>
      <c r="P877" s="77"/>
      <c r="Q877" s="77"/>
      <c r="R877" s="77"/>
    </row>
    <row r="878" spans="1:18">
      <c r="A878" s="77"/>
      <c r="B878" s="77"/>
      <c r="C878" s="77"/>
      <c r="D878" s="77"/>
      <c r="E878" s="77"/>
      <c r="F878" s="77"/>
      <c r="G878" s="77"/>
      <c r="H878" s="77"/>
      <c r="I878" s="77"/>
      <c r="J878" s="77"/>
      <c r="K878" s="77"/>
      <c r="L878" s="77"/>
      <c r="M878" s="77"/>
      <c r="N878" s="77"/>
      <c r="O878" s="77"/>
      <c r="P878" s="77"/>
      <c r="Q878" s="77"/>
      <c r="R878" s="77"/>
    </row>
    <row r="879" spans="1:18">
      <c r="A879" s="77"/>
      <c r="B879" s="77"/>
      <c r="C879" s="77"/>
      <c r="D879" s="77"/>
      <c r="E879" s="77"/>
      <c r="F879" s="77"/>
      <c r="G879" s="77"/>
      <c r="H879" s="77"/>
      <c r="I879" s="77"/>
      <c r="J879" s="77"/>
      <c r="K879" s="77"/>
      <c r="L879" s="77"/>
      <c r="M879" s="77"/>
      <c r="N879" s="77"/>
      <c r="O879" s="77"/>
      <c r="P879" s="77"/>
      <c r="Q879" s="77"/>
      <c r="R879" s="77"/>
    </row>
    <row r="880" spans="1:18">
      <c r="A880" s="77"/>
      <c r="B880" s="77"/>
      <c r="C880" s="77"/>
      <c r="D880" s="77"/>
      <c r="E880" s="77"/>
      <c r="F880" s="77"/>
      <c r="G880" s="77"/>
      <c r="H880" s="77"/>
      <c r="I880" s="77"/>
      <c r="J880" s="77"/>
      <c r="K880" s="77"/>
      <c r="L880" s="77"/>
      <c r="M880" s="77"/>
      <c r="N880" s="77"/>
      <c r="O880" s="77"/>
      <c r="P880" s="77"/>
      <c r="Q880" s="77"/>
      <c r="R880" s="77"/>
    </row>
    <row r="881" spans="1:18">
      <c r="A881" s="77"/>
      <c r="B881" s="77"/>
      <c r="C881" s="77"/>
      <c r="D881" s="77"/>
      <c r="E881" s="77"/>
      <c r="F881" s="77"/>
      <c r="G881" s="77"/>
      <c r="H881" s="77"/>
      <c r="I881" s="77"/>
      <c r="J881" s="77"/>
      <c r="K881" s="77"/>
      <c r="L881" s="77"/>
      <c r="M881" s="77"/>
      <c r="N881" s="77"/>
      <c r="O881" s="77"/>
      <c r="P881" s="77"/>
      <c r="Q881" s="77"/>
      <c r="R881" s="77"/>
    </row>
    <row r="882" spans="1:18">
      <c r="A882" s="77"/>
      <c r="B882" s="77"/>
      <c r="C882" s="77"/>
      <c r="D882" s="77"/>
      <c r="E882" s="77"/>
      <c r="F882" s="77"/>
      <c r="G882" s="77"/>
      <c r="H882" s="77"/>
      <c r="I882" s="77"/>
      <c r="J882" s="77"/>
      <c r="K882" s="77"/>
      <c r="L882" s="77"/>
      <c r="M882" s="77"/>
      <c r="N882" s="77"/>
      <c r="O882" s="77"/>
      <c r="P882" s="77"/>
      <c r="Q882" s="77"/>
      <c r="R882" s="77"/>
    </row>
    <row r="883" spans="1:18">
      <c r="A883" s="77"/>
      <c r="B883" s="77"/>
      <c r="C883" s="77"/>
      <c r="D883" s="77"/>
      <c r="E883" s="77"/>
      <c r="F883" s="77"/>
      <c r="G883" s="77"/>
      <c r="H883" s="77"/>
      <c r="I883" s="77"/>
      <c r="J883" s="77"/>
      <c r="K883" s="77"/>
      <c r="L883" s="77"/>
      <c r="M883" s="77"/>
      <c r="N883" s="77"/>
      <c r="O883" s="77"/>
      <c r="P883" s="77"/>
      <c r="Q883" s="77"/>
      <c r="R883" s="77"/>
    </row>
    <row r="884" spans="1:18">
      <c r="A884" s="77"/>
      <c r="B884" s="77"/>
      <c r="C884" s="77"/>
      <c r="D884" s="77"/>
      <c r="E884" s="77"/>
      <c r="F884" s="77"/>
      <c r="G884" s="77"/>
      <c r="H884" s="77"/>
      <c r="I884" s="77"/>
      <c r="J884" s="77"/>
      <c r="K884" s="77"/>
      <c r="L884" s="77"/>
      <c r="M884" s="77"/>
      <c r="N884" s="77"/>
      <c r="O884" s="77"/>
      <c r="P884" s="77"/>
      <c r="Q884" s="77"/>
      <c r="R884" s="77"/>
    </row>
    <row r="885" spans="1:18">
      <c r="A885" s="77"/>
      <c r="B885" s="77"/>
      <c r="C885" s="77"/>
      <c r="D885" s="77"/>
      <c r="E885" s="77"/>
      <c r="F885" s="77"/>
      <c r="G885" s="77"/>
      <c r="H885" s="77"/>
      <c r="I885" s="77"/>
      <c r="J885" s="77"/>
      <c r="K885" s="77"/>
      <c r="L885" s="77"/>
      <c r="M885" s="77"/>
      <c r="N885" s="77"/>
      <c r="O885" s="77"/>
      <c r="P885" s="77"/>
      <c r="Q885" s="77"/>
      <c r="R885" s="77"/>
    </row>
    <row r="886" spans="1:18">
      <c r="A886" s="77"/>
      <c r="B886" s="77"/>
      <c r="C886" s="77"/>
      <c r="D886" s="77"/>
      <c r="E886" s="77"/>
      <c r="F886" s="77"/>
      <c r="G886" s="77"/>
      <c r="H886" s="77"/>
      <c r="I886" s="77"/>
      <c r="J886" s="77"/>
      <c r="K886" s="77"/>
      <c r="L886" s="77"/>
      <c r="M886" s="77"/>
      <c r="N886" s="77"/>
      <c r="O886" s="77"/>
      <c r="P886" s="77"/>
      <c r="Q886" s="77"/>
      <c r="R886" s="77"/>
    </row>
    <row r="887" spans="1:18">
      <c r="A887" s="77"/>
      <c r="B887" s="77"/>
      <c r="C887" s="77"/>
      <c r="D887" s="77"/>
      <c r="E887" s="77"/>
      <c r="F887" s="77"/>
      <c r="G887" s="77"/>
      <c r="H887" s="77"/>
      <c r="I887" s="77"/>
      <c r="J887" s="77"/>
      <c r="K887" s="77"/>
      <c r="L887" s="77"/>
      <c r="M887" s="77"/>
      <c r="N887" s="77"/>
      <c r="O887" s="77"/>
      <c r="P887" s="77"/>
      <c r="Q887" s="77"/>
      <c r="R887" s="77"/>
    </row>
    <row r="888" spans="1:18">
      <c r="A888" s="77"/>
      <c r="B888" s="77"/>
      <c r="C888" s="77"/>
      <c r="D888" s="77"/>
      <c r="E888" s="77"/>
      <c r="F888" s="77"/>
      <c r="G888" s="77"/>
      <c r="H888" s="77"/>
      <c r="I888" s="77"/>
      <c r="J888" s="77"/>
      <c r="K888" s="77"/>
      <c r="L888" s="77"/>
      <c r="M888" s="77"/>
      <c r="N888" s="77"/>
      <c r="O888" s="77"/>
      <c r="P888" s="77"/>
      <c r="Q888" s="77"/>
      <c r="R888" s="77"/>
    </row>
    <row r="889" spans="1:18">
      <c r="A889" s="77"/>
      <c r="B889" s="77"/>
      <c r="C889" s="77"/>
      <c r="D889" s="77"/>
      <c r="E889" s="77"/>
      <c r="F889" s="77"/>
      <c r="G889" s="77"/>
      <c r="H889" s="77"/>
      <c r="I889" s="77"/>
      <c r="J889" s="77"/>
      <c r="K889" s="77"/>
      <c r="L889" s="77"/>
      <c r="M889" s="77"/>
      <c r="N889" s="77"/>
      <c r="O889" s="77"/>
      <c r="P889" s="77"/>
      <c r="Q889" s="77"/>
      <c r="R889" s="77"/>
    </row>
    <row r="890" spans="1:18">
      <c r="A890" s="77"/>
      <c r="B890" s="77"/>
      <c r="C890" s="77"/>
      <c r="D890" s="77"/>
      <c r="E890" s="77"/>
      <c r="F890" s="77"/>
      <c r="G890" s="77"/>
      <c r="H890" s="77"/>
      <c r="I890" s="77"/>
      <c r="J890" s="77"/>
      <c r="K890" s="77"/>
      <c r="L890" s="77"/>
      <c r="M890" s="77"/>
      <c r="N890" s="77"/>
      <c r="O890" s="77"/>
      <c r="P890" s="77"/>
      <c r="Q890" s="77"/>
      <c r="R890" s="77"/>
    </row>
    <row r="891" spans="1:18">
      <c r="A891" s="77"/>
      <c r="B891" s="77"/>
      <c r="C891" s="77"/>
      <c r="D891" s="77"/>
      <c r="E891" s="77"/>
      <c r="F891" s="77"/>
      <c r="G891" s="77"/>
      <c r="H891" s="77"/>
      <c r="I891" s="77"/>
      <c r="J891" s="77"/>
      <c r="K891" s="77"/>
      <c r="L891" s="77"/>
      <c r="M891" s="77"/>
      <c r="N891" s="77"/>
      <c r="O891" s="77"/>
      <c r="P891" s="77"/>
      <c r="Q891" s="77"/>
      <c r="R891" s="77"/>
    </row>
    <row r="892" spans="1:18">
      <c r="A892" s="77"/>
      <c r="B892" s="77"/>
      <c r="C892" s="77"/>
      <c r="D892" s="77"/>
      <c r="E892" s="77"/>
      <c r="F892" s="77"/>
      <c r="G892" s="77"/>
      <c r="H892" s="77"/>
      <c r="I892" s="77"/>
      <c r="J892" s="77"/>
      <c r="K892" s="77"/>
      <c r="L892" s="77"/>
      <c r="M892" s="77"/>
      <c r="N892" s="77"/>
      <c r="O892" s="77"/>
      <c r="P892" s="77"/>
      <c r="Q892" s="77"/>
      <c r="R892" s="77"/>
    </row>
    <row r="893" spans="1:18">
      <c r="A893" s="77"/>
      <c r="B893" s="77"/>
      <c r="C893" s="77"/>
      <c r="D893" s="77"/>
      <c r="E893" s="77"/>
      <c r="F893" s="77"/>
      <c r="G893" s="77"/>
      <c r="H893" s="77"/>
      <c r="I893" s="77"/>
      <c r="J893" s="77"/>
      <c r="K893" s="77"/>
      <c r="L893" s="77"/>
      <c r="M893" s="77"/>
      <c r="N893" s="77"/>
      <c r="O893" s="77"/>
      <c r="P893" s="77"/>
      <c r="Q893" s="77"/>
      <c r="R893" s="77"/>
    </row>
    <row r="894" spans="1:18">
      <c r="A894" s="77"/>
      <c r="B894" s="77"/>
      <c r="C894" s="77"/>
      <c r="D894" s="77"/>
      <c r="E894" s="77"/>
      <c r="F894" s="77"/>
      <c r="G894" s="77"/>
      <c r="H894" s="77"/>
      <c r="I894" s="77"/>
      <c r="J894" s="77"/>
      <c r="K894" s="77"/>
      <c r="L894" s="77"/>
      <c r="M894" s="77"/>
      <c r="N894" s="77"/>
      <c r="O894" s="77"/>
      <c r="P894" s="77"/>
      <c r="Q894" s="77"/>
      <c r="R894" s="77"/>
    </row>
    <row r="895" spans="1:18">
      <c r="A895" s="77"/>
      <c r="B895" s="77"/>
      <c r="C895" s="77"/>
      <c r="D895" s="77"/>
      <c r="E895" s="77"/>
      <c r="F895" s="77"/>
      <c r="G895" s="77"/>
      <c r="H895" s="77"/>
      <c r="I895" s="77"/>
      <c r="J895" s="77"/>
      <c r="K895" s="77"/>
      <c r="L895" s="77"/>
      <c r="M895" s="77"/>
      <c r="N895" s="77"/>
      <c r="O895" s="77"/>
      <c r="P895" s="77"/>
      <c r="Q895" s="77"/>
      <c r="R895" s="77"/>
    </row>
    <row r="896" spans="1:18">
      <c r="A896" s="77"/>
      <c r="B896" s="77"/>
      <c r="C896" s="77"/>
      <c r="D896" s="77"/>
      <c r="E896" s="77"/>
      <c r="F896" s="77"/>
      <c r="G896" s="77"/>
      <c r="H896" s="77"/>
      <c r="I896" s="77"/>
      <c r="J896" s="77"/>
      <c r="K896" s="77"/>
      <c r="L896" s="77"/>
      <c r="M896" s="77"/>
      <c r="N896" s="77"/>
      <c r="O896" s="77"/>
      <c r="P896" s="77"/>
      <c r="Q896" s="77"/>
      <c r="R896" s="77"/>
    </row>
    <row r="897" spans="1:18">
      <c r="A897" s="77"/>
      <c r="B897" s="77"/>
      <c r="C897" s="77"/>
      <c r="D897" s="77"/>
      <c r="E897" s="77"/>
      <c r="F897" s="77"/>
      <c r="G897" s="77"/>
      <c r="H897" s="77"/>
      <c r="I897" s="77"/>
      <c r="J897" s="77"/>
      <c r="K897" s="77"/>
      <c r="L897" s="77"/>
      <c r="M897" s="77"/>
      <c r="N897" s="77"/>
      <c r="O897" s="77"/>
      <c r="P897" s="77"/>
      <c r="Q897" s="77"/>
      <c r="R897" s="77"/>
    </row>
    <row r="898" spans="1:18">
      <c r="A898" s="77"/>
      <c r="B898" s="77"/>
      <c r="C898" s="77"/>
      <c r="D898" s="77"/>
      <c r="E898" s="77"/>
      <c r="F898" s="77"/>
      <c r="G898" s="77"/>
      <c r="H898" s="77"/>
      <c r="I898" s="77"/>
      <c r="J898" s="77"/>
      <c r="K898" s="77"/>
      <c r="L898" s="77"/>
      <c r="M898" s="77"/>
      <c r="N898" s="77"/>
      <c r="O898" s="77"/>
      <c r="P898" s="77"/>
      <c r="Q898" s="77"/>
      <c r="R898" s="77"/>
    </row>
    <row r="899" spans="1:18">
      <c r="A899" s="77"/>
      <c r="B899" s="77"/>
      <c r="C899" s="77"/>
      <c r="D899" s="77"/>
      <c r="E899" s="77"/>
      <c r="F899" s="77"/>
      <c r="G899" s="77"/>
      <c r="H899" s="77"/>
      <c r="I899" s="77"/>
      <c r="J899" s="77"/>
      <c r="K899" s="77"/>
      <c r="L899" s="77"/>
      <c r="M899" s="77"/>
      <c r="N899" s="77"/>
      <c r="O899" s="77"/>
      <c r="P899" s="77"/>
      <c r="Q899" s="77"/>
      <c r="R899" s="77"/>
    </row>
    <row r="900" spans="1:18">
      <c r="A900" s="77"/>
      <c r="B900" s="77"/>
      <c r="C900" s="77"/>
      <c r="D900" s="77"/>
      <c r="E900" s="77"/>
      <c r="F900" s="77"/>
      <c r="G900" s="77"/>
      <c r="H900" s="77"/>
      <c r="I900" s="77"/>
      <c r="J900" s="77"/>
      <c r="K900" s="77"/>
      <c r="L900" s="77"/>
      <c r="M900" s="77"/>
      <c r="N900" s="77"/>
      <c r="O900" s="77"/>
      <c r="P900" s="77"/>
      <c r="Q900" s="77"/>
      <c r="R900" s="77"/>
    </row>
    <row r="901" spans="1:18">
      <c r="A901" s="77"/>
      <c r="B901" s="77"/>
      <c r="C901" s="77"/>
      <c r="D901" s="77"/>
      <c r="E901" s="77"/>
      <c r="F901" s="77"/>
      <c r="G901" s="77"/>
      <c r="H901" s="77"/>
      <c r="I901" s="77"/>
      <c r="J901" s="77"/>
      <c r="K901" s="77"/>
      <c r="L901" s="77"/>
      <c r="M901" s="77"/>
      <c r="N901" s="77"/>
      <c r="O901" s="77"/>
      <c r="P901" s="77"/>
      <c r="Q901" s="77"/>
      <c r="R901" s="77"/>
    </row>
    <row r="902" spans="1:18">
      <c r="A902" s="77"/>
      <c r="B902" s="77"/>
      <c r="C902" s="77"/>
      <c r="D902" s="77"/>
      <c r="E902" s="77"/>
      <c r="F902" s="77"/>
      <c r="G902" s="77"/>
      <c r="H902" s="77"/>
      <c r="I902" s="77"/>
      <c r="J902" s="77"/>
      <c r="K902" s="77"/>
      <c r="L902" s="77"/>
      <c r="M902" s="77"/>
      <c r="N902" s="77"/>
      <c r="O902" s="77"/>
      <c r="P902" s="77"/>
      <c r="Q902" s="77"/>
      <c r="R902" s="77"/>
    </row>
    <row r="903" spans="1:18">
      <c r="A903" s="77"/>
      <c r="B903" s="77"/>
      <c r="C903" s="77"/>
      <c r="D903" s="77"/>
      <c r="E903" s="77"/>
      <c r="F903" s="77"/>
      <c r="G903" s="77"/>
      <c r="H903" s="77"/>
      <c r="I903" s="77"/>
      <c r="J903" s="77"/>
      <c r="K903" s="77"/>
      <c r="L903" s="77"/>
      <c r="M903" s="77"/>
      <c r="N903" s="77"/>
      <c r="O903" s="77"/>
      <c r="P903" s="77"/>
      <c r="Q903" s="77"/>
      <c r="R903" s="77"/>
    </row>
    <row r="904" spans="1:18">
      <c r="A904" s="77"/>
      <c r="B904" s="77"/>
      <c r="C904" s="77"/>
      <c r="D904" s="77"/>
      <c r="E904" s="77"/>
      <c r="F904" s="77"/>
      <c r="G904" s="77"/>
      <c r="H904" s="77"/>
      <c r="I904" s="77"/>
      <c r="J904" s="77"/>
      <c r="K904" s="77"/>
      <c r="L904" s="77"/>
      <c r="M904" s="77"/>
      <c r="N904" s="77"/>
      <c r="O904" s="77"/>
      <c r="P904" s="77"/>
      <c r="Q904" s="77"/>
      <c r="R904" s="77"/>
    </row>
    <row r="905" spans="1:18">
      <c r="A905" s="77"/>
      <c r="B905" s="77"/>
      <c r="C905" s="77"/>
      <c r="D905" s="77"/>
      <c r="E905" s="77"/>
      <c r="F905" s="77"/>
      <c r="G905" s="77"/>
      <c r="H905" s="77"/>
      <c r="I905" s="77"/>
      <c r="J905" s="77"/>
      <c r="K905" s="77"/>
      <c r="L905" s="77"/>
      <c r="M905" s="77"/>
      <c r="N905" s="77"/>
      <c r="O905" s="77"/>
      <c r="P905" s="77"/>
      <c r="Q905" s="77"/>
      <c r="R905" s="77"/>
    </row>
    <row r="906" spans="1:18">
      <c r="A906" s="77"/>
      <c r="B906" s="77"/>
      <c r="C906" s="77"/>
      <c r="D906" s="77"/>
      <c r="E906" s="77"/>
      <c r="F906" s="77"/>
      <c r="G906" s="77"/>
      <c r="H906" s="77"/>
      <c r="I906" s="77"/>
      <c r="J906" s="77"/>
      <c r="K906" s="77"/>
      <c r="L906" s="77"/>
      <c r="M906" s="77"/>
      <c r="N906" s="77"/>
      <c r="O906" s="77"/>
      <c r="P906" s="77"/>
      <c r="Q906" s="77"/>
      <c r="R906" s="77"/>
    </row>
    <row r="907" spans="1:18">
      <c r="A907" s="77"/>
      <c r="B907" s="77"/>
      <c r="C907" s="77"/>
      <c r="D907" s="77"/>
      <c r="E907" s="77"/>
      <c r="F907" s="77"/>
      <c r="G907" s="77"/>
      <c r="H907" s="77"/>
      <c r="I907" s="77"/>
      <c r="J907" s="77"/>
      <c r="K907" s="77"/>
      <c r="L907" s="77"/>
      <c r="M907" s="77"/>
      <c r="N907" s="77"/>
      <c r="O907" s="77"/>
      <c r="P907" s="77"/>
      <c r="Q907" s="77"/>
      <c r="R907" s="77"/>
    </row>
    <row r="908" spans="1:18">
      <c r="A908" s="77"/>
      <c r="B908" s="77"/>
      <c r="C908" s="77"/>
      <c r="D908" s="77"/>
      <c r="E908" s="77"/>
      <c r="F908" s="77"/>
      <c r="G908" s="77"/>
      <c r="H908" s="77"/>
      <c r="I908" s="77"/>
      <c r="J908" s="77"/>
      <c r="K908" s="77"/>
      <c r="L908" s="77"/>
      <c r="M908" s="77"/>
      <c r="N908" s="77"/>
      <c r="O908" s="77"/>
      <c r="P908" s="77"/>
      <c r="Q908" s="77"/>
      <c r="R908" s="77"/>
    </row>
    <row r="909" spans="1:18">
      <c r="A909" s="77"/>
      <c r="B909" s="77"/>
      <c r="C909" s="77"/>
      <c r="D909" s="77"/>
      <c r="E909" s="77"/>
      <c r="F909" s="77"/>
      <c r="G909" s="77"/>
      <c r="H909" s="77"/>
      <c r="I909" s="77"/>
      <c r="J909" s="77"/>
      <c r="K909" s="77"/>
      <c r="L909" s="77"/>
      <c r="M909" s="77"/>
      <c r="N909" s="77"/>
      <c r="O909" s="77"/>
      <c r="P909" s="77"/>
      <c r="Q909" s="77"/>
      <c r="R909" s="77"/>
    </row>
    <row r="910" spans="1:18">
      <c r="A910" s="77"/>
      <c r="B910" s="77"/>
      <c r="C910" s="77"/>
      <c r="D910" s="77"/>
      <c r="E910" s="77"/>
      <c r="F910" s="77"/>
      <c r="G910" s="77"/>
      <c r="H910" s="77"/>
      <c r="I910" s="77"/>
      <c r="J910" s="77"/>
      <c r="K910" s="77"/>
      <c r="L910" s="77"/>
      <c r="M910" s="77"/>
      <c r="N910" s="77"/>
      <c r="O910" s="77"/>
      <c r="P910" s="77"/>
      <c r="Q910" s="77"/>
      <c r="R910" s="77"/>
    </row>
    <row r="911" spans="1:18">
      <c r="A911" s="77"/>
      <c r="B911" s="77"/>
      <c r="C911" s="77"/>
      <c r="D911" s="77"/>
      <c r="E911" s="77"/>
      <c r="F911" s="77"/>
      <c r="G911" s="77"/>
      <c r="H911" s="77"/>
      <c r="I911" s="77"/>
      <c r="J911" s="77"/>
      <c r="K911" s="77"/>
      <c r="L911" s="77"/>
      <c r="M911" s="77"/>
      <c r="N911" s="77"/>
      <c r="O911" s="77"/>
      <c r="P911" s="77"/>
      <c r="Q911" s="77"/>
      <c r="R911" s="77"/>
    </row>
    <row r="912" spans="1:18">
      <c r="A912" s="77"/>
      <c r="B912" s="77"/>
      <c r="C912" s="77"/>
      <c r="D912" s="77"/>
      <c r="E912" s="77"/>
      <c r="F912" s="77"/>
      <c r="G912" s="77"/>
      <c r="H912" s="77"/>
      <c r="I912" s="77"/>
      <c r="J912" s="77"/>
      <c r="K912" s="77"/>
      <c r="L912" s="77"/>
      <c r="M912" s="77"/>
      <c r="N912" s="77"/>
      <c r="O912" s="77"/>
      <c r="P912" s="77"/>
      <c r="Q912" s="77"/>
      <c r="R912" s="77"/>
    </row>
    <row r="913" spans="1:18">
      <c r="A913" s="77"/>
      <c r="B913" s="77"/>
      <c r="C913" s="77"/>
      <c r="D913" s="77"/>
      <c r="E913" s="77"/>
      <c r="F913" s="77"/>
      <c r="G913" s="77"/>
      <c r="H913" s="77"/>
      <c r="I913" s="77"/>
      <c r="J913" s="77"/>
      <c r="K913" s="77"/>
      <c r="L913" s="77"/>
      <c r="M913" s="77"/>
      <c r="N913" s="77"/>
      <c r="O913" s="77"/>
      <c r="P913" s="77"/>
      <c r="Q913" s="77"/>
      <c r="R913" s="77"/>
    </row>
    <row r="914" spans="1:18">
      <c r="A914" s="77"/>
      <c r="B914" s="77"/>
      <c r="C914" s="77"/>
      <c r="D914" s="77"/>
      <c r="E914" s="77"/>
      <c r="F914" s="77"/>
      <c r="G914" s="77"/>
      <c r="H914" s="77"/>
      <c r="I914" s="77"/>
      <c r="J914" s="77"/>
      <c r="K914" s="77"/>
      <c r="L914" s="77"/>
      <c r="M914" s="77"/>
      <c r="N914" s="77"/>
      <c r="O914" s="77"/>
      <c r="P914" s="77"/>
      <c r="Q914" s="77"/>
      <c r="R914" s="77"/>
    </row>
    <row r="915" spans="1:18">
      <c r="A915" s="77"/>
      <c r="B915" s="77"/>
      <c r="C915" s="77"/>
      <c r="D915" s="77"/>
      <c r="E915" s="77"/>
      <c r="F915" s="77"/>
      <c r="G915" s="77"/>
      <c r="H915" s="77"/>
      <c r="I915" s="77"/>
      <c r="J915" s="77"/>
      <c r="K915" s="77"/>
      <c r="L915" s="77"/>
      <c r="M915" s="77"/>
      <c r="N915" s="77"/>
      <c r="O915" s="77"/>
      <c r="P915" s="77"/>
      <c r="Q915" s="77"/>
      <c r="R915" s="77"/>
    </row>
    <row r="916" spans="1:18">
      <c r="A916" s="77"/>
      <c r="B916" s="77"/>
      <c r="C916" s="77"/>
      <c r="D916" s="77"/>
      <c r="E916" s="77"/>
      <c r="F916" s="77"/>
      <c r="G916" s="77"/>
      <c r="H916" s="77"/>
      <c r="I916" s="77"/>
      <c r="J916" s="77"/>
      <c r="K916" s="77"/>
      <c r="L916" s="77"/>
      <c r="M916" s="77"/>
      <c r="N916" s="77"/>
      <c r="O916" s="77"/>
      <c r="P916" s="77"/>
      <c r="Q916" s="77"/>
      <c r="R916" s="77"/>
    </row>
    <row r="917" spans="1:18">
      <c r="A917" s="77"/>
      <c r="B917" s="77"/>
      <c r="C917" s="77"/>
      <c r="D917" s="77"/>
      <c r="E917" s="77"/>
      <c r="F917" s="77"/>
      <c r="G917" s="77"/>
      <c r="H917" s="77"/>
      <c r="I917" s="77"/>
      <c r="J917" s="77"/>
      <c r="K917" s="77"/>
      <c r="L917" s="77"/>
      <c r="M917" s="77"/>
      <c r="N917" s="77"/>
      <c r="O917" s="77"/>
      <c r="P917" s="77"/>
      <c r="Q917" s="77"/>
      <c r="R917" s="77"/>
    </row>
    <row r="918" spans="1:18">
      <c r="A918" s="77"/>
      <c r="B918" s="77"/>
      <c r="C918" s="77"/>
      <c r="D918" s="77"/>
      <c r="E918" s="77"/>
      <c r="F918" s="77"/>
      <c r="G918" s="77"/>
      <c r="H918" s="77"/>
      <c r="I918" s="77"/>
      <c r="J918" s="77"/>
      <c r="K918" s="77"/>
      <c r="L918" s="77"/>
      <c r="M918" s="77"/>
      <c r="N918" s="77"/>
      <c r="O918" s="77"/>
      <c r="P918" s="77"/>
      <c r="Q918" s="77"/>
      <c r="R918" s="77"/>
    </row>
    <row r="919" spans="1:18">
      <c r="A919" s="77"/>
      <c r="B919" s="77"/>
      <c r="C919" s="77"/>
      <c r="D919" s="77"/>
      <c r="E919" s="77"/>
      <c r="F919" s="77"/>
      <c r="G919" s="77"/>
      <c r="H919" s="77"/>
      <c r="I919" s="77"/>
      <c r="J919" s="77"/>
      <c r="K919" s="77"/>
      <c r="L919" s="77"/>
      <c r="M919" s="77"/>
      <c r="N919" s="77"/>
      <c r="O919" s="77"/>
      <c r="P919" s="77"/>
      <c r="Q919" s="77"/>
      <c r="R919" s="77"/>
    </row>
    <row r="920" spans="1:18">
      <c r="A920" s="77"/>
      <c r="B920" s="77"/>
      <c r="C920" s="77"/>
      <c r="D920" s="77"/>
      <c r="E920" s="77"/>
      <c r="F920" s="77"/>
      <c r="G920" s="77"/>
      <c r="H920" s="77"/>
      <c r="I920" s="77"/>
      <c r="J920" s="77"/>
      <c r="K920" s="77"/>
      <c r="L920" s="77"/>
      <c r="M920" s="77"/>
      <c r="N920" s="77"/>
      <c r="O920" s="77"/>
      <c r="P920" s="77"/>
      <c r="Q920" s="77"/>
      <c r="R920" s="77"/>
    </row>
    <row r="921" spans="1:18">
      <c r="A921" s="77"/>
      <c r="B921" s="77"/>
      <c r="C921" s="77"/>
      <c r="D921" s="77"/>
      <c r="E921" s="77"/>
      <c r="F921" s="77"/>
      <c r="G921" s="77"/>
      <c r="H921" s="77"/>
      <c r="I921" s="77"/>
      <c r="J921" s="77"/>
      <c r="K921" s="77"/>
      <c r="L921" s="77"/>
      <c r="M921" s="77"/>
      <c r="N921" s="77"/>
      <c r="O921" s="77"/>
      <c r="P921" s="77"/>
      <c r="Q921" s="77"/>
      <c r="R921" s="77"/>
    </row>
    <row r="922" spans="1:18">
      <c r="A922" s="77"/>
      <c r="B922" s="77"/>
      <c r="C922" s="77"/>
      <c r="D922" s="77"/>
      <c r="E922" s="77"/>
      <c r="F922" s="77"/>
      <c r="G922" s="77"/>
      <c r="H922" s="77"/>
      <c r="I922" s="77"/>
      <c r="J922" s="77"/>
      <c r="K922" s="77"/>
      <c r="L922" s="77"/>
      <c r="M922" s="77"/>
      <c r="N922" s="77"/>
      <c r="O922" s="77"/>
      <c r="P922" s="77"/>
      <c r="Q922" s="77"/>
      <c r="R922" s="77"/>
    </row>
    <row r="923" spans="1:18">
      <c r="A923" s="77"/>
      <c r="B923" s="77"/>
      <c r="C923" s="77"/>
      <c r="D923" s="77"/>
      <c r="E923" s="77"/>
      <c r="F923" s="77"/>
      <c r="G923" s="77"/>
      <c r="H923" s="77"/>
      <c r="I923" s="77"/>
      <c r="J923" s="77"/>
      <c r="K923" s="77"/>
      <c r="L923" s="77"/>
      <c r="M923" s="77"/>
      <c r="N923" s="77"/>
      <c r="O923" s="77"/>
      <c r="P923" s="77"/>
      <c r="Q923" s="77"/>
      <c r="R923" s="77"/>
    </row>
    <row r="924" spans="1:18">
      <c r="A924" s="77"/>
      <c r="B924" s="77"/>
      <c r="C924" s="77"/>
      <c r="D924" s="77"/>
      <c r="E924" s="77"/>
      <c r="F924" s="77"/>
      <c r="G924" s="77"/>
      <c r="H924" s="77"/>
      <c r="I924" s="77"/>
      <c r="J924" s="77"/>
      <c r="K924" s="77"/>
      <c r="L924" s="77"/>
      <c r="M924" s="77"/>
      <c r="N924" s="77"/>
      <c r="O924" s="77"/>
      <c r="P924" s="77"/>
      <c r="Q924" s="77"/>
      <c r="R924" s="77"/>
    </row>
    <row r="925" spans="1:18">
      <c r="A925" s="77"/>
      <c r="B925" s="77"/>
      <c r="C925" s="77"/>
      <c r="D925" s="77"/>
      <c r="E925" s="77"/>
      <c r="F925" s="77"/>
      <c r="G925" s="77"/>
      <c r="H925" s="77"/>
      <c r="I925" s="77"/>
      <c r="J925" s="77"/>
      <c r="K925" s="77"/>
      <c r="L925" s="77"/>
      <c r="M925" s="77"/>
      <c r="N925" s="77"/>
      <c r="O925" s="77"/>
      <c r="P925" s="77"/>
      <c r="Q925" s="77"/>
      <c r="R925" s="77"/>
    </row>
    <row r="926" spans="1:18">
      <c r="A926" s="77"/>
      <c r="B926" s="77"/>
      <c r="C926" s="77"/>
      <c r="D926" s="77"/>
      <c r="E926" s="77"/>
      <c r="F926" s="77"/>
      <c r="G926" s="77"/>
      <c r="H926" s="77"/>
      <c r="I926" s="77"/>
      <c r="J926" s="77"/>
      <c r="K926" s="77"/>
      <c r="L926" s="77"/>
      <c r="M926" s="77"/>
      <c r="N926" s="77"/>
      <c r="O926" s="77"/>
      <c r="P926" s="77"/>
      <c r="Q926" s="77"/>
      <c r="R926" s="77"/>
    </row>
    <row r="927" spans="1:18">
      <c r="A927" s="77"/>
      <c r="B927" s="77"/>
      <c r="C927" s="77"/>
      <c r="D927" s="77"/>
      <c r="E927" s="77"/>
      <c r="F927" s="77"/>
      <c r="G927" s="77"/>
      <c r="H927" s="77"/>
      <c r="I927" s="77"/>
      <c r="J927" s="77"/>
      <c r="K927" s="77"/>
      <c r="L927" s="77"/>
      <c r="M927" s="77"/>
      <c r="N927" s="77"/>
      <c r="O927" s="77"/>
      <c r="P927" s="77"/>
      <c r="Q927" s="77"/>
      <c r="R927" s="77"/>
    </row>
    <row r="928" spans="1:18">
      <c r="A928" s="77"/>
      <c r="B928" s="77"/>
      <c r="C928" s="77"/>
      <c r="D928" s="77"/>
      <c r="E928" s="77"/>
      <c r="F928" s="77"/>
      <c r="G928" s="77"/>
      <c r="H928" s="77"/>
      <c r="I928" s="77"/>
      <c r="J928" s="77"/>
      <c r="K928" s="77"/>
      <c r="L928" s="77"/>
      <c r="M928" s="77"/>
      <c r="N928" s="77"/>
      <c r="O928" s="77"/>
      <c r="P928" s="77"/>
      <c r="Q928" s="77"/>
      <c r="R928" s="77"/>
    </row>
    <row r="929" spans="1:18">
      <c r="A929" s="77"/>
      <c r="B929" s="77"/>
      <c r="C929" s="77"/>
      <c r="D929" s="77"/>
      <c r="E929" s="77"/>
      <c r="F929" s="77"/>
      <c r="G929" s="77"/>
      <c r="H929" s="77"/>
      <c r="I929" s="77"/>
      <c r="J929" s="77"/>
      <c r="K929" s="77"/>
      <c r="L929" s="77"/>
      <c r="M929" s="77"/>
      <c r="N929" s="77"/>
      <c r="O929" s="77"/>
      <c r="P929" s="77"/>
      <c r="Q929" s="77"/>
      <c r="R929" s="77"/>
    </row>
    <row r="930" spans="1:18">
      <c r="A930" s="77"/>
      <c r="B930" s="77"/>
      <c r="C930" s="77"/>
      <c r="D930" s="77"/>
      <c r="E930" s="77"/>
      <c r="F930" s="77"/>
      <c r="G930" s="77"/>
      <c r="H930" s="77"/>
      <c r="I930" s="77"/>
      <c r="J930" s="77"/>
      <c r="K930" s="77"/>
      <c r="L930" s="77"/>
      <c r="M930" s="77"/>
      <c r="N930" s="77"/>
      <c r="O930" s="77"/>
      <c r="P930" s="77"/>
      <c r="Q930" s="77"/>
      <c r="R930" s="77"/>
    </row>
    <row r="931" spans="1:18">
      <c r="A931" s="77"/>
      <c r="B931" s="77"/>
      <c r="C931" s="77"/>
      <c r="D931" s="77"/>
      <c r="E931" s="77"/>
      <c r="F931" s="77"/>
      <c r="G931" s="77"/>
      <c r="H931" s="77"/>
      <c r="I931" s="77"/>
      <c r="J931" s="77"/>
      <c r="K931" s="77"/>
      <c r="L931" s="77"/>
      <c r="M931" s="77"/>
      <c r="N931" s="77"/>
      <c r="O931" s="77"/>
      <c r="P931" s="77"/>
      <c r="Q931" s="77"/>
      <c r="R931" s="77"/>
    </row>
    <row r="932" spans="1:18">
      <c r="A932" s="77"/>
      <c r="B932" s="77"/>
      <c r="C932" s="77"/>
      <c r="D932" s="77"/>
      <c r="E932" s="77"/>
      <c r="F932" s="77"/>
      <c r="G932" s="77"/>
      <c r="H932" s="77"/>
      <c r="I932" s="77"/>
      <c r="J932" s="77"/>
      <c r="K932" s="77"/>
      <c r="L932" s="77"/>
      <c r="M932" s="77"/>
      <c r="N932" s="77"/>
      <c r="O932" s="77"/>
      <c r="P932" s="77"/>
      <c r="Q932" s="77"/>
      <c r="R932" s="77"/>
    </row>
    <row r="933" spans="1:18">
      <c r="A933" s="77"/>
      <c r="B933" s="77"/>
      <c r="C933" s="77"/>
      <c r="D933" s="77"/>
      <c r="E933" s="77"/>
      <c r="F933" s="77"/>
      <c r="G933" s="77"/>
      <c r="H933" s="77"/>
      <c r="I933" s="77"/>
      <c r="J933" s="77"/>
      <c r="K933" s="77"/>
      <c r="L933" s="77"/>
      <c r="M933" s="77"/>
      <c r="N933" s="77"/>
      <c r="O933" s="77"/>
      <c r="P933" s="77"/>
      <c r="Q933" s="77"/>
      <c r="R933" s="77"/>
    </row>
    <row r="934" spans="1:18">
      <c r="A934" s="77"/>
      <c r="B934" s="77"/>
      <c r="C934" s="77"/>
      <c r="D934" s="77"/>
      <c r="E934" s="77"/>
      <c r="F934" s="77"/>
      <c r="G934" s="77"/>
      <c r="H934" s="77"/>
      <c r="I934" s="77"/>
      <c r="J934" s="77"/>
      <c r="K934" s="77"/>
      <c r="L934" s="77"/>
      <c r="M934" s="77"/>
      <c r="N934" s="77"/>
      <c r="O934" s="77"/>
      <c r="P934" s="77"/>
      <c r="Q934" s="77"/>
      <c r="R934" s="77"/>
    </row>
    <row r="935" spans="1:18">
      <c r="A935" s="77"/>
      <c r="B935" s="77"/>
      <c r="C935" s="77"/>
      <c r="D935" s="77"/>
      <c r="E935" s="77"/>
      <c r="F935" s="77"/>
      <c r="G935" s="77"/>
      <c r="H935" s="77"/>
      <c r="I935" s="77"/>
      <c r="J935" s="77"/>
      <c r="K935" s="77"/>
      <c r="L935" s="77"/>
      <c r="M935" s="77"/>
      <c r="N935" s="77"/>
      <c r="O935" s="77"/>
      <c r="P935" s="77"/>
      <c r="Q935" s="77"/>
      <c r="R935" s="77"/>
    </row>
    <row r="936" spans="1:18">
      <c r="A936" s="77"/>
      <c r="B936" s="77"/>
      <c r="C936" s="77"/>
      <c r="D936" s="77"/>
      <c r="E936" s="77"/>
      <c r="F936" s="77"/>
      <c r="G936" s="77"/>
      <c r="H936" s="77"/>
      <c r="I936" s="77"/>
      <c r="J936" s="77"/>
      <c r="K936" s="77"/>
      <c r="L936" s="77"/>
      <c r="M936" s="77"/>
      <c r="N936" s="77"/>
      <c r="O936" s="77"/>
      <c r="P936" s="77"/>
      <c r="Q936" s="77"/>
      <c r="R936" s="77"/>
    </row>
    <row r="937" spans="1:18">
      <c r="A937" s="77"/>
      <c r="B937" s="77"/>
      <c r="C937" s="77"/>
      <c r="D937" s="77"/>
      <c r="E937" s="77"/>
      <c r="F937" s="77"/>
      <c r="G937" s="77"/>
      <c r="H937" s="77"/>
      <c r="I937" s="77"/>
      <c r="J937" s="77"/>
      <c r="K937" s="77"/>
      <c r="L937" s="77"/>
      <c r="M937" s="77"/>
      <c r="N937" s="77"/>
      <c r="O937" s="77"/>
      <c r="P937" s="77"/>
      <c r="Q937" s="77"/>
      <c r="R937" s="77"/>
    </row>
    <row r="938" spans="1:18">
      <c r="A938" s="77"/>
      <c r="B938" s="77"/>
      <c r="C938" s="77"/>
      <c r="D938" s="77"/>
      <c r="E938" s="77"/>
      <c r="F938" s="77"/>
      <c r="G938" s="77"/>
      <c r="H938" s="77"/>
      <c r="I938" s="77"/>
      <c r="J938" s="77"/>
      <c r="K938" s="77"/>
      <c r="L938" s="77"/>
      <c r="M938" s="77"/>
      <c r="N938" s="77"/>
      <c r="O938" s="77"/>
      <c r="P938" s="77"/>
      <c r="Q938" s="77"/>
      <c r="R938" s="77"/>
    </row>
    <row r="939" spans="1:18">
      <c r="A939" s="77"/>
      <c r="B939" s="77"/>
      <c r="C939" s="77"/>
      <c r="D939" s="77"/>
      <c r="E939" s="77"/>
      <c r="F939" s="77"/>
      <c r="G939" s="77"/>
      <c r="H939" s="77"/>
      <c r="I939" s="77"/>
      <c r="J939" s="77"/>
      <c r="K939" s="77"/>
      <c r="L939" s="77"/>
      <c r="M939" s="77"/>
      <c r="N939" s="77"/>
      <c r="O939" s="77"/>
      <c r="P939" s="77"/>
      <c r="Q939" s="77"/>
      <c r="R939" s="77"/>
    </row>
    <row r="940" spans="1:18">
      <c r="A940" s="77"/>
      <c r="B940" s="77"/>
      <c r="C940" s="77"/>
      <c r="D940" s="77"/>
      <c r="E940" s="77"/>
      <c r="F940" s="77"/>
      <c r="G940" s="77"/>
      <c r="H940" s="77"/>
      <c r="I940" s="77"/>
      <c r="J940" s="77"/>
      <c r="K940" s="77"/>
      <c r="L940" s="77"/>
      <c r="M940" s="77"/>
      <c r="N940" s="77"/>
      <c r="O940" s="77"/>
      <c r="P940" s="77"/>
      <c r="Q940" s="77"/>
      <c r="R940" s="77"/>
    </row>
    <row r="941" spans="1:18">
      <c r="A941" s="77"/>
      <c r="B941" s="77"/>
      <c r="C941" s="77"/>
      <c r="D941" s="77"/>
      <c r="E941" s="77"/>
      <c r="F941" s="77"/>
      <c r="G941" s="77"/>
      <c r="H941" s="77"/>
      <c r="I941" s="77"/>
      <c r="J941" s="77"/>
      <c r="K941" s="77"/>
      <c r="L941" s="77"/>
      <c r="M941" s="77"/>
      <c r="N941" s="77"/>
      <c r="O941" s="77"/>
      <c r="P941" s="77"/>
      <c r="Q941" s="77"/>
      <c r="R941" s="77"/>
    </row>
    <row r="942" spans="1:18">
      <c r="A942" s="77"/>
      <c r="B942" s="77"/>
      <c r="C942" s="77"/>
      <c r="D942" s="77"/>
      <c r="E942" s="77"/>
      <c r="F942" s="77"/>
      <c r="G942" s="77"/>
      <c r="H942" s="77"/>
      <c r="I942" s="77"/>
      <c r="J942" s="77"/>
      <c r="K942" s="77"/>
      <c r="L942" s="77"/>
      <c r="M942" s="77"/>
      <c r="N942" s="77"/>
      <c r="O942" s="77"/>
      <c r="P942" s="77"/>
      <c r="Q942" s="77"/>
      <c r="R942" s="77"/>
    </row>
    <row r="943" spans="1:18">
      <c r="A943" s="77"/>
      <c r="B943" s="77"/>
      <c r="C943" s="77"/>
      <c r="D943" s="77"/>
      <c r="E943" s="77"/>
      <c r="F943" s="77"/>
      <c r="G943" s="77"/>
      <c r="H943" s="77"/>
      <c r="I943" s="77"/>
      <c r="J943" s="77"/>
      <c r="K943" s="77"/>
      <c r="L943" s="77"/>
      <c r="M943" s="77"/>
      <c r="N943" s="77"/>
      <c r="O943" s="77"/>
      <c r="P943" s="77"/>
      <c r="Q943" s="77"/>
      <c r="R943" s="77"/>
    </row>
    <row r="944" spans="1:18">
      <c r="A944" s="77"/>
      <c r="B944" s="77"/>
      <c r="C944" s="77"/>
      <c r="D944" s="77"/>
      <c r="E944" s="77"/>
      <c r="F944" s="77"/>
      <c r="G944" s="77"/>
      <c r="H944" s="77"/>
      <c r="I944" s="77"/>
      <c r="J944" s="77"/>
      <c r="K944" s="77"/>
      <c r="L944" s="77"/>
      <c r="M944" s="77"/>
      <c r="N944" s="77"/>
      <c r="O944" s="77"/>
      <c r="P944" s="77"/>
      <c r="Q944" s="77"/>
      <c r="R944" s="77"/>
    </row>
    <row r="945" spans="1:18">
      <c r="A945" s="77"/>
      <c r="B945" s="77"/>
      <c r="C945" s="77"/>
      <c r="D945" s="77"/>
      <c r="E945" s="77"/>
      <c r="F945" s="77"/>
      <c r="G945" s="77"/>
      <c r="H945" s="77"/>
      <c r="I945" s="77"/>
      <c r="J945" s="77"/>
      <c r="K945" s="77"/>
      <c r="L945" s="77"/>
      <c r="M945" s="77"/>
      <c r="N945" s="77"/>
      <c r="O945" s="77"/>
      <c r="P945" s="77"/>
      <c r="Q945" s="77"/>
      <c r="R945" s="77"/>
    </row>
    <row r="946" spans="1:18">
      <c r="A946" s="77"/>
      <c r="B946" s="77"/>
      <c r="C946" s="77"/>
      <c r="D946" s="77"/>
      <c r="E946" s="77"/>
      <c r="F946" s="77"/>
      <c r="G946" s="77"/>
      <c r="H946" s="77"/>
      <c r="I946" s="77"/>
      <c r="J946" s="77"/>
      <c r="K946" s="77"/>
      <c r="L946" s="77"/>
      <c r="M946" s="77"/>
      <c r="N946" s="77"/>
      <c r="O946" s="77"/>
      <c r="P946" s="77"/>
      <c r="Q946" s="77"/>
      <c r="R946" s="77"/>
    </row>
    <row r="947" spans="1:18">
      <c r="A947" s="77"/>
      <c r="B947" s="77"/>
      <c r="C947" s="77"/>
      <c r="D947" s="77"/>
      <c r="E947" s="77"/>
      <c r="F947" s="77"/>
      <c r="G947" s="77"/>
      <c r="H947" s="77"/>
      <c r="I947" s="77"/>
      <c r="J947" s="77"/>
      <c r="K947" s="77"/>
      <c r="L947" s="77"/>
      <c r="M947" s="77"/>
      <c r="N947" s="77"/>
      <c r="O947" s="77"/>
      <c r="P947" s="77"/>
      <c r="Q947" s="77"/>
      <c r="R947" s="77"/>
    </row>
    <row r="948" spans="1:18">
      <c r="A948" s="77"/>
      <c r="B948" s="77"/>
      <c r="C948" s="77"/>
      <c r="D948" s="77"/>
      <c r="E948" s="77"/>
      <c r="F948" s="77"/>
      <c r="G948" s="77"/>
      <c r="H948" s="77"/>
      <c r="I948" s="77"/>
      <c r="J948" s="77"/>
      <c r="K948" s="77"/>
      <c r="L948" s="77"/>
      <c r="M948" s="77"/>
      <c r="N948" s="77"/>
      <c r="O948" s="77"/>
      <c r="P948" s="77"/>
      <c r="Q948" s="77"/>
      <c r="R948" s="77"/>
    </row>
    <row r="949" spans="1:18">
      <c r="A949" s="77"/>
      <c r="B949" s="77"/>
      <c r="C949" s="77"/>
      <c r="D949" s="77"/>
      <c r="E949" s="77"/>
      <c r="F949" s="77"/>
      <c r="G949" s="77"/>
      <c r="H949" s="77"/>
      <c r="I949" s="77"/>
      <c r="J949" s="77"/>
      <c r="K949" s="77"/>
      <c r="L949" s="77"/>
      <c r="M949" s="77"/>
      <c r="N949" s="77"/>
      <c r="O949" s="77"/>
      <c r="P949" s="77"/>
      <c r="Q949" s="77"/>
      <c r="R949" s="77"/>
    </row>
    <row r="950" spans="1:18">
      <c r="A950" s="77"/>
      <c r="B950" s="77"/>
      <c r="C950" s="77"/>
      <c r="D950" s="77"/>
      <c r="E950" s="77"/>
      <c r="F950" s="77"/>
      <c r="G950" s="77"/>
      <c r="H950" s="77"/>
      <c r="I950" s="77"/>
      <c r="J950" s="77"/>
      <c r="K950" s="77"/>
      <c r="L950" s="77"/>
      <c r="M950" s="77"/>
      <c r="N950" s="77"/>
      <c r="O950" s="77"/>
      <c r="P950" s="77"/>
      <c r="Q950" s="77"/>
      <c r="R950" s="77"/>
    </row>
    <row r="951" spans="1:18">
      <c r="A951" s="77"/>
      <c r="B951" s="77"/>
      <c r="C951" s="77"/>
      <c r="D951" s="77"/>
      <c r="E951" s="77"/>
      <c r="F951" s="77"/>
      <c r="G951" s="77"/>
      <c r="H951" s="77"/>
      <c r="I951" s="77"/>
      <c r="J951" s="77"/>
      <c r="K951" s="77"/>
      <c r="L951" s="77"/>
      <c r="M951" s="77"/>
      <c r="N951" s="77"/>
      <c r="O951" s="77"/>
      <c r="P951" s="77"/>
      <c r="Q951" s="77"/>
      <c r="R951" s="77"/>
    </row>
    <row r="952" spans="1:18">
      <c r="A952" s="77"/>
      <c r="B952" s="77"/>
      <c r="C952" s="77"/>
      <c r="D952" s="77"/>
      <c r="E952" s="77"/>
      <c r="F952" s="77"/>
      <c r="G952" s="77"/>
      <c r="H952" s="77"/>
      <c r="I952" s="77"/>
      <c r="J952" s="77"/>
      <c r="K952" s="77"/>
      <c r="L952" s="77"/>
      <c r="M952" s="77"/>
      <c r="N952" s="77"/>
      <c r="O952" s="77"/>
      <c r="P952" s="77"/>
      <c r="Q952" s="77"/>
      <c r="R952" s="77"/>
    </row>
    <row r="953" spans="1:18">
      <c r="A953" s="77"/>
      <c r="B953" s="77"/>
      <c r="C953" s="77"/>
      <c r="D953" s="77"/>
      <c r="E953" s="77"/>
      <c r="F953" s="77"/>
      <c r="G953" s="77"/>
      <c r="H953" s="77"/>
      <c r="I953" s="77"/>
      <c r="J953" s="77"/>
      <c r="K953" s="77"/>
      <c r="L953" s="77"/>
      <c r="M953" s="77"/>
      <c r="N953" s="77"/>
      <c r="O953" s="77"/>
      <c r="P953" s="77"/>
      <c r="Q953" s="77"/>
      <c r="R953" s="77"/>
    </row>
    <row r="954" spans="1:18">
      <c r="A954" s="77"/>
      <c r="B954" s="77"/>
      <c r="C954" s="77"/>
      <c r="D954" s="77"/>
      <c r="E954" s="77"/>
      <c r="F954" s="77"/>
      <c r="G954" s="77"/>
      <c r="H954" s="77"/>
      <c r="I954" s="77"/>
      <c r="J954" s="77"/>
      <c r="K954" s="77"/>
      <c r="L954" s="77"/>
      <c r="M954" s="77"/>
      <c r="N954" s="77"/>
      <c r="O954" s="77"/>
      <c r="P954" s="77"/>
      <c r="Q954" s="77"/>
      <c r="R954" s="77"/>
    </row>
    <row r="955" spans="1:18">
      <c r="A955" s="77"/>
      <c r="B955" s="77"/>
      <c r="C955" s="77"/>
      <c r="D955" s="77"/>
      <c r="E955" s="77"/>
      <c r="F955" s="77"/>
      <c r="G955" s="77"/>
      <c r="H955" s="77"/>
      <c r="I955" s="77"/>
      <c r="J955" s="77"/>
      <c r="K955" s="77"/>
      <c r="L955" s="77"/>
      <c r="M955" s="77"/>
      <c r="N955" s="77"/>
      <c r="O955" s="77"/>
      <c r="P955" s="77"/>
      <c r="Q955" s="77"/>
      <c r="R955" s="77"/>
    </row>
    <row r="956" spans="1:18">
      <c r="A956" s="77"/>
      <c r="B956" s="77"/>
      <c r="C956" s="77"/>
      <c r="D956" s="77"/>
      <c r="E956" s="77"/>
      <c r="F956" s="77"/>
      <c r="G956" s="77"/>
      <c r="H956" s="77"/>
      <c r="I956" s="77"/>
      <c r="J956" s="77"/>
      <c r="K956" s="77"/>
      <c r="L956" s="77"/>
      <c r="M956" s="77"/>
      <c r="N956" s="77"/>
      <c r="O956" s="77"/>
      <c r="P956" s="77"/>
      <c r="Q956" s="77"/>
      <c r="R956" s="77"/>
    </row>
    <row r="957" spans="1:18">
      <c r="A957" s="77"/>
      <c r="B957" s="77"/>
      <c r="C957" s="77"/>
      <c r="D957" s="77"/>
      <c r="E957" s="77"/>
      <c r="F957" s="77"/>
      <c r="G957" s="77"/>
      <c r="H957" s="77"/>
      <c r="I957" s="77"/>
      <c r="J957" s="77"/>
      <c r="K957" s="77"/>
      <c r="L957" s="77"/>
      <c r="M957" s="77"/>
      <c r="N957" s="77"/>
      <c r="O957" s="77"/>
      <c r="P957" s="77"/>
      <c r="Q957" s="77"/>
      <c r="R957" s="77"/>
    </row>
    <row r="958" spans="1:18">
      <c r="A958" s="77"/>
      <c r="B958" s="77"/>
      <c r="C958" s="77"/>
      <c r="D958" s="77"/>
      <c r="E958" s="77"/>
      <c r="F958" s="77"/>
      <c r="G958" s="77"/>
      <c r="H958" s="77"/>
      <c r="I958" s="77"/>
      <c r="J958" s="77"/>
      <c r="K958" s="77"/>
      <c r="L958" s="77"/>
      <c r="M958" s="77"/>
      <c r="N958" s="77"/>
      <c r="O958" s="77"/>
      <c r="P958" s="77"/>
      <c r="Q958" s="77"/>
      <c r="R958" s="77"/>
    </row>
    <row r="959" spans="1:18">
      <c r="A959" s="77"/>
      <c r="B959" s="77"/>
      <c r="C959" s="77"/>
      <c r="D959" s="77"/>
      <c r="E959" s="77"/>
      <c r="F959" s="77"/>
      <c r="G959" s="77"/>
      <c r="H959" s="77"/>
      <c r="I959" s="77"/>
      <c r="J959" s="77"/>
      <c r="K959" s="77"/>
      <c r="L959" s="77"/>
      <c r="M959" s="77"/>
      <c r="N959" s="77"/>
      <c r="O959" s="77"/>
      <c r="P959" s="77"/>
      <c r="Q959" s="77"/>
      <c r="R959" s="77"/>
    </row>
    <row r="960" spans="1:18">
      <c r="A960" s="77"/>
      <c r="B960" s="77"/>
      <c r="C960" s="77"/>
      <c r="D960" s="77"/>
      <c r="E960" s="77"/>
      <c r="F960" s="77"/>
      <c r="G960" s="77"/>
      <c r="H960" s="77"/>
      <c r="I960" s="77"/>
      <c r="J960" s="77"/>
      <c r="K960" s="77"/>
      <c r="L960" s="77"/>
      <c r="M960" s="77"/>
      <c r="N960" s="77"/>
      <c r="O960" s="77"/>
      <c r="P960" s="77"/>
      <c r="Q960" s="77"/>
      <c r="R960" s="77"/>
    </row>
    <row r="961" spans="1:18">
      <c r="A961" s="77"/>
      <c r="B961" s="77"/>
      <c r="C961" s="77"/>
      <c r="D961" s="77"/>
      <c r="E961" s="77"/>
      <c r="F961" s="77"/>
      <c r="G961" s="77"/>
      <c r="H961" s="77"/>
      <c r="I961" s="77"/>
      <c r="J961" s="77"/>
      <c r="K961" s="77"/>
      <c r="L961" s="77"/>
      <c r="M961" s="77"/>
      <c r="N961" s="77"/>
      <c r="O961" s="77"/>
      <c r="P961" s="77"/>
      <c r="Q961" s="77"/>
      <c r="R961" s="77"/>
    </row>
    <row r="962" spans="1:18">
      <c r="A962" s="77"/>
      <c r="B962" s="77"/>
      <c r="C962" s="77"/>
      <c r="D962" s="77"/>
      <c r="E962" s="77"/>
      <c r="F962" s="77"/>
      <c r="G962" s="77"/>
      <c r="H962" s="77"/>
      <c r="I962" s="77"/>
      <c r="J962" s="77"/>
      <c r="K962" s="77"/>
      <c r="L962" s="77"/>
      <c r="M962" s="77"/>
      <c r="N962" s="77"/>
      <c r="O962" s="77"/>
      <c r="P962" s="77"/>
      <c r="Q962" s="77"/>
      <c r="R962" s="77"/>
    </row>
    <row r="963" spans="1:18">
      <c r="A963" s="77"/>
      <c r="B963" s="77"/>
      <c r="C963" s="77"/>
      <c r="D963" s="77"/>
      <c r="E963" s="77"/>
      <c r="F963" s="77"/>
      <c r="G963" s="77"/>
      <c r="H963" s="77"/>
      <c r="I963" s="77"/>
      <c r="J963" s="77"/>
      <c r="K963" s="77"/>
      <c r="L963" s="77"/>
      <c r="M963" s="77"/>
      <c r="N963" s="77"/>
      <c r="O963" s="77"/>
      <c r="P963" s="77"/>
      <c r="Q963" s="77"/>
      <c r="R963" s="77"/>
    </row>
    <row r="964" spans="1:18">
      <c r="A964" s="77"/>
      <c r="B964" s="77"/>
      <c r="C964" s="77"/>
      <c r="D964" s="77"/>
      <c r="E964" s="77"/>
      <c r="F964" s="77"/>
      <c r="G964" s="77"/>
      <c r="H964" s="77"/>
      <c r="I964" s="77"/>
      <c r="J964" s="77"/>
      <c r="K964" s="77"/>
      <c r="L964" s="77"/>
      <c r="M964" s="77"/>
      <c r="N964" s="77"/>
      <c r="O964" s="77"/>
      <c r="P964" s="77"/>
      <c r="Q964" s="77"/>
      <c r="R964" s="77"/>
    </row>
    <row r="965" spans="1:18">
      <c r="A965" s="77"/>
      <c r="B965" s="77"/>
      <c r="C965" s="77"/>
      <c r="D965" s="77"/>
      <c r="E965" s="77"/>
      <c r="F965" s="77"/>
      <c r="G965" s="77"/>
      <c r="H965" s="77"/>
      <c r="I965" s="77"/>
      <c r="J965" s="77"/>
      <c r="K965" s="77"/>
      <c r="L965" s="77"/>
      <c r="M965" s="77"/>
      <c r="N965" s="77"/>
      <c r="O965" s="77"/>
      <c r="P965" s="77"/>
      <c r="Q965" s="77"/>
      <c r="R965" s="77"/>
    </row>
    <row r="966" spans="1:18">
      <c r="A966" s="77"/>
      <c r="B966" s="77"/>
      <c r="C966" s="77"/>
      <c r="D966" s="77"/>
      <c r="E966" s="77"/>
      <c r="F966" s="77"/>
      <c r="G966" s="77"/>
      <c r="H966" s="77"/>
      <c r="I966" s="77"/>
      <c r="J966" s="77"/>
      <c r="K966" s="77"/>
      <c r="L966" s="77"/>
      <c r="M966" s="77"/>
      <c r="N966" s="77"/>
      <c r="O966" s="77"/>
      <c r="P966" s="77"/>
      <c r="Q966" s="77"/>
      <c r="R966" s="77"/>
    </row>
    <row r="967" spans="1:18">
      <c r="A967" s="77"/>
      <c r="B967" s="77"/>
      <c r="C967" s="77"/>
      <c r="D967" s="77"/>
      <c r="E967" s="77"/>
      <c r="F967" s="77"/>
      <c r="G967" s="77"/>
      <c r="H967" s="77"/>
      <c r="I967" s="77"/>
      <c r="J967" s="77"/>
      <c r="K967" s="77"/>
      <c r="L967" s="77"/>
      <c r="M967" s="77"/>
      <c r="N967" s="77"/>
      <c r="O967" s="77"/>
      <c r="P967" s="77"/>
      <c r="Q967" s="77"/>
      <c r="R967" s="77"/>
    </row>
    <row r="968" spans="1:18">
      <c r="A968" s="77"/>
      <c r="B968" s="77"/>
      <c r="C968" s="77"/>
      <c r="D968" s="77"/>
      <c r="E968" s="77"/>
      <c r="F968" s="77"/>
      <c r="G968" s="77"/>
      <c r="H968" s="77"/>
      <c r="I968" s="77"/>
      <c r="J968" s="77"/>
      <c r="K968" s="77"/>
      <c r="L968" s="77"/>
      <c r="M968" s="77"/>
      <c r="N968" s="77"/>
      <c r="O968" s="77"/>
      <c r="P968" s="77"/>
      <c r="Q968" s="77"/>
      <c r="R968" s="77"/>
    </row>
    <row r="969" spans="1:18">
      <c r="A969" s="77"/>
      <c r="B969" s="77"/>
      <c r="C969" s="77"/>
      <c r="D969" s="77"/>
      <c r="E969" s="77"/>
      <c r="F969" s="77"/>
      <c r="G969" s="77"/>
      <c r="H969" s="77"/>
      <c r="I969" s="77"/>
      <c r="J969" s="77"/>
      <c r="K969" s="77"/>
      <c r="L969" s="77"/>
      <c r="M969" s="77"/>
      <c r="N969" s="77"/>
      <c r="O969" s="77"/>
      <c r="P969" s="77"/>
      <c r="Q969" s="77"/>
      <c r="R969" s="77"/>
    </row>
    <row r="970" spans="1:18">
      <c r="A970" s="77"/>
      <c r="B970" s="77"/>
      <c r="C970" s="77"/>
      <c r="D970" s="77"/>
      <c r="E970" s="77"/>
      <c r="F970" s="77"/>
      <c r="G970" s="77"/>
      <c r="H970" s="77"/>
      <c r="I970" s="77"/>
      <c r="J970" s="77"/>
      <c r="K970" s="77"/>
      <c r="L970" s="77"/>
      <c r="M970" s="77"/>
      <c r="N970" s="77"/>
      <c r="O970" s="77"/>
      <c r="P970" s="77"/>
      <c r="Q970" s="77"/>
      <c r="R970" s="77"/>
    </row>
    <row r="971" spans="1:18">
      <c r="A971" s="77"/>
      <c r="B971" s="77"/>
      <c r="C971" s="77"/>
      <c r="D971" s="77"/>
      <c r="E971" s="77"/>
      <c r="F971" s="77"/>
      <c r="G971" s="77"/>
      <c r="H971" s="77"/>
      <c r="I971" s="77"/>
      <c r="J971" s="77"/>
      <c r="K971" s="77"/>
      <c r="L971" s="77"/>
      <c r="M971" s="77"/>
      <c r="N971" s="77"/>
      <c r="O971" s="77"/>
      <c r="P971" s="77"/>
      <c r="Q971" s="77"/>
      <c r="R971" s="77"/>
    </row>
    <row r="972" spans="1:18">
      <c r="A972" s="77"/>
      <c r="B972" s="77"/>
      <c r="C972" s="77"/>
      <c r="D972" s="77"/>
      <c r="E972" s="77"/>
      <c r="F972" s="77"/>
      <c r="G972" s="77"/>
      <c r="H972" s="77"/>
      <c r="I972" s="77"/>
      <c r="J972" s="77"/>
      <c r="K972" s="77"/>
      <c r="L972" s="77"/>
      <c r="M972" s="77"/>
      <c r="N972" s="77"/>
      <c r="O972" s="77"/>
      <c r="P972" s="77"/>
      <c r="Q972" s="77"/>
      <c r="R972" s="77"/>
    </row>
    <row r="973" spans="1:18">
      <c r="A973" s="77"/>
      <c r="B973" s="77"/>
      <c r="C973" s="77"/>
      <c r="D973" s="77"/>
      <c r="E973" s="77"/>
      <c r="F973" s="77"/>
      <c r="G973" s="77"/>
      <c r="H973" s="77"/>
      <c r="I973" s="77"/>
      <c r="J973" s="77"/>
      <c r="K973" s="77"/>
      <c r="L973" s="77"/>
      <c r="M973" s="77"/>
      <c r="N973" s="77"/>
      <c r="O973" s="77"/>
      <c r="P973" s="77"/>
      <c r="Q973" s="77"/>
      <c r="R973" s="77"/>
    </row>
    <row r="974" spans="1:18">
      <c r="A974" s="77"/>
      <c r="B974" s="77"/>
      <c r="C974" s="77"/>
      <c r="D974" s="77"/>
      <c r="E974" s="77"/>
      <c r="F974" s="77"/>
      <c r="G974" s="77"/>
      <c r="H974" s="77"/>
      <c r="I974" s="77"/>
      <c r="J974" s="77"/>
      <c r="K974" s="77"/>
      <c r="L974" s="77"/>
      <c r="M974" s="77"/>
      <c r="N974" s="77"/>
      <c r="O974" s="77"/>
      <c r="P974" s="77"/>
      <c r="Q974" s="77"/>
      <c r="R974" s="77"/>
    </row>
    <row r="975" spans="1:18">
      <c r="A975" s="77"/>
      <c r="B975" s="77"/>
      <c r="C975" s="77"/>
      <c r="D975" s="77"/>
      <c r="E975" s="77"/>
      <c r="F975" s="77"/>
      <c r="G975" s="77"/>
      <c r="H975" s="77"/>
      <c r="I975" s="77"/>
      <c r="J975" s="77"/>
      <c r="K975" s="77"/>
      <c r="L975" s="77"/>
      <c r="M975" s="77"/>
      <c r="N975" s="77"/>
      <c r="O975" s="77"/>
      <c r="P975" s="77"/>
      <c r="Q975" s="77"/>
      <c r="R975" s="77"/>
    </row>
    <row r="976" spans="1:18">
      <c r="A976" s="77"/>
      <c r="B976" s="77"/>
      <c r="C976" s="77"/>
      <c r="D976" s="77"/>
      <c r="E976" s="77"/>
      <c r="F976" s="77"/>
      <c r="G976" s="77"/>
      <c r="H976" s="77"/>
      <c r="I976" s="77"/>
      <c r="J976" s="77"/>
      <c r="K976" s="77"/>
      <c r="L976" s="77"/>
      <c r="M976" s="77"/>
      <c r="N976" s="77"/>
      <c r="O976" s="77"/>
      <c r="P976" s="77"/>
      <c r="Q976" s="77"/>
      <c r="R976" s="77"/>
    </row>
    <row r="977" spans="1:18">
      <c r="A977" s="77"/>
      <c r="B977" s="77"/>
      <c r="C977" s="77"/>
      <c r="D977" s="77"/>
      <c r="E977" s="77"/>
      <c r="F977" s="77"/>
      <c r="G977" s="77"/>
      <c r="H977" s="77"/>
      <c r="I977" s="77"/>
      <c r="J977" s="77"/>
      <c r="K977" s="77"/>
      <c r="L977" s="77"/>
      <c r="M977" s="77"/>
      <c r="N977" s="77"/>
      <c r="O977" s="77"/>
      <c r="P977" s="77"/>
      <c r="Q977" s="77"/>
      <c r="R977" s="77"/>
    </row>
    <row r="978" spans="1:18">
      <c r="A978" s="77"/>
      <c r="B978" s="77"/>
      <c r="C978" s="77"/>
      <c r="D978" s="77"/>
      <c r="E978" s="77"/>
      <c r="F978" s="77"/>
      <c r="G978" s="77"/>
      <c r="H978" s="77"/>
      <c r="I978" s="77"/>
      <c r="J978" s="77"/>
      <c r="K978" s="77"/>
      <c r="L978" s="77"/>
      <c r="M978" s="77"/>
      <c r="N978" s="77"/>
      <c r="O978" s="77"/>
      <c r="P978" s="77"/>
      <c r="Q978" s="77"/>
      <c r="R978" s="77"/>
    </row>
    <row r="979" spans="1:18">
      <c r="A979" s="77"/>
      <c r="B979" s="77"/>
      <c r="C979" s="77"/>
      <c r="D979" s="77"/>
      <c r="E979" s="77"/>
      <c r="F979" s="77"/>
      <c r="G979" s="77"/>
      <c r="H979" s="77"/>
      <c r="I979" s="77"/>
      <c r="J979" s="77"/>
      <c r="K979" s="77"/>
      <c r="L979" s="77"/>
      <c r="M979" s="77"/>
      <c r="N979" s="77"/>
      <c r="O979" s="77"/>
      <c r="P979" s="77"/>
      <c r="Q979" s="77"/>
      <c r="R979" s="77"/>
    </row>
    <row r="980" spans="1:18">
      <c r="A980" s="77"/>
      <c r="B980" s="77"/>
      <c r="C980" s="77"/>
      <c r="D980" s="77"/>
      <c r="E980" s="77"/>
      <c r="F980" s="77"/>
      <c r="G980" s="77"/>
      <c r="H980" s="77"/>
      <c r="I980" s="77"/>
      <c r="J980" s="77"/>
      <c r="K980" s="77"/>
      <c r="L980" s="77"/>
      <c r="M980" s="77"/>
      <c r="N980" s="77"/>
      <c r="O980" s="77"/>
      <c r="P980" s="77"/>
      <c r="Q980" s="77"/>
      <c r="R980" s="77"/>
    </row>
    <row r="981" spans="1:18">
      <c r="A981" s="77"/>
      <c r="B981" s="77"/>
      <c r="C981" s="77"/>
      <c r="D981" s="77"/>
      <c r="E981" s="77"/>
      <c r="F981" s="77"/>
      <c r="G981" s="77"/>
      <c r="H981" s="77"/>
      <c r="I981" s="77"/>
      <c r="J981" s="77"/>
      <c r="K981" s="77"/>
      <c r="L981" s="77"/>
      <c r="M981" s="77"/>
      <c r="N981" s="77"/>
      <c r="O981" s="77"/>
      <c r="P981" s="77"/>
      <c r="Q981" s="77"/>
      <c r="R981" s="77"/>
    </row>
    <row r="982" spans="1:18">
      <c r="A982" s="77"/>
      <c r="B982" s="77"/>
      <c r="C982" s="77"/>
      <c r="D982" s="77"/>
      <c r="E982" s="77"/>
      <c r="F982" s="77"/>
      <c r="G982" s="77"/>
      <c r="H982" s="77"/>
      <c r="I982" s="77"/>
      <c r="J982" s="77"/>
      <c r="K982" s="77"/>
      <c r="L982" s="77"/>
      <c r="M982" s="77"/>
      <c r="N982" s="77"/>
      <c r="O982" s="77"/>
      <c r="P982" s="77"/>
      <c r="Q982" s="77"/>
      <c r="R982" s="77"/>
    </row>
    <row r="983" spans="1:18">
      <c r="A983" s="77"/>
      <c r="B983" s="77"/>
      <c r="C983" s="77"/>
      <c r="D983" s="77"/>
      <c r="E983" s="77"/>
      <c r="F983" s="77"/>
      <c r="G983" s="77"/>
      <c r="H983" s="77"/>
      <c r="I983" s="77"/>
      <c r="J983" s="77"/>
      <c r="K983" s="77"/>
      <c r="L983" s="77"/>
      <c r="M983" s="77"/>
      <c r="N983" s="77"/>
      <c r="O983" s="77"/>
      <c r="P983" s="77"/>
      <c r="Q983" s="77"/>
      <c r="R983" s="77"/>
    </row>
    <row r="984" spans="1:18">
      <c r="A984" s="77"/>
      <c r="B984" s="77"/>
      <c r="C984" s="77"/>
      <c r="D984" s="77"/>
      <c r="E984" s="77"/>
      <c r="F984" s="77"/>
      <c r="G984" s="77"/>
      <c r="H984" s="77"/>
      <c r="I984" s="77"/>
      <c r="J984" s="77"/>
      <c r="K984" s="77"/>
      <c r="L984" s="77"/>
      <c r="M984" s="77"/>
      <c r="N984" s="77"/>
      <c r="O984" s="77"/>
      <c r="P984" s="77"/>
      <c r="Q984" s="77"/>
      <c r="R984" s="77"/>
    </row>
    <row r="985" spans="1:18">
      <c r="A985" s="77"/>
      <c r="B985" s="77"/>
      <c r="C985" s="77"/>
      <c r="D985" s="77"/>
      <c r="E985" s="77"/>
      <c r="F985" s="77"/>
      <c r="G985" s="77"/>
      <c r="H985" s="77"/>
      <c r="I985" s="77"/>
      <c r="J985" s="77"/>
      <c r="K985" s="77"/>
      <c r="L985" s="77"/>
      <c r="M985" s="77"/>
      <c r="N985" s="77"/>
      <c r="O985" s="77"/>
      <c r="P985" s="77"/>
      <c r="Q985" s="77"/>
      <c r="R985" s="77"/>
    </row>
    <row r="986" spans="1:18">
      <c r="A986" s="77"/>
      <c r="B986" s="77"/>
      <c r="C986" s="77"/>
      <c r="D986" s="77"/>
      <c r="E986" s="77"/>
      <c r="F986" s="77"/>
      <c r="G986" s="77"/>
      <c r="H986" s="77"/>
      <c r="I986" s="77"/>
      <c r="J986" s="77"/>
      <c r="K986" s="77"/>
      <c r="L986" s="77"/>
      <c r="M986" s="77"/>
      <c r="N986" s="77"/>
      <c r="O986" s="77"/>
      <c r="P986" s="77"/>
      <c r="Q986" s="77"/>
      <c r="R986" s="77"/>
    </row>
    <row r="987" spans="1:18">
      <c r="A987" s="77"/>
      <c r="B987" s="77"/>
      <c r="C987" s="77"/>
      <c r="D987" s="77"/>
      <c r="E987" s="77"/>
      <c r="F987" s="77"/>
      <c r="G987" s="77"/>
      <c r="H987" s="77"/>
      <c r="I987" s="77"/>
      <c r="J987" s="77"/>
      <c r="K987" s="77"/>
      <c r="L987" s="77"/>
      <c r="M987" s="77"/>
      <c r="N987" s="77"/>
      <c r="O987" s="77"/>
      <c r="P987" s="77"/>
      <c r="Q987" s="77"/>
      <c r="R987" s="77"/>
    </row>
    <row r="988" spans="1:18">
      <c r="A988" s="77"/>
      <c r="B988" s="77"/>
      <c r="C988" s="77"/>
      <c r="D988" s="77"/>
      <c r="E988" s="77"/>
      <c r="F988" s="77"/>
      <c r="G988" s="77"/>
      <c r="H988" s="77"/>
      <c r="I988" s="77"/>
      <c r="J988" s="77"/>
      <c r="K988" s="77"/>
      <c r="L988" s="77"/>
      <c r="M988" s="77"/>
      <c r="N988" s="77"/>
      <c r="O988" s="77"/>
      <c r="P988" s="77"/>
      <c r="Q988" s="77"/>
      <c r="R988" s="77"/>
    </row>
    <row r="989" spans="1:18">
      <c r="A989" s="77"/>
      <c r="B989" s="77"/>
      <c r="C989" s="77"/>
      <c r="D989" s="77"/>
      <c r="E989" s="77"/>
      <c r="F989" s="77"/>
      <c r="G989" s="77"/>
      <c r="H989" s="77"/>
      <c r="I989" s="77"/>
      <c r="J989" s="77"/>
      <c r="K989" s="77"/>
      <c r="L989" s="77"/>
      <c r="M989" s="77"/>
      <c r="N989" s="77"/>
      <c r="O989" s="77"/>
      <c r="P989" s="77"/>
      <c r="Q989" s="77"/>
      <c r="R989" s="77"/>
    </row>
    <row r="990" spans="1:18">
      <c r="A990" s="77"/>
      <c r="B990" s="77"/>
      <c r="C990" s="77"/>
      <c r="D990" s="77"/>
      <c r="E990" s="77"/>
      <c r="F990" s="77"/>
      <c r="G990" s="77"/>
      <c r="H990" s="77"/>
      <c r="I990" s="77"/>
      <c r="J990" s="77"/>
      <c r="K990" s="77"/>
      <c r="L990" s="77"/>
      <c r="M990" s="77"/>
      <c r="N990" s="77"/>
      <c r="O990" s="77"/>
      <c r="P990" s="77"/>
      <c r="Q990" s="77"/>
      <c r="R990" s="77"/>
    </row>
    <row r="991" spans="1:18">
      <c r="A991" s="77"/>
      <c r="B991" s="77"/>
      <c r="C991" s="77"/>
      <c r="D991" s="77"/>
      <c r="E991" s="77"/>
      <c r="F991" s="77"/>
      <c r="G991" s="77"/>
      <c r="H991" s="77"/>
      <c r="I991" s="77"/>
      <c r="J991" s="77"/>
      <c r="K991" s="77"/>
      <c r="L991" s="77"/>
      <c r="M991" s="77"/>
      <c r="N991" s="77"/>
      <c r="O991" s="77"/>
      <c r="P991" s="77"/>
      <c r="Q991" s="77"/>
      <c r="R991" s="77"/>
    </row>
    <row r="992" spans="1:18">
      <c r="A992" s="77"/>
      <c r="B992" s="77"/>
      <c r="C992" s="77"/>
      <c r="D992" s="77"/>
      <c r="E992" s="77"/>
      <c r="F992" s="77"/>
      <c r="G992" s="77"/>
      <c r="H992" s="77"/>
      <c r="I992" s="77"/>
      <c r="J992" s="77"/>
      <c r="K992" s="77"/>
      <c r="L992" s="77"/>
      <c r="M992" s="77"/>
      <c r="N992" s="77"/>
      <c r="O992" s="77"/>
      <c r="P992" s="77"/>
      <c r="Q992" s="77"/>
      <c r="R992" s="77"/>
    </row>
    <row r="993" spans="1:18">
      <c r="A993" s="77"/>
      <c r="B993" s="77"/>
      <c r="C993" s="77"/>
      <c r="D993" s="77"/>
      <c r="E993" s="77"/>
      <c r="F993" s="77"/>
      <c r="G993" s="77"/>
      <c r="H993" s="77"/>
      <c r="I993" s="77"/>
      <c r="J993" s="77"/>
      <c r="K993" s="77"/>
      <c r="L993" s="77"/>
      <c r="M993" s="77"/>
      <c r="N993" s="77"/>
      <c r="O993" s="77"/>
      <c r="P993" s="77"/>
      <c r="Q993" s="77"/>
      <c r="R993" s="77"/>
    </row>
    <row r="994" spans="1:18">
      <c r="A994" s="77"/>
      <c r="B994" s="77"/>
      <c r="C994" s="77"/>
      <c r="D994" s="77"/>
      <c r="E994" s="77"/>
      <c r="F994" s="77"/>
      <c r="G994" s="77"/>
      <c r="H994" s="77"/>
      <c r="I994" s="77"/>
      <c r="J994" s="77"/>
      <c r="K994" s="77"/>
      <c r="L994" s="77"/>
      <c r="M994" s="77"/>
      <c r="N994" s="77"/>
      <c r="O994" s="77"/>
      <c r="P994" s="77"/>
      <c r="Q994" s="77"/>
      <c r="R994" s="77"/>
    </row>
    <row r="995" spans="1:18">
      <c r="A995" s="77"/>
      <c r="B995" s="77"/>
      <c r="C995" s="77"/>
      <c r="D995" s="77"/>
      <c r="E995" s="77"/>
      <c r="F995" s="77"/>
      <c r="G995" s="77"/>
      <c r="H995" s="77"/>
      <c r="I995" s="77"/>
      <c r="J995" s="77"/>
      <c r="K995" s="77"/>
      <c r="L995" s="77"/>
      <c r="M995" s="77"/>
      <c r="N995" s="77"/>
      <c r="O995" s="77"/>
      <c r="P995" s="77"/>
      <c r="Q995" s="77"/>
      <c r="R995" s="77"/>
    </row>
    <row r="996" spans="1:18">
      <c r="A996" s="77"/>
      <c r="B996" s="77"/>
      <c r="C996" s="77"/>
      <c r="D996" s="77"/>
      <c r="E996" s="77"/>
      <c r="F996" s="77"/>
      <c r="G996" s="77"/>
      <c r="H996" s="77"/>
      <c r="I996" s="77"/>
      <c r="J996" s="77"/>
      <c r="K996" s="77"/>
      <c r="L996" s="77"/>
      <c r="M996" s="77"/>
      <c r="N996" s="77"/>
      <c r="O996" s="77"/>
      <c r="P996" s="77"/>
      <c r="Q996" s="77"/>
      <c r="R996" s="77"/>
    </row>
    <row r="997" spans="1:18">
      <c r="A997" s="77"/>
      <c r="B997" s="77"/>
      <c r="C997" s="77"/>
      <c r="D997" s="77"/>
      <c r="E997" s="77"/>
      <c r="F997" s="77"/>
      <c r="G997" s="77"/>
      <c r="H997" s="77"/>
      <c r="I997" s="77"/>
      <c r="J997" s="77"/>
      <c r="K997" s="77"/>
      <c r="L997" s="77"/>
      <c r="M997" s="77"/>
      <c r="N997" s="77"/>
      <c r="O997" s="77"/>
      <c r="P997" s="77"/>
      <c r="Q997" s="77"/>
      <c r="R997" s="77"/>
    </row>
    <row r="998" spans="1:18">
      <c r="A998" s="77"/>
      <c r="B998" s="77"/>
      <c r="C998" s="77"/>
      <c r="D998" s="77"/>
      <c r="E998" s="77"/>
      <c r="F998" s="77"/>
      <c r="G998" s="77"/>
      <c r="H998" s="77"/>
      <c r="I998" s="77"/>
      <c r="J998" s="77"/>
      <c r="K998" s="77"/>
      <c r="L998" s="77"/>
      <c r="M998" s="77"/>
      <c r="N998" s="77"/>
      <c r="O998" s="77"/>
      <c r="P998" s="77"/>
      <c r="Q998" s="77"/>
      <c r="R998" s="77"/>
    </row>
    <row r="999" spans="1:18">
      <c r="A999" s="77"/>
      <c r="B999" s="77"/>
      <c r="C999" s="77"/>
      <c r="D999" s="77"/>
      <c r="E999" s="77"/>
      <c r="F999" s="77"/>
      <c r="G999" s="77"/>
      <c r="H999" s="77"/>
      <c r="I999" s="77"/>
      <c r="J999" s="77"/>
      <c r="K999" s="77"/>
      <c r="L999" s="77"/>
      <c r="M999" s="77"/>
      <c r="N999" s="77"/>
      <c r="O999" s="77"/>
      <c r="P999" s="77"/>
      <c r="Q999" s="77"/>
      <c r="R999" s="77"/>
    </row>
    <row r="1000" spans="1:18">
      <c r="A1000" s="77"/>
      <c r="B1000" s="77"/>
      <c r="C1000" s="77"/>
      <c r="D1000" s="77"/>
      <c r="E1000" s="77"/>
      <c r="F1000" s="77"/>
      <c r="G1000" s="77"/>
      <c r="H1000" s="77"/>
      <c r="I1000" s="77"/>
      <c r="J1000" s="77"/>
      <c r="K1000" s="77"/>
      <c r="L1000" s="77"/>
      <c r="M1000" s="77"/>
      <c r="N1000" s="77"/>
      <c r="O1000" s="77"/>
      <c r="P1000" s="77"/>
      <c r="Q1000" s="77"/>
      <c r="R1000" s="77"/>
    </row>
    <row r="1001" spans="1:18">
      <c r="A1001" s="77"/>
      <c r="B1001" s="77"/>
      <c r="C1001" s="77"/>
      <c r="D1001" s="77"/>
      <c r="E1001" s="77"/>
      <c r="F1001" s="77"/>
      <c r="G1001" s="77"/>
      <c r="H1001" s="77"/>
      <c r="I1001" s="77"/>
      <c r="J1001" s="77"/>
      <c r="K1001" s="77"/>
      <c r="L1001" s="77"/>
      <c r="M1001" s="77"/>
      <c r="N1001" s="77"/>
      <c r="O1001" s="77"/>
      <c r="P1001" s="77"/>
      <c r="Q1001" s="77"/>
      <c r="R1001" s="77"/>
    </row>
    <row r="1002" spans="1:18">
      <c r="A1002" s="77"/>
      <c r="B1002" s="77"/>
      <c r="C1002" s="77"/>
      <c r="D1002" s="77"/>
      <c r="E1002" s="77"/>
      <c r="F1002" s="77"/>
      <c r="G1002" s="77"/>
      <c r="H1002" s="77"/>
      <c r="I1002" s="77"/>
      <c r="J1002" s="77"/>
      <c r="K1002" s="77"/>
      <c r="L1002" s="77"/>
      <c r="M1002" s="77"/>
      <c r="N1002" s="77"/>
      <c r="O1002" s="77"/>
      <c r="P1002" s="77"/>
      <c r="Q1002" s="77"/>
      <c r="R1002" s="77"/>
    </row>
    <row r="1003" spans="1:18">
      <c r="A1003" s="77"/>
      <c r="B1003" s="77"/>
      <c r="C1003" s="77"/>
      <c r="D1003" s="77"/>
      <c r="E1003" s="77"/>
      <c r="F1003" s="77"/>
      <c r="G1003" s="77"/>
      <c r="H1003" s="77"/>
      <c r="I1003" s="77"/>
      <c r="J1003" s="77"/>
      <c r="K1003" s="77"/>
      <c r="L1003" s="77"/>
      <c r="M1003" s="77"/>
      <c r="N1003" s="77"/>
      <c r="O1003" s="77"/>
      <c r="P1003" s="77"/>
      <c r="Q1003" s="77"/>
      <c r="R1003" s="77"/>
    </row>
    <row r="1004" spans="1:18">
      <c r="A1004" s="77"/>
      <c r="B1004" s="77"/>
      <c r="C1004" s="77"/>
      <c r="D1004" s="77"/>
      <c r="E1004" s="77"/>
      <c r="F1004" s="77"/>
      <c r="G1004" s="77"/>
      <c r="H1004" s="77"/>
      <c r="I1004" s="77"/>
      <c r="J1004" s="77"/>
      <c r="K1004" s="77"/>
      <c r="L1004" s="77"/>
      <c r="M1004" s="77"/>
      <c r="N1004" s="77"/>
      <c r="O1004" s="77"/>
      <c r="P1004" s="77"/>
      <c r="Q1004" s="77"/>
      <c r="R1004" s="77"/>
    </row>
    <row r="1005" spans="1:18">
      <c r="A1005" s="77"/>
      <c r="B1005" s="77"/>
      <c r="C1005" s="77"/>
      <c r="D1005" s="77"/>
      <c r="E1005" s="77"/>
      <c r="F1005" s="77"/>
      <c r="G1005" s="77"/>
      <c r="H1005" s="77"/>
      <c r="I1005" s="77"/>
      <c r="J1005" s="77"/>
      <c r="K1005" s="77"/>
      <c r="L1005" s="77"/>
      <c r="M1005" s="77"/>
      <c r="N1005" s="77"/>
      <c r="O1005" s="77"/>
      <c r="P1005" s="77"/>
      <c r="Q1005" s="77"/>
      <c r="R1005" s="77"/>
    </row>
    <row r="1006" spans="1:18">
      <c r="A1006" s="77"/>
      <c r="B1006" s="77"/>
      <c r="C1006" s="77"/>
      <c r="D1006" s="77"/>
      <c r="E1006" s="77"/>
      <c r="F1006" s="77"/>
      <c r="G1006" s="77"/>
      <c r="H1006" s="77"/>
      <c r="I1006" s="77"/>
      <c r="J1006" s="77"/>
      <c r="K1006" s="77"/>
      <c r="L1006" s="77"/>
      <c r="M1006" s="77"/>
      <c r="N1006" s="77"/>
      <c r="O1006" s="77"/>
      <c r="P1006" s="77"/>
      <c r="Q1006" s="77"/>
      <c r="R1006" s="77"/>
    </row>
    <row r="1007" spans="1:18">
      <c r="A1007" s="77"/>
      <c r="B1007" s="77"/>
      <c r="C1007" s="77"/>
      <c r="D1007" s="77"/>
      <c r="E1007" s="77"/>
      <c r="F1007" s="77"/>
      <c r="G1007" s="77"/>
      <c r="H1007" s="77"/>
      <c r="I1007" s="77"/>
      <c r="J1007" s="77"/>
      <c r="K1007" s="77"/>
      <c r="L1007" s="77"/>
      <c r="M1007" s="77"/>
      <c r="N1007" s="77"/>
      <c r="O1007" s="77"/>
      <c r="P1007" s="77"/>
      <c r="Q1007" s="77"/>
      <c r="R1007" s="77"/>
    </row>
    <row r="1008" spans="1:18">
      <c r="A1008" s="77"/>
      <c r="B1008" s="77"/>
      <c r="C1008" s="77"/>
      <c r="D1008" s="77"/>
      <c r="E1008" s="77"/>
      <c r="F1008" s="77"/>
      <c r="G1008" s="77"/>
      <c r="H1008" s="77"/>
      <c r="I1008" s="77"/>
      <c r="J1008" s="77"/>
      <c r="K1008" s="77"/>
      <c r="L1008" s="77"/>
      <c r="M1008" s="77"/>
      <c r="N1008" s="77"/>
      <c r="O1008" s="77"/>
      <c r="P1008" s="77"/>
      <c r="Q1008" s="77"/>
      <c r="R1008" s="77"/>
    </row>
    <row r="1009" spans="1:18">
      <c r="A1009" s="77"/>
      <c r="B1009" s="77"/>
      <c r="C1009" s="77"/>
      <c r="D1009" s="77"/>
      <c r="E1009" s="77"/>
      <c r="F1009" s="77"/>
      <c r="G1009" s="77"/>
      <c r="H1009" s="77"/>
      <c r="I1009" s="77"/>
      <c r="J1009" s="77"/>
      <c r="K1009" s="77"/>
      <c r="L1009" s="77"/>
      <c r="M1009" s="77"/>
      <c r="N1009" s="77"/>
      <c r="O1009" s="77"/>
      <c r="P1009" s="77"/>
      <c r="Q1009" s="77"/>
      <c r="R1009" s="77"/>
    </row>
    <row r="1010" spans="1:18">
      <c r="A1010" s="77"/>
      <c r="B1010" s="77"/>
      <c r="C1010" s="77"/>
      <c r="D1010" s="77"/>
      <c r="E1010" s="77"/>
      <c r="F1010" s="77"/>
      <c r="G1010" s="77"/>
      <c r="H1010" s="77"/>
      <c r="I1010" s="77"/>
      <c r="J1010" s="77"/>
      <c r="K1010" s="77"/>
      <c r="L1010" s="77"/>
      <c r="M1010" s="77"/>
      <c r="N1010" s="77"/>
      <c r="O1010" s="77"/>
      <c r="P1010" s="77"/>
      <c r="Q1010" s="77"/>
      <c r="R1010" s="77"/>
    </row>
    <row r="1011" spans="1:18">
      <c r="A1011" s="77"/>
      <c r="B1011" s="77"/>
      <c r="C1011" s="77"/>
      <c r="D1011" s="77"/>
      <c r="E1011" s="77"/>
      <c r="F1011" s="77"/>
      <c r="G1011" s="77"/>
      <c r="H1011" s="77"/>
      <c r="I1011" s="77"/>
      <c r="J1011" s="77"/>
      <c r="K1011" s="77"/>
      <c r="L1011" s="77"/>
      <c r="M1011" s="77"/>
      <c r="N1011" s="77"/>
      <c r="O1011" s="77"/>
      <c r="P1011" s="77"/>
      <c r="Q1011" s="77"/>
      <c r="R1011" s="77"/>
    </row>
    <row r="1012" spans="1:18">
      <c r="A1012" s="77"/>
      <c r="B1012" s="77"/>
      <c r="C1012" s="77"/>
      <c r="D1012" s="77"/>
      <c r="E1012" s="77"/>
      <c r="F1012" s="77"/>
      <c r="G1012" s="77"/>
      <c r="H1012" s="77"/>
      <c r="I1012" s="77"/>
      <c r="J1012" s="77"/>
      <c r="K1012" s="77"/>
      <c r="L1012" s="77"/>
      <c r="M1012" s="77"/>
      <c r="N1012" s="77"/>
      <c r="O1012" s="77"/>
      <c r="P1012" s="77"/>
      <c r="Q1012" s="77"/>
      <c r="R1012" s="77"/>
    </row>
    <row r="1013" spans="1:18">
      <c r="A1013" s="77"/>
      <c r="B1013" s="77"/>
      <c r="C1013" s="77"/>
      <c r="D1013" s="77"/>
      <c r="E1013" s="77"/>
      <c r="F1013" s="77"/>
      <c r="G1013" s="77"/>
      <c r="H1013" s="77"/>
      <c r="I1013" s="77"/>
      <c r="J1013" s="77"/>
      <c r="K1013" s="77"/>
      <c r="L1013" s="77"/>
      <c r="M1013" s="77"/>
      <c r="N1013" s="77"/>
      <c r="O1013" s="77"/>
      <c r="P1013" s="77"/>
      <c r="Q1013" s="77"/>
      <c r="R1013" s="77"/>
    </row>
    <row r="1014" spans="1:18">
      <c r="A1014" s="77"/>
      <c r="B1014" s="77"/>
      <c r="C1014" s="77"/>
      <c r="D1014" s="77"/>
      <c r="E1014" s="77"/>
      <c r="F1014" s="77"/>
      <c r="G1014" s="77"/>
      <c r="H1014" s="77"/>
      <c r="I1014" s="77"/>
      <c r="J1014" s="77"/>
      <c r="K1014" s="77"/>
      <c r="L1014" s="77"/>
      <c r="M1014" s="77"/>
      <c r="N1014" s="77"/>
      <c r="O1014" s="77"/>
      <c r="P1014" s="77"/>
      <c r="Q1014" s="77"/>
      <c r="R1014" s="77"/>
    </row>
    <row r="1015" spans="1:18">
      <c r="A1015" s="77"/>
      <c r="B1015" s="77"/>
      <c r="C1015" s="77"/>
      <c r="D1015" s="77"/>
      <c r="E1015" s="77"/>
      <c r="F1015" s="77"/>
      <c r="G1015" s="77"/>
      <c r="H1015" s="77"/>
      <c r="I1015" s="77"/>
      <c r="J1015" s="77"/>
      <c r="K1015" s="77"/>
      <c r="L1015" s="77"/>
      <c r="M1015" s="77"/>
      <c r="N1015" s="77"/>
      <c r="O1015" s="77"/>
      <c r="P1015" s="77"/>
      <c r="Q1015" s="77"/>
      <c r="R1015" s="77"/>
    </row>
    <row r="1016" spans="1:18">
      <c r="A1016" s="77"/>
      <c r="B1016" s="77"/>
      <c r="C1016" s="77"/>
      <c r="D1016" s="77"/>
      <c r="E1016" s="77"/>
      <c r="F1016" s="77"/>
      <c r="G1016" s="77"/>
      <c r="H1016" s="77"/>
      <c r="I1016" s="77"/>
      <c r="J1016" s="77"/>
      <c r="K1016" s="77"/>
      <c r="L1016" s="77"/>
      <c r="M1016" s="77"/>
      <c r="N1016" s="77"/>
      <c r="O1016" s="77"/>
      <c r="P1016" s="77"/>
      <c r="Q1016" s="77"/>
      <c r="R1016" s="77"/>
    </row>
    <row r="1017" spans="1:18">
      <c r="A1017" s="77"/>
      <c r="B1017" s="77"/>
      <c r="C1017" s="77"/>
      <c r="D1017" s="77"/>
      <c r="E1017" s="77"/>
      <c r="F1017" s="77"/>
      <c r="G1017" s="77"/>
      <c r="H1017" s="77"/>
      <c r="I1017" s="77"/>
      <c r="J1017" s="77"/>
      <c r="K1017" s="77"/>
      <c r="L1017" s="77"/>
      <c r="M1017" s="77"/>
      <c r="N1017" s="77"/>
      <c r="O1017" s="77"/>
      <c r="P1017" s="77"/>
      <c r="Q1017" s="77"/>
      <c r="R1017" s="77"/>
    </row>
    <row r="1018" spans="1:18">
      <c r="A1018" s="77"/>
      <c r="B1018" s="77"/>
      <c r="C1018" s="77"/>
      <c r="D1018" s="77"/>
      <c r="E1018" s="77"/>
      <c r="F1018" s="77"/>
      <c r="G1018" s="77"/>
      <c r="H1018" s="77"/>
      <c r="I1018" s="77"/>
      <c r="J1018" s="77"/>
      <c r="K1018" s="77"/>
      <c r="L1018" s="77"/>
      <c r="M1018" s="77"/>
      <c r="N1018" s="77"/>
      <c r="O1018" s="77"/>
      <c r="P1018" s="77"/>
      <c r="Q1018" s="77"/>
      <c r="R1018" s="77"/>
    </row>
    <row r="1019" spans="1:18">
      <c r="A1019" s="77"/>
      <c r="B1019" s="77"/>
      <c r="C1019" s="77"/>
      <c r="D1019" s="77"/>
      <c r="E1019" s="77"/>
      <c r="F1019" s="77"/>
      <c r="G1019" s="77"/>
      <c r="H1019" s="77"/>
      <c r="I1019" s="77"/>
      <c r="J1019" s="77"/>
      <c r="K1019" s="77"/>
      <c r="L1019" s="77"/>
      <c r="M1019" s="77"/>
      <c r="N1019" s="77"/>
      <c r="O1019" s="77"/>
      <c r="P1019" s="77"/>
      <c r="Q1019" s="77"/>
      <c r="R1019" s="77"/>
    </row>
    <row r="1020" spans="1:18">
      <c r="A1020" s="77"/>
      <c r="B1020" s="77"/>
      <c r="C1020" s="77"/>
      <c r="D1020" s="77"/>
      <c r="E1020" s="77"/>
      <c r="F1020" s="77"/>
      <c r="G1020" s="77"/>
      <c r="H1020" s="77"/>
      <c r="I1020" s="77"/>
      <c r="J1020" s="77"/>
      <c r="K1020" s="77"/>
      <c r="L1020" s="77"/>
      <c r="M1020" s="77"/>
      <c r="N1020" s="77"/>
      <c r="O1020" s="77"/>
      <c r="P1020" s="77"/>
      <c r="Q1020" s="77"/>
      <c r="R1020" s="77"/>
    </row>
    <row r="1021" spans="1:18">
      <c r="A1021" s="77"/>
      <c r="B1021" s="77"/>
      <c r="C1021" s="77"/>
      <c r="D1021" s="77"/>
      <c r="E1021" s="77"/>
      <c r="F1021" s="77"/>
      <c r="G1021" s="77"/>
      <c r="H1021" s="77"/>
      <c r="I1021" s="77"/>
      <c r="J1021" s="77"/>
      <c r="K1021" s="77"/>
      <c r="L1021" s="77"/>
      <c r="M1021" s="77"/>
      <c r="N1021" s="77"/>
      <c r="O1021" s="77"/>
      <c r="P1021" s="77"/>
      <c r="Q1021" s="77"/>
      <c r="R1021" s="77"/>
    </row>
    <row r="1022" spans="1:18">
      <c r="A1022" s="77"/>
      <c r="B1022" s="77"/>
      <c r="C1022" s="77"/>
      <c r="D1022" s="77"/>
      <c r="E1022" s="77"/>
      <c r="F1022" s="77"/>
      <c r="G1022" s="77"/>
      <c r="H1022" s="77"/>
      <c r="I1022" s="77"/>
      <c r="J1022" s="77"/>
      <c r="K1022" s="77"/>
      <c r="L1022" s="77"/>
      <c r="M1022" s="77"/>
      <c r="N1022" s="77"/>
      <c r="O1022" s="77"/>
      <c r="P1022" s="77"/>
      <c r="Q1022" s="77"/>
      <c r="R1022" s="77"/>
    </row>
    <row r="1023" spans="1:18">
      <c r="A1023" s="77"/>
      <c r="B1023" s="77"/>
      <c r="C1023" s="77"/>
      <c r="D1023" s="77"/>
      <c r="E1023" s="77"/>
      <c r="F1023" s="77"/>
      <c r="G1023" s="77"/>
      <c r="H1023" s="77"/>
      <c r="I1023" s="77"/>
      <c r="J1023" s="77"/>
      <c r="K1023" s="77"/>
      <c r="L1023" s="77"/>
      <c r="M1023" s="77"/>
      <c r="N1023" s="77"/>
      <c r="O1023" s="77"/>
      <c r="P1023" s="77"/>
      <c r="Q1023" s="77"/>
      <c r="R1023" s="77"/>
    </row>
    <row r="1024" spans="1:18">
      <c r="A1024" s="77"/>
      <c r="B1024" s="77"/>
      <c r="C1024" s="77"/>
      <c r="D1024" s="77"/>
      <c r="E1024" s="77"/>
      <c r="F1024" s="77"/>
      <c r="G1024" s="77"/>
      <c r="H1024" s="77"/>
      <c r="I1024" s="77"/>
      <c r="J1024" s="77"/>
      <c r="K1024" s="77"/>
      <c r="L1024" s="77"/>
      <c r="M1024" s="77"/>
      <c r="N1024" s="77"/>
      <c r="O1024" s="77"/>
      <c r="P1024" s="77"/>
      <c r="Q1024" s="77"/>
      <c r="R1024" s="77"/>
    </row>
    <row r="1025" spans="1:18">
      <c r="A1025" s="77"/>
      <c r="B1025" s="77"/>
      <c r="C1025" s="77"/>
      <c r="D1025" s="77"/>
      <c r="E1025" s="77"/>
      <c r="F1025" s="77"/>
      <c r="G1025" s="77"/>
      <c r="H1025" s="77"/>
      <c r="I1025" s="77"/>
      <c r="J1025" s="77"/>
      <c r="K1025" s="77"/>
      <c r="L1025" s="77"/>
      <c r="M1025" s="77"/>
      <c r="N1025" s="77"/>
      <c r="O1025" s="77"/>
      <c r="P1025" s="77"/>
      <c r="Q1025" s="77"/>
      <c r="R1025" s="77"/>
    </row>
    <row r="1026" spans="1:18">
      <c r="A1026" s="77"/>
      <c r="B1026" s="77"/>
      <c r="C1026" s="77"/>
      <c r="D1026" s="77"/>
      <c r="E1026" s="77"/>
      <c r="F1026" s="77"/>
      <c r="G1026" s="77"/>
      <c r="H1026" s="77"/>
      <c r="I1026" s="77"/>
      <c r="J1026" s="77"/>
      <c r="K1026" s="77"/>
      <c r="L1026" s="77"/>
      <c r="M1026" s="77"/>
      <c r="N1026" s="77"/>
      <c r="O1026" s="77"/>
      <c r="P1026" s="77"/>
      <c r="Q1026" s="77"/>
      <c r="R1026" s="77"/>
    </row>
    <row r="1027" spans="1:18">
      <c r="A1027" s="77"/>
      <c r="B1027" s="77"/>
      <c r="C1027" s="77"/>
      <c r="D1027" s="77"/>
      <c r="E1027" s="77"/>
      <c r="F1027" s="77"/>
      <c r="G1027" s="77"/>
      <c r="H1027" s="77"/>
      <c r="I1027" s="77"/>
      <c r="J1027" s="77"/>
      <c r="K1027" s="77"/>
      <c r="L1027" s="77"/>
      <c r="M1027" s="77"/>
      <c r="N1027" s="77"/>
      <c r="O1027" s="77"/>
      <c r="P1027" s="77"/>
      <c r="Q1027" s="77"/>
      <c r="R1027" s="77"/>
    </row>
    <row r="1028" spans="1:18">
      <c r="A1028" s="77"/>
      <c r="B1028" s="77"/>
      <c r="C1028" s="77"/>
      <c r="D1028" s="77"/>
      <c r="E1028" s="77"/>
      <c r="F1028" s="77"/>
      <c r="G1028" s="77"/>
      <c r="H1028" s="77"/>
      <c r="I1028" s="77"/>
      <c r="J1028" s="77"/>
      <c r="K1028" s="77"/>
      <c r="L1028" s="77"/>
      <c r="M1028" s="77"/>
      <c r="N1028" s="77"/>
      <c r="O1028" s="77"/>
      <c r="P1028" s="77"/>
      <c r="Q1028" s="77"/>
      <c r="R1028" s="77"/>
    </row>
    <row r="1029" spans="1:18">
      <c r="A1029" s="77"/>
      <c r="B1029" s="77"/>
      <c r="C1029" s="77"/>
      <c r="D1029" s="77"/>
      <c r="E1029" s="77"/>
      <c r="F1029" s="77"/>
      <c r="G1029" s="77"/>
      <c r="H1029" s="77"/>
      <c r="I1029" s="77"/>
      <c r="J1029" s="77"/>
      <c r="K1029" s="77"/>
      <c r="L1029" s="77"/>
      <c r="M1029" s="77"/>
      <c r="N1029" s="77"/>
      <c r="O1029" s="77"/>
      <c r="P1029" s="77"/>
      <c r="Q1029" s="77"/>
      <c r="R1029" s="77"/>
    </row>
    <row r="1030" spans="1:18">
      <c r="A1030" s="77"/>
      <c r="B1030" s="77"/>
      <c r="C1030" s="77"/>
      <c r="D1030" s="77"/>
      <c r="E1030" s="77"/>
      <c r="F1030" s="77"/>
      <c r="G1030" s="77"/>
      <c r="H1030" s="77"/>
      <c r="I1030" s="77"/>
      <c r="J1030" s="77"/>
      <c r="K1030" s="77"/>
      <c r="L1030" s="77"/>
      <c r="M1030" s="77"/>
      <c r="N1030" s="77"/>
      <c r="O1030" s="77"/>
      <c r="P1030" s="77"/>
      <c r="Q1030" s="77"/>
      <c r="R1030" s="77"/>
    </row>
    <row r="1031" spans="1:18">
      <c r="A1031" s="77"/>
      <c r="B1031" s="77"/>
      <c r="C1031" s="77"/>
      <c r="D1031" s="77"/>
      <c r="E1031" s="77"/>
      <c r="F1031" s="77"/>
      <c r="G1031" s="77"/>
      <c r="H1031" s="77"/>
      <c r="I1031" s="77"/>
      <c r="J1031" s="77"/>
      <c r="K1031" s="77"/>
      <c r="L1031" s="77"/>
      <c r="M1031" s="77"/>
      <c r="N1031" s="77"/>
      <c r="O1031" s="77"/>
      <c r="P1031" s="77"/>
      <c r="Q1031" s="77"/>
      <c r="R1031" s="77"/>
    </row>
    <row r="1032" spans="1:18">
      <c r="A1032" s="77"/>
      <c r="B1032" s="77"/>
      <c r="C1032" s="77"/>
      <c r="D1032" s="77"/>
      <c r="E1032" s="77"/>
      <c r="F1032" s="77"/>
      <c r="G1032" s="77"/>
      <c r="H1032" s="77"/>
      <c r="I1032" s="77"/>
      <c r="J1032" s="77"/>
      <c r="K1032" s="77"/>
      <c r="L1032" s="77"/>
      <c r="M1032" s="77"/>
      <c r="N1032" s="77"/>
      <c r="O1032" s="77"/>
      <c r="P1032" s="77"/>
      <c r="Q1032" s="77"/>
      <c r="R1032" s="77"/>
    </row>
    <row r="1033" spans="1:18">
      <c r="A1033" s="77"/>
      <c r="B1033" s="77"/>
      <c r="C1033" s="77"/>
      <c r="D1033" s="77"/>
      <c r="E1033" s="77"/>
      <c r="F1033" s="77"/>
      <c r="G1033" s="77"/>
      <c r="H1033" s="77"/>
      <c r="I1033" s="77"/>
      <c r="J1033" s="77"/>
      <c r="K1033" s="77"/>
      <c r="L1033" s="77"/>
      <c r="M1033" s="77"/>
      <c r="N1033" s="77"/>
      <c r="O1033" s="77"/>
      <c r="P1033" s="77"/>
      <c r="Q1033" s="77"/>
      <c r="R1033" s="77"/>
    </row>
    <row r="1034" spans="1:18">
      <c r="A1034" s="77"/>
      <c r="B1034" s="77"/>
      <c r="C1034" s="77"/>
      <c r="D1034" s="77"/>
      <c r="E1034" s="77"/>
      <c r="F1034" s="77"/>
      <c r="G1034" s="77"/>
      <c r="H1034" s="77"/>
      <c r="I1034" s="77"/>
      <c r="J1034" s="77"/>
      <c r="K1034" s="77"/>
      <c r="L1034" s="77"/>
      <c r="M1034" s="77"/>
      <c r="N1034" s="77"/>
      <c r="O1034" s="77"/>
      <c r="P1034" s="77"/>
      <c r="Q1034" s="77"/>
      <c r="R1034" s="77"/>
    </row>
    <row r="1035" spans="1:18">
      <c r="A1035" s="77"/>
      <c r="B1035" s="77"/>
      <c r="C1035" s="77"/>
      <c r="D1035" s="77"/>
      <c r="E1035" s="77"/>
      <c r="F1035" s="77"/>
      <c r="G1035" s="77"/>
      <c r="H1035" s="77"/>
      <c r="I1035" s="77"/>
      <c r="J1035" s="77"/>
      <c r="K1035" s="77"/>
      <c r="L1035" s="77"/>
      <c r="M1035" s="77"/>
      <c r="N1035" s="77"/>
      <c r="O1035" s="77"/>
      <c r="P1035" s="77"/>
      <c r="Q1035" s="77"/>
      <c r="R1035" s="77"/>
    </row>
    <row r="1036" spans="1:18">
      <c r="A1036" s="77"/>
      <c r="B1036" s="77"/>
      <c r="C1036" s="77"/>
      <c r="D1036" s="77"/>
      <c r="E1036" s="77"/>
      <c r="F1036" s="77"/>
      <c r="G1036" s="77"/>
      <c r="H1036" s="77"/>
      <c r="I1036" s="77"/>
      <c r="J1036" s="77"/>
      <c r="K1036" s="77"/>
      <c r="L1036" s="77"/>
      <c r="M1036" s="77"/>
      <c r="N1036" s="77"/>
      <c r="O1036" s="77"/>
      <c r="P1036" s="77"/>
      <c r="Q1036" s="77"/>
      <c r="R1036" s="77"/>
    </row>
    <row r="1037" spans="1:18">
      <c r="A1037" s="77"/>
      <c r="B1037" s="77"/>
      <c r="C1037" s="77"/>
      <c r="D1037" s="77"/>
      <c r="E1037" s="77"/>
      <c r="F1037" s="77"/>
      <c r="G1037" s="77"/>
      <c r="H1037" s="77"/>
      <c r="I1037" s="77"/>
      <c r="J1037" s="77"/>
      <c r="K1037" s="77"/>
      <c r="L1037" s="77"/>
      <c r="M1037" s="77"/>
      <c r="N1037" s="77"/>
      <c r="O1037" s="77"/>
      <c r="P1037" s="77"/>
      <c r="Q1037" s="77"/>
      <c r="R1037" s="77"/>
    </row>
    <row r="1038" spans="1:18">
      <c r="A1038" s="77"/>
      <c r="B1038" s="77"/>
      <c r="C1038" s="77"/>
      <c r="D1038" s="77"/>
      <c r="E1038" s="77"/>
      <c r="F1038" s="77"/>
      <c r="G1038" s="77"/>
      <c r="H1038" s="77"/>
      <c r="I1038" s="77"/>
      <c r="J1038" s="77"/>
      <c r="K1038" s="77"/>
      <c r="L1038" s="77"/>
      <c r="M1038" s="77"/>
      <c r="N1038" s="77"/>
      <c r="O1038" s="77"/>
      <c r="P1038" s="77"/>
      <c r="Q1038" s="77"/>
      <c r="R1038" s="77"/>
    </row>
    <row r="1039" spans="1:18">
      <c r="A1039" s="77"/>
      <c r="B1039" s="77"/>
      <c r="C1039" s="77"/>
      <c r="D1039" s="77"/>
      <c r="E1039" s="77"/>
      <c r="F1039" s="77"/>
      <c r="G1039" s="77"/>
      <c r="H1039" s="77"/>
      <c r="I1039" s="77"/>
      <c r="J1039" s="77"/>
      <c r="K1039" s="77"/>
      <c r="L1039" s="77"/>
      <c r="M1039" s="77"/>
      <c r="N1039" s="77"/>
      <c r="O1039" s="77"/>
      <c r="P1039" s="77"/>
      <c r="Q1039" s="77"/>
      <c r="R1039" s="77"/>
    </row>
    <row r="1040" spans="1:18">
      <c r="A1040" s="77"/>
      <c r="B1040" s="77"/>
      <c r="C1040" s="77"/>
      <c r="D1040" s="77"/>
      <c r="E1040" s="77"/>
      <c r="F1040" s="77"/>
      <c r="G1040" s="77"/>
      <c r="H1040" s="77"/>
      <c r="I1040" s="77"/>
      <c r="J1040" s="77"/>
      <c r="K1040" s="77"/>
      <c r="L1040" s="77"/>
      <c r="M1040" s="77"/>
      <c r="N1040" s="77"/>
      <c r="O1040" s="77"/>
      <c r="P1040" s="77"/>
      <c r="Q1040" s="77"/>
      <c r="R1040" s="77"/>
    </row>
    <row r="1041" spans="1:18">
      <c r="A1041" s="77"/>
      <c r="B1041" s="77"/>
      <c r="C1041" s="77"/>
      <c r="D1041" s="77"/>
      <c r="E1041" s="77"/>
      <c r="F1041" s="77"/>
      <c r="G1041" s="77"/>
      <c r="H1041" s="77"/>
      <c r="I1041" s="77"/>
      <c r="J1041" s="77"/>
      <c r="K1041" s="77"/>
      <c r="L1041" s="77"/>
      <c r="M1041" s="77"/>
      <c r="N1041" s="77"/>
      <c r="O1041" s="77"/>
      <c r="P1041" s="77"/>
      <c r="Q1041" s="77"/>
      <c r="R1041" s="77"/>
    </row>
    <row r="1042" spans="1:18">
      <c r="A1042" s="77"/>
      <c r="B1042" s="77"/>
      <c r="C1042" s="77"/>
      <c r="D1042" s="77"/>
      <c r="E1042" s="77"/>
      <c r="F1042" s="77"/>
      <c r="G1042" s="77"/>
      <c r="H1042" s="77"/>
      <c r="I1042" s="77"/>
      <c r="J1042" s="77"/>
      <c r="K1042" s="77"/>
      <c r="L1042" s="77"/>
      <c r="M1042" s="77"/>
      <c r="N1042" s="77"/>
      <c r="O1042" s="77"/>
      <c r="P1042" s="77"/>
      <c r="Q1042" s="77"/>
      <c r="R1042" s="77"/>
    </row>
    <row r="1043" spans="1:18">
      <c r="A1043" s="77"/>
      <c r="B1043" s="77"/>
      <c r="C1043" s="77"/>
      <c r="D1043" s="77"/>
      <c r="E1043" s="77"/>
      <c r="F1043" s="77"/>
      <c r="G1043" s="77"/>
      <c r="H1043" s="77"/>
      <c r="I1043" s="77"/>
      <c r="J1043" s="77"/>
      <c r="K1043" s="77"/>
      <c r="L1043" s="77"/>
      <c r="M1043" s="77"/>
      <c r="N1043" s="77"/>
      <c r="O1043" s="77"/>
      <c r="P1043" s="77"/>
      <c r="Q1043" s="77"/>
      <c r="R1043" s="77"/>
    </row>
    <row r="1044" spans="1:18">
      <c r="A1044" s="77"/>
      <c r="B1044" s="77"/>
      <c r="C1044" s="77"/>
      <c r="D1044" s="77"/>
      <c r="E1044" s="77"/>
      <c r="F1044" s="77"/>
      <c r="G1044" s="77"/>
      <c r="H1044" s="77"/>
      <c r="I1044" s="77"/>
      <c r="J1044" s="77"/>
      <c r="K1044" s="77"/>
      <c r="L1044" s="77"/>
      <c r="M1044" s="77"/>
      <c r="N1044" s="77"/>
      <c r="O1044" s="77"/>
      <c r="P1044" s="77"/>
      <c r="Q1044" s="77"/>
      <c r="R1044" s="77"/>
    </row>
    <row r="1045" spans="1:18">
      <c r="A1045" s="77"/>
      <c r="B1045" s="77"/>
      <c r="C1045" s="77"/>
      <c r="D1045" s="77"/>
      <c r="E1045" s="77"/>
      <c r="F1045" s="77"/>
      <c r="G1045" s="77"/>
      <c r="H1045" s="77"/>
      <c r="I1045" s="77"/>
      <c r="J1045" s="77"/>
      <c r="K1045" s="77"/>
      <c r="L1045" s="77"/>
      <c r="M1045" s="77"/>
      <c r="N1045" s="77"/>
      <c r="O1045" s="77"/>
      <c r="P1045" s="77"/>
      <c r="Q1045" s="77"/>
      <c r="R1045" s="77"/>
    </row>
    <row r="1046" spans="1:18">
      <c r="A1046" s="77"/>
      <c r="B1046" s="77"/>
      <c r="C1046" s="77"/>
      <c r="D1046" s="77"/>
      <c r="E1046" s="77"/>
      <c r="F1046" s="77"/>
      <c r="G1046" s="77"/>
      <c r="H1046" s="77"/>
      <c r="I1046" s="77"/>
      <c r="J1046" s="77"/>
      <c r="K1046" s="77"/>
      <c r="L1046" s="77"/>
      <c r="M1046" s="77"/>
      <c r="N1046" s="77"/>
      <c r="O1046" s="77"/>
      <c r="P1046" s="77"/>
      <c r="Q1046" s="77"/>
      <c r="R1046" s="77"/>
    </row>
    <row r="1047" spans="1:18">
      <c r="A1047" s="77"/>
      <c r="B1047" s="77"/>
      <c r="C1047" s="77"/>
      <c r="D1047" s="77"/>
      <c r="E1047" s="77"/>
      <c r="F1047" s="77"/>
      <c r="G1047" s="77"/>
      <c r="H1047" s="77"/>
      <c r="I1047" s="77"/>
      <c r="J1047" s="77"/>
      <c r="K1047" s="77"/>
      <c r="L1047" s="77"/>
      <c r="M1047" s="77"/>
      <c r="N1047" s="77"/>
      <c r="O1047" s="77"/>
      <c r="P1047" s="77"/>
      <c r="Q1047" s="77"/>
      <c r="R1047" s="77"/>
    </row>
    <row r="1048" spans="1:18">
      <c r="A1048" s="77"/>
      <c r="B1048" s="77"/>
      <c r="C1048" s="77"/>
      <c r="D1048" s="77"/>
      <c r="E1048" s="77"/>
      <c r="F1048" s="77"/>
      <c r="G1048" s="77"/>
      <c r="H1048" s="77"/>
      <c r="I1048" s="77"/>
      <c r="J1048" s="77"/>
      <c r="K1048" s="77"/>
      <c r="L1048" s="77"/>
      <c r="M1048" s="77"/>
      <c r="N1048" s="77"/>
      <c r="O1048" s="77"/>
      <c r="P1048" s="77"/>
      <c r="Q1048" s="77"/>
      <c r="R1048" s="77"/>
    </row>
    <row r="1049" spans="1:18">
      <c r="A1049" s="77"/>
      <c r="B1049" s="77"/>
      <c r="C1049" s="77"/>
      <c r="D1049" s="77"/>
      <c r="E1049" s="77"/>
      <c r="F1049" s="77"/>
      <c r="G1049" s="77"/>
      <c r="H1049" s="77"/>
      <c r="I1049" s="77"/>
      <c r="J1049" s="77"/>
      <c r="K1049" s="77"/>
      <c r="L1049" s="77"/>
      <c r="M1049" s="77"/>
      <c r="N1049" s="77"/>
      <c r="O1049" s="77"/>
      <c r="P1049" s="77"/>
      <c r="Q1049" s="77"/>
      <c r="R1049" s="77"/>
    </row>
    <row r="1050" spans="1:18">
      <c r="A1050" s="77"/>
      <c r="B1050" s="77"/>
      <c r="C1050" s="77"/>
      <c r="D1050" s="77"/>
      <c r="E1050" s="77"/>
      <c r="F1050" s="77"/>
      <c r="G1050" s="77"/>
      <c r="H1050" s="77"/>
      <c r="I1050" s="77"/>
      <c r="J1050" s="77"/>
      <c r="K1050" s="77"/>
      <c r="L1050" s="77"/>
      <c r="M1050" s="77"/>
      <c r="N1050" s="77"/>
      <c r="O1050" s="77"/>
      <c r="P1050" s="77"/>
      <c r="Q1050" s="77"/>
      <c r="R1050" s="77"/>
    </row>
    <row r="1051" spans="1:18">
      <c r="A1051" s="77"/>
      <c r="B1051" s="77"/>
      <c r="C1051" s="77"/>
      <c r="D1051" s="77"/>
      <c r="E1051" s="77"/>
      <c r="F1051" s="77"/>
      <c r="G1051" s="77"/>
      <c r="H1051" s="77"/>
      <c r="I1051" s="77"/>
      <c r="J1051" s="77"/>
      <c r="K1051" s="77"/>
      <c r="L1051" s="77"/>
      <c r="M1051" s="77"/>
      <c r="N1051" s="77"/>
      <c r="O1051" s="77"/>
      <c r="P1051" s="77"/>
      <c r="Q1051" s="77"/>
      <c r="R1051" s="77"/>
    </row>
    <row r="1052" spans="1:18">
      <c r="A1052" s="77"/>
      <c r="B1052" s="77"/>
      <c r="C1052" s="77"/>
      <c r="D1052" s="77"/>
      <c r="E1052" s="77"/>
      <c r="F1052" s="77"/>
      <c r="G1052" s="77"/>
      <c r="H1052" s="77"/>
      <c r="I1052" s="77"/>
      <c r="J1052" s="77"/>
      <c r="K1052" s="77"/>
      <c r="L1052" s="77"/>
      <c r="M1052" s="77"/>
      <c r="N1052" s="77"/>
      <c r="O1052" s="77"/>
      <c r="P1052" s="77"/>
      <c r="Q1052" s="77"/>
      <c r="R1052" s="77"/>
    </row>
    <row r="1053" spans="1:18">
      <c r="A1053" s="77"/>
      <c r="B1053" s="77"/>
      <c r="C1053" s="77"/>
      <c r="D1053" s="77"/>
      <c r="E1053" s="77"/>
      <c r="F1053" s="77"/>
      <c r="G1053" s="77"/>
      <c r="H1053" s="77"/>
      <c r="I1053" s="77"/>
      <c r="J1053" s="77"/>
      <c r="K1053" s="77"/>
      <c r="L1053" s="77"/>
      <c r="M1053" s="77"/>
      <c r="N1053" s="77"/>
      <c r="O1053" s="77"/>
      <c r="P1053" s="77"/>
      <c r="Q1053" s="77"/>
      <c r="R1053" s="77"/>
    </row>
    <row r="1054" spans="1:18">
      <c r="A1054" s="77"/>
      <c r="B1054" s="77"/>
      <c r="C1054" s="77"/>
      <c r="D1054" s="77"/>
      <c r="E1054" s="77"/>
      <c r="F1054" s="77"/>
      <c r="G1054" s="77"/>
      <c r="H1054" s="77"/>
      <c r="I1054" s="77"/>
      <c r="J1054" s="77"/>
      <c r="K1054" s="77"/>
      <c r="L1054" s="77"/>
      <c r="M1054" s="77"/>
      <c r="N1054" s="77"/>
      <c r="O1054" s="77"/>
      <c r="P1054" s="77"/>
      <c r="Q1054" s="77"/>
      <c r="R1054" s="77"/>
    </row>
    <row r="1055" spans="1:18">
      <c r="A1055" s="77"/>
      <c r="B1055" s="77"/>
      <c r="C1055" s="77"/>
      <c r="D1055" s="77"/>
      <c r="E1055" s="77"/>
      <c r="F1055" s="77"/>
      <c r="G1055" s="77"/>
      <c r="H1055" s="77"/>
      <c r="I1055" s="77"/>
      <c r="J1055" s="77"/>
      <c r="K1055" s="77"/>
      <c r="L1055" s="77"/>
      <c r="M1055" s="77"/>
      <c r="N1055" s="77"/>
      <c r="O1055" s="77"/>
      <c r="P1055" s="77"/>
      <c r="Q1055" s="77"/>
      <c r="R1055" s="77"/>
    </row>
    <row r="1056" spans="1:18">
      <c r="A1056" s="77"/>
      <c r="B1056" s="77"/>
      <c r="C1056" s="77"/>
      <c r="D1056" s="77"/>
      <c r="E1056" s="77"/>
      <c r="F1056" s="77"/>
      <c r="G1056" s="77"/>
      <c r="H1056" s="77"/>
      <c r="I1056" s="77"/>
      <c r="J1056" s="77"/>
      <c r="K1056" s="77"/>
      <c r="L1056" s="77"/>
      <c r="M1056" s="77"/>
      <c r="N1056" s="77"/>
      <c r="O1056" s="77"/>
      <c r="P1056" s="77"/>
      <c r="Q1056" s="77"/>
      <c r="R1056" s="77"/>
    </row>
    <row r="1057" spans="1:18">
      <c r="A1057" s="77"/>
      <c r="B1057" s="77"/>
      <c r="C1057" s="77"/>
      <c r="D1057" s="77"/>
      <c r="E1057" s="77"/>
      <c r="F1057" s="77"/>
      <c r="G1057" s="77"/>
      <c r="H1057" s="77"/>
      <c r="I1057" s="77"/>
      <c r="J1057" s="77"/>
      <c r="K1057" s="77"/>
      <c r="L1057" s="77"/>
      <c r="M1057" s="77"/>
      <c r="N1057" s="77"/>
      <c r="O1057" s="77"/>
      <c r="P1057" s="77"/>
      <c r="Q1057" s="77"/>
      <c r="R1057" s="77"/>
    </row>
    <row r="1058" spans="1:18">
      <c r="A1058" s="77"/>
      <c r="B1058" s="77"/>
      <c r="C1058" s="77"/>
      <c r="D1058" s="77"/>
      <c r="E1058" s="77"/>
      <c r="F1058" s="77"/>
      <c r="G1058" s="77"/>
      <c r="H1058" s="77"/>
      <c r="I1058" s="77"/>
      <c r="J1058" s="77"/>
      <c r="K1058" s="77"/>
      <c r="L1058" s="77"/>
      <c r="M1058" s="77"/>
      <c r="N1058" s="77"/>
      <c r="O1058" s="77"/>
      <c r="P1058" s="77"/>
      <c r="Q1058" s="77"/>
      <c r="R1058" s="77"/>
    </row>
    <row r="1059" spans="1:18">
      <c r="A1059" s="77"/>
      <c r="B1059" s="77"/>
      <c r="C1059" s="77"/>
      <c r="D1059" s="77"/>
      <c r="E1059" s="77"/>
      <c r="F1059" s="77"/>
      <c r="G1059" s="77"/>
      <c r="H1059" s="77"/>
      <c r="I1059" s="77"/>
      <c r="J1059" s="77"/>
      <c r="K1059" s="77"/>
      <c r="L1059" s="77"/>
      <c r="M1059" s="77"/>
      <c r="N1059" s="77"/>
      <c r="O1059" s="77"/>
      <c r="P1059" s="77"/>
      <c r="Q1059" s="77"/>
      <c r="R1059" s="77"/>
    </row>
    <row r="1060" spans="1:18">
      <c r="A1060" s="77"/>
      <c r="B1060" s="77"/>
      <c r="C1060" s="77"/>
      <c r="D1060" s="77"/>
      <c r="E1060" s="77"/>
      <c r="F1060" s="77"/>
      <c r="G1060" s="77"/>
      <c r="H1060" s="77"/>
      <c r="I1060" s="77"/>
      <c r="J1060" s="77"/>
      <c r="K1060" s="77"/>
      <c r="L1060" s="77"/>
      <c r="M1060" s="77"/>
      <c r="N1060" s="77"/>
      <c r="O1060" s="77"/>
      <c r="P1060" s="77"/>
      <c r="Q1060" s="77"/>
      <c r="R1060" s="77"/>
    </row>
    <row r="1061" spans="1:18">
      <c r="A1061" s="77"/>
      <c r="B1061" s="77"/>
      <c r="C1061" s="77"/>
      <c r="D1061" s="77"/>
      <c r="E1061" s="77"/>
      <c r="F1061" s="77"/>
      <c r="G1061" s="77"/>
      <c r="H1061" s="77"/>
      <c r="I1061" s="77"/>
      <c r="J1061" s="77"/>
      <c r="K1061" s="77"/>
      <c r="L1061" s="77"/>
      <c r="M1061" s="77"/>
      <c r="N1061" s="77"/>
      <c r="O1061" s="77"/>
      <c r="P1061" s="77"/>
      <c r="Q1061" s="77"/>
      <c r="R1061" s="77"/>
    </row>
    <row r="1062" spans="1:18">
      <c r="A1062" s="77"/>
      <c r="B1062" s="77"/>
      <c r="C1062" s="77"/>
      <c r="D1062" s="77"/>
      <c r="E1062" s="77"/>
      <c r="F1062" s="77"/>
      <c r="G1062" s="77"/>
      <c r="H1062" s="77"/>
      <c r="I1062" s="77"/>
      <c r="J1062" s="77"/>
      <c r="K1062" s="77"/>
      <c r="L1062" s="77"/>
      <c r="M1062" s="77"/>
      <c r="N1062" s="77"/>
      <c r="O1062" s="77"/>
      <c r="P1062" s="77"/>
      <c r="Q1062" s="77"/>
      <c r="R1062" s="77"/>
    </row>
    <row r="1063" spans="1:18">
      <c r="A1063" s="77"/>
      <c r="B1063" s="77"/>
      <c r="C1063" s="77"/>
      <c r="D1063" s="77"/>
      <c r="E1063" s="77"/>
      <c r="F1063" s="77"/>
      <c r="G1063" s="77"/>
      <c r="H1063" s="77"/>
      <c r="I1063" s="77"/>
      <c r="J1063" s="77"/>
      <c r="K1063" s="77"/>
      <c r="L1063" s="77"/>
      <c r="M1063" s="77"/>
      <c r="N1063" s="77"/>
      <c r="O1063" s="77"/>
      <c r="P1063" s="77"/>
      <c r="Q1063" s="77"/>
      <c r="R1063" s="77"/>
    </row>
    <row r="1064" spans="1:18">
      <c r="A1064" s="77"/>
      <c r="B1064" s="77"/>
      <c r="C1064" s="77"/>
      <c r="D1064" s="77"/>
      <c r="E1064" s="77"/>
      <c r="F1064" s="77"/>
      <c r="G1064" s="77"/>
      <c r="H1064" s="77"/>
      <c r="I1064" s="77"/>
      <c r="J1064" s="77"/>
      <c r="K1064" s="77"/>
      <c r="L1064" s="77"/>
      <c r="M1064" s="77"/>
      <c r="N1064" s="77"/>
      <c r="O1064" s="77"/>
      <c r="P1064" s="77"/>
      <c r="Q1064" s="77"/>
      <c r="R1064" s="77"/>
    </row>
    <row r="1065" spans="1:18">
      <c r="A1065" s="77"/>
      <c r="B1065" s="77"/>
      <c r="C1065" s="77"/>
      <c r="D1065" s="77"/>
      <c r="E1065" s="77"/>
      <c r="F1065" s="77"/>
      <c r="G1065" s="77"/>
      <c r="H1065" s="77"/>
      <c r="I1065" s="77"/>
      <c r="J1065" s="77"/>
      <c r="K1065" s="77"/>
      <c r="L1065" s="77"/>
      <c r="M1065" s="77"/>
      <c r="N1065" s="77"/>
      <c r="O1065" s="77"/>
      <c r="P1065" s="77"/>
      <c r="Q1065" s="77"/>
      <c r="R1065" s="77"/>
    </row>
    <row r="1066" spans="1:18">
      <c r="A1066" s="77"/>
      <c r="B1066" s="77"/>
      <c r="C1066" s="77"/>
      <c r="D1066" s="77"/>
      <c r="E1066" s="77"/>
      <c r="F1066" s="77"/>
      <c r="G1066" s="77"/>
      <c r="H1066" s="77"/>
      <c r="I1066" s="77"/>
      <c r="J1066" s="77"/>
      <c r="K1066" s="77"/>
      <c r="L1066" s="77"/>
      <c r="M1066" s="77"/>
      <c r="N1066" s="77"/>
      <c r="O1066" s="77"/>
      <c r="P1066" s="77"/>
      <c r="Q1066" s="77"/>
      <c r="R1066" s="77"/>
    </row>
    <row r="1067" spans="1:18">
      <c r="A1067" s="77"/>
      <c r="B1067" s="77"/>
      <c r="C1067" s="77"/>
      <c r="D1067" s="77"/>
      <c r="E1067" s="77"/>
      <c r="F1067" s="77"/>
      <c r="G1067" s="77"/>
      <c r="H1067" s="77"/>
      <c r="I1067" s="77"/>
      <c r="J1067" s="77"/>
      <c r="K1067" s="77"/>
      <c r="L1067" s="77"/>
      <c r="M1067" s="77"/>
      <c r="N1067" s="77"/>
      <c r="O1067" s="77"/>
      <c r="P1067" s="77"/>
      <c r="Q1067" s="77"/>
      <c r="R1067" s="77"/>
    </row>
    <row r="1068" spans="1:18">
      <c r="A1068" s="77"/>
      <c r="B1068" s="77"/>
      <c r="C1068" s="77"/>
      <c r="D1068" s="77"/>
      <c r="E1068" s="77"/>
      <c r="F1068" s="77"/>
      <c r="G1068" s="77"/>
      <c r="H1068" s="77"/>
      <c r="I1068" s="77"/>
      <c r="J1068" s="77"/>
      <c r="K1068" s="77"/>
      <c r="L1068" s="77"/>
      <c r="M1068" s="77"/>
      <c r="N1068" s="77"/>
      <c r="O1068" s="77"/>
      <c r="P1068" s="77"/>
      <c r="Q1068" s="77"/>
      <c r="R1068" s="77"/>
    </row>
    <row r="1069" spans="1:18">
      <c r="A1069" s="77"/>
      <c r="B1069" s="77"/>
      <c r="C1069" s="77"/>
      <c r="D1069" s="77"/>
      <c r="E1069" s="77"/>
      <c r="F1069" s="77"/>
      <c r="G1069" s="77"/>
      <c r="H1069" s="77"/>
      <c r="I1069" s="77"/>
      <c r="J1069" s="77"/>
      <c r="K1069" s="77"/>
      <c r="L1069" s="77"/>
      <c r="M1069" s="77"/>
      <c r="N1069" s="77"/>
      <c r="O1069" s="77"/>
      <c r="P1069" s="77"/>
      <c r="Q1069" s="77"/>
      <c r="R1069" s="77"/>
    </row>
    <row r="1070" spans="1:18">
      <c r="A1070" s="77"/>
      <c r="B1070" s="77"/>
      <c r="C1070" s="77"/>
      <c r="D1070" s="77"/>
      <c r="E1070" s="77"/>
      <c r="F1070" s="77"/>
      <c r="G1070" s="77"/>
      <c r="H1070" s="77"/>
      <c r="I1070" s="77"/>
      <c r="J1070" s="77"/>
      <c r="K1070" s="77"/>
      <c r="L1070" s="77"/>
      <c r="M1070" s="77"/>
      <c r="N1070" s="77"/>
      <c r="O1070" s="77"/>
      <c r="P1070" s="77"/>
      <c r="Q1070" s="77"/>
      <c r="R1070" s="77"/>
    </row>
    <row r="1071" spans="1:18">
      <c r="A1071" s="77"/>
      <c r="B1071" s="77"/>
      <c r="C1071" s="77"/>
      <c r="D1071" s="77"/>
      <c r="E1071" s="77"/>
      <c r="F1071" s="77"/>
      <c r="G1071" s="77"/>
      <c r="H1071" s="77"/>
      <c r="I1071" s="77"/>
      <c r="J1071" s="77"/>
      <c r="K1071" s="77"/>
      <c r="L1071" s="77"/>
      <c r="M1071" s="77"/>
      <c r="N1071" s="77"/>
      <c r="O1071" s="77"/>
      <c r="P1071" s="77"/>
      <c r="Q1071" s="77"/>
      <c r="R1071" s="77"/>
    </row>
    <row r="1072" spans="1:18">
      <c r="A1072" s="77"/>
      <c r="B1072" s="77"/>
      <c r="C1072" s="77"/>
      <c r="D1072" s="77"/>
      <c r="E1072" s="77"/>
      <c r="F1072" s="77"/>
      <c r="G1072" s="77"/>
      <c r="H1072" s="77"/>
      <c r="I1072" s="77"/>
      <c r="J1072" s="77"/>
      <c r="K1072" s="77"/>
      <c r="L1072" s="77"/>
      <c r="M1072" s="77"/>
      <c r="N1072" s="77"/>
      <c r="O1072" s="77"/>
      <c r="P1072" s="77"/>
      <c r="Q1072" s="77"/>
      <c r="R1072" s="77"/>
    </row>
    <row r="1073" spans="1:18">
      <c r="A1073" s="77"/>
      <c r="B1073" s="77"/>
      <c r="C1073" s="77"/>
      <c r="D1073" s="77"/>
      <c r="E1073" s="77"/>
      <c r="F1073" s="77"/>
      <c r="G1073" s="77"/>
      <c r="H1073" s="77"/>
      <c r="I1073" s="77"/>
      <c r="J1073" s="77"/>
      <c r="K1073" s="77"/>
      <c r="L1073" s="77"/>
      <c r="M1073" s="77"/>
      <c r="N1073" s="77"/>
      <c r="O1073" s="77"/>
      <c r="P1073" s="77"/>
      <c r="Q1073" s="77"/>
      <c r="R1073" s="77"/>
    </row>
    <row r="1074" spans="1:18">
      <c r="A1074" s="77"/>
      <c r="B1074" s="77"/>
      <c r="C1074" s="77"/>
      <c r="D1074" s="77"/>
      <c r="E1074" s="77"/>
      <c r="F1074" s="77"/>
      <c r="G1074" s="77"/>
      <c r="H1074" s="77"/>
      <c r="I1074" s="77"/>
      <c r="J1074" s="77"/>
      <c r="K1074" s="77"/>
      <c r="L1074" s="77"/>
      <c r="M1074" s="77"/>
      <c r="N1074" s="77"/>
      <c r="O1074" s="77"/>
      <c r="P1074" s="77"/>
      <c r="Q1074" s="77"/>
      <c r="R1074" s="77"/>
    </row>
    <row r="1075" spans="1:18">
      <c r="A1075" s="77"/>
      <c r="B1075" s="77"/>
      <c r="C1075" s="77"/>
      <c r="D1075" s="77"/>
      <c r="E1075" s="77"/>
      <c r="F1075" s="77"/>
      <c r="G1075" s="77"/>
      <c r="H1075" s="77"/>
      <c r="I1075" s="77"/>
      <c r="J1075" s="77"/>
      <c r="K1075" s="77"/>
      <c r="L1075" s="77"/>
      <c r="M1075" s="77"/>
      <c r="N1075" s="77"/>
      <c r="O1075" s="77"/>
      <c r="P1075" s="77"/>
      <c r="Q1075" s="77"/>
      <c r="R1075" s="77"/>
    </row>
    <row r="1076" spans="1:18">
      <c r="A1076" s="77"/>
      <c r="B1076" s="77"/>
      <c r="C1076" s="77"/>
      <c r="D1076" s="77"/>
      <c r="E1076" s="77"/>
      <c r="F1076" s="77"/>
      <c r="G1076" s="77"/>
      <c r="H1076" s="77"/>
      <c r="I1076" s="77"/>
      <c r="J1076" s="77"/>
      <c r="K1076" s="77"/>
      <c r="L1076" s="77"/>
      <c r="M1076" s="77"/>
      <c r="N1076" s="77"/>
      <c r="O1076" s="77"/>
      <c r="P1076" s="77"/>
      <c r="Q1076" s="77"/>
      <c r="R1076" s="77"/>
    </row>
    <row r="1077" spans="1:18">
      <c r="A1077" s="77"/>
      <c r="B1077" s="77"/>
      <c r="C1077" s="77"/>
      <c r="D1077" s="77"/>
      <c r="E1077" s="77"/>
      <c r="F1077" s="77"/>
      <c r="G1077" s="77"/>
      <c r="H1077" s="77"/>
      <c r="I1077" s="77"/>
      <c r="J1077" s="77"/>
      <c r="K1077" s="77"/>
      <c r="L1077" s="77"/>
      <c r="M1077" s="77"/>
      <c r="N1077" s="77"/>
      <c r="O1077" s="77"/>
      <c r="P1077" s="77"/>
      <c r="Q1077" s="77"/>
      <c r="R1077" s="77"/>
    </row>
    <row r="1078" spans="1:18">
      <c r="A1078" s="77"/>
      <c r="B1078" s="77"/>
      <c r="C1078" s="77"/>
      <c r="D1078" s="77"/>
      <c r="E1078" s="77"/>
      <c r="F1078" s="77"/>
      <c r="G1078" s="77"/>
      <c r="H1078" s="77"/>
      <c r="I1078" s="77"/>
      <c r="J1078" s="77"/>
      <c r="K1078" s="77"/>
      <c r="L1078" s="77"/>
      <c r="M1078" s="77"/>
      <c r="N1078" s="77"/>
      <c r="O1078" s="77"/>
      <c r="P1078" s="77"/>
      <c r="Q1078" s="77"/>
      <c r="R1078" s="77"/>
    </row>
    <row r="1079" spans="1:18">
      <c r="A1079" s="77"/>
      <c r="B1079" s="77"/>
      <c r="C1079" s="77"/>
      <c r="D1079" s="77"/>
      <c r="E1079" s="77"/>
      <c r="F1079" s="77"/>
      <c r="G1079" s="77"/>
      <c r="H1079" s="77"/>
      <c r="I1079" s="77"/>
      <c r="J1079" s="77"/>
      <c r="K1079" s="77"/>
      <c r="L1079" s="77"/>
      <c r="M1079" s="77"/>
      <c r="N1079" s="77"/>
      <c r="O1079" s="77"/>
      <c r="P1079" s="77"/>
      <c r="Q1079" s="77"/>
      <c r="R1079" s="77"/>
    </row>
    <row r="1080" spans="1:18">
      <c r="A1080" s="77"/>
      <c r="B1080" s="77"/>
      <c r="C1080" s="77"/>
      <c r="D1080" s="77"/>
      <c r="E1080" s="77"/>
      <c r="F1080" s="77"/>
      <c r="G1080" s="77"/>
      <c r="H1080" s="77"/>
      <c r="I1080" s="77"/>
      <c r="J1080" s="77"/>
      <c r="K1080" s="77"/>
      <c r="L1080" s="77"/>
      <c r="M1080" s="77"/>
      <c r="N1080" s="77"/>
      <c r="O1080" s="77"/>
      <c r="P1080" s="77"/>
      <c r="Q1080" s="77"/>
      <c r="R1080" s="77"/>
    </row>
    <row r="1081" spans="1:18">
      <c r="A1081" s="77"/>
      <c r="B1081" s="77"/>
      <c r="C1081" s="77"/>
      <c r="D1081" s="77"/>
      <c r="E1081" s="77"/>
      <c r="F1081" s="77"/>
      <c r="G1081" s="77"/>
      <c r="H1081" s="77"/>
      <c r="I1081" s="77"/>
      <c r="J1081" s="77"/>
      <c r="K1081" s="77"/>
      <c r="L1081" s="77"/>
      <c r="M1081" s="77"/>
      <c r="N1081" s="77"/>
      <c r="O1081" s="77"/>
      <c r="P1081" s="77"/>
      <c r="Q1081" s="77"/>
      <c r="R1081" s="77"/>
    </row>
    <row r="1082" spans="1:18">
      <c r="A1082" s="77"/>
      <c r="B1082" s="77"/>
      <c r="C1082" s="77"/>
      <c r="D1082" s="77"/>
      <c r="E1082" s="77"/>
      <c r="F1082" s="77"/>
      <c r="G1082" s="77"/>
      <c r="H1082" s="77"/>
      <c r="I1082" s="77"/>
      <c r="J1082" s="77"/>
      <c r="K1082" s="77"/>
      <c r="L1082" s="77"/>
      <c r="M1082" s="77"/>
      <c r="N1082" s="77"/>
      <c r="O1082" s="77"/>
      <c r="P1082" s="77"/>
      <c r="Q1082" s="77"/>
      <c r="R1082" s="77"/>
    </row>
    <row r="1083" spans="1:18">
      <c r="A1083" s="77"/>
      <c r="B1083" s="77"/>
      <c r="C1083" s="77"/>
      <c r="D1083" s="77"/>
      <c r="E1083" s="77"/>
      <c r="F1083" s="77"/>
      <c r="G1083" s="77"/>
      <c r="H1083" s="77"/>
      <c r="I1083" s="77"/>
      <c r="J1083" s="77"/>
      <c r="K1083" s="77"/>
      <c r="L1083" s="77"/>
      <c r="M1083" s="77"/>
      <c r="N1083" s="77"/>
      <c r="O1083" s="77"/>
      <c r="P1083" s="77"/>
      <c r="Q1083" s="77"/>
      <c r="R1083" s="77"/>
    </row>
    <row r="1084" spans="1:18">
      <c r="A1084" s="77"/>
      <c r="B1084" s="77"/>
      <c r="C1084" s="77"/>
      <c r="D1084" s="77"/>
      <c r="E1084" s="77"/>
      <c r="F1084" s="77"/>
      <c r="G1084" s="77"/>
      <c r="H1084" s="77"/>
      <c r="I1084" s="77"/>
      <c r="J1084" s="77"/>
      <c r="K1084" s="77"/>
      <c r="L1084" s="77"/>
      <c r="M1084" s="77"/>
      <c r="N1084" s="77"/>
      <c r="O1084" s="77"/>
      <c r="P1084" s="77"/>
      <c r="Q1084" s="77"/>
      <c r="R1084" s="77"/>
    </row>
    <row r="1085" spans="1:18">
      <c r="A1085" s="77"/>
      <c r="B1085" s="77"/>
      <c r="C1085" s="77"/>
      <c r="D1085" s="77"/>
      <c r="E1085" s="77"/>
      <c r="F1085" s="77"/>
      <c r="G1085" s="77"/>
      <c r="H1085" s="77"/>
      <c r="I1085" s="77"/>
      <c r="J1085" s="77"/>
      <c r="K1085" s="77"/>
      <c r="L1085" s="77"/>
      <c r="M1085" s="77"/>
      <c r="N1085" s="77"/>
      <c r="O1085" s="77"/>
      <c r="P1085" s="77"/>
      <c r="Q1085" s="77"/>
      <c r="R1085" s="77"/>
    </row>
    <row r="1086" spans="1:18">
      <c r="A1086" s="77"/>
      <c r="B1086" s="77"/>
      <c r="C1086" s="77"/>
      <c r="D1086" s="77"/>
      <c r="E1086" s="77"/>
      <c r="F1086" s="77"/>
      <c r="G1086" s="77"/>
      <c r="H1086" s="77"/>
      <c r="I1086" s="77"/>
      <c r="J1086" s="77"/>
      <c r="K1086" s="77"/>
      <c r="L1086" s="77"/>
      <c r="M1086" s="77"/>
      <c r="N1086" s="77"/>
      <c r="O1086" s="77"/>
      <c r="P1086" s="77"/>
      <c r="Q1086" s="77"/>
      <c r="R1086" s="77"/>
    </row>
    <row r="1087" spans="1:18">
      <c r="A1087" s="77"/>
      <c r="B1087" s="77"/>
      <c r="C1087" s="77"/>
      <c r="D1087" s="77"/>
      <c r="E1087" s="77"/>
      <c r="F1087" s="77"/>
      <c r="G1087" s="77"/>
      <c r="H1087" s="77"/>
      <c r="I1087" s="77"/>
      <c r="J1087" s="77"/>
      <c r="K1087" s="77"/>
      <c r="L1087" s="77"/>
      <c r="M1087" s="77"/>
      <c r="N1087" s="77"/>
      <c r="O1087" s="77"/>
      <c r="P1087" s="77"/>
      <c r="Q1087" s="77"/>
      <c r="R1087" s="77"/>
    </row>
    <row r="1088" spans="1:18">
      <c r="A1088" s="77"/>
      <c r="B1088" s="77"/>
      <c r="C1088" s="77"/>
      <c r="D1088" s="77"/>
      <c r="E1088" s="77"/>
      <c r="F1088" s="77"/>
      <c r="G1088" s="77"/>
      <c r="H1088" s="77"/>
      <c r="I1088" s="77"/>
      <c r="J1088" s="77"/>
      <c r="K1088" s="77"/>
      <c r="L1088" s="77"/>
      <c r="M1088" s="77"/>
      <c r="N1088" s="77"/>
      <c r="O1088" s="77"/>
      <c r="P1088" s="77"/>
      <c r="Q1088" s="77"/>
      <c r="R1088" s="77"/>
    </row>
    <row r="1089" spans="1:18">
      <c r="A1089" s="77"/>
      <c r="B1089" s="77"/>
      <c r="C1089" s="77"/>
      <c r="D1089" s="77"/>
      <c r="E1089" s="77"/>
      <c r="F1089" s="77"/>
      <c r="G1089" s="77"/>
      <c r="H1089" s="77"/>
      <c r="I1089" s="77"/>
      <c r="J1089" s="77"/>
      <c r="K1089" s="77"/>
      <c r="L1089" s="77"/>
      <c r="M1089" s="77"/>
      <c r="N1089" s="77"/>
      <c r="O1089" s="77"/>
      <c r="P1089" s="77"/>
      <c r="Q1089" s="77"/>
      <c r="R1089" s="77"/>
    </row>
    <row r="1090" spans="1:18">
      <c r="A1090" s="77"/>
      <c r="B1090" s="77"/>
      <c r="C1090" s="77"/>
      <c r="D1090" s="77"/>
      <c r="E1090" s="77"/>
      <c r="F1090" s="77"/>
      <c r="G1090" s="77"/>
      <c r="H1090" s="77"/>
      <c r="I1090" s="77"/>
      <c r="J1090" s="77"/>
      <c r="K1090" s="77"/>
      <c r="L1090" s="77"/>
      <c r="M1090" s="77"/>
      <c r="N1090" s="77"/>
      <c r="O1090" s="77"/>
      <c r="P1090" s="77"/>
      <c r="Q1090" s="77"/>
      <c r="R1090" s="77"/>
    </row>
    <row r="1091" spans="1:18">
      <c r="A1091" s="77"/>
      <c r="B1091" s="77"/>
      <c r="C1091" s="77"/>
      <c r="D1091" s="77"/>
      <c r="E1091" s="77"/>
      <c r="F1091" s="77"/>
      <c r="G1091" s="77"/>
      <c r="H1091" s="77"/>
      <c r="I1091" s="77"/>
      <c r="J1091" s="77"/>
      <c r="K1091" s="77"/>
      <c r="L1091" s="77"/>
      <c r="M1091" s="77"/>
      <c r="N1091" s="77"/>
      <c r="O1091" s="77"/>
      <c r="P1091" s="77"/>
      <c r="Q1091" s="77"/>
      <c r="R1091" s="77"/>
    </row>
    <row r="1092" spans="1:18">
      <c r="A1092" s="77"/>
      <c r="B1092" s="77"/>
      <c r="C1092" s="77"/>
      <c r="D1092" s="77"/>
      <c r="E1092" s="77"/>
      <c r="F1092" s="77"/>
      <c r="G1092" s="77"/>
      <c r="H1092" s="77"/>
      <c r="I1092" s="77"/>
      <c r="J1092" s="77"/>
      <c r="K1092" s="77"/>
      <c r="L1092" s="77"/>
      <c r="M1092" s="77"/>
      <c r="N1092" s="77"/>
      <c r="O1092" s="77"/>
      <c r="P1092" s="77"/>
      <c r="Q1092" s="77"/>
      <c r="R1092" s="77"/>
    </row>
    <row r="1093" spans="1:18">
      <c r="A1093" s="77"/>
      <c r="B1093" s="77"/>
      <c r="C1093" s="77"/>
      <c r="D1093" s="77"/>
      <c r="E1093" s="77"/>
      <c r="F1093" s="77"/>
      <c r="G1093" s="77"/>
      <c r="H1093" s="77"/>
      <c r="I1093" s="77"/>
      <c r="J1093" s="77"/>
      <c r="K1093" s="77"/>
      <c r="L1093" s="77"/>
      <c r="M1093" s="77"/>
      <c r="N1093" s="77"/>
      <c r="O1093" s="77"/>
      <c r="P1093" s="77"/>
      <c r="Q1093" s="77"/>
      <c r="R1093" s="77"/>
    </row>
    <row r="1094" spans="1:18">
      <c r="A1094" s="77"/>
      <c r="B1094" s="77"/>
      <c r="C1094" s="77"/>
      <c r="D1094" s="77"/>
      <c r="E1094" s="77"/>
      <c r="F1094" s="77"/>
      <c r="G1094" s="77"/>
      <c r="H1094" s="77"/>
      <c r="I1094" s="77"/>
      <c r="J1094" s="77"/>
      <c r="K1094" s="77"/>
      <c r="L1094" s="77"/>
      <c r="M1094" s="77"/>
      <c r="N1094" s="77"/>
      <c r="O1094" s="77"/>
      <c r="P1094" s="77"/>
      <c r="Q1094" s="77"/>
      <c r="R1094" s="77"/>
    </row>
    <row r="1095" spans="1:18">
      <c r="A1095" s="77"/>
      <c r="B1095" s="77"/>
      <c r="C1095" s="77"/>
      <c r="D1095" s="77"/>
      <c r="E1095" s="77"/>
      <c r="F1095" s="77"/>
      <c r="G1095" s="77"/>
      <c r="H1095" s="77"/>
      <c r="I1095" s="77"/>
      <c r="J1095" s="77"/>
      <c r="K1095" s="77"/>
      <c r="L1095" s="77"/>
      <c r="M1095" s="77"/>
      <c r="N1095" s="77"/>
      <c r="O1095" s="77"/>
      <c r="P1095" s="77"/>
      <c r="Q1095" s="77"/>
      <c r="R1095" s="77"/>
    </row>
    <row r="1096" spans="1:18">
      <c r="A1096" s="77"/>
      <c r="B1096" s="77"/>
      <c r="C1096" s="77"/>
      <c r="D1096" s="77"/>
      <c r="E1096" s="77"/>
      <c r="F1096" s="77"/>
      <c r="G1096" s="77"/>
      <c r="H1096" s="77"/>
      <c r="I1096" s="77"/>
      <c r="J1096" s="77"/>
      <c r="K1096" s="77"/>
      <c r="L1096" s="77"/>
      <c r="M1096" s="77"/>
      <c r="N1096" s="77"/>
      <c r="O1096" s="77"/>
      <c r="P1096" s="77"/>
      <c r="Q1096" s="77"/>
      <c r="R1096" s="77"/>
    </row>
    <row r="1097" spans="1:18">
      <c r="A1097" s="77"/>
      <c r="B1097" s="77"/>
      <c r="C1097" s="77"/>
      <c r="D1097" s="77"/>
      <c r="E1097" s="77"/>
      <c r="F1097" s="77"/>
      <c r="G1097" s="77"/>
      <c r="H1097" s="77"/>
      <c r="I1097" s="77"/>
      <c r="J1097" s="77"/>
      <c r="K1097" s="77"/>
      <c r="L1097" s="77"/>
      <c r="M1097" s="77"/>
      <c r="N1097" s="77"/>
      <c r="O1097" s="77"/>
      <c r="P1097" s="77"/>
      <c r="Q1097" s="77"/>
      <c r="R1097" s="77"/>
    </row>
    <row r="1098" spans="1:18">
      <c r="A1098" s="77"/>
      <c r="B1098" s="77"/>
      <c r="C1098" s="77"/>
      <c r="D1098" s="77"/>
      <c r="E1098" s="77"/>
      <c r="F1098" s="77"/>
      <c r="G1098" s="77"/>
      <c r="H1098" s="77"/>
      <c r="I1098" s="77"/>
      <c r="J1098" s="77"/>
      <c r="K1098" s="77"/>
      <c r="L1098" s="77"/>
      <c r="M1098" s="77"/>
      <c r="N1098" s="77"/>
      <c r="O1098" s="77"/>
      <c r="P1098" s="77"/>
      <c r="Q1098" s="77"/>
      <c r="R1098" s="77"/>
    </row>
    <row r="1099" spans="1:18">
      <c r="A1099" s="77"/>
      <c r="B1099" s="77"/>
      <c r="C1099" s="77"/>
      <c r="D1099" s="77"/>
      <c r="E1099" s="77"/>
      <c r="F1099" s="77"/>
      <c r="G1099" s="77"/>
      <c r="H1099" s="77"/>
      <c r="I1099" s="77"/>
      <c r="J1099" s="77"/>
      <c r="K1099" s="77"/>
      <c r="L1099" s="77"/>
      <c r="M1099" s="77"/>
      <c r="N1099" s="77"/>
      <c r="O1099" s="77"/>
      <c r="P1099" s="77"/>
      <c r="Q1099" s="77"/>
      <c r="R1099" s="77"/>
    </row>
    <row r="1100" spans="1:18">
      <c r="A1100" s="77"/>
      <c r="B1100" s="77"/>
      <c r="C1100" s="77"/>
      <c r="D1100" s="77"/>
      <c r="E1100" s="77"/>
      <c r="F1100" s="77"/>
      <c r="G1100" s="77"/>
      <c r="H1100" s="77"/>
      <c r="I1100" s="77"/>
      <c r="J1100" s="77"/>
      <c r="K1100" s="77"/>
      <c r="L1100" s="77"/>
      <c r="M1100" s="77"/>
      <c r="N1100" s="77"/>
      <c r="O1100" s="77"/>
      <c r="P1100" s="77"/>
      <c r="Q1100" s="77"/>
      <c r="R1100" s="77"/>
    </row>
    <row r="1101" spans="1:18">
      <c r="A1101" s="77"/>
      <c r="B1101" s="77"/>
      <c r="C1101" s="77"/>
      <c r="D1101" s="77"/>
      <c r="E1101" s="77"/>
      <c r="F1101" s="77"/>
      <c r="G1101" s="77"/>
      <c r="H1101" s="77"/>
      <c r="I1101" s="77"/>
      <c r="J1101" s="77"/>
      <c r="K1101" s="77"/>
      <c r="L1101" s="77"/>
      <c r="M1101" s="77"/>
      <c r="N1101" s="77"/>
      <c r="O1101" s="77"/>
      <c r="P1101" s="77"/>
      <c r="Q1101" s="77"/>
      <c r="R1101" s="77"/>
    </row>
    <row r="1102" spans="1:18">
      <c r="A1102" s="77"/>
      <c r="B1102" s="77"/>
      <c r="C1102" s="77"/>
      <c r="D1102" s="77"/>
      <c r="E1102" s="77"/>
      <c r="F1102" s="77"/>
      <c r="G1102" s="77"/>
      <c r="H1102" s="77"/>
      <c r="I1102" s="77"/>
      <c r="J1102" s="77"/>
      <c r="K1102" s="77"/>
      <c r="L1102" s="77"/>
      <c r="M1102" s="77"/>
      <c r="N1102" s="77"/>
      <c r="O1102" s="77"/>
      <c r="P1102" s="77"/>
      <c r="Q1102" s="77"/>
      <c r="R1102" s="77"/>
    </row>
    <row r="1103" spans="1:18">
      <c r="A1103" s="77"/>
      <c r="B1103" s="77"/>
      <c r="C1103" s="77"/>
      <c r="D1103" s="77"/>
      <c r="E1103" s="77"/>
      <c r="F1103" s="77"/>
      <c r="G1103" s="77"/>
      <c r="H1103" s="77"/>
      <c r="I1103" s="77"/>
      <c r="J1103" s="77"/>
      <c r="K1103" s="77"/>
      <c r="L1103" s="77"/>
      <c r="M1103" s="77"/>
      <c r="N1103" s="77"/>
      <c r="O1103" s="77"/>
      <c r="P1103" s="77"/>
      <c r="Q1103" s="77"/>
      <c r="R1103" s="77"/>
    </row>
    <row r="1104" spans="1:18">
      <c r="A1104" s="77"/>
      <c r="B1104" s="77"/>
      <c r="C1104" s="77"/>
      <c r="D1104" s="77"/>
      <c r="E1104" s="77"/>
      <c r="F1104" s="77"/>
      <c r="G1104" s="77"/>
      <c r="H1104" s="77"/>
      <c r="I1104" s="77"/>
      <c r="J1104" s="77"/>
      <c r="K1104" s="77"/>
      <c r="L1104" s="77"/>
      <c r="M1104" s="77"/>
      <c r="N1104" s="77"/>
      <c r="O1104" s="77"/>
      <c r="P1104" s="77"/>
      <c r="Q1104" s="77"/>
      <c r="R1104" s="77"/>
    </row>
    <row r="1105" spans="1:18">
      <c r="A1105" s="77"/>
      <c r="B1105" s="77"/>
      <c r="C1105" s="77"/>
      <c r="D1105" s="77"/>
      <c r="E1105" s="77"/>
      <c r="F1105" s="77"/>
      <c r="G1105" s="77"/>
      <c r="H1105" s="77"/>
      <c r="I1105" s="77"/>
      <c r="J1105" s="77"/>
      <c r="K1105" s="77"/>
      <c r="L1105" s="77"/>
      <c r="M1105" s="77"/>
      <c r="N1105" s="77"/>
      <c r="O1105" s="77"/>
      <c r="P1105" s="77"/>
      <c r="Q1105" s="77"/>
      <c r="R1105" s="77"/>
    </row>
    <row r="1106" spans="1:18">
      <c r="A1106" s="77"/>
      <c r="B1106" s="77"/>
      <c r="C1106" s="77"/>
      <c r="D1106" s="77"/>
      <c r="E1106" s="77"/>
      <c r="F1106" s="77"/>
      <c r="G1106" s="77"/>
      <c r="H1106" s="77"/>
      <c r="I1106" s="77"/>
      <c r="J1106" s="77"/>
      <c r="K1106" s="77"/>
      <c r="L1106" s="77"/>
      <c r="M1106" s="77"/>
      <c r="N1106" s="77"/>
      <c r="O1106" s="77"/>
      <c r="P1106" s="77"/>
      <c r="Q1106" s="77"/>
      <c r="R1106" s="77"/>
    </row>
    <row r="1107" spans="1:18">
      <c r="A1107" s="77"/>
      <c r="B1107" s="77"/>
      <c r="C1107" s="77"/>
      <c r="D1107" s="77"/>
      <c r="E1107" s="77"/>
      <c r="F1107" s="77"/>
      <c r="G1107" s="77"/>
      <c r="H1107" s="77"/>
      <c r="I1107" s="77"/>
      <c r="J1107" s="77"/>
      <c r="K1107" s="77"/>
      <c r="L1107" s="77"/>
      <c r="M1107" s="77"/>
      <c r="N1107" s="77"/>
      <c r="O1107" s="77"/>
      <c r="P1107" s="77"/>
      <c r="Q1107" s="77"/>
      <c r="R1107" s="77"/>
    </row>
    <row r="1108" spans="1:18">
      <c r="A1108" s="77"/>
      <c r="B1108" s="77"/>
      <c r="C1108" s="77"/>
      <c r="D1108" s="77"/>
      <c r="E1108" s="77"/>
      <c r="F1108" s="77"/>
      <c r="G1108" s="77"/>
      <c r="H1108" s="77"/>
      <c r="I1108" s="77"/>
      <c r="J1108" s="77"/>
      <c r="K1108" s="77"/>
      <c r="L1108" s="77"/>
      <c r="M1108" s="77"/>
      <c r="N1108" s="77"/>
      <c r="O1108" s="77"/>
      <c r="P1108" s="77"/>
      <c r="Q1108" s="77"/>
      <c r="R1108" s="77"/>
    </row>
    <row r="1109" spans="1:18">
      <c r="A1109" s="77"/>
      <c r="B1109" s="77"/>
      <c r="C1109" s="77"/>
      <c r="D1109" s="77"/>
      <c r="E1109" s="77"/>
      <c r="F1109" s="77"/>
      <c r="G1109" s="77"/>
      <c r="H1109" s="77"/>
      <c r="I1109" s="77"/>
      <c r="J1109" s="77"/>
      <c r="K1109" s="77"/>
      <c r="L1109" s="77"/>
      <c r="M1109" s="77"/>
      <c r="N1109" s="77"/>
      <c r="O1109" s="77"/>
      <c r="P1109" s="77"/>
      <c r="Q1109" s="77"/>
      <c r="R1109" s="77"/>
    </row>
    <row r="1110" spans="1:18">
      <c r="A1110" s="77"/>
      <c r="B1110" s="77"/>
      <c r="C1110" s="77"/>
      <c r="D1110" s="77"/>
      <c r="E1110" s="77"/>
      <c r="F1110" s="77"/>
      <c r="G1110" s="77"/>
      <c r="H1110" s="77"/>
      <c r="I1110" s="77"/>
      <c r="J1110" s="77"/>
      <c r="K1110" s="77"/>
      <c r="L1110" s="77"/>
      <c r="M1110" s="77"/>
      <c r="N1110" s="77"/>
      <c r="O1110" s="77"/>
      <c r="P1110" s="77"/>
      <c r="Q1110" s="77"/>
      <c r="R1110" s="77"/>
    </row>
    <row r="1111" spans="1:18">
      <c r="A1111" s="77"/>
      <c r="B1111" s="77"/>
      <c r="C1111" s="77"/>
      <c r="D1111" s="77"/>
      <c r="E1111" s="77"/>
      <c r="F1111" s="77"/>
      <c r="G1111" s="77"/>
      <c r="H1111" s="77"/>
      <c r="I1111" s="77"/>
      <c r="J1111" s="77"/>
      <c r="K1111" s="77"/>
      <c r="L1111" s="77"/>
      <c r="M1111" s="77"/>
      <c r="N1111" s="77"/>
      <c r="O1111" s="77"/>
      <c r="P1111" s="77"/>
      <c r="Q1111" s="77"/>
      <c r="R1111" s="77"/>
    </row>
    <row r="1112" spans="1:18">
      <c r="A1112" s="77"/>
      <c r="B1112" s="77"/>
      <c r="C1112" s="77"/>
      <c r="D1112" s="77"/>
      <c r="E1112" s="77"/>
      <c r="F1112" s="77"/>
      <c r="G1112" s="77"/>
      <c r="H1112" s="77"/>
      <c r="I1112" s="77"/>
      <c r="J1112" s="77"/>
      <c r="K1112" s="77"/>
      <c r="L1112" s="77"/>
      <c r="M1112" s="77"/>
      <c r="N1112" s="77"/>
      <c r="O1112" s="77"/>
      <c r="P1112" s="77"/>
      <c r="Q1112" s="77"/>
      <c r="R1112" s="77"/>
    </row>
    <row r="1113" spans="1:18">
      <c r="A1113" s="77"/>
      <c r="B1113" s="77"/>
      <c r="C1113" s="77"/>
      <c r="D1113" s="77"/>
      <c r="E1113" s="77"/>
      <c r="F1113" s="77"/>
      <c r="G1113" s="77"/>
      <c r="H1113" s="77"/>
      <c r="I1113" s="77"/>
      <c r="J1113" s="77"/>
      <c r="K1113" s="77"/>
      <c r="L1113" s="77"/>
      <c r="M1113" s="77"/>
      <c r="N1113" s="77"/>
      <c r="O1113" s="77"/>
      <c r="P1113" s="77"/>
      <c r="Q1113" s="77"/>
      <c r="R1113" s="77"/>
    </row>
    <row r="1114" spans="1:18">
      <c r="A1114" s="77"/>
      <c r="B1114" s="77"/>
      <c r="C1114" s="77"/>
      <c r="D1114" s="77"/>
      <c r="E1114" s="77"/>
      <c r="F1114" s="77"/>
      <c r="G1114" s="77"/>
      <c r="H1114" s="77"/>
      <c r="I1114" s="77"/>
      <c r="J1114" s="77"/>
      <c r="K1114" s="77"/>
      <c r="L1114" s="77"/>
      <c r="M1114" s="77"/>
      <c r="N1114" s="77"/>
      <c r="O1114" s="77"/>
      <c r="P1114" s="77"/>
      <c r="Q1114" s="77"/>
      <c r="R1114" s="77"/>
    </row>
    <row r="1115" spans="1:18">
      <c r="A1115" s="77"/>
      <c r="B1115" s="77"/>
      <c r="C1115" s="77"/>
      <c r="D1115" s="77"/>
      <c r="E1115" s="77"/>
      <c r="F1115" s="77"/>
      <c r="G1115" s="77"/>
      <c r="H1115" s="77"/>
      <c r="I1115" s="77"/>
      <c r="J1115" s="77"/>
      <c r="K1115" s="77"/>
      <c r="L1115" s="77"/>
      <c r="M1115" s="77"/>
      <c r="N1115" s="77"/>
      <c r="O1115" s="77"/>
      <c r="P1115" s="77"/>
      <c r="Q1115" s="77"/>
      <c r="R1115" s="77"/>
    </row>
    <row r="1116" spans="1:18">
      <c r="A1116" s="77"/>
      <c r="B1116" s="77"/>
      <c r="C1116" s="77"/>
      <c r="D1116" s="77"/>
      <c r="E1116" s="77"/>
      <c r="F1116" s="77"/>
      <c r="G1116" s="77"/>
      <c r="H1116" s="77"/>
      <c r="I1116" s="77"/>
      <c r="J1116" s="77"/>
      <c r="K1116" s="77"/>
      <c r="L1116" s="77"/>
      <c r="M1116" s="77"/>
      <c r="N1116" s="77"/>
      <c r="O1116" s="77"/>
      <c r="P1116" s="77"/>
      <c r="Q1116" s="77"/>
      <c r="R1116" s="77"/>
    </row>
    <row r="1117" spans="1:18">
      <c r="A1117" s="77"/>
      <c r="B1117" s="77"/>
      <c r="C1117" s="77"/>
      <c r="D1117" s="77"/>
      <c r="E1117" s="77"/>
      <c r="F1117" s="77"/>
      <c r="G1117" s="77"/>
      <c r="H1117" s="77"/>
      <c r="I1117" s="77"/>
      <c r="J1117" s="77"/>
      <c r="K1117" s="77"/>
      <c r="L1117" s="77"/>
      <c r="M1117" s="77"/>
      <c r="N1117" s="77"/>
      <c r="O1117" s="77"/>
      <c r="P1117" s="77"/>
      <c r="Q1117" s="77"/>
      <c r="R1117" s="77"/>
    </row>
    <row r="1118" spans="1:18">
      <c r="A1118" s="77"/>
      <c r="B1118" s="77"/>
      <c r="C1118" s="77"/>
      <c r="D1118" s="77"/>
      <c r="E1118" s="77"/>
      <c r="F1118" s="77"/>
      <c r="G1118" s="77"/>
      <c r="H1118" s="77"/>
      <c r="I1118" s="77"/>
      <c r="J1118" s="77"/>
      <c r="K1118" s="77"/>
      <c r="L1118" s="77"/>
      <c r="M1118" s="77"/>
      <c r="N1118" s="77"/>
      <c r="O1118" s="77"/>
      <c r="P1118" s="77"/>
      <c r="Q1118" s="77"/>
      <c r="R1118" s="77"/>
    </row>
    <row r="1119" spans="1:18">
      <c r="A1119" s="77"/>
      <c r="B1119" s="77"/>
      <c r="C1119" s="77"/>
      <c r="D1119" s="77"/>
      <c r="E1119" s="77"/>
      <c r="F1119" s="77"/>
      <c r="G1119" s="77"/>
      <c r="H1119" s="77"/>
      <c r="I1119" s="77"/>
      <c r="J1119" s="77"/>
      <c r="K1119" s="77"/>
      <c r="L1119" s="77"/>
      <c r="M1119" s="77"/>
      <c r="N1119" s="77"/>
      <c r="O1119" s="77"/>
      <c r="P1119" s="77"/>
      <c r="Q1119" s="77"/>
      <c r="R1119" s="77"/>
    </row>
    <row r="1120" spans="1:18">
      <c r="A1120" s="77"/>
      <c r="B1120" s="77"/>
      <c r="C1120" s="77"/>
      <c r="D1120" s="77"/>
      <c r="E1120" s="77"/>
      <c r="F1120" s="77"/>
      <c r="G1120" s="77"/>
      <c r="H1120" s="77"/>
      <c r="I1120" s="77"/>
      <c r="J1120" s="77"/>
      <c r="K1120" s="77"/>
      <c r="L1120" s="77"/>
      <c r="M1120" s="77"/>
      <c r="N1120" s="77"/>
      <c r="O1120" s="77"/>
      <c r="P1120" s="77"/>
      <c r="Q1120" s="77"/>
      <c r="R1120" s="77"/>
    </row>
    <row r="1121" spans="1:18">
      <c r="A1121" s="77"/>
      <c r="B1121" s="77"/>
      <c r="C1121" s="77"/>
      <c r="D1121" s="77"/>
      <c r="E1121" s="77"/>
      <c r="F1121" s="77"/>
      <c r="G1121" s="77"/>
      <c r="H1121" s="77"/>
      <c r="I1121" s="77"/>
      <c r="J1121" s="77"/>
      <c r="K1121" s="77"/>
      <c r="L1121" s="77"/>
      <c r="M1121" s="77"/>
      <c r="N1121" s="77"/>
      <c r="O1121" s="77"/>
      <c r="P1121" s="77"/>
      <c r="Q1121" s="77"/>
      <c r="R1121" s="77"/>
    </row>
    <row r="1122" spans="1:18">
      <c r="A1122" s="77"/>
      <c r="B1122" s="77"/>
      <c r="C1122" s="77"/>
      <c r="D1122" s="77"/>
      <c r="E1122" s="77"/>
      <c r="F1122" s="77"/>
      <c r="G1122" s="77"/>
      <c r="H1122" s="77"/>
      <c r="I1122" s="77"/>
      <c r="J1122" s="77"/>
      <c r="K1122" s="77"/>
      <c r="L1122" s="77"/>
      <c r="M1122" s="77"/>
      <c r="N1122" s="77"/>
      <c r="O1122" s="77"/>
      <c r="P1122" s="77"/>
      <c r="Q1122" s="77"/>
      <c r="R1122" s="77"/>
    </row>
    <row r="1123" spans="1:18">
      <c r="A1123" s="77"/>
      <c r="B1123" s="77"/>
      <c r="C1123" s="77"/>
      <c r="D1123" s="77"/>
      <c r="E1123" s="77"/>
      <c r="F1123" s="77"/>
      <c r="G1123" s="77"/>
      <c r="H1123" s="77"/>
      <c r="I1123" s="77"/>
      <c r="J1123" s="77"/>
      <c r="K1123" s="77"/>
      <c r="L1123" s="77"/>
      <c r="M1123" s="77"/>
      <c r="N1123" s="77"/>
      <c r="O1123" s="77"/>
      <c r="P1123" s="77"/>
      <c r="Q1123" s="77"/>
      <c r="R1123" s="77"/>
    </row>
    <row r="1124" spans="1:18">
      <c r="A1124" s="77"/>
      <c r="B1124" s="77"/>
      <c r="C1124" s="77"/>
      <c r="D1124" s="77"/>
      <c r="E1124" s="77"/>
      <c r="F1124" s="77"/>
      <c r="G1124" s="77"/>
      <c r="H1124" s="77"/>
      <c r="I1124" s="77"/>
      <c r="J1124" s="77"/>
      <c r="K1124" s="77"/>
      <c r="L1124" s="77"/>
      <c r="M1124" s="77"/>
      <c r="N1124" s="77"/>
      <c r="O1124" s="77"/>
      <c r="P1124" s="77"/>
      <c r="Q1124" s="77"/>
      <c r="R1124" s="77"/>
    </row>
    <row r="1125" spans="1:18">
      <c r="A1125" s="77"/>
      <c r="B1125" s="77"/>
      <c r="C1125" s="77"/>
      <c r="D1125" s="77"/>
      <c r="E1125" s="77"/>
      <c r="F1125" s="77"/>
      <c r="G1125" s="77"/>
      <c r="H1125" s="77"/>
      <c r="I1125" s="77"/>
      <c r="J1125" s="77"/>
      <c r="K1125" s="77"/>
      <c r="L1125" s="77"/>
      <c r="M1125" s="77"/>
      <c r="N1125" s="77"/>
      <c r="O1125" s="77"/>
      <c r="P1125" s="77"/>
      <c r="Q1125" s="77"/>
      <c r="R1125" s="77"/>
    </row>
    <row r="1126" spans="1:18">
      <c r="A1126" s="77"/>
      <c r="B1126" s="77"/>
      <c r="C1126" s="77"/>
      <c r="D1126" s="77"/>
      <c r="E1126" s="77"/>
      <c r="F1126" s="77"/>
      <c r="G1126" s="77"/>
      <c r="H1126" s="77"/>
      <c r="I1126" s="77"/>
      <c r="J1126" s="77"/>
      <c r="K1126" s="77"/>
      <c r="L1126" s="77"/>
      <c r="M1126" s="77"/>
      <c r="N1126" s="77"/>
      <c r="O1126" s="77"/>
      <c r="P1126" s="77"/>
      <c r="Q1126" s="77"/>
      <c r="R1126" s="77"/>
    </row>
    <row r="1127" spans="1:18">
      <c r="A1127" s="77"/>
      <c r="B1127" s="77"/>
      <c r="C1127" s="77"/>
      <c r="D1127" s="77"/>
      <c r="E1127" s="77"/>
      <c r="F1127" s="77"/>
      <c r="G1127" s="77"/>
      <c r="H1127" s="77"/>
      <c r="I1127" s="77"/>
      <c r="J1127" s="77"/>
      <c r="K1127" s="77"/>
      <c r="L1127" s="77"/>
      <c r="M1127" s="77"/>
      <c r="N1127" s="77"/>
      <c r="O1127" s="77"/>
      <c r="P1127" s="77"/>
      <c r="Q1127" s="77"/>
      <c r="R1127" s="77"/>
    </row>
    <row r="1128" spans="1:18">
      <c r="A1128" s="77"/>
      <c r="B1128" s="77"/>
      <c r="C1128" s="77"/>
      <c r="D1128" s="77"/>
      <c r="E1128" s="77"/>
      <c r="F1128" s="77"/>
      <c r="G1128" s="77"/>
      <c r="H1128" s="77"/>
      <c r="I1128" s="77"/>
      <c r="J1128" s="77"/>
      <c r="K1128" s="77"/>
      <c r="L1128" s="77"/>
      <c r="M1128" s="77"/>
      <c r="N1128" s="77"/>
      <c r="O1128" s="77"/>
      <c r="P1128" s="77"/>
      <c r="Q1128" s="77"/>
      <c r="R1128" s="77"/>
    </row>
    <row r="1129" spans="1:18">
      <c r="A1129" s="77"/>
      <c r="B1129" s="77"/>
      <c r="C1129" s="77"/>
      <c r="D1129" s="77"/>
      <c r="E1129" s="77"/>
      <c r="F1129" s="77"/>
      <c r="G1129" s="77"/>
      <c r="H1129" s="77"/>
      <c r="I1129" s="77"/>
      <c r="J1129" s="77"/>
      <c r="K1129" s="77"/>
      <c r="L1129" s="77"/>
      <c r="M1129" s="77"/>
      <c r="N1129" s="77"/>
      <c r="O1129" s="77"/>
      <c r="P1129" s="77"/>
      <c r="Q1129" s="77"/>
      <c r="R1129" s="77"/>
    </row>
    <row r="1130" spans="1:18">
      <c r="A1130" s="77"/>
      <c r="B1130" s="77"/>
      <c r="C1130" s="77"/>
      <c r="D1130" s="77"/>
      <c r="E1130" s="77"/>
      <c r="F1130" s="77"/>
      <c r="G1130" s="77"/>
      <c r="H1130" s="77"/>
      <c r="I1130" s="77"/>
      <c r="J1130" s="77"/>
      <c r="K1130" s="77"/>
      <c r="L1130" s="77"/>
      <c r="M1130" s="77"/>
      <c r="N1130" s="77"/>
      <c r="O1130" s="77"/>
      <c r="P1130" s="77"/>
      <c r="Q1130" s="77"/>
      <c r="R1130" s="77"/>
    </row>
    <row r="1131" spans="1:18">
      <c r="A1131" s="77"/>
      <c r="B1131" s="77"/>
      <c r="C1131" s="77"/>
      <c r="D1131" s="77"/>
      <c r="E1131" s="77"/>
      <c r="F1131" s="77"/>
      <c r="G1131" s="77"/>
      <c r="H1131" s="77"/>
      <c r="I1131" s="77"/>
      <c r="J1131" s="77"/>
      <c r="K1131" s="77"/>
      <c r="L1131" s="77"/>
      <c r="M1131" s="77"/>
      <c r="N1131" s="77"/>
      <c r="O1131" s="77"/>
      <c r="P1131" s="77"/>
      <c r="Q1131" s="77"/>
      <c r="R1131" s="77"/>
    </row>
    <row r="1132" spans="1:18">
      <c r="A1132" s="77"/>
      <c r="B1132" s="77"/>
      <c r="C1132" s="77"/>
      <c r="D1132" s="77"/>
      <c r="E1132" s="77"/>
      <c r="F1132" s="77"/>
      <c r="G1132" s="77"/>
      <c r="H1132" s="77"/>
      <c r="I1132" s="77"/>
      <c r="J1132" s="77"/>
      <c r="K1132" s="77"/>
      <c r="L1132" s="77"/>
      <c r="M1132" s="77"/>
      <c r="N1132" s="77"/>
      <c r="O1132" s="77"/>
      <c r="P1132" s="77"/>
      <c r="Q1132" s="77"/>
      <c r="R1132" s="77"/>
    </row>
    <row r="1133" spans="1:18">
      <c r="A1133" s="77"/>
      <c r="B1133" s="77"/>
      <c r="C1133" s="77"/>
      <c r="D1133" s="77"/>
      <c r="E1133" s="77"/>
      <c r="F1133" s="77"/>
      <c r="G1133" s="77"/>
      <c r="H1133" s="77"/>
      <c r="I1133" s="77"/>
      <c r="J1133" s="77"/>
      <c r="K1133" s="77"/>
      <c r="L1133" s="77"/>
      <c r="M1133" s="77"/>
      <c r="N1133" s="77"/>
      <c r="O1133" s="77"/>
      <c r="P1133" s="77"/>
      <c r="Q1133" s="77"/>
      <c r="R1133" s="77"/>
    </row>
    <row r="1134" spans="1:18">
      <c r="A1134" s="77"/>
      <c r="B1134" s="77"/>
      <c r="C1134" s="77"/>
      <c r="D1134" s="77"/>
      <c r="E1134" s="77"/>
      <c r="F1134" s="77"/>
      <c r="G1134" s="77"/>
      <c r="H1134" s="77"/>
      <c r="I1134" s="77"/>
      <c r="J1134" s="77"/>
      <c r="K1134" s="77"/>
      <c r="L1134" s="77"/>
      <c r="M1134" s="77"/>
      <c r="N1134" s="77"/>
      <c r="O1134" s="77"/>
      <c r="P1134" s="77"/>
      <c r="Q1134" s="77"/>
      <c r="R1134" s="77"/>
    </row>
    <row r="1135" spans="1:18">
      <c r="A1135" s="77"/>
      <c r="B1135" s="77"/>
      <c r="C1135" s="77"/>
      <c r="D1135" s="77"/>
      <c r="E1135" s="77"/>
      <c r="F1135" s="77"/>
      <c r="G1135" s="77"/>
      <c r="H1135" s="77"/>
      <c r="I1135" s="77"/>
      <c r="J1135" s="77"/>
      <c r="K1135" s="77"/>
      <c r="L1135" s="77"/>
      <c r="M1135" s="77"/>
      <c r="N1135" s="77"/>
      <c r="O1135" s="77"/>
      <c r="P1135" s="77"/>
      <c r="Q1135" s="77"/>
      <c r="R1135" s="77"/>
    </row>
    <row r="1136" spans="1:18">
      <c r="A1136" s="77"/>
      <c r="B1136" s="77"/>
      <c r="C1136" s="77"/>
      <c r="D1136" s="77"/>
      <c r="E1136" s="77"/>
      <c r="F1136" s="77"/>
      <c r="G1136" s="77"/>
      <c r="H1136" s="77"/>
      <c r="I1136" s="77"/>
      <c r="J1136" s="77"/>
      <c r="K1136" s="77"/>
      <c r="L1136" s="77"/>
      <c r="M1136" s="77"/>
      <c r="N1136" s="77"/>
      <c r="O1136" s="77"/>
      <c r="P1136" s="77"/>
      <c r="Q1136" s="77"/>
      <c r="R1136" s="77"/>
    </row>
    <row r="1137" spans="1:18">
      <c r="A1137" s="77"/>
      <c r="B1137" s="77"/>
      <c r="C1137" s="77"/>
      <c r="D1137" s="77"/>
      <c r="E1137" s="77"/>
      <c r="F1137" s="77"/>
      <c r="G1137" s="77"/>
      <c r="H1137" s="77"/>
      <c r="I1137" s="77"/>
      <c r="J1137" s="77"/>
      <c r="K1137" s="77"/>
      <c r="L1137" s="77"/>
      <c r="M1137" s="77"/>
      <c r="N1137" s="77"/>
      <c r="O1137" s="77"/>
      <c r="P1137" s="77"/>
      <c r="Q1137" s="77"/>
      <c r="R1137" s="77"/>
    </row>
    <row r="1138" spans="1:18">
      <c r="A1138" s="77"/>
      <c r="B1138" s="77"/>
      <c r="C1138" s="77"/>
      <c r="D1138" s="77"/>
      <c r="E1138" s="77"/>
      <c r="F1138" s="77"/>
      <c r="G1138" s="77"/>
      <c r="H1138" s="77"/>
      <c r="I1138" s="77"/>
      <c r="J1138" s="77"/>
      <c r="K1138" s="77"/>
      <c r="L1138" s="77"/>
      <c r="M1138" s="77"/>
      <c r="N1138" s="77"/>
      <c r="O1138" s="77"/>
      <c r="P1138" s="77"/>
      <c r="Q1138" s="77"/>
      <c r="R1138" s="77"/>
    </row>
    <row r="1139" spans="1:18">
      <c r="A1139" s="77"/>
      <c r="B1139" s="77"/>
      <c r="C1139" s="77"/>
      <c r="D1139" s="77"/>
      <c r="E1139" s="77"/>
      <c r="F1139" s="77"/>
      <c r="G1139" s="77"/>
      <c r="H1139" s="77"/>
      <c r="I1139" s="77"/>
      <c r="J1139" s="77"/>
      <c r="K1139" s="77"/>
      <c r="L1139" s="77"/>
      <c r="M1139" s="77"/>
      <c r="N1139" s="77"/>
      <c r="O1139" s="77"/>
      <c r="P1139" s="77"/>
      <c r="Q1139" s="77"/>
      <c r="R1139" s="77"/>
    </row>
    <row r="1140" spans="1:18">
      <c r="A1140" s="77"/>
      <c r="B1140" s="77"/>
      <c r="C1140" s="77"/>
      <c r="D1140" s="77"/>
      <c r="E1140" s="77"/>
      <c r="F1140" s="77"/>
      <c r="G1140" s="77"/>
      <c r="H1140" s="77"/>
      <c r="I1140" s="77"/>
      <c r="J1140" s="77"/>
      <c r="K1140" s="77"/>
      <c r="L1140" s="77"/>
      <c r="M1140" s="77"/>
      <c r="N1140" s="77"/>
      <c r="O1140" s="77"/>
      <c r="P1140" s="77"/>
      <c r="Q1140" s="77"/>
      <c r="R1140" s="77"/>
    </row>
    <row r="1141" spans="1:18">
      <c r="A1141" s="77"/>
      <c r="B1141" s="77"/>
      <c r="C1141" s="77"/>
      <c r="D1141" s="77"/>
      <c r="E1141" s="77"/>
      <c r="F1141" s="77"/>
      <c r="G1141" s="77"/>
      <c r="H1141" s="77"/>
      <c r="I1141" s="77"/>
      <c r="J1141" s="77"/>
      <c r="K1141" s="77"/>
      <c r="L1141" s="77"/>
      <c r="M1141" s="77"/>
      <c r="N1141" s="77"/>
      <c r="O1141" s="77"/>
      <c r="P1141" s="77"/>
      <c r="Q1141" s="77"/>
      <c r="R1141" s="77"/>
    </row>
    <row r="1142" spans="1:18">
      <c r="A1142" s="77"/>
      <c r="B1142" s="77"/>
      <c r="C1142" s="77"/>
      <c r="D1142" s="77"/>
      <c r="E1142" s="77"/>
      <c r="F1142" s="77"/>
      <c r="G1142" s="77"/>
      <c r="H1142" s="77"/>
      <c r="I1142" s="77"/>
      <c r="J1142" s="77"/>
      <c r="K1142" s="77"/>
      <c r="L1142" s="77"/>
      <c r="M1142" s="77"/>
      <c r="N1142" s="77"/>
      <c r="O1142" s="77"/>
      <c r="P1142" s="77"/>
      <c r="Q1142" s="77"/>
      <c r="R1142" s="77"/>
    </row>
    <row r="1143" spans="1:18">
      <c r="A1143" s="77"/>
      <c r="B1143" s="77"/>
      <c r="C1143" s="77"/>
      <c r="D1143" s="77"/>
      <c r="E1143" s="77"/>
      <c r="F1143" s="77"/>
      <c r="G1143" s="77"/>
      <c r="H1143" s="77"/>
      <c r="I1143" s="77"/>
      <c r="J1143" s="77"/>
      <c r="K1143" s="77"/>
      <c r="L1143" s="77"/>
      <c r="M1143" s="77"/>
      <c r="N1143" s="77"/>
      <c r="O1143" s="77"/>
      <c r="P1143" s="77"/>
      <c r="Q1143" s="77"/>
      <c r="R1143" s="77"/>
    </row>
    <row r="1144" spans="1:18">
      <c r="A1144" s="77"/>
      <c r="B1144" s="77"/>
      <c r="C1144" s="77"/>
      <c r="D1144" s="77"/>
      <c r="E1144" s="77"/>
      <c r="F1144" s="77"/>
      <c r="G1144" s="77"/>
      <c r="H1144" s="77"/>
      <c r="I1144" s="77"/>
      <c r="J1144" s="77"/>
      <c r="K1144" s="77"/>
      <c r="L1144" s="77"/>
      <c r="M1144" s="77"/>
      <c r="N1144" s="77"/>
      <c r="O1144" s="77"/>
      <c r="P1144" s="77"/>
      <c r="Q1144" s="77"/>
      <c r="R1144" s="77"/>
    </row>
    <row r="1145" spans="1:18">
      <c r="A1145" s="77"/>
      <c r="B1145" s="77"/>
      <c r="C1145" s="77"/>
      <c r="D1145" s="77"/>
      <c r="E1145" s="77"/>
      <c r="F1145" s="77"/>
      <c r="G1145" s="77"/>
      <c r="H1145" s="77"/>
      <c r="I1145" s="77"/>
      <c r="J1145" s="77"/>
      <c r="K1145" s="77"/>
      <c r="L1145" s="77"/>
      <c r="M1145" s="77"/>
      <c r="N1145" s="77"/>
      <c r="O1145" s="77"/>
      <c r="P1145" s="77"/>
      <c r="Q1145" s="77"/>
      <c r="R1145" s="77"/>
    </row>
    <row r="1146" spans="1:18">
      <c r="A1146" s="77"/>
      <c r="B1146" s="77"/>
      <c r="C1146" s="77"/>
      <c r="D1146" s="77"/>
      <c r="E1146" s="77"/>
      <c r="F1146" s="77"/>
      <c r="G1146" s="77"/>
      <c r="H1146" s="77"/>
      <c r="I1146" s="77"/>
      <c r="J1146" s="77"/>
      <c r="K1146" s="77"/>
      <c r="L1146" s="77"/>
      <c r="M1146" s="77"/>
      <c r="N1146" s="77"/>
      <c r="O1146" s="77"/>
      <c r="P1146" s="77"/>
      <c r="Q1146" s="77"/>
      <c r="R1146" s="77"/>
    </row>
    <row r="1147" spans="1:18">
      <c r="A1147" s="77"/>
      <c r="B1147" s="77"/>
      <c r="C1147" s="77"/>
      <c r="D1147" s="77"/>
      <c r="E1147" s="77"/>
      <c r="F1147" s="77"/>
      <c r="G1147" s="77"/>
      <c r="H1147" s="77"/>
      <c r="I1147" s="77"/>
      <c r="J1147" s="77"/>
      <c r="K1147" s="77"/>
      <c r="L1147" s="77"/>
      <c r="M1147" s="77"/>
      <c r="N1147" s="77"/>
      <c r="O1147" s="77"/>
      <c r="P1147" s="77"/>
      <c r="Q1147" s="77"/>
      <c r="R1147" s="77"/>
    </row>
    <row r="1148" spans="1:18">
      <c r="A1148" s="77"/>
      <c r="B1148" s="77"/>
      <c r="C1148" s="77"/>
      <c r="D1148" s="77"/>
      <c r="E1148" s="77"/>
      <c r="F1148" s="77"/>
      <c r="G1148" s="77"/>
      <c r="H1148" s="77"/>
      <c r="I1148" s="77"/>
      <c r="J1148" s="77"/>
      <c r="K1148" s="77"/>
      <c r="L1148" s="77"/>
      <c r="M1148" s="77"/>
      <c r="N1148" s="77"/>
      <c r="O1148" s="77"/>
      <c r="P1148" s="77"/>
      <c r="Q1148" s="77"/>
      <c r="R1148" s="77"/>
    </row>
    <row r="1149" spans="1:18">
      <c r="A1149" s="77"/>
      <c r="B1149" s="77"/>
      <c r="C1149" s="77"/>
      <c r="D1149" s="77"/>
      <c r="E1149" s="77"/>
      <c r="F1149" s="77"/>
      <c r="G1149" s="77"/>
      <c r="H1149" s="77"/>
      <c r="I1149" s="77"/>
      <c r="J1149" s="77"/>
      <c r="K1149" s="77"/>
      <c r="L1149" s="77"/>
      <c r="M1149" s="77"/>
      <c r="N1149" s="77"/>
      <c r="O1149" s="77"/>
      <c r="P1149" s="77"/>
      <c r="Q1149" s="77"/>
      <c r="R1149" s="77"/>
    </row>
    <row r="1150" spans="1:18">
      <c r="A1150" s="77"/>
      <c r="B1150" s="77"/>
      <c r="C1150" s="77"/>
      <c r="D1150" s="77"/>
      <c r="E1150" s="77"/>
      <c r="F1150" s="77"/>
      <c r="G1150" s="77"/>
      <c r="H1150" s="77"/>
      <c r="I1150" s="77"/>
      <c r="J1150" s="77"/>
      <c r="K1150" s="77"/>
      <c r="L1150" s="77"/>
      <c r="M1150" s="77"/>
      <c r="N1150" s="77"/>
      <c r="O1150" s="77"/>
      <c r="P1150" s="77"/>
      <c r="Q1150" s="77"/>
      <c r="R1150" s="77"/>
    </row>
    <row r="1151" spans="1:18">
      <c r="A1151" s="77"/>
      <c r="B1151" s="77"/>
      <c r="C1151" s="77"/>
      <c r="D1151" s="77"/>
      <c r="E1151" s="77"/>
      <c r="F1151" s="77"/>
      <c r="G1151" s="77"/>
      <c r="H1151" s="77"/>
      <c r="I1151" s="77"/>
      <c r="J1151" s="77"/>
      <c r="K1151" s="77"/>
      <c r="L1151" s="77"/>
      <c r="M1151" s="77"/>
      <c r="N1151" s="77"/>
      <c r="O1151" s="77"/>
      <c r="P1151" s="77"/>
      <c r="Q1151" s="77"/>
      <c r="R1151" s="77"/>
    </row>
    <row r="1152" spans="1:18">
      <c r="A1152" s="77"/>
      <c r="B1152" s="77"/>
      <c r="C1152" s="77"/>
      <c r="D1152" s="77"/>
      <c r="E1152" s="77"/>
      <c r="F1152" s="77"/>
      <c r="G1152" s="77"/>
      <c r="H1152" s="77"/>
      <c r="I1152" s="77"/>
      <c r="J1152" s="77"/>
      <c r="K1152" s="77"/>
      <c r="L1152" s="77"/>
      <c r="M1152" s="77"/>
      <c r="N1152" s="77"/>
      <c r="O1152" s="77"/>
      <c r="P1152" s="77"/>
      <c r="Q1152" s="77"/>
      <c r="R1152" s="77"/>
    </row>
    <row r="1153" spans="1:18">
      <c r="A1153" s="77"/>
      <c r="B1153" s="77"/>
      <c r="C1153" s="77"/>
      <c r="D1153" s="77"/>
      <c r="E1153" s="77"/>
      <c r="F1153" s="77"/>
      <c r="G1153" s="77"/>
      <c r="H1153" s="77"/>
      <c r="I1153" s="77"/>
      <c r="J1153" s="77"/>
      <c r="K1153" s="77"/>
      <c r="L1153" s="77"/>
      <c r="M1153" s="77"/>
      <c r="N1153" s="77"/>
      <c r="O1153" s="77"/>
      <c r="P1153" s="77"/>
      <c r="Q1153" s="77"/>
      <c r="R1153" s="77"/>
    </row>
    <row r="1154" spans="1:18">
      <c r="A1154" s="77"/>
      <c r="B1154" s="77"/>
      <c r="C1154" s="77"/>
      <c r="D1154" s="77"/>
      <c r="E1154" s="77"/>
      <c r="F1154" s="77"/>
      <c r="G1154" s="77"/>
      <c r="H1154" s="77"/>
      <c r="I1154" s="77"/>
      <c r="J1154" s="77"/>
      <c r="K1154" s="77"/>
      <c r="L1154" s="77"/>
      <c r="M1154" s="77"/>
      <c r="N1154" s="77"/>
      <c r="O1154" s="77"/>
      <c r="P1154" s="77"/>
      <c r="Q1154" s="77"/>
      <c r="R1154" s="77"/>
    </row>
    <row r="1155" spans="1:18">
      <c r="A1155" s="77"/>
      <c r="B1155" s="77"/>
      <c r="C1155" s="77"/>
      <c r="D1155" s="77"/>
      <c r="E1155" s="77"/>
      <c r="F1155" s="77"/>
      <c r="G1155" s="77"/>
      <c r="H1155" s="77"/>
      <c r="I1155" s="77"/>
      <c r="J1155" s="77"/>
      <c r="K1155" s="77"/>
      <c r="L1155" s="77"/>
      <c r="M1155" s="77"/>
      <c r="N1155" s="77"/>
      <c r="O1155" s="77"/>
      <c r="P1155" s="77"/>
      <c r="Q1155" s="77"/>
      <c r="R1155" s="77"/>
    </row>
    <row r="1156" spans="1:18">
      <c r="A1156" s="77"/>
      <c r="B1156" s="77"/>
      <c r="C1156" s="77"/>
      <c r="D1156" s="77"/>
      <c r="E1156" s="77"/>
      <c r="F1156" s="77"/>
      <c r="G1156" s="77"/>
      <c r="H1156" s="77"/>
      <c r="I1156" s="77"/>
      <c r="J1156" s="77"/>
      <c r="K1156" s="77"/>
      <c r="L1156" s="77"/>
      <c r="M1156" s="77"/>
      <c r="N1156" s="77"/>
      <c r="O1156" s="77"/>
      <c r="P1156" s="77"/>
      <c r="Q1156" s="77"/>
      <c r="R1156" s="77"/>
    </row>
    <row r="1157" spans="1:18">
      <c r="A1157" s="77"/>
      <c r="B1157" s="77"/>
      <c r="C1157" s="77"/>
      <c r="D1157" s="77"/>
      <c r="E1157" s="77"/>
      <c r="F1157" s="77"/>
      <c r="G1157" s="77"/>
      <c r="H1157" s="77"/>
      <c r="I1157" s="77"/>
      <c r="J1157" s="77"/>
      <c r="K1157" s="77"/>
      <c r="L1157" s="77"/>
      <c r="M1157" s="77"/>
      <c r="N1157" s="77"/>
      <c r="O1157" s="77"/>
      <c r="P1157" s="77"/>
      <c r="Q1157" s="77"/>
      <c r="R1157" s="77"/>
    </row>
    <row r="1158" spans="1:18">
      <c r="A1158" s="77"/>
      <c r="B1158" s="77"/>
      <c r="C1158" s="77"/>
      <c r="D1158" s="77"/>
      <c r="E1158" s="77"/>
      <c r="F1158" s="77"/>
      <c r="G1158" s="77"/>
      <c r="H1158" s="77"/>
      <c r="I1158" s="77"/>
      <c r="J1158" s="77"/>
      <c r="K1158" s="77"/>
      <c r="L1158" s="77"/>
      <c r="M1158" s="77"/>
      <c r="N1158" s="77"/>
      <c r="O1158" s="77"/>
      <c r="P1158" s="77"/>
      <c r="Q1158" s="77"/>
      <c r="R1158" s="77"/>
    </row>
    <row r="1159" spans="1:18">
      <c r="A1159" s="77"/>
      <c r="B1159" s="77"/>
      <c r="C1159" s="77"/>
      <c r="D1159" s="77"/>
      <c r="E1159" s="77"/>
      <c r="F1159" s="77"/>
      <c r="G1159" s="77"/>
      <c r="H1159" s="77"/>
      <c r="I1159" s="77"/>
      <c r="J1159" s="77"/>
      <c r="K1159" s="77"/>
      <c r="L1159" s="77"/>
      <c r="M1159" s="77"/>
      <c r="N1159" s="77"/>
      <c r="O1159" s="77"/>
      <c r="P1159" s="77"/>
      <c r="Q1159" s="77"/>
      <c r="R1159" s="77"/>
    </row>
    <row r="1160" spans="1:18">
      <c r="A1160" s="77"/>
      <c r="B1160" s="77"/>
      <c r="C1160" s="77"/>
      <c r="D1160" s="77"/>
      <c r="E1160" s="77"/>
      <c r="F1160" s="77"/>
      <c r="G1160" s="77"/>
      <c r="H1160" s="77"/>
      <c r="I1160" s="77"/>
      <c r="J1160" s="77"/>
      <c r="K1160" s="77"/>
      <c r="L1160" s="77"/>
      <c r="M1160" s="77"/>
      <c r="N1160" s="77"/>
      <c r="O1160" s="77"/>
      <c r="P1160" s="77"/>
      <c r="Q1160" s="77"/>
      <c r="R1160" s="77"/>
    </row>
    <row r="1161" spans="1:18">
      <c r="A1161" s="77"/>
      <c r="B1161" s="77"/>
      <c r="C1161" s="77"/>
      <c r="D1161" s="77"/>
      <c r="E1161" s="77"/>
      <c r="F1161" s="77"/>
      <c r="G1161" s="77"/>
      <c r="H1161" s="77"/>
      <c r="I1161" s="77"/>
      <c r="J1161" s="77"/>
      <c r="K1161" s="77"/>
      <c r="L1161" s="77"/>
      <c r="M1161" s="77"/>
      <c r="N1161" s="77"/>
      <c r="O1161" s="77"/>
      <c r="P1161" s="77"/>
      <c r="Q1161" s="77"/>
      <c r="R1161" s="77"/>
    </row>
    <row r="1162" spans="1:18">
      <c r="A1162" s="77"/>
      <c r="B1162" s="77"/>
      <c r="C1162" s="77"/>
      <c r="D1162" s="77"/>
      <c r="E1162" s="77"/>
      <c r="F1162" s="77"/>
      <c r="G1162" s="77"/>
      <c r="H1162" s="77"/>
      <c r="I1162" s="77"/>
      <c r="J1162" s="77"/>
      <c r="K1162" s="77"/>
      <c r="L1162" s="77"/>
      <c r="M1162" s="77"/>
      <c r="N1162" s="77"/>
      <c r="O1162" s="77"/>
      <c r="P1162" s="77"/>
      <c r="Q1162" s="77"/>
      <c r="R1162" s="77"/>
    </row>
    <row r="1163" spans="1:18">
      <c r="A1163" s="77"/>
      <c r="B1163" s="77"/>
      <c r="C1163" s="77"/>
      <c r="D1163" s="77"/>
      <c r="E1163" s="77"/>
      <c r="F1163" s="77"/>
      <c r="G1163" s="77"/>
      <c r="H1163" s="77"/>
      <c r="I1163" s="77"/>
      <c r="J1163" s="77"/>
      <c r="K1163" s="77"/>
      <c r="L1163" s="77"/>
      <c r="M1163" s="77"/>
      <c r="N1163" s="77"/>
      <c r="O1163" s="77"/>
      <c r="P1163" s="77"/>
      <c r="Q1163" s="77"/>
      <c r="R1163" s="77"/>
    </row>
    <row r="1164" spans="1:18">
      <c r="A1164" s="77"/>
      <c r="B1164" s="77"/>
      <c r="C1164" s="77"/>
      <c r="D1164" s="77"/>
      <c r="E1164" s="77"/>
      <c r="F1164" s="77"/>
      <c r="G1164" s="77"/>
      <c r="H1164" s="77"/>
      <c r="I1164" s="77"/>
      <c r="J1164" s="77"/>
      <c r="K1164" s="77"/>
      <c r="L1164" s="77"/>
      <c r="M1164" s="77"/>
      <c r="N1164" s="77"/>
      <c r="O1164" s="77"/>
      <c r="P1164" s="77"/>
      <c r="Q1164" s="77"/>
      <c r="R1164" s="77"/>
    </row>
    <row r="1165" spans="1:18">
      <c r="A1165" s="77"/>
      <c r="B1165" s="77"/>
      <c r="C1165" s="77"/>
      <c r="D1165" s="77"/>
      <c r="E1165" s="77"/>
      <c r="F1165" s="77"/>
      <c r="G1165" s="77"/>
      <c r="H1165" s="77"/>
      <c r="I1165" s="77"/>
      <c r="J1165" s="77"/>
      <c r="K1165" s="77"/>
      <c r="L1165" s="77"/>
      <c r="M1165" s="77"/>
      <c r="N1165" s="77"/>
      <c r="O1165" s="77"/>
      <c r="P1165" s="77"/>
      <c r="Q1165" s="77"/>
      <c r="R1165" s="77"/>
    </row>
    <row r="1166" spans="1:18">
      <c r="A1166" s="77"/>
      <c r="B1166" s="77"/>
      <c r="C1166" s="77"/>
      <c r="D1166" s="77"/>
      <c r="E1166" s="77"/>
      <c r="F1166" s="77"/>
      <c r="G1166" s="77"/>
      <c r="H1166" s="77"/>
      <c r="I1166" s="77"/>
      <c r="J1166" s="77"/>
      <c r="K1166" s="77"/>
      <c r="L1166" s="77"/>
      <c r="M1166" s="77"/>
      <c r="N1166" s="77"/>
      <c r="O1166" s="77"/>
      <c r="P1166" s="77"/>
      <c r="Q1166" s="77"/>
      <c r="R1166" s="77"/>
    </row>
    <row r="1167" spans="1:18">
      <c r="A1167" s="77"/>
      <c r="B1167" s="77"/>
      <c r="C1167" s="77"/>
      <c r="D1167" s="77"/>
      <c r="E1167" s="77"/>
      <c r="F1167" s="77"/>
      <c r="G1167" s="77"/>
      <c r="H1167" s="77"/>
      <c r="I1167" s="77"/>
      <c r="J1167" s="77"/>
      <c r="K1167" s="77"/>
      <c r="L1167" s="77"/>
      <c r="M1167" s="77"/>
      <c r="N1167" s="77"/>
      <c r="O1167" s="77"/>
      <c r="P1167" s="77"/>
      <c r="Q1167" s="77"/>
      <c r="R1167" s="77"/>
    </row>
    <row r="1168" spans="1:18">
      <c r="A1168" s="77"/>
      <c r="B1168" s="77"/>
      <c r="C1168" s="77"/>
      <c r="D1168" s="77"/>
      <c r="E1168" s="77"/>
      <c r="F1168" s="77"/>
      <c r="G1168" s="77"/>
      <c r="H1168" s="77"/>
      <c r="I1168" s="77"/>
      <c r="J1168" s="77"/>
      <c r="K1168" s="77"/>
      <c r="L1168" s="77"/>
      <c r="M1168" s="77"/>
      <c r="N1168" s="77"/>
      <c r="O1168" s="77"/>
      <c r="P1168" s="77"/>
      <c r="Q1168" s="77"/>
      <c r="R1168" s="77"/>
    </row>
    <row r="1169" spans="1:18">
      <c r="A1169" s="77"/>
      <c r="B1169" s="77"/>
      <c r="C1169" s="77"/>
      <c r="D1169" s="77"/>
      <c r="E1169" s="77"/>
      <c r="F1169" s="77"/>
      <c r="G1169" s="77"/>
      <c r="H1169" s="77"/>
      <c r="I1169" s="77"/>
      <c r="J1169" s="77"/>
      <c r="K1169" s="77"/>
      <c r="L1169" s="77"/>
      <c r="M1169" s="77"/>
      <c r="N1169" s="77"/>
      <c r="O1169" s="77"/>
      <c r="P1169" s="77"/>
      <c r="Q1169" s="77"/>
      <c r="R1169" s="77"/>
    </row>
    <row r="1170" spans="1:18">
      <c r="A1170" s="77"/>
      <c r="B1170" s="77"/>
      <c r="C1170" s="77"/>
      <c r="D1170" s="77"/>
      <c r="E1170" s="77"/>
      <c r="F1170" s="77"/>
      <c r="G1170" s="77"/>
      <c r="H1170" s="77"/>
      <c r="I1170" s="77"/>
      <c r="J1170" s="77"/>
      <c r="K1170" s="77"/>
      <c r="L1170" s="77"/>
      <c r="M1170" s="77"/>
      <c r="N1170" s="77"/>
      <c r="O1170" s="77"/>
      <c r="P1170" s="77"/>
      <c r="Q1170" s="77"/>
      <c r="R1170" s="77"/>
    </row>
    <row r="1171" spans="1:18">
      <c r="A1171" s="77"/>
      <c r="B1171" s="77"/>
      <c r="C1171" s="77"/>
      <c r="D1171" s="77"/>
      <c r="E1171" s="77"/>
      <c r="F1171" s="77"/>
      <c r="G1171" s="77"/>
      <c r="H1171" s="77"/>
      <c r="I1171" s="77"/>
      <c r="J1171" s="77"/>
      <c r="K1171" s="77"/>
      <c r="L1171" s="77"/>
      <c r="M1171" s="77"/>
      <c r="N1171" s="77"/>
      <c r="O1171" s="77"/>
      <c r="P1171" s="77"/>
      <c r="Q1171" s="77"/>
      <c r="R1171" s="77"/>
    </row>
    <row r="1172" spans="1:18">
      <c r="A1172" s="77"/>
      <c r="B1172" s="77"/>
      <c r="C1172" s="77"/>
      <c r="D1172" s="77"/>
      <c r="E1172" s="77"/>
      <c r="F1172" s="77"/>
      <c r="G1172" s="77"/>
      <c r="H1172" s="77"/>
      <c r="I1172" s="77"/>
      <c r="J1172" s="77"/>
      <c r="K1172" s="77"/>
      <c r="L1172" s="77"/>
      <c r="M1172" s="77"/>
      <c r="N1172" s="77"/>
      <c r="O1172" s="77"/>
      <c r="P1172" s="77"/>
      <c r="Q1172" s="77"/>
      <c r="R1172" s="77"/>
    </row>
    <row r="1173" spans="1:18">
      <c r="A1173" s="77"/>
      <c r="B1173" s="77"/>
      <c r="C1173" s="77"/>
      <c r="D1173" s="77"/>
      <c r="E1173" s="77"/>
      <c r="F1173" s="77"/>
      <c r="G1173" s="77"/>
      <c r="H1173" s="77"/>
      <c r="I1173" s="77"/>
      <c r="J1173" s="77"/>
      <c r="K1173" s="77"/>
      <c r="L1173" s="77"/>
      <c r="M1173" s="77"/>
      <c r="N1173" s="77"/>
      <c r="O1173" s="77"/>
      <c r="P1173" s="77"/>
      <c r="Q1173" s="77"/>
      <c r="R1173" s="77"/>
    </row>
    <row r="1174" spans="1:18">
      <c r="A1174" s="77"/>
      <c r="B1174" s="77"/>
      <c r="C1174" s="77"/>
      <c r="D1174" s="77"/>
      <c r="E1174" s="77"/>
      <c r="F1174" s="77"/>
      <c r="G1174" s="77"/>
      <c r="H1174" s="77"/>
      <c r="I1174" s="77"/>
      <c r="J1174" s="77"/>
      <c r="K1174" s="77"/>
      <c r="L1174" s="77"/>
      <c r="M1174" s="77"/>
      <c r="N1174" s="77"/>
      <c r="O1174" s="77"/>
      <c r="P1174" s="77"/>
      <c r="Q1174" s="77"/>
      <c r="R1174" s="77"/>
    </row>
    <row r="1175" spans="1:18">
      <c r="A1175" s="77"/>
      <c r="B1175" s="77"/>
      <c r="C1175" s="77"/>
      <c r="D1175" s="77"/>
      <c r="E1175" s="77"/>
      <c r="F1175" s="77"/>
      <c r="G1175" s="77"/>
      <c r="H1175" s="77"/>
      <c r="I1175" s="77"/>
      <c r="J1175" s="77"/>
      <c r="K1175" s="77"/>
      <c r="L1175" s="77"/>
      <c r="M1175" s="77"/>
      <c r="N1175" s="77"/>
      <c r="O1175" s="77"/>
      <c r="P1175" s="77"/>
      <c r="Q1175" s="77"/>
      <c r="R1175" s="77"/>
    </row>
    <row r="1176" spans="1:18">
      <c r="A1176" s="77"/>
      <c r="B1176" s="77"/>
      <c r="C1176" s="77"/>
      <c r="D1176" s="77"/>
      <c r="E1176" s="77"/>
      <c r="F1176" s="77"/>
      <c r="G1176" s="77"/>
      <c r="H1176" s="77"/>
      <c r="I1176" s="77"/>
      <c r="J1176" s="77"/>
      <c r="K1176" s="77"/>
      <c r="L1176" s="77"/>
      <c r="M1176" s="77"/>
      <c r="N1176" s="77"/>
      <c r="O1176" s="77"/>
      <c r="P1176" s="77"/>
      <c r="Q1176" s="77"/>
      <c r="R1176" s="77"/>
    </row>
    <row r="1177" spans="1:18">
      <c r="A1177" s="77"/>
      <c r="B1177" s="77"/>
      <c r="C1177" s="77"/>
      <c r="D1177" s="77"/>
      <c r="E1177" s="77"/>
      <c r="F1177" s="77"/>
      <c r="G1177" s="77"/>
      <c r="H1177" s="77"/>
      <c r="I1177" s="77"/>
      <c r="J1177" s="77"/>
      <c r="K1177" s="77"/>
      <c r="L1177" s="77"/>
      <c r="M1177" s="77"/>
      <c r="N1177" s="77"/>
      <c r="O1177" s="77"/>
      <c r="P1177" s="77"/>
      <c r="Q1177" s="77"/>
      <c r="R1177" s="77"/>
    </row>
    <row r="1178" spans="1:18">
      <c r="A1178" s="77"/>
      <c r="B1178" s="77"/>
      <c r="C1178" s="77"/>
      <c r="D1178" s="77"/>
      <c r="E1178" s="77"/>
      <c r="F1178" s="77"/>
      <c r="G1178" s="77"/>
      <c r="H1178" s="77"/>
      <c r="I1178" s="77"/>
      <c r="J1178" s="77"/>
      <c r="K1178" s="77"/>
      <c r="L1178" s="77"/>
      <c r="M1178" s="77"/>
      <c r="N1178" s="77"/>
      <c r="O1178" s="77"/>
      <c r="P1178" s="77"/>
      <c r="Q1178" s="77"/>
      <c r="R1178" s="77"/>
    </row>
    <row r="1179" spans="1:18">
      <c r="A1179" s="77"/>
      <c r="B1179" s="77"/>
      <c r="C1179" s="77"/>
      <c r="D1179" s="77"/>
      <c r="E1179" s="77"/>
      <c r="F1179" s="77"/>
      <c r="G1179" s="77"/>
      <c r="H1179" s="77"/>
      <c r="I1179" s="77"/>
      <c r="J1179" s="77"/>
      <c r="K1179" s="77"/>
      <c r="L1179" s="77"/>
      <c r="M1179" s="77"/>
      <c r="N1179" s="77"/>
      <c r="O1179" s="77"/>
      <c r="P1179" s="77"/>
      <c r="Q1179" s="77"/>
      <c r="R1179" s="77"/>
    </row>
    <row r="1180" spans="1:18">
      <c r="A1180" s="77"/>
      <c r="B1180" s="77"/>
      <c r="C1180" s="77"/>
      <c r="D1180" s="77"/>
      <c r="E1180" s="77"/>
      <c r="F1180" s="77"/>
      <c r="G1180" s="77"/>
      <c r="H1180" s="77"/>
      <c r="I1180" s="77"/>
      <c r="J1180" s="77"/>
      <c r="K1180" s="77"/>
      <c r="L1180" s="77"/>
      <c r="M1180" s="77"/>
      <c r="N1180" s="77"/>
      <c r="O1180" s="77"/>
      <c r="P1180" s="77"/>
      <c r="Q1180" s="77"/>
      <c r="R1180" s="77"/>
    </row>
    <row r="1181" spans="1:18">
      <c r="A1181" s="77"/>
      <c r="B1181" s="77"/>
      <c r="C1181" s="77"/>
      <c r="D1181" s="77"/>
      <c r="E1181" s="77"/>
      <c r="F1181" s="77"/>
      <c r="G1181" s="77"/>
      <c r="H1181" s="77"/>
      <c r="I1181" s="77"/>
      <c r="J1181" s="77"/>
      <c r="K1181" s="77"/>
      <c r="L1181" s="77"/>
      <c r="M1181" s="77"/>
      <c r="N1181" s="77"/>
      <c r="O1181" s="77"/>
      <c r="P1181" s="77"/>
      <c r="Q1181" s="77"/>
      <c r="R1181" s="77"/>
    </row>
    <row r="1182" spans="1:18">
      <c r="A1182" s="77"/>
      <c r="B1182" s="77"/>
      <c r="C1182" s="77"/>
      <c r="D1182" s="77"/>
      <c r="E1182" s="77"/>
      <c r="F1182" s="77"/>
      <c r="G1182" s="77"/>
      <c r="H1182" s="77"/>
      <c r="I1182" s="77"/>
      <c r="J1182" s="77"/>
      <c r="K1182" s="77"/>
      <c r="L1182" s="77"/>
      <c r="M1182" s="77"/>
      <c r="N1182" s="77"/>
      <c r="O1182" s="77"/>
      <c r="P1182" s="77"/>
      <c r="Q1182" s="77"/>
      <c r="R1182" s="77"/>
    </row>
    <row r="1183" spans="1:18">
      <c r="A1183" s="77"/>
      <c r="B1183" s="77"/>
      <c r="C1183" s="77"/>
      <c r="D1183" s="77"/>
      <c r="E1183" s="77"/>
      <c r="F1183" s="77"/>
      <c r="G1183" s="77"/>
      <c r="H1183" s="77"/>
      <c r="I1183" s="77"/>
      <c r="J1183" s="77"/>
      <c r="K1183" s="77"/>
      <c r="L1183" s="77"/>
      <c r="M1183" s="77"/>
      <c r="N1183" s="77"/>
      <c r="O1183" s="77"/>
      <c r="P1183" s="77"/>
      <c r="Q1183" s="77"/>
      <c r="R1183" s="77"/>
    </row>
    <row r="1184" spans="1:18">
      <c r="A1184" s="77"/>
      <c r="B1184" s="77"/>
      <c r="C1184" s="77"/>
      <c r="D1184" s="77"/>
      <c r="E1184" s="77"/>
      <c r="F1184" s="77"/>
      <c r="G1184" s="77"/>
      <c r="H1184" s="77"/>
      <c r="I1184" s="77"/>
      <c r="J1184" s="77"/>
      <c r="K1184" s="77"/>
      <c r="L1184" s="77"/>
      <c r="M1184" s="77"/>
      <c r="N1184" s="77"/>
      <c r="O1184" s="77"/>
      <c r="P1184" s="77"/>
      <c r="Q1184" s="77"/>
      <c r="R1184" s="77"/>
    </row>
    <row r="1185" spans="1:18">
      <c r="A1185" s="77"/>
      <c r="B1185" s="77"/>
      <c r="C1185" s="77"/>
      <c r="D1185" s="77"/>
      <c r="E1185" s="77"/>
      <c r="F1185" s="77"/>
      <c r="G1185" s="77"/>
      <c r="H1185" s="77"/>
      <c r="I1185" s="77"/>
      <c r="J1185" s="77"/>
      <c r="K1185" s="77"/>
      <c r="L1185" s="77"/>
      <c r="M1185" s="77"/>
      <c r="N1185" s="77"/>
      <c r="O1185" s="77"/>
      <c r="P1185" s="77"/>
      <c r="Q1185" s="77"/>
      <c r="R1185" s="77"/>
    </row>
    <row r="1186" spans="1:18">
      <c r="A1186" s="77"/>
      <c r="B1186" s="77"/>
      <c r="C1186" s="77"/>
      <c r="D1186" s="77"/>
      <c r="E1186" s="77"/>
      <c r="F1186" s="77"/>
      <c r="G1186" s="77"/>
      <c r="H1186" s="77"/>
      <c r="I1186" s="77"/>
      <c r="J1186" s="77"/>
      <c r="K1186" s="77"/>
      <c r="L1186" s="77"/>
      <c r="M1186" s="77"/>
      <c r="N1186" s="77"/>
      <c r="O1186" s="77"/>
      <c r="P1186" s="77"/>
      <c r="Q1186" s="77"/>
      <c r="R1186" s="77"/>
    </row>
    <row r="1187" spans="1:18">
      <c r="A1187" s="77"/>
      <c r="B1187" s="77"/>
      <c r="C1187" s="77"/>
      <c r="D1187" s="77"/>
      <c r="E1187" s="77"/>
      <c r="F1187" s="77"/>
      <c r="G1187" s="77"/>
      <c r="H1187" s="77"/>
      <c r="I1187" s="77"/>
      <c r="J1187" s="77"/>
      <c r="K1187" s="77"/>
      <c r="L1187" s="77"/>
      <c r="M1187" s="77"/>
      <c r="N1187" s="77"/>
      <c r="O1187" s="77"/>
      <c r="P1187" s="77"/>
      <c r="Q1187" s="77"/>
      <c r="R1187" s="77"/>
    </row>
    <row r="1188" spans="1:18">
      <c r="A1188" s="77"/>
      <c r="B1188" s="77"/>
      <c r="C1188" s="77"/>
      <c r="D1188" s="77"/>
      <c r="E1188" s="77"/>
      <c r="F1188" s="77"/>
      <c r="G1188" s="77"/>
      <c r="H1188" s="77"/>
      <c r="I1188" s="77"/>
      <c r="J1188" s="77"/>
      <c r="K1188" s="77"/>
      <c r="L1188" s="77"/>
      <c r="M1188" s="77"/>
      <c r="N1188" s="77"/>
      <c r="O1188" s="77"/>
      <c r="P1188" s="77"/>
      <c r="Q1188" s="77"/>
      <c r="R1188" s="77"/>
    </row>
    <row r="1189" spans="1:18">
      <c r="A1189" s="77"/>
      <c r="B1189" s="77"/>
      <c r="C1189" s="77"/>
      <c r="D1189" s="77"/>
      <c r="E1189" s="77"/>
      <c r="F1189" s="77"/>
      <c r="G1189" s="77"/>
      <c r="H1189" s="77"/>
      <c r="I1189" s="77"/>
      <c r="J1189" s="77"/>
      <c r="K1189" s="77"/>
      <c r="L1189" s="77"/>
      <c r="M1189" s="77"/>
      <c r="N1189" s="77"/>
      <c r="O1189" s="77"/>
      <c r="P1189" s="77"/>
      <c r="Q1189" s="77"/>
      <c r="R1189" s="77"/>
    </row>
    <row r="1190" spans="1:18">
      <c r="A1190" s="77"/>
      <c r="B1190" s="77"/>
      <c r="C1190" s="77"/>
      <c r="D1190" s="77"/>
      <c r="E1190" s="77"/>
      <c r="F1190" s="77"/>
      <c r="G1190" s="77"/>
      <c r="H1190" s="77"/>
      <c r="I1190" s="77"/>
      <c r="J1190" s="77"/>
      <c r="K1190" s="77"/>
      <c r="L1190" s="77"/>
      <c r="M1190" s="77"/>
      <c r="N1190" s="77"/>
      <c r="O1190" s="77"/>
      <c r="P1190" s="77"/>
      <c r="Q1190" s="77"/>
      <c r="R1190" s="77"/>
    </row>
    <row r="1191" spans="1:18">
      <c r="A1191" s="77"/>
      <c r="B1191" s="77"/>
      <c r="C1191" s="77"/>
      <c r="D1191" s="77"/>
      <c r="E1191" s="77"/>
      <c r="F1191" s="77"/>
      <c r="G1191" s="77"/>
      <c r="H1191" s="77"/>
      <c r="I1191" s="77"/>
      <c r="J1191" s="77"/>
      <c r="K1191" s="77"/>
      <c r="L1191" s="77"/>
      <c r="M1191" s="77"/>
      <c r="N1191" s="77"/>
      <c r="O1191" s="77"/>
      <c r="P1191" s="77"/>
      <c r="Q1191" s="77"/>
      <c r="R1191" s="77"/>
    </row>
    <row r="1192" spans="1:18">
      <c r="A1192" s="77"/>
      <c r="B1192" s="77"/>
      <c r="C1192" s="77"/>
      <c r="D1192" s="77"/>
      <c r="E1192" s="77"/>
      <c r="F1192" s="77"/>
      <c r="G1192" s="77"/>
      <c r="H1192" s="77"/>
      <c r="I1192" s="77"/>
      <c r="J1192" s="77"/>
      <c r="K1192" s="77"/>
      <c r="L1192" s="77"/>
      <c r="M1192" s="77"/>
      <c r="N1192" s="77"/>
      <c r="O1192" s="77"/>
      <c r="P1192" s="77"/>
      <c r="Q1192" s="77"/>
      <c r="R1192" s="77"/>
    </row>
    <row r="1193" spans="1:18">
      <c r="A1193" s="77"/>
      <c r="B1193" s="77"/>
      <c r="C1193" s="77"/>
      <c r="D1193" s="77"/>
      <c r="E1193" s="77"/>
      <c r="F1193" s="77"/>
      <c r="G1193" s="77"/>
      <c r="H1193" s="77"/>
      <c r="I1193" s="77"/>
      <c r="J1193" s="77"/>
      <c r="K1193" s="77"/>
      <c r="L1193" s="77"/>
      <c r="M1193" s="77"/>
      <c r="N1193" s="77"/>
      <c r="O1193" s="77"/>
      <c r="P1193" s="77"/>
      <c r="Q1193" s="77"/>
      <c r="R1193" s="77"/>
    </row>
    <row r="1194" spans="1:18">
      <c r="A1194" s="77"/>
      <c r="B1194" s="77"/>
      <c r="C1194" s="77"/>
      <c r="D1194" s="77"/>
      <c r="E1194" s="77"/>
      <c r="F1194" s="77"/>
      <c r="G1194" s="77"/>
      <c r="H1194" s="77"/>
      <c r="I1194" s="77"/>
      <c r="J1194" s="77"/>
      <c r="K1194" s="77"/>
      <c r="L1194" s="77"/>
      <c r="M1194" s="77"/>
      <c r="N1194" s="77"/>
      <c r="O1194" s="77"/>
      <c r="P1194" s="77"/>
      <c r="Q1194" s="77"/>
      <c r="R1194" s="77"/>
    </row>
    <row r="1195" spans="1:18">
      <c r="A1195" s="77"/>
      <c r="B1195" s="77"/>
      <c r="C1195" s="77"/>
      <c r="D1195" s="77"/>
      <c r="E1195" s="77"/>
      <c r="F1195" s="77"/>
      <c r="G1195" s="77"/>
      <c r="H1195" s="77"/>
      <c r="I1195" s="77"/>
      <c r="J1195" s="77"/>
      <c r="K1195" s="77"/>
      <c r="L1195" s="77"/>
      <c r="M1195" s="77"/>
      <c r="N1195" s="77"/>
      <c r="O1195" s="77"/>
      <c r="P1195" s="77"/>
      <c r="Q1195" s="77"/>
      <c r="R1195" s="77"/>
    </row>
    <row r="1196" spans="1:18">
      <c r="A1196" s="77"/>
      <c r="B1196" s="77"/>
      <c r="C1196" s="77"/>
      <c r="D1196" s="77"/>
      <c r="E1196" s="77"/>
      <c r="F1196" s="77"/>
      <c r="G1196" s="77"/>
      <c r="H1196" s="77"/>
      <c r="I1196" s="77"/>
      <c r="J1196" s="77"/>
      <c r="K1196" s="77"/>
      <c r="L1196" s="77"/>
      <c r="M1196" s="77"/>
      <c r="N1196" s="77"/>
      <c r="O1196" s="77"/>
      <c r="P1196" s="77"/>
      <c r="Q1196" s="77"/>
      <c r="R1196" s="77"/>
    </row>
    <row r="1197" spans="1:18">
      <c r="A1197" s="77"/>
      <c r="B1197" s="77"/>
      <c r="C1197" s="77"/>
      <c r="D1197" s="77"/>
      <c r="E1197" s="77"/>
      <c r="F1197" s="77"/>
      <c r="G1197" s="77"/>
      <c r="H1197" s="77"/>
      <c r="I1197" s="77"/>
      <c r="J1197" s="77"/>
      <c r="K1197" s="77"/>
      <c r="L1197" s="77"/>
      <c r="M1197" s="77"/>
      <c r="N1197" s="77"/>
      <c r="O1197" s="77"/>
      <c r="P1197" s="77"/>
      <c r="Q1197" s="77"/>
      <c r="R1197" s="77"/>
    </row>
    <row r="1198" spans="1:18">
      <c r="A1198" s="77"/>
      <c r="B1198" s="77"/>
      <c r="C1198" s="77"/>
      <c r="D1198" s="77"/>
      <c r="E1198" s="77"/>
      <c r="F1198" s="77"/>
      <c r="G1198" s="77"/>
      <c r="H1198" s="77"/>
      <c r="I1198" s="77"/>
      <c r="J1198" s="77"/>
      <c r="K1198" s="77"/>
      <c r="L1198" s="77"/>
      <c r="M1198" s="77"/>
      <c r="N1198" s="77"/>
      <c r="O1198" s="77"/>
      <c r="P1198" s="77"/>
      <c r="Q1198" s="77"/>
      <c r="R1198" s="77"/>
    </row>
    <row r="1199" spans="1:18">
      <c r="A1199" s="77"/>
      <c r="B1199" s="77"/>
      <c r="C1199" s="77"/>
      <c r="D1199" s="77"/>
      <c r="E1199" s="77"/>
      <c r="F1199" s="77"/>
      <c r="G1199" s="77"/>
      <c r="H1199" s="77"/>
      <c r="I1199" s="77"/>
      <c r="J1199" s="77"/>
      <c r="K1199" s="77"/>
      <c r="L1199" s="77"/>
      <c r="M1199" s="77"/>
      <c r="N1199" s="77"/>
      <c r="O1199" s="77"/>
      <c r="P1199" s="77"/>
      <c r="Q1199" s="77"/>
      <c r="R1199" s="77"/>
    </row>
    <row r="1200" spans="1:18">
      <c r="A1200" s="77"/>
      <c r="B1200" s="77"/>
      <c r="C1200" s="77"/>
      <c r="D1200" s="77"/>
      <c r="E1200" s="77"/>
      <c r="F1200" s="77"/>
      <c r="G1200" s="77"/>
      <c r="H1200" s="77"/>
      <c r="I1200" s="77"/>
      <c r="J1200" s="77"/>
      <c r="K1200" s="77"/>
      <c r="L1200" s="77"/>
      <c r="M1200" s="77"/>
      <c r="N1200" s="77"/>
      <c r="O1200" s="77"/>
      <c r="P1200" s="77"/>
      <c r="Q1200" s="77"/>
      <c r="R1200" s="77"/>
    </row>
    <row r="1201" spans="1:18">
      <c r="A1201" s="77"/>
      <c r="B1201" s="77"/>
      <c r="C1201" s="77"/>
      <c r="D1201" s="77"/>
      <c r="E1201" s="77"/>
      <c r="F1201" s="77"/>
      <c r="G1201" s="77"/>
      <c r="H1201" s="77"/>
      <c r="I1201" s="77"/>
      <c r="J1201" s="77"/>
      <c r="K1201" s="77"/>
      <c r="L1201" s="77"/>
      <c r="M1201" s="77"/>
      <c r="N1201" s="77"/>
      <c r="O1201" s="77"/>
      <c r="P1201" s="77"/>
      <c r="Q1201" s="77"/>
      <c r="R1201" s="77"/>
    </row>
    <row r="1202" spans="1:18">
      <c r="A1202" s="77"/>
      <c r="B1202" s="77"/>
      <c r="C1202" s="77"/>
      <c r="D1202" s="77"/>
      <c r="E1202" s="77"/>
      <c r="F1202" s="77"/>
      <c r="G1202" s="77"/>
      <c r="H1202" s="77"/>
      <c r="I1202" s="77"/>
      <c r="J1202" s="77"/>
      <c r="K1202" s="77"/>
      <c r="L1202" s="77"/>
      <c r="M1202" s="77"/>
      <c r="N1202" s="77"/>
      <c r="O1202" s="77"/>
      <c r="P1202" s="77"/>
      <c r="Q1202" s="77"/>
      <c r="R1202" s="77"/>
    </row>
    <row r="1203" spans="1:18">
      <c r="A1203" s="77"/>
      <c r="B1203" s="77"/>
      <c r="C1203" s="77"/>
      <c r="D1203" s="77"/>
      <c r="E1203" s="77"/>
      <c r="F1203" s="77"/>
      <c r="G1203" s="77"/>
      <c r="H1203" s="77"/>
      <c r="I1203" s="77"/>
      <c r="J1203" s="77"/>
      <c r="K1203" s="77"/>
      <c r="L1203" s="77"/>
      <c r="M1203" s="77"/>
      <c r="N1203" s="77"/>
      <c r="O1203" s="77"/>
      <c r="P1203" s="77"/>
      <c r="Q1203" s="77"/>
      <c r="R1203" s="77"/>
    </row>
    <row r="1204" spans="1:18">
      <c r="A1204" s="77"/>
      <c r="B1204" s="77"/>
      <c r="C1204" s="77"/>
      <c r="D1204" s="77"/>
      <c r="E1204" s="77"/>
      <c r="F1204" s="77"/>
      <c r="G1204" s="77"/>
      <c r="H1204" s="77"/>
      <c r="I1204" s="77"/>
      <c r="J1204" s="77"/>
      <c r="K1204" s="77"/>
      <c r="L1204" s="77"/>
      <c r="M1204" s="77"/>
      <c r="N1204" s="77"/>
      <c r="O1204" s="77"/>
      <c r="P1204" s="77"/>
      <c r="Q1204" s="77"/>
      <c r="R1204" s="77"/>
    </row>
    <row r="1205" spans="1:18">
      <c r="A1205" s="77"/>
      <c r="B1205" s="77"/>
      <c r="C1205" s="77"/>
      <c r="D1205" s="77"/>
      <c r="E1205" s="77"/>
      <c r="F1205" s="77"/>
      <c r="G1205" s="77"/>
      <c r="H1205" s="77"/>
      <c r="I1205" s="77"/>
      <c r="J1205" s="77"/>
      <c r="K1205" s="77"/>
      <c r="L1205" s="77"/>
      <c r="M1205" s="77"/>
      <c r="N1205" s="77"/>
      <c r="O1205" s="77"/>
      <c r="P1205" s="77"/>
      <c r="Q1205" s="77"/>
      <c r="R1205" s="77"/>
    </row>
    <row r="1206" spans="1:18">
      <c r="A1206" s="77"/>
      <c r="B1206" s="77"/>
      <c r="C1206" s="77"/>
      <c r="D1206" s="77"/>
      <c r="E1206" s="77"/>
      <c r="F1206" s="77"/>
      <c r="G1206" s="77"/>
      <c r="H1206" s="77"/>
      <c r="I1206" s="77"/>
      <c r="J1206" s="77"/>
      <c r="K1206" s="77"/>
      <c r="L1206" s="77"/>
      <c r="M1206" s="77"/>
      <c r="N1206" s="77"/>
      <c r="O1206" s="77"/>
      <c r="P1206" s="77"/>
      <c r="Q1206" s="77"/>
      <c r="R1206" s="77"/>
    </row>
    <row r="1207" spans="1:18">
      <c r="A1207" s="77"/>
      <c r="B1207" s="77"/>
      <c r="C1207" s="77"/>
      <c r="D1207" s="77"/>
      <c r="E1207" s="77"/>
      <c r="F1207" s="77"/>
      <c r="G1207" s="77"/>
      <c r="H1207" s="77"/>
      <c r="I1207" s="77"/>
      <c r="J1207" s="77"/>
      <c r="K1207" s="77"/>
      <c r="L1207" s="77"/>
      <c r="M1207" s="77"/>
      <c r="N1207" s="77"/>
      <c r="O1207" s="77"/>
      <c r="P1207" s="77"/>
      <c r="Q1207" s="77"/>
      <c r="R1207" s="77"/>
    </row>
    <row r="1208" spans="1:18">
      <c r="A1208" s="77"/>
      <c r="B1208" s="77"/>
      <c r="C1208" s="77"/>
      <c r="D1208" s="77"/>
      <c r="E1208" s="77"/>
      <c r="F1208" s="77"/>
      <c r="G1208" s="77"/>
      <c r="H1208" s="77"/>
      <c r="I1208" s="77"/>
      <c r="J1208" s="77"/>
      <c r="K1208" s="77"/>
      <c r="L1208" s="77"/>
      <c r="M1208" s="77"/>
      <c r="N1208" s="77"/>
      <c r="O1208" s="77"/>
      <c r="P1208" s="77"/>
      <c r="Q1208" s="77"/>
      <c r="R1208" s="77"/>
    </row>
    <row r="1209" spans="1:18">
      <c r="A1209" s="77"/>
      <c r="B1209" s="77"/>
      <c r="C1209" s="77"/>
      <c r="D1209" s="77"/>
      <c r="E1209" s="77"/>
      <c r="F1209" s="77"/>
      <c r="G1209" s="77"/>
      <c r="H1209" s="77"/>
      <c r="I1209" s="77"/>
      <c r="J1209" s="77"/>
      <c r="K1209" s="77"/>
      <c r="L1209" s="77"/>
      <c r="M1209" s="77"/>
      <c r="N1209" s="77"/>
      <c r="O1209" s="77"/>
      <c r="P1209" s="77"/>
      <c r="Q1209" s="77"/>
      <c r="R1209" s="77"/>
    </row>
    <row r="1210" spans="1:18">
      <c r="A1210" s="77"/>
      <c r="B1210" s="77"/>
      <c r="C1210" s="77"/>
      <c r="D1210" s="77"/>
      <c r="E1210" s="77"/>
      <c r="F1210" s="77"/>
      <c r="G1210" s="77"/>
      <c r="H1210" s="77"/>
      <c r="I1210" s="77"/>
      <c r="J1210" s="77"/>
      <c r="K1210" s="77"/>
      <c r="L1210" s="77"/>
      <c r="M1210" s="77"/>
      <c r="N1210" s="77"/>
      <c r="O1210" s="77"/>
      <c r="P1210" s="77"/>
      <c r="Q1210" s="77"/>
      <c r="R1210" s="77"/>
    </row>
    <row r="1211" spans="1:18">
      <c r="A1211" s="77"/>
      <c r="B1211" s="77"/>
      <c r="C1211" s="77"/>
      <c r="D1211" s="77"/>
      <c r="E1211" s="77"/>
      <c r="F1211" s="77"/>
      <c r="G1211" s="77"/>
      <c r="H1211" s="77"/>
      <c r="I1211" s="77"/>
      <c r="J1211" s="77"/>
      <c r="K1211" s="77"/>
      <c r="L1211" s="77"/>
      <c r="M1211" s="77"/>
      <c r="N1211" s="77"/>
      <c r="O1211" s="77"/>
      <c r="P1211" s="77"/>
      <c r="Q1211" s="77"/>
      <c r="R1211" s="77"/>
    </row>
    <row r="1212" spans="1:18">
      <c r="A1212" s="77"/>
      <c r="B1212" s="77"/>
      <c r="C1212" s="77"/>
      <c r="D1212" s="77"/>
      <c r="E1212" s="77"/>
      <c r="F1212" s="77"/>
      <c r="G1212" s="77"/>
      <c r="H1212" s="77"/>
      <c r="I1212" s="77"/>
      <c r="J1212" s="77"/>
      <c r="K1212" s="77"/>
      <c r="L1212" s="77"/>
      <c r="M1212" s="77"/>
      <c r="N1212" s="77"/>
      <c r="O1212" s="77"/>
      <c r="P1212" s="77"/>
      <c r="Q1212" s="77"/>
      <c r="R1212" s="77"/>
    </row>
    <row r="1213" spans="1:18">
      <c r="A1213" s="77"/>
      <c r="B1213" s="77"/>
      <c r="C1213" s="77"/>
      <c r="D1213" s="77"/>
      <c r="E1213" s="77"/>
      <c r="F1213" s="77"/>
      <c r="G1213" s="77"/>
      <c r="H1213" s="77"/>
      <c r="I1213" s="77"/>
      <c r="J1213" s="77"/>
      <c r="K1213" s="77"/>
      <c r="L1213" s="77"/>
      <c r="M1213" s="77"/>
      <c r="N1213" s="77"/>
      <c r="O1213" s="77"/>
      <c r="P1213" s="77"/>
      <c r="Q1213" s="77"/>
      <c r="R1213" s="77"/>
    </row>
    <row r="1214" spans="1:18">
      <c r="A1214" s="77"/>
      <c r="B1214" s="77"/>
      <c r="C1214" s="77"/>
      <c r="D1214" s="77"/>
      <c r="E1214" s="77"/>
      <c r="F1214" s="77"/>
      <c r="G1214" s="77"/>
      <c r="H1214" s="77"/>
      <c r="I1214" s="77"/>
      <c r="J1214" s="77"/>
      <c r="K1214" s="77"/>
      <c r="L1214" s="77"/>
      <c r="M1214" s="77"/>
      <c r="N1214" s="77"/>
      <c r="O1214" s="77"/>
      <c r="P1214" s="77"/>
      <c r="Q1214" s="77"/>
      <c r="R1214" s="77"/>
    </row>
    <row r="1215" spans="1:18">
      <c r="A1215" s="77"/>
      <c r="B1215" s="77"/>
      <c r="C1215" s="77"/>
      <c r="D1215" s="77"/>
      <c r="E1215" s="77"/>
      <c r="F1215" s="77"/>
      <c r="G1215" s="77"/>
      <c r="H1215" s="77"/>
      <c r="I1215" s="77"/>
      <c r="J1215" s="77"/>
      <c r="K1215" s="77"/>
      <c r="L1215" s="77"/>
      <c r="M1215" s="77"/>
      <c r="N1215" s="77"/>
      <c r="O1215" s="77"/>
      <c r="P1215" s="77"/>
      <c r="Q1215" s="77"/>
      <c r="R1215" s="77"/>
    </row>
    <row r="1216" spans="1:18">
      <c r="A1216" s="77"/>
      <c r="B1216" s="77"/>
      <c r="C1216" s="77"/>
      <c r="D1216" s="77"/>
      <c r="E1216" s="77"/>
      <c r="F1216" s="77"/>
      <c r="G1216" s="77"/>
      <c r="H1216" s="77"/>
      <c r="I1216" s="77"/>
      <c r="J1216" s="77"/>
      <c r="K1216" s="77"/>
      <c r="L1216" s="77"/>
      <c r="M1216" s="77"/>
      <c r="N1216" s="77"/>
      <c r="O1216" s="77"/>
      <c r="P1216" s="77"/>
      <c r="Q1216" s="77"/>
      <c r="R1216" s="77"/>
    </row>
    <row r="1217" spans="1:18">
      <c r="A1217" s="77"/>
      <c r="B1217" s="77"/>
      <c r="C1217" s="77"/>
      <c r="D1217" s="77"/>
      <c r="E1217" s="77"/>
      <c r="F1217" s="77"/>
      <c r="G1217" s="77"/>
      <c r="H1217" s="77"/>
      <c r="I1217" s="77"/>
      <c r="J1217" s="77"/>
      <c r="K1217" s="77"/>
      <c r="L1217" s="77"/>
      <c r="M1217" s="77"/>
      <c r="N1217" s="77"/>
      <c r="O1217" s="77"/>
      <c r="P1217" s="77"/>
      <c r="Q1217" s="77"/>
      <c r="R1217" s="77"/>
    </row>
    <row r="1218" spans="1:18">
      <c r="A1218" s="77"/>
      <c r="B1218" s="77"/>
      <c r="C1218" s="77"/>
      <c r="D1218" s="77"/>
      <c r="E1218" s="77"/>
      <c r="F1218" s="77"/>
      <c r="G1218" s="77"/>
      <c r="H1218" s="77"/>
      <c r="I1218" s="77"/>
      <c r="J1218" s="77"/>
      <c r="K1218" s="77"/>
      <c r="L1218" s="77"/>
      <c r="M1218" s="77"/>
      <c r="N1218" s="77"/>
      <c r="O1218" s="77"/>
      <c r="P1218" s="77"/>
      <c r="Q1218" s="77"/>
      <c r="R1218" s="77"/>
    </row>
    <row r="1219" spans="1:18">
      <c r="A1219" s="77"/>
      <c r="B1219" s="77"/>
      <c r="C1219" s="77"/>
      <c r="D1219" s="77"/>
      <c r="E1219" s="77"/>
      <c r="F1219" s="77"/>
      <c r="G1219" s="77"/>
      <c r="H1219" s="77"/>
      <c r="I1219" s="77"/>
      <c r="J1219" s="77"/>
      <c r="K1219" s="77"/>
      <c r="L1219" s="77"/>
      <c r="M1219" s="77"/>
      <c r="N1219" s="77"/>
      <c r="O1219" s="77"/>
      <c r="P1219" s="77"/>
      <c r="Q1219" s="77"/>
      <c r="R1219" s="77"/>
    </row>
    <row r="1220" spans="1:18">
      <c r="A1220" s="77"/>
      <c r="B1220" s="77"/>
      <c r="C1220" s="77"/>
      <c r="D1220" s="77"/>
      <c r="E1220" s="77"/>
      <c r="F1220" s="77"/>
      <c r="G1220" s="77"/>
      <c r="H1220" s="77"/>
      <c r="I1220" s="77"/>
      <c r="J1220" s="77"/>
      <c r="K1220" s="77"/>
      <c r="L1220" s="77"/>
      <c r="M1220" s="77"/>
      <c r="N1220" s="77"/>
      <c r="O1220" s="77"/>
      <c r="P1220" s="77"/>
      <c r="Q1220" s="77"/>
      <c r="R1220" s="77"/>
    </row>
    <row r="1221" spans="1:18">
      <c r="A1221" s="77"/>
      <c r="B1221" s="77"/>
      <c r="C1221" s="77"/>
      <c r="D1221" s="77"/>
      <c r="E1221" s="77"/>
      <c r="F1221" s="77"/>
      <c r="G1221" s="77"/>
      <c r="H1221" s="77"/>
      <c r="I1221" s="77"/>
      <c r="J1221" s="77"/>
      <c r="K1221" s="77"/>
      <c r="L1221" s="77"/>
      <c r="M1221" s="77"/>
      <c r="N1221" s="77"/>
      <c r="O1221" s="77"/>
      <c r="P1221" s="77"/>
      <c r="Q1221" s="77"/>
      <c r="R1221" s="77"/>
    </row>
    <row r="1222" spans="1:18">
      <c r="A1222" s="77"/>
      <c r="B1222" s="77"/>
      <c r="C1222" s="77"/>
      <c r="D1222" s="77"/>
      <c r="E1222" s="77"/>
      <c r="F1222" s="77"/>
      <c r="G1222" s="77"/>
      <c r="H1222" s="77"/>
      <c r="I1222" s="77"/>
      <c r="J1222" s="77"/>
      <c r="K1222" s="77"/>
      <c r="L1222" s="77"/>
      <c r="M1222" s="77"/>
      <c r="N1222" s="77"/>
      <c r="O1222" s="77"/>
      <c r="P1222" s="77"/>
      <c r="Q1222" s="77"/>
      <c r="R1222" s="77"/>
    </row>
    <row r="1223" spans="1:18">
      <c r="A1223" s="77"/>
      <c r="B1223" s="77"/>
      <c r="C1223" s="77"/>
      <c r="D1223" s="77"/>
      <c r="E1223" s="77"/>
      <c r="F1223" s="77"/>
      <c r="G1223" s="77"/>
      <c r="H1223" s="77"/>
      <c r="I1223" s="77"/>
      <c r="J1223" s="77"/>
      <c r="K1223" s="77"/>
      <c r="L1223" s="77"/>
      <c r="M1223" s="77"/>
      <c r="N1223" s="77"/>
      <c r="O1223" s="77"/>
      <c r="P1223" s="77"/>
      <c r="Q1223" s="77"/>
      <c r="R1223" s="77"/>
    </row>
    <row r="1224" spans="1:18">
      <c r="A1224" s="77"/>
      <c r="B1224" s="77"/>
      <c r="C1224" s="77"/>
      <c r="D1224" s="77"/>
      <c r="E1224" s="77"/>
      <c r="F1224" s="77"/>
      <c r="G1224" s="77"/>
      <c r="H1224" s="77"/>
      <c r="I1224" s="77"/>
      <c r="J1224" s="77"/>
      <c r="K1224" s="77"/>
      <c r="L1224" s="77"/>
      <c r="M1224" s="77"/>
      <c r="N1224" s="77"/>
      <c r="O1224" s="77"/>
      <c r="P1224" s="77"/>
      <c r="Q1224" s="77"/>
      <c r="R1224" s="77"/>
    </row>
    <row r="1225" spans="1:18">
      <c r="A1225" s="77"/>
      <c r="B1225" s="77"/>
      <c r="C1225" s="77"/>
      <c r="D1225" s="77"/>
      <c r="E1225" s="77"/>
      <c r="F1225" s="77"/>
      <c r="G1225" s="77"/>
      <c r="H1225" s="77"/>
      <c r="I1225" s="77"/>
      <c r="J1225" s="77"/>
      <c r="K1225" s="77"/>
      <c r="L1225" s="77"/>
      <c r="M1225" s="77"/>
      <c r="N1225" s="77"/>
      <c r="O1225" s="77"/>
      <c r="P1225" s="77"/>
      <c r="Q1225" s="77"/>
      <c r="R1225" s="77"/>
    </row>
    <row r="1226" spans="1:18">
      <c r="A1226" s="77"/>
      <c r="B1226" s="77"/>
      <c r="C1226" s="77"/>
      <c r="D1226" s="77"/>
      <c r="E1226" s="77"/>
      <c r="F1226" s="77"/>
      <c r="G1226" s="77"/>
      <c r="H1226" s="77"/>
      <c r="I1226" s="77"/>
      <c r="J1226" s="77"/>
      <c r="K1226" s="77"/>
      <c r="L1226" s="77"/>
      <c r="M1226" s="77"/>
      <c r="N1226" s="77"/>
      <c r="O1226" s="77"/>
      <c r="P1226" s="77"/>
      <c r="Q1226" s="77"/>
      <c r="R1226" s="77"/>
    </row>
    <row r="1227" spans="1:18">
      <c r="A1227" s="77"/>
      <c r="B1227" s="77"/>
      <c r="C1227" s="77"/>
      <c r="D1227" s="77"/>
      <c r="E1227" s="77"/>
      <c r="F1227" s="77"/>
      <c r="G1227" s="77"/>
      <c r="H1227" s="77"/>
      <c r="I1227" s="77"/>
      <c r="J1227" s="77"/>
      <c r="K1227" s="77"/>
      <c r="L1227" s="77"/>
      <c r="M1227" s="77"/>
      <c r="N1227" s="77"/>
      <c r="O1227" s="77"/>
      <c r="P1227" s="77"/>
      <c r="Q1227" s="77"/>
      <c r="R1227" s="77"/>
    </row>
    <row r="1228" spans="1:18">
      <c r="A1228" s="77"/>
      <c r="B1228" s="77"/>
      <c r="C1228" s="77"/>
      <c r="D1228" s="77"/>
      <c r="E1228" s="77"/>
      <c r="F1228" s="77"/>
      <c r="G1228" s="77"/>
      <c r="H1228" s="77"/>
      <c r="I1228" s="77"/>
      <c r="J1228" s="77"/>
      <c r="K1228" s="77"/>
      <c r="L1228" s="77"/>
      <c r="M1228" s="77"/>
      <c r="N1228" s="77"/>
      <c r="O1228" s="77"/>
      <c r="P1228" s="77"/>
      <c r="Q1228" s="77"/>
      <c r="R1228" s="77"/>
    </row>
    <row r="1229" spans="1:18">
      <c r="A1229" s="77"/>
      <c r="B1229" s="77"/>
      <c r="C1229" s="77"/>
      <c r="D1229" s="77"/>
      <c r="E1229" s="77"/>
      <c r="F1229" s="77"/>
      <c r="G1229" s="77"/>
      <c r="H1229" s="77"/>
      <c r="I1229" s="77"/>
      <c r="J1229" s="77"/>
      <c r="K1229" s="77"/>
      <c r="L1229" s="77"/>
      <c r="M1229" s="77"/>
      <c r="N1229" s="77"/>
      <c r="O1229" s="77"/>
      <c r="P1229" s="77"/>
      <c r="Q1229" s="77"/>
      <c r="R1229" s="77"/>
    </row>
    <row r="1230" spans="1:18">
      <c r="A1230" s="77"/>
      <c r="B1230" s="77"/>
      <c r="C1230" s="77"/>
      <c r="D1230" s="77"/>
      <c r="E1230" s="77"/>
      <c r="F1230" s="77"/>
      <c r="G1230" s="77"/>
      <c r="H1230" s="77"/>
      <c r="I1230" s="77"/>
      <c r="J1230" s="77"/>
      <c r="K1230" s="77"/>
      <c r="L1230" s="77"/>
      <c r="M1230" s="77"/>
      <c r="N1230" s="77"/>
      <c r="O1230" s="77"/>
      <c r="P1230" s="77"/>
      <c r="Q1230" s="77"/>
      <c r="R1230" s="77"/>
    </row>
    <row r="1231" spans="1:18">
      <c r="A1231" s="77"/>
      <c r="B1231" s="77"/>
      <c r="C1231" s="77"/>
      <c r="D1231" s="77"/>
      <c r="E1231" s="77"/>
      <c r="F1231" s="77"/>
      <c r="G1231" s="77"/>
      <c r="H1231" s="77"/>
      <c r="I1231" s="77"/>
      <c r="J1231" s="77"/>
      <c r="K1231" s="77"/>
      <c r="L1231" s="77"/>
      <c r="M1231" s="77"/>
      <c r="N1231" s="77"/>
      <c r="O1231" s="77"/>
      <c r="P1231" s="77"/>
      <c r="Q1231" s="77"/>
      <c r="R1231" s="77"/>
    </row>
    <row r="1232" spans="1:18">
      <c r="A1232" s="77"/>
      <c r="B1232" s="77"/>
      <c r="C1232" s="77"/>
      <c r="D1232" s="77"/>
      <c r="E1232" s="77"/>
      <c r="F1232" s="77"/>
      <c r="G1232" s="77"/>
      <c r="H1232" s="77"/>
      <c r="I1232" s="77"/>
      <c r="J1232" s="77"/>
      <c r="K1232" s="77"/>
      <c r="L1232" s="77"/>
      <c r="M1232" s="77"/>
      <c r="N1232" s="77"/>
      <c r="O1232" s="77"/>
      <c r="P1232" s="77"/>
      <c r="Q1232" s="77"/>
      <c r="R1232" s="77"/>
    </row>
    <row r="1233" spans="1:18">
      <c r="A1233" s="77"/>
      <c r="B1233" s="77"/>
      <c r="C1233" s="77"/>
      <c r="D1233" s="77"/>
      <c r="E1233" s="77"/>
      <c r="F1233" s="77"/>
      <c r="G1233" s="77"/>
      <c r="H1233" s="77"/>
      <c r="I1233" s="77"/>
      <c r="J1233" s="77"/>
      <c r="K1233" s="77"/>
      <c r="L1233" s="77"/>
      <c r="M1233" s="77"/>
      <c r="N1233" s="77"/>
      <c r="O1233" s="77"/>
      <c r="P1233" s="77"/>
      <c r="Q1233" s="77"/>
      <c r="R1233" s="77"/>
    </row>
    <row r="1234" spans="1:18">
      <c r="A1234" s="77"/>
      <c r="B1234" s="77"/>
      <c r="C1234" s="77"/>
      <c r="D1234" s="77"/>
      <c r="E1234" s="77"/>
      <c r="F1234" s="77"/>
      <c r="G1234" s="77"/>
      <c r="H1234" s="77"/>
      <c r="I1234" s="77"/>
      <c r="J1234" s="77"/>
      <c r="K1234" s="77"/>
      <c r="L1234" s="77"/>
      <c r="M1234" s="77"/>
      <c r="N1234" s="77"/>
      <c r="O1234" s="77"/>
      <c r="P1234" s="77"/>
      <c r="Q1234" s="77"/>
      <c r="R1234" s="77"/>
    </row>
    <row r="1235" spans="1:18">
      <c r="A1235" s="77"/>
      <c r="B1235" s="77"/>
      <c r="C1235" s="77"/>
      <c r="D1235" s="77"/>
      <c r="E1235" s="77"/>
      <c r="F1235" s="77"/>
      <c r="G1235" s="77"/>
      <c r="H1235" s="77"/>
      <c r="I1235" s="77"/>
      <c r="J1235" s="77"/>
      <c r="K1235" s="77"/>
      <c r="L1235" s="77"/>
      <c r="M1235" s="77"/>
      <c r="N1235" s="77"/>
      <c r="O1235" s="77"/>
      <c r="P1235" s="77"/>
      <c r="Q1235" s="77"/>
      <c r="R1235" s="77"/>
    </row>
    <row r="1236" spans="1:18">
      <c r="A1236" s="77"/>
      <c r="B1236" s="77"/>
      <c r="C1236" s="77"/>
      <c r="D1236" s="77"/>
      <c r="E1236" s="77"/>
      <c r="F1236" s="77"/>
      <c r="G1236" s="77"/>
      <c r="H1236" s="77"/>
      <c r="I1236" s="77"/>
      <c r="J1236" s="77"/>
      <c r="K1236" s="77"/>
      <c r="L1236" s="77"/>
      <c r="M1236" s="77"/>
      <c r="N1236" s="77"/>
      <c r="O1236" s="77"/>
      <c r="P1236" s="77"/>
      <c r="Q1236" s="77"/>
      <c r="R1236" s="77"/>
    </row>
    <row r="1237" spans="1:18">
      <c r="A1237" s="77"/>
      <c r="B1237" s="77"/>
      <c r="C1237" s="77"/>
      <c r="D1237" s="77"/>
      <c r="E1237" s="77"/>
      <c r="F1237" s="77"/>
      <c r="G1237" s="77"/>
      <c r="H1237" s="77"/>
      <c r="I1237" s="77"/>
      <c r="J1237" s="77"/>
      <c r="K1237" s="77"/>
      <c r="L1237" s="77"/>
      <c r="M1237" s="77"/>
      <c r="N1237" s="77"/>
      <c r="O1237" s="77"/>
      <c r="P1237" s="77"/>
      <c r="Q1237" s="77"/>
      <c r="R1237" s="77"/>
    </row>
    <row r="1238" spans="1:18">
      <c r="A1238" s="77"/>
      <c r="B1238" s="77"/>
      <c r="C1238" s="77"/>
      <c r="D1238" s="77"/>
      <c r="E1238" s="77"/>
      <c r="F1238" s="77"/>
      <c r="G1238" s="77"/>
      <c r="H1238" s="77"/>
      <c r="I1238" s="77"/>
      <c r="J1238" s="77"/>
      <c r="K1238" s="77"/>
      <c r="L1238" s="77"/>
      <c r="M1238" s="77"/>
      <c r="N1238" s="77"/>
      <c r="O1238" s="77"/>
      <c r="P1238" s="77"/>
      <c r="Q1238" s="77"/>
      <c r="R1238" s="77"/>
    </row>
    <row r="1239" spans="1:18">
      <c r="A1239" s="77"/>
      <c r="B1239" s="77"/>
      <c r="C1239" s="77"/>
      <c r="D1239" s="77"/>
      <c r="E1239" s="77"/>
      <c r="F1239" s="77"/>
      <c r="G1239" s="77"/>
      <c r="H1239" s="77"/>
      <c r="I1239" s="77"/>
      <c r="J1239" s="77"/>
      <c r="K1239" s="77"/>
      <c r="L1239" s="77"/>
      <c r="M1239" s="77"/>
      <c r="N1239" s="77"/>
      <c r="O1239" s="77"/>
      <c r="P1239" s="77"/>
      <c r="Q1239" s="77"/>
      <c r="R1239" s="77"/>
    </row>
    <row r="1240" spans="1:18">
      <c r="A1240" s="77"/>
      <c r="B1240" s="77"/>
      <c r="C1240" s="77"/>
      <c r="D1240" s="77"/>
      <c r="E1240" s="77"/>
      <c r="F1240" s="77"/>
      <c r="G1240" s="77"/>
      <c r="H1240" s="77"/>
      <c r="I1240" s="77"/>
      <c r="J1240" s="77"/>
      <c r="K1240" s="77"/>
      <c r="L1240" s="77"/>
      <c r="M1240" s="77"/>
      <c r="N1240" s="77"/>
      <c r="O1240" s="77"/>
      <c r="P1240" s="77"/>
      <c r="Q1240" s="77"/>
      <c r="R1240" s="77"/>
    </row>
    <row r="1241" spans="1:18">
      <c r="A1241" s="77"/>
      <c r="B1241" s="77"/>
      <c r="C1241" s="77"/>
      <c r="D1241" s="77"/>
      <c r="E1241" s="77"/>
      <c r="F1241" s="77"/>
      <c r="G1241" s="77"/>
      <c r="H1241" s="77"/>
      <c r="I1241" s="77"/>
      <c r="J1241" s="77"/>
      <c r="K1241" s="77"/>
      <c r="L1241" s="77"/>
      <c r="M1241" s="77"/>
      <c r="N1241" s="77"/>
      <c r="O1241" s="77"/>
      <c r="P1241" s="77"/>
      <c r="Q1241" s="77"/>
      <c r="R1241" s="77"/>
    </row>
    <row r="1242" spans="1:18">
      <c r="A1242" s="77"/>
      <c r="B1242" s="77"/>
      <c r="C1242" s="77"/>
      <c r="D1242" s="77"/>
      <c r="E1242" s="77"/>
      <c r="F1242" s="77"/>
      <c r="G1242" s="77"/>
      <c r="H1242" s="77"/>
      <c r="I1242" s="77"/>
      <c r="J1242" s="77"/>
      <c r="K1242" s="77"/>
      <c r="L1242" s="77"/>
      <c r="M1242" s="77"/>
      <c r="N1242" s="77"/>
      <c r="O1242" s="77"/>
      <c r="P1242" s="77"/>
      <c r="Q1242" s="77"/>
      <c r="R1242" s="77"/>
    </row>
    <row r="1243" spans="1:18">
      <c r="A1243" s="77"/>
      <c r="B1243" s="77"/>
      <c r="C1243" s="77"/>
      <c r="D1243" s="77"/>
      <c r="E1243" s="77"/>
      <c r="F1243" s="77"/>
      <c r="G1243" s="77"/>
      <c r="H1243" s="77"/>
      <c r="I1243" s="77"/>
      <c r="J1243" s="77"/>
      <c r="K1243" s="77"/>
      <c r="L1243" s="77"/>
      <c r="M1243" s="77"/>
      <c r="N1243" s="77"/>
      <c r="O1243" s="77"/>
      <c r="P1243" s="77"/>
      <c r="Q1243" s="77"/>
      <c r="R1243" s="77"/>
    </row>
    <row r="1244" spans="1:18">
      <c r="A1244" s="77"/>
      <c r="B1244" s="77"/>
      <c r="C1244" s="77"/>
      <c r="D1244" s="77"/>
      <c r="E1244" s="77"/>
      <c r="F1244" s="77"/>
      <c r="G1244" s="77"/>
      <c r="H1244" s="77"/>
      <c r="I1244" s="77"/>
      <c r="J1244" s="77"/>
      <c r="K1244" s="77"/>
      <c r="L1244" s="77"/>
      <c r="M1244" s="77"/>
      <c r="N1244" s="77"/>
      <c r="O1244" s="77"/>
      <c r="P1244" s="77"/>
      <c r="Q1244" s="77"/>
      <c r="R1244" s="77"/>
    </row>
    <row r="1245" spans="1:18">
      <c r="A1245" s="77"/>
      <c r="B1245" s="77"/>
      <c r="C1245" s="77"/>
      <c r="D1245" s="77"/>
      <c r="E1245" s="77"/>
      <c r="F1245" s="77"/>
      <c r="G1245" s="77"/>
      <c r="H1245" s="77"/>
      <c r="I1245" s="77"/>
      <c r="J1245" s="77"/>
      <c r="K1245" s="77"/>
      <c r="L1245" s="77"/>
      <c r="M1245" s="77"/>
      <c r="N1245" s="77"/>
      <c r="O1245" s="77"/>
      <c r="P1245" s="77"/>
      <c r="Q1245" s="77"/>
      <c r="R1245" s="77"/>
    </row>
    <row r="1246" spans="1:18">
      <c r="A1246" s="77"/>
      <c r="B1246" s="77"/>
      <c r="C1246" s="77"/>
      <c r="D1246" s="77"/>
      <c r="E1246" s="77"/>
      <c r="F1246" s="77"/>
      <c r="G1246" s="77"/>
      <c r="H1246" s="77"/>
      <c r="I1246" s="77"/>
      <c r="J1246" s="77"/>
      <c r="K1246" s="77"/>
      <c r="L1246" s="77"/>
      <c r="M1246" s="77"/>
      <c r="N1246" s="77"/>
      <c r="O1246" s="77"/>
      <c r="P1246" s="77"/>
      <c r="Q1246" s="77"/>
      <c r="R1246" s="77"/>
    </row>
    <row r="1247" spans="1:18">
      <c r="A1247" s="77"/>
      <c r="B1247" s="77"/>
      <c r="C1247" s="77"/>
      <c r="D1247" s="77"/>
      <c r="E1247" s="77"/>
      <c r="F1247" s="77"/>
      <c r="G1247" s="77"/>
      <c r="H1247" s="77"/>
      <c r="I1247" s="77"/>
      <c r="J1247" s="77"/>
      <c r="K1247" s="77"/>
      <c r="L1247" s="77"/>
      <c r="M1247" s="77"/>
      <c r="N1247" s="77"/>
      <c r="O1247" s="77"/>
      <c r="P1247" s="77"/>
      <c r="Q1247" s="77"/>
      <c r="R1247" s="77"/>
    </row>
    <row r="1248" spans="1:18">
      <c r="A1248" s="77"/>
      <c r="B1248" s="77"/>
      <c r="C1248" s="77"/>
      <c r="D1248" s="77"/>
      <c r="E1248" s="77"/>
      <c r="F1248" s="77"/>
      <c r="G1248" s="77"/>
      <c r="H1248" s="77"/>
      <c r="I1248" s="77"/>
      <c r="J1248" s="77"/>
      <c r="K1248" s="77"/>
      <c r="L1248" s="77"/>
      <c r="M1248" s="77"/>
      <c r="N1248" s="77"/>
      <c r="O1248" s="77"/>
      <c r="P1248" s="77"/>
      <c r="Q1248" s="77"/>
      <c r="R1248" s="77"/>
    </row>
    <row r="1249" spans="1:18">
      <c r="A1249" s="77"/>
      <c r="B1249" s="77"/>
      <c r="C1249" s="77"/>
      <c r="D1249" s="77"/>
      <c r="E1249" s="77"/>
      <c r="F1249" s="77"/>
      <c r="G1249" s="77"/>
      <c r="H1249" s="77"/>
      <c r="I1249" s="77"/>
      <c r="J1249" s="77"/>
      <c r="K1249" s="77"/>
      <c r="L1249" s="77"/>
      <c r="M1249" s="77"/>
      <c r="N1249" s="77"/>
      <c r="O1249" s="77"/>
      <c r="P1249" s="77"/>
      <c r="Q1249" s="77"/>
      <c r="R1249" s="77"/>
    </row>
    <row r="1250" spans="1:18">
      <c r="A1250" s="77"/>
      <c r="B1250" s="77"/>
      <c r="C1250" s="77"/>
      <c r="D1250" s="77"/>
      <c r="E1250" s="77"/>
      <c r="F1250" s="77"/>
      <c r="G1250" s="77"/>
      <c r="H1250" s="77"/>
      <c r="I1250" s="77"/>
      <c r="J1250" s="77"/>
      <c r="K1250" s="77"/>
      <c r="L1250" s="77"/>
      <c r="M1250" s="77"/>
      <c r="N1250" s="77"/>
      <c r="O1250" s="77"/>
      <c r="P1250" s="77"/>
      <c r="Q1250" s="77"/>
      <c r="R1250" s="77"/>
    </row>
    <row r="1251" spans="1:18">
      <c r="A1251" s="77"/>
      <c r="B1251" s="77"/>
      <c r="C1251" s="77"/>
      <c r="D1251" s="77"/>
      <c r="E1251" s="77"/>
      <c r="F1251" s="77"/>
      <c r="G1251" s="77"/>
      <c r="H1251" s="77"/>
      <c r="I1251" s="77"/>
      <c r="J1251" s="77"/>
      <c r="K1251" s="77"/>
      <c r="L1251" s="77"/>
      <c r="M1251" s="77"/>
      <c r="N1251" s="77"/>
      <c r="O1251" s="77"/>
      <c r="P1251" s="77"/>
      <c r="Q1251" s="77"/>
      <c r="R1251" s="77"/>
    </row>
    <row r="1252" spans="1:18">
      <c r="A1252" s="77"/>
      <c r="B1252" s="77"/>
      <c r="C1252" s="77"/>
      <c r="D1252" s="77"/>
      <c r="E1252" s="77"/>
      <c r="F1252" s="77"/>
      <c r="G1252" s="77"/>
      <c r="H1252" s="77"/>
      <c r="I1252" s="77"/>
      <c r="J1252" s="77"/>
      <c r="K1252" s="77"/>
      <c r="L1252" s="77"/>
      <c r="M1252" s="77"/>
      <c r="N1252" s="77"/>
      <c r="O1252" s="77"/>
      <c r="P1252" s="77"/>
      <c r="Q1252" s="77"/>
      <c r="R1252" s="77"/>
    </row>
    <row r="1253" spans="1:18">
      <c r="A1253" s="77"/>
      <c r="B1253" s="77"/>
      <c r="C1253" s="77"/>
      <c r="D1253" s="77"/>
      <c r="E1253" s="77"/>
      <c r="F1253" s="77"/>
      <c r="G1253" s="77"/>
      <c r="H1253" s="77"/>
      <c r="I1253" s="77"/>
      <c r="J1253" s="77"/>
      <c r="K1253" s="77"/>
      <c r="L1253" s="77"/>
      <c r="M1253" s="77"/>
      <c r="N1253" s="77"/>
      <c r="O1253" s="77"/>
      <c r="P1253" s="77"/>
      <c r="Q1253" s="77"/>
      <c r="R1253" s="77"/>
    </row>
    <row r="1254" spans="1:18">
      <c r="A1254" s="77"/>
      <c r="B1254" s="77"/>
      <c r="C1254" s="77"/>
      <c r="D1254" s="77"/>
      <c r="E1254" s="77"/>
      <c r="F1254" s="77"/>
      <c r="G1254" s="77"/>
      <c r="H1254" s="77"/>
      <c r="I1254" s="77"/>
      <c r="J1254" s="77"/>
      <c r="K1254" s="77"/>
      <c r="L1254" s="77"/>
      <c r="M1254" s="77"/>
      <c r="N1254" s="77"/>
      <c r="O1254" s="77"/>
      <c r="P1254" s="77"/>
      <c r="Q1254" s="77"/>
      <c r="R1254" s="77"/>
    </row>
    <row r="1255" spans="1:18">
      <c r="A1255" s="77"/>
      <c r="B1255" s="77"/>
      <c r="C1255" s="77"/>
      <c r="D1255" s="77"/>
      <c r="E1255" s="77"/>
      <c r="F1255" s="77"/>
      <c r="G1255" s="77"/>
      <c r="H1255" s="77"/>
      <c r="I1255" s="77"/>
      <c r="J1255" s="77"/>
      <c r="K1255" s="77"/>
      <c r="L1255" s="77"/>
      <c r="M1255" s="77"/>
      <c r="N1255" s="77"/>
      <c r="O1255" s="77"/>
      <c r="P1255" s="77"/>
      <c r="Q1255" s="77"/>
      <c r="R1255" s="77"/>
    </row>
    <row r="1256" spans="1:18">
      <c r="A1256" s="77"/>
      <c r="B1256" s="77"/>
      <c r="C1256" s="77"/>
      <c r="D1256" s="77"/>
      <c r="E1256" s="77"/>
      <c r="F1256" s="77"/>
      <c r="G1256" s="77"/>
      <c r="H1256" s="77"/>
      <c r="I1256" s="77"/>
      <c r="J1256" s="77"/>
      <c r="K1256" s="77"/>
      <c r="L1256" s="77"/>
      <c r="M1256" s="77"/>
      <c r="N1256" s="77"/>
      <c r="O1256" s="77"/>
      <c r="P1256" s="77"/>
      <c r="Q1256" s="77"/>
      <c r="R1256" s="77"/>
    </row>
    <row r="1257" spans="1:18">
      <c r="A1257" s="77"/>
      <c r="B1257" s="77"/>
      <c r="C1257" s="77"/>
      <c r="D1257" s="77"/>
      <c r="E1257" s="77"/>
      <c r="F1257" s="77"/>
      <c r="G1257" s="77"/>
      <c r="H1257" s="77"/>
      <c r="I1257" s="77"/>
      <c r="J1257" s="77"/>
      <c r="K1257" s="77"/>
      <c r="L1257" s="77"/>
      <c r="M1257" s="77"/>
      <c r="N1257" s="77"/>
      <c r="O1257" s="77"/>
      <c r="P1257" s="77"/>
      <c r="Q1257" s="77"/>
      <c r="R1257" s="77"/>
    </row>
    <row r="1258" spans="1:18">
      <c r="A1258" s="77"/>
      <c r="B1258" s="77"/>
      <c r="C1258" s="77"/>
      <c r="D1258" s="77"/>
      <c r="E1258" s="77"/>
      <c r="F1258" s="77"/>
      <c r="G1258" s="77"/>
      <c r="H1258" s="77"/>
      <c r="I1258" s="77"/>
      <c r="J1258" s="77"/>
      <c r="K1258" s="77"/>
      <c r="L1258" s="77"/>
      <c r="M1258" s="77"/>
      <c r="N1258" s="77"/>
      <c r="O1258" s="77"/>
      <c r="P1258" s="77"/>
      <c r="Q1258" s="77"/>
      <c r="R1258" s="77"/>
    </row>
    <row r="1259" spans="1:18">
      <c r="A1259" s="77"/>
      <c r="B1259" s="77"/>
      <c r="C1259" s="77"/>
      <c r="D1259" s="77"/>
      <c r="E1259" s="77"/>
      <c r="F1259" s="77"/>
      <c r="G1259" s="77"/>
      <c r="H1259" s="77"/>
      <c r="I1259" s="77"/>
      <c r="J1259" s="77"/>
      <c r="K1259" s="77"/>
      <c r="L1259" s="77"/>
      <c r="M1259" s="77"/>
      <c r="N1259" s="77"/>
      <c r="O1259" s="77"/>
      <c r="P1259" s="77"/>
      <c r="Q1259" s="77"/>
      <c r="R1259" s="77"/>
    </row>
    <row r="1260" spans="1:18">
      <c r="A1260" s="77"/>
      <c r="B1260" s="77"/>
      <c r="C1260" s="77"/>
      <c r="D1260" s="77"/>
      <c r="E1260" s="77"/>
      <c r="F1260" s="77"/>
      <c r="G1260" s="77"/>
      <c r="H1260" s="77"/>
      <c r="I1260" s="77"/>
      <c r="J1260" s="77"/>
      <c r="K1260" s="77"/>
      <c r="L1260" s="77"/>
      <c r="M1260" s="77"/>
      <c r="N1260" s="77"/>
      <c r="O1260" s="77"/>
      <c r="P1260" s="77"/>
      <c r="Q1260" s="77"/>
      <c r="R1260" s="77"/>
    </row>
    <row r="1261" spans="1:18">
      <c r="A1261" s="77"/>
      <c r="B1261" s="77"/>
      <c r="C1261" s="77"/>
      <c r="D1261" s="77"/>
      <c r="E1261" s="77"/>
      <c r="F1261" s="77"/>
      <c r="G1261" s="77"/>
      <c r="H1261" s="77"/>
      <c r="I1261" s="77"/>
      <c r="J1261" s="77"/>
      <c r="K1261" s="77"/>
      <c r="L1261" s="77"/>
      <c r="M1261" s="77"/>
      <c r="N1261" s="77"/>
      <c r="O1261" s="77"/>
      <c r="P1261" s="77"/>
      <c r="Q1261" s="77"/>
      <c r="R1261" s="77"/>
    </row>
    <row r="1262" spans="1:18">
      <c r="A1262" s="77"/>
      <c r="B1262" s="77"/>
      <c r="C1262" s="77"/>
      <c r="D1262" s="77"/>
      <c r="E1262" s="77"/>
      <c r="F1262" s="77"/>
      <c r="G1262" s="77"/>
      <c r="H1262" s="77"/>
      <c r="I1262" s="77"/>
      <c r="J1262" s="77"/>
      <c r="K1262" s="77"/>
      <c r="L1262" s="77"/>
      <c r="M1262" s="77"/>
      <c r="N1262" s="77"/>
      <c r="O1262" s="77"/>
      <c r="P1262" s="77"/>
      <c r="Q1262" s="77"/>
      <c r="R1262" s="77"/>
    </row>
    <row r="1263" spans="1:18">
      <c r="A1263" s="77"/>
      <c r="B1263" s="77"/>
      <c r="C1263" s="77"/>
      <c r="D1263" s="77"/>
      <c r="E1263" s="77"/>
      <c r="F1263" s="77"/>
      <c r="G1263" s="77"/>
      <c r="H1263" s="77"/>
      <c r="I1263" s="77"/>
      <c r="J1263" s="77"/>
      <c r="K1263" s="77"/>
      <c r="L1263" s="77"/>
      <c r="M1263" s="77"/>
      <c r="N1263" s="77"/>
      <c r="O1263" s="77"/>
      <c r="P1263" s="77"/>
      <c r="Q1263" s="77"/>
      <c r="R1263" s="77"/>
    </row>
    <row r="1264" spans="1:18">
      <c r="A1264" s="77"/>
      <c r="B1264" s="77"/>
      <c r="C1264" s="77"/>
      <c r="D1264" s="77"/>
      <c r="E1264" s="77"/>
      <c r="F1264" s="77"/>
      <c r="G1264" s="77"/>
      <c r="H1264" s="77"/>
      <c r="I1264" s="77"/>
      <c r="J1264" s="77"/>
      <c r="K1264" s="77"/>
      <c r="L1264" s="77"/>
      <c r="M1264" s="77"/>
      <c r="N1264" s="77"/>
      <c r="O1264" s="77"/>
      <c r="P1264" s="77"/>
      <c r="Q1264" s="77"/>
      <c r="R1264" s="77"/>
    </row>
    <row r="1265" spans="1:18">
      <c r="A1265" s="77"/>
      <c r="B1265" s="77"/>
      <c r="C1265" s="77"/>
      <c r="D1265" s="77"/>
      <c r="E1265" s="77"/>
      <c r="F1265" s="77"/>
      <c r="G1265" s="77"/>
      <c r="H1265" s="77"/>
      <c r="I1265" s="77"/>
      <c r="J1265" s="77"/>
      <c r="K1265" s="77"/>
      <c r="L1265" s="77"/>
      <c r="M1265" s="77"/>
      <c r="N1265" s="77"/>
      <c r="O1265" s="77"/>
      <c r="P1265" s="77"/>
      <c r="Q1265" s="77"/>
      <c r="R1265" s="77"/>
    </row>
    <row r="1266" spans="1:18">
      <c r="A1266" s="77"/>
      <c r="B1266" s="77"/>
      <c r="C1266" s="77"/>
      <c r="D1266" s="77"/>
      <c r="E1266" s="77"/>
      <c r="F1266" s="77"/>
      <c r="G1266" s="77"/>
      <c r="H1266" s="77"/>
      <c r="I1266" s="77"/>
      <c r="J1266" s="77"/>
      <c r="K1266" s="77"/>
      <c r="L1266" s="77"/>
      <c r="M1266" s="77"/>
      <c r="N1266" s="77"/>
      <c r="O1266" s="77"/>
      <c r="P1266" s="77"/>
      <c r="Q1266" s="77"/>
      <c r="R1266" s="77"/>
    </row>
    <row r="1267" spans="1:18">
      <c r="A1267" s="77"/>
      <c r="B1267" s="77"/>
      <c r="C1267" s="77"/>
      <c r="D1267" s="77"/>
      <c r="E1267" s="77"/>
      <c r="F1267" s="77"/>
      <c r="G1267" s="77"/>
      <c r="H1267" s="77"/>
      <c r="I1267" s="77"/>
      <c r="J1267" s="77"/>
      <c r="K1267" s="77"/>
      <c r="L1267" s="77"/>
      <c r="M1267" s="77"/>
      <c r="N1267" s="77"/>
      <c r="O1267" s="77"/>
      <c r="P1267" s="77"/>
      <c r="Q1267" s="77"/>
      <c r="R1267" s="77"/>
    </row>
    <row r="1268" spans="1:18">
      <c r="A1268" s="77"/>
      <c r="B1268" s="77"/>
      <c r="C1268" s="77"/>
      <c r="D1268" s="77"/>
      <c r="E1268" s="77"/>
      <c r="F1268" s="77"/>
      <c r="G1268" s="77"/>
      <c r="H1268" s="77"/>
      <c r="I1268" s="77"/>
      <c r="J1268" s="77"/>
      <c r="K1268" s="77"/>
      <c r="L1268" s="77"/>
      <c r="M1268" s="77"/>
      <c r="N1268" s="77"/>
      <c r="O1268" s="77"/>
      <c r="P1268" s="77"/>
      <c r="Q1268" s="77"/>
      <c r="R1268" s="77"/>
    </row>
    <row r="1269" spans="1:18">
      <c r="A1269" s="77"/>
      <c r="B1269" s="77"/>
      <c r="C1269" s="77"/>
      <c r="D1269" s="77"/>
      <c r="E1269" s="77"/>
      <c r="F1269" s="77"/>
      <c r="G1269" s="77"/>
      <c r="H1269" s="77"/>
      <c r="I1269" s="77"/>
      <c r="J1269" s="77"/>
      <c r="K1269" s="77"/>
      <c r="L1269" s="77"/>
      <c r="M1269" s="77"/>
      <c r="N1269" s="77"/>
      <c r="O1269" s="77"/>
      <c r="P1269" s="77"/>
      <c r="Q1269" s="77"/>
      <c r="R1269" s="77"/>
    </row>
    <row r="1270" spans="1:18">
      <c r="A1270" s="77"/>
      <c r="B1270" s="77"/>
      <c r="C1270" s="77"/>
      <c r="D1270" s="77"/>
      <c r="E1270" s="77"/>
      <c r="F1270" s="77"/>
      <c r="G1270" s="77"/>
      <c r="H1270" s="77"/>
      <c r="I1270" s="77"/>
      <c r="J1270" s="77"/>
      <c r="K1270" s="77"/>
      <c r="L1270" s="77"/>
      <c r="M1270" s="77"/>
      <c r="N1270" s="77"/>
      <c r="O1270" s="77"/>
      <c r="P1270" s="77"/>
      <c r="Q1270" s="77"/>
      <c r="R1270" s="77"/>
    </row>
    <row r="1271" spans="1:18">
      <c r="A1271" s="77"/>
      <c r="B1271" s="77"/>
      <c r="C1271" s="77"/>
      <c r="D1271" s="77"/>
      <c r="E1271" s="77"/>
      <c r="F1271" s="77"/>
      <c r="G1271" s="77"/>
      <c r="H1271" s="77"/>
      <c r="I1271" s="77"/>
      <c r="J1271" s="77"/>
      <c r="K1271" s="77"/>
      <c r="L1271" s="77"/>
      <c r="M1271" s="77"/>
      <c r="N1271" s="77"/>
      <c r="O1271" s="77"/>
      <c r="P1271" s="77"/>
      <c r="Q1271" s="77"/>
      <c r="R1271" s="77"/>
    </row>
    <row r="1272" spans="1:18">
      <c r="A1272" s="77"/>
      <c r="B1272" s="77"/>
      <c r="C1272" s="77"/>
      <c r="D1272" s="77"/>
      <c r="E1272" s="77"/>
      <c r="F1272" s="77"/>
      <c r="G1272" s="77"/>
      <c r="H1272" s="77"/>
      <c r="I1272" s="77"/>
      <c r="J1272" s="77"/>
      <c r="K1272" s="77"/>
      <c r="L1272" s="77"/>
      <c r="M1272" s="77"/>
      <c r="N1272" s="77"/>
      <c r="O1272" s="77"/>
      <c r="P1272" s="77"/>
      <c r="Q1272" s="77"/>
      <c r="R1272" s="77"/>
    </row>
    <row r="1273" spans="1:18">
      <c r="A1273" s="77"/>
      <c r="B1273" s="77"/>
      <c r="C1273" s="77"/>
      <c r="D1273" s="77"/>
      <c r="E1273" s="77"/>
      <c r="F1273" s="77"/>
      <c r="G1273" s="77"/>
      <c r="H1273" s="77"/>
      <c r="I1273" s="77"/>
      <c r="J1273" s="77"/>
      <c r="K1273" s="77"/>
      <c r="L1273" s="77"/>
      <c r="M1273" s="77"/>
      <c r="N1273" s="77"/>
      <c r="O1273" s="77"/>
      <c r="P1273" s="77"/>
      <c r="Q1273" s="77"/>
      <c r="R1273" s="77"/>
    </row>
    <row r="1274" spans="1:18">
      <c r="A1274" s="77"/>
      <c r="B1274" s="77"/>
      <c r="C1274" s="77"/>
      <c r="D1274" s="77"/>
      <c r="E1274" s="77"/>
      <c r="F1274" s="77"/>
      <c r="G1274" s="77"/>
      <c r="H1274" s="77"/>
      <c r="I1274" s="77"/>
      <c r="J1274" s="77"/>
      <c r="K1274" s="77"/>
      <c r="L1274" s="77"/>
      <c r="M1274" s="77"/>
      <c r="N1274" s="77"/>
      <c r="O1274" s="77"/>
      <c r="P1274" s="77"/>
      <c r="Q1274" s="77"/>
      <c r="R1274" s="77"/>
    </row>
    <row r="1275" spans="1:18">
      <c r="A1275" s="77"/>
      <c r="B1275" s="77"/>
      <c r="C1275" s="77"/>
      <c r="D1275" s="77"/>
      <c r="E1275" s="77"/>
      <c r="F1275" s="77"/>
      <c r="G1275" s="77"/>
      <c r="H1275" s="77"/>
      <c r="I1275" s="77"/>
      <c r="J1275" s="77"/>
      <c r="K1275" s="77"/>
      <c r="L1275" s="77"/>
      <c r="M1275" s="77"/>
      <c r="N1275" s="77"/>
      <c r="O1275" s="77"/>
      <c r="P1275" s="77"/>
      <c r="Q1275" s="77"/>
      <c r="R1275" s="77"/>
    </row>
    <row r="1276" spans="1:18">
      <c r="A1276" s="77"/>
      <c r="B1276" s="77"/>
      <c r="C1276" s="77"/>
      <c r="D1276" s="77"/>
      <c r="E1276" s="77"/>
      <c r="F1276" s="77"/>
      <c r="G1276" s="77"/>
      <c r="H1276" s="77"/>
      <c r="I1276" s="77"/>
      <c r="J1276" s="77"/>
      <c r="K1276" s="77"/>
      <c r="L1276" s="77"/>
      <c r="M1276" s="77"/>
      <c r="N1276" s="77"/>
      <c r="O1276" s="77"/>
      <c r="P1276" s="77"/>
      <c r="Q1276" s="77"/>
      <c r="R1276" s="77"/>
    </row>
    <row r="1277" spans="1:18">
      <c r="A1277" s="77"/>
      <c r="B1277" s="77"/>
      <c r="C1277" s="77"/>
      <c r="D1277" s="77"/>
      <c r="E1277" s="77"/>
      <c r="F1277" s="77"/>
      <c r="G1277" s="77"/>
      <c r="H1277" s="77"/>
      <c r="I1277" s="77"/>
      <c r="J1277" s="77"/>
      <c r="K1277" s="77"/>
      <c r="L1277" s="77"/>
      <c r="M1277" s="77"/>
      <c r="N1277" s="77"/>
      <c r="O1277" s="77"/>
      <c r="P1277" s="77"/>
      <c r="Q1277" s="77"/>
      <c r="R1277" s="77"/>
    </row>
    <row r="1278" spans="1:18">
      <c r="A1278" s="77"/>
      <c r="B1278" s="77"/>
      <c r="C1278" s="77"/>
      <c r="D1278" s="77"/>
      <c r="E1278" s="77"/>
      <c r="F1278" s="77"/>
      <c r="G1278" s="77"/>
      <c r="H1278" s="77"/>
      <c r="I1278" s="77"/>
      <c r="J1278" s="77"/>
      <c r="K1278" s="77"/>
      <c r="L1278" s="77"/>
      <c r="M1278" s="77"/>
      <c r="N1278" s="77"/>
      <c r="O1278" s="77"/>
      <c r="P1278" s="77"/>
      <c r="Q1278" s="77"/>
      <c r="R1278" s="77"/>
    </row>
    <row r="1279" spans="1:18">
      <c r="A1279" s="77"/>
      <c r="B1279" s="77"/>
      <c r="C1279" s="77"/>
      <c r="D1279" s="77"/>
      <c r="E1279" s="77"/>
      <c r="F1279" s="77"/>
      <c r="G1279" s="77"/>
      <c r="H1279" s="77"/>
      <c r="I1279" s="77"/>
      <c r="J1279" s="77"/>
      <c r="K1279" s="77"/>
      <c r="L1279" s="77"/>
      <c r="M1279" s="77"/>
      <c r="N1279" s="77"/>
      <c r="O1279" s="77"/>
      <c r="P1279" s="77"/>
      <c r="Q1279" s="77"/>
      <c r="R1279" s="77"/>
    </row>
    <row r="1280" spans="1:18">
      <c r="A1280" s="77"/>
      <c r="B1280" s="77"/>
      <c r="C1280" s="77"/>
      <c r="D1280" s="77"/>
      <c r="E1280" s="77"/>
      <c r="F1280" s="77"/>
      <c r="G1280" s="77"/>
      <c r="H1280" s="77"/>
      <c r="I1280" s="77"/>
      <c r="J1280" s="77"/>
      <c r="K1280" s="77"/>
      <c r="L1280" s="77"/>
      <c r="M1280" s="77"/>
      <c r="N1280" s="77"/>
      <c r="O1280" s="77"/>
      <c r="P1280" s="77"/>
      <c r="Q1280" s="77"/>
      <c r="R1280" s="77"/>
    </row>
    <row r="1281" spans="1:18">
      <c r="A1281" s="77"/>
      <c r="B1281" s="77"/>
      <c r="C1281" s="77"/>
      <c r="D1281" s="77"/>
      <c r="E1281" s="77"/>
      <c r="F1281" s="77"/>
      <c r="G1281" s="77"/>
      <c r="H1281" s="77"/>
      <c r="I1281" s="77"/>
      <c r="J1281" s="77"/>
      <c r="K1281" s="77"/>
      <c r="L1281" s="77"/>
      <c r="M1281" s="77"/>
      <c r="N1281" s="77"/>
      <c r="O1281" s="77"/>
      <c r="P1281" s="77"/>
      <c r="Q1281" s="77"/>
      <c r="R1281" s="77"/>
    </row>
    <row r="1282" spans="1:18">
      <c r="A1282" s="77"/>
      <c r="B1282" s="77"/>
      <c r="C1282" s="77"/>
      <c r="D1282" s="77"/>
      <c r="E1282" s="77"/>
      <c r="F1282" s="77"/>
      <c r="G1282" s="77"/>
      <c r="H1282" s="77"/>
      <c r="I1282" s="77"/>
      <c r="J1282" s="77"/>
      <c r="K1282" s="77"/>
      <c r="L1282" s="77"/>
      <c r="M1282" s="77"/>
      <c r="N1282" s="77"/>
      <c r="O1282" s="77"/>
      <c r="P1282" s="77"/>
      <c r="Q1282" s="77"/>
      <c r="R1282" s="77"/>
    </row>
    <row r="1283" spans="1:18">
      <c r="A1283" s="77"/>
      <c r="B1283" s="77"/>
      <c r="C1283" s="77"/>
      <c r="D1283" s="77"/>
      <c r="E1283" s="77"/>
      <c r="F1283" s="77"/>
      <c r="G1283" s="77"/>
      <c r="H1283" s="77"/>
      <c r="I1283" s="77"/>
      <c r="J1283" s="77"/>
      <c r="K1283" s="77"/>
      <c r="L1283" s="77"/>
      <c r="M1283" s="77"/>
      <c r="N1283" s="77"/>
      <c r="O1283" s="77"/>
      <c r="P1283" s="77"/>
      <c r="Q1283" s="77"/>
      <c r="R1283" s="77"/>
    </row>
    <row r="1284" spans="1:18">
      <c r="A1284" s="77"/>
      <c r="B1284" s="77"/>
      <c r="C1284" s="77"/>
      <c r="D1284" s="77"/>
      <c r="E1284" s="77"/>
      <c r="F1284" s="77"/>
      <c r="G1284" s="77"/>
      <c r="H1284" s="77"/>
      <c r="I1284" s="77"/>
      <c r="J1284" s="77"/>
      <c r="K1284" s="77"/>
      <c r="L1284" s="77"/>
      <c r="M1284" s="77"/>
      <c r="N1284" s="77"/>
      <c r="O1284" s="77"/>
      <c r="P1284" s="77"/>
      <c r="Q1284" s="77"/>
      <c r="R1284" s="77"/>
    </row>
    <row r="1285" spans="1:18">
      <c r="A1285" s="77"/>
      <c r="B1285" s="77"/>
      <c r="C1285" s="77"/>
      <c r="D1285" s="77"/>
      <c r="E1285" s="77"/>
      <c r="F1285" s="77"/>
      <c r="G1285" s="77"/>
      <c r="H1285" s="77"/>
      <c r="I1285" s="77"/>
      <c r="J1285" s="77"/>
      <c r="K1285" s="77"/>
      <c r="L1285" s="77"/>
      <c r="M1285" s="77"/>
      <c r="N1285" s="77"/>
      <c r="O1285" s="77"/>
      <c r="P1285" s="77"/>
      <c r="Q1285" s="77"/>
      <c r="R1285" s="77"/>
    </row>
    <row r="1286" spans="1:18">
      <c r="A1286" s="77"/>
      <c r="B1286" s="77"/>
      <c r="C1286" s="77"/>
      <c r="D1286" s="77"/>
      <c r="E1286" s="77"/>
      <c r="F1286" s="77"/>
      <c r="G1286" s="77"/>
      <c r="H1286" s="77"/>
      <c r="I1286" s="77"/>
      <c r="J1286" s="77"/>
      <c r="K1286" s="77"/>
      <c r="L1286" s="77"/>
      <c r="M1286" s="77"/>
      <c r="N1286" s="77"/>
      <c r="O1286" s="77"/>
      <c r="P1286" s="77"/>
      <c r="Q1286" s="77"/>
      <c r="R1286" s="77"/>
    </row>
    <row r="1287" spans="1:18">
      <c r="A1287" s="77"/>
      <c r="B1287" s="77"/>
      <c r="C1287" s="77"/>
      <c r="D1287" s="77"/>
      <c r="E1287" s="77"/>
      <c r="F1287" s="77"/>
      <c r="G1287" s="77"/>
      <c r="H1287" s="77"/>
      <c r="I1287" s="77"/>
      <c r="J1287" s="77"/>
      <c r="K1287" s="77"/>
      <c r="L1287" s="77"/>
      <c r="M1287" s="77"/>
      <c r="N1287" s="77"/>
      <c r="O1287" s="77"/>
      <c r="P1287" s="77"/>
      <c r="Q1287" s="77"/>
      <c r="R1287" s="77"/>
    </row>
    <row r="1288" spans="1:18">
      <c r="A1288" s="77"/>
      <c r="B1288" s="77"/>
      <c r="C1288" s="77"/>
      <c r="D1288" s="77"/>
      <c r="E1288" s="77"/>
      <c r="F1288" s="77"/>
      <c r="G1288" s="77"/>
      <c r="H1288" s="77"/>
      <c r="I1288" s="77"/>
      <c r="J1288" s="77"/>
      <c r="K1288" s="77"/>
      <c r="L1288" s="77"/>
      <c r="M1288" s="77"/>
      <c r="N1288" s="77"/>
      <c r="O1288" s="77"/>
      <c r="P1288" s="77"/>
      <c r="Q1288" s="77"/>
      <c r="R1288" s="77"/>
    </row>
    <row r="1289" spans="1:18">
      <c r="A1289" s="77"/>
      <c r="B1289" s="77"/>
      <c r="C1289" s="77"/>
      <c r="D1289" s="77"/>
      <c r="E1289" s="77"/>
      <c r="F1289" s="77"/>
      <c r="G1289" s="77"/>
      <c r="H1289" s="77"/>
      <c r="I1289" s="77"/>
      <c r="J1289" s="77"/>
      <c r="K1289" s="77"/>
      <c r="L1289" s="77"/>
      <c r="M1289" s="77"/>
      <c r="N1289" s="77"/>
      <c r="O1289" s="77"/>
      <c r="P1289" s="77"/>
      <c r="Q1289" s="77"/>
      <c r="R1289" s="77"/>
    </row>
    <row r="1290" spans="1:18">
      <c r="A1290" s="77"/>
      <c r="B1290" s="77"/>
      <c r="C1290" s="77"/>
      <c r="D1290" s="77"/>
      <c r="E1290" s="77"/>
      <c r="F1290" s="77"/>
      <c r="G1290" s="77"/>
      <c r="H1290" s="77"/>
      <c r="I1290" s="77"/>
      <c r="J1290" s="77"/>
      <c r="K1290" s="77"/>
      <c r="L1290" s="77"/>
      <c r="M1290" s="77"/>
      <c r="N1290" s="77"/>
      <c r="O1290" s="77"/>
      <c r="P1290" s="77"/>
      <c r="Q1290" s="77"/>
      <c r="R1290" s="77"/>
    </row>
    <row r="1291" spans="1:18">
      <c r="A1291" s="77"/>
      <c r="B1291" s="77"/>
      <c r="C1291" s="77"/>
      <c r="D1291" s="77"/>
      <c r="E1291" s="77"/>
      <c r="F1291" s="77"/>
      <c r="G1291" s="77"/>
      <c r="H1291" s="77"/>
      <c r="I1291" s="77"/>
      <c r="J1291" s="77"/>
      <c r="K1291" s="77"/>
      <c r="L1291" s="77"/>
      <c r="M1291" s="77"/>
      <c r="N1291" s="77"/>
      <c r="O1291" s="77"/>
      <c r="P1291" s="77"/>
      <c r="Q1291" s="77"/>
      <c r="R1291" s="77"/>
    </row>
    <row r="1292" spans="1:18">
      <c r="A1292" s="77"/>
      <c r="B1292" s="77"/>
      <c r="C1292" s="77"/>
      <c r="D1292" s="77"/>
      <c r="E1292" s="77"/>
      <c r="F1292" s="77"/>
      <c r="G1292" s="77"/>
      <c r="H1292" s="77"/>
      <c r="I1292" s="77"/>
      <c r="J1292" s="77"/>
      <c r="K1292" s="77"/>
      <c r="L1292" s="77"/>
      <c r="M1292" s="77"/>
      <c r="N1292" s="77"/>
      <c r="O1292" s="77"/>
      <c r="P1292" s="77"/>
      <c r="Q1292" s="77"/>
      <c r="R1292" s="77"/>
    </row>
    <row r="1293" spans="1:18">
      <c r="A1293" s="77"/>
      <c r="B1293" s="77"/>
      <c r="C1293" s="77"/>
      <c r="D1293" s="77"/>
      <c r="E1293" s="77"/>
      <c r="F1293" s="77"/>
      <c r="G1293" s="77"/>
      <c r="H1293" s="77"/>
      <c r="I1293" s="77"/>
      <c r="J1293" s="77"/>
      <c r="K1293" s="77"/>
      <c r="L1293" s="77"/>
      <c r="M1293" s="77"/>
      <c r="N1293" s="77"/>
      <c r="O1293" s="77"/>
      <c r="P1293" s="77"/>
      <c r="Q1293" s="77"/>
      <c r="R1293" s="77"/>
    </row>
    <row r="1294" spans="1:18">
      <c r="A1294" s="77"/>
      <c r="B1294" s="77"/>
      <c r="C1294" s="77"/>
      <c r="D1294" s="77"/>
      <c r="E1294" s="77"/>
      <c r="F1294" s="77"/>
      <c r="G1294" s="77"/>
      <c r="H1294" s="77"/>
      <c r="I1294" s="77"/>
      <c r="J1294" s="77"/>
      <c r="K1294" s="77"/>
      <c r="L1294" s="77"/>
      <c r="M1294" s="77"/>
      <c r="N1294" s="77"/>
      <c r="O1294" s="77"/>
      <c r="P1294" s="77"/>
      <c r="Q1294" s="77"/>
      <c r="R1294" s="77"/>
    </row>
    <row r="1295" spans="1:18">
      <c r="A1295" s="77"/>
      <c r="B1295" s="77"/>
      <c r="C1295" s="77"/>
      <c r="D1295" s="77"/>
      <c r="E1295" s="77"/>
      <c r="F1295" s="77"/>
      <c r="G1295" s="77"/>
      <c r="H1295" s="77"/>
      <c r="I1295" s="77"/>
      <c r="J1295" s="77"/>
      <c r="K1295" s="77"/>
      <c r="L1295" s="77"/>
      <c r="M1295" s="77"/>
      <c r="N1295" s="77"/>
      <c r="O1295" s="77"/>
      <c r="P1295" s="77"/>
      <c r="Q1295" s="77"/>
      <c r="R1295" s="77"/>
    </row>
    <row r="1296" spans="1:18">
      <c r="A1296" s="77"/>
      <c r="B1296" s="77"/>
      <c r="C1296" s="77"/>
      <c r="D1296" s="77"/>
      <c r="E1296" s="77"/>
      <c r="F1296" s="77"/>
      <c r="G1296" s="77"/>
      <c r="H1296" s="77"/>
      <c r="I1296" s="77"/>
      <c r="J1296" s="77"/>
      <c r="K1296" s="77"/>
      <c r="L1296" s="77"/>
      <c r="M1296" s="77"/>
      <c r="N1296" s="77"/>
      <c r="O1296" s="77"/>
      <c r="P1296" s="77"/>
      <c r="Q1296" s="77"/>
      <c r="R1296" s="77"/>
    </row>
    <row r="1297" spans="1:18">
      <c r="A1297" s="77"/>
      <c r="B1297" s="77"/>
      <c r="C1297" s="77"/>
      <c r="D1297" s="77"/>
      <c r="E1297" s="77"/>
      <c r="F1297" s="77"/>
      <c r="G1297" s="77"/>
      <c r="H1297" s="77"/>
      <c r="I1297" s="77"/>
      <c r="J1297" s="77"/>
      <c r="K1297" s="77"/>
      <c r="L1297" s="77"/>
      <c r="M1297" s="77"/>
      <c r="N1297" s="77"/>
      <c r="O1297" s="77"/>
      <c r="P1297" s="77"/>
      <c r="Q1297" s="77"/>
      <c r="R1297" s="77"/>
    </row>
    <row r="1298" spans="1:18">
      <c r="A1298" s="77"/>
      <c r="B1298" s="77"/>
      <c r="C1298" s="77"/>
      <c r="D1298" s="77"/>
      <c r="E1298" s="77"/>
      <c r="F1298" s="77"/>
      <c r="G1298" s="77"/>
      <c r="H1298" s="77"/>
      <c r="I1298" s="77"/>
      <c r="J1298" s="77"/>
      <c r="K1298" s="77"/>
      <c r="L1298" s="77"/>
      <c r="M1298" s="77"/>
      <c r="N1298" s="77"/>
      <c r="O1298" s="77"/>
      <c r="P1298" s="77"/>
      <c r="Q1298" s="77"/>
      <c r="R1298" s="77"/>
    </row>
    <row r="1299" spans="1:18">
      <c r="A1299" s="77"/>
      <c r="B1299" s="77"/>
      <c r="C1299" s="77"/>
      <c r="D1299" s="77"/>
      <c r="E1299" s="77"/>
      <c r="F1299" s="77"/>
      <c r="G1299" s="77"/>
      <c r="H1299" s="77"/>
      <c r="I1299" s="77"/>
      <c r="J1299" s="77"/>
      <c r="K1299" s="77"/>
      <c r="L1299" s="77"/>
      <c r="M1299" s="77"/>
      <c r="N1299" s="77"/>
      <c r="O1299" s="77"/>
      <c r="P1299" s="77"/>
      <c r="Q1299" s="77"/>
      <c r="R1299" s="77"/>
    </row>
    <row r="1300" spans="1:18">
      <c r="A1300" s="77"/>
      <c r="B1300" s="77"/>
      <c r="C1300" s="77"/>
      <c r="D1300" s="77"/>
      <c r="E1300" s="77"/>
      <c r="F1300" s="77"/>
      <c r="G1300" s="77"/>
      <c r="H1300" s="77"/>
      <c r="I1300" s="77"/>
      <c r="J1300" s="77"/>
      <c r="K1300" s="77"/>
      <c r="L1300" s="77"/>
      <c r="M1300" s="77"/>
      <c r="N1300" s="77"/>
      <c r="O1300" s="77"/>
      <c r="P1300" s="77"/>
      <c r="Q1300" s="77"/>
      <c r="R1300" s="77"/>
    </row>
    <row r="1301" spans="1:18">
      <c r="A1301" s="77"/>
      <c r="B1301" s="77"/>
      <c r="C1301" s="77"/>
      <c r="D1301" s="77"/>
      <c r="E1301" s="77"/>
      <c r="F1301" s="77"/>
      <c r="G1301" s="77"/>
      <c r="H1301" s="77"/>
      <c r="I1301" s="77"/>
      <c r="J1301" s="77"/>
      <c r="K1301" s="77"/>
      <c r="L1301" s="77"/>
      <c r="M1301" s="77"/>
      <c r="N1301" s="77"/>
      <c r="O1301" s="77"/>
      <c r="P1301" s="77"/>
      <c r="Q1301" s="77"/>
      <c r="R1301" s="77"/>
    </row>
    <row r="1302" spans="1:18">
      <c r="A1302" s="77"/>
      <c r="B1302" s="77"/>
      <c r="C1302" s="77"/>
      <c r="D1302" s="77"/>
      <c r="E1302" s="77"/>
      <c r="F1302" s="77"/>
      <c r="G1302" s="77"/>
      <c r="H1302" s="77"/>
      <c r="I1302" s="77"/>
      <c r="J1302" s="77"/>
      <c r="K1302" s="77"/>
      <c r="L1302" s="77"/>
      <c r="M1302" s="77"/>
      <c r="N1302" s="77"/>
      <c r="O1302" s="77"/>
      <c r="P1302" s="77"/>
      <c r="Q1302" s="77"/>
      <c r="R1302" s="77"/>
    </row>
    <row r="1303" spans="1:18">
      <c r="A1303" s="77"/>
      <c r="B1303" s="77"/>
      <c r="C1303" s="77"/>
      <c r="D1303" s="77"/>
      <c r="E1303" s="77"/>
      <c r="F1303" s="77"/>
      <c r="G1303" s="77"/>
      <c r="H1303" s="77"/>
      <c r="I1303" s="77"/>
      <c r="J1303" s="77"/>
      <c r="K1303" s="77"/>
      <c r="L1303" s="77"/>
      <c r="M1303" s="77"/>
      <c r="N1303" s="77"/>
      <c r="O1303" s="77"/>
      <c r="P1303" s="77"/>
      <c r="Q1303" s="77"/>
      <c r="R1303" s="77"/>
    </row>
    <row r="1304" spans="1:18">
      <c r="A1304" s="77"/>
      <c r="B1304" s="77"/>
      <c r="C1304" s="77"/>
      <c r="D1304" s="77"/>
      <c r="E1304" s="77"/>
      <c r="F1304" s="77"/>
      <c r="G1304" s="77"/>
      <c r="H1304" s="77"/>
      <c r="I1304" s="77"/>
      <c r="J1304" s="77"/>
      <c r="K1304" s="77"/>
      <c r="L1304" s="77"/>
      <c r="M1304" s="77"/>
      <c r="N1304" s="77"/>
      <c r="O1304" s="77"/>
      <c r="P1304" s="77"/>
      <c r="Q1304" s="77"/>
      <c r="R1304" s="77"/>
    </row>
    <row r="1305" spans="1:18">
      <c r="A1305" s="77"/>
      <c r="B1305" s="77"/>
      <c r="C1305" s="77"/>
      <c r="D1305" s="77"/>
      <c r="E1305" s="77"/>
      <c r="F1305" s="77"/>
      <c r="G1305" s="77"/>
      <c r="H1305" s="77"/>
      <c r="I1305" s="77"/>
      <c r="J1305" s="77"/>
      <c r="K1305" s="77"/>
      <c r="L1305" s="77"/>
      <c r="M1305" s="77"/>
      <c r="N1305" s="77"/>
      <c r="O1305" s="77"/>
      <c r="P1305" s="77"/>
      <c r="Q1305" s="77"/>
      <c r="R1305" s="77"/>
    </row>
    <row r="1306" spans="1:18">
      <c r="A1306" s="77"/>
      <c r="B1306" s="77"/>
      <c r="C1306" s="77"/>
      <c r="D1306" s="77"/>
      <c r="E1306" s="77"/>
      <c r="F1306" s="77"/>
      <c r="G1306" s="77"/>
      <c r="H1306" s="77"/>
      <c r="I1306" s="77"/>
      <c r="J1306" s="77"/>
      <c r="K1306" s="77"/>
      <c r="L1306" s="77"/>
      <c r="M1306" s="77"/>
      <c r="N1306" s="77"/>
      <c r="O1306" s="77"/>
      <c r="P1306" s="77"/>
      <c r="Q1306" s="77"/>
      <c r="R1306" s="77"/>
    </row>
    <row r="1307" spans="1:18">
      <c r="A1307" s="77"/>
      <c r="B1307" s="77"/>
      <c r="C1307" s="77"/>
      <c r="D1307" s="77"/>
      <c r="E1307" s="77"/>
      <c r="F1307" s="77"/>
      <c r="G1307" s="77"/>
      <c r="H1307" s="77"/>
      <c r="I1307" s="77"/>
      <c r="J1307" s="77"/>
      <c r="K1307" s="77"/>
      <c r="L1307" s="77"/>
      <c r="M1307" s="77"/>
      <c r="N1307" s="77"/>
      <c r="O1307" s="77"/>
      <c r="P1307" s="77"/>
      <c r="Q1307" s="77"/>
      <c r="R1307" s="77"/>
    </row>
    <row r="1308" spans="1:18">
      <c r="A1308" s="77"/>
      <c r="B1308" s="77"/>
      <c r="C1308" s="77"/>
      <c r="D1308" s="77"/>
      <c r="E1308" s="77"/>
      <c r="F1308" s="77"/>
      <c r="G1308" s="77"/>
      <c r="H1308" s="77"/>
      <c r="I1308" s="77"/>
      <c r="J1308" s="77"/>
      <c r="K1308" s="77"/>
      <c r="L1308" s="77"/>
      <c r="M1308" s="77"/>
      <c r="N1308" s="77"/>
      <c r="O1308" s="77"/>
      <c r="P1308" s="77"/>
      <c r="Q1308" s="77"/>
      <c r="R1308" s="77"/>
    </row>
    <row r="1309" spans="1:18">
      <c r="A1309" s="77"/>
      <c r="B1309" s="77"/>
      <c r="C1309" s="77"/>
      <c r="D1309" s="77"/>
      <c r="E1309" s="77"/>
      <c r="F1309" s="77"/>
      <c r="G1309" s="77"/>
      <c r="H1309" s="77"/>
      <c r="I1309" s="77"/>
      <c r="J1309" s="77"/>
      <c r="K1309" s="77"/>
      <c r="L1309" s="77"/>
      <c r="M1309" s="77"/>
      <c r="N1309" s="77"/>
      <c r="O1309" s="77"/>
      <c r="P1309" s="77"/>
      <c r="Q1309" s="77"/>
      <c r="R1309" s="77"/>
    </row>
    <row r="1310" spans="1:18">
      <c r="A1310" s="77"/>
      <c r="B1310" s="77"/>
      <c r="C1310" s="77"/>
      <c r="D1310" s="77"/>
      <c r="E1310" s="77"/>
      <c r="F1310" s="77"/>
      <c r="G1310" s="77"/>
      <c r="H1310" s="77"/>
      <c r="I1310" s="77"/>
      <c r="J1310" s="77"/>
      <c r="K1310" s="77"/>
      <c r="L1310" s="77"/>
      <c r="M1310" s="77"/>
      <c r="N1310" s="77"/>
      <c r="O1310" s="77"/>
      <c r="P1310" s="77"/>
      <c r="Q1310" s="77"/>
      <c r="R1310" s="77"/>
    </row>
    <row r="1311" spans="1:18">
      <c r="A1311" s="77"/>
      <c r="B1311" s="77"/>
      <c r="C1311" s="77"/>
      <c r="D1311" s="77"/>
      <c r="E1311" s="77"/>
      <c r="F1311" s="77"/>
      <c r="G1311" s="77"/>
      <c r="H1311" s="77"/>
      <c r="I1311" s="77"/>
      <c r="J1311" s="77"/>
      <c r="K1311" s="77"/>
      <c r="L1311" s="77"/>
      <c r="M1311" s="77"/>
      <c r="N1311" s="77"/>
      <c r="O1311" s="77"/>
      <c r="P1311" s="77"/>
      <c r="Q1311" s="77"/>
      <c r="R1311" s="77"/>
    </row>
    <row r="1312" spans="1:18">
      <c r="A1312" s="77"/>
      <c r="B1312" s="77"/>
      <c r="C1312" s="77"/>
      <c r="D1312" s="77"/>
      <c r="E1312" s="77"/>
      <c r="F1312" s="77"/>
      <c r="G1312" s="77"/>
      <c r="H1312" s="77"/>
      <c r="I1312" s="77"/>
      <c r="J1312" s="77"/>
      <c r="K1312" s="77"/>
      <c r="L1312" s="77"/>
      <c r="M1312" s="77"/>
      <c r="N1312" s="77"/>
      <c r="O1312" s="77"/>
      <c r="P1312" s="77"/>
      <c r="Q1312" s="77"/>
      <c r="R1312" s="77"/>
    </row>
    <row r="1313" spans="1:18">
      <c r="A1313" s="77"/>
      <c r="B1313" s="77"/>
      <c r="C1313" s="77"/>
      <c r="D1313" s="77"/>
      <c r="E1313" s="77"/>
      <c r="F1313" s="77"/>
      <c r="G1313" s="77"/>
      <c r="H1313" s="77"/>
      <c r="I1313" s="77"/>
      <c r="J1313" s="77"/>
      <c r="K1313" s="77"/>
      <c r="L1313" s="77"/>
      <c r="M1313" s="77"/>
      <c r="N1313" s="77"/>
      <c r="O1313" s="77"/>
      <c r="P1313" s="77"/>
      <c r="Q1313" s="77"/>
      <c r="R1313" s="77"/>
    </row>
    <row r="1314" spans="1:18">
      <c r="A1314" s="77"/>
      <c r="B1314" s="77"/>
      <c r="C1314" s="77"/>
      <c r="D1314" s="77"/>
      <c r="E1314" s="77"/>
      <c r="F1314" s="77"/>
      <c r="G1314" s="77"/>
      <c r="H1314" s="77"/>
      <c r="I1314" s="77"/>
      <c r="J1314" s="77"/>
      <c r="K1314" s="77"/>
      <c r="L1314" s="77"/>
      <c r="M1314" s="77"/>
      <c r="N1314" s="77"/>
      <c r="O1314" s="77"/>
      <c r="P1314" s="77"/>
      <c r="Q1314" s="77"/>
      <c r="R1314" s="77"/>
    </row>
    <row r="1315" spans="1:18">
      <c r="A1315" s="77"/>
      <c r="B1315" s="77"/>
      <c r="C1315" s="77"/>
      <c r="D1315" s="77"/>
      <c r="E1315" s="77"/>
      <c r="F1315" s="77"/>
      <c r="G1315" s="77"/>
      <c r="H1315" s="77"/>
      <c r="I1315" s="77"/>
      <c r="J1315" s="77"/>
      <c r="K1315" s="77"/>
      <c r="L1315" s="77"/>
      <c r="M1315" s="77"/>
      <c r="N1315" s="77"/>
      <c r="O1315" s="77"/>
      <c r="P1315" s="77"/>
      <c r="Q1315" s="77"/>
      <c r="R1315" s="77"/>
    </row>
    <row r="1316" spans="1:18">
      <c r="A1316" s="77"/>
      <c r="B1316" s="77"/>
      <c r="C1316" s="77"/>
      <c r="D1316" s="77"/>
      <c r="E1316" s="77"/>
      <c r="F1316" s="77"/>
      <c r="G1316" s="77"/>
      <c r="H1316" s="77"/>
      <c r="I1316" s="77"/>
      <c r="J1316" s="77"/>
      <c r="K1316" s="77"/>
      <c r="L1316" s="77"/>
      <c r="M1316" s="77"/>
      <c r="N1316" s="77"/>
      <c r="O1316" s="77"/>
      <c r="P1316" s="77"/>
      <c r="Q1316" s="77"/>
      <c r="R1316" s="77"/>
    </row>
    <row r="1317" spans="1:18">
      <c r="A1317" s="77"/>
      <c r="B1317" s="77"/>
      <c r="C1317" s="77"/>
      <c r="D1317" s="77"/>
      <c r="E1317" s="77"/>
      <c r="F1317" s="77"/>
      <c r="G1317" s="77"/>
      <c r="H1317" s="77"/>
      <c r="I1317" s="77"/>
      <c r="J1317" s="77"/>
      <c r="K1317" s="77"/>
      <c r="L1317" s="77"/>
      <c r="M1317" s="77"/>
      <c r="N1317" s="77"/>
      <c r="O1317" s="77"/>
      <c r="P1317" s="77"/>
      <c r="Q1317" s="77"/>
      <c r="R1317" s="77"/>
    </row>
    <row r="1318" spans="1:18">
      <c r="A1318" s="77"/>
      <c r="B1318" s="77"/>
      <c r="C1318" s="77"/>
      <c r="D1318" s="77"/>
      <c r="E1318" s="77"/>
      <c r="F1318" s="77"/>
      <c r="G1318" s="77"/>
      <c r="H1318" s="77"/>
      <c r="I1318" s="77"/>
      <c r="J1318" s="77"/>
      <c r="K1318" s="77"/>
      <c r="L1318" s="77"/>
      <c r="M1318" s="77"/>
      <c r="N1318" s="77"/>
      <c r="O1318" s="77"/>
      <c r="P1318" s="77"/>
      <c r="Q1318" s="77"/>
      <c r="R1318" s="77"/>
    </row>
    <row r="1319" spans="1:18">
      <c r="A1319" s="77"/>
      <c r="B1319" s="77"/>
      <c r="C1319" s="77"/>
      <c r="D1319" s="77"/>
      <c r="E1319" s="77"/>
      <c r="F1319" s="77"/>
      <c r="G1319" s="77"/>
      <c r="H1319" s="77"/>
      <c r="I1319" s="77"/>
      <c r="J1319" s="77"/>
      <c r="K1319" s="77"/>
      <c r="L1319" s="77"/>
      <c r="M1319" s="77"/>
      <c r="N1319" s="77"/>
      <c r="O1319" s="77"/>
      <c r="P1319" s="77"/>
      <c r="Q1319" s="77"/>
      <c r="R1319" s="77"/>
    </row>
    <row r="1320" spans="1:18">
      <c r="A1320" s="77"/>
      <c r="B1320" s="77"/>
      <c r="C1320" s="77"/>
      <c r="D1320" s="77"/>
      <c r="E1320" s="77"/>
      <c r="F1320" s="77"/>
      <c r="G1320" s="77"/>
      <c r="H1320" s="77"/>
      <c r="I1320" s="77"/>
      <c r="J1320" s="77"/>
      <c r="K1320" s="77"/>
      <c r="L1320" s="77"/>
      <c r="M1320" s="77"/>
      <c r="N1320" s="77"/>
      <c r="O1320" s="77"/>
      <c r="P1320" s="77"/>
      <c r="Q1320" s="77"/>
      <c r="R1320" s="77"/>
    </row>
    <row r="1321" spans="1:18">
      <c r="A1321" s="77"/>
      <c r="B1321" s="77"/>
      <c r="C1321" s="77"/>
      <c r="D1321" s="77"/>
      <c r="E1321" s="77"/>
      <c r="F1321" s="77"/>
      <c r="G1321" s="77"/>
      <c r="H1321" s="77"/>
      <c r="I1321" s="77"/>
      <c r="J1321" s="77"/>
      <c r="K1321" s="77"/>
      <c r="L1321" s="77"/>
      <c r="M1321" s="77"/>
      <c r="N1321" s="77"/>
      <c r="O1321" s="77"/>
      <c r="P1321" s="77"/>
      <c r="Q1321" s="77"/>
      <c r="R1321" s="77"/>
    </row>
    <row r="1322" spans="1:18">
      <c r="A1322" s="77"/>
      <c r="B1322" s="77"/>
      <c r="C1322" s="77"/>
      <c r="D1322" s="77"/>
      <c r="E1322" s="77"/>
      <c r="F1322" s="77"/>
      <c r="G1322" s="77"/>
      <c r="H1322" s="77"/>
      <c r="I1322" s="77"/>
      <c r="J1322" s="77"/>
      <c r="K1322" s="77"/>
      <c r="L1322" s="77"/>
      <c r="M1322" s="77"/>
      <c r="N1322" s="77"/>
      <c r="O1322" s="77"/>
      <c r="P1322" s="77"/>
      <c r="Q1322" s="77"/>
      <c r="R1322" s="77"/>
    </row>
    <row r="1323" spans="1:18">
      <c r="A1323" s="77"/>
      <c r="B1323" s="77"/>
      <c r="C1323" s="77"/>
      <c r="D1323" s="77"/>
      <c r="E1323" s="77"/>
      <c r="F1323" s="77"/>
      <c r="G1323" s="77"/>
      <c r="H1323" s="77"/>
      <c r="I1323" s="77"/>
      <c r="J1323" s="77"/>
      <c r="K1323" s="77"/>
      <c r="L1323" s="77"/>
      <c r="M1323" s="77"/>
      <c r="N1323" s="77"/>
      <c r="O1323" s="77"/>
      <c r="P1323" s="77"/>
      <c r="Q1323" s="77"/>
      <c r="R1323" s="77"/>
    </row>
    <row r="1324" spans="1:18">
      <c r="A1324" s="77"/>
      <c r="B1324" s="77"/>
      <c r="C1324" s="77"/>
      <c r="D1324" s="77"/>
      <c r="E1324" s="77"/>
      <c r="F1324" s="77"/>
      <c r="G1324" s="77"/>
      <c r="H1324" s="77"/>
      <c r="I1324" s="77"/>
      <c r="J1324" s="77"/>
      <c r="K1324" s="77"/>
      <c r="L1324" s="77"/>
      <c r="M1324" s="77"/>
      <c r="N1324" s="77"/>
      <c r="O1324" s="77"/>
      <c r="P1324" s="77"/>
      <c r="Q1324" s="77"/>
      <c r="R1324" s="77"/>
    </row>
    <row r="1325" spans="1:18">
      <c r="A1325" s="77"/>
      <c r="B1325" s="77"/>
      <c r="C1325" s="77"/>
      <c r="D1325" s="77"/>
      <c r="E1325" s="77"/>
      <c r="F1325" s="77"/>
      <c r="G1325" s="77"/>
      <c r="H1325" s="77"/>
      <c r="I1325" s="77"/>
      <c r="J1325" s="77"/>
      <c r="K1325" s="77"/>
      <c r="L1325" s="77"/>
      <c r="M1325" s="77"/>
      <c r="N1325" s="77"/>
      <c r="O1325" s="77"/>
      <c r="P1325" s="77"/>
      <c r="Q1325" s="77"/>
      <c r="R1325" s="77"/>
    </row>
    <row r="1326" spans="1:18">
      <c r="A1326" s="77"/>
      <c r="B1326" s="77"/>
      <c r="C1326" s="77"/>
      <c r="D1326" s="77"/>
      <c r="E1326" s="77"/>
      <c r="F1326" s="77"/>
      <c r="G1326" s="77"/>
      <c r="H1326" s="77"/>
      <c r="I1326" s="77"/>
      <c r="J1326" s="77"/>
      <c r="K1326" s="77"/>
      <c r="L1326" s="77"/>
      <c r="M1326" s="77"/>
      <c r="N1326" s="77"/>
      <c r="O1326" s="77"/>
      <c r="P1326" s="77"/>
      <c r="Q1326" s="77"/>
      <c r="R1326" s="77"/>
    </row>
    <row r="1327" spans="1:18">
      <c r="A1327" s="77"/>
      <c r="B1327" s="77"/>
      <c r="C1327" s="77"/>
      <c r="D1327" s="77"/>
      <c r="E1327" s="77"/>
      <c r="F1327" s="77"/>
      <c r="G1327" s="77"/>
      <c r="H1327" s="77"/>
      <c r="I1327" s="77"/>
      <c r="J1327" s="77"/>
      <c r="K1327" s="77"/>
      <c r="L1327" s="77"/>
      <c r="M1327" s="77"/>
      <c r="N1327" s="77"/>
      <c r="O1327" s="77"/>
      <c r="P1327" s="77"/>
      <c r="Q1327" s="77"/>
      <c r="R1327" s="77"/>
    </row>
    <row r="1328" spans="1:18">
      <c r="A1328" s="77"/>
      <c r="B1328" s="77"/>
      <c r="C1328" s="77"/>
      <c r="D1328" s="77"/>
      <c r="E1328" s="77"/>
      <c r="F1328" s="77"/>
      <c r="G1328" s="77"/>
      <c r="H1328" s="77"/>
      <c r="I1328" s="77"/>
      <c r="J1328" s="77"/>
      <c r="K1328" s="77"/>
      <c r="L1328" s="77"/>
      <c r="M1328" s="77"/>
      <c r="N1328" s="77"/>
      <c r="O1328" s="77"/>
      <c r="P1328" s="77"/>
      <c r="Q1328" s="77"/>
      <c r="R1328" s="77"/>
    </row>
    <row r="1329" spans="1:18">
      <c r="A1329" s="77"/>
      <c r="B1329" s="77"/>
      <c r="C1329" s="77"/>
      <c r="D1329" s="77"/>
      <c r="E1329" s="77"/>
      <c r="F1329" s="77"/>
      <c r="G1329" s="77"/>
      <c r="H1329" s="77"/>
      <c r="I1329" s="77"/>
      <c r="J1329" s="77"/>
      <c r="K1329" s="77"/>
      <c r="L1329" s="77"/>
      <c r="M1329" s="77"/>
      <c r="N1329" s="77"/>
      <c r="O1329" s="77"/>
      <c r="P1329" s="77"/>
      <c r="Q1329" s="77"/>
      <c r="R1329" s="77"/>
    </row>
    <row r="1330" spans="1:18">
      <c r="A1330" s="77"/>
      <c r="B1330" s="77"/>
      <c r="C1330" s="77"/>
      <c r="D1330" s="77"/>
      <c r="E1330" s="77"/>
      <c r="F1330" s="77"/>
      <c r="G1330" s="77"/>
      <c r="H1330" s="77"/>
      <c r="I1330" s="77"/>
      <c r="J1330" s="77"/>
      <c r="K1330" s="77"/>
      <c r="L1330" s="77"/>
      <c r="M1330" s="77"/>
      <c r="N1330" s="77"/>
      <c r="O1330" s="77"/>
      <c r="P1330" s="77"/>
      <c r="Q1330" s="77"/>
      <c r="R1330" s="77"/>
    </row>
    <row r="1331" spans="1:18">
      <c r="A1331" s="77"/>
      <c r="B1331" s="77"/>
      <c r="C1331" s="77"/>
      <c r="D1331" s="77"/>
      <c r="E1331" s="77"/>
      <c r="F1331" s="77"/>
      <c r="G1331" s="77"/>
      <c r="H1331" s="77"/>
      <c r="I1331" s="77"/>
      <c r="J1331" s="77"/>
      <c r="K1331" s="77"/>
      <c r="L1331" s="77"/>
      <c r="M1331" s="77"/>
      <c r="N1331" s="77"/>
      <c r="O1331" s="77"/>
      <c r="P1331" s="77"/>
      <c r="Q1331" s="77"/>
      <c r="R1331" s="77"/>
    </row>
    <row r="1332" spans="1:18">
      <c r="A1332" s="77"/>
      <c r="B1332" s="77"/>
      <c r="C1332" s="77"/>
      <c r="D1332" s="77"/>
      <c r="E1332" s="77"/>
      <c r="F1332" s="77"/>
      <c r="G1332" s="77"/>
      <c r="H1332" s="77"/>
      <c r="I1332" s="77"/>
      <c r="J1332" s="77"/>
      <c r="K1332" s="77"/>
      <c r="L1332" s="77"/>
      <c r="M1332" s="77"/>
      <c r="N1332" s="77"/>
      <c r="O1332" s="77"/>
      <c r="P1332" s="77"/>
      <c r="Q1332" s="77"/>
      <c r="R1332" s="77"/>
    </row>
    <row r="1333" spans="1:18">
      <c r="A1333" s="77"/>
      <c r="B1333" s="77"/>
      <c r="C1333" s="77"/>
      <c r="D1333" s="77"/>
      <c r="E1333" s="77"/>
      <c r="F1333" s="77"/>
      <c r="G1333" s="77"/>
      <c r="H1333" s="77"/>
      <c r="I1333" s="77"/>
      <c r="J1333" s="77"/>
      <c r="K1333" s="77"/>
      <c r="L1333" s="77"/>
      <c r="M1333" s="77"/>
      <c r="N1333" s="77"/>
      <c r="O1333" s="77"/>
      <c r="P1333" s="77"/>
      <c r="Q1333" s="77"/>
      <c r="R1333" s="77"/>
    </row>
    <row r="1334" spans="1:18">
      <c r="A1334" s="77"/>
      <c r="B1334" s="77"/>
      <c r="C1334" s="77"/>
      <c r="D1334" s="77"/>
      <c r="E1334" s="77"/>
      <c r="F1334" s="77"/>
      <c r="G1334" s="77"/>
      <c r="H1334" s="77"/>
      <c r="I1334" s="77"/>
      <c r="J1334" s="77"/>
      <c r="K1334" s="77"/>
      <c r="L1334" s="77"/>
      <c r="M1334" s="77"/>
      <c r="N1334" s="77"/>
      <c r="O1334" s="77"/>
      <c r="P1334" s="77"/>
      <c r="Q1334" s="77"/>
      <c r="R1334" s="77"/>
    </row>
    <row r="1335" spans="1:18">
      <c r="A1335" s="77"/>
      <c r="B1335" s="77"/>
      <c r="C1335" s="77"/>
      <c r="D1335" s="77"/>
      <c r="E1335" s="77"/>
      <c r="F1335" s="77"/>
      <c r="G1335" s="77"/>
      <c r="H1335" s="77"/>
      <c r="I1335" s="77"/>
      <c r="J1335" s="77"/>
      <c r="K1335" s="77"/>
      <c r="L1335" s="77"/>
      <c r="M1335" s="77"/>
      <c r="N1335" s="77"/>
      <c r="O1335" s="77"/>
      <c r="P1335" s="77"/>
      <c r="Q1335" s="77"/>
      <c r="R1335" s="77"/>
    </row>
    <row r="1336" spans="1:18">
      <c r="A1336" s="77"/>
      <c r="B1336" s="77"/>
      <c r="C1336" s="77"/>
      <c r="D1336" s="77"/>
      <c r="E1336" s="77"/>
      <c r="F1336" s="77"/>
      <c r="G1336" s="77"/>
      <c r="H1336" s="77"/>
      <c r="I1336" s="77"/>
      <c r="J1336" s="77"/>
      <c r="K1336" s="77"/>
      <c r="L1336" s="77"/>
      <c r="M1336" s="77"/>
      <c r="N1336" s="77"/>
      <c r="O1336" s="77"/>
      <c r="P1336" s="77"/>
      <c r="Q1336" s="77"/>
      <c r="R1336" s="77"/>
    </row>
    <row r="1337" spans="1:18">
      <c r="A1337" s="77"/>
      <c r="B1337" s="77"/>
      <c r="C1337" s="77"/>
      <c r="D1337" s="77"/>
      <c r="E1337" s="77"/>
      <c r="F1337" s="77"/>
      <c r="G1337" s="77"/>
      <c r="H1337" s="77"/>
      <c r="I1337" s="77"/>
      <c r="J1337" s="77"/>
      <c r="K1337" s="77"/>
      <c r="L1337" s="77"/>
      <c r="M1337" s="77"/>
      <c r="N1337" s="77"/>
      <c r="O1337" s="77"/>
      <c r="P1337" s="77"/>
      <c r="Q1337" s="77"/>
      <c r="R1337" s="77"/>
    </row>
    <row r="1338" spans="1:18">
      <c r="A1338" s="77"/>
      <c r="B1338" s="77"/>
      <c r="C1338" s="77"/>
      <c r="D1338" s="77"/>
      <c r="E1338" s="77"/>
      <c r="F1338" s="77"/>
      <c r="G1338" s="77"/>
      <c r="H1338" s="77"/>
      <c r="I1338" s="77"/>
      <c r="J1338" s="77"/>
      <c r="K1338" s="77"/>
      <c r="L1338" s="77"/>
      <c r="M1338" s="77"/>
      <c r="N1338" s="77"/>
      <c r="O1338" s="77"/>
      <c r="P1338" s="77"/>
      <c r="Q1338" s="77"/>
      <c r="R1338" s="77"/>
    </row>
    <row r="1339" spans="1:18">
      <c r="A1339" s="77"/>
      <c r="B1339" s="77"/>
      <c r="C1339" s="77"/>
      <c r="D1339" s="77"/>
      <c r="E1339" s="77"/>
      <c r="F1339" s="77"/>
      <c r="G1339" s="77"/>
      <c r="H1339" s="77"/>
      <c r="I1339" s="77"/>
      <c r="J1339" s="77"/>
      <c r="K1339" s="77"/>
      <c r="L1339" s="77"/>
      <c r="M1339" s="77"/>
      <c r="N1339" s="77"/>
      <c r="O1339" s="77"/>
      <c r="P1339" s="77"/>
      <c r="Q1339" s="77"/>
      <c r="R1339" s="77"/>
    </row>
    <row r="1340" spans="1:18">
      <c r="A1340" s="77"/>
      <c r="B1340" s="77"/>
      <c r="C1340" s="77"/>
      <c r="D1340" s="77"/>
      <c r="E1340" s="77"/>
      <c r="F1340" s="77"/>
      <c r="G1340" s="77"/>
      <c r="H1340" s="77"/>
      <c r="I1340" s="77"/>
      <c r="J1340" s="77"/>
      <c r="K1340" s="77"/>
      <c r="L1340" s="77"/>
      <c r="M1340" s="77"/>
      <c r="N1340" s="77"/>
      <c r="O1340" s="77"/>
      <c r="P1340" s="77"/>
      <c r="Q1340" s="77"/>
      <c r="R1340" s="77"/>
    </row>
    <row r="1341" spans="1:18">
      <c r="A1341" s="77"/>
      <c r="B1341" s="77"/>
      <c r="C1341" s="77"/>
      <c r="D1341" s="77"/>
      <c r="E1341" s="77"/>
      <c r="F1341" s="77"/>
      <c r="G1341" s="77"/>
      <c r="H1341" s="77"/>
      <c r="I1341" s="77"/>
      <c r="J1341" s="77"/>
      <c r="K1341" s="77"/>
      <c r="L1341" s="77"/>
      <c r="M1341" s="77"/>
      <c r="N1341" s="77"/>
      <c r="O1341" s="77"/>
      <c r="P1341" s="77"/>
      <c r="Q1341" s="77"/>
      <c r="R1341" s="77"/>
    </row>
    <row r="1342" spans="1:18">
      <c r="A1342" s="77"/>
      <c r="B1342" s="77"/>
      <c r="C1342" s="77"/>
      <c r="D1342" s="77"/>
      <c r="E1342" s="77"/>
      <c r="F1342" s="77"/>
      <c r="G1342" s="77"/>
      <c r="H1342" s="77"/>
      <c r="I1342" s="77"/>
      <c r="J1342" s="77"/>
      <c r="K1342" s="77"/>
      <c r="L1342" s="77"/>
      <c r="M1342" s="77"/>
      <c r="N1342" s="77"/>
      <c r="O1342" s="77"/>
      <c r="P1342" s="77"/>
      <c r="Q1342" s="77"/>
      <c r="R1342" s="77"/>
    </row>
    <row r="1343" spans="1:18">
      <c r="A1343" s="77"/>
      <c r="B1343" s="77"/>
      <c r="C1343" s="77"/>
      <c r="D1343" s="77"/>
      <c r="E1343" s="77"/>
      <c r="F1343" s="77"/>
      <c r="G1343" s="77"/>
      <c r="H1343" s="77"/>
      <c r="I1343" s="77"/>
      <c r="J1343" s="77"/>
      <c r="K1343" s="77"/>
      <c r="L1343" s="77"/>
      <c r="M1343" s="77"/>
      <c r="N1343" s="77"/>
      <c r="O1343" s="77"/>
      <c r="P1343" s="77"/>
      <c r="Q1343" s="77"/>
      <c r="R1343" s="77"/>
    </row>
    <row r="1344" spans="1:18">
      <c r="A1344" s="77"/>
      <c r="B1344" s="77"/>
      <c r="C1344" s="77"/>
      <c r="D1344" s="77"/>
      <c r="E1344" s="77"/>
      <c r="F1344" s="77"/>
      <c r="G1344" s="77"/>
      <c r="H1344" s="77"/>
      <c r="I1344" s="77"/>
      <c r="J1344" s="77"/>
      <c r="K1344" s="77"/>
      <c r="L1344" s="77"/>
      <c r="M1344" s="77"/>
      <c r="N1344" s="77"/>
      <c r="O1344" s="77"/>
      <c r="P1344" s="77"/>
      <c r="Q1344" s="77"/>
      <c r="R1344" s="77"/>
    </row>
    <row r="1345" spans="1:18">
      <c r="A1345" s="77"/>
      <c r="B1345" s="77"/>
      <c r="C1345" s="77"/>
      <c r="D1345" s="77"/>
      <c r="E1345" s="77"/>
      <c r="F1345" s="77"/>
      <c r="G1345" s="77"/>
      <c r="H1345" s="77"/>
      <c r="I1345" s="77"/>
      <c r="J1345" s="77"/>
      <c r="K1345" s="77"/>
      <c r="L1345" s="77"/>
      <c r="M1345" s="77"/>
      <c r="N1345" s="77"/>
      <c r="O1345" s="77"/>
      <c r="P1345" s="77"/>
      <c r="Q1345" s="77"/>
      <c r="R1345" s="77"/>
    </row>
    <row r="1346" spans="1:18">
      <c r="A1346" s="77"/>
      <c r="B1346" s="77"/>
      <c r="C1346" s="77"/>
      <c r="D1346" s="77"/>
      <c r="E1346" s="77"/>
      <c r="F1346" s="77"/>
      <c r="G1346" s="77"/>
      <c r="H1346" s="77"/>
      <c r="I1346" s="77"/>
      <c r="J1346" s="77"/>
      <c r="K1346" s="77"/>
      <c r="L1346" s="77"/>
      <c r="M1346" s="77"/>
      <c r="N1346" s="77"/>
      <c r="O1346" s="77"/>
      <c r="P1346" s="77"/>
      <c r="Q1346" s="77"/>
      <c r="R1346" s="77"/>
    </row>
    <row r="1347" spans="1:18">
      <c r="A1347" s="77"/>
      <c r="B1347" s="77"/>
      <c r="C1347" s="77"/>
      <c r="D1347" s="77"/>
      <c r="E1347" s="77"/>
      <c r="F1347" s="77"/>
      <c r="G1347" s="77"/>
      <c r="H1347" s="77"/>
      <c r="I1347" s="77"/>
      <c r="J1347" s="77"/>
      <c r="K1347" s="77"/>
      <c r="L1347" s="77"/>
      <c r="M1347" s="77"/>
      <c r="N1347" s="77"/>
      <c r="O1347" s="77"/>
      <c r="P1347" s="77"/>
      <c r="Q1347" s="77"/>
      <c r="R1347" s="77"/>
    </row>
    <row r="1348" spans="1:18">
      <c r="A1348" s="77"/>
      <c r="B1348" s="77"/>
      <c r="C1348" s="77"/>
      <c r="D1348" s="77"/>
      <c r="E1348" s="77"/>
      <c r="F1348" s="77"/>
      <c r="G1348" s="77"/>
      <c r="H1348" s="77"/>
      <c r="I1348" s="77"/>
      <c r="J1348" s="77"/>
      <c r="K1348" s="77"/>
      <c r="L1348" s="77"/>
      <c r="M1348" s="77"/>
      <c r="N1348" s="77"/>
      <c r="O1348" s="77"/>
      <c r="P1348" s="77"/>
      <c r="Q1348" s="77"/>
      <c r="R1348" s="77"/>
    </row>
    <row r="1349" spans="1:18">
      <c r="A1349" s="77"/>
      <c r="B1349" s="77"/>
      <c r="C1349" s="77"/>
      <c r="D1349" s="77"/>
      <c r="E1349" s="77"/>
      <c r="F1349" s="77"/>
      <c r="G1349" s="77"/>
      <c r="H1349" s="77"/>
      <c r="I1349" s="77"/>
      <c r="J1349" s="77"/>
      <c r="K1349" s="77"/>
      <c r="L1349" s="77"/>
      <c r="M1349" s="77"/>
      <c r="N1349" s="77"/>
      <c r="O1349" s="77"/>
      <c r="P1349" s="77"/>
      <c r="Q1349" s="77"/>
      <c r="R1349" s="77"/>
    </row>
    <row r="1350" spans="1:18">
      <c r="A1350" s="77"/>
      <c r="B1350" s="77"/>
      <c r="C1350" s="77"/>
      <c r="D1350" s="77"/>
      <c r="E1350" s="77"/>
      <c r="F1350" s="77"/>
      <c r="G1350" s="77"/>
      <c r="H1350" s="77"/>
      <c r="I1350" s="77"/>
      <c r="J1350" s="77"/>
      <c r="K1350" s="77"/>
      <c r="L1350" s="77"/>
      <c r="M1350" s="77"/>
      <c r="N1350" s="77"/>
      <c r="O1350" s="77"/>
      <c r="P1350" s="77"/>
      <c r="Q1350" s="77"/>
      <c r="R1350" s="77"/>
    </row>
    <row r="1351" spans="1:18">
      <c r="A1351" s="77"/>
      <c r="B1351" s="77"/>
      <c r="C1351" s="77"/>
      <c r="D1351" s="77"/>
      <c r="E1351" s="77"/>
      <c r="F1351" s="77"/>
      <c r="G1351" s="77"/>
      <c r="H1351" s="77"/>
      <c r="I1351" s="77"/>
      <c r="J1351" s="77"/>
      <c r="K1351" s="77"/>
      <c r="L1351" s="77"/>
      <c r="M1351" s="77"/>
      <c r="N1351" s="77"/>
      <c r="O1351" s="77"/>
      <c r="P1351" s="77"/>
      <c r="Q1351" s="77"/>
      <c r="R1351" s="77"/>
    </row>
    <row r="1352" spans="1:18">
      <c r="A1352" s="77"/>
      <c r="B1352" s="77"/>
      <c r="C1352" s="77"/>
      <c r="D1352" s="77"/>
      <c r="E1352" s="77"/>
      <c r="F1352" s="77"/>
      <c r="G1352" s="77"/>
      <c r="H1352" s="77"/>
      <c r="I1352" s="77"/>
      <c r="J1352" s="77"/>
      <c r="K1352" s="77"/>
      <c r="L1352" s="77"/>
      <c r="M1352" s="77"/>
      <c r="N1352" s="77"/>
      <c r="O1352" s="77"/>
      <c r="P1352" s="77"/>
      <c r="Q1352" s="77"/>
      <c r="R1352" s="77"/>
    </row>
    <row r="1353" spans="1:18">
      <c r="A1353" s="77"/>
      <c r="B1353" s="77"/>
      <c r="C1353" s="77"/>
      <c r="D1353" s="77"/>
      <c r="E1353" s="77"/>
      <c r="F1353" s="77"/>
      <c r="G1353" s="77"/>
      <c r="H1353" s="77"/>
      <c r="I1353" s="77"/>
      <c r="J1353" s="77"/>
      <c r="K1353" s="77"/>
      <c r="L1353" s="77"/>
      <c r="M1353" s="77"/>
      <c r="N1353" s="77"/>
      <c r="O1353" s="77"/>
      <c r="P1353" s="77"/>
      <c r="Q1353" s="77"/>
      <c r="R1353" s="77"/>
    </row>
    <row r="1354" spans="1:18">
      <c r="A1354" s="77"/>
      <c r="B1354" s="77"/>
      <c r="C1354" s="77"/>
      <c r="D1354" s="77"/>
      <c r="E1354" s="77"/>
      <c r="F1354" s="77"/>
      <c r="G1354" s="77"/>
      <c r="H1354" s="77"/>
      <c r="I1354" s="77"/>
      <c r="J1354" s="77"/>
      <c r="K1354" s="77"/>
      <c r="L1354" s="77"/>
      <c r="M1354" s="77"/>
      <c r="N1354" s="77"/>
      <c r="O1354" s="77"/>
      <c r="P1354" s="77"/>
      <c r="Q1354" s="77"/>
      <c r="R1354" s="77"/>
    </row>
    <row r="1355" spans="1:18">
      <c r="A1355" s="77"/>
      <c r="B1355" s="77"/>
      <c r="C1355" s="77"/>
      <c r="D1355" s="77"/>
      <c r="E1355" s="77"/>
      <c r="F1355" s="77"/>
      <c r="G1355" s="77"/>
      <c r="H1355" s="77"/>
      <c r="I1355" s="77"/>
      <c r="J1355" s="77"/>
      <c r="K1355" s="77"/>
      <c r="L1355" s="77"/>
      <c r="M1355" s="77"/>
      <c r="N1355" s="77"/>
      <c r="O1355" s="77"/>
      <c r="P1355" s="77"/>
      <c r="Q1355" s="77"/>
      <c r="R1355" s="77"/>
    </row>
    <row r="1356" spans="1:18">
      <c r="A1356" s="77"/>
      <c r="B1356" s="77"/>
      <c r="C1356" s="77"/>
      <c r="D1356" s="77"/>
      <c r="E1356" s="77"/>
      <c r="F1356" s="77"/>
      <c r="G1356" s="77"/>
      <c r="H1356" s="77"/>
      <c r="I1356" s="77"/>
      <c r="J1356" s="77"/>
      <c r="K1356" s="77"/>
      <c r="L1356" s="77"/>
      <c r="M1356" s="77"/>
      <c r="N1356" s="77"/>
      <c r="O1356" s="77"/>
      <c r="P1356" s="77"/>
      <c r="Q1356" s="77"/>
      <c r="R1356" s="77"/>
    </row>
    <row r="1357" spans="1:18">
      <c r="A1357" s="77"/>
      <c r="B1357" s="77"/>
      <c r="C1357" s="77"/>
      <c r="D1357" s="77"/>
      <c r="E1357" s="77"/>
      <c r="F1357" s="77"/>
      <c r="G1357" s="77"/>
      <c r="H1357" s="77"/>
      <c r="I1357" s="77"/>
      <c r="J1357" s="77"/>
      <c r="K1357" s="77"/>
      <c r="L1357" s="77"/>
      <c r="M1357" s="77"/>
      <c r="N1357" s="77"/>
      <c r="O1357" s="77"/>
      <c r="P1357" s="77"/>
      <c r="Q1357" s="77"/>
      <c r="R1357" s="77"/>
    </row>
    <row r="1358" spans="1:18">
      <c r="A1358" s="77"/>
      <c r="B1358" s="77"/>
      <c r="C1358" s="77"/>
      <c r="D1358" s="77"/>
      <c r="E1358" s="77"/>
      <c r="F1358" s="77"/>
      <c r="G1358" s="77"/>
      <c r="H1358" s="77"/>
      <c r="I1358" s="77"/>
      <c r="J1358" s="77"/>
      <c r="K1358" s="77"/>
      <c r="L1358" s="77"/>
      <c r="M1358" s="77"/>
      <c r="N1358" s="77"/>
      <c r="O1358" s="77"/>
      <c r="P1358" s="77"/>
      <c r="Q1358" s="77"/>
      <c r="R1358" s="77"/>
    </row>
    <row r="1359" spans="1:18">
      <c r="A1359" s="77"/>
      <c r="B1359" s="77"/>
      <c r="C1359" s="77"/>
      <c r="D1359" s="77"/>
      <c r="E1359" s="77"/>
      <c r="F1359" s="77"/>
      <c r="G1359" s="77"/>
      <c r="H1359" s="77"/>
      <c r="I1359" s="77"/>
      <c r="J1359" s="77"/>
      <c r="K1359" s="77"/>
      <c r="L1359" s="77"/>
      <c r="M1359" s="77"/>
      <c r="N1359" s="77"/>
      <c r="O1359" s="77"/>
      <c r="P1359" s="77"/>
      <c r="Q1359" s="77"/>
      <c r="R1359" s="77"/>
    </row>
    <row r="1360" spans="1:18">
      <c r="A1360" s="77"/>
      <c r="B1360" s="77"/>
      <c r="C1360" s="77"/>
      <c r="D1360" s="77"/>
      <c r="E1360" s="77"/>
      <c r="F1360" s="77"/>
      <c r="G1360" s="77"/>
      <c r="H1360" s="77"/>
      <c r="I1360" s="77"/>
      <c r="J1360" s="77"/>
      <c r="K1360" s="77"/>
      <c r="L1360" s="77"/>
      <c r="M1360" s="77"/>
      <c r="N1360" s="77"/>
      <c r="O1360" s="77"/>
      <c r="P1360" s="77"/>
      <c r="Q1360" s="77"/>
      <c r="R1360" s="77"/>
    </row>
    <row r="1361" spans="1:18">
      <c r="A1361" s="77"/>
      <c r="B1361" s="77"/>
      <c r="C1361" s="77"/>
      <c r="D1361" s="77"/>
      <c r="E1361" s="77"/>
      <c r="F1361" s="77"/>
      <c r="G1361" s="77"/>
      <c r="H1361" s="77"/>
      <c r="I1361" s="77"/>
      <c r="J1361" s="77"/>
      <c r="K1361" s="77"/>
      <c r="L1361" s="77"/>
      <c r="M1361" s="77"/>
      <c r="N1361" s="77"/>
      <c r="O1361" s="77"/>
      <c r="P1361" s="77"/>
      <c r="Q1361" s="77"/>
      <c r="R1361" s="77"/>
    </row>
    <row r="1362" spans="1:18">
      <c r="A1362" s="77"/>
      <c r="B1362" s="77"/>
      <c r="C1362" s="77"/>
      <c r="D1362" s="77"/>
      <c r="E1362" s="77"/>
      <c r="F1362" s="77"/>
      <c r="G1362" s="77"/>
      <c r="H1362" s="77"/>
      <c r="I1362" s="77"/>
      <c r="J1362" s="77"/>
      <c r="K1362" s="77"/>
      <c r="L1362" s="77"/>
      <c r="M1362" s="77"/>
      <c r="N1362" s="77"/>
      <c r="O1362" s="77"/>
      <c r="P1362" s="77"/>
      <c r="Q1362" s="77"/>
      <c r="R1362" s="77"/>
    </row>
    <row r="1363" spans="1:18">
      <c r="A1363" s="77"/>
      <c r="B1363" s="77"/>
      <c r="C1363" s="77"/>
      <c r="D1363" s="77"/>
      <c r="E1363" s="77"/>
      <c r="F1363" s="77"/>
      <c r="G1363" s="77"/>
      <c r="H1363" s="77"/>
      <c r="I1363" s="77"/>
      <c r="J1363" s="77"/>
      <c r="K1363" s="77"/>
      <c r="L1363" s="77"/>
      <c r="M1363" s="77"/>
      <c r="N1363" s="77"/>
      <c r="O1363" s="77"/>
      <c r="P1363" s="77"/>
      <c r="Q1363" s="77"/>
      <c r="R1363" s="77"/>
    </row>
    <row r="1364" spans="1:18">
      <c r="A1364" s="77"/>
      <c r="B1364" s="77"/>
      <c r="C1364" s="77"/>
      <c r="D1364" s="77"/>
      <c r="E1364" s="77"/>
      <c r="F1364" s="77"/>
      <c r="G1364" s="77"/>
      <c r="H1364" s="77"/>
      <c r="I1364" s="77"/>
      <c r="J1364" s="77"/>
      <c r="K1364" s="77"/>
      <c r="L1364" s="77"/>
      <c r="M1364" s="77"/>
      <c r="N1364" s="77"/>
      <c r="O1364" s="77"/>
      <c r="P1364" s="77"/>
      <c r="Q1364" s="77"/>
      <c r="R1364" s="77"/>
    </row>
    <row r="1365" spans="1:18">
      <c r="A1365" s="77"/>
      <c r="B1365" s="77"/>
      <c r="C1365" s="77"/>
      <c r="D1365" s="77"/>
      <c r="E1365" s="77"/>
      <c r="F1365" s="77"/>
      <c r="G1365" s="77"/>
      <c r="H1365" s="77"/>
      <c r="I1365" s="77"/>
      <c r="J1365" s="77"/>
      <c r="K1365" s="77"/>
      <c r="L1365" s="77"/>
      <c r="M1365" s="77"/>
      <c r="N1365" s="77"/>
      <c r="O1365" s="77"/>
      <c r="P1365" s="77"/>
      <c r="Q1365" s="77"/>
      <c r="R1365" s="77"/>
    </row>
    <row r="1366" spans="1:18">
      <c r="A1366" s="77"/>
      <c r="B1366" s="77"/>
      <c r="C1366" s="77"/>
      <c r="D1366" s="77"/>
      <c r="E1366" s="77"/>
      <c r="F1366" s="77"/>
      <c r="G1366" s="77"/>
      <c r="H1366" s="77"/>
      <c r="I1366" s="77"/>
      <c r="J1366" s="77"/>
      <c r="K1366" s="77"/>
      <c r="L1366" s="77"/>
      <c r="M1366" s="77"/>
      <c r="N1366" s="77"/>
      <c r="O1366" s="77"/>
      <c r="P1366" s="77"/>
      <c r="Q1366" s="77"/>
      <c r="R1366" s="77"/>
    </row>
    <row r="1367" spans="1:18">
      <c r="A1367" s="77"/>
      <c r="B1367" s="77"/>
      <c r="C1367" s="77"/>
      <c r="D1367" s="77"/>
      <c r="E1367" s="77"/>
      <c r="F1367" s="77"/>
      <c r="G1367" s="77"/>
      <c r="H1367" s="77"/>
      <c r="I1367" s="77"/>
      <c r="J1367" s="77"/>
      <c r="K1367" s="77"/>
      <c r="L1367" s="77"/>
      <c r="M1367" s="77"/>
      <c r="N1367" s="77"/>
      <c r="O1367" s="77"/>
      <c r="P1367" s="77"/>
      <c r="Q1367" s="77"/>
      <c r="R1367" s="77"/>
    </row>
    <row r="1368" spans="1:18">
      <c r="A1368" s="77"/>
      <c r="B1368" s="77"/>
      <c r="C1368" s="77"/>
      <c r="D1368" s="77"/>
      <c r="E1368" s="77"/>
      <c r="F1368" s="77"/>
      <c r="G1368" s="77"/>
      <c r="H1368" s="77"/>
      <c r="I1368" s="77"/>
      <c r="J1368" s="77"/>
      <c r="K1368" s="77"/>
      <c r="L1368" s="77"/>
      <c r="M1368" s="77"/>
      <c r="N1368" s="77"/>
      <c r="O1368" s="77"/>
      <c r="P1368" s="77"/>
      <c r="Q1368" s="77"/>
      <c r="R1368" s="77"/>
    </row>
    <row r="1369" spans="1:18">
      <c r="A1369" s="77"/>
      <c r="B1369" s="77"/>
      <c r="C1369" s="77"/>
      <c r="D1369" s="77"/>
      <c r="E1369" s="77"/>
      <c r="F1369" s="77"/>
      <c r="G1369" s="77"/>
      <c r="H1369" s="77"/>
      <c r="I1369" s="77"/>
      <c r="J1369" s="77"/>
      <c r="K1369" s="77"/>
      <c r="L1369" s="77"/>
      <c r="M1369" s="77"/>
      <c r="N1369" s="77"/>
      <c r="O1369" s="77"/>
      <c r="P1369" s="77"/>
      <c r="Q1369" s="77"/>
      <c r="R1369" s="77"/>
    </row>
    <row r="1370" spans="1:18">
      <c r="A1370" s="77"/>
      <c r="B1370" s="77"/>
      <c r="C1370" s="77"/>
      <c r="D1370" s="77"/>
      <c r="E1370" s="77"/>
      <c r="F1370" s="77"/>
      <c r="G1370" s="77"/>
      <c r="H1370" s="77"/>
      <c r="I1370" s="77"/>
      <c r="J1370" s="77"/>
      <c r="K1370" s="77"/>
      <c r="L1370" s="77"/>
      <c r="M1370" s="77"/>
      <c r="N1370" s="77"/>
      <c r="O1370" s="77"/>
      <c r="P1370" s="77"/>
      <c r="Q1370" s="77"/>
      <c r="R1370" s="77"/>
    </row>
    <row r="1371" spans="1:18">
      <c r="A1371" s="77"/>
      <c r="B1371" s="77"/>
      <c r="C1371" s="77"/>
      <c r="D1371" s="77"/>
      <c r="E1371" s="77"/>
      <c r="F1371" s="77"/>
      <c r="G1371" s="77"/>
      <c r="H1371" s="77"/>
      <c r="I1371" s="77"/>
      <c r="J1371" s="77"/>
      <c r="K1371" s="77"/>
      <c r="L1371" s="77"/>
      <c r="M1371" s="77"/>
      <c r="N1371" s="77"/>
      <c r="O1371" s="77"/>
      <c r="P1371" s="77"/>
      <c r="Q1371" s="77"/>
      <c r="R1371" s="77"/>
    </row>
    <row r="1372" spans="1:18">
      <c r="A1372" s="77"/>
      <c r="B1372" s="77"/>
      <c r="C1372" s="77"/>
      <c r="D1372" s="77"/>
      <c r="E1372" s="77"/>
      <c r="F1372" s="77"/>
      <c r="G1372" s="77"/>
      <c r="H1372" s="77"/>
      <c r="I1372" s="77"/>
      <c r="J1372" s="77"/>
      <c r="K1372" s="77"/>
      <c r="L1372" s="77"/>
      <c r="M1372" s="77"/>
      <c r="N1372" s="77"/>
      <c r="O1372" s="77"/>
      <c r="P1372" s="77"/>
      <c r="Q1372" s="77"/>
      <c r="R1372" s="77"/>
    </row>
    <row r="1373" spans="1:18">
      <c r="A1373" s="77"/>
      <c r="B1373" s="77"/>
      <c r="C1373" s="77"/>
      <c r="D1373" s="77"/>
      <c r="E1373" s="77"/>
      <c r="F1373" s="77"/>
      <c r="G1373" s="77"/>
      <c r="H1373" s="77"/>
      <c r="I1373" s="77"/>
      <c r="J1373" s="77"/>
      <c r="K1373" s="77"/>
      <c r="L1373" s="77"/>
      <c r="M1373" s="77"/>
      <c r="N1373" s="77"/>
      <c r="O1373" s="77"/>
      <c r="P1373" s="77"/>
      <c r="Q1373" s="77"/>
      <c r="R1373" s="77"/>
    </row>
    <row r="1374" spans="1:18">
      <c r="A1374" s="77"/>
      <c r="B1374" s="77"/>
      <c r="C1374" s="77"/>
      <c r="D1374" s="77"/>
      <c r="E1374" s="77"/>
      <c r="F1374" s="77"/>
      <c r="G1374" s="77"/>
      <c r="H1374" s="77"/>
      <c r="I1374" s="77"/>
      <c r="J1374" s="77"/>
      <c r="K1374" s="77"/>
      <c r="L1374" s="77"/>
      <c r="M1374" s="77"/>
      <c r="N1374" s="77"/>
      <c r="O1374" s="77"/>
      <c r="P1374" s="77"/>
      <c r="Q1374" s="77"/>
      <c r="R1374" s="77"/>
    </row>
    <row r="1375" spans="1:18">
      <c r="A1375" s="77"/>
      <c r="B1375" s="77"/>
      <c r="C1375" s="77"/>
      <c r="D1375" s="77"/>
      <c r="E1375" s="77"/>
      <c r="F1375" s="77"/>
      <c r="G1375" s="77"/>
      <c r="H1375" s="77"/>
      <c r="I1375" s="77"/>
      <c r="J1375" s="77"/>
      <c r="K1375" s="77"/>
      <c r="L1375" s="77"/>
      <c r="M1375" s="77"/>
      <c r="N1375" s="77"/>
      <c r="O1375" s="77"/>
      <c r="P1375" s="77"/>
      <c r="Q1375" s="77"/>
      <c r="R1375" s="77"/>
    </row>
    <row r="1376" spans="1:18">
      <c r="A1376" s="77"/>
      <c r="B1376" s="77"/>
      <c r="C1376" s="77"/>
      <c r="D1376" s="77"/>
      <c r="E1376" s="77"/>
      <c r="F1376" s="77"/>
      <c r="G1376" s="77"/>
      <c r="H1376" s="77"/>
      <c r="I1376" s="77"/>
      <c r="J1376" s="77"/>
      <c r="K1376" s="77"/>
      <c r="L1376" s="77"/>
      <c r="M1376" s="77"/>
      <c r="N1376" s="77"/>
      <c r="O1376" s="77"/>
      <c r="P1376" s="77"/>
      <c r="Q1376" s="77"/>
      <c r="R1376" s="77"/>
    </row>
    <row r="1377" spans="1:18">
      <c r="A1377" s="77"/>
      <c r="B1377" s="77"/>
      <c r="C1377" s="77"/>
      <c r="D1377" s="77"/>
      <c r="E1377" s="77"/>
      <c r="F1377" s="77"/>
      <c r="G1377" s="77"/>
      <c r="H1377" s="77"/>
      <c r="I1377" s="77"/>
      <c r="J1377" s="77"/>
      <c r="K1377" s="77"/>
      <c r="L1377" s="77"/>
      <c r="M1377" s="77"/>
      <c r="N1377" s="77"/>
      <c r="O1377" s="77"/>
      <c r="P1377" s="77"/>
      <c r="Q1377" s="77"/>
      <c r="R1377" s="77"/>
    </row>
    <row r="1378" spans="1:18">
      <c r="A1378" s="77"/>
      <c r="B1378" s="77"/>
      <c r="C1378" s="77"/>
      <c r="D1378" s="77"/>
      <c r="E1378" s="77"/>
      <c r="F1378" s="77"/>
      <c r="G1378" s="77"/>
      <c r="H1378" s="77"/>
      <c r="I1378" s="77"/>
      <c r="J1378" s="77"/>
      <c r="K1378" s="77"/>
      <c r="L1378" s="77"/>
      <c r="M1378" s="77"/>
      <c r="N1378" s="77"/>
      <c r="O1378" s="77"/>
      <c r="P1378" s="77"/>
      <c r="Q1378" s="77"/>
      <c r="R1378" s="77"/>
    </row>
    <row r="1379" spans="1:18">
      <c r="A1379" s="77"/>
      <c r="B1379" s="77"/>
      <c r="C1379" s="77"/>
      <c r="D1379" s="77"/>
      <c r="E1379" s="77"/>
      <c r="F1379" s="77"/>
      <c r="G1379" s="77"/>
      <c r="H1379" s="77"/>
      <c r="I1379" s="77"/>
      <c r="J1379" s="77"/>
      <c r="K1379" s="77"/>
      <c r="L1379" s="77"/>
      <c r="M1379" s="77"/>
      <c r="N1379" s="77"/>
      <c r="O1379" s="77"/>
      <c r="P1379" s="77"/>
      <c r="Q1379" s="77"/>
      <c r="R1379" s="77"/>
    </row>
    <row r="1380" spans="1:18">
      <c r="A1380" s="77"/>
      <c r="B1380" s="77"/>
      <c r="C1380" s="77"/>
      <c r="D1380" s="77"/>
      <c r="E1380" s="77"/>
      <c r="F1380" s="77"/>
      <c r="G1380" s="77"/>
      <c r="H1380" s="77"/>
      <c r="I1380" s="77"/>
      <c r="J1380" s="77"/>
      <c r="K1380" s="77"/>
      <c r="L1380" s="77"/>
      <c r="M1380" s="77"/>
      <c r="N1380" s="77"/>
      <c r="O1380" s="77"/>
      <c r="P1380" s="77"/>
      <c r="Q1380" s="77"/>
      <c r="R1380" s="77"/>
    </row>
    <row r="1381" spans="1:18">
      <c r="A1381" s="77"/>
      <c r="B1381" s="77"/>
      <c r="C1381" s="77"/>
      <c r="D1381" s="77"/>
      <c r="E1381" s="77"/>
      <c r="F1381" s="77"/>
      <c r="G1381" s="77"/>
      <c r="H1381" s="77"/>
      <c r="I1381" s="77"/>
      <c r="J1381" s="77"/>
      <c r="K1381" s="77"/>
      <c r="L1381" s="77"/>
      <c r="M1381" s="77"/>
      <c r="N1381" s="77"/>
      <c r="O1381" s="77"/>
      <c r="P1381" s="77"/>
      <c r="Q1381" s="77"/>
      <c r="R1381" s="77"/>
    </row>
    <row r="1382" spans="1:18">
      <c r="A1382" s="77"/>
      <c r="B1382" s="77"/>
      <c r="C1382" s="77"/>
      <c r="D1382" s="77"/>
      <c r="E1382" s="77"/>
      <c r="F1382" s="77"/>
      <c r="G1382" s="77"/>
      <c r="H1382" s="77"/>
      <c r="I1382" s="77"/>
      <c r="J1382" s="77"/>
      <c r="K1382" s="77"/>
      <c r="L1382" s="77"/>
      <c r="M1382" s="77"/>
      <c r="N1382" s="77"/>
      <c r="O1382" s="77"/>
      <c r="P1382" s="77"/>
      <c r="Q1382" s="77"/>
      <c r="R1382" s="77"/>
    </row>
    <row r="1383" spans="1:18">
      <c r="A1383" s="77"/>
      <c r="B1383" s="77"/>
      <c r="C1383" s="77"/>
      <c r="D1383" s="77"/>
      <c r="E1383" s="77"/>
      <c r="F1383" s="77"/>
      <c r="G1383" s="77"/>
      <c r="H1383" s="77"/>
      <c r="I1383" s="77"/>
      <c r="J1383" s="77"/>
      <c r="K1383" s="77"/>
      <c r="L1383" s="77"/>
      <c r="M1383" s="77"/>
      <c r="N1383" s="77"/>
      <c r="O1383" s="77"/>
      <c r="P1383" s="77"/>
      <c r="Q1383" s="77"/>
      <c r="R1383" s="77"/>
    </row>
    <row r="1384" spans="1:18">
      <c r="A1384" s="77"/>
      <c r="B1384" s="77"/>
      <c r="C1384" s="77"/>
      <c r="D1384" s="77"/>
      <c r="E1384" s="77"/>
      <c r="F1384" s="77"/>
      <c r="G1384" s="77"/>
      <c r="H1384" s="77"/>
      <c r="I1384" s="77"/>
      <c r="J1384" s="77"/>
      <c r="K1384" s="77"/>
      <c r="L1384" s="77"/>
      <c r="M1384" s="77"/>
      <c r="N1384" s="77"/>
      <c r="O1384" s="77"/>
      <c r="P1384" s="77"/>
      <c r="Q1384" s="77"/>
      <c r="R1384" s="77"/>
    </row>
    <row r="1385" spans="1:18">
      <c r="A1385" s="77"/>
      <c r="B1385" s="77"/>
      <c r="C1385" s="77"/>
      <c r="D1385" s="77"/>
      <c r="E1385" s="77"/>
      <c r="F1385" s="77"/>
      <c r="G1385" s="77"/>
      <c r="H1385" s="77"/>
      <c r="I1385" s="77"/>
      <c r="J1385" s="77"/>
      <c r="K1385" s="77"/>
      <c r="L1385" s="77"/>
      <c r="M1385" s="77"/>
      <c r="N1385" s="77"/>
      <c r="O1385" s="77"/>
      <c r="P1385" s="77"/>
      <c r="Q1385" s="77"/>
      <c r="R1385" s="77"/>
    </row>
    <row r="1386" spans="1:18">
      <c r="A1386" s="77"/>
      <c r="B1386" s="77"/>
      <c r="C1386" s="77"/>
      <c r="D1386" s="77"/>
      <c r="E1386" s="77"/>
      <c r="F1386" s="77"/>
      <c r="G1386" s="77"/>
      <c r="H1386" s="77"/>
      <c r="I1386" s="77"/>
      <c r="J1386" s="77"/>
      <c r="K1386" s="77"/>
      <c r="L1386" s="77"/>
      <c r="M1386" s="77"/>
      <c r="N1386" s="77"/>
      <c r="O1386" s="77"/>
      <c r="P1386" s="77"/>
      <c r="Q1386" s="77"/>
      <c r="R1386" s="77"/>
    </row>
    <row r="1387" spans="1:18">
      <c r="A1387" s="77"/>
      <c r="B1387" s="77"/>
      <c r="C1387" s="77"/>
      <c r="D1387" s="77"/>
      <c r="E1387" s="77"/>
      <c r="F1387" s="77"/>
      <c r="G1387" s="77"/>
      <c r="H1387" s="77"/>
      <c r="I1387" s="77"/>
      <c r="J1387" s="77"/>
      <c r="K1387" s="77"/>
      <c r="L1387" s="77"/>
      <c r="M1387" s="77"/>
      <c r="N1387" s="77"/>
      <c r="O1387" s="77"/>
      <c r="P1387" s="77"/>
      <c r="Q1387" s="77"/>
      <c r="R1387" s="77"/>
    </row>
    <row r="1388" spans="1:18">
      <c r="A1388" s="77"/>
      <c r="B1388" s="77"/>
      <c r="C1388" s="77"/>
      <c r="D1388" s="77"/>
      <c r="E1388" s="77"/>
      <c r="F1388" s="77"/>
      <c r="G1388" s="77"/>
      <c r="H1388" s="77"/>
      <c r="I1388" s="77"/>
      <c r="J1388" s="77"/>
      <c r="K1388" s="77"/>
      <c r="L1388" s="77"/>
      <c r="M1388" s="77"/>
      <c r="N1388" s="77"/>
      <c r="O1388" s="77"/>
      <c r="P1388" s="77"/>
      <c r="Q1388" s="77"/>
      <c r="R1388" s="77"/>
    </row>
    <row r="1389" spans="1:18">
      <c r="A1389" s="77"/>
      <c r="B1389" s="77"/>
      <c r="C1389" s="77"/>
      <c r="D1389" s="77"/>
      <c r="E1389" s="77"/>
      <c r="F1389" s="77"/>
      <c r="G1389" s="77"/>
      <c r="H1389" s="77"/>
      <c r="I1389" s="77"/>
      <c r="J1389" s="77"/>
      <c r="K1389" s="77"/>
      <c r="L1389" s="77"/>
      <c r="M1389" s="77"/>
      <c r="N1389" s="77"/>
      <c r="O1389" s="77"/>
      <c r="P1389" s="77"/>
      <c r="Q1389" s="77"/>
      <c r="R1389" s="77"/>
    </row>
    <row r="1390" spans="1:18">
      <c r="A1390" s="77"/>
      <c r="B1390" s="77"/>
      <c r="C1390" s="77"/>
      <c r="D1390" s="77"/>
      <c r="E1390" s="77"/>
      <c r="F1390" s="77"/>
      <c r="G1390" s="77"/>
      <c r="H1390" s="77"/>
      <c r="I1390" s="77"/>
      <c r="J1390" s="77"/>
      <c r="K1390" s="77"/>
      <c r="L1390" s="77"/>
      <c r="M1390" s="77"/>
      <c r="N1390" s="77"/>
      <c r="O1390" s="77"/>
      <c r="P1390" s="77"/>
      <c r="Q1390" s="77"/>
      <c r="R1390" s="77"/>
    </row>
    <row r="1391" spans="1:18">
      <c r="A1391" s="77"/>
      <c r="B1391" s="77"/>
      <c r="C1391" s="77"/>
      <c r="D1391" s="77"/>
      <c r="E1391" s="77"/>
      <c r="F1391" s="77"/>
      <c r="G1391" s="77"/>
      <c r="H1391" s="77"/>
      <c r="I1391" s="77"/>
      <c r="J1391" s="77"/>
      <c r="K1391" s="77"/>
      <c r="L1391" s="77"/>
      <c r="M1391" s="77"/>
      <c r="N1391" s="77"/>
      <c r="O1391" s="77"/>
      <c r="P1391" s="77"/>
      <c r="Q1391" s="77"/>
      <c r="R1391" s="77"/>
    </row>
    <row r="1392" spans="1:18">
      <c r="A1392" s="77"/>
      <c r="B1392" s="77"/>
      <c r="C1392" s="77"/>
      <c r="D1392" s="77"/>
      <c r="E1392" s="77"/>
      <c r="F1392" s="77"/>
      <c r="G1392" s="77"/>
      <c r="H1392" s="77"/>
      <c r="I1392" s="77"/>
      <c r="J1392" s="77"/>
      <c r="K1392" s="77"/>
      <c r="L1392" s="77"/>
      <c r="M1392" s="77"/>
      <c r="N1392" s="77"/>
      <c r="O1392" s="77"/>
      <c r="P1392" s="77"/>
      <c r="Q1392" s="77"/>
      <c r="R1392" s="77"/>
    </row>
    <row r="1393" spans="1:18">
      <c r="A1393" s="77"/>
      <c r="B1393" s="77"/>
      <c r="C1393" s="77"/>
      <c r="D1393" s="77"/>
      <c r="E1393" s="77"/>
      <c r="F1393" s="77"/>
      <c r="G1393" s="77"/>
      <c r="H1393" s="77"/>
      <c r="I1393" s="77"/>
      <c r="J1393" s="77"/>
      <c r="K1393" s="77"/>
      <c r="L1393" s="77"/>
      <c r="M1393" s="77"/>
      <c r="N1393" s="77"/>
      <c r="O1393" s="77"/>
      <c r="P1393" s="77"/>
      <c r="Q1393" s="77"/>
      <c r="R1393" s="77"/>
    </row>
    <row r="1394" spans="1:18">
      <c r="A1394" s="77"/>
      <c r="B1394" s="77"/>
      <c r="C1394" s="77"/>
      <c r="D1394" s="77"/>
      <c r="E1394" s="77"/>
      <c r="F1394" s="77"/>
      <c r="G1394" s="77"/>
      <c r="H1394" s="77"/>
      <c r="I1394" s="77"/>
      <c r="J1394" s="77"/>
      <c r="K1394" s="77"/>
      <c r="L1394" s="77"/>
      <c r="M1394" s="77"/>
      <c r="N1394" s="77"/>
      <c r="O1394" s="77"/>
      <c r="P1394" s="77"/>
      <c r="Q1394" s="77"/>
      <c r="R1394" s="77"/>
    </row>
    <row r="1395" spans="1:18">
      <c r="A1395" s="77"/>
      <c r="B1395" s="77"/>
      <c r="C1395" s="77"/>
      <c r="D1395" s="77"/>
      <c r="E1395" s="77"/>
      <c r="F1395" s="77"/>
      <c r="G1395" s="77"/>
      <c r="H1395" s="77"/>
      <c r="I1395" s="77"/>
      <c r="J1395" s="77"/>
      <c r="K1395" s="77"/>
      <c r="L1395" s="77"/>
      <c r="M1395" s="77"/>
      <c r="N1395" s="77"/>
      <c r="O1395" s="77"/>
      <c r="P1395" s="77"/>
      <c r="Q1395" s="77"/>
      <c r="R1395" s="77"/>
    </row>
    <row r="1396" spans="1:18">
      <c r="A1396" s="77"/>
      <c r="B1396" s="77"/>
      <c r="C1396" s="77"/>
      <c r="D1396" s="77"/>
      <c r="E1396" s="77"/>
      <c r="F1396" s="77"/>
      <c r="G1396" s="77"/>
      <c r="H1396" s="77"/>
      <c r="I1396" s="77"/>
      <c r="J1396" s="77"/>
      <c r="K1396" s="77"/>
      <c r="L1396" s="77"/>
      <c r="M1396" s="77"/>
      <c r="N1396" s="77"/>
      <c r="O1396" s="77"/>
      <c r="P1396" s="77"/>
      <c r="Q1396" s="77"/>
      <c r="R1396" s="77"/>
    </row>
    <row r="1397" spans="1:18">
      <c r="A1397" s="77"/>
      <c r="B1397" s="77"/>
      <c r="C1397" s="77"/>
      <c r="D1397" s="77"/>
      <c r="E1397" s="77"/>
      <c r="F1397" s="77"/>
      <c r="G1397" s="77"/>
      <c r="H1397" s="77"/>
      <c r="I1397" s="77"/>
      <c r="J1397" s="77"/>
      <c r="K1397" s="77"/>
      <c r="L1397" s="77"/>
      <c r="M1397" s="77"/>
      <c r="N1397" s="77"/>
      <c r="O1397" s="77"/>
      <c r="P1397" s="77"/>
      <c r="Q1397" s="77"/>
      <c r="R1397" s="77"/>
    </row>
    <row r="1398" spans="1:18">
      <c r="A1398" s="77"/>
      <c r="B1398" s="77"/>
      <c r="C1398" s="77"/>
      <c r="D1398" s="77"/>
      <c r="E1398" s="77"/>
      <c r="F1398" s="77"/>
      <c r="G1398" s="77"/>
      <c r="H1398" s="77"/>
      <c r="I1398" s="77"/>
      <c r="J1398" s="77"/>
      <c r="K1398" s="77"/>
      <c r="L1398" s="77"/>
      <c r="M1398" s="77"/>
      <c r="N1398" s="77"/>
      <c r="O1398" s="77"/>
      <c r="P1398" s="77"/>
      <c r="Q1398" s="77"/>
      <c r="R1398" s="77"/>
    </row>
    <row r="1399" spans="1:18">
      <c r="A1399" s="77"/>
      <c r="B1399" s="77"/>
      <c r="C1399" s="77"/>
      <c r="D1399" s="77"/>
      <c r="E1399" s="77"/>
      <c r="F1399" s="77"/>
      <c r="G1399" s="77"/>
      <c r="H1399" s="77"/>
      <c r="I1399" s="77"/>
      <c r="J1399" s="77"/>
      <c r="K1399" s="77"/>
      <c r="L1399" s="77"/>
      <c r="M1399" s="77"/>
      <c r="N1399" s="77"/>
      <c r="O1399" s="77"/>
      <c r="P1399" s="77"/>
      <c r="Q1399" s="77"/>
      <c r="R1399" s="77"/>
    </row>
    <row r="1400" spans="1:18">
      <c r="A1400" s="77"/>
      <c r="B1400" s="77"/>
      <c r="C1400" s="77"/>
      <c r="D1400" s="77"/>
      <c r="E1400" s="77"/>
      <c r="F1400" s="77"/>
      <c r="G1400" s="77"/>
      <c r="H1400" s="77"/>
      <c r="I1400" s="77"/>
      <c r="J1400" s="77"/>
      <c r="K1400" s="77"/>
      <c r="L1400" s="77"/>
      <c r="M1400" s="77"/>
      <c r="N1400" s="77"/>
      <c r="O1400" s="77"/>
      <c r="P1400" s="77"/>
      <c r="Q1400" s="77"/>
      <c r="R1400" s="77"/>
    </row>
    <row r="1401" spans="1:18">
      <c r="A1401" s="77"/>
      <c r="B1401" s="77"/>
      <c r="C1401" s="77"/>
      <c r="D1401" s="77"/>
      <c r="E1401" s="77"/>
      <c r="F1401" s="77"/>
      <c r="G1401" s="77"/>
      <c r="H1401" s="77"/>
      <c r="I1401" s="77"/>
      <c r="J1401" s="77"/>
      <c r="K1401" s="77"/>
      <c r="L1401" s="77"/>
      <c r="M1401" s="77"/>
      <c r="N1401" s="77"/>
      <c r="O1401" s="77"/>
      <c r="P1401" s="77"/>
      <c r="Q1401" s="77"/>
      <c r="R1401" s="77"/>
    </row>
    <row r="1402" spans="1:18">
      <c r="A1402" s="77"/>
      <c r="B1402" s="77"/>
      <c r="C1402" s="77"/>
      <c r="D1402" s="77"/>
      <c r="E1402" s="77"/>
      <c r="F1402" s="77"/>
      <c r="G1402" s="77"/>
      <c r="H1402" s="77"/>
      <c r="I1402" s="77"/>
      <c r="J1402" s="77"/>
      <c r="K1402" s="77"/>
      <c r="L1402" s="77"/>
      <c r="M1402" s="77"/>
      <c r="N1402" s="77"/>
      <c r="O1402" s="77"/>
      <c r="P1402" s="77"/>
      <c r="Q1402" s="77"/>
      <c r="R1402" s="77"/>
    </row>
    <row r="1403" spans="1:18">
      <c r="A1403" s="77"/>
      <c r="B1403" s="77"/>
      <c r="C1403" s="77"/>
      <c r="D1403" s="77"/>
      <c r="E1403" s="77"/>
      <c r="F1403" s="77"/>
      <c r="G1403" s="77"/>
      <c r="H1403" s="77"/>
      <c r="I1403" s="77"/>
      <c r="J1403" s="77"/>
      <c r="K1403" s="77"/>
      <c r="L1403" s="77"/>
      <c r="M1403" s="77"/>
      <c r="N1403" s="77"/>
      <c r="O1403" s="77"/>
      <c r="P1403" s="77"/>
      <c r="Q1403" s="77"/>
      <c r="R1403" s="77"/>
    </row>
    <row r="1404" spans="1:18">
      <c r="A1404" s="77"/>
      <c r="B1404" s="77"/>
      <c r="C1404" s="77"/>
      <c r="D1404" s="77"/>
      <c r="E1404" s="77"/>
      <c r="F1404" s="77"/>
      <c r="G1404" s="77"/>
      <c r="H1404" s="77"/>
      <c r="I1404" s="77"/>
      <c r="J1404" s="77"/>
      <c r="K1404" s="77"/>
      <c r="L1404" s="77"/>
      <c r="M1404" s="77"/>
      <c r="N1404" s="77"/>
      <c r="O1404" s="77"/>
      <c r="P1404" s="77"/>
      <c r="Q1404" s="77"/>
      <c r="R1404" s="77"/>
    </row>
    <row r="1405" spans="1:18">
      <c r="A1405" s="77"/>
      <c r="B1405" s="77"/>
      <c r="C1405" s="77"/>
      <c r="D1405" s="77"/>
      <c r="E1405" s="77"/>
      <c r="F1405" s="77"/>
      <c r="G1405" s="77"/>
      <c r="H1405" s="77"/>
      <c r="I1405" s="77"/>
      <c r="J1405" s="77"/>
      <c r="K1405" s="77"/>
      <c r="L1405" s="77"/>
      <c r="M1405" s="77"/>
      <c r="N1405" s="77"/>
      <c r="O1405" s="77"/>
      <c r="P1405" s="77"/>
      <c r="Q1405" s="77"/>
      <c r="R1405" s="77"/>
    </row>
    <row r="1406" spans="1:18">
      <c r="A1406" s="77"/>
      <c r="B1406" s="77"/>
      <c r="C1406" s="77"/>
      <c r="D1406" s="77"/>
      <c r="E1406" s="77"/>
      <c r="F1406" s="77"/>
      <c r="G1406" s="77"/>
      <c r="H1406" s="77"/>
      <c r="I1406" s="77"/>
      <c r="J1406" s="77"/>
      <c r="K1406" s="77"/>
      <c r="L1406" s="77"/>
      <c r="M1406" s="77"/>
      <c r="N1406" s="77"/>
      <c r="O1406" s="77"/>
      <c r="P1406" s="77"/>
      <c r="Q1406" s="77"/>
      <c r="R1406" s="77"/>
    </row>
    <row r="1407" spans="1:18">
      <c r="A1407" s="77"/>
      <c r="B1407" s="77"/>
      <c r="C1407" s="77"/>
      <c r="D1407" s="77"/>
      <c r="E1407" s="77"/>
      <c r="F1407" s="77"/>
      <c r="G1407" s="77"/>
      <c r="H1407" s="77"/>
      <c r="I1407" s="77"/>
      <c r="J1407" s="77"/>
      <c r="K1407" s="77"/>
      <c r="L1407" s="77"/>
      <c r="M1407" s="77"/>
      <c r="N1407" s="77"/>
      <c r="O1407" s="77"/>
      <c r="P1407" s="77"/>
      <c r="Q1407" s="77"/>
      <c r="R1407" s="77"/>
    </row>
    <row r="1408" spans="1:18">
      <c r="A1408" s="77"/>
      <c r="B1408" s="77"/>
      <c r="C1408" s="77"/>
      <c r="D1408" s="77"/>
      <c r="E1408" s="77"/>
      <c r="F1408" s="77"/>
      <c r="G1408" s="77"/>
      <c r="H1408" s="77"/>
      <c r="I1408" s="77"/>
      <c r="J1408" s="77"/>
      <c r="K1408" s="77"/>
      <c r="L1408" s="77"/>
      <c r="M1408" s="77"/>
      <c r="N1408" s="77"/>
      <c r="O1408" s="77"/>
      <c r="P1408" s="77"/>
      <c r="Q1408" s="77"/>
      <c r="R1408" s="77"/>
    </row>
    <row r="1409" spans="1:18">
      <c r="A1409" s="77"/>
      <c r="B1409" s="77"/>
      <c r="C1409" s="77"/>
      <c r="D1409" s="77"/>
      <c r="E1409" s="77"/>
      <c r="F1409" s="77"/>
      <c r="G1409" s="77"/>
      <c r="H1409" s="77"/>
      <c r="I1409" s="77"/>
      <c r="J1409" s="77"/>
      <c r="K1409" s="77"/>
      <c r="L1409" s="77"/>
      <c r="M1409" s="77"/>
      <c r="N1409" s="77"/>
      <c r="O1409" s="77"/>
      <c r="P1409" s="77"/>
      <c r="Q1409" s="77"/>
      <c r="R1409" s="77"/>
    </row>
    <row r="1410" spans="1:18">
      <c r="A1410" s="77"/>
      <c r="B1410" s="77"/>
      <c r="C1410" s="77"/>
      <c r="D1410" s="77"/>
      <c r="E1410" s="77"/>
      <c r="F1410" s="77"/>
      <c r="G1410" s="77"/>
      <c r="H1410" s="77"/>
      <c r="I1410" s="77"/>
      <c r="J1410" s="77"/>
      <c r="K1410" s="77"/>
      <c r="L1410" s="77"/>
      <c r="M1410" s="77"/>
      <c r="N1410" s="77"/>
      <c r="O1410" s="77"/>
      <c r="P1410" s="77"/>
      <c r="Q1410" s="77"/>
      <c r="R1410" s="77"/>
    </row>
    <row r="1411" spans="1:18">
      <c r="A1411" s="77"/>
      <c r="B1411" s="77"/>
      <c r="C1411" s="77"/>
      <c r="D1411" s="77"/>
      <c r="E1411" s="77"/>
      <c r="F1411" s="77"/>
      <c r="G1411" s="77"/>
      <c r="H1411" s="77"/>
      <c r="I1411" s="77"/>
      <c r="J1411" s="77"/>
      <c r="K1411" s="77"/>
      <c r="L1411" s="77"/>
      <c r="M1411" s="77"/>
      <c r="N1411" s="77"/>
      <c r="O1411" s="77"/>
      <c r="P1411" s="77"/>
      <c r="Q1411" s="77"/>
      <c r="R1411" s="77"/>
    </row>
    <row r="1412" spans="1:18">
      <c r="A1412" s="77"/>
      <c r="B1412" s="77"/>
      <c r="C1412" s="77"/>
      <c r="D1412" s="77"/>
      <c r="E1412" s="77"/>
      <c r="F1412" s="77"/>
      <c r="G1412" s="77"/>
      <c r="H1412" s="77"/>
      <c r="I1412" s="77"/>
      <c r="J1412" s="77"/>
      <c r="K1412" s="77"/>
      <c r="L1412" s="77"/>
      <c r="M1412" s="77"/>
      <c r="N1412" s="77"/>
      <c r="O1412" s="77"/>
      <c r="P1412" s="77"/>
      <c r="Q1412" s="77"/>
      <c r="R1412" s="77"/>
    </row>
    <row r="1413" spans="1:18">
      <c r="A1413" s="77"/>
      <c r="B1413" s="77"/>
      <c r="C1413" s="77"/>
      <c r="D1413" s="77"/>
      <c r="E1413" s="77"/>
      <c r="F1413" s="77"/>
      <c r="G1413" s="77"/>
      <c r="H1413" s="77"/>
      <c r="I1413" s="77"/>
      <c r="J1413" s="77"/>
      <c r="K1413" s="77"/>
      <c r="L1413" s="77"/>
      <c r="M1413" s="77"/>
      <c r="N1413" s="77"/>
      <c r="O1413" s="77"/>
      <c r="P1413" s="77"/>
      <c r="Q1413" s="77"/>
      <c r="R1413" s="77"/>
    </row>
    <row r="1414" spans="1:18">
      <c r="A1414" s="77"/>
      <c r="B1414" s="77"/>
      <c r="C1414" s="77"/>
      <c r="D1414" s="77"/>
      <c r="E1414" s="77"/>
      <c r="F1414" s="77"/>
      <c r="G1414" s="77"/>
      <c r="H1414" s="77"/>
      <c r="I1414" s="77"/>
      <c r="J1414" s="77"/>
      <c r="K1414" s="77"/>
      <c r="L1414" s="77"/>
      <c r="M1414" s="77"/>
      <c r="N1414" s="77"/>
      <c r="O1414" s="77"/>
      <c r="P1414" s="77"/>
      <c r="Q1414" s="77"/>
      <c r="R1414" s="77"/>
    </row>
    <row r="1415" spans="1:18">
      <c r="A1415" s="77"/>
      <c r="B1415" s="77"/>
      <c r="C1415" s="77"/>
      <c r="D1415" s="77"/>
      <c r="E1415" s="77"/>
      <c r="F1415" s="77"/>
      <c r="G1415" s="77"/>
      <c r="H1415" s="77"/>
      <c r="I1415" s="77"/>
      <c r="J1415" s="77"/>
      <c r="K1415" s="77"/>
      <c r="L1415" s="77"/>
      <c r="M1415" s="77"/>
      <c r="N1415" s="77"/>
      <c r="O1415" s="77"/>
      <c r="P1415" s="77"/>
      <c r="Q1415" s="77"/>
      <c r="R1415" s="77"/>
    </row>
    <row r="1416" spans="1:18">
      <c r="A1416" s="77"/>
      <c r="B1416" s="77"/>
      <c r="C1416" s="77"/>
      <c r="D1416" s="77"/>
      <c r="E1416" s="77"/>
      <c r="F1416" s="77"/>
      <c r="G1416" s="77"/>
      <c r="H1416" s="77"/>
      <c r="I1416" s="77"/>
      <c r="J1416" s="77"/>
      <c r="K1416" s="77"/>
      <c r="L1416" s="77"/>
      <c r="M1416" s="77"/>
      <c r="N1416" s="77"/>
      <c r="O1416" s="77"/>
      <c r="P1416" s="77"/>
      <c r="Q1416" s="77"/>
      <c r="R1416" s="77"/>
    </row>
    <row r="1417" spans="1:18">
      <c r="A1417" s="77"/>
      <c r="B1417" s="77"/>
      <c r="C1417" s="77"/>
      <c r="D1417" s="77"/>
      <c r="E1417" s="77"/>
      <c r="F1417" s="77"/>
      <c r="G1417" s="77"/>
      <c r="H1417" s="77"/>
      <c r="I1417" s="77"/>
      <c r="J1417" s="77"/>
      <c r="K1417" s="77"/>
      <c r="L1417" s="77"/>
      <c r="M1417" s="77"/>
      <c r="N1417" s="77"/>
      <c r="O1417" s="77"/>
      <c r="P1417" s="77"/>
      <c r="Q1417" s="77"/>
      <c r="R1417" s="77"/>
    </row>
    <row r="1418" spans="1:18">
      <c r="A1418" s="77"/>
      <c r="B1418" s="77"/>
      <c r="C1418" s="77"/>
      <c r="D1418" s="77"/>
      <c r="E1418" s="77"/>
      <c r="F1418" s="77"/>
      <c r="G1418" s="77"/>
      <c r="H1418" s="77"/>
      <c r="I1418" s="77"/>
      <c r="J1418" s="77"/>
      <c r="K1418" s="77"/>
      <c r="L1418" s="77"/>
      <c r="M1418" s="77"/>
      <c r="N1418" s="77"/>
      <c r="O1418" s="77"/>
      <c r="P1418" s="77"/>
      <c r="Q1418" s="77"/>
      <c r="R1418" s="77"/>
    </row>
    <row r="1419" spans="1:18">
      <c r="A1419" s="77"/>
      <c r="B1419" s="77"/>
      <c r="C1419" s="77"/>
      <c r="D1419" s="77"/>
      <c r="E1419" s="77"/>
      <c r="F1419" s="77"/>
      <c r="G1419" s="77"/>
      <c r="H1419" s="77"/>
      <c r="I1419" s="77"/>
      <c r="J1419" s="77"/>
      <c r="K1419" s="77"/>
      <c r="L1419" s="77"/>
      <c r="M1419" s="77"/>
      <c r="N1419" s="77"/>
      <c r="O1419" s="77"/>
      <c r="P1419" s="77"/>
      <c r="Q1419" s="77"/>
      <c r="R1419" s="77"/>
    </row>
    <row r="1420" spans="1:18">
      <c r="A1420" s="77"/>
      <c r="B1420" s="77"/>
      <c r="C1420" s="77"/>
      <c r="D1420" s="77"/>
      <c r="E1420" s="77"/>
      <c r="F1420" s="77"/>
      <c r="G1420" s="77"/>
      <c r="H1420" s="77"/>
      <c r="I1420" s="77"/>
      <c r="J1420" s="77"/>
      <c r="K1420" s="77"/>
      <c r="L1420" s="77"/>
      <c r="M1420" s="77"/>
      <c r="N1420" s="77"/>
      <c r="O1420" s="77"/>
      <c r="P1420" s="77"/>
      <c r="Q1420" s="77"/>
      <c r="R1420" s="77"/>
    </row>
    <row r="1421" spans="1:18">
      <c r="A1421" s="77"/>
      <c r="B1421" s="77"/>
      <c r="C1421" s="77"/>
      <c r="D1421" s="77"/>
      <c r="E1421" s="77"/>
      <c r="F1421" s="77"/>
      <c r="G1421" s="77"/>
      <c r="H1421" s="77"/>
      <c r="I1421" s="77"/>
      <c r="J1421" s="77"/>
      <c r="K1421" s="77"/>
      <c r="L1421" s="77"/>
      <c r="M1421" s="77"/>
      <c r="N1421" s="77"/>
      <c r="O1421" s="77"/>
      <c r="P1421" s="77"/>
      <c r="Q1421" s="77"/>
      <c r="R1421" s="77"/>
    </row>
    <row r="1422" spans="1:18">
      <c r="A1422" s="77"/>
      <c r="B1422" s="77"/>
      <c r="C1422" s="77"/>
      <c r="D1422" s="77"/>
      <c r="E1422" s="77"/>
      <c r="F1422" s="77"/>
      <c r="G1422" s="77"/>
      <c r="H1422" s="77"/>
      <c r="I1422" s="77"/>
      <c r="J1422" s="77"/>
      <c r="K1422" s="77"/>
      <c r="L1422" s="77"/>
      <c r="M1422" s="77"/>
      <c r="N1422" s="77"/>
      <c r="O1422" s="77"/>
      <c r="P1422" s="77"/>
      <c r="Q1422" s="77"/>
      <c r="R1422" s="77"/>
    </row>
    <row r="1423" spans="1:18">
      <c r="A1423" s="77"/>
      <c r="B1423" s="77"/>
      <c r="C1423" s="77"/>
      <c r="D1423" s="77"/>
      <c r="E1423" s="77"/>
      <c r="F1423" s="77"/>
      <c r="G1423" s="77"/>
      <c r="H1423" s="77"/>
      <c r="I1423" s="77"/>
      <c r="J1423" s="77"/>
      <c r="K1423" s="77"/>
      <c r="L1423" s="77"/>
      <c r="M1423" s="77"/>
      <c r="N1423" s="77"/>
      <c r="O1423" s="77"/>
      <c r="P1423" s="77"/>
      <c r="Q1423" s="77"/>
      <c r="R1423" s="77"/>
    </row>
    <row r="1424" spans="1:18">
      <c r="A1424" s="77"/>
      <c r="B1424" s="77"/>
      <c r="C1424" s="77"/>
      <c r="D1424" s="77"/>
      <c r="E1424" s="77"/>
      <c r="F1424" s="77"/>
      <c r="G1424" s="77"/>
      <c r="H1424" s="77"/>
      <c r="I1424" s="77"/>
      <c r="J1424" s="77"/>
      <c r="K1424" s="77"/>
      <c r="L1424" s="77"/>
      <c r="M1424" s="77"/>
      <c r="N1424" s="77"/>
      <c r="O1424" s="77"/>
      <c r="P1424" s="77"/>
      <c r="Q1424" s="77"/>
      <c r="R1424" s="77"/>
    </row>
    <row r="1425" spans="1:18">
      <c r="A1425" s="77"/>
      <c r="B1425" s="77"/>
      <c r="C1425" s="77"/>
      <c r="D1425" s="77"/>
      <c r="E1425" s="77"/>
      <c r="F1425" s="77"/>
      <c r="G1425" s="77"/>
      <c r="H1425" s="77"/>
      <c r="I1425" s="77"/>
      <c r="J1425" s="77"/>
      <c r="K1425" s="77"/>
      <c r="L1425" s="77"/>
      <c r="M1425" s="77"/>
      <c r="N1425" s="77"/>
      <c r="O1425" s="77"/>
      <c r="P1425" s="77"/>
      <c r="Q1425" s="77"/>
      <c r="R1425" s="77"/>
    </row>
    <row r="1426" spans="1:18">
      <c r="A1426" s="77"/>
      <c r="B1426" s="77"/>
      <c r="C1426" s="77"/>
      <c r="D1426" s="77"/>
      <c r="E1426" s="77"/>
      <c r="F1426" s="77"/>
      <c r="G1426" s="77"/>
      <c r="H1426" s="77"/>
      <c r="I1426" s="77"/>
      <c r="J1426" s="77"/>
      <c r="K1426" s="77"/>
      <c r="L1426" s="77"/>
      <c r="M1426" s="77"/>
      <c r="N1426" s="77"/>
      <c r="O1426" s="77"/>
      <c r="P1426" s="77"/>
      <c r="Q1426" s="77"/>
      <c r="R1426" s="77"/>
    </row>
    <row r="1427" spans="1:18">
      <c r="A1427" s="77"/>
      <c r="B1427" s="77"/>
      <c r="C1427" s="77"/>
      <c r="D1427" s="77"/>
      <c r="E1427" s="77"/>
      <c r="F1427" s="77"/>
      <c r="G1427" s="77"/>
      <c r="H1427" s="77"/>
      <c r="I1427" s="77"/>
      <c r="J1427" s="77"/>
      <c r="K1427" s="77"/>
      <c r="L1427" s="77"/>
      <c r="M1427" s="77"/>
      <c r="N1427" s="77"/>
      <c r="O1427" s="77"/>
      <c r="P1427" s="77"/>
      <c r="Q1427" s="77"/>
      <c r="R1427" s="77"/>
    </row>
    <row r="1428" spans="1:18">
      <c r="A1428" s="77"/>
      <c r="B1428" s="77"/>
      <c r="C1428" s="77"/>
      <c r="D1428" s="77"/>
      <c r="E1428" s="77"/>
      <c r="F1428" s="77"/>
      <c r="G1428" s="77"/>
      <c r="H1428" s="77"/>
      <c r="I1428" s="77"/>
      <c r="J1428" s="77"/>
      <c r="K1428" s="77"/>
      <c r="L1428" s="77"/>
      <c r="M1428" s="77"/>
      <c r="N1428" s="77"/>
      <c r="O1428" s="77"/>
      <c r="P1428" s="77"/>
      <c r="Q1428" s="77"/>
      <c r="R1428" s="77"/>
    </row>
    <row r="1429" spans="1:18">
      <c r="A1429" s="77"/>
      <c r="B1429" s="77"/>
      <c r="C1429" s="77"/>
      <c r="D1429" s="77"/>
      <c r="E1429" s="77"/>
      <c r="F1429" s="77"/>
      <c r="G1429" s="77"/>
      <c r="H1429" s="77"/>
      <c r="I1429" s="77"/>
      <c r="J1429" s="77"/>
      <c r="K1429" s="77"/>
      <c r="L1429" s="77"/>
      <c r="M1429" s="77"/>
      <c r="N1429" s="77"/>
      <c r="O1429" s="77"/>
      <c r="P1429" s="77"/>
      <c r="Q1429" s="77"/>
      <c r="R1429" s="77"/>
    </row>
    <row r="1430" spans="1:18">
      <c r="A1430" s="77"/>
      <c r="B1430" s="77"/>
      <c r="C1430" s="77"/>
      <c r="D1430" s="77"/>
      <c r="E1430" s="77"/>
      <c r="F1430" s="77"/>
      <c r="G1430" s="77"/>
      <c r="H1430" s="77"/>
      <c r="I1430" s="77"/>
      <c r="J1430" s="77"/>
      <c r="K1430" s="77"/>
      <c r="L1430" s="77"/>
      <c r="M1430" s="77"/>
      <c r="N1430" s="77"/>
      <c r="O1430" s="77"/>
      <c r="P1430" s="77"/>
      <c r="Q1430" s="77"/>
      <c r="R1430" s="77"/>
    </row>
    <row r="1431" spans="1:18">
      <c r="A1431" s="77"/>
      <c r="B1431" s="77"/>
      <c r="C1431" s="77"/>
      <c r="D1431" s="77"/>
      <c r="E1431" s="77"/>
      <c r="F1431" s="77"/>
      <c r="G1431" s="77"/>
      <c r="H1431" s="77"/>
      <c r="I1431" s="77"/>
      <c r="J1431" s="77"/>
      <c r="K1431" s="77"/>
      <c r="L1431" s="77"/>
      <c r="M1431" s="77"/>
      <c r="N1431" s="77"/>
      <c r="O1431" s="77"/>
      <c r="P1431" s="77"/>
      <c r="Q1431" s="77"/>
      <c r="R1431" s="77"/>
    </row>
    <row r="1432" spans="1:18">
      <c r="A1432" s="77"/>
      <c r="B1432" s="77"/>
      <c r="C1432" s="77"/>
      <c r="D1432" s="77"/>
      <c r="E1432" s="77"/>
      <c r="F1432" s="77"/>
      <c r="G1432" s="77"/>
      <c r="H1432" s="77"/>
      <c r="I1432" s="77"/>
      <c r="J1432" s="77"/>
      <c r="K1432" s="77"/>
      <c r="L1432" s="77"/>
      <c r="M1432" s="77"/>
      <c r="N1432" s="77"/>
      <c r="O1432" s="77"/>
      <c r="P1432" s="77"/>
      <c r="Q1432" s="77"/>
      <c r="R1432" s="77"/>
    </row>
    <row r="1433" spans="1:18">
      <c r="A1433" s="77"/>
      <c r="B1433" s="77"/>
      <c r="C1433" s="77"/>
      <c r="D1433" s="77"/>
      <c r="E1433" s="77"/>
      <c r="F1433" s="77"/>
      <c r="G1433" s="77"/>
      <c r="H1433" s="77"/>
      <c r="I1433" s="77"/>
      <c r="J1433" s="77"/>
      <c r="K1433" s="77"/>
      <c r="L1433" s="77"/>
      <c r="M1433" s="77"/>
      <c r="N1433" s="77"/>
      <c r="O1433" s="77"/>
      <c r="P1433" s="77"/>
      <c r="Q1433" s="77"/>
      <c r="R1433" s="77"/>
    </row>
    <row r="1434" spans="1:18">
      <c r="A1434" s="77"/>
      <c r="B1434" s="77"/>
      <c r="C1434" s="77"/>
      <c r="D1434" s="77"/>
      <c r="E1434" s="77"/>
      <c r="F1434" s="77"/>
      <c r="G1434" s="77"/>
      <c r="H1434" s="77"/>
      <c r="I1434" s="77"/>
      <c r="J1434" s="77"/>
      <c r="K1434" s="77"/>
      <c r="L1434" s="77"/>
      <c r="M1434" s="77"/>
      <c r="N1434" s="77"/>
      <c r="O1434" s="77"/>
      <c r="P1434" s="77"/>
      <c r="Q1434" s="77"/>
      <c r="R1434" s="77"/>
    </row>
    <row r="1435" spans="1:18">
      <c r="A1435" s="77"/>
      <c r="B1435" s="77"/>
      <c r="C1435" s="77"/>
      <c r="D1435" s="77"/>
      <c r="E1435" s="77"/>
      <c r="F1435" s="77"/>
      <c r="G1435" s="77"/>
      <c r="H1435" s="77"/>
      <c r="I1435" s="77"/>
      <c r="J1435" s="77"/>
      <c r="K1435" s="77"/>
      <c r="L1435" s="77"/>
      <c r="M1435" s="77"/>
      <c r="N1435" s="77"/>
      <c r="O1435" s="77"/>
      <c r="P1435" s="77"/>
      <c r="Q1435" s="77"/>
      <c r="R1435" s="77"/>
    </row>
    <row r="1436" spans="1:18">
      <c r="A1436" s="77"/>
      <c r="B1436" s="77"/>
      <c r="C1436" s="77"/>
      <c r="D1436" s="77"/>
      <c r="E1436" s="77"/>
      <c r="F1436" s="77"/>
      <c r="G1436" s="77"/>
      <c r="H1436" s="77"/>
      <c r="I1436" s="77"/>
      <c r="J1436" s="77"/>
      <c r="K1436" s="77"/>
      <c r="L1436" s="77"/>
      <c r="M1436" s="77"/>
      <c r="N1436" s="77"/>
      <c r="O1436" s="77"/>
      <c r="P1436" s="77"/>
      <c r="Q1436" s="77"/>
      <c r="R1436" s="77"/>
    </row>
    <row r="1437" spans="1:18">
      <c r="A1437" s="77"/>
      <c r="B1437" s="77"/>
      <c r="C1437" s="77"/>
      <c r="D1437" s="77"/>
      <c r="E1437" s="77"/>
      <c r="F1437" s="77"/>
      <c r="G1437" s="77"/>
      <c r="H1437" s="77"/>
      <c r="I1437" s="77"/>
      <c r="J1437" s="77"/>
      <c r="K1437" s="77"/>
      <c r="L1437" s="77"/>
      <c r="M1437" s="77"/>
      <c r="N1437" s="77"/>
      <c r="O1437" s="77"/>
      <c r="P1437" s="77"/>
      <c r="Q1437" s="77"/>
      <c r="R1437" s="77"/>
    </row>
    <row r="1438" spans="1:18">
      <c r="A1438" s="77"/>
      <c r="B1438" s="77"/>
      <c r="C1438" s="77"/>
      <c r="D1438" s="77"/>
      <c r="E1438" s="77"/>
      <c r="F1438" s="77"/>
      <c r="G1438" s="77"/>
      <c r="H1438" s="77"/>
      <c r="I1438" s="77"/>
      <c r="J1438" s="77"/>
      <c r="K1438" s="77"/>
      <c r="L1438" s="77"/>
      <c r="M1438" s="77"/>
      <c r="N1438" s="77"/>
      <c r="O1438" s="77"/>
      <c r="P1438" s="77"/>
      <c r="Q1438" s="77"/>
      <c r="R1438" s="77"/>
    </row>
    <row r="1439" spans="1:18">
      <c r="A1439" s="77"/>
      <c r="B1439" s="77"/>
      <c r="C1439" s="77"/>
      <c r="D1439" s="77"/>
      <c r="E1439" s="77"/>
      <c r="F1439" s="77"/>
      <c r="G1439" s="77"/>
      <c r="H1439" s="77"/>
      <c r="I1439" s="77"/>
      <c r="J1439" s="77"/>
      <c r="K1439" s="77"/>
      <c r="L1439" s="77"/>
      <c r="M1439" s="77"/>
      <c r="N1439" s="77"/>
      <c r="O1439" s="77"/>
      <c r="P1439" s="77"/>
      <c r="Q1439" s="77"/>
      <c r="R1439" s="77"/>
    </row>
    <row r="1440" spans="1:18">
      <c r="A1440" s="77"/>
      <c r="B1440" s="77"/>
      <c r="C1440" s="77"/>
      <c r="D1440" s="77"/>
      <c r="E1440" s="77"/>
      <c r="F1440" s="77"/>
      <c r="G1440" s="77"/>
      <c r="H1440" s="77"/>
      <c r="I1440" s="77"/>
      <c r="J1440" s="77"/>
      <c r="K1440" s="77"/>
      <c r="L1440" s="77"/>
      <c r="M1440" s="77"/>
      <c r="N1440" s="77"/>
      <c r="O1440" s="77"/>
      <c r="P1440" s="77"/>
      <c r="Q1440" s="77"/>
      <c r="R1440" s="77"/>
    </row>
    <row r="1441" spans="1:18">
      <c r="A1441" s="77"/>
      <c r="B1441" s="77"/>
      <c r="C1441" s="77"/>
      <c r="D1441" s="77"/>
      <c r="E1441" s="77"/>
      <c r="F1441" s="77"/>
      <c r="G1441" s="77"/>
      <c r="H1441" s="77"/>
      <c r="I1441" s="77"/>
      <c r="J1441" s="77"/>
      <c r="K1441" s="77"/>
      <c r="L1441" s="77"/>
      <c r="M1441" s="77"/>
      <c r="N1441" s="77"/>
      <c r="O1441" s="77"/>
      <c r="P1441" s="77"/>
      <c r="Q1441" s="77"/>
      <c r="R1441" s="77"/>
    </row>
    <row r="1442" spans="1:18">
      <c r="A1442" s="77"/>
      <c r="B1442" s="77"/>
      <c r="C1442" s="77"/>
      <c r="D1442" s="77"/>
      <c r="E1442" s="77"/>
      <c r="F1442" s="77"/>
      <c r="G1442" s="77"/>
      <c r="H1442" s="77"/>
      <c r="I1442" s="77"/>
      <c r="J1442" s="77"/>
      <c r="K1442" s="77"/>
      <c r="L1442" s="77"/>
      <c r="M1442" s="77"/>
      <c r="N1442" s="77"/>
      <c r="O1442" s="77"/>
      <c r="P1442" s="77"/>
      <c r="Q1442" s="77"/>
      <c r="R1442" s="77"/>
    </row>
    <row r="1443" spans="1:18">
      <c r="A1443" s="77"/>
      <c r="B1443" s="77"/>
      <c r="C1443" s="77"/>
      <c r="D1443" s="77"/>
      <c r="E1443" s="77"/>
      <c r="F1443" s="77"/>
      <c r="G1443" s="77"/>
      <c r="H1443" s="77"/>
      <c r="I1443" s="77"/>
      <c r="J1443" s="77"/>
      <c r="K1443" s="77"/>
      <c r="L1443" s="77"/>
      <c r="M1443" s="77"/>
      <c r="N1443" s="77"/>
      <c r="O1443" s="77"/>
      <c r="P1443" s="77"/>
      <c r="Q1443" s="77"/>
      <c r="R1443" s="77"/>
    </row>
    <row r="1444" spans="1:18">
      <c r="A1444" s="77"/>
      <c r="B1444" s="77"/>
      <c r="C1444" s="77"/>
      <c r="D1444" s="77"/>
      <c r="E1444" s="77"/>
      <c r="F1444" s="77"/>
      <c r="G1444" s="77"/>
      <c r="H1444" s="77"/>
      <c r="I1444" s="77"/>
      <c r="J1444" s="77"/>
      <c r="K1444" s="77"/>
      <c r="L1444" s="77"/>
      <c r="M1444" s="77"/>
      <c r="N1444" s="77"/>
      <c r="O1444" s="77"/>
      <c r="P1444" s="77"/>
      <c r="Q1444" s="77"/>
      <c r="R1444" s="77"/>
    </row>
    <row r="1445" spans="1:18">
      <c r="A1445" s="77"/>
      <c r="B1445" s="77"/>
      <c r="C1445" s="77"/>
      <c r="D1445" s="77"/>
      <c r="E1445" s="77"/>
      <c r="F1445" s="77"/>
      <c r="G1445" s="77"/>
      <c r="H1445" s="77"/>
      <c r="I1445" s="77"/>
      <c r="J1445" s="77"/>
      <c r="K1445" s="77"/>
      <c r="L1445" s="77"/>
      <c r="M1445" s="77"/>
      <c r="N1445" s="77"/>
      <c r="O1445" s="77"/>
      <c r="P1445" s="77"/>
      <c r="Q1445" s="77"/>
      <c r="R1445" s="77"/>
    </row>
    <row r="1446" spans="1:18">
      <c r="A1446" s="77"/>
      <c r="B1446" s="77"/>
      <c r="C1446" s="77"/>
      <c r="D1446" s="77"/>
      <c r="E1446" s="77"/>
      <c r="F1446" s="77"/>
      <c r="G1446" s="77"/>
      <c r="H1446" s="77"/>
      <c r="I1446" s="77"/>
      <c r="J1446" s="77"/>
      <c r="K1446" s="77"/>
      <c r="L1446" s="77"/>
      <c r="M1446" s="77"/>
      <c r="N1446" s="77"/>
      <c r="O1446" s="77"/>
      <c r="P1446" s="77"/>
      <c r="Q1446" s="77"/>
      <c r="R1446" s="77"/>
    </row>
    <row r="1447" spans="1:18">
      <c r="A1447" s="77"/>
      <c r="B1447" s="77"/>
      <c r="C1447" s="77"/>
      <c r="D1447" s="77"/>
      <c r="E1447" s="77"/>
      <c r="F1447" s="77"/>
      <c r="G1447" s="77"/>
      <c r="H1447" s="77"/>
      <c r="I1447" s="77"/>
      <c r="J1447" s="77"/>
      <c r="K1447" s="77"/>
      <c r="L1447" s="77"/>
      <c r="M1447" s="77"/>
      <c r="N1447" s="77"/>
      <c r="O1447" s="77"/>
      <c r="P1447" s="77"/>
      <c r="Q1447" s="77"/>
      <c r="R1447" s="77"/>
    </row>
    <row r="1448" spans="1:18">
      <c r="A1448" s="77"/>
      <c r="B1448" s="77"/>
      <c r="C1448" s="77"/>
      <c r="D1448" s="77"/>
      <c r="E1448" s="77"/>
      <c r="F1448" s="77"/>
      <c r="G1448" s="77"/>
      <c r="H1448" s="77"/>
      <c r="I1448" s="77"/>
      <c r="J1448" s="77"/>
      <c r="K1448" s="77"/>
      <c r="L1448" s="77"/>
      <c r="M1448" s="77"/>
      <c r="N1448" s="77"/>
      <c r="O1448" s="77"/>
      <c r="P1448" s="77"/>
      <c r="Q1448" s="77"/>
      <c r="R1448" s="77"/>
    </row>
    <row r="1449" spans="1:18">
      <c r="A1449" s="77"/>
      <c r="B1449" s="77"/>
      <c r="C1449" s="77"/>
      <c r="D1449" s="77"/>
      <c r="E1449" s="77"/>
      <c r="F1449" s="77"/>
      <c r="G1449" s="77"/>
      <c r="H1449" s="77"/>
      <c r="I1449" s="77"/>
      <c r="J1449" s="77"/>
      <c r="K1449" s="77"/>
      <c r="L1449" s="77"/>
      <c r="M1449" s="77"/>
      <c r="N1449" s="77"/>
      <c r="O1449" s="77"/>
      <c r="P1449" s="77"/>
      <c r="Q1449" s="77"/>
      <c r="R1449" s="77"/>
    </row>
    <row r="1450" spans="1:18">
      <c r="A1450" s="77"/>
      <c r="B1450" s="77"/>
      <c r="C1450" s="77"/>
      <c r="D1450" s="77"/>
      <c r="E1450" s="77"/>
      <c r="F1450" s="77"/>
      <c r="G1450" s="77"/>
      <c r="H1450" s="77"/>
      <c r="I1450" s="77"/>
      <c r="J1450" s="77"/>
      <c r="K1450" s="77"/>
      <c r="L1450" s="77"/>
      <c r="M1450" s="77"/>
      <c r="N1450" s="77"/>
      <c r="O1450" s="77"/>
      <c r="P1450" s="77"/>
      <c r="Q1450" s="77"/>
      <c r="R1450" s="77"/>
    </row>
    <row r="1451" spans="1:18">
      <c r="A1451" s="77"/>
      <c r="B1451" s="77"/>
      <c r="C1451" s="77"/>
      <c r="D1451" s="77"/>
      <c r="E1451" s="77"/>
      <c r="F1451" s="77"/>
      <c r="G1451" s="77"/>
      <c r="H1451" s="77"/>
      <c r="I1451" s="77"/>
      <c r="J1451" s="77"/>
      <c r="K1451" s="77"/>
      <c r="L1451" s="77"/>
      <c r="M1451" s="77"/>
      <c r="N1451" s="77"/>
      <c r="O1451" s="77"/>
      <c r="P1451" s="77"/>
      <c r="Q1451" s="77"/>
      <c r="R1451" s="77"/>
    </row>
    <row r="1452" spans="1:18">
      <c r="A1452" s="77"/>
      <c r="B1452" s="77"/>
      <c r="C1452" s="77"/>
      <c r="D1452" s="77"/>
      <c r="E1452" s="77"/>
      <c r="F1452" s="77"/>
      <c r="G1452" s="77"/>
      <c r="H1452" s="77"/>
      <c r="I1452" s="77"/>
      <c r="J1452" s="77"/>
      <c r="K1452" s="77"/>
      <c r="L1452" s="77"/>
      <c r="M1452" s="77"/>
      <c r="N1452" s="77"/>
      <c r="O1452" s="77"/>
      <c r="P1452" s="77"/>
      <c r="Q1452" s="77"/>
      <c r="R1452" s="77"/>
    </row>
    <row r="1453" spans="1:18">
      <c r="A1453" s="77"/>
      <c r="B1453" s="77"/>
      <c r="C1453" s="77"/>
      <c r="D1453" s="77"/>
      <c r="E1453" s="77"/>
      <c r="F1453" s="77"/>
      <c r="G1453" s="77"/>
      <c r="H1453" s="77"/>
      <c r="I1453" s="77"/>
      <c r="J1453" s="77"/>
      <c r="K1453" s="77"/>
      <c r="L1453" s="77"/>
      <c r="M1453" s="77"/>
      <c r="N1453" s="77"/>
      <c r="O1453" s="77"/>
      <c r="P1453" s="77"/>
      <c r="Q1453" s="77"/>
      <c r="R1453" s="77"/>
    </row>
    <row r="1454" spans="1:18">
      <c r="A1454" s="77"/>
      <c r="B1454" s="77"/>
      <c r="C1454" s="77"/>
      <c r="D1454" s="77"/>
      <c r="E1454" s="77"/>
      <c r="F1454" s="77"/>
      <c r="G1454" s="77"/>
      <c r="H1454" s="77"/>
      <c r="I1454" s="77"/>
      <c r="J1454" s="77"/>
      <c r="K1454" s="77"/>
      <c r="L1454" s="77"/>
      <c r="M1454" s="77"/>
      <c r="N1454" s="77"/>
      <c r="O1454" s="77"/>
      <c r="P1454" s="77"/>
      <c r="Q1454" s="77"/>
      <c r="R1454" s="77"/>
    </row>
    <row r="1455" spans="1:18">
      <c r="A1455" s="77"/>
      <c r="B1455" s="77"/>
      <c r="C1455" s="77"/>
      <c r="D1455" s="77"/>
      <c r="E1455" s="77"/>
      <c r="F1455" s="77"/>
      <c r="G1455" s="77"/>
      <c r="H1455" s="77"/>
      <c r="I1455" s="77"/>
      <c r="J1455" s="77"/>
      <c r="K1455" s="77"/>
      <c r="L1455" s="77"/>
      <c r="M1455" s="77"/>
      <c r="N1455" s="77"/>
      <c r="O1455" s="77"/>
      <c r="P1455" s="77"/>
      <c r="Q1455" s="77"/>
      <c r="R1455" s="77"/>
    </row>
    <row r="1456" spans="1:18">
      <c r="A1456" s="77"/>
      <c r="B1456" s="77"/>
      <c r="C1456" s="77"/>
      <c r="D1456" s="77"/>
      <c r="E1456" s="77"/>
      <c r="F1456" s="77"/>
      <c r="G1456" s="77"/>
      <c r="H1456" s="77"/>
      <c r="I1456" s="77"/>
      <c r="J1456" s="77"/>
      <c r="K1456" s="77"/>
      <c r="L1456" s="77"/>
      <c r="M1456" s="77"/>
      <c r="N1456" s="77"/>
      <c r="O1456" s="77"/>
      <c r="P1456" s="77"/>
      <c r="Q1456" s="77"/>
      <c r="R1456" s="77"/>
    </row>
    <row r="1457" spans="1:18">
      <c r="A1457" s="77"/>
      <c r="B1457" s="77"/>
      <c r="C1457" s="77"/>
      <c r="D1457" s="77"/>
      <c r="E1457" s="77"/>
      <c r="F1457" s="77"/>
      <c r="G1457" s="77"/>
      <c r="H1457" s="77"/>
      <c r="I1457" s="77"/>
      <c r="J1457" s="77"/>
      <c r="K1457" s="77"/>
      <c r="L1457" s="77"/>
      <c r="M1457" s="77"/>
      <c r="N1457" s="77"/>
      <c r="O1457" s="77"/>
      <c r="P1457" s="77"/>
      <c r="Q1457" s="77"/>
      <c r="R1457" s="77"/>
    </row>
    <row r="1458" spans="1:18">
      <c r="A1458" s="77"/>
      <c r="B1458" s="77"/>
      <c r="C1458" s="77"/>
      <c r="D1458" s="77"/>
      <c r="E1458" s="77"/>
      <c r="F1458" s="77"/>
      <c r="G1458" s="77"/>
      <c r="H1458" s="77"/>
      <c r="I1458" s="77"/>
      <c r="J1458" s="77"/>
      <c r="K1458" s="77"/>
      <c r="L1458" s="77"/>
      <c r="M1458" s="77"/>
      <c r="N1458" s="77"/>
      <c r="O1458" s="77"/>
      <c r="P1458" s="77"/>
      <c r="Q1458" s="77"/>
      <c r="R1458" s="77"/>
    </row>
    <row r="1459" spans="1:18">
      <c r="A1459" s="77"/>
      <c r="B1459" s="77"/>
      <c r="C1459" s="77"/>
      <c r="D1459" s="77"/>
      <c r="E1459" s="77"/>
      <c r="F1459" s="77"/>
      <c r="G1459" s="77"/>
      <c r="H1459" s="77"/>
      <c r="I1459" s="77"/>
      <c r="J1459" s="77"/>
      <c r="K1459" s="77"/>
      <c r="L1459" s="77"/>
      <c r="M1459" s="77"/>
      <c r="N1459" s="77"/>
      <c r="O1459" s="77"/>
      <c r="P1459" s="77"/>
      <c r="Q1459" s="77"/>
      <c r="R1459" s="77"/>
    </row>
    <row r="1460" spans="1:18">
      <c r="A1460" s="77"/>
      <c r="B1460" s="77"/>
      <c r="C1460" s="77"/>
      <c r="D1460" s="77"/>
      <c r="E1460" s="77"/>
      <c r="F1460" s="77"/>
      <c r="G1460" s="77"/>
      <c r="H1460" s="77"/>
      <c r="I1460" s="77"/>
      <c r="J1460" s="77"/>
      <c r="K1460" s="77"/>
      <c r="L1460" s="77"/>
      <c r="M1460" s="77"/>
      <c r="N1460" s="77"/>
      <c r="O1460" s="77"/>
      <c r="P1460" s="77"/>
      <c r="Q1460" s="77"/>
      <c r="R1460" s="77"/>
    </row>
    <row r="1461" spans="1:18">
      <c r="A1461" s="77"/>
      <c r="B1461" s="77"/>
      <c r="C1461" s="77"/>
      <c r="D1461" s="77"/>
      <c r="E1461" s="77"/>
      <c r="F1461" s="77"/>
      <c r="G1461" s="77"/>
      <c r="H1461" s="77"/>
      <c r="I1461" s="77"/>
      <c r="J1461" s="77"/>
      <c r="K1461" s="77"/>
      <c r="L1461" s="77"/>
      <c r="M1461" s="77"/>
      <c r="N1461" s="77"/>
      <c r="O1461" s="77"/>
      <c r="P1461" s="77"/>
      <c r="Q1461" s="77"/>
      <c r="R1461" s="77"/>
    </row>
    <row r="1462" spans="1:18">
      <c r="A1462" s="77"/>
      <c r="B1462" s="77"/>
      <c r="C1462" s="77"/>
      <c r="D1462" s="77"/>
      <c r="E1462" s="77"/>
      <c r="F1462" s="77"/>
      <c r="G1462" s="77"/>
      <c r="H1462" s="77"/>
      <c r="I1462" s="77"/>
      <c r="J1462" s="77"/>
      <c r="K1462" s="77"/>
      <c r="L1462" s="77"/>
      <c r="M1462" s="77"/>
      <c r="N1462" s="77"/>
      <c r="O1462" s="77"/>
      <c r="P1462" s="77"/>
      <c r="Q1462" s="77"/>
      <c r="R1462" s="77"/>
    </row>
    <row r="1463" spans="1:18">
      <c r="A1463" s="77"/>
      <c r="B1463" s="77"/>
      <c r="C1463" s="77"/>
      <c r="D1463" s="77"/>
      <c r="E1463" s="77"/>
      <c r="F1463" s="77"/>
      <c r="G1463" s="77"/>
      <c r="H1463" s="77"/>
      <c r="I1463" s="77"/>
      <c r="J1463" s="77"/>
      <c r="K1463" s="77"/>
      <c r="L1463" s="77"/>
      <c r="M1463" s="77"/>
      <c r="N1463" s="77"/>
      <c r="O1463" s="77"/>
      <c r="P1463" s="77"/>
      <c r="Q1463" s="77"/>
      <c r="R1463" s="77"/>
    </row>
    <row r="1464" spans="1:18">
      <c r="A1464" s="77"/>
      <c r="B1464" s="77"/>
      <c r="C1464" s="77"/>
      <c r="D1464" s="77"/>
      <c r="E1464" s="77"/>
      <c r="F1464" s="77"/>
      <c r="G1464" s="77"/>
      <c r="H1464" s="77"/>
      <c r="I1464" s="77"/>
      <c r="J1464" s="77"/>
      <c r="K1464" s="77"/>
      <c r="L1464" s="77"/>
      <c r="M1464" s="77"/>
      <c r="N1464" s="77"/>
      <c r="O1464" s="77"/>
      <c r="P1464" s="77"/>
      <c r="Q1464" s="77"/>
      <c r="R1464" s="77"/>
    </row>
    <row r="1465" spans="1:18">
      <c r="A1465" s="77"/>
      <c r="B1465" s="77"/>
      <c r="C1465" s="77"/>
      <c r="D1465" s="77"/>
      <c r="E1465" s="77"/>
      <c r="F1465" s="77"/>
      <c r="G1465" s="77"/>
      <c r="H1465" s="77"/>
      <c r="I1465" s="77"/>
      <c r="J1465" s="77"/>
      <c r="K1465" s="77"/>
      <c r="L1465" s="77"/>
      <c r="M1465" s="77"/>
      <c r="N1465" s="77"/>
      <c r="O1465" s="77"/>
      <c r="P1465" s="77"/>
      <c r="Q1465" s="77"/>
      <c r="R1465" s="77"/>
    </row>
    <row r="1466" spans="1:18">
      <c r="A1466" s="77"/>
      <c r="B1466" s="77"/>
      <c r="C1466" s="77"/>
      <c r="D1466" s="77"/>
      <c r="E1466" s="77"/>
      <c r="F1466" s="77"/>
      <c r="G1466" s="77"/>
      <c r="H1466" s="77"/>
      <c r="I1466" s="77"/>
      <c r="J1466" s="77"/>
      <c r="K1466" s="77"/>
      <c r="L1466" s="77"/>
      <c r="M1466" s="77"/>
      <c r="N1466" s="77"/>
      <c r="O1466" s="77"/>
      <c r="P1466" s="77"/>
      <c r="Q1466" s="77"/>
      <c r="R1466" s="77"/>
    </row>
    <row r="1467" spans="1:18">
      <c r="A1467" s="77"/>
      <c r="B1467" s="77"/>
      <c r="C1467" s="77"/>
      <c r="D1467" s="77"/>
      <c r="E1467" s="77"/>
      <c r="F1467" s="77"/>
      <c r="G1467" s="77"/>
      <c r="H1467" s="77"/>
      <c r="I1467" s="77"/>
      <c r="J1467" s="77"/>
      <c r="K1467" s="77"/>
      <c r="L1467" s="77"/>
      <c r="M1467" s="77"/>
      <c r="N1467" s="77"/>
      <c r="O1467" s="77"/>
      <c r="P1467" s="77"/>
      <c r="Q1467" s="77"/>
      <c r="R1467" s="77"/>
    </row>
    <row r="1468" spans="1:18">
      <c r="A1468" s="77"/>
      <c r="B1468" s="77"/>
      <c r="C1468" s="77"/>
      <c r="D1468" s="77"/>
      <c r="E1468" s="77"/>
      <c r="F1468" s="77"/>
      <c r="G1468" s="77"/>
      <c r="H1468" s="77"/>
      <c r="I1468" s="77"/>
      <c r="J1468" s="77"/>
      <c r="K1468" s="77"/>
      <c r="L1468" s="77"/>
      <c r="M1468" s="77"/>
      <c r="N1468" s="77"/>
      <c r="O1468" s="77"/>
      <c r="P1468" s="77"/>
      <c r="Q1468" s="77"/>
      <c r="R1468" s="77"/>
    </row>
    <row r="1469" spans="1:18">
      <c r="A1469" s="77"/>
      <c r="B1469" s="77"/>
      <c r="C1469" s="77"/>
      <c r="D1469" s="77"/>
      <c r="E1469" s="77"/>
      <c r="F1469" s="77"/>
      <c r="G1469" s="77"/>
      <c r="H1469" s="77"/>
      <c r="I1469" s="77"/>
      <c r="J1469" s="77"/>
      <c r="K1469" s="77"/>
      <c r="L1469" s="77"/>
      <c r="M1469" s="77"/>
      <c r="N1469" s="77"/>
      <c r="O1469" s="77"/>
      <c r="P1469" s="77"/>
      <c r="Q1469" s="77"/>
      <c r="R1469" s="77"/>
    </row>
    <row r="1470" spans="1:18">
      <c r="A1470" s="77"/>
      <c r="B1470" s="77"/>
      <c r="C1470" s="77"/>
      <c r="D1470" s="77"/>
      <c r="E1470" s="77"/>
      <c r="F1470" s="77"/>
      <c r="G1470" s="77"/>
      <c r="H1470" s="77"/>
      <c r="I1470" s="77"/>
      <c r="J1470" s="77"/>
      <c r="K1470" s="77"/>
      <c r="L1470" s="77"/>
      <c r="M1470" s="77"/>
      <c r="N1470" s="77"/>
      <c r="O1470" s="77"/>
      <c r="P1470" s="77"/>
      <c r="Q1470" s="77"/>
      <c r="R1470" s="77"/>
    </row>
    <row r="1471" spans="1:18">
      <c r="A1471" s="77"/>
      <c r="B1471" s="77"/>
      <c r="C1471" s="77"/>
      <c r="D1471" s="77"/>
      <c r="E1471" s="77"/>
      <c r="F1471" s="77"/>
      <c r="G1471" s="77"/>
      <c r="H1471" s="77"/>
      <c r="I1471" s="77"/>
      <c r="J1471" s="77"/>
      <c r="K1471" s="77"/>
      <c r="L1471" s="77"/>
      <c r="M1471" s="77"/>
      <c r="N1471" s="77"/>
      <c r="O1471" s="77"/>
      <c r="P1471" s="77"/>
      <c r="Q1471" s="77"/>
      <c r="R1471" s="77"/>
    </row>
    <row r="1472" spans="1:18">
      <c r="A1472" s="77"/>
      <c r="B1472" s="77"/>
      <c r="C1472" s="77"/>
      <c r="D1472" s="77"/>
      <c r="E1472" s="77"/>
      <c r="F1472" s="77"/>
      <c r="G1472" s="77"/>
      <c r="H1472" s="77"/>
      <c r="I1472" s="77"/>
      <c r="J1472" s="77"/>
      <c r="K1472" s="77"/>
      <c r="L1472" s="77"/>
      <c r="M1472" s="77"/>
      <c r="N1472" s="77"/>
      <c r="O1472" s="77"/>
      <c r="P1472" s="77"/>
      <c r="Q1472" s="77"/>
      <c r="R1472" s="77"/>
    </row>
    <row r="1473" spans="1:18">
      <c r="A1473" s="77"/>
      <c r="B1473" s="77"/>
      <c r="C1473" s="77"/>
      <c r="D1473" s="77"/>
      <c r="E1473" s="77"/>
      <c r="F1473" s="77"/>
      <c r="G1473" s="77"/>
      <c r="H1473" s="77"/>
      <c r="I1473" s="77"/>
      <c r="J1473" s="77"/>
      <c r="K1473" s="77"/>
      <c r="L1473" s="77"/>
      <c r="M1473" s="77"/>
      <c r="N1473" s="77"/>
      <c r="O1473" s="77"/>
      <c r="P1473" s="77"/>
      <c r="Q1473" s="77"/>
      <c r="R1473" s="77"/>
    </row>
    <row r="1474" spans="1:18">
      <c r="A1474" s="77"/>
      <c r="B1474" s="77"/>
      <c r="C1474" s="77"/>
      <c r="D1474" s="77"/>
      <c r="E1474" s="77"/>
      <c r="F1474" s="77"/>
      <c r="G1474" s="77"/>
      <c r="H1474" s="77"/>
      <c r="I1474" s="77"/>
      <c r="J1474" s="77"/>
      <c r="K1474" s="77"/>
      <c r="L1474" s="77"/>
      <c r="M1474" s="77"/>
      <c r="N1474" s="77"/>
      <c r="O1474" s="77"/>
      <c r="P1474" s="77"/>
      <c r="Q1474" s="77"/>
      <c r="R1474" s="77"/>
    </row>
    <row r="1475" spans="1:18">
      <c r="A1475" s="77"/>
      <c r="B1475" s="77"/>
      <c r="C1475" s="77"/>
      <c r="D1475" s="77"/>
      <c r="E1475" s="77"/>
      <c r="F1475" s="77"/>
      <c r="G1475" s="77"/>
      <c r="H1475" s="77"/>
      <c r="I1475" s="77"/>
      <c r="J1475" s="77"/>
      <c r="K1475" s="77"/>
      <c r="L1475" s="77"/>
      <c r="M1475" s="77"/>
      <c r="N1475" s="77"/>
      <c r="O1475" s="77"/>
      <c r="P1475" s="77"/>
      <c r="Q1475" s="77"/>
      <c r="R1475" s="77"/>
    </row>
    <row r="1476" spans="1:18">
      <c r="A1476" s="77"/>
      <c r="B1476" s="77"/>
      <c r="C1476" s="77"/>
      <c r="D1476" s="77"/>
      <c r="E1476" s="77"/>
      <c r="F1476" s="77"/>
      <c r="G1476" s="77"/>
      <c r="H1476" s="77"/>
      <c r="I1476" s="77"/>
      <c r="J1476" s="77"/>
      <c r="K1476" s="77"/>
      <c r="L1476" s="77"/>
      <c r="M1476" s="77"/>
      <c r="N1476" s="77"/>
      <c r="O1476" s="77"/>
      <c r="P1476" s="77"/>
      <c r="Q1476" s="77"/>
      <c r="R1476" s="77"/>
    </row>
    <row r="1477" spans="1:18">
      <c r="A1477" s="77"/>
      <c r="B1477" s="77"/>
      <c r="C1477" s="77"/>
      <c r="D1477" s="77"/>
      <c r="E1477" s="77"/>
      <c r="F1477" s="77"/>
      <c r="G1477" s="77"/>
      <c r="H1477" s="77"/>
      <c r="I1477" s="77"/>
      <c r="J1477" s="77"/>
      <c r="K1477" s="77"/>
      <c r="L1477" s="77"/>
      <c r="M1477" s="77"/>
      <c r="N1477" s="77"/>
      <c r="O1477" s="77"/>
      <c r="P1477" s="77"/>
      <c r="Q1477" s="77"/>
      <c r="R1477" s="77"/>
    </row>
    <row r="1478" spans="1:18">
      <c r="A1478" s="77"/>
      <c r="B1478" s="77"/>
      <c r="C1478" s="77"/>
      <c r="D1478" s="77"/>
      <c r="E1478" s="77"/>
      <c r="F1478" s="77"/>
      <c r="G1478" s="77"/>
      <c r="H1478" s="77"/>
      <c r="I1478" s="77"/>
      <c r="J1478" s="77"/>
      <c r="K1478" s="77"/>
      <c r="L1478" s="77"/>
      <c r="M1478" s="77"/>
      <c r="N1478" s="77"/>
      <c r="O1478" s="77"/>
      <c r="P1478" s="77"/>
      <c r="Q1478" s="77"/>
      <c r="R1478" s="77"/>
    </row>
    <row r="1479" spans="1:18">
      <c r="A1479" s="77"/>
      <c r="B1479" s="77"/>
      <c r="C1479" s="77"/>
      <c r="D1479" s="77"/>
      <c r="E1479" s="77"/>
      <c r="F1479" s="77"/>
      <c r="G1479" s="77"/>
      <c r="H1479" s="77"/>
      <c r="I1479" s="77"/>
      <c r="J1479" s="77"/>
      <c r="K1479" s="77"/>
      <c r="L1479" s="77"/>
      <c r="M1479" s="77"/>
      <c r="N1479" s="77"/>
      <c r="O1479" s="77"/>
      <c r="P1479" s="77"/>
      <c r="Q1479" s="77"/>
      <c r="R1479" s="77"/>
    </row>
    <row r="1480" spans="1:18">
      <c r="A1480" s="77"/>
      <c r="B1480" s="77"/>
      <c r="C1480" s="77"/>
      <c r="D1480" s="77"/>
      <c r="E1480" s="77"/>
      <c r="F1480" s="77"/>
      <c r="G1480" s="77"/>
      <c r="H1480" s="77"/>
      <c r="I1480" s="77"/>
      <c r="J1480" s="77"/>
      <c r="K1480" s="77"/>
      <c r="L1480" s="77"/>
      <c r="M1480" s="77"/>
      <c r="N1480" s="77"/>
      <c r="O1480" s="77"/>
      <c r="P1480" s="77"/>
      <c r="Q1480" s="77"/>
      <c r="R1480" s="77"/>
    </row>
    <row r="1481" spans="1:18">
      <c r="A1481" s="77"/>
      <c r="B1481" s="77"/>
      <c r="C1481" s="77"/>
      <c r="D1481" s="77"/>
      <c r="E1481" s="77"/>
      <c r="F1481" s="77"/>
      <c r="G1481" s="77"/>
      <c r="H1481" s="77"/>
      <c r="I1481" s="77"/>
      <c r="J1481" s="77"/>
      <c r="K1481" s="77"/>
      <c r="L1481" s="77"/>
      <c r="M1481" s="77"/>
      <c r="N1481" s="77"/>
      <c r="O1481" s="77"/>
      <c r="P1481" s="77"/>
      <c r="Q1481" s="77"/>
      <c r="R1481" s="77"/>
    </row>
    <row r="1482" spans="1:18">
      <c r="A1482" s="77"/>
      <c r="B1482" s="77"/>
      <c r="C1482" s="77"/>
      <c r="D1482" s="77"/>
      <c r="E1482" s="77"/>
      <c r="F1482" s="77"/>
      <c r="G1482" s="77"/>
      <c r="H1482" s="77"/>
      <c r="I1482" s="77"/>
      <c r="J1482" s="77"/>
      <c r="K1482" s="77"/>
      <c r="L1482" s="77"/>
      <c r="M1482" s="77"/>
      <c r="N1482" s="77"/>
      <c r="O1482" s="77"/>
      <c r="P1482" s="77"/>
      <c r="Q1482" s="77"/>
      <c r="R1482" s="77"/>
    </row>
    <row r="1483" spans="1:18">
      <c r="A1483" s="77"/>
      <c r="B1483" s="77"/>
      <c r="C1483" s="77"/>
      <c r="D1483" s="77"/>
      <c r="E1483" s="77"/>
      <c r="F1483" s="77"/>
      <c r="G1483" s="77"/>
      <c r="H1483" s="77"/>
      <c r="I1483" s="77"/>
      <c r="J1483" s="77"/>
      <c r="K1483" s="77"/>
      <c r="L1483" s="77"/>
      <c r="M1483" s="77"/>
      <c r="N1483" s="77"/>
      <c r="O1483" s="77"/>
      <c r="P1483" s="77"/>
      <c r="Q1483" s="77"/>
      <c r="R1483" s="77"/>
    </row>
    <row r="1484" spans="1:18">
      <c r="A1484" s="77"/>
      <c r="B1484" s="77"/>
      <c r="C1484" s="77"/>
      <c r="D1484" s="77"/>
      <c r="E1484" s="77"/>
      <c r="F1484" s="77"/>
      <c r="G1484" s="77"/>
      <c r="H1484" s="77"/>
      <c r="I1484" s="77"/>
      <c r="J1484" s="77"/>
      <c r="K1484" s="77"/>
      <c r="L1484" s="77"/>
      <c r="M1484" s="77"/>
      <c r="N1484" s="77"/>
      <c r="O1484" s="77"/>
      <c r="P1484" s="77"/>
      <c r="Q1484" s="77"/>
      <c r="R1484" s="77"/>
    </row>
    <row r="1485" spans="1:18">
      <c r="A1485" s="77"/>
      <c r="B1485" s="77"/>
      <c r="C1485" s="77"/>
      <c r="D1485" s="77"/>
      <c r="E1485" s="77"/>
      <c r="F1485" s="77"/>
      <c r="G1485" s="77"/>
      <c r="H1485" s="77"/>
      <c r="I1485" s="77"/>
      <c r="J1485" s="77"/>
      <c r="K1485" s="77"/>
      <c r="L1485" s="77"/>
      <c r="M1485" s="77"/>
      <c r="N1485" s="77"/>
      <c r="O1485" s="77"/>
      <c r="P1485" s="77"/>
      <c r="Q1485" s="77"/>
      <c r="R1485" s="77"/>
    </row>
    <row r="1486" spans="1:18">
      <c r="A1486" s="77"/>
      <c r="B1486" s="77"/>
      <c r="C1486" s="77"/>
      <c r="D1486" s="77"/>
      <c r="E1486" s="77"/>
      <c r="F1486" s="77"/>
      <c r="G1486" s="77"/>
      <c r="H1486" s="77"/>
      <c r="I1486" s="77"/>
      <c r="J1486" s="77"/>
      <c r="K1486" s="77"/>
      <c r="L1486" s="77"/>
      <c r="M1486" s="77"/>
      <c r="N1486" s="77"/>
      <c r="O1486" s="77"/>
      <c r="P1486" s="77"/>
      <c r="Q1486" s="77"/>
      <c r="R1486" s="77"/>
    </row>
    <row r="1487" spans="1:18">
      <c r="A1487" s="77"/>
      <c r="B1487" s="77"/>
      <c r="C1487" s="77"/>
      <c r="D1487" s="77"/>
      <c r="E1487" s="77"/>
      <c r="F1487" s="77"/>
      <c r="G1487" s="77"/>
      <c r="H1487" s="77"/>
      <c r="I1487" s="77"/>
      <c r="J1487" s="77"/>
      <c r="K1487" s="77"/>
      <c r="L1487" s="77"/>
      <c r="M1487" s="77"/>
      <c r="N1487" s="77"/>
      <c r="O1487" s="77"/>
      <c r="P1487" s="77"/>
      <c r="Q1487" s="77"/>
      <c r="R1487" s="77"/>
    </row>
    <row r="1488" spans="1:18">
      <c r="A1488" s="77"/>
      <c r="B1488" s="77"/>
      <c r="C1488" s="77"/>
      <c r="D1488" s="77"/>
      <c r="E1488" s="77"/>
      <c r="F1488" s="77"/>
      <c r="G1488" s="77"/>
      <c r="H1488" s="77"/>
      <c r="I1488" s="77"/>
      <c r="J1488" s="77"/>
      <c r="K1488" s="77"/>
      <c r="L1488" s="77"/>
      <c r="M1488" s="77"/>
      <c r="N1488" s="77"/>
      <c r="O1488" s="77"/>
      <c r="P1488" s="77"/>
      <c r="Q1488" s="77"/>
      <c r="R1488" s="77"/>
    </row>
    <row r="1489" spans="1:18">
      <c r="A1489" s="77"/>
      <c r="B1489" s="77"/>
      <c r="C1489" s="77"/>
      <c r="D1489" s="77"/>
      <c r="E1489" s="77"/>
      <c r="F1489" s="77"/>
      <c r="G1489" s="77"/>
      <c r="H1489" s="77"/>
      <c r="I1489" s="77"/>
      <c r="J1489" s="77"/>
      <c r="K1489" s="77"/>
      <c r="L1489" s="77"/>
      <c r="M1489" s="77"/>
      <c r="N1489" s="77"/>
      <c r="O1489" s="77"/>
      <c r="P1489" s="77"/>
      <c r="Q1489" s="77"/>
      <c r="R1489" s="77"/>
    </row>
    <row r="1490" spans="1:18">
      <c r="A1490" s="77"/>
      <c r="B1490" s="77"/>
      <c r="C1490" s="77"/>
      <c r="D1490" s="77"/>
      <c r="E1490" s="77"/>
      <c r="F1490" s="77"/>
      <c r="G1490" s="77"/>
      <c r="H1490" s="77"/>
      <c r="I1490" s="77"/>
      <c r="J1490" s="77"/>
      <c r="K1490" s="77"/>
      <c r="L1490" s="77"/>
      <c r="M1490" s="77"/>
      <c r="N1490" s="77"/>
      <c r="O1490" s="77"/>
      <c r="P1490" s="77"/>
      <c r="Q1490" s="77"/>
      <c r="R1490" s="77"/>
    </row>
    <row r="1491" spans="1:18">
      <c r="A1491" s="77"/>
      <c r="B1491" s="77"/>
      <c r="C1491" s="77"/>
      <c r="D1491" s="77"/>
      <c r="E1491" s="77"/>
      <c r="F1491" s="77"/>
      <c r="G1491" s="77"/>
      <c r="H1491" s="77"/>
      <c r="I1491" s="77"/>
      <c r="J1491" s="77"/>
      <c r="K1491" s="77"/>
      <c r="L1491" s="77"/>
      <c r="M1491" s="77"/>
      <c r="N1491" s="77"/>
      <c r="O1491" s="77"/>
      <c r="P1491" s="77"/>
      <c r="Q1491" s="77"/>
      <c r="R1491" s="77"/>
    </row>
    <row r="1492" spans="1:18">
      <c r="A1492" s="77"/>
      <c r="B1492" s="77"/>
      <c r="C1492" s="77"/>
      <c r="D1492" s="77"/>
      <c r="E1492" s="77"/>
      <c r="F1492" s="77"/>
      <c r="G1492" s="77"/>
      <c r="H1492" s="77"/>
      <c r="I1492" s="77"/>
      <c r="J1492" s="77"/>
      <c r="K1492" s="77"/>
      <c r="L1492" s="77"/>
      <c r="M1492" s="77"/>
      <c r="N1492" s="77"/>
      <c r="O1492" s="77"/>
      <c r="P1492" s="77"/>
      <c r="Q1492" s="77"/>
      <c r="R1492" s="77"/>
    </row>
    <row r="1493" spans="1:18">
      <c r="A1493" s="77"/>
      <c r="B1493" s="77"/>
      <c r="C1493" s="77"/>
      <c r="D1493" s="77"/>
      <c r="E1493" s="77"/>
      <c r="F1493" s="77"/>
      <c r="G1493" s="77"/>
      <c r="H1493" s="77"/>
      <c r="I1493" s="77"/>
      <c r="J1493" s="77"/>
      <c r="K1493" s="77"/>
      <c r="L1493" s="77"/>
      <c r="M1493" s="77"/>
      <c r="N1493" s="77"/>
      <c r="O1493" s="77"/>
      <c r="P1493" s="77"/>
      <c r="Q1493" s="77"/>
      <c r="R1493" s="77"/>
    </row>
    <row r="1494" spans="1:18">
      <c r="A1494" s="77"/>
      <c r="B1494" s="77"/>
      <c r="C1494" s="77"/>
      <c r="D1494" s="77"/>
      <c r="E1494" s="77"/>
      <c r="F1494" s="77"/>
      <c r="G1494" s="77"/>
      <c r="H1494" s="77"/>
      <c r="I1494" s="77"/>
      <c r="J1494" s="77"/>
      <c r="K1494" s="77"/>
      <c r="L1494" s="77"/>
      <c r="M1494" s="77"/>
      <c r="N1494" s="77"/>
      <c r="O1494" s="77"/>
      <c r="P1494" s="77"/>
      <c r="Q1494" s="77"/>
      <c r="R1494" s="77"/>
    </row>
    <row r="1495" spans="1:18">
      <c r="A1495" s="77"/>
      <c r="B1495" s="77"/>
      <c r="C1495" s="77"/>
      <c r="D1495" s="77"/>
      <c r="E1495" s="77"/>
      <c r="F1495" s="77"/>
      <c r="G1495" s="77"/>
      <c r="H1495" s="77"/>
      <c r="I1495" s="77"/>
      <c r="J1495" s="77"/>
      <c r="K1495" s="77"/>
      <c r="L1495" s="77"/>
      <c r="M1495" s="77"/>
      <c r="N1495" s="77"/>
      <c r="O1495" s="77"/>
      <c r="P1495" s="77"/>
      <c r="Q1495" s="77"/>
      <c r="R1495" s="77"/>
    </row>
    <row r="1496" spans="1:18">
      <c r="A1496" s="77"/>
      <c r="B1496" s="77"/>
      <c r="C1496" s="77"/>
      <c r="D1496" s="77"/>
      <c r="E1496" s="77"/>
      <c r="F1496" s="77"/>
      <c r="G1496" s="77"/>
      <c r="H1496" s="77"/>
      <c r="I1496" s="77"/>
      <c r="J1496" s="77"/>
      <c r="K1496" s="77"/>
      <c r="L1496" s="77"/>
      <c r="M1496" s="77"/>
      <c r="N1496" s="77"/>
      <c r="O1496" s="77"/>
      <c r="P1496" s="77"/>
      <c r="Q1496" s="77"/>
      <c r="R1496" s="77"/>
    </row>
    <row r="1497" spans="1:18">
      <c r="A1497" s="77"/>
      <c r="B1497" s="77"/>
      <c r="C1497" s="77"/>
      <c r="D1497" s="77"/>
      <c r="E1497" s="77"/>
      <c r="F1497" s="77"/>
      <c r="G1497" s="77"/>
      <c r="H1497" s="77"/>
      <c r="I1497" s="77"/>
      <c r="J1497" s="77"/>
      <c r="K1497" s="77"/>
      <c r="L1497" s="77"/>
      <c r="M1497" s="77"/>
      <c r="N1497" s="77"/>
      <c r="O1497" s="77"/>
      <c r="P1497" s="77"/>
      <c r="Q1497" s="77"/>
      <c r="R1497" s="77"/>
    </row>
    <row r="1498" spans="1:18">
      <c r="A1498" s="77"/>
      <c r="B1498" s="77"/>
      <c r="C1498" s="77"/>
      <c r="D1498" s="77"/>
      <c r="E1498" s="77"/>
      <c r="F1498" s="77"/>
      <c r="G1498" s="77"/>
      <c r="H1498" s="77"/>
      <c r="I1498" s="77"/>
      <c r="J1498" s="77"/>
      <c r="K1498" s="77"/>
      <c r="L1498" s="77"/>
      <c r="M1498" s="77"/>
      <c r="N1498" s="77"/>
      <c r="O1498" s="77"/>
      <c r="P1498" s="77"/>
      <c r="Q1498" s="77"/>
      <c r="R1498" s="77"/>
    </row>
    <row r="1499" spans="1:18">
      <c r="A1499" s="77"/>
      <c r="B1499" s="77"/>
      <c r="C1499" s="77"/>
      <c r="D1499" s="77"/>
      <c r="E1499" s="77"/>
      <c r="F1499" s="77"/>
      <c r="G1499" s="77"/>
      <c r="H1499" s="77"/>
      <c r="I1499" s="77"/>
      <c r="J1499" s="77"/>
      <c r="K1499" s="77"/>
      <c r="L1499" s="77"/>
      <c r="M1499" s="77"/>
      <c r="N1499" s="77"/>
      <c r="O1499" s="77"/>
      <c r="P1499" s="77"/>
      <c r="Q1499" s="77"/>
      <c r="R1499" s="77"/>
    </row>
    <row r="1500" spans="1:18">
      <c r="A1500" s="77"/>
      <c r="B1500" s="77"/>
      <c r="C1500" s="77"/>
      <c r="D1500" s="77"/>
      <c r="E1500" s="77"/>
      <c r="F1500" s="77"/>
      <c r="G1500" s="77"/>
      <c r="H1500" s="77"/>
      <c r="I1500" s="77"/>
      <c r="J1500" s="77"/>
      <c r="K1500" s="77"/>
      <c r="L1500" s="77"/>
      <c r="M1500" s="77"/>
      <c r="N1500" s="77"/>
      <c r="O1500" s="77"/>
      <c r="P1500" s="77"/>
      <c r="Q1500" s="77"/>
      <c r="R1500" s="77"/>
    </row>
    <row r="1501" spans="1:18">
      <c r="A1501" s="77"/>
      <c r="B1501" s="77"/>
      <c r="C1501" s="77"/>
      <c r="D1501" s="77"/>
      <c r="E1501" s="77"/>
      <c r="F1501" s="77"/>
      <c r="G1501" s="77"/>
      <c r="H1501" s="77"/>
      <c r="I1501" s="77"/>
      <c r="J1501" s="77"/>
      <c r="K1501" s="77"/>
      <c r="L1501" s="77"/>
      <c r="M1501" s="77"/>
      <c r="N1501" s="77"/>
      <c r="O1501" s="77"/>
      <c r="P1501" s="77"/>
      <c r="Q1501" s="77"/>
      <c r="R1501" s="77"/>
    </row>
    <row r="1502" spans="1:18">
      <c r="A1502" s="77"/>
      <c r="B1502" s="77"/>
      <c r="C1502" s="77"/>
      <c r="D1502" s="77"/>
      <c r="E1502" s="77"/>
      <c r="F1502" s="77"/>
      <c r="G1502" s="77"/>
      <c r="H1502" s="77"/>
      <c r="I1502" s="77"/>
      <c r="J1502" s="77"/>
      <c r="K1502" s="77"/>
      <c r="L1502" s="77"/>
      <c r="M1502" s="77"/>
      <c r="N1502" s="77"/>
      <c r="O1502" s="77"/>
      <c r="P1502" s="77"/>
      <c r="Q1502" s="77"/>
      <c r="R1502" s="77"/>
    </row>
    <row r="1503" spans="1:18">
      <c r="A1503" s="77"/>
      <c r="B1503" s="77"/>
      <c r="C1503" s="77"/>
      <c r="D1503" s="77"/>
      <c r="E1503" s="77"/>
      <c r="F1503" s="77"/>
      <c r="G1503" s="77"/>
      <c r="H1503" s="77"/>
      <c r="I1503" s="77"/>
      <c r="J1503" s="77"/>
      <c r="K1503" s="77"/>
      <c r="L1503" s="77"/>
      <c r="M1503" s="77"/>
      <c r="N1503" s="77"/>
      <c r="O1503" s="77"/>
      <c r="P1503" s="77"/>
      <c r="Q1503" s="77"/>
      <c r="R1503" s="77"/>
    </row>
    <row r="1504" spans="1:18">
      <c r="A1504" s="77"/>
      <c r="B1504" s="77"/>
      <c r="C1504" s="77"/>
      <c r="D1504" s="77"/>
      <c r="E1504" s="77"/>
      <c r="F1504" s="77"/>
      <c r="G1504" s="77"/>
      <c r="H1504" s="77"/>
      <c r="I1504" s="77"/>
      <c r="J1504" s="77"/>
      <c r="K1504" s="77"/>
      <c r="L1504" s="77"/>
      <c r="M1504" s="77"/>
      <c r="N1504" s="77"/>
      <c r="O1504" s="77"/>
      <c r="P1504" s="77"/>
      <c r="Q1504" s="77"/>
      <c r="R1504" s="77"/>
    </row>
    <row r="1505" spans="1:18">
      <c r="A1505" s="77"/>
      <c r="B1505" s="77"/>
      <c r="C1505" s="77"/>
      <c r="D1505" s="77"/>
      <c r="E1505" s="77"/>
      <c r="F1505" s="77"/>
      <c r="G1505" s="77"/>
      <c r="H1505" s="77"/>
      <c r="I1505" s="77"/>
      <c r="J1505" s="77"/>
      <c r="K1505" s="77"/>
      <c r="L1505" s="77"/>
      <c r="M1505" s="77"/>
      <c r="N1505" s="77"/>
      <c r="O1505" s="77"/>
      <c r="P1505" s="77"/>
      <c r="Q1505" s="77"/>
      <c r="R1505" s="77"/>
    </row>
    <row r="1506" spans="1:18">
      <c r="A1506" s="77"/>
      <c r="B1506" s="77"/>
      <c r="C1506" s="77"/>
      <c r="D1506" s="77"/>
      <c r="E1506" s="77"/>
      <c r="F1506" s="77"/>
      <c r="G1506" s="77"/>
      <c r="H1506" s="77"/>
      <c r="I1506" s="77"/>
      <c r="J1506" s="77"/>
      <c r="K1506" s="77"/>
      <c r="L1506" s="77"/>
      <c r="M1506" s="77"/>
      <c r="N1506" s="77"/>
      <c r="O1506" s="77"/>
      <c r="P1506" s="77"/>
      <c r="Q1506" s="77"/>
      <c r="R1506" s="77"/>
    </row>
    <row r="1507" spans="1:18">
      <c r="A1507" s="77"/>
      <c r="B1507" s="77"/>
      <c r="C1507" s="77"/>
      <c r="D1507" s="77"/>
      <c r="E1507" s="77"/>
      <c r="F1507" s="77"/>
      <c r="G1507" s="77"/>
      <c r="H1507" s="77"/>
      <c r="I1507" s="77"/>
      <c r="J1507" s="77"/>
      <c r="K1507" s="77"/>
      <c r="L1507" s="77"/>
      <c r="M1507" s="77"/>
      <c r="N1507" s="77"/>
      <c r="O1507" s="77"/>
      <c r="P1507" s="77"/>
      <c r="Q1507" s="77"/>
      <c r="R1507" s="77"/>
    </row>
    <row r="1508" spans="1:18">
      <c r="A1508" s="77"/>
      <c r="B1508" s="77"/>
      <c r="C1508" s="77"/>
      <c r="D1508" s="77"/>
      <c r="E1508" s="77"/>
      <c r="F1508" s="77"/>
      <c r="G1508" s="77"/>
      <c r="H1508" s="77"/>
      <c r="I1508" s="77"/>
      <c r="J1508" s="77"/>
      <c r="K1508" s="77"/>
      <c r="L1508" s="77"/>
      <c r="M1508" s="77"/>
      <c r="N1508" s="77"/>
      <c r="O1508" s="77"/>
      <c r="P1508" s="77"/>
      <c r="Q1508" s="77"/>
      <c r="R1508" s="77"/>
    </row>
    <row r="1509" spans="1:18">
      <c r="A1509" s="77"/>
      <c r="B1509" s="77"/>
      <c r="C1509" s="77"/>
      <c r="D1509" s="77"/>
      <c r="E1509" s="77"/>
      <c r="F1509" s="77"/>
      <c r="G1509" s="77"/>
      <c r="H1509" s="77"/>
      <c r="I1509" s="77"/>
      <c r="J1509" s="77"/>
      <c r="K1509" s="77"/>
      <c r="L1509" s="77"/>
      <c r="M1509" s="77"/>
      <c r="N1509" s="77"/>
      <c r="O1509" s="77"/>
      <c r="P1509" s="77"/>
      <c r="Q1509" s="77"/>
      <c r="R1509" s="77"/>
    </row>
    <row r="1510" spans="1:18">
      <c r="A1510" s="77"/>
      <c r="B1510" s="77"/>
      <c r="C1510" s="77"/>
      <c r="D1510" s="77"/>
      <c r="E1510" s="77"/>
      <c r="F1510" s="77"/>
      <c r="G1510" s="77"/>
      <c r="H1510" s="77"/>
      <c r="I1510" s="77"/>
      <c r="J1510" s="77"/>
      <c r="K1510" s="77"/>
      <c r="L1510" s="77"/>
      <c r="M1510" s="77"/>
      <c r="N1510" s="77"/>
      <c r="O1510" s="77"/>
      <c r="P1510" s="77"/>
      <c r="Q1510" s="77"/>
      <c r="R1510" s="77"/>
    </row>
    <row r="1511" spans="1:18">
      <c r="A1511" s="77"/>
      <c r="B1511" s="77"/>
      <c r="C1511" s="77"/>
      <c r="D1511" s="77"/>
      <c r="E1511" s="77"/>
      <c r="F1511" s="77"/>
      <c r="G1511" s="77"/>
      <c r="H1511" s="77"/>
      <c r="I1511" s="77"/>
      <c r="J1511" s="77"/>
      <c r="K1511" s="77"/>
      <c r="L1511" s="77"/>
      <c r="M1511" s="77"/>
      <c r="N1511" s="77"/>
      <c r="O1511" s="77"/>
      <c r="P1511" s="77"/>
      <c r="Q1511" s="77"/>
      <c r="R1511" s="77"/>
    </row>
    <row r="1512" spans="1:18">
      <c r="A1512" s="77"/>
      <c r="B1512" s="77"/>
      <c r="C1512" s="77"/>
      <c r="D1512" s="77"/>
      <c r="E1512" s="77"/>
      <c r="F1512" s="77"/>
      <c r="G1512" s="77"/>
      <c r="H1512" s="77"/>
      <c r="I1512" s="77"/>
      <c r="J1512" s="77"/>
      <c r="K1512" s="77"/>
      <c r="L1512" s="77"/>
      <c r="M1512" s="77"/>
      <c r="N1512" s="77"/>
      <c r="O1512" s="77"/>
      <c r="P1512" s="77"/>
      <c r="Q1512" s="77"/>
      <c r="R1512" s="77"/>
    </row>
    <row r="1513" spans="1:18">
      <c r="A1513" s="77"/>
      <c r="B1513" s="77"/>
      <c r="C1513" s="77"/>
      <c r="D1513" s="77"/>
      <c r="E1513" s="77"/>
      <c r="F1513" s="77"/>
      <c r="G1513" s="77"/>
      <c r="H1513" s="77"/>
      <c r="I1513" s="77"/>
      <c r="J1513" s="77"/>
      <c r="K1513" s="77"/>
      <c r="L1513" s="77"/>
      <c r="M1513" s="77"/>
      <c r="N1513" s="77"/>
      <c r="O1513" s="77"/>
      <c r="P1513" s="77"/>
      <c r="Q1513" s="77"/>
      <c r="R1513" s="77"/>
    </row>
    <row r="1514" spans="1:18">
      <c r="A1514" s="77"/>
      <c r="B1514" s="77"/>
      <c r="C1514" s="77"/>
      <c r="D1514" s="77"/>
      <c r="E1514" s="77"/>
      <c r="F1514" s="77"/>
      <c r="G1514" s="77"/>
      <c r="H1514" s="77"/>
      <c r="I1514" s="77"/>
      <c r="J1514" s="77"/>
      <c r="K1514" s="77"/>
      <c r="L1514" s="77"/>
      <c r="M1514" s="77"/>
      <c r="N1514" s="77"/>
      <c r="O1514" s="77"/>
      <c r="P1514" s="77"/>
      <c r="Q1514" s="77"/>
      <c r="R1514" s="77"/>
    </row>
    <row r="1515" spans="1:18">
      <c r="A1515" s="77"/>
      <c r="B1515" s="77"/>
      <c r="C1515" s="77"/>
      <c r="D1515" s="77"/>
      <c r="E1515" s="77"/>
      <c r="F1515" s="77"/>
      <c r="G1515" s="77"/>
      <c r="H1515" s="77"/>
      <c r="I1515" s="77"/>
      <c r="J1515" s="77"/>
      <c r="K1515" s="77"/>
      <c r="L1515" s="77"/>
      <c r="M1515" s="77"/>
      <c r="N1515" s="77"/>
      <c r="O1515" s="77"/>
      <c r="P1515" s="77"/>
      <c r="Q1515" s="77"/>
      <c r="R1515" s="77"/>
    </row>
    <row r="1516" spans="1:18">
      <c r="A1516" s="77"/>
      <c r="B1516" s="77"/>
      <c r="C1516" s="77"/>
      <c r="D1516" s="77"/>
      <c r="E1516" s="77"/>
      <c r="F1516" s="77"/>
      <c r="G1516" s="77"/>
      <c r="H1516" s="77"/>
      <c r="I1516" s="77"/>
      <c r="J1516" s="77"/>
      <c r="K1516" s="77"/>
      <c r="L1516" s="77"/>
      <c r="M1516" s="77"/>
      <c r="N1516" s="77"/>
      <c r="O1516" s="77"/>
      <c r="P1516" s="77"/>
      <c r="Q1516" s="77"/>
      <c r="R1516" s="77"/>
    </row>
    <row r="1517" spans="1:18">
      <c r="A1517" s="77"/>
      <c r="B1517" s="77"/>
      <c r="C1517" s="77"/>
      <c r="D1517" s="77"/>
      <c r="E1517" s="77"/>
      <c r="F1517" s="77"/>
      <c r="G1517" s="77"/>
      <c r="H1517" s="77"/>
      <c r="I1517" s="77"/>
      <c r="J1517" s="77"/>
      <c r="K1517" s="77"/>
      <c r="L1517" s="77"/>
      <c r="M1517" s="77"/>
      <c r="N1517" s="77"/>
      <c r="O1517" s="77"/>
      <c r="P1517" s="77"/>
      <c r="Q1517" s="77"/>
      <c r="R1517" s="77"/>
    </row>
    <row r="1518" spans="1:18">
      <c r="A1518" s="77"/>
      <c r="B1518" s="77"/>
      <c r="C1518" s="77"/>
      <c r="D1518" s="77"/>
      <c r="E1518" s="77"/>
      <c r="F1518" s="77"/>
      <c r="G1518" s="77"/>
      <c r="H1518" s="77"/>
      <c r="I1518" s="77"/>
      <c r="J1518" s="77"/>
      <c r="K1518" s="77"/>
      <c r="L1518" s="77"/>
      <c r="M1518" s="77"/>
      <c r="N1518" s="77"/>
      <c r="O1518" s="77"/>
      <c r="P1518" s="77"/>
      <c r="Q1518" s="77"/>
      <c r="R1518" s="77"/>
    </row>
    <row r="1519" spans="1:18">
      <c r="A1519" s="77"/>
      <c r="B1519" s="77"/>
      <c r="C1519" s="77"/>
      <c r="D1519" s="77"/>
      <c r="E1519" s="77"/>
      <c r="F1519" s="77"/>
      <c r="G1519" s="77"/>
      <c r="H1519" s="77"/>
      <c r="I1519" s="77"/>
      <c r="J1519" s="77"/>
      <c r="K1519" s="77"/>
      <c r="L1519" s="77"/>
      <c r="M1519" s="77"/>
      <c r="N1519" s="77"/>
      <c r="O1519" s="77"/>
      <c r="P1519" s="77"/>
      <c r="Q1519" s="77"/>
      <c r="R1519" s="77"/>
    </row>
    <row r="1520" spans="1:18">
      <c r="A1520" s="77"/>
      <c r="B1520" s="77"/>
      <c r="C1520" s="77"/>
      <c r="D1520" s="77"/>
      <c r="E1520" s="77"/>
      <c r="F1520" s="77"/>
      <c r="G1520" s="77"/>
      <c r="H1520" s="77"/>
      <c r="I1520" s="77"/>
      <c r="J1520" s="77"/>
      <c r="K1520" s="77"/>
      <c r="L1520" s="77"/>
      <c r="M1520" s="77"/>
      <c r="N1520" s="77"/>
      <c r="O1520" s="77"/>
      <c r="P1520" s="77"/>
      <c r="Q1520" s="77"/>
      <c r="R1520" s="77"/>
    </row>
    <row r="1521" spans="1:18">
      <c r="A1521" s="77"/>
      <c r="B1521" s="77"/>
      <c r="C1521" s="77"/>
      <c r="D1521" s="77"/>
      <c r="E1521" s="77"/>
      <c r="F1521" s="77"/>
      <c r="G1521" s="77"/>
      <c r="H1521" s="77"/>
      <c r="I1521" s="77"/>
      <c r="J1521" s="77"/>
      <c r="K1521" s="77"/>
      <c r="L1521" s="77"/>
      <c r="M1521" s="77"/>
      <c r="N1521" s="77"/>
      <c r="O1521" s="77"/>
      <c r="P1521" s="77"/>
      <c r="Q1521" s="77"/>
      <c r="R1521" s="77"/>
    </row>
    <row r="1522" spans="1:18">
      <c r="A1522" s="77"/>
      <c r="B1522" s="77"/>
      <c r="C1522" s="77"/>
      <c r="D1522" s="77"/>
      <c r="E1522" s="77"/>
      <c r="F1522" s="77"/>
      <c r="G1522" s="77"/>
      <c r="H1522" s="77"/>
      <c r="I1522" s="77"/>
      <c r="J1522" s="77"/>
      <c r="K1522" s="77"/>
      <c r="L1522" s="77"/>
      <c r="M1522" s="77"/>
      <c r="N1522" s="77"/>
      <c r="O1522" s="77"/>
      <c r="P1522" s="77"/>
      <c r="Q1522" s="77"/>
      <c r="R1522" s="77"/>
    </row>
    <row r="1523" spans="1:18">
      <c r="A1523" s="77"/>
      <c r="B1523" s="77"/>
      <c r="C1523" s="77"/>
      <c r="D1523" s="77"/>
      <c r="E1523" s="77"/>
      <c r="F1523" s="77"/>
      <c r="G1523" s="77"/>
      <c r="H1523" s="77"/>
      <c r="I1523" s="77"/>
      <c r="J1523" s="77"/>
      <c r="K1523" s="77"/>
      <c r="L1523" s="77"/>
      <c r="M1523" s="77"/>
      <c r="N1523" s="77"/>
      <c r="O1523" s="77"/>
      <c r="P1523" s="77"/>
      <c r="Q1523" s="77"/>
      <c r="R1523" s="77"/>
    </row>
    <row r="1524" spans="1:18">
      <c r="A1524" s="77"/>
      <c r="B1524" s="77"/>
      <c r="C1524" s="77"/>
      <c r="D1524" s="77"/>
      <c r="E1524" s="77"/>
      <c r="F1524" s="77"/>
      <c r="G1524" s="77"/>
      <c r="H1524" s="77"/>
      <c r="I1524" s="77"/>
      <c r="J1524" s="77"/>
      <c r="K1524" s="77"/>
      <c r="L1524" s="77"/>
      <c r="M1524" s="77"/>
      <c r="N1524" s="77"/>
      <c r="O1524" s="77"/>
      <c r="P1524" s="77"/>
      <c r="Q1524" s="77"/>
      <c r="R1524" s="77"/>
    </row>
    <row r="1525" spans="1:18">
      <c r="A1525" s="77"/>
      <c r="B1525" s="77"/>
      <c r="C1525" s="77"/>
      <c r="D1525" s="77"/>
      <c r="E1525" s="77"/>
      <c r="F1525" s="77"/>
      <c r="G1525" s="77"/>
      <c r="H1525" s="77"/>
      <c r="I1525" s="77"/>
      <c r="J1525" s="77"/>
      <c r="K1525" s="77"/>
      <c r="L1525" s="77"/>
      <c r="M1525" s="77"/>
      <c r="N1525" s="77"/>
      <c r="O1525" s="77"/>
      <c r="P1525" s="77"/>
      <c r="Q1525" s="77"/>
      <c r="R1525" s="77"/>
    </row>
    <row r="1526" spans="1:18">
      <c r="A1526" s="77"/>
      <c r="B1526" s="77"/>
      <c r="C1526" s="77"/>
      <c r="D1526" s="77"/>
      <c r="E1526" s="77"/>
      <c r="F1526" s="77"/>
      <c r="G1526" s="77"/>
      <c r="H1526" s="77"/>
      <c r="I1526" s="77"/>
      <c r="J1526" s="77"/>
      <c r="K1526" s="77"/>
      <c r="L1526" s="77"/>
      <c r="M1526" s="77"/>
      <c r="N1526" s="77"/>
      <c r="O1526" s="77"/>
      <c r="P1526" s="77"/>
      <c r="Q1526" s="77"/>
      <c r="R1526" s="77"/>
    </row>
    <row r="1527" spans="1:18">
      <c r="A1527" s="77"/>
      <c r="B1527" s="77"/>
      <c r="C1527" s="77"/>
      <c r="D1527" s="77"/>
      <c r="E1527" s="77"/>
      <c r="F1527" s="77"/>
      <c r="G1527" s="77"/>
      <c r="H1527" s="77"/>
      <c r="I1527" s="77"/>
      <c r="J1527" s="77"/>
      <c r="K1527" s="77"/>
      <c r="L1527" s="77"/>
      <c r="M1527" s="77"/>
      <c r="N1527" s="77"/>
      <c r="O1527" s="77"/>
      <c r="P1527" s="77"/>
      <c r="Q1527" s="77"/>
      <c r="R1527" s="77"/>
    </row>
    <row r="1528" spans="1:18">
      <c r="A1528" s="77"/>
      <c r="B1528" s="77"/>
      <c r="C1528" s="77"/>
      <c r="D1528" s="77"/>
      <c r="E1528" s="77"/>
      <c r="F1528" s="77"/>
      <c r="G1528" s="77"/>
      <c r="H1528" s="77"/>
      <c r="I1528" s="77"/>
      <c r="J1528" s="77"/>
      <c r="K1528" s="77"/>
      <c r="L1528" s="77"/>
      <c r="M1528" s="77"/>
      <c r="N1528" s="77"/>
      <c r="O1528" s="77"/>
      <c r="P1528" s="77"/>
      <c r="Q1528" s="77"/>
      <c r="R1528" s="77"/>
    </row>
    <row r="1529" spans="1:18">
      <c r="A1529" s="77"/>
      <c r="B1529" s="77"/>
      <c r="C1529" s="77"/>
      <c r="D1529" s="77"/>
      <c r="E1529" s="77"/>
      <c r="F1529" s="77"/>
      <c r="G1529" s="77"/>
      <c r="H1529" s="77"/>
      <c r="I1529" s="77"/>
      <c r="J1529" s="77"/>
      <c r="K1529" s="77"/>
      <c r="L1529" s="77"/>
      <c r="M1529" s="77"/>
      <c r="N1529" s="77"/>
      <c r="O1529" s="77"/>
      <c r="P1529" s="77"/>
      <c r="Q1529" s="77"/>
      <c r="R1529" s="77"/>
    </row>
    <row r="1530" spans="1:18">
      <c r="A1530" s="77"/>
      <c r="B1530" s="77"/>
      <c r="C1530" s="77"/>
      <c r="D1530" s="77"/>
      <c r="E1530" s="77"/>
      <c r="F1530" s="77"/>
      <c r="G1530" s="77"/>
      <c r="H1530" s="77"/>
      <c r="I1530" s="77"/>
      <c r="J1530" s="77"/>
      <c r="K1530" s="77"/>
      <c r="L1530" s="77"/>
      <c r="M1530" s="77"/>
      <c r="N1530" s="77"/>
      <c r="O1530" s="77"/>
      <c r="P1530" s="77"/>
      <c r="Q1530" s="77"/>
      <c r="R1530" s="77"/>
    </row>
    <row r="1531" spans="1:18">
      <c r="A1531" s="77"/>
      <c r="B1531" s="77"/>
      <c r="C1531" s="77"/>
      <c r="D1531" s="77"/>
      <c r="E1531" s="77"/>
      <c r="F1531" s="77"/>
      <c r="G1531" s="77"/>
      <c r="H1531" s="77"/>
      <c r="I1531" s="77"/>
      <c r="J1531" s="77"/>
      <c r="K1531" s="77"/>
      <c r="L1531" s="77"/>
      <c r="M1531" s="77"/>
      <c r="N1531" s="77"/>
      <c r="O1531" s="77"/>
      <c r="P1531" s="77"/>
      <c r="Q1531" s="77"/>
      <c r="R1531" s="77"/>
    </row>
    <row r="1532" spans="1:18">
      <c r="A1532" s="77"/>
      <c r="B1532" s="77"/>
      <c r="C1532" s="77"/>
      <c r="D1532" s="77"/>
      <c r="E1532" s="77"/>
      <c r="F1532" s="77"/>
      <c r="G1532" s="77"/>
      <c r="H1532" s="77"/>
      <c r="I1532" s="77"/>
      <c r="J1532" s="77"/>
      <c r="K1532" s="77"/>
      <c r="L1532" s="77"/>
      <c r="M1532" s="77"/>
      <c r="N1532" s="77"/>
      <c r="O1532" s="77"/>
      <c r="P1532" s="77"/>
      <c r="Q1532" s="77"/>
      <c r="R1532" s="77"/>
    </row>
    <row r="1533" spans="1:18">
      <c r="A1533" s="77"/>
      <c r="B1533" s="77"/>
      <c r="C1533" s="77"/>
      <c r="D1533" s="77"/>
      <c r="E1533" s="77"/>
      <c r="F1533" s="77"/>
      <c r="G1533" s="77"/>
      <c r="H1533" s="77"/>
      <c r="I1533" s="77"/>
      <c r="J1533" s="77"/>
      <c r="K1533" s="77"/>
      <c r="L1533" s="77"/>
      <c r="M1533" s="77"/>
      <c r="N1533" s="77"/>
      <c r="O1533" s="77"/>
      <c r="P1533" s="77"/>
      <c r="Q1533" s="77"/>
      <c r="R1533" s="77"/>
    </row>
    <row r="1534" spans="1:18">
      <c r="A1534" s="77"/>
      <c r="B1534" s="77"/>
      <c r="C1534" s="77"/>
      <c r="D1534" s="77"/>
      <c r="E1534" s="77"/>
      <c r="F1534" s="77"/>
      <c r="G1534" s="77"/>
      <c r="H1534" s="77"/>
      <c r="I1534" s="77"/>
      <c r="J1534" s="77"/>
      <c r="K1534" s="77"/>
      <c r="L1534" s="77"/>
      <c r="M1534" s="77"/>
      <c r="N1534" s="77"/>
      <c r="O1534" s="77"/>
      <c r="P1534" s="77"/>
      <c r="Q1534" s="77"/>
      <c r="R1534" s="77"/>
    </row>
    <row r="1535" spans="1:18">
      <c r="A1535" s="77"/>
      <c r="B1535" s="77"/>
      <c r="C1535" s="77"/>
      <c r="D1535" s="77"/>
      <c r="E1535" s="77"/>
      <c r="F1535" s="77"/>
      <c r="G1535" s="77"/>
      <c r="H1535" s="77"/>
      <c r="I1535" s="77"/>
      <c r="J1535" s="77"/>
      <c r="K1535" s="77"/>
      <c r="L1535" s="77"/>
      <c r="M1535" s="77"/>
      <c r="N1535" s="77"/>
      <c r="O1535" s="77"/>
      <c r="P1535" s="77"/>
      <c r="Q1535" s="77"/>
      <c r="R1535" s="77"/>
    </row>
    <row r="1536" spans="1:18">
      <c r="A1536" s="77"/>
      <c r="B1536" s="77"/>
      <c r="C1536" s="77"/>
      <c r="D1536" s="77"/>
      <c r="E1536" s="77"/>
      <c r="F1536" s="77"/>
      <c r="G1536" s="77"/>
      <c r="H1536" s="77"/>
      <c r="I1536" s="77"/>
      <c r="J1536" s="77"/>
      <c r="K1536" s="77"/>
      <c r="L1536" s="77"/>
      <c r="M1536" s="77"/>
      <c r="N1536" s="77"/>
      <c r="O1536" s="77"/>
      <c r="P1536" s="77"/>
      <c r="Q1536" s="77"/>
      <c r="R1536" s="77"/>
    </row>
    <row r="1537" spans="1:18">
      <c r="A1537" s="77"/>
      <c r="B1537" s="77"/>
      <c r="C1537" s="77"/>
      <c r="D1537" s="77"/>
      <c r="E1537" s="77"/>
      <c r="F1537" s="77"/>
      <c r="G1537" s="77"/>
      <c r="H1537" s="77"/>
      <c r="I1537" s="77"/>
      <c r="J1537" s="77"/>
      <c r="K1537" s="77"/>
      <c r="L1537" s="77"/>
      <c r="M1537" s="77"/>
      <c r="N1537" s="77"/>
      <c r="O1537" s="77"/>
      <c r="P1537" s="77"/>
      <c r="Q1537" s="77"/>
      <c r="R1537" s="77"/>
    </row>
    <row r="1538" spans="1:18">
      <c r="A1538" s="77"/>
      <c r="B1538" s="77"/>
      <c r="C1538" s="77"/>
      <c r="D1538" s="77"/>
      <c r="E1538" s="77"/>
      <c r="F1538" s="77"/>
      <c r="G1538" s="77"/>
      <c r="H1538" s="77"/>
      <c r="I1538" s="77"/>
      <c r="J1538" s="77"/>
      <c r="K1538" s="77"/>
      <c r="L1538" s="77"/>
      <c r="M1538" s="77"/>
      <c r="N1538" s="77"/>
      <c r="O1538" s="77"/>
      <c r="P1538" s="77"/>
      <c r="Q1538" s="77"/>
      <c r="R1538" s="77"/>
    </row>
    <row r="1539" spans="1:18">
      <c r="A1539" s="77"/>
      <c r="B1539" s="77"/>
      <c r="C1539" s="77"/>
      <c r="D1539" s="77"/>
      <c r="E1539" s="77"/>
      <c r="F1539" s="77"/>
      <c r="G1539" s="77"/>
      <c r="H1539" s="77"/>
      <c r="I1539" s="77"/>
      <c r="J1539" s="77"/>
      <c r="K1539" s="77"/>
      <c r="L1539" s="77"/>
      <c r="M1539" s="77"/>
      <c r="N1539" s="77"/>
      <c r="O1539" s="77"/>
      <c r="P1539" s="77"/>
      <c r="Q1539" s="77"/>
      <c r="R1539" s="77"/>
    </row>
    <row r="1540" spans="1:18">
      <c r="A1540" s="77"/>
      <c r="B1540" s="77"/>
      <c r="C1540" s="77"/>
      <c r="D1540" s="77"/>
      <c r="E1540" s="77"/>
      <c r="F1540" s="77"/>
      <c r="G1540" s="77"/>
      <c r="H1540" s="77"/>
      <c r="I1540" s="77"/>
      <c r="J1540" s="77"/>
      <c r="K1540" s="77"/>
      <c r="L1540" s="77"/>
      <c r="M1540" s="77"/>
      <c r="N1540" s="77"/>
      <c r="O1540" s="77"/>
      <c r="P1540" s="77"/>
      <c r="Q1540" s="77"/>
      <c r="R1540" s="77"/>
    </row>
    <row r="1541" spans="1:18">
      <c r="A1541" s="77"/>
      <c r="B1541" s="77"/>
      <c r="C1541" s="77"/>
      <c r="D1541" s="77"/>
      <c r="E1541" s="77"/>
      <c r="F1541" s="77"/>
      <c r="G1541" s="77"/>
      <c r="H1541" s="77"/>
      <c r="I1541" s="77"/>
      <c r="J1541" s="77"/>
      <c r="K1541" s="77"/>
      <c r="L1541" s="77"/>
      <c r="M1541" s="77"/>
      <c r="N1541" s="77"/>
      <c r="O1541" s="77"/>
      <c r="P1541" s="77"/>
      <c r="Q1541" s="77"/>
      <c r="R1541" s="77"/>
    </row>
    <row r="1542" spans="1:18">
      <c r="A1542" s="77"/>
      <c r="B1542" s="77"/>
      <c r="C1542" s="77"/>
      <c r="D1542" s="77"/>
      <c r="E1542" s="77"/>
      <c r="F1542" s="77"/>
      <c r="G1542" s="77"/>
      <c r="H1542" s="77"/>
      <c r="I1542" s="77"/>
      <c r="J1542" s="77"/>
      <c r="K1542" s="77"/>
      <c r="L1542" s="77"/>
      <c r="M1542" s="77"/>
      <c r="N1542" s="77"/>
      <c r="O1542" s="77"/>
      <c r="P1542" s="77"/>
      <c r="Q1542" s="77"/>
      <c r="R1542" s="77"/>
    </row>
    <row r="1543" spans="1:18">
      <c r="A1543" s="77"/>
      <c r="B1543" s="77"/>
      <c r="C1543" s="77"/>
      <c r="D1543" s="77"/>
      <c r="E1543" s="77"/>
      <c r="F1543" s="77"/>
      <c r="G1543" s="77"/>
      <c r="H1543" s="77"/>
      <c r="I1543" s="77"/>
      <c r="J1543" s="77"/>
      <c r="K1543" s="77"/>
      <c r="L1543" s="77"/>
      <c r="M1543" s="77"/>
      <c r="N1543" s="77"/>
      <c r="O1543" s="77"/>
      <c r="P1543" s="77"/>
      <c r="Q1543" s="77"/>
      <c r="R1543" s="77"/>
    </row>
    <row r="1544" spans="1:18">
      <c r="A1544" s="77"/>
      <c r="B1544" s="77"/>
      <c r="C1544" s="77"/>
      <c r="D1544" s="77"/>
      <c r="E1544" s="77"/>
      <c r="F1544" s="77"/>
      <c r="G1544" s="77"/>
      <c r="H1544" s="77"/>
      <c r="I1544" s="77"/>
      <c r="J1544" s="77"/>
      <c r="K1544" s="77"/>
      <c r="L1544" s="77"/>
      <c r="M1544" s="77"/>
      <c r="N1544" s="77"/>
      <c r="O1544" s="77"/>
      <c r="P1544" s="77"/>
      <c r="Q1544" s="77"/>
      <c r="R1544" s="77"/>
    </row>
    <row r="1545" spans="1:18">
      <c r="A1545" s="77"/>
      <c r="B1545" s="77"/>
      <c r="C1545" s="77"/>
      <c r="D1545" s="77"/>
      <c r="E1545" s="77"/>
      <c r="F1545" s="77"/>
      <c r="G1545" s="77"/>
      <c r="H1545" s="77"/>
      <c r="I1545" s="77"/>
      <c r="J1545" s="77"/>
      <c r="K1545" s="77"/>
      <c r="L1545" s="77"/>
      <c r="M1545" s="77"/>
      <c r="N1545" s="77"/>
      <c r="O1545" s="77"/>
      <c r="P1545" s="77"/>
      <c r="Q1545" s="77"/>
      <c r="R1545" s="77"/>
    </row>
    <row r="1546" spans="1:18">
      <c r="A1546" s="77"/>
      <c r="B1546" s="77"/>
      <c r="C1546" s="77"/>
      <c r="D1546" s="77"/>
      <c r="E1546" s="77"/>
      <c r="F1546" s="77"/>
      <c r="G1546" s="77"/>
      <c r="H1546" s="77"/>
      <c r="I1546" s="77"/>
      <c r="J1546" s="77"/>
      <c r="K1546" s="77"/>
      <c r="L1546" s="77"/>
      <c r="M1546" s="77"/>
      <c r="N1546" s="77"/>
      <c r="O1546" s="77"/>
      <c r="P1546" s="77"/>
      <c r="Q1546" s="77"/>
      <c r="R1546" s="77"/>
    </row>
    <row r="1547" spans="1:18">
      <c r="A1547" s="77"/>
      <c r="B1547" s="77"/>
      <c r="C1547" s="77"/>
      <c r="D1547" s="77"/>
      <c r="E1547" s="77"/>
      <c r="F1547" s="77"/>
      <c r="G1547" s="77"/>
      <c r="H1547" s="77"/>
      <c r="I1547" s="77"/>
      <c r="J1547" s="77"/>
      <c r="K1547" s="77"/>
      <c r="L1547" s="77"/>
      <c r="M1547" s="77"/>
      <c r="N1547" s="77"/>
      <c r="O1547" s="77"/>
      <c r="P1547" s="77"/>
      <c r="Q1547" s="77"/>
      <c r="R1547" s="77"/>
    </row>
    <row r="1548" spans="1:18">
      <c r="A1548" s="77"/>
      <c r="B1548" s="77"/>
      <c r="C1548" s="77"/>
      <c r="D1548" s="77"/>
      <c r="E1548" s="77"/>
      <c r="F1548" s="77"/>
      <c r="G1548" s="77"/>
      <c r="H1548" s="77"/>
      <c r="I1548" s="77"/>
      <c r="J1548" s="77"/>
      <c r="K1548" s="77"/>
      <c r="L1548" s="77"/>
      <c r="M1548" s="77"/>
      <c r="N1548" s="77"/>
      <c r="O1548" s="77"/>
      <c r="P1548" s="77"/>
      <c r="Q1548" s="77"/>
      <c r="R1548" s="77"/>
    </row>
    <row r="1549" spans="1:18">
      <c r="A1549" s="77"/>
      <c r="B1549" s="77"/>
      <c r="C1549" s="77"/>
      <c r="D1549" s="77"/>
      <c r="E1549" s="77"/>
      <c r="F1549" s="77"/>
      <c r="G1549" s="77"/>
      <c r="H1549" s="77"/>
      <c r="I1549" s="77"/>
      <c r="J1549" s="77"/>
      <c r="K1549" s="77"/>
      <c r="L1549" s="77"/>
      <c r="M1549" s="77"/>
      <c r="N1549" s="77"/>
      <c r="O1549" s="77"/>
      <c r="P1549" s="77"/>
      <c r="Q1549" s="77"/>
      <c r="R1549" s="77"/>
    </row>
    <row r="1550" spans="1:18">
      <c r="A1550" s="77"/>
      <c r="B1550" s="77"/>
      <c r="C1550" s="77"/>
      <c r="D1550" s="77"/>
      <c r="E1550" s="77"/>
      <c r="F1550" s="77"/>
      <c r="G1550" s="77"/>
      <c r="H1550" s="77"/>
      <c r="I1550" s="77"/>
      <c r="J1550" s="77"/>
      <c r="K1550" s="77"/>
      <c r="L1550" s="77"/>
      <c r="M1550" s="77"/>
      <c r="N1550" s="77"/>
      <c r="O1550" s="77"/>
      <c r="P1550" s="77"/>
      <c r="Q1550" s="77"/>
      <c r="R1550" s="77"/>
    </row>
    <row r="1551" spans="1:18">
      <c r="A1551" s="77"/>
      <c r="B1551" s="77"/>
      <c r="C1551" s="77"/>
      <c r="D1551" s="77"/>
      <c r="E1551" s="77"/>
      <c r="F1551" s="77"/>
      <c r="G1551" s="77"/>
      <c r="H1551" s="77"/>
      <c r="I1551" s="77"/>
      <c r="J1551" s="77"/>
      <c r="K1551" s="77"/>
      <c r="L1551" s="77"/>
      <c r="M1551" s="77"/>
      <c r="N1551" s="77"/>
      <c r="O1551" s="77"/>
      <c r="P1551" s="77"/>
      <c r="Q1551" s="77"/>
      <c r="R1551" s="77"/>
    </row>
    <row r="1552" spans="1:18">
      <c r="A1552" s="77"/>
      <c r="B1552" s="77"/>
      <c r="C1552" s="77"/>
      <c r="D1552" s="77"/>
      <c r="E1552" s="77"/>
      <c r="F1552" s="77"/>
      <c r="G1552" s="77"/>
      <c r="H1552" s="77"/>
      <c r="I1552" s="77"/>
      <c r="J1552" s="77"/>
      <c r="K1552" s="77"/>
      <c r="L1552" s="77"/>
      <c r="M1552" s="77"/>
      <c r="N1552" s="77"/>
      <c r="O1552" s="77"/>
      <c r="P1552" s="77"/>
      <c r="Q1552" s="77"/>
      <c r="R1552" s="77"/>
    </row>
    <row r="1553" spans="1:18">
      <c r="A1553" s="77"/>
      <c r="B1553" s="77"/>
      <c r="C1553" s="77"/>
      <c r="D1553" s="77"/>
      <c r="E1553" s="77"/>
      <c r="F1553" s="77"/>
      <c r="G1553" s="77"/>
      <c r="H1553" s="77"/>
      <c r="I1553" s="77"/>
      <c r="J1553" s="77"/>
      <c r="K1553" s="77"/>
      <c r="L1553" s="77"/>
      <c r="M1553" s="77"/>
      <c r="N1553" s="77"/>
      <c r="O1553" s="77"/>
      <c r="P1553" s="77"/>
      <c r="Q1553" s="77"/>
      <c r="R1553" s="77"/>
    </row>
    <row r="1554" spans="1:18">
      <c r="A1554" s="77"/>
      <c r="B1554" s="77"/>
      <c r="C1554" s="77"/>
      <c r="D1554" s="77"/>
      <c r="E1554" s="77"/>
      <c r="F1554" s="77"/>
      <c r="G1554" s="77"/>
      <c r="H1554" s="77"/>
      <c r="I1554" s="77"/>
      <c r="J1554" s="77"/>
      <c r="K1554" s="77"/>
      <c r="L1554" s="77"/>
      <c r="M1554" s="77"/>
      <c r="N1554" s="77"/>
      <c r="O1554" s="77"/>
      <c r="P1554" s="77"/>
      <c r="Q1554" s="77"/>
      <c r="R1554" s="77"/>
    </row>
    <row r="1555" spans="1:18">
      <c r="A1555" s="77"/>
      <c r="B1555" s="77"/>
      <c r="C1555" s="77"/>
      <c r="D1555" s="77"/>
      <c r="E1555" s="77"/>
      <c r="F1555" s="77"/>
      <c r="G1555" s="77"/>
      <c r="H1555" s="77"/>
      <c r="I1555" s="77"/>
      <c r="J1555" s="77"/>
      <c r="K1555" s="77"/>
      <c r="L1555" s="77"/>
      <c r="M1555" s="77"/>
      <c r="N1555" s="77"/>
      <c r="O1555" s="77"/>
      <c r="P1555" s="77"/>
      <c r="Q1555" s="77"/>
      <c r="R1555" s="77"/>
    </row>
    <row r="1556" spans="1:18">
      <c r="A1556" s="77"/>
      <c r="B1556" s="77"/>
      <c r="C1556" s="77"/>
      <c r="D1556" s="77"/>
      <c r="E1556" s="77"/>
      <c r="F1556" s="77"/>
      <c r="G1556" s="77"/>
      <c r="H1556" s="77"/>
      <c r="I1556" s="77"/>
      <c r="J1556" s="77"/>
      <c r="K1556" s="77"/>
      <c r="L1556" s="77"/>
      <c r="M1556" s="77"/>
      <c r="N1556" s="77"/>
      <c r="O1556" s="77"/>
      <c r="P1556" s="77"/>
      <c r="Q1556" s="77"/>
      <c r="R1556" s="77"/>
    </row>
    <row r="1557" spans="1:18">
      <c r="A1557" s="77"/>
      <c r="B1557" s="77"/>
      <c r="C1557" s="77"/>
      <c r="D1557" s="77"/>
      <c r="E1557" s="77"/>
      <c r="F1557" s="77"/>
      <c r="G1557" s="77"/>
      <c r="H1557" s="77"/>
      <c r="I1557" s="77"/>
      <c r="J1557" s="77"/>
      <c r="K1557" s="77"/>
      <c r="L1557" s="77"/>
      <c r="M1557" s="77"/>
      <c r="N1557" s="77"/>
      <c r="O1557" s="77"/>
      <c r="P1557" s="77"/>
      <c r="Q1557" s="77"/>
      <c r="R1557" s="77"/>
    </row>
    <row r="1558" spans="1:18">
      <c r="A1558" s="77"/>
      <c r="B1558" s="77"/>
      <c r="C1558" s="77"/>
      <c r="D1558" s="77"/>
      <c r="E1558" s="77"/>
      <c r="F1558" s="77"/>
      <c r="G1558" s="77"/>
      <c r="H1558" s="77"/>
      <c r="I1558" s="77"/>
      <c r="J1558" s="77"/>
      <c r="K1558" s="77"/>
      <c r="L1558" s="77"/>
      <c r="M1558" s="77"/>
      <c r="N1558" s="77"/>
      <c r="O1558" s="77"/>
      <c r="P1558" s="77"/>
      <c r="Q1558" s="77"/>
      <c r="R1558" s="77"/>
    </row>
    <row r="1559" spans="1:18">
      <c r="A1559" s="77"/>
      <c r="B1559" s="77"/>
      <c r="C1559" s="77"/>
      <c r="D1559" s="77"/>
      <c r="E1559" s="77"/>
      <c r="F1559" s="77"/>
      <c r="G1559" s="77"/>
      <c r="H1559" s="77"/>
      <c r="I1559" s="77"/>
      <c r="J1559" s="77"/>
      <c r="K1559" s="77"/>
      <c r="L1559" s="77"/>
      <c r="M1559" s="77"/>
      <c r="N1559" s="77"/>
      <c r="O1559" s="77"/>
      <c r="P1559" s="77"/>
      <c r="Q1559" s="77"/>
      <c r="R1559" s="77"/>
    </row>
    <row r="1560" spans="1:18">
      <c r="A1560" s="77"/>
      <c r="B1560" s="77"/>
      <c r="C1560" s="77"/>
      <c r="D1560" s="77"/>
      <c r="E1560" s="77"/>
      <c r="F1560" s="77"/>
      <c r="G1560" s="77"/>
      <c r="H1560" s="77"/>
      <c r="I1560" s="77"/>
      <c r="J1560" s="77"/>
      <c r="K1560" s="77"/>
      <c r="L1560" s="77"/>
      <c r="M1560" s="77"/>
      <c r="N1560" s="77"/>
      <c r="O1560" s="77"/>
      <c r="P1560" s="77"/>
      <c r="Q1560" s="77"/>
      <c r="R1560" s="77"/>
    </row>
    <row r="1561" spans="1:18">
      <c r="A1561" s="77"/>
      <c r="B1561" s="77"/>
      <c r="C1561" s="77"/>
      <c r="D1561" s="77"/>
      <c r="E1561" s="77"/>
      <c r="F1561" s="77"/>
      <c r="G1561" s="77"/>
      <c r="H1561" s="77"/>
      <c r="I1561" s="77"/>
      <c r="J1561" s="77"/>
      <c r="K1561" s="77"/>
      <c r="L1561" s="77"/>
      <c r="M1561" s="77"/>
      <c r="N1561" s="77"/>
      <c r="O1561" s="77"/>
      <c r="P1561" s="77"/>
      <c r="Q1561" s="77"/>
      <c r="R1561" s="77"/>
    </row>
    <row r="1562" spans="1:18">
      <c r="A1562" s="77"/>
      <c r="B1562" s="77"/>
      <c r="C1562" s="77"/>
      <c r="D1562" s="77"/>
      <c r="E1562" s="77"/>
      <c r="F1562" s="77"/>
      <c r="G1562" s="77"/>
      <c r="H1562" s="77"/>
      <c r="I1562" s="77"/>
      <c r="J1562" s="77"/>
      <c r="K1562" s="77"/>
      <c r="L1562" s="77"/>
      <c r="M1562" s="77"/>
      <c r="N1562" s="77"/>
      <c r="O1562" s="77"/>
      <c r="P1562" s="77"/>
      <c r="Q1562" s="77"/>
      <c r="R1562" s="77"/>
    </row>
    <row r="1563" spans="1:18">
      <c r="A1563" s="77"/>
      <c r="B1563" s="77"/>
      <c r="C1563" s="77"/>
      <c r="D1563" s="77"/>
      <c r="E1563" s="77"/>
      <c r="F1563" s="77"/>
      <c r="G1563" s="77"/>
      <c r="H1563" s="77"/>
      <c r="I1563" s="77"/>
      <c r="J1563" s="77"/>
      <c r="K1563" s="77"/>
      <c r="L1563" s="77"/>
      <c r="M1563" s="77"/>
      <c r="N1563" s="77"/>
      <c r="O1563" s="77"/>
      <c r="P1563" s="77"/>
      <c r="Q1563" s="77"/>
      <c r="R1563" s="77"/>
    </row>
    <row r="1564" spans="1:18">
      <c r="A1564" s="77"/>
      <c r="B1564" s="77"/>
      <c r="C1564" s="77"/>
      <c r="D1564" s="77"/>
      <c r="E1564" s="77"/>
      <c r="F1564" s="77"/>
      <c r="G1564" s="77"/>
      <c r="H1564" s="77"/>
      <c r="I1564" s="77"/>
      <c r="J1564" s="77"/>
      <c r="K1564" s="77"/>
      <c r="L1564" s="77"/>
      <c r="M1564" s="77"/>
      <c r="N1564" s="77"/>
      <c r="O1564" s="77"/>
      <c r="P1564" s="77"/>
      <c r="Q1564" s="77"/>
      <c r="R1564" s="77"/>
    </row>
    <row r="1565" spans="1:18">
      <c r="A1565" s="77"/>
      <c r="B1565" s="77"/>
      <c r="C1565" s="77"/>
      <c r="D1565" s="77"/>
      <c r="E1565" s="77"/>
      <c r="F1565" s="77"/>
      <c r="G1565" s="77"/>
      <c r="H1565" s="77"/>
      <c r="I1565" s="77"/>
      <c r="J1565" s="77"/>
      <c r="K1565" s="77"/>
      <c r="L1565" s="77"/>
      <c r="M1565" s="77"/>
      <c r="N1565" s="77"/>
      <c r="O1565" s="77"/>
      <c r="P1565" s="77"/>
      <c r="Q1565" s="77"/>
      <c r="R1565" s="77"/>
    </row>
    <row r="1566" spans="1:18">
      <c r="A1566" s="77"/>
      <c r="B1566" s="77"/>
      <c r="C1566" s="77"/>
      <c r="D1566" s="77"/>
      <c r="E1566" s="77"/>
      <c r="F1566" s="77"/>
      <c r="G1566" s="77"/>
      <c r="H1566" s="77"/>
      <c r="I1566" s="77"/>
      <c r="J1566" s="77"/>
      <c r="K1566" s="77"/>
      <c r="L1566" s="77"/>
      <c r="M1566" s="77"/>
      <c r="N1566" s="77"/>
      <c r="O1566" s="77"/>
      <c r="P1566" s="77"/>
      <c r="Q1566" s="77"/>
      <c r="R1566" s="77"/>
    </row>
    <row r="1567" spans="1:18">
      <c r="A1567" s="77"/>
      <c r="B1567" s="77"/>
      <c r="C1567" s="77"/>
      <c r="D1567" s="77"/>
      <c r="E1567" s="77"/>
      <c r="F1567" s="77"/>
      <c r="G1567" s="77"/>
      <c r="H1567" s="77"/>
      <c r="I1567" s="77"/>
      <c r="J1567" s="77"/>
      <c r="K1567" s="77"/>
      <c r="L1567" s="77"/>
      <c r="M1567" s="77"/>
      <c r="N1567" s="77"/>
      <c r="O1567" s="77"/>
      <c r="P1567" s="77"/>
      <c r="Q1567" s="77"/>
      <c r="R1567" s="77"/>
    </row>
    <row r="1568" spans="1:18">
      <c r="A1568" s="77"/>
      <c r="B1568" s="77"/>
      <c r="C1568" s="77"/>
      <c r="D1568" s="77"/>
      <c r="E1568" s="77"/>
      <c r="F1568" s="77"/>
      <c r="G1568" s="77"/>
      <c r="H1568" s="77"/>
      <c r="I1568" s="77"/>
      <c r="J1568" s="77"/>
      <c r="K1568" s="77"/>
      <c r="L1568" s="77"/>
      <c r="M1568" s="77"/>
      <c r="N1568" s="77"/>
      <c r="O1568" s="77"/>
      <c r="P1568" s="77"/>
      <c r="Q1568" s="77"/>
      <c r="R1568" s="77"/>
    </row>
    <row r="1569" spans="1:18">
      <c r="A1569" s="77"/>
      <c r="B1569" s="77"/>
      <c r="C1569" s="77"/>
      <c r="D1569" s="77"/>
      <c r="E1569" s="77"/>
      <c r="F1569" s="77"/>
      <c r="G1569" s="77"/>
      <c r="H1569" s="77"/>
      <c r="I1569" s="77"/>
      <c r="J1569" s="77"/>
      <c r="K1569" s="77"/>
      <c r="L1569" s="77"/>
      <c r="M1569" s="77"/>
      <c r="N1569" s="77"/>
      <c r="O1569" s="77"/>
      <c r="P1569" s="77"/>
      <c r="Q1569" s="77"/>
      <c r="R1569" s="77"/>
    </row>
    <row r="1570" spans="1:18">
      <c r="A1570" s="77"/>
      <c r="B1570" s="77"/>
      <c r="C1570" s="77"/>
      <c r="D1570" s="77"/>
      <c r="E1570" s="77"/>
      <c r="F1570" s="77"/>
      <c r="G1570" s="77"/>
      <c r="H1570" s="77"/>
      <c r="I1570" s="77"/>
      <c r="J1570" s="77"/>
      <c r="K1570" s="77"/>
      <c r="L1570" s="77"/>
      <c r="M1570" s="77"/>
      <c r="N1570" s="77"/>
      <c r="O1570" s="77"/>
      <c r="P1570" s="77"/>
      <c r="Q1570" s="77"/>
      <c r="R1570" s="77"/>
    </row>
    <row r="1571" spans="1:18">
      <c r="A1571" s="77"/>
      <c r="B1571" s="77"/>
      <c r="C1571" s="77"/>
      <c r="D1571" s="77"/>
      <c r="E1571" s="77"/>
      <c r="F1571" s="77"/>
      <c r="G1571" s="77"/>
      <c r="H1571" s="77"/>
      <c r="I1571" s="77"/>
      <c r="J1571" s="77"/>
      <c r="K1571" s="77"/>
      <c r="L1571" s="77"/>
      <c r="M1571" s="77"/>
      <c r="N1571" s="77"/>
      <c r="O1571" s="77"/>
      <c r="P1571" s="77"/>
      <c r="Q1571" s="77"/>
      <c r="R1571" s="77"/>
    </row>
    <row r="1572" spans="1:18">
      <c r="A1572" s="77"/>
      <c r="B1572" s="77"/>
      <c r="C1572" s="77"/>
      <c r="D1572" s="77"/>
      <c r="E1572" s="77"/>
      <c r="F1572" s="77"/>
      <c r="G1572" s="77"/>
      <c r="H1572" s="77"/>
      <c r="I1572" s="77"/>
      <c r="J1572" s="77"/>
      <c r="K1572" s="77"/>
      <c r="L1572" s="77"/>
      <c r="M1572" s="77"/>
      <c r="N1572" s="77"/>
      <c r="O1572" s="77"/>
      <c r="P1572" s="77"/>
      <c r="Q1572" s="77"/>
      <c r="R1572" s="77"/>
    </row>
    <row r="1573" spans="1:18">
      <c r="A1573" s="77"/>
      <c r="B1573" s="77"/>
      <c r="C1573" s="77"/>
      <c r="D1573" s="77"/>
      <c r="E1573" s="77"/>
      <c r="F1573" s="77"/>
      <c r="G1573" s="77"/>
      <c r="H1573" s="77"/>
      <c r="I1573" s="77"/>
      <c r="J1573" s="77"/>
      <c r="K1573" s="77"/>
      <c r="L1573" s="77"/>
      <c r="M1573" s="77"/>
      <c r="N1573" s="77"/>
      <c r="O1573" s="77"/>
      <c r="P1573" s="77"/>
      <c r="Q1573" s="77"/>
      <c r="R1573" s="77"/>
    </row>
    <row r="1574" spans="1:18">
      <c r="A1574" s="77"/>
      <c r="B1574" s="77"/>
      <c r="C1574" s="77"/>
      <c r="D1574" s="77"/>
      <c r="E1574" s="77"/>
      <c r="F1574" s="77"/>
      <c r="G1574" s="77"/>
      <c r="H1574" s="77"/>
      <c r="I1574" s="77"/>
      <c r="J1574" s="77"/>
      <c r="K1574" s="77"/>
      <c r="L1574" s="77"/>
      <c r="M1574" s="77"/>
      <c r="N1574" s="77"/>
      <c r="O1574" s="77"/>
      <c r="P1574" s="77"/>
      <c r="Q1574" s="77"/>
      <c r="R1574" s="77"/>
    </row>
    <row r="1575" spans="1:18">
      <c r="A1575" s="77"/>
      <c r="B1575" s="77"/>
      <c r="C1575" s="77"/>
      <c r="D1575" s="77"/>
      <c r="E1575" s="77"/>
      <c r="F1575" s="77"/>
      <c r="G1575" s="77"/>
      <c r="H1575" s="77"/>
      <c r="I1575" s="77"/>
      <c r="J1575" s="77"/>
      <c r="K1575" s="77"/>
      <c r="L1575" s="77"/>
      <c r="M1575" s="77"/>
      <c r="N1575" s="77"/>
      <c r="O1575" s="77"/>
      <c r="P1575" s="77"/>
      <c r="Q1575" s="77"/>
      <c r="R1575" s="77"/>
    </row>
    <row r="1576" spans="1:18">
      <c r="A1576" s="77"/>
      <c r="B1576" s="77"/>
      <c r="C1576" s="77"/>
      <c r="D1576" s="77"/>
      <c r="E1576" s="77"/>
      <c r="F1576" s="77"/>
      <c r="G1576" s="77"/>
      <c r="H1576" s="77"/>
      <c r="I1576" s="77"/>
      <c r="J1576" s="77"/>
      <c r="K1576" s="77"/>
      <c r="L1576" s="77"/>
      <c r="M1576" s="77"/>
      <c r="N1576" s="77"/>
      <c r="O1576" s="77"/>
      <c r="P1576" s="77"/>
      <c r="Q1576" s="77"/>
      <c r="R1576" s="77"/>
    </row>
    <row r="1577" spans="1:18">
      <c r="A1577" s="77"/>
      <c r="B1577" s="77"/>
      <c r="C1577" s="77"/>
      <c r="D1577" s="77"/>
      <c r="E1577" s="77"/>
      <c r="F1577" s="77"/>
      <c r="G1577" s="77"/>
      <c r="H1577" s="77"/>
      <c r="I1577" s="77"/>
      <c r="J1577" s="77"/>
      <c r="K1577" s="77"/>
      <c r="L1577" s="77"/>
      <c r="M1577" s="77"/>
      <c r="N1577" s="77"/>
      <c r="O1577" s="77"/>
      <c r="P1577" s="77"/>
      <c r="Q1577" s="77"/>
      <c r="R1577" s="77"/>
    </row>
    <row r="1578" spans="1:18">
      <c r="A1578" s="77"/>
      <c r="B1578" s="77"/>
      <c r="C1578" s="77"/>
      <c r="D1578" s="77"/>
      <c r="E1578" s="77"/>
      <c r="F1578" s="77"/>
      <c r="G1578" s="77"/>
      <c r="H1578" s="77"/>
      <c r="I1578" s="77"/>
      <c r="J1578" s="77"/>
      <c r="K1578" s="77"/>
      <c r="L1578" s="77"/>
      <c r="M1578" s="77"/>
      <c r="N1578" s="77"/>
      <c r="O1578" s="77"/>
      <c r="P1578" s="77"/>
      <c r="Q1578" s="77"/>
      <c r="R1578" s="77"/>
    </row>
    <row r="1579" spans="1:18">
      <c r="A1579" s="77"/>
      <c r="B1579" s="77"/>
      <c r="C1579" s="77"/>
      <c r="D1579" s="77"/>
      <c r="E1579" s="77"/>
      <c r="F1579" s="77"/>
      <c r="G1579" s="77"/>
      <c r="H1579" s="77"/>
      <c r="I1579" s="77"/>
      <c r="J1579" s="77"/>
      <c r="K1579" s="77"/>
      <c r="L1579" s="77"/>
      <c r="M1579" s="77"/>
      <c r="N1579" s="77"/>
      <c r="O1579" s="77"/>
      <c r="P1579" s="77"/>
      <c r="Q1579" s="77"/>
      <c r="R1579" s="77"/>
    </row>
    <row r="1580" spans="1:18">
      <c r="A1580" s="77"/>
      <c r="B1580" s="77"/>
      <c r="C1580" s="77"/>
      <c r="D1580" s="77"/>
      <c r="E1580" s="77"/>
      <c r="F1580" s="77"/>
      <c r="G1580" s="77"/>
      <c r="H1580" s="77"/>
      <c r="I1580" s="77"/>
      <c r="J1580" s="77"/>
      <c r="K1580" s="77"/>
      <c r="L1580" s="77"/>
      <c r="M1580" s="77"/>
      <c r="N1580" s="77"/>
      <c r="O1580" s="77"/>
      <c r="P1580" s="77"/>
      <c r="Q1580" s="77"/>
      <c r="R1580" s="77"/>
    </row>
    <row r="1581" spans="1:18">
      <c r="A1581" s="77"/>
      <c r="B1581" s="77"/>
      <c r="C1581" s="77"/>
      <c r="D1581" s="77"/>
      <c r="E1581" s="77"/>
      <c r="F1581" s="77"/>
      <c r="G1581" s="77"/>
      <c r="H1581" s="77"/>
      <c r="I1581" s="77"/>
      <c r="J1581" s="77"/>
      <c r="K1581" s="77"/>
      <c r="L1581" s="77"/>
      <c r="M1581" s="77"/>
      <c r="N1581" s="77"/>
      <c r="O1581" s="77"/>
      <c r="P1581" s="77"/>
      <c r="Q1581" s="77"/>
      <c r="R1581" s="77"/>
    </row>
    <row r="1582" spans="1:18">
      <c r="A1582" s="77"/>
      <c r="B1582" s="77"/>
      <c r="C1582" s="77"/>
      <c r="D1582" s="77"/>
      <c r="E1582" s="77"/>
      <c r="F1582" s="77"/>
      <c r="G1582" s="77"/>
      <c r="H1582" s="77"/>
      <c r="I1582" s="77"/>
      <c r="J1582" s="77"/>
      <c r="K1582" s="77"/>
      <c r="L1582" s="77"/>
      <c r="M1582" s="77"/>
      <c r="N1582" s="77"/>
      <c r="O1582" s="77"/>
      <c r="P1582" s="77"/>
      <c r="Q1582" s="77"/>
      <c r="R1582" s="77"/>
    </row>
    <row r="1583" spans="1:18">
      <c r="A1583" s="77"/>
      <c r="B1583" s="77"/>
      <c r="C1583" s="77"/>
      <c r="D1583" s="77"/>
      <c r="E1583" s="77"/>
      <c r="F1583" s="77"/>
      <c r="G1583" s="77"/>
      <c r="H1583" s="77"/>
      <c r="I1583" s="77"/>
      <c r="J1583" s="77"/>
      <c r="K1583" s="77"/>
      <c r="L1583" s="77"/>
      <c r="M1583" s="77"/>
      <c r="N1583" s="77"/>
      <c r="O1583" s="77"/>
      <c r="P1583" s="77"/>
      <c r="Q1583" s="77"/>
      <c r="R1583" s="77"/>
    </row>
    <row r="1584" spans="1:18">
      <c r="A1584" s="77"/>
      <c r="B1584" s="77"/>
      <c r="C1584" s="77"/>
      <c r="D1584" s="77"/>
      <c r="E1584" s="77"/>
      <c r="F1584" s="77"/>
      <c r="G1584" s="77"/>
      <c r="H1584" s="77"/>
      <c r="I1584" s="77"/>
      <c r="J1584" s="77"/>
      <c r="K1584" s="77"/>
      <c r="L1584" s="77"/>
      <c r="M1584" s="77"/>
      <c r="N1584" s="77"/>
      <c r="O1584" s="77"/>
      <c r="P1584" s="77"/>
      <c r="Q1584" s="77"/>
      <c r="R1584" s="77"/>
    </row>
    <row r="1585" spans="1:18">
      <c r="A1585" s="77"/>
      <c r="B1585" s="77"/>
      <c r="C1585" s="77"/>
      <c r="D1585" s="77"/>
      <c r="E1585" s="77"/>
      <c r="F1585" s="77"/>
      <c r="G1585" s="77"/>
      <c r="H1585" s="77"/>
      <c r="I1585" s="77"/>
      <c r="J1585" s="77"/>
      <c r="K1585" s="77"/>
      <c r="L1585" s="77"/>
      <c r="M1585" s="77"/>
      <c r="N1585" s="77"/>
      <c r="O1585" s="77"/>
      <c r="P1585" s="77"/>
      <c r="Q1585" s="77"/>
      <c r="R1585" s="77"/>
    </row>
    <row r="1586" spans="1:18">
      <c r="A1586" s="77"/>
      <c r="B1586" s="77"/>
      <c r="C1586" s="77"/>
      <c r="D1586" s="77"/>
      <c r="E1586" s="77"/>
      <c r="F1586" s="77"/>
      <c r="G1586" s="77"/>
      <c r="H1586" s="77"/>
      <c r="I1586" s="77"/>
      <c r="J1586" s="77"/>
      <c r="K1586" s="77"/>
      <c r="L1586" s="77"/>
      <c r="M1586" s="77"/>
      <c r="N1586" s="77"/>
      <c r="O1586" s="77"/>
      <c r="P1586" s="77"/>
      <c r="Q1586" s="77"/>
      <c r="R1586" s="77"/>
    </row>
    <row r="1587" spans="1:18">
      <c r="A1587" s="77"/>
      <c r="B1587" s="77"/>
      <c r="C1587" s="77"/>
      <c r="D1587" s="77"/>
      <c r="E1587" s="77"/>
      <c r="F1587" s="77"/>
      <c r="G1587" s="77"/>
      <c r="H1587" s="77"/>
      <c r="I1587" s="77"/>
      <c r="J1587" s="77"/>
      <c r="K1587" s="77"/>
      <c r="L1587" s="77"/>
      <c r="M1587" s="77"/>
      <c r="N1587" s="77"/>
      <c r="O1587" s="77"/>
      <c r="P1587" s="77"/>
      <c r="Q1587" s="77"/>
      <c r="R1587" s="77"/>
    </row>
    <row r="1588" spans="1:18">
      <c r="A1588" s="77"/>
      <c r="B1588" s="77"/>
      <c r="C1588" s="77"/>
      <c r="D1588" s="77"/>
      <c r="E1588" s="77"/>
      <c r="F1588" s="77"/>
      <c r="G1588" s="77"/>
      <c r="H1588" s="77"/>
      <c r="I1588" s="77"/>
      <c r="J1588" s="77"/>
      <c r="K1588" s="77"/>
      <c r="L1588" s="77"/>
      <c r="M1588" s="77"/>
      <c r="N1588" s="77"/>
      <c r="O1588" s="77"/>
      <c r="P1588" s="77"/>
      <c r="Q1588" s="77"/>
      <c r="R1588" s="77"/>
    </row>
    <row r="1589" spans="1:18">
      <c r="A1589" s="77"/>
      <c r="B1589" s="77"/>
      <c r="C1589" s="77"/>
      <c r="D1589" s="77"/>
      <c r="E1589" s="77"/>
      <c r="F1589" s="77"/>
      <c r="G1589" s="77"/>
      <c r="H1589" s="77"/>
      <c r="I1589" s="77"/>
      <c r="J1589" s="77"/>
      <c r="K1589" s="77"/>
      <c r="L1589" s="77"/>
      <c r="M1589" s="77"/>
      <c r="N1589" s="77"/>
      <c r="O1589" s="77"/>
      <c r="P1589" s="77"/>
      <c r="Q1589" s="77"/>
      <c r="R1589" s="77"/>
    </row>
    <row r="1590" spans="1:18">
      <c r="A1590" s="77"/>
      <c r="B1590" s="77"/>
      <c r="C1590" s="77"/>
      <c r="D1590" s="77"/>
      <c r="E1590" s="77"/>
      <c r="F1590" s="77"/>
      <c r="G1590" s="77"/>
      <c r="H1590" s="77"/>
      <c r="I1590" s="77"/>
      <c r="J1590" s="77"/>
      <c r="K1590" s="77"/>
      <c r="L1590" s="77"/>
      <c r="M1590" s="77"/>
      <c r="N1590" s="77"/>
      <c r="O1590" s="77"/>
      <c r="P1590" s="77"/>
      <c r="Q1590" s="77"/>
      <c r="R1590" s="77"/>
    </row>
    <row r="1591" spans="1:18">
      <c r="A1591" s="77"/>
      <c r="B1591" s="77"/>
      <c r="C1591" s="77"/>
      <c r="D1591" s="77"/>
      <c r="E1591" s="77"/>
      <c r="F1591" s="77"/>
      <c r="G1591" s="77"/>
      <c r="H1591" s="77"/>
      <c r="I1591" s="77"/>
      <c r="J1591" s="77"/>
      <c r="K1591" s="77"/>
      <c r="L1591" s="77"/>
      <c r="M1591" s="77"/>
      <c r="N1591" s="77"/>
      <c r="O1591" s="77"/>
      <c r="P1591" s="77"/>
      <c r="Q1591" s="77"/>
      <c r="R1591" s="77"/>
    </row>
    <row r="1592" spans="1:18">
      <c r="A1592" s="77"/>
      <c r="B1592" s="77"/>
      <c r="C1592" s="77"/>
      <c r="D1592" s="77"/>
      <c r="E1592" s="77"/>
      <c r="F1592" s="77"/>
      <c r="G1592" s="77"/>
      <c r="H1592" s="77"/>
      <c r="I1592" s="77"/>
      <c r="J1592" s="77"/>
      <c r="K1592" s="77"/>
      <c r="L1592" s="77"/>
      <c r="M1592" s="77"/>
      <c r="N1592" s="77"/>
      <c r="O1592" s="77"/>
      <c r="P1592" s="77"/>
      <c r="Q1592" s="77"/>
      <c r="R1592" s="77"/>
    </row>
    <row r="1593" spans="1:18">
      <c r="A1593" s="77"/>
      <c r="B1593" s="77"/>
      <c r="C1593" s="77"/>
      <c r="D1593" s="77"/>
      <c r="E1593" s="77"/>
      <c r="F1593" s="77"/>
      <c r="G1593" s="77"/>
      <c r="H1593" s="77"/>
      <c r="I1593" s="77"/>
      <c r="J1593" s="77"/>
      <c r="K1593" s="77"/>
      <c r="L1593" s="77"/>
      <c r="M1593" s="77"/>
      <c r="N1593" s="77"/>
      <c r="O1593" s="77"/>
      <c r="P1593" s="77"/>
      <c r="Q1593" s="77"/>
      <c r="R1593" s="77"/>
    </row>
    <row r="1594" spans="1:18">
      <c r="A1594" s="77"/>
      <c r="B1594" s="77"/>
      <c r="C1594" s="77"/>
      <c r="D1594" s="77"/>
      <c r="E1594" s="77"/>
      <c r="F1594" s="77"/>
      <c r="G1594" s="77"/>
      <c r="H1594" s="77"/>
      <c r="I1594" s="77"/>
      <c r="J1594" s="77"/>
      <c r="K1594" s="77"/>
      <c r="L1594" s="77"/>
      <c r="M1594" s="77"/>
      <c r="N1594" s="77"/>
      <c r="O1594" s="77"/>
      <c r="P1594" s="77"/>
      <c r="Q1594" s="77"/>
      <c r="R1594" s="77"/>
    </row>
    <row r="1595" spans="1:18">
      <c r="A1595" s="77"/>
      <c r="B1595" s="77"/>
      <c r="C1595" s="77"/>
      <c r="D1595" s="77"/>
      <c r="E1595" s="77"/>
      <c r="F1595" s="77"/>
      <c r="G1595" s="77"/>
      <c r="H1595" s="77"/>
      <c r="I1595" s="77"/>
      <c r="J1595" s="77"/>
      <c r="K1595" s="77"/>
      <c r="L1595" s="77"/>
      <c r="M1595" s="77"/>
      <c r="N1595" s="77"/>
      <c r="O1595" s="77"/>
      <c r="P1595" s="77"/>
      <c r="Q1595" s="77"/>
      <c r="R1595" s="77"/>
    </row>
    <row r="1596" spans="1:18">
      <c r="A1596" s="77"/>
      <c r="B1596" s="77"/>
      <c r="C1596" s="77"/>
      <c r="D1596" s="77"/>
      <c r="E1596" s="77"/>
      <c r="F1596" s="77"/>
      <c r="G1596" s="77"/>
      <c r="H1596" s="77"/>
      <c r="I1596" s="77"/>
      <c r="J1596" s="77"/>
      <c r="K1596" s="77"/>
      <c r="L1596" s="77"/>
      <c r="M1596" s="77"/>
      <c r="N1596" s="77"/>
      <c r="O1596" s="77"/>
      <c r="P1596" s="77"/>
      <c r="Q1596" s="77"/>
      <c r="R1596" s="77"/>
    </row>
    <row r="1597" spans="1:18">
      <c r="A1597" s="77"/>
      <c r="B1597" s="77"/>
      <c r="C1597" s="77"/>
      <c r="D1597" s="77"/>
      <c r="E1597" s="77"/>
      <c r="F1597" s="77"/>
      <c r="G1597" s="77"/>
      <c r="H1597" s="77"/>
      <c r="I1597" s="77"/>
      <c r="J1597" s="77"/>
      <c r="K1597" s="77"/>
      <c r="L1597" s="77"/>
      <c r="M1597" s="77"/>
      <c r="N1597" s="77"/>
      <c r="O1597" s="77"/>
      <c r="P1597" s="77"/>
      <c r="Q1597" s="77"/>
      <c r="R1597" s="77"/>
    </row>
    <row r="1598" spans="1:18">
      <c r="A1598" s="77"/>
      <c r="B1598" s="77"/>
      <c r="C1598" s="77"/>
      <c r="D1598" s="77"/>
      <c r="E1598" s="77"/>
      <c r="F1598" s="77"/>
      <c r="G1598" s="77"/>
      <c r="H1598" s="77"/>
      <c r="I1598" s="77"/>
      <c r="J1598" s="77"/>
      <c r="K1598" s="77"/>
      <c r="L1598" s="77"/>
      <c r="M1598" s="77"/>
      <c r="N1598" s="77"/>
      <c r="O1598" s="77"/>
      <c r="P1598" s="77"/>
      <c r="Q1598" s="77"/>
      <c r="R1598" s="77"/>
    </row>
    <row r="1599" spans="1:18">
      <c r="A1599" s="77"/>
      <c r="B1599" s="77"/>
      <c r="C1599" s="77"/>
      <c r="D1599" s="77"/>
      <c r="E1599" s="77"/>
      <c r="F1599" s="77"/>
      <c r="G1599" s="77"/>
      <c r="H1599" s="77"/>
      <c r="I1599" s="77"/>
      <c r="J1599" s="77"/>
      <c r="K1599" s="77"/>
      <c r="L1599" s="77"/>
      <c r="M1599" s="77"/>
      <c r="N1599" s="77"/>
      <c r="O1599" s="77"/>
      <c r="P1599" s="77"/>
      <c r="Q1599" s="77"/>
      <c r="R1599" s="77"/>
    </row>
    <row r="1600" spans="1:18">
      <c r="A1600" s="77"/>
      <c r="B1600" s="77"/>
      <c r="C1600" s="77"/>
      <c r="D1600" s="77"/>
      <c r="E1600" s="77"/>
      <c r="F1600" s="77"/>
      <c r="G1600" s="77"/>
      <c r="H1600" s="77"/>
      <c r="I1600" s="77"/>
      <c r="J1600" s="77"/>
      <c r="K1600" s="77"/>
      <c r="L1600" s="77"/>
      <c r="M1600" s="77"/>
      <c r="N1600" s="77"/>
      <c r="O1600" s="77"/>
      <c r="P1600" s="77"/>
      <c r="Q1600" s="77"/>
      <c r="R1600" s="77"/>
    </row>
    <row r="1601" spans="1:18">
      <c r="A1601" s="77"/>
      <c r="B1601" s="77"/>
      <c r="C1601" s="77"/>
      <c r="D1601" s="77"/>
      <c r="E1601" s="77"/>
      <c r="F1601" s="77"/>
      <c r="G1601" s="77"/>
      <c r="H1601" s="77"/>
      <c r="I1601" s="77"/>
      <c r="J1601" s="77"/>
      <c r="K1601" s="77"/>
      <c r="L1601" s="77"/>
      <c r="M1601" s="77"/>
      <c r="N1601" s="77"/>
      <c r="O1601" s="77"/>
      <c r="P1601" s="77"/>
      <c r="Q1601" s="77"/>
      <c r="R1601" s="77"/>
    </row>
    <row r="1602" spans="1:18">
      <c r="A1602" s="77"/>
      <c r="B1602" s="77"/>
      <c r="C1602" s="77"/>
      <c r="D1602" s="77"/>
      <c r="E1602" s="77"/>
      <c r="F1602" s="77"/>
      <c r="G1602" s="77"/>
      <c r="H1602" s="77"/>
      <c r="I1602" s="77"/>
      <c r="J1602" s="77"/>
      <c r="K1602" s="77"/>
      <c r="L1602" s="77"/>
      <c r="M1602" s="77"/>
      <c r="N1602" s="77"/>
      <c r="O1602" s="77"/>
      <c r="P1602" s="77"/>
      <c r="Q1602" s="77"/>
      <c r="R1602" s="77"/>
    </row>
    <row r="1603" spans="1:18">
      <c r="A1603" s="77"/>
      <c r="B1603" s="77"/>
      <c r="C1603" s="77"/>
      <c r="D1603" s="77"/>
      <c r="E1603" s="77"/>
      <c r="F1603" s="77"/>
      <c r="G1603" s="77"/>
      <c r="H1603" s="77"/>
      <c r="I1603" s="77"/>
      <c r="J1603" s="77"/>
      <c r="K1603" s="77"/>
      <c r="L1603" s="77"/>
      <c r="M1603" s="77"/>
      <c r="N1603" s="77"/>
      <c r="O1603" s="77"/>
      <c r="P1603" s="77"/>
      <c r="Q1603" s="77"/>
      <c r="R1603" s="77"/>
    </row>
    <row r="1604" spans="1:18">
      <c r="A1604" s="77"/>
      <c r="B1604" s="77"/>
      <c r="C1604" s="77"/>
      <c r="D1604" s="77"/>
      <c r="E1604" s="77"/>
      <c r="F1604" s="77"/>
      <c r="G1604" s="77"/>
      <c r="H1604" s="77"/>
      <c r="I1604" s="77"/>
      <c r="J1604" s="77"/>
      <c r="K1604" s="77"/>
      <c r="L1604" s="77"/>
      <c r="M1604" s="77"/>
      <c r="N1604" s="77"/>
      <c r="O1604" s="77"/>
      <c r="P1604" s="77"/>
      <c r="Q1604" s="77"/>
      <c r="R1604" s="77"/>
    </row>
    <row r="1605" spans="1:18">
      <c r="A1605" s="77"/>
      <c r="B1605" s="77"/>
      <c r="C1605" s="77"/>
      <c r="D1605" s="77"/>
      <c r="E1605" s="77"/>
      <c r="F1605" s="77"/>
      <c r="G1605" s="77"/>
      <c r="H1605" s="77"/>
      <c r="I1605" s="77"/>
      <c r="J1605" s="77"/>
      <c r="K1605" s="77"/>
      <c r="L1605" s="77"/>
      <c r="M1605" s="77"/>
      <c r="N1605" s="77"/>
      <c r="O1605" s="77"/>
      <c r="P1605" s="77"/>
      <c r="Q1605" s="77"/>
      <c r="R1605" s="77"/>
    </row>
    <row r="1606" spans="1:18">
      <c r="A1606" s="77"/>
      <c r="B1606" s="77"/>
      <c r="C1606" s="77"/>
      <c r="D1606" s="77"/>
      <c r="E1606" s="77"/>
      <c r="F1606" s="77"/>
      <c r="G1606" s="77"/>
      <c r="H1606" s="77"/>
      <c r="I1606" s="77"/>
      <c r="J1606" s="77"/>
      <c r="K1606" s="77"/>
      <c r="L1606" s="77"/>
      <c r="M1606" s="77"/>
      <c r="N1606" s="77"/>
      <c r="O1606" s="77"/>
      <c r="P1606" s="77"/>
      <c r="Q1606" s="77"/>
      <c r="R1606" s="77"/>
    </row>
    <row r="1607" spans="1:18">
      <c r="A1607" s="77"/>
      <c r="B1607" s="77"/>
      <c r="C1607" s="77"/>
      <c r="D1607" s="77"/>
      <c r="E1607" s="77"/>
      <c r="F1607" s="77"/>
      <c r="G1607" s="77"/>
      <c r="H1607" s="77"/>
      <c r="I1607" s="77"/>
      <c r="J1607" s="77"/>
      <c r="K1607" s="77"/>
      <c r="L1607" s="77"/>
      <c r="M1607" s="77"/>
      <c r="N1607" s="77"/>
      <c r="O1607" s="77"/>
      <c r="P1607" s="77"/>
      <c r="Q1607" s="77"/>
      <c r="R1607" s="77"/>
    </row>
    <row r="1608" spans="1:18">
      <c r="A1608" s="77"/>
      <c r="B1608" s="77"/>
      <c r="C1608" s="77"/>
      <c r="D1608" s="77"/>
      <c r="E1608" s="77"/>
      <c r="F1608" s="77"/>
      <c r="G1608" s="77"/>
      <c r="H1608" s="77"/>
      <c r="I1608" s="77"/>
      <c r="J1608" s="77"/>
      <c r="K1608" s="77"/>
      <c r="L1608" s="77"/>
      <c r="M1608" s="77"/>
      <c r="N1608" s="77"/>
      <c r="O1608" s="77"/>
      <c r="P1608" s="77"/>
      <c r="Q1608" s="77"/>
      <c r="R1608" s="77"/>
    </row>
    <row r="1609" spans="1:18">
      <c r="A1609" s="77"/>
      <c r="B1609" s="77"/>
      <c r="C1609" s="77"/>
      <c r="D1609" s="77"/>
      <c r="E1609" s="77"/>
      <c r="F1609" s="77"/>
      <c r="G1609" s="77"/>
      <c r="H1609" s="77"/>
      <c r="I1609" s="77"/>
      <c r="J1609" s="77"/>
      <c r="K1609" s="77"/>
      <c r="L1609" s="77"/>
      <c r="M1609" s="77"/>
      <c r="N1609" s="77"/>
      <c r="O1609" s="77"/>
      <c r="P1609" s="77"/>
      <c r="Q1609" s="77"/>
      <c r="R1609" s="77"/>
    </row>
    <row r="1610" spans="1:18">
      <c r="A1610" s="77"/>
      <c r="B1610" s="77"/>
      <c r="C1610" s="77"/>
      <c r="D1610" s="77"/>
      <c r="E1610" s="77"/>
      <c r="F1610" s="77"/>
      <c r="G1610" s="77"/>
      <c r="H1610" s="77"/>
      <c r="I1610" s="77"/>
      <c r="J1610" s="77"/>
      <c r="K1610" s="77"/>
      <c r="L1610" s="77"/>
      <c r="M1610" s="77"/>
      <c r="N1610" s="77"/>
      <c r="O1610" s="77"/>
      <c r="P1610" s="77"/>
      <c r="Q1610" s="77"/>
      <c r="R1610" s="77"/>
    </row>
    <row r="1611" spans="1:18">
      <c r="A1611" s="77"/>
      <c r="B1611" s="77"/>
      <c r="C1611" s="77"/>
      <c r="D1611" s="77"/>
      <c r="E1611" s="77"/>
      <c r="F1611" s="77"/>
      <c r="G1611" s="77"/>
      <c r="H1611" s="77"/>
      <c r="I1611" s="77"/>
      <c r="J1611" s="77"/>
      <c r="K1611" s="77"/>
      <c r="L1611" s="77"/>
      <c r="M1611" s="77"/>
      <c r="N1611" s="77"/>
      <c r="O1611" s="77"/>
      <c r="P1611" s="77"/>
      <c r="Q1611" s="77"/>
      <c r="R1611" s="77"/>
    </row>
    <row r="1612" spans="1:18">
      <c r="A1612" s="77"/>
      <c r="B1612" s="77"/>
      <c r="C1612" s="77"/>
      <c r="D1612" s="77"/>
      <c r="E1612" s="77"/>
      <c r="F1612" s="77"/>
      <c r="G1612" s="77"/>
      <c r="H1612" s="77"/>
      <c r="I1612" s="77"/>
      <c r="J1612" s="77"/>
      <c r="K1612" s="77"/>
      <c r="L1612" s="77"/>
      <c r="M1612" s="77"/>
      <c r="N1612" s="77"/>
      <c r="O1612" s="77"/>
      <c r="P1612" s="77"/>
      <c r="Q1612" s="77"/>
      <c r="R1612" s="77"/>
    </row>
    <row r="1613" spans="1:18">
      <c r="A1613" s="77"/>
      <c r="B1613" s="77"/>
      <c r="C1613" s="77"/>
      <c r="D1613" s="77"/>
      <c r="E1613" s="77"/>
      <c r="F1613" s="77"/>
      <c r="G1613" s="77"/>
      <c r="H1613" s="77"/>
      <c r="I1613" s="77"/>
      <c r="J1613" s="77"/>
      <c r="K1613" s="77"/>
      <c r="L1613" s="77"/>
      <c r="M1613" s="77"/>
      <c r="N1613" s="77"/>
      <c r="O1613" s="77"/>
      <c r="P1613" s="77"/>
      <c r="Q1613" s="77"/>
      <c r="R1613" s="77"/>
    </row>
    <row r="1614" spans="1:18">
      <c r="A1614" s="77"/>
      <c r="B1614" s="77"/>
      <c r="C1614" s="77"/>
      <c r="D1614" s="77"/>
      <c r="E1614" s="77"/>
      <c r="F1614" s="77"/>
      <c r="G1614" s="77"/>
      <c r="H1614" s="77"/>
      <c r="I1614" s="77"/>
      <c r="J1614" s="77"/>
      <c r="K1614" s="77"/>
      <c r="L1614" s="77"/>
      <c r="M1614" s="77"/>
      <c r="N1614" s="77"/>
      <c r="O1614" s="77"/>
      <c r="P1614" s="77"/>
      <c r="Q1614" s="77"/>
      <c r="R1614" s="77"/>
    </row>
    <row r="1615" spans="1:18">
      <c r="A1615" s="77"/>
      <c r="B1615" s="77"/>
      <c r="C1615" s="77"/>
      <c r="D1615" s="77"/>
      <c r="E1615" s="77"/>
      <c r="F1615" s="77"/>
      <c r="G1615" s="77"/>
      <c r="H1615" s="77"/>
      <c r="I1615" s="77"/>
      <c r="J1615" s="77"/>
      <c r="K1615" s="77"/>
      <c r="L1615" s="77"/>
      <c r="M1615" s="77"/>
      <c r="N1615" s="77"/>
      <c r="O1615" s="77"/>
      <c r="P1615" s="77"/>
      <c r="Q1615" s="77"/>
      <c r="R1615" s="77"/>
    </row>
    <row r="1616" spans="1:18">
      <c r="A1616" s="77"/>
      <c r="B1616" s="77"/>
      <c r="C1616" s="77"/>
      <c r="D1616" s="77"/>
      <c r="E1616" s="77"/>
      <c r="F1616" s="77"/>
      <c r="G1616" s="77"/>
      <c r="H1616" s="77"/>
      <c r="I1616" s="77"/>
      <c r="J1616" s="77"/>
      <c r="K1616" s="77"/>
      <c r="L1616" s="77"/>
      <c r="M1616" s="77"/>
      <c r="N1616" s="77"/>
      <c r="O1616" s="77"/>
      <c r="P1616" s="77"/>
      <c r="Q1616" s="77"/>
      <c r="R1616" s="77"/>
    </row>
    <row r="1617" spans="1:18">
      <c r="A1617" s="77"/>
      <c r="B1617" s="77"/>
      <c r="C1617" s="77"/>
      <c r="D1617" s="77"/>
      <c r="E1617" s="77"/>
      <c r="F1617" s="77"/>
      <c r="G1617" s="77"/>
      <c r="H1617" s="77"/>
      <c r="I1617" s="77"/>
      <c r="J1617" s="77"/>
      <c r="K1617" s="77"/>
      <c r="L1617" s="77"/>
      <c r="M1617" s="77"/>
      <c r="N1617" s="77"/>
      <c r="O1617" s="77"/>
      <c r="P1617" s="77"/>
      <c r="Q1617" s="77"/>
      <c r="R1617" s="77"/>
    </row>
    <row r="1618" spans="1:18">
      <c r="A1618" s="77"/>
      <c r="B1618" s="77"/>
      <c r="C1618" s="77"/>
      <c r="D1618" s="77"/>
      <c r="E1618" s="77"/>
      <c r="F1618" s="77"/>
      <c r="G1618" s="77"/>
      <c r="H1618" s="77"/>
      <c r="I1618" s="77"/>
      <c r="J1618" s="77"/>
      <c r="K1618" s="77"/>
      <c r="L1618" s="77"/>
      <c r="M1618" s="77"/>
      <c r="N1618" s="77"/>
      <c r="O1618" s="77"/>
      <c r="P1618" s="77"/>
      <c r="Q1618" s="77"/>
      <c r="R1618" s="77"/>
    </row>
    <row r="1619" spans="1:18">
      <c r="A1619" s="77"/>
      <c r="B1619" s="77"/>
      <c r="C1619" s="77"/>
      <c r="D1619" s="77"/>
      <c r="E1619" s="77"/>
      <c r="F1619" s="77"/>
      <c r="G1619" s="77"/>
      <c r="H1619" s="77"/>
      <c r="I1619" s="77"/>
      <c r="J1619" s="77"/>
      <c r="K1619" s="77"/>
      <c r="L1619" s="77"/>
      <c r="M1619" s="77"/>
      <c r="N1619" s="77"/>
      <c r="O1619" s="77"/>
      <c r="P1619" s="77"/>
      <c r="Q1619" s="77"/>
      <c r="R1619" s="77"/>
    </row>
    <row r="1620" spans="1:18">
      <c r="A1620" s="77"/>
      <c r="B1620" s="77"/>
      <c r="C1620" s="77"/>
      <c r="D1620" s="77"/>
      <c r="E1620" s="77"/>
      <c r="F1620" s="77"/>
      <c r="G1620" s="77"/>
      <c r="H1620" s="77"/>
      <c r="I1620" s="77"/>
      <c r="J1620" s="77"/>
      <c r="K1620" s="77"/>
      <c r="L1620" s="77"/>
      <c r="M1620" s="77"/>
      <c r="N1620" s="77"/>
      <c r="O1620" s="77"/>
      <c r="P1620" s="77"/>
      <c r="Q1620" s="77"/>
      <c r="R1620" s="77"/>
    </row>
    <row r="1621" spans="1:18">
      <c r="A1621" s="77"/>
      <c r="B1621" s="77"/>
      <c r="C1621" s="77"/>
      <c r="D1621" s="77"/>
      <c r="E1621" s="77"/>
      <c r="F1621" s="77"/>
      <c r="G1621" s="77"/>
      <c r="H1621" s="77"/>
      <c r="I1621" s="77"/>
      <c r="J1621" s="77"/>
      <c r="K1621" s="77"/>
      <c r="L1621" s="77"/>
      <c r="M1621" s="77"/>
      <c r="N1621" s="77"/>
      <c r="O1621" s="77"/>
      <c r="P1621" s="77"/>
      <c r="Q1621" s="77"/>
      <c r="R1621" s="77"/>
    </row>
    <row r="1622" spans="1:18">
      <c r="A1622" s="77"/>
      <c r="B1622" s="77"/>
      <c r="C1622" s="77"/>
      <c r="D1622" s="77"/>
      <c r="E1622" s="77"/>
      <c r="F1622" s="77"/>
      <c r="G1622" s="77"/>
      <c r="H1622" s="77"/>
      <c r="I1622" s="77"/>
      <c r="J1622" s="77"/>
      <c r="K1622" s="77"/>
      <c r="L1622" s="77"/>
      <c r="M1622" s="77"/>
      <c r="N1622" s="77"/>
      <c r="O1622" s="77"/>
      <c r="P1622" s="77"/>
      <c r="Q1622" s="77"/>
      <c r="R1622" s="77"/>
    </row>
    <row r="1623" spans="1:18">
      <c r="A1623" s="77"/>
      <c r="B1623" s="77"/>
      <c r="C1623" s="77"/>
      <c r="D1623" s="77"/>
      <c r="E1623" s="77"/>
      <c r="F1623" s="77"/>
      <c r="G1623" s="77"/>
      <c r="H1623" s="77"/>
      <c r="I1623" s="77"/>
      <c r="J1623" s="77"/>
      <c r="K1623" s="77"/>
      <c r="L1623" s="77"/>
      <c r="M1623" s="77"/>
      <c r="N1623" s="77"/>
      <c r="O1623" s="77"/>
      <c r="P1623" s="77"/>
      <c r="Q1623" s="77"/>
      <c r="R1623" s="77"/>
    </row>
    <row r="1624" spans="1:18">
      <c r="A1624" s="77"/>
      <c r="B1624" s="77"/>
      <c r="C1624" s="77"/>
      <c r="D1624" s="77"/>
      <c r="E1624" s="77"/>
      <c r="F1624" s="77"/>
      <c r="G1624" s="77"/>
      <c r="H1624" s="77"/>
      <c r="I1624" s="77"/>
      <c r="J1624" s="77"/>
      <c r="K1624" s="77"/>
      <c r="L1624" s="77"/>
      <c r="M1624" s="77"/>
      <c r="N1624" s="77"/>
      <c r="O1624" s="77"/>
      <c r="P1624" s="77"/>
      <c r="Q1624" s="77"/>
      <c r="R1624" s="77"/>
    </row>
    <row r="1625" spans="1:18">
      <c r="A1625" s="77"/>
      <c r="B1625" s="77"/>
      <c r="C1625" s="77"/>
      <c r="D1625" s="77"/>
      <c r="E1625" s="77"/>
      <c r="F1625" s="77"/>
      <c r="G1625" s="77"/>
      <c r="H1625" s="77"/>
      <c r="I1625" s="77"/>
      <c r="J1625" s="77"/>
      <c r="K1625" s="77"/>
      <c r="L1625" s="77"/>
      <c r="M1625" s="77"/>
      <c r="N1625" s="77"/>
      <c r="O1625" s="77"/>
      <c r="P1625" s="77"/>
      <c r="Q1625" s="77"/>
      <c r="R1625" s="77"/>
    </row>
    <row r="1626" spans="1:18">
      <c r="A1626" s="77"/>
      <c r="B1626" s="77"/>
      <c r="C1626" s="77"/>
      <c r="D1626" s="77"/>
      <c r="E1626" s="77"/>
      <c r="F1626" s="77"/>
      <c r="G1626" s="77"/>
      <c r="H1626" s="77"/>
      <c r="I1626" s="77"/>
      <c r="J1626" s="77"/>
      <c r="K1626" s="77"/>
      <c r="L1626" s="77"/>
      <c r="M1626" s="77"/>
      <c r="N1626" s="77"/>
      <c r="O1626" s="77"/>
      <c r="P1626" s="77"/>
      <c r="Q1626" s="77"/>
      <c r="R1626" s="77"/>
    </row>
    <row r="1627" spans="1:18">
      <c r="A1627" s="77"/>
      <c r="B1627" s="77"/>
      <c r="C1627" s="77"/>
      <c r="D1627" s="77"/>
      <c r="E1627" s="77"/>
      <c r="F1627" s="77"/>
      <c r="G1627" s="77"/>
      <c r="H1627" s="77"/>
      <c r="I1627" s="77"/>
      <c r="J1627" s="77"/>
      <c r="K1627" s="77"/>
      <c r="L1627" s="77"/>
      <c r="M1627" s="77"/>
      <c r="N1627" s="77"/>
      <c r="O1627" s="77"/>
      <c r="P1627" s="77"/>
      <c r="Q1627" s="77"/>
      <c r="R1627" s="77"/>
    </row>
    <row r="1628" spans="1:18">
      <c r="A1628" s="77"/>
      <c r="B1628" s="77"/>
      <c r="C1628" s="77"/>
      <c r="D1628" s="77"/>
      <c r="E1628" s="77"/>
      <c r="F1628" s="77"/>
      <c r="G1628" s="77"/>
      <c r="H1628" s="77"/>
      <c r="I1628" s="77"/>
      <c r="J1628" s="77"/>
      <c r="K1628" s="77"/>
      <c r="L1628" s="77"/>
      <c r="M1628" s="77"/>
      <c r="N1628" s="77"/>
      <c r="O1628" s="77"/>
      <c r="P1628" s="77"/>
      <c r="Q1628" s="77"/>
      <c r="R1628" s="77"/>
    </row>
    <row r="1629" spans="1:18">
      <c r="A1629" s="77"/>
      <c r="B1629" s="77"/>
      <c r="C1629" s="77"/>
      <c r="D1629" s="77"/>
      <c r="E1629" s="77"/>
      <c r="F1629" s="77"/>
      <c r="G1629" s="77"/>
      <c r="H1629" s="77"/>
      <c r="I1629" s="77"/>
      <c r="J1629" s="77"/>
      <c r="K1629" s="77"/>
      <c r="L1629" s="77"/>
      <c r="M1629" s="77"/>
      <c r="N1629" s="77"/>
      <c r="O1629" s="77"/>
      <c r="P1629" s="77"/>
      <c r="Q1629" s="77"/>
      <c r="R1629" s="77"/>
    </row>
    <row r="1630" spans="1:18">
      <c r="A1630" s="77"/>
      <c r="B1630" s="77"/>
      <c r="C1630" s="77"/>
      <c r="D1630" s="77"/>
      <c r="E1630" s="77"/>
      <c r="F1630" s="77"/>
      <c r="G1630" s="77"/>
      <c r="H1630" s="77"/>
      <c r="I1630" s="77"/>
      <c r="J1630" s="77"/>
      <c r="K1630" s="77"/>
      <c r="L1630" s="77"/>
      <c r="M1630" s="77"/>
      <c r="N1630" s="77"/>
      <c r="O1630" s="77"/>
      <c r="P1630" s="77"/>
      <c r="Q1630" s="77"/>
      <c r="R1630" s="77"/>
    </row>
    <row r="1631" spans="1:18">
      <c r="A1631" s="77"/>
      <c r="B1631" s="77"/>
      <c r="C1631" s="77"/>
      <c r="D1631" s="77"/>
      <c r="E1631" s="77"/>
      <c r="F1631" s="77"/>
      <c r="G1631" s="77"/>
      <c r="H1631" s="77"/>
      <c r="I1631" s="77"/>
      <c r="J1631" s="77"/>
      <c r="K1631" s="77"/>
      <c r="L1631" s="77"/>
      <c r="M1631" s="77"/>
      <c r="N1631" s="77"/>
      <c r="O1631" s="77"/>
      <c r="P1631" s="77"/>
      <c r="Q1631" s="77"/>
      <c r="R1631" s="77"/>
    </row>
    <row r="1632" spans="1:18">
      <c r="A1632" s="77"/>
      <c r="B1632" s="77"/>
      <c r="C1632" s="77"/>
      <c r="D1632" s="77"/>
      <c r="E1632" s="77"/>
      <c r="F1632" s="77"/>
      <c r="G1632" s="77"/>
      <c r="H1632" s="77"/>
      <c r="I1632" s="77"/>
      <c r="J1632" s="77"/>
      <c r="K1632" s="77"/>
      <c r="L1632" s="77"/>
      <c r="M1632" s="77"/>
      <c r="N1632" s="77"/>
      <c r="O1632" s="77"/>
      <c r="P1632" s="77"/>
      <c r="Q1632" s="77"/>
      <c r="R1632" s="77"/>
    </row>
    <row r="1633" spans="1:18">
      <c r="A1633" s="77"/>
      <c r="B1633" s="77"/>
      <c r="C1633" s="77"/>
      <c r="D1633" s="77"/>
      <c r="E1633" s="77"/>
      <c r="F1633" s="77"/>
      <c r="G1633" s="77"/>
      <c r="H1633" s="77"/>
      <c r="I1633" s="77"/>
      <c r="J1633" s="77"/>
      <c r="K1633" s="77"/>
      <c r="L1633" s="77"/>
      <c r="M1633" s="77"/>
      <c r="N1633" s="77"/>
      <c r="O1633" s="77"/>
      <c r="P1633" s="77"/>
      <c r="Q1633" s="77"/>
      <c r="R1633" s="77"/>
    </row>
    <row r="1634" spans="1:18">
      <c r="A1634" s="77"/>
      <c r="B1634" s="77"/>
      <c r="C1634" s="77"/>
      <c r="D1634" s="77"/>
      <c r="E1634" s="77"/>
      <c r="F1634" s="77"/>
      <c r="G1634" s="77"/>
      <c r="H1634" s="77"/>
      <c r="I1634" s="77"/>
      <c r="J1634" s="77"/>
      <c r="K1634" s="77"/>
      <c r="L1634" s="77"/>
      <c r="M1634" s="77"/>
      <c r="N1634" s="77"/>
      <c r="O1634" s="77"/>
      <c r="P1634" s="77"/>
      <c r="Q1634" s="77"/>
      <c r="R1634" s="77"/>
    </row>
    <row r="1635" spans="1:18">
      <c r="A1635" s="77"/>
      <c r="B1635" s="77"/>
      <c r="C1635" s="77"/>
      <c r="D1635" s="77"/>
      <c r="E1635" s="77"/>
      <c r="F1635" s="77"/>
      <c r="G1635" s="77"/>
      <c r="H1635" s="77"/>
      <c r="I1635" s="77"/>
      <c r="J1635" s="77"/>
      <c r="K1635" s="77"/>
      <c r="L1635" s="77"/>
      <c r="M1635" s="77"/>
      <c r="N1635" s="77"/>
      <c r="O1635" s="77"/>
      <c r="P1635" s="77"/>
      <c r="Q1635" s="77"/>
      <c r="R1635" s="77"/>
    </row>
    <row r="1636" spans="1:18">
      <c r="A1636" s="77"/>
      <c r="B1636" s="77"/>
      <c r="C1636" s="77"/>
      <c r="D1636" s="77"/>
      <c r="E1636" s="77"/>
      <c r="F1636" s="77"/>
      <c r="G1636" s="77"/>
      <c r="H1636" s="77"/>
      <c r="I1636" s="77"/>
      <c r="J1636" s="77"/>
      <c r="K1636" s="77"/>
      <c r="L1636" s="77"/>
      <c r="M1636" s="77"/>
      <c r="N1636" s="77"/>
      <c r="O1636" s="77"/>
      <c r="P1636" s="77"/>
      <c r="Q1636" s="77"/>
      <c r="R1636" s="77"/>
    </row>
    <row r="1637" spans="1:18">
      <c r="A1637" s="77"/>
      <c r="B1637" s="77"/>
      <c r="C1637" s="77"/>
      <c r="D1637" s="77"/>
      <c r="E1637" s="77"/>
      <c r="F1637" s="77"/>
      <c r="G1637" s="77"/>
      <c r="H1637" s="77"/>
      <c r="I1637" s="77"/>
      <c r="J1637" s="77"/>
      <c r="K1637" s="77"/>
      <c r="L1637" s="77"/>
      <c r="M1637" s="77"/>
      <c r="N1637" s="77"/>
      <c r="O1637" s="77"/>
      <c r="P1637" s="77"/>
      <c r="Q1637" s="77"/>
      <c r="R1637" s="77"/>
    </row>
    <row r="1638" spans="1:18">
      <c r="A1638" s="77"/>
      <c r="B1638" s="77"/>
      <c r="C1638" s="77"/>
      <c r="D1638" s="77"/>
      <c r="E1638" s="77"/>
      <c r="F1638" s="77"/>
      <c r="G1638" s="77"/>
      <c r="H1638" s="77"/>
      <c r="I1638" s="77"/>
      <c r="J1638" s="77"/>
      <c r="K1638" s="77"/>
      <c r="L1638" s="77"/>
      <c r="M1638" s="77"/>
      <c r="N1638" s="77"/>
      <c r="O1638" s="77"/>
      <c r="P1638" s="77"/>
      <c r="Q1638" s="77"/>
      <c r="R1638" s="77"/>
    </row>
    <row r="1639" spans="1:18">
      <c r="A1639" s="77"/>
      <c r="B1639" s="77"/>
      <c r="C1639" s="77"/>
      <c r="D1639" s="77"/>
      <c r="E1639" s="77"/>
      <c r="F1639" s="77"/>
      <c r="G1639" s="77"/>
      <c r="H1639" s="77"/>
      <c r="I1639" s="77"/>
      <c r="J1639" s="77"/>
      <c r="K1639" s="77"/>
      <c r="L1639" s="77"/>
      <c r="M1639" s="77"/>
      <c r="N1639" s="77"/>
      <c r="O1639" s="77"/>
      <c r="P1639" s="77"/>
      <c r="Q1639" s="77"/>
      <c r="R1639" s="77"/>
    </row>
    <row r="1640" spans="1:18">
      <c r="A1640" s="77"/>
      <c r="B1640" s="77"/>
      <c r="C1640" s="77"/>
      <c r="D1640" s="77"/>
      <c r="E1640" s="77"/>
      <c r="F1640" s="77"/>
      <c r="G1640" s="77"/>
      <c r="H1640" s="77"/>
      <c r="I1640" s="77"/>
      <c r="J1640" s="77"/>
      <c r="K1640" s="77"/>
      <c r="L1640" s="77"/>
      <c r="M1640" s="77"/>
      <c r="N1640" s="77"/>
      <c r="O1640" s="77"/>
      <c r="P1640" s="77"/>
      <c r="Q1640" s="77"/>
      <c r="R1640" s="77"/>
    </row>
    <row r="1641" spans="1:18">
      <c r="A1641" s="77"/>
      <c r="B1641" s="77"/>
      <c r="C1641" s="77"/>
      <c r="D1641" s="77"/>
      <c r="E1641" s="77"/>
      <c r="F1641" s="77"/>
      <c r="G1641" s="77"/>
      <c r="H1641" s="77"/>
      <c r="I1641" s="77"/>
      <c r="J1641" s="77"/>
      <c r="K1641" s="77"/>
      <c r="L1641" s="77"/>
      <c r="M1641" s="77"/>
      <c r="N1641" s="77"/>
      <c r="O1641" s="77"/>
      <c r="P1641" s="77"/>
      <c r="Q1641" s="77"/>
      <c r="R1641" s="77"/>
    </row>
    <row r="1642" spans="1:18">
      <c r="A1642" s="77"/>
      <c r="B1642" s="77"/>
      <c r="C1642" s="77"/>
      <c r="D1642" s="77"/>
      <c r="E1642" s="77"/>
      <c r="F1642" s="77"/>
      <c r="G1642" s="77"/>
      <c r="H1642" s="77"/>
      <c r="I1642" s="77"/>
      <c r="J1642" s="77"/>
      <c r="K1642" s="77"/>
      <c r="L1642" s="77"/>
      <c r="M1642" s="77"/>
      <c r="N1642" s="77"/>
      <c r="O1642" s="77"/>
      <c r="P1642" s="77"/>
      <c r="Q1642" s="77"/>
      <c r="R1642" s="77"/>
    </row>
    <row r="1643" spans="1:18">
      <c r="A1643" s="77"/>
      <c r="B1643" s="77"/>
      <c r="C1643" s="77"/>
      <c r="D1643" s="77"/>
      <c r="E1643" s="77"/>
      <c r="F1643" s="77"/>
      <c r="G1643" s="77"/>
      <c r="H1643" s="77"/>
      <c r="I1643" s="77"/>
      <c r="J1643" s="77"/>
      <c r="K1643" s="77"/>
      <c r="L1643" s="77"/>
      <c r="M1643" s="77"/>
      <c r="N1643" s="77"/>
      <c r="O1643" s="77"/>
      <c r="P1643" s="77"/>
      <c r="Q1643" s="77"/>
      <c r="R1643" s="77"/>
    </row>
    <row r="1644" spans="1:18">
      <c r="A1644" s="77"/>
      <c r="B1644" s="77"/>
      <c r="C1644" s="77"/>
      <c r="D1644" s="77"/>
      <c r="E1644" s="77"/>
      <c r="F1644" s="77"/>
      <c r="G1644" s="77"/>
      <c r="H1644" s="77"/>
      <c r="I1644" s="77"/>
      <c r="J1644" s="77"/>
      <c r="K1644" s="77"/>
      <c r="L1644" s="77"/>
      <c r="M1644" s="77"/>
      <c r="N1644" s="77"/>
      <c r="O1644" s="77"/>
      <c r="P1644" s="77"/>
      <c r="Q1644" s="77"/>
      <c r="R1644" s="77"/>
    </row>
    <row r="1645" spans="1:18">
      <c r="A1645" s="77"/>
      <c r="B1645" s="77"/>
      <c r="C1645" s="77"/>
      <c r="D1645" s="77"/>
      <c r="E1645" s="77"/>
      <c r="F1645" s="77"/>
      <c r="G1645" s="77"/>
      <c r="H1645" s="77"/>
      <c r="I1645" s="77"/>
      <c r="J1645" s="77"/>
      <c r="K1645" s="77"/>
      <c r="L1645" s="77"/>
      <c r="M1645" s="77"/>
      <c r="N1645" s="77"/>
      <c r="O1645" s="77"/>
      <c r="P1645" s="77"/>
      <c r="Q1645" s="77"/>
      <c r="R1645" s="77"/>
    </row>
    <row r="1646" spans="1:18">
      <c r="A1646" s="77"/>
      <c r="B1646" s="77"/>
      <c r="C1646" s="77"/>
      <c r="D1646" s="77"/>
      <c r="E1646" s="77"/>
      <c r="F1646" s="77"/>
      <c r="G1646" s="77"/>
      <c r="H1646" s="77"/>
      <c r="I1646" s="77"/>
      <c r="J1646" s="77"/>
      <c r="K1646" s="77"/>
      <c r="L1646" s="77"/>
      <c r="M1646" s="77"/>
      <c r="N1646" s="77"/>
      <c r="O1646" s="77"/>
      <c r="P1646" s="77"/>
      <c r="Q1646" s="77"/>
      <c r="R1646" s="77"/>
    </row>
    <row r="1647" spans="1:18">
      <c r="A1647" s="77"/>
      <c r="B1647" s="77"/>
      <c r="C1647" s="77"/>
      <c r="D1647" s="77"/>
      <c r="E1647" s="77"/>
      <c r="F1647" s="77"/>
      <c r="G1647" s="77"/>
      <c r="H1647" s="77"/>
      <c r="I1647" s="77"/>
      <c r="J1647" s="77"/>
      <c r="K1647" s="77"/>
      <c r="L1647" s="77"/>
      <c r="M1647" s="77"/>
      <c r="N1647" s="77"/>
      <c r="O1647" s="77"/>
      <c r="P1647" s="77"/>
      <c r="Q1647" s="77"/>
      <c r="R1647" s="77"/>
    </row>
    <row r="1648" spans="1:18">
      <c r="A1648" s="77"/>
      <c r="B1648" s="77"/>
      <c r="C1648" s="77"/>
      <c r="D1648" s="77"/>
      <c r="E1648" s="77"/>
      <c r="F1648" s="77"/>
      <c r="G1648" s="77"/>
      <c r="H1648" s="77"/>
      <c r="I1648" s="77"/>
      <c r="J1648" s="77"/>
      <c r="K1648" s="77"/>
      <c r="L1648" s="77"/>
      <c r="M1648" s="77"/>
      <c r="N1648" s="77"/>
      <c r="O1648" s="77"/>
      <c r="P1648" s="77"/>
      <c r="Q1648" s="77"/>
      <c r="R1648" s="77"/>
    </row>
    <row r="1649" spans="1:18">
      <c r="A1649" s="77"/>
      <c r="B1649" s="77"/>
      <c r="C1649" s="77"/>
      <c r="D1649" s="77"/>
      <c r="E1649" s="77"/>
      <c r="F1649" s="77"/>
      <c r="G1649" s="77"/>
      <c r="H1649" s="77"/>
      <c r="I1649" s="77"/>
      <c r="J1649" s="77"/>
      <c r="K1649" s="77"/>
      <c r="L1649" s="77"/>
      <c r="M1649" s="77"/>
      <c r="N1649" s="77"/>
      <c r="O1649" s="77"/>
      <c r="P1649" s="77"/>
      <c r="Q1649" s="77"/>
      <c r="R1649" s="77"/>
    </row>
    <row r="1650" spans="1:18">
      <c r="A1650" s="77"/>
      <c r="B1650" s="77"/>
      <c r="C1650" s="77"/>
      <c r="D1650" s="77"/>
      <c r="E1650" s="77"/>
      <c r="F1650" s="77"/>
      <c r="G1650" s="77"/>
      <c r="H1650" s="77"/>
      <c r="I1650" s="77"/>
      <c r="J1650" s="77"/>
      <c r="K1650" s="77"/>
      <c r="L1650" s="77"/>
      <c r="M1650" s="77"/>
      <c r="N1650" s="77"/>
      <c r="O1650" s="77"/>
      <c r="P1650" s="77"/>
      <c r="Q1650" s="77"/>
      <c r="R1650" s="77"/>
    </row>
    <row r="1651" spans="1:18">
      <c r="A1651" s="77"/>
      <c r="B1651" s="77"/>
      <c r="C1651" s="77"/>
      <c r="D1651" s="77"/>
      <c r="E1651" s="77"/>
      <c r="F1651" s="77"/>
      <c r="G1651" s="77"/>
      <c r="H1651" s="77"/>
      <c r="I1651" s="77"/>
      <c r="J1651" s="77"/>
      <c r="K1651" s="77"/>
      <c r="L1651" s="77"/>
      <c r="M1651" s="77"/>
      <c r="N1651" s="77"/>
      <c r="O1651" s="77"/>
      <c r="P1651" s="77"/>
      <c r="Q1651" s="77"/>
      <c r="R1651" s="77"/>
    </row>
    <row r="1652" spans="1:18">
      <c r="A1652" s="77"/>
      <c r="B1652" s="77"/>
      <c r="C1652" s="77"/>
      <c r="D1652" s="77"/>
      <c r="E1652" s="77"/>
      <c r="F1652" s="77"/>
      <c r="G1652" s="77"/>
      <c r="H1652" s="77"/>
      <c r="I1652" s="77"/>
      <c r="J1652" s="77"/>
      <c r="K1652" s="77"/>
      <c r="L1652" s="77"/>
      <c r="M1652" s="77"/>
      <c r="N1652" s="77"/>
      <c r="O1652" s="77"/>
      <c r="P1652" s="77"/>
      <c r="Q1652" s="77"/>
      <c r="R1652" s="77"/>
    </row>
    <row r="1653" spans="1:18">
      <c r="A1653" s="77"/>
      <c r="B1653" s="77"/>
      <c r="C1653" s="77"/>
      <c r="D1653" s="77"/>
      <c r="E1653" s="77"/>
      <c r="F1653" s="77"/>
      <c r="G1653" s="77"/>
      <c r="H1653" s="77"/>
      <c r="I1653" s="77"/>
      <c r="J1653" s="77"/>
      <c r="K1653" s="77"/>
      <c r="L1653" s="77"/>
      <c r="M1653" s="77"/>
      <c r="N1653" s="77"/>
      <c r="O1653" s="77"/>
      <c r="P1653" s="77"/>
      <c r="Q1653" s="77"/>
      <c r="R1653" s="77"/>
    </row>
    <row r="1654" spans="1:18">
      <c r="A1654" s="77"/>
      <c r="B1654" s="77"/>
      <c r="C1654" s="77"/>
      <c r="D1654" s="77"/>
      <c r="E1654" s="77"/>
      <c r="F1654" s="77"/>
      <c r="G1654" s="77"/>
      <c r="H1654" s="77"/>
      <c r="I1654" s="77"/>
      <c r="J1654" s="77"/>
      <c r="K1654" s="77"/>
      <c r="L1654" s="77"/>
      <c r="M1654" s="77"/>
      <c r="N1654" s="77"/>
      <c r="O1654" s="77"/>
      <c r="P1654" s="77"/>
      <c r="Q1654" s="77"/>
      <c r="R1654" s="77"/>
    </row>
    <row r="1655" spans="1:18">
      <c r="A1655" s="77"/>
      <c r="B1655" s="77"/>
      <c r="C1655" s="77"/>
      <c r="D1655" s="77"/>
      <c r="E1655" s="77"/>
      <c r="F1655" s="77"/>
      <c r="G1655" s="77"/>
      <c r="H1655" s="77"/>
      <c r="I1655" s="77"/>
      <c r="J1655" s="77"/>
      <c r="K1655" s="77"/>
      <c r="L1655" s="77"/>
      <c r="M1655" s="77"/>
      <c r="N1655" s="77"/>
      <c r="O1655" s="77"/>
      <c r="P1655" s="77"/>
      <c r="Q1655" s="77"/>
      <c r="R1655" s="77"/>
    </row>
    <row r="1656" spans="1:18">
      <c r="A1656" s="77"/>
      <c r="B1656" s="77"/>
      <c r="C1656" s="77"/>
      <c r="D1656" s="77"/>
      <c r="E1656" s="77"/>
      <c r="F1656" s="77"/>
      <c r="G1656" s="77"/>
      <c r="H1656" s="77"/>
      <c r="I1656" s="77"/>
      <c r="J1656" s="77"/>
      <c r="K1656" s="77"/>
      <c r="L1656" s="77"/>
      <c r="M1656" s="77"/>
      <c r="N1656" s="77"/>
      <c r="O1656" s="77"/>
      <c r="P1656" s="77"/>
      <c r="Q1656" s="77"/>
      <c r="R1656" s="77"/>
    </row>
    <row r="1657" spans="1:18">
      <c r="A1657" s="77"/>
      <c r="B1657" s="77"/>
      <c r="C1657" s="77"/>
      <c r="D1657" s="77"/>
      <c r="E1657" s="77"/>
      <c r="F1657" s="77"/>
      <c r="G1657" s="77"/>
      <c r="H1657" s="77"/>
      <c r="I1657" s="77"/>
      <c r="J1657" s="77"/>
      <c r="K1657" s="77"/>
      <c r="L1657" s="77"/>
      <c r="M1657" s="77"/>
      <c r="N1657" s="77"/>
      <c r="O1657" s="77"/>
      <c r="P1657" s="77"/>
      <c r="Q1657" s="77"/>
      <c r="R1657" s="77"/>
    </row>
    <row r="1658" spans="1:18">
      <c r="A1658" s="77"/>
      <c r="B1658" s="77"/>
      <c r="C1658" s="77"/>
      <c r="D1658" s="77"/>
      <c r="E1658" s="77"/>
      <c r="F1658" s="77"/>
      <c r="G1658" s="77"/>
      <c r="H1658" s="77"/>
      <c r="I1658" s="77"/>
      <c r="J1658" s="77"/>
      <c r="K1658" s="77"/>
      <c r="L1658" s="77"/>
      <c r="M1658" s="77"/>
      <c r="N1658" s="77"/>
      <c r="O1658" s="77"/>
      <c r="P1658" s="77"/>
      <c r="Q1658" s="77"/>
      <c r="R1658" s="77"/>
    </row>
    <row r="1659" spans="1:18">
      <c r="A1659" s="77"/>
      <c r="B1659" s="77"/>
      <c r="C1659" s="77"/>
      <c r="D1659" s="77"/>
      <c r="E1659" s="77"/>
      <c r="F1659" s="77"/>
      <c r="G1659" s="77"/>
      <c r="H1659" s="77"/>
      <c r="I1659" s="77"/>
      <c r="J1659" s="77"/>
      <c r="K1659" s="77"/>
      <c r="L1659" s="77"/>
      <c r="M1659" s="77"/>
      <c r="N1659" s="77"/>
      <c r="O1659" s="77"/>
      <c r="P1659" s="77"/>
      <c r="Q1659" s="77"/>
      <c r="R1659" s="77"/>
    </row>
    <row r="1660" spans="1:18">
      <c r="A1660" s="77"/>
      <c r="B1660" s="77"/>
      <c r="C1660" s="77"/>
      <c r="D1660" s="77"/>
      <c r="E1660" s="77"/>
      <c r="F1660" s="77"/>
      <c r="G1660" s="77"/>
      <c r="H1660" s="77"/>
      <c r="I1660" s="77"/>
      <c r="J1660" s="77"/>
      <c r="K1660" s="77"/>
      <c r="L1660" s="77"/>
      <c r="M1660" s="77"/>
      <c r="N1660" s="77"/>
      <c r="O1660" s="77"/>
      <c r="P1660" s="77"/>
      <c r="Q1660" s="77"/>
      <c r="R1660" s="77"/>
    </row>
    <row r="1661" spans="1:18">
      <c r="A1661" s="77"/>
      <c r="B1661" s="77"/>
      <c r="C1661" s="77"/>
      <c r="D1661" s="77"/>
      <c r="E1661" s="77"/>
      <c r="F1661" s="77"/>
      <c r="G1661" s="77"/>
      <c r="H1661" s="77"/>
      <c r="I1661" s="77"/>
      <c r="J1661" s="77"/>
      <c r="K1661" s="77"/>
      <c r="L1661" s="77"/>
      <c r="M1661" s="77"/>
      <c r="N1661" s="77"/>
      <c r="O1661" s="77"/>
      <c r="P1661" s="77"/>
      <c r="Q1661" s="77"/>
      <c r="R1661" s="77"/>
    </row>
    <row r="1662" spans="1:18">
      <c r="A1662" s="77"/>
      <c r="B1662" s="77"/>
      <c r="C1662" s="77"/>
      <c r="D1662" s="77"/>
      <c r="E1662" s="77"/>
      <c r="F1662" s="77"/>
      <c r="G1662" s="77"/>
      <c r="H1662" s="77"/>
      <c r="I1662" s="77"/>
      <c r="J1662" s="77"/>
      <c r="K1662" s="77"/>
      <c r="L1662" s="77"/>
      <c r="M1662" s="77"/>
      <c r="N1662" s="77"/>
      <c r="O1662" s="77"/>
      <c r="P1662" s="77"/>
      <c r="Q1662" s="77"/>
      <c r="R1662" s="77"/>
    </row>
    <row r="1663" spans="1:18">
      <c r="A1663" s="77"/>
      <c r="B1663" s="77"/>
      <c r="C1663" s="77"/>
      <c r="D1663" s="77"/>
      <c r="E1663" s="77"/>
      <c r="F1663" s="77"/>
      <c r="G1663" s="77"/>
      <c r="H1663" s="77"/>
      <c r="I1663" s="77"/>
      <c r="J1663" s="77"/>
      <c r="K1663" s="77"/>
      <c r="L1663" s="77"/>
      <c r="M1663" s="77"/>
      <c r="N1663" s="77"/>
      <c r="O1663" s="77"/>
      <c r="P1663" s="77"/>
      <c r="Q1663" s="77"/>
      <c r="R1663" s="77"/>
    </row>
    <row r="1664" spans="1:18">
      <c r="A1664" s="77"/>
      <c r="B1664" s="77"/>
      <c r="C1664" s="77"/>
      <c r="D1664" s="77"/>
      <c r="E1664" s="77"/>
      <c r="F1664" s="77"/>
      <c r="G1664" s="77"/>
      <c r="H1664" s="77"/>
      <c r="I1664" s="77"/>
      <c r="J1664" s="77"/>
      <c r="K1664" s="77"/>
      <c r="L1664" s="77"/>
      <c r="M1664" s="77"/>
      <c r="N1664" s="77"/>
      <c r="O1664" s="77"/>
      <c r="P1664" s="77"/>
      <c r="Q1664" s="77"/>
      <c r="R1664" s="77"/>
    </row>
    <row r="1665" spans="1:18">
      <c r="A1665" s="77"/>
      <c r="B1665" s="77"/>
      <c r="C1665" s="77"/>
      <c r="D1665" s="77"/>
      <c r="E1665" s="77"/>
      <c r="F1665" s="77"/>
      <c r="G1665" s="77"/>
      <c r="H1665" s="77"/>
      <c r="I1665" s="77"/>
      <c r="J1665" s="77"/>
      <c r="K1665" s="77"/>
      <c r="L1665" s="77"/>
      <c r="M1665" s="77"/>
      <c r="N1665" s="77"/>
      <c r="O1665" s="77"/>
      <c r="P1665" s="77"/>
      <c r="Q1665" s="77"/>
      <c r="R1665" s="77"/>
    </row>
    <row r="1666" spans="1:18">
      <c r="A1666" s="77"/>
      <c r="B1666" s="77"/>
      <c r="C1666" s="77"/>
      <c r="D1666" s="77"/>
      <c r="E1666" s="77"/>
      <c r="F1666" s="77"/>
      <c r="G1666" s="77"/>
      <c r="H1666" s="77"/>
      <c r="I1666" s="77"/>
      <c r="J1666" s="77"/>
      <c r="K1666" s="77"/>
      <c r="L1666" s="77"/>
      <c r="M1666" s="77"/>
      <c r="N1666" s="77"/>
      <c r="O1666" s="77"/>
      <c r="P1666" s="77"/>
      <c r="Q1666" s="77"/>
      <c r="R1666" s="77"/>
    </row>
    <row r="1667" spans="1:18">
      <c r="A1667" s="77"/>
      <c r="B1667" s="77"/>
      <c r="C1667" s="77"/>
      <c r="D1667" s="77"/>
      <c r="E1667" s="77"/>
      <c r="F1667" s="77"/>
      <c r="G1667" s="77"/>
      <c r="H1667" s="77"/>
      <c r="I1667" s="77"/>
      <c r="J1667" s="77"/>
      <c r="K1667" s="77"/>
      <c r="L1667" s="77"/>
      <c r="M1667" s="77"/>
      <c r="N1667" s="77"/>
      <c r="O1667" s="77"/>
      <c r="P1667" s="77"/>
      <c r="Q1667" s="77"/>
      <c r="R1667" s="77"/>
    </row>
    <row r="1668" spans="1:18">
      <c r="A1668" s="77"/>
      <c r="B1668" s="77"/>
      <c r="C1668" s="77"/>
      <c r="D1668" s="77"/>
      <c r="E1668" s="77"/>
      <c r="F1668" s="77"/>
      <c r="G1668" s="77"/>
      <c r="H1668" s="77"/>
      <c r="I1668" s="77"/>
      <c r="J1668" s="77"/>
      <c r="K1668" s="77"/>
      <c r="L1668" s="77"/>
      <c r="M1668" s="77"/>
      <c r="N1668" s="77"/>
      <c r="O1668" s="77"/>
      <c r="P1668" s="77"/>
      <c r="Q1668" s="77"/>
      <c r="R1668" s="77"/>
    </row>
    <row r="1669" spans="1:18">
      <c r="A1669" s="77"/>
      <c r="B1669" s="77"/>
      <c r="C1669" s="77"/>
      <c r="D1669" s="77"/>
      <c r="E1669" s="77"/>
      <c r="F1669" s="77"/>
      <c r="G1669" s="77"/>
      <c r="H1669" s="77"/>
      <c r="I1669" s="77"/>
      <c r="J1669" s="77"/>
      <c r="K1669" s="77"/>
      <c r="L1669" s="77"/>
      <c r="M1669" s="77"/>
      <c r="N1669" s="77"/>
      <c r="O1669" s="77"/>
      <c r="P1669" s="77"/>
      <c r="Q1669" s="77"/>
      <c r="R1669" s="77"/>
    </row>
    <row r="1670" spans="1:18">
      <c r="A1670" s="77"/>
      <c r="B1670" s="77"/>
      <c r="C1670" s="77"/>
      <c r="D1670" s="77"/>
      <c r="E1670" s="77"/>
      <c r="F1670" s="77"/>
      <c r="G1670" s="77"/>
      <c r="H1670" s="77"/>
      <c r="I1670" s="77"/>
      <c r="J1670" s="77"/>
      <c r="K1670" s="77"/>
      <c r="L1670" s="77"/>
      <c r="M1670" s="77"/>
      <c r="N1670" s="77"/>
      <c r="O1670" s="77"/>
      <c r="P1670" s="77"/>
      <c r="Q1670" s="77"/>
      <c r="R1670" s="77"/>
    </row>
    <row r="1671" spans="1:18">
      <c r="A1671" s="77"/>
      <c r="B1671" s="77"/>
      <c r="C1671" s="77"/>
      <c r="D1671" s="77"/>
      <c r="E1671" s="77"/>
      <c r="F1671" s="77"/>
      <c r="G1671" s="77"/>
      <c r="H1671" s="77"/>
      <c r="I1671" s="77"/>
      <c r="J1671" s="77"/>
      <c r="K1671" s="77"/>
      <c r="L1671" s="77"/>
      <c r="M1671" s="77"/>
      <c r="N1671" s="77"/>
      <c r="O1671" s="77"/>
      <c r="P1671" s="77"/>
      <c r="Q1671" s="77"/>
      <c r="R1671" s="77"/>
    </row>
    <row r="1672" spans="1:18">
      <c r="A1672" s="77"/>
      <c r="B1672" s="77"/>
      <c r="C1672" s="77"/>
      <c r="D1672" s="77"/>
      <c r="E1672" s="77"/>
      <c r="F1672" s="77"/>
      <c r="G1672" s="77"/>
      <c r="H1672" s="77"/>
      <c r="I1672" s="77"/>
      <c r="J1672" s="77"/>
      <c r="K1672" s="77"/>
      <c r="L1672" s="77"/>
      <c r="M1672" s="77"/>
      <c r="N1672" s="77"/>
      <c r="O1672" s="77"/>
      <c r="P1672" s="77"/>
      <c r="Q1672" s="77"/>
      <c r="R1672" s="77"/>
    </row>
    <row r="1673" spans="1:18">
      <c r="A1673" s="77"/>
      <c r="B1673" s="77"/>
      <c r="C1673" s="77"/>
      <c r="D1673" s="77"/>
      <c r="E1673" s="77"/>
      <c r="F1673" s="77"/>
      <c r="G1673" s="77"/>
      <c r="H1673" s="77"/>
      <c r="I1673" s="77"/>
      <c r="J1673" s="77"/>
      <c r="K1673" s="77"/>
      <c r="L1673" s="77"/>
      <c r="M1673" s="77"/>
      <c r="N1673" s="77"/>
      <c r="O1673" s="77"/>
      <c r="P1673" s="77"/>
      <c r="Q1673" s="77"/>
      <c r="R1673" s="77"/>
    </row>
    <row r="1674" spans="1:18">
      <c r="A1674" s="77"/>
      <c r="B1674" s="77"/>
      <c r="C1674" s="77"/>
      <c r="D1674" s="77"/>
      <c r="E1674" s="77"/>
      <c r="F1674" s="77"/>
      <c r="G1674" s="77"/>
      <c r="H1674" s="77"/>
      <c r="I1674" s="77"/>
      <c r="J1674" s="77"/>
      <c r="K1674" s="77"/>
      <c r="L1674" s="77"/>
      <c r="M1674" s="77"/>
      <c r="N1674" s="77"/>
      <c r="O1674" s="77"/>
      <c r="P1674" s="77"/>
      <c r="Q1674" s="77"/>
      <c r="R1674" s="77"/>
    </row>
    <row r="1675" spans="1:18">
      <c r="A1675" s="77"/>
      <c r="B1675" s="77"/>
      <c r="C1675" s="77"/>
      <c r="D1675" s="77"/>
      <c r="E1675" s="77"/>
      <c r="F1675" s="77"/>
      <c r="G1675" s="77"/>
      <c r="H1675" s="77"/>
      <c r="I1675" s="77"/>
      <c r="J1675" s="77"/>
      <c r="K1675" s="77"/>
      <c r="L1675" s="77"/>
      <c r="M1675" s="77"/>
      <c r="N1675" s="77"/>
      <c r="O1675" s="77"/>
      <c r="P1675" s="77"/>
      <c r="Q1675" s="77"/>
      <c r="R1675" s="77"/>
    </row>
    <row r="1676" spans="1:18">
      <c r="A1676" s="77"/>
      <c r="B1676" s="77"/>
      <c r="C1676" s="77"/>
      <c r="D1676" s="77"/>
      <c r="E1676" s="77"/>
      <c r="F1676" s="77"/>
      <c r="G1676" s="77"/>
      <c r="H1676" s="77"/>
      <c r="I1676" s="77"/>
      <c r="J1676" s="77"/>
      <c r="K1676" s="77"/>
      <c r="L1676" s="77"/>
      <c r="M1676" s="77"/>
      <c r="N1676" s="77"/>
      <c r="O1676" s="77"/>
      <c r="P1676" s="77"/>
      <c r="Q1676" s="77"/>
      <c r="R1676" s="77"/>
    </row>
    <row r="1677" spans="1:18">
      <c r="A1677" s="77"/>
      <c r="B1677" s="77"/>
      <c r="C1677" s="77"/>
      <c r="D1677" s="77"/>
      <c r="E1677" s="77"/>
      <c r="F1677" s="77"/>
      <c r="G1677" s="77"/>
      <c r="H1677" s="77"/>
      <c r="I1677" s="77"/>
      <c r="J1677" s="77"/>
      <c r="K1677" s="77"/>
      <c r="L1677" s="77"/>
      <c r="M1677" s="77"/>
      <c r="N1677" s="77"/>
      <c r="O1677" s="77"/>
      <c r="P1677" s="77"/>
      <c r="Q1677" s="77"/>
      <c r="R1677" s="77"/>
    </row>
    <row r="1678" spans="1:18">
      <c r="A1678" s="77"/>
      <c r="B1678" s="77"/>
      <c r="C1678" s="77"/>
      <c r="D1678" s="77"/>
      <c r="E1678" s="77"/>
      <c r="F1678" s="77"/>
      <c r="G1678" s="77"/>
      <c r="H1678" s="77"/>
      <c r="I1678" s="77"/>
      <c r="J1678" s="77"/>
      <c r="K1678" s="77"/>
      <c r="L1678" s="77"/>
      <c r="M1678" s="77"/>
      <c r="N1678" s="77"/>
      <c r="O1678" s="77"/>
      <c r="P1678" s="77"/>
      <c r="Q1678" s="77"/>
      <c r="R1678" s="77"/>
    </row>
    <row r="1679" spans="1:18">
      <c r="A1679" s="77"/>
      <c r="B1679" s="77"/>
      <c r="C1679" s="77"/>
      <c r="D1679" s="77"/>
      <c r="E1679" s="77"/>
      <c r="F1679" s="77"/>
      <c r="G1679" s="77"/>
      <c r="H1679" s="77"/>
      <c r="I1679" s="77"/>
      <c r="J1679" s="77"/>
      <c r="K1679" s="77"/>
      <c r="L1679" s="77"/>
      <c r="M1679" s="77"/>
      <c r="N1679" s="77"/>
      <c r="O1679" s="77"/>
      <c r="P1679" s="77"/>
      <c r="Q1679" s="77"/>
      <c r="R1679" s="77"/>
    </row>
    <row r="1680" spans="1:18">
      <c r="A1680" s="77"/>
      <c r="B1680" s="77"/>
      <c r="C1680" s="77"/>
      <c r="D1680" s="77"/>
      <c r="E1680" s="77"/>
      <c r="F1680" s="77"/>
      <c r="G1680" s="77"/>
      <c r="H1680" s="77"/>
      <c r="I1680" s="77"/>
      <c r="J1680" s="77"/>
      <c r="K1680" s="77"/>
      <c r="L1680" s="77"/>
      <c r="M1680" s="77"/>
      <c r="N1680" s="77"/>
      <c r="O1680" s="77"/>
      <c r="P1680" s="77"/>
      <c r="Q1680" s="77"/>
      <c r="R1680" s="77"/>
    </row>
    <row r="1681" spans="1:18">
      <c r="A1681" s="77"/>
      <c r="B1681" s="77"/>
      <c r="C1681" s="77"/>
      <c r="D1681" s="77"/>
      <c r="E1681" s="77"/>
      <c r="F1681" s="77"/>
      <c r="G1681" s="77"/>
      <c r="H1681" s="77"/>
      <c r="I1681" s="77"/>
      <c r="J1681" s="77"/>
      <c r="K1681" s="77"/>
      <c r="L1681" s="77"/>
      <c r="M1681" s="77"/>
      <c r="N1681" s="77"/>
      <c r="O1681" s="77"/>
      <c r="P1681" s="77"/>
      <c r="Q1681" s="77"/>
      <c r="R1681" s="77"/>
    </row>
    <row r="1682" spans="1:18">
      <c r="A1682" s="77"/>
      <c r="B1682" s="77"/>
      <c r="C1682" s="77"/>
      <c r="D1682" s="77"/>
      <c r="E1682" s="77"/>
      <c r="F1682" s="77"/>
      <c r="G1682" s="77"/>
      <c r="H1682" s="77"/>
      <c r="I1682" s="77"/>
      <c r="J1682" s="77"/>
      <c r="K1682" s="77"/>
      <c r="L1682" s="77"/>
      <c r="M1682" s="77"/>
      <c r="N1682" s="77"/>
      <c r="O1682" s="77"/>
      <c r="P1682" s="77"/>
      <c r="Q1682" s="77"/>
      <c r="R1682" s="77"/>
    </row>
    <row r="1683" spans="1:18">
      <c r="A1683" s="77"/>
      <c r="B1683" s="77"/>
      <c r="C1683" s="77"/>
      <c r="D1683" s="77"/>
      <c r="E1683" s="77"/>
      <c r="F1683" s="77"/>
      <c r="G1683" s="77"/>
      <c r="H1683" s="77"/>
      <c r="I1683" s="77"/>
      <c r="J1683" s="77"/>
      <c r="K1683" s="77"/>
      <c r="L1683" s="77"/>
      <c r="M1683" s="77"/>
      <c r="N1683" s="77"/>
      <c r="O1683" s="77"/>
      <c r="P1683" s="77"/>
      <c r="Q1683" s="77"/>
      <c r="R1683" s="77"/>
    </row>
    <row r="1684" spans="1:18">
      <c r="A1684" s="77"/>
      <c r="B1684" s="77"/>
      <c r="C1684" s="77"/>
      <c r="D1684" s="77"/>
      <c r="E1684" s="77"/>
      <c r="F1684" s="77"/>
      <c r="G1684" s="77"/>
      <c r="H1684" s="77"/>
      <c r="I1684" s="77"/>
      <c r="J1684" s="77"/>
      <c r="K1684" s="77"/>
      <c r="L1684" s="77"/>
      <c r="M1684" s="77"/>
      <c r="N1684" s="77"/>
      <c r="O1684" s="77"/>
      <c r="P1684" s="77"/>
      <c r="Q1684" s="77"/>
      <c r="R1684" s="77"/>
    </row>
    <row r="1685" spans="1:18">
      <c r="A1685" s="77"/>
      <c r="B1685" s="77"/>
      <c r="C1685" s="77"/>
      <c r="D1685" s="77"/>
      <c r="E1685" s="77"/>
      <c r="F1685" s="77"/>
      <c r="G1685" s="77"/>
      <c r="H1685" s="77"/>
      <c r="I1685" s="77"/>
      <c r="J1685" s="77"/>
      <c r="K1685" s="77"/>
      <c r="L1685" s="77"/>
      <c r="M1685" s="77"/>
      <c r="N1685" s="77"/>
      <c r="O1685" s="77"/>
      <c r="P1685" s="77"/>
      <c r="Q1685" s="77"/>
      <c r="R1685" s="77"/>
    </row>
    <row r="1686" spans="1:18">
      <c r="A1686" s="77"/>
      <c r="B1686" s="77"/>
      <c r="C1686" s="77"/>
      <c r="D1686" s="77"/>
      <c r="E1686" s="77"/>
      <c r="F1686" s="77"/>
      <c r="G1686" s="77"/>
      <c r="H1686" s="77"/>
      <c r="I1686" s="77"/>
      <c r="J1686" s="77"/>
      <c r="K1686" s="77"/>
      <c r="L1686" s="77"/>
      <c r="M1686" s="77"/>
      <c r="N1686" s="77"/>
      <c r="O1686" s="77"/>
      <c r="P1686" s="77"/>
      <c r="Q1686" s="77"/>
      <c r="R1686" s="77"/>
    </row>
    <row r="1687" spans="1:18">
      <c r="A1687" s="77"/>
      <c r="B1687" s="77"/>
      <c r="C1687" s="77"/>
      <c r="D1687" s="77"/>
      <c r="E1687" s="77"/>
      <c r="F1687" s="77"/>
      <c r="G1687" s="77"/>
      <c r="H1687" s="77"/>
      <c r="I1687" s="77"/>
      <c r="J1687" s="77"/>
      <c r="K1687" s="77"/>
      <c r="L1687" s="77"/>
      <c r="M1687" s="77"/>
      <c r="N1687" s="77"/>
      <c r="O1687" s="77"/>
      <c r="P1687" s="77"/>
      <c r="Q1687" s="77"/>
      <c r="R1687" s="77"/>
    </row>
    <row r="1688" spans="1:18">
      <c r="A1688" s="77"/>
      <c r="B1688" s="77"/>
      <c r="C1688" s="77"/>
      <c r="D1688" s="77"/>
      <c r="E1688" s="77"/>
      <c r="F1688" s="77"/>
      <c r="G1688" s="77"/>
      <c r="H1688" s="77"/>
      <c r="I1688" s="77"/>
      <c r="J1688" s="77"/>
      <c r="K1688" s="77"/>
      <c r="L1688" s="77"/>
      <c r="M1688" s="77"/>
      <c r="N1688" s="77"/>
      <c r="O1688" s="77"/>
      <c r="P1688" s="77"/>
      <c r="Q1688" s="77"/>
      <c r="R1688" s="77"/>
    </row>
    <row r="1689" spans="1:18">
      <c r="A1689" s="77"/>
      <c r="B1689" s="77"/>
      <c r="C1689" s="77"/>
      <c r="D1689" s="77"/>
      <c r="E1689" s="77"/>
      <c r="F1689" s="77"/>
      <c r="G1689" s="77"/>
      <c r="H1689" s="77"/>
      <c r="I1689" s="77"/>
      <c r="J1689" s="77"/>
      <c r="K1689" s="77"/>
      <c r="L1689" s="77"/>
      <c r="M1689" s="77"/>
      <c r="N1689" s="77"/>
      <c r="O1689" s="77"/>
      <c r="P1689" s="77"/>
      <c r="Q1689" s="77"/>
      <c r="R1689" s="77"/>
    </row>
    <row r="1690" spans="1:18">
      <c r="A1690" s="77"/>
      <c r="B1690" s="77"/>
      <c r="C1690" s="77"/>
      <c r="D1690" s="77"/>
      <c r="E1690" s="77"/>
      <c r="F1690" s="77"/>
      <c r="G1690" s="77"/>
      <c r="H1690" s="77"/>
      <c r="I1690" s="77"/>
      <c r="J1690" s="77"/>
      <c r="K1690" s="77"/>
      <c r="L1690" s="77"/>
      <c r="M1690" s="77"/>
      <c r="N1690" s="77"/>
      <c r="O1690" s="77"/>
      <c r="P1690" s="77"/>
      <c r="Q1690" s="77"/>
      <c r="R1690" s="77"/>
    </row>
    <row r="1691" spans="1:18">
      <c r="A1691" s="77"/>
      <c r="B1691" s="77"/>
      <c r="C1691" s="77"/>
      <c r="D1691" s="77"/>
      <c r="E1691" s="77"/>
      <c r="F1691" s="77"/>
      <c r="G1691" s="77"/>
      <c r="H1691" s="77"/>
      <c r="I1691" s="77"/>
      <c r="J1691" s="77"/>
      <c r="K1691" s="77"/>
      <c r="L1691" s="77"/>
      <c r="M1691" s="77"/>
      <c r="N1691" s="77"/>
      <c r="O1691" s="77"/>
      <c r="P1691" s="77"/>
      <c r="Q1691" s="77"/>
      <c r="R1691" s="77"/>
    </row>
    <row r="1692" spans="1:18">
      <c r="A1692" s="77"/>
      <c r="B1692" s="77"/>
      <c r="C1692" s="77"/>
      <c r="D1692" s="77"/>
      <c r="E1692" s="77"/>
      <c r="F1692" s="77"/>
      <c r="G1692" s="77"/>
      <c r="H1692" s="77"/>
      <c r="I1692" s="77"/>
      <c r="J1692" s="77"/>
      <c r="K1692" s="77"/>
      <c r="L1692" s="77"/>
      <c r="M1692" s="77"/>
      <c r="N1692" s="77"/>
      <c r="O1692" s="77"/>
      <c r="P1692" s="77"/>
      <c r="Q1692" s="77"/>
      <c r="R1692" s="77"/>
    </row>
    <row r="1693" spans="1:18">
      <c r="A1693" s="77"/>
      <c r="B1693" s="77"/>
      <c r="C1693" s="77"/>
      <c r="D1693" s="77"/>
      <c r="E1693" s="77"/>
      <c r="F1693" s="77"/>
      <c r="G1693" s="77"/>
      <c r="H1693" s="77"/>
      <c r="I1693" s="77"/>
      <c r="J1693" s="77"/>
      <c r="K1693" s="77"/>
      <c r="L1693" s="77"/>
      <c r="M1693" s="77"/>
      <c r="N1693" s="77"/>
      <c r="O1693" s="77"/>
      <c r="P1693" s="77"/>
      <c r="Q1693" s="77"/>
      <c r="R1693" s="77"/>
    </row>
    <row r="1694" spans="1:18">
      <c r="A1694" s="77"/>
      <c r="B1694" s="77"/>
      <c r="C1694" s="77"/>
      <c r="D1694" s="77"/>
      <c r="E1694" s="77"/>
      <c r="F1694" s="77"/>
      <c r="G1694" s="77"/>
      <c r="H1694" s="77"/>
      <c r="I1694" s="77"/>
      <c r="J1694" s="77"/>
      <c r="K1694" s="77"/>
      <c r="L1694" s="77"/>
      <c r="M1694" s="77"/>
      <c r="N1694" s="77"/>
      <c r="O1694" s="77"/>
      <c r="P1694" s="77"/>
      <c r="Q1694" s="77"/>
      <c r="R1694" s="77"/>
    </row>
    <row r="1695" spans="1:18">
      <c r="A1695" s="77"/>
      <c r="B1695" s="77"/>
      <c r="C1695" s="77"/>
      <c r="D1695" s="77"/>
      <c r="E1695" s="77"/>
      <c r="F1695" s="77"/>
      <c r="G1695" s="77"/>
      <c r="H1695" s="77"/>
      <c r="I1695" s="77"/>
      <c r="J1695" s="77"/>
      <c r="K1695" s="77"/>
      <c r="L1695" s="77"/>
      <c r="M1695" s="77"/>
      <c r="N1695" s="77"/>
      <c r="O1695" s="77"/>
      <c r="P1695" s="77"/>
      <c r="Q1695" s="77"/>
      <c r="R1695" s="77"/>
    </row>
    <row r="1696" spans="1:18">
      <c r="A1696" s="77"/>
      <c r="B1696" s="77"/>
      <c r="C1696" s="77"/>
      <c r="D1696" s="77"/>
      <c r="E1696" s="77"/>
      <c r="F1696" s="77"/>
      <c r="G1696" s="77"/>
      <c r="H1696" s="77"/>
      <c r="I1696" s="77"/>
      <c r="J1696" s="77"/>
      <c r="K1696" s="77"/>
      <c r="L1696" s="77"/>
      <c r="M1696" s="77"/>
      <c r="N1696" s="77"/>
      <c r="O1696" s="77"/>
      <c r="P1696" s="77"/>
      <c r="Q1696" s="77"/>
      <c r="R1696" s="77"/>
    </row>
    <row r="1697" spans="1:18">
      <c r="A1697" s="77"/>
      <c r="B1697" s="77"/>
      <c r="C1697" s="77"/>
      <c r="D1697" s="77"/>
      <c r="E1697" s="77"/>
      <c r="F1697" s="77"/>
      <c r="G1697" s="77"/>
      <c r="H1697" s="77"/>
      <c r="I1697" s="77"/>
      <c r="J1697" s="77"/>
      <c r="K1697" s="77"/>
      <c r="L1697" s="77"/>
      <c r="M1697" s="77"/>
      <c r="N1697" s="77"/>
      <c r="O1697" s="77"/>
      <c r="P1697" s="77"/>
      <c r="Q1697" s="77"/>
      <c r="R1697" s="77"/>
    </row>
    <row r="1698" spans="1:18">
      <c r="A1698" s="77"/>
      <c r="B1698" s="77"/>
      <c r="C1698" s="77"/>
      <c r="D1698" s="77"/>
      <c r="E1698" s="77"/>
      <c r="F1698" s="77"/>
      <c r="G1698" s="77"/>
      <c r="H1698" s="77"/>
      <c r="I1698" s="77"/>
      <c r="J1698" s="77"/>
      <c r="K1698" s="77"/>
      <c r="L1698" s="77"/>
      <c r="M1698" s="77"/>
      <c r="N1698" s="77"/>
      <c r="O1698" s="77"/>
      <c r="P1698" s="77"/>
      <c r="Q1698" s="77"/>
      <c r="R1698" s="77"/>
    </row>
    <row r="1699" spans="1:18">
      <c r="A1699" s="77"/>
      <c r="B1699" s="77"/>
      <c r="C1699" s="77"/>
      <c r="D1699" s="77"/>
      <c r="E1699" s="77"/>
      <c r="F1699" s="77"/>
      <c r="G1699" s="77"/>
      <c r="H1699" s="77"/>
      <c r="I1699" s="77"/>
      <c r="J1699" s="77"/>
      <c r="K1699" s="77"/>
      <c r="L1699" s="77"/>
      <c r="M1699" s="77"/>
      <c r="N1699" s="77"/>
      <c r="O1699" s="77"/>
      <c r="P1699" s="77"/>
      <c r="Q1699" s="77"/>
      <c r="R1699" s="77"/>
    </row>
    <row r="1700" spans="1:18">
      <c r="A1700" s="77"/>
      <c r="B1700" s="77"/>
      <c r="C1700" s="77"/>
      <c r="D1700" s="77"/>
      <c r="E1700" s="77"/>
      <c r="F1700" s="77"/>
      <c r="G1700" s="77"/>
      <c r="H1700" s="77"/>
      <c r="I1700" s="77"/>
      <c r="J1700" s="77"/>
      <c r="K1700" s="77"/>
      <c r="L1700" s="77"/>
      <c r="M1700" s="77"/>
      <c r="N1700" s="77"/>
      <c r="O1700" s="77"/>
      <c r="P1700" s="77"/>
      <c r="Q1700" s="77"/>
      <c r="R1700" s="77"/>
    </row>
    <row r="1701" spans="1:18">
      <c r="A1701" s="77"/>
      <c r="B1701" s="77"/>
      <c r="C1701" s="77"/>
      <c r="D1701" s="77"/>
      <c r="E1701" s="77"/>
      <c r="F1701" s="77"/>
      <c r="G1701" s="77"/>
      <c r="H1701" s="77"/>
      <c r="I1701" s="77"/>
      <c r="J1701" s="77"/>
      <c r="K1701" s="77"/>
      <c r="L1701" s="77"/>
      <c r="M1701" s="77"/>
      <c r="N1701" s="77"/>
      <c r="O1701" s="77"/>
      <c r="P1701" s="77"/>
      <c r="Q1701" s="77"/>
      <c r="R1701" s="77"/>
    </row>
    <row r="1702" spans="1:18">
      <c r="A1702" s="77"/>
      <c r="B1702" s="77"/>
      <c r="C1702" s="77"/>
      <c r="D1702" s="77"/>
      <c r="E1702" s="77"/>
      <c r="F1702" s="77"/>
      <c r="G1702" s="77"/>
      <c r="H1702" s="77"/>
      <c r="I1702" s="77"/>
      <c r="J1702" s="77"/>
      <c r="K1702" s="77"/>
      <c r="L1702" s="77"/>
      <c r="M1702" s="77"/>
      <c r="N1702" s="77"/>
      <c r="O1702" s="77"/>
      <c r="P1702" s="77"/>
      <c r="Q1702" s="77"/>
      <c r="R1702" s="77"/>
    </row>
    <row r="1703" spans="1:18">
      <c r="A1703" s="77"/>
      <c r="B1703" s="77"/>
      <c r="C1703" s="77"/>
      <c r="D1703" s="77"/>
      <c r="E1703" s="77"/>
      <c r="F1703" s="77"/>
      <c r="G1703" s="77"/>
      <c r="H1703" s="77"/>
      <c r="I1703" s="77"/>
      <c r="J1703" s="77"/>
      <c r="K1703" s="77"/>
      <c r="L1703" s="77"/>
      <c r="M1703" s="77"/>
      <c r="N1703" s="77"/>
      <c r="O1703" s="77"/>
      <c r="P1703" s="77"/>
      <c r="Q1703" s="77"/>
      <c r="R1703" s="77"/>
    </row>
    <row r="1704" spans="1:18">
      <c r="A1704" s="77"/>
      <c r="B1704" s="77"/>
      <c r="C1704" s="77"/>
      <c r="D1704" s="77"/>
      <c r="E1704" s="77"/>
      <c r="F1704" s="77"/>
      <c r="G1704" s="77"/>
      <c r="H1704" s="77"/>
      <c r="I1704" s="77"/>
      <c r="J1704" s="77"/>
      <c r="K1704" s="77"/>
      <c r="L1704" s="77"/>
      <c r="M1704" s="77"/>
      <c r="N1704" s="77"/>
      <c r="O1704" s="77"/>
      <c r="P1704" s="77"/>
      <c r="Q1704" s="77"/>
      <c r="R1704" s="77"/>
    </row>
    <row r="1705" spans="1:18">
      <c r="A1705" s="77"/>
      <c r="B1705" s="77"/>
      <c r="C1705" s="77"/>
      <c r="D1705" s="77"/>
      <c r="E1705" s="77"/>
      <c r="F1705" s="77"/>
      <c r="G1705" s="77"/>
      <c r="H1705" s="77"/>
      <c r="I1705" s="77"/>
      <c r="J1705" s="77"/>
      <c r="K1705" s="77"/>
      <c r="L1705" s="77"/>
      <c r="M1705" s="77"/>
      <c r="N1705" s="77"/>
      <c r="O1705" s="77"/>
      <c r="P1705" s="77"/>
      <c r="Q1705" s="77"/>
      <c r="R1705" s="77"/>
    </row>
    <row r="1706" spans="1:18">
      <c r="A1706" s="77"/>
      <c r="B1706" s="77"/>
      <c r="C1706" s="77"/>
      <c r="D1706" s="77"/>
      <c r="E1706" s="77"/>
      <c r="F1706" s="77"/>
      <c r="G1706" s="77"/>
      <c r="H1706" s="77"/>
      <c r="I1706" s="77"/>
      <c r="J1706" s="77"/>
      <c r="K1706" s="77"/>
      <c r="L1706" s="77"/>
      <c r="M1706" s="77"/>
      <c r="N1706" s="77"/>
      <c r="O1706" s="77"/>
      <c r="P1706" s="77"/>
      <c r="Q1706" s="77"/>
      <c r="R1706" s="77"/>
    </row>
    <row r="1707" spans="1:18">
      <c r="A1707" s="77"/>
      <c r="B1707" s="77"/>
      <c r="C1707" s="77"/>
      <c r="D1707" s="77"/>
      <c r="E1707" s="77"/>
      <c r="F1707" s="77"/>
      <c r="G1707" s="77"/>
      <c r="H1707" s="77"/>
      <c r="I1707" s="77"/>
      <c r="J1707" s="77"/>
      <c r="K1707" s="77"/>
      <c r="L1707" s="77"/>
      <c r="M1707" s="77"/>
      <c r="N1707" s="77"/>
      <c r="O1707" s="77"/>
      <c r="P1707" s="77"/>
      <c r="Q1707" s="77"/>
      <c r="R1707" s="77"/>
    </row>
    <row r="1708" spans="1:18">
      <c r="A1708" s="77"/>
      <c r="B1708" s="77"/>
      <c r="C1708" s="77"/>
      <c r="D1708" s="77"/>
      <c r="E1708" s="77"/>
      <c r="F1708" s="77"/>
      <c r="G1708" s="77"/>
      <c r="H1708" s="77"/>
      <c r="I1708" s="77"/>
      <c r="J1708" s="77"/>
      <c r="K1708" s="77"/>
      <c r="L1708" s="77"/>
      <c r="M1708" s="77"/>
      <c r="N1708" s="77"/>
      <c r="O1708" s="77"/>
      <c r="P1708" s="77"/>
      <c r="Q1708" s="77"/>
      <c r="R1708" s="77"/>
    </row>
    <row r="1709" spans="1:18">
      <c r="A1709" s="77"/>
      <c r="B1709" s="77"/>
      <c r="C1709" s="77"/>
      <c r="D1709" s="77"/>
      <c r="E1709" s="77"/>
      <c r="F1709" s="77"/>
      <c r="G1709" s="77"/>
      <c r="H1709" s="77"/>
      <c r="I1709" s="77"/>
      <c r="J1709" s="77"/>
      <c r="K1709" s="77"/>
      <c r="L1709" s="77"/>
      <c r="M1709" s="77"/>
      <c r="N1709" s="77"/>
      <c r="O1709" s="77"/>
      <c r="P1709" s="77"/>
      <c r="Q1709" s="77"/>
      <c r="R1709" s="77"/>
    </row>
    <row r="1710" spans="1:18">
      <c r="A1710" s="77"/>
      <c r="B1710" s="77"/>
      <c r="C1710" s="77"/>
      <c r="D1710" s="77"/>
      <c r="E1710" s="77"/>
      <c r="F1710" s="77"/>
      <c r="G1710" s="77"/>
      <c r="H1710" s="77"/>
      <c r="I1710" s="77"/>
      <c r="J1710" s="77"/>
      <c r="K1710" s="77"/>
      <c r="L1710" s="77"/>
      <c r="M1710" s="77"/>
      <c r="N1710" s="77"/>
      <c r="O1710" s="77"/>
      <c r="P1710" s="77"/>
      <c r="Q1710" s="77"/>
      <c r="R1710" s="77"/>
    </row>
    <row r="1711" spans="1:18">
      <c r="A1711" s="77"/>
      <c r="B1711" s="77"/>
      <c r="C1711" s="77"/>
      <c r="D1711" s="77"/>
      <c r="E1711" s="77"/>
      <c r="F1711" s="77"/>
      <c r="G1711" s="77"/>
      <c r="H1711" s="77"/>
      <c r="I1711" s="77"/>
      <c r="J1711" s="77"/>
      <c r="K1711" s="77"/>
      <c r="L1711" s="77"/>
      <c r="M1711" s="77"/>
      <c r="N1711" s="77"/>
      <c r="O1711" s="77"/>
      <c r="P1711" s="77"/>
      <c r="Q1711" s="77"/>
      <c r="R1711" s="77"/>
    </row>
    <row r="1712" spans="1:18">
      <c r="A1712" s="77"/>
      <c r="B1712" s="77"/>
      <c r="C1712" s="77"/>
      <c r="D1712" s="77"/>
      <c r="E1712" s="77"/>
      <c r="F1712" s="77"/>
      <c r="G1712" s="77"/>
      <c r="H1712" s="77"/>
      <c r="I1712" s="77"/>
      <c r="J1712" s="77"/>
      <c r="K1712" s="77"/>
      <c r="L1712" s="77"/>
      <c r="M1712" s="77"/>
      <c r="N1712" s="77"/>
      <c r="O1712" s="77"/>
      <c r="P1712" s="77"/>
      <c r="Q1712" s="77"/>
      <c r="R1712" s="77"/>
    </row>
    <row r="1713" spans="1:18">
      <c r="A1713" s="77"/>
      <c r="B1713" s="77"/>
      <c r="C1713" s="77"/>
      <c r="D1713" s="77"/>
      <c r="E1713" s="77"/>
      <c r="F1713" s="77"/>
      <c r="G1713" s="77"/>
      <c r="H1713" s="77"/>
      <c r="I1713" s="77"/>
      <c r="J1713" s="77"/>
      <c r="K1713" s="77"/>
      <c r="L1713" s="77"/>
      <c r="M1713" s="77"/>
      <c r="N1713" s="77"/>
      <c r="O1713" s="77"/>
      <c r="P1713" s="77"/>
      <c r="Q1713" s="77"/>
      <c r="R1713" s="77"/>
    </row>
    <row r="1714" spans="1:18">
      <c r="A1714" s="77"/>
      <c r="B1714" s="77"/>
      <c r="C1714" s="77"/>
      <c r="D1714" s="77"/>
      <c r="E1714" s="77"/>
      <c r="F1714" s="77"/>
      <c r="G1714" s="77"/>
      <c r="H1714" s="77"/>
      <c r="I1714" s="77"/>
      <c r="J1714" s="77"/>
      <c r="K1714" s="77"/>
      <c r="L1714" s="77"/>
      <c r="M1714" s="77"/>
      <c r="N1714" s="77"/>
      <c r="O1714" s="77"/>
      <c r="P1714" s="77"/>
      <c r="Q1714" s="77"/>
      <c r="R1714" s="77"/>
    </row>
    <row r="1715" spans="1:18">
      <c r="A1715" s="77"/>
      <c r="B1715" s="77"/>
      <c r="C1715" s="77"/>
      <c r="D1715" s="77"/>
      <c r="E1715" s="77"/>
      <c r="F1715" s="77"/>
      <c r="G1715" s="77"/>
      <c r="H1715" s="77"/>
      <c r="I1715" s="77"/>
      <c r="J1715" s="77"/>
      <c r="K1715" s="77"/>
      <c r="L1715" s="77"/>
      <c r="M1715" s="77"/>
      <c r="N1715" s="77"/>
      <c r="O1715" s="77"/>
      <c r="P1715" s="77"/>
      <c r="Q1715" s="77"/>
      <c r="R1715" s="77"/>
    </row>
    <row r="1716" spans="1:18">
      <c r="A1716" s="77"/>
      <c r="B1716" s="77"/>
      <c r="C1716" s="77"/>
      <c r="D1716" s="77"/>
      <c r="E1716" s="77"/>
      <c r="F1716" s="77"/>
      <c r="G1716" s="77"/>
      <c r="H1716" s="77"/>
      <c r="I1716" s="77"/>
      <c r="J1716" s="77"/>
      <c r="K1716" s="77"/>
      <c r="L1716" s="77"/>
      <c r="M1716" s="77"/>
      <c r="N1716" s="77"/>
      <c r="O1716" s="77"/>
      <c r="P1716" s="77"/>
      <c r="Q1716" s="77"/>
      <c r="R1716" s="77"/>
    </row>
    <row r="1717" spans="1:18">
      <c r="A1717" s="77"/>
      <c r="B1717" s="77"/>
      <c r="C1717" s="77"/>
      <c r="D1717" s="77"/>
      <c r="E1717" s="77"/>
      <c r="F1717" s="77"/>
      <c r="G1717" s="77"/>
      <c r="H1717" s="77"/>
      <c r="I1717" s="77"/>
      <c r="J1717" s="77"/>
      <c r="K1717" s="77"/>
      <c r="L1717" s="77"/>
      <c r="M1717" s="77"/>
      <c r="N1717" s="77"/>
      <c r="O1717" s="77"/>
      <c r="P1717" s="77"/>
      <c r="Q1717" s="77"/>
      <c r="R1717" s="77"/>
    </row>
    <row r="1718" spans="1:18">
      <c r="A1718" s="77"/>
      <c r="B1718" s="77"/>
      <c r="C1718" s="77"/>
      <c r="D1718" s="77"/>
      <c r="E1718" s="77"/>
      <c r="F1718" s="77"/>
      <c r="G1718" s="77"/>
      <c r="H1718" s="77"/>
      <c r="I1718" s="77"/>
      <c r="J1718" s="77"/>
      <c r="K1718" s="77"/>
      <c r="L1718" s="77"/>
      <c r="M1718" s="77"/>
      <c r="N1718" s="77"/>
      <c r="O1718" s="77"/>
      <c r="P1718" s="77"/>
      <c r="Q1718" s="77"/>
      <c r="R1718" s="77"/>
    </row>
    <row r="1719" spans="1:18">
      <c r="A1719" s="77"/>
      <c r="B1719" s="77"/>
      <c r="C1719" s="77"/>
      <c r="D1719" s="77"/>
      <c r="E1719" s="77"/>
      <c r="F1719" s="77"/>
      <c r="G1719" s="77"/>
      <c r="H1719" s="77"/>
      <c r="I1719" s="77"/>
      <c r="J1719" s="77"/>
      <c r="K1719" s="77"/>
      <c r="L1719" s="77"/>
      <c r="M1719" s="77"/>
      <c r="N1719" s="77"/>
      <c r="O1719" s="77"/>
      <c r="P1719" s="77"/>
      <c r="Q1719" s="77"/>
      <c r="R1719" s="77"/>
    </row>
    <row r="1720" spans="1:18">
      <c r="A1720" s="77"/>
      <c r="B1720" s="77"/>
      <c r="C1720" s="77"/>
      <c r="D1720" s="77"/>
      <c r="E1720" s="77"/>
      <c r="F1720" s="77"/>
      <c r="G1720" s="77"/>
      <c r="H1720" s="77"/>
      <c r="I1720" s="77"/>
      <c r="J1720" s="77"/>
      <c r="K1720" s="77"/>
      <c r="L1720" s="77"/>
      <c r="M1720" s="77"/>
      <c r="N1720" s="77"/>
      <c r="O1720" s="77"/>
      <c r="P1720" s="77"/>
      <c r="Q1720" s="77"/>
      <c r="R1720" s="77"/>
    </row>
    <row r="1721" spans="1:18">
      <c r="A1721" s="77"/>
      <c r="B1721" s="77"/>
      <c r="C1721" s="77"/>
      <c r="D1721" s="77"/>
      <c r="E1721" s="77"/>
      <c r="F1721" s="77"/>
      <c r="G1721" s="77"/>
      <c r="H1721" s="77"/>
      <c r="I1721" s="77"/>
      <c r="J1721" s="77"/>
      <c r="K1721" s="77"/>
      <c r="L1721" s="77"/>
      <c r="M1721" s="77"/>
      <c r="N1721" s="77"/>
      <c r="O1721" s="77"/>
      <c r="P1721" s="77"/>
      <c r="Q1721" s="77"/>
      <c r="R1721" s="77"/>
    </row>
    <row r="1722" spans="1:18">
      <c r="A1722" s="77"/>
      <c r="B1722" s="77"/>
      <c r="C1722" s="77"/>
      <c r="D1722" s="77"/>
      <c r="E1722" s="77"/>
      <c r="F1722" s="77"/>
      <c r="G1722" s="77"/>
      <c r="H1722" s="77"/>
      <c r="I1722" s="77"/>
      <c r="J1722" s="77"/>
      <c r="K1722" s="77"/>
      <c r="L1722" s="77"/>
      <c r="M1722" s="77"/>
      <c r="N1722" s="77"/>
      <c r="O1722" s="77"/>
      <c r="P1722" s="77"/>
      <c r="Q1722" s="77"/>
      <c r="R1722" s="77"/>
    </row>
    <row r="1723" spans="1:18">
      <c r="A1723" s="77"/>
      <c r="B1723" s="77"/>
      <c r="C1723" s="77"/>
      <c r="D1723" s="77"/>
      <c r="E1723" s="77"/>
      <c r="F1723" s="77"/>
      <c r="G1723" s="77"/>
      <c r="H1723" s="77"/>
      <c r="I1723" s="77"/>
      <c r="J1723" s="77"/>
      <c r="K1723" s="77"/>
      <c r="L1723" s="77"/>
      <c r="M1723" s="77"/>
      <c r="N1723" s="77"/>
      <c r="O1723" s="77"/>
      <c r="P1723" s="77"/>
      <c r="Q1723" s="77"/>
      <c r="R1723" s="77"/>
    </row>
    <row r="1724" spans="1:18">
      <c r="A1724" s="77"/>
      <c r="B1724" s="77"/>
      <c r="C1724" s="77"/>
      <c r="D1724" s="77"/>
      <c r="E1724" s="77"/>
      <c r="F1724" s="77"/>
      <c r="G1724" s="77"/>
      <c r="H1724" s="77"/>
      <c r="I1724" s="77"/>
      <c r="J1724" s="77"/>
      <c r="K1724" s="77"/>
      <c r="L1724" s="77"/>
      <c r="M1724" s="77"/>
      <c r="N1724" s="77"/>
      <c r="O1724" s="77"/>
      <c r="P1724" s="77"/>
      <c r="Q1724" s="77"/>
      <c r="R1724" s="77"/>
    </row>
    <row r="1725" spans="1:18">
      <c r="A1725" s="77"/>
      <c r="B1725" s="77"/>
      <c r="C1725" s="77"/>
      <c r="D1725" s="77"/>
      <c r="E1725" s="77"/>
      <c r="F1725" s="77"/>
      <c r="G1725" s="77"/>
      <c r="H1725" s="77"/>
      <c r="I1725" s="77"/>
      <c r="J1725" s="77"/>
      <c r="K1725" s="77"/>
      <c r="L1725" s="77"/>
      <c r="M1725" s="77"/>
      <c r="N1725" s="77"/>
      <c r="O1725" s="77"/>
      <c r="P1725" s="77"/>
      <c r="Q1725" s="77"/>
      <c r="R1725" s="77"/>
    </row>
    <row r="1726" spans="1:18">
      <c r="A1726" s="77"/>
      <c r="B1726" s="77"/>
      <c r="C1726" s="77"/>
      <c r="D1726" s="77"/>
      <c r="E1726" s="77"/>
      <c r="F1726" s="77"/>
      <c r="G1726" s="77"/>
      <c r="H1726" s="77"/>
      <c r="I1726" s="77"/>
      <c r="J1726" s="77"/>
      <c r="K1726" s="77"/>
      <c r="L1726" s="77"/>
      <c r="M1726" s="77"/>
      <c r="N1726" s="77"/>
      <c r="O1726" s="77"/>
      <c r="P1726" s="77"/>
      <c r="Q1726" s="77"/>
      <c r="R1726" s="77"/>
    </row>
    <row r="1727" spans="1:18">
      <c r="A1727" s="77"/>
      <c r="B1727" s="77"/>
      <c r="C1727" s="77"/>
      <c r="D1727" s="77"/>
      <c r="E1727" s="77"/>
      <c r="F1727" s="77"/>
      <c r="G1727" s="77"/>
      <c r="H1727" s="77"/>
      <c r="I1727" s="77"/>
      <c r="J1727" s="77"/>
      <c r="K1727" s="77"/>
      <c r="L1727" s="77"/>
      <c r="M1727" s="77"/>
      <c r="N1727" s="77"/>
      <c r="O1727" s="77"/>
      <c r="P1727" s="77"/>
      <c r="Q1727" s="77"/>
      <c r="R1727" s="77"/>
    </row>
    <row r="1728" spans="1:18">
      <c r="A1728" s="77"/>
      <c r="B1728" s="77"/>
      <c r="C1728" s="77"/>
      <c r="D1728" s="77"/>
      <c r="E1728" s="77"/>
      <c r="F1728" s="77"/>
      <c r="G1728" s="77"/>
      <c r="H1728" s="77"/>
      <c r="I1728" s="77"/>
      <c r="J1728" s="77"/>
      <c r="K1728" s="77"/>
      <c r="L1728" s="77"/>
      <c r="M1728" s="77"/>
      <c r="N1728" s="77"/>
      <c r="O1728" s="77"/>
      <c r="P1728" s="77"/>
      <c r="Q1728" s="77"/>
      <c r="R1728" s="77"/>
    </row>
    <row r="1729" spans="1:18">
      <c r="A1729" s="77"/>
      <c r="B1729" s="77"/>
      <c r="C1729" s="77"/>
      <c r="D1729" s="77"/>
      <c r="E1729" s="77"/>
      <c r="F1729" s="77"/>
      <c r="G1729" s="77"/>
      <c r="H1729" s="77"/>
      <c r="I1729" s="77"/>
      <c r="J1729" s="77"/>
      <c r="K1729" s="77"/>
      <c r="L1729" s="77"/>
      <c r="M1729" s="77"/>
      <c r="N1729" s="77"/>
      <c r="O1729" s="77"/>
      <c r="P1729" s="77"/>
      <c r="Q1729" s="77"/>
      <c r="R1729" s="77"/>
    </row>
    <row r="1730" spans="1:18">
      <c r="A1730" s="77"/>
      <c r="B1730" s="77"/>
      <c r="C1730" s="77"/>
      <c r="D1730" s="77"/>
      <c r="E1730" s="77"/>
      <c r="F1730" s="77"/>
      <c r="G1730" s="77"/>
      <c r="H1730" s="77"/>
      <c r="I1730" s="77"/>
      <c r="J1730" s="77"/>
      <c r="K1730" s="77"/>
      <c r="L1730" s="77"/>
      <c r="M1730" s="77"/>
      <c r="N1730" s="77"/>
      <c r="O1730" s="77"/>
      <c r="P1730" s="77"/>
      <c r="Q1730" s="77"/>
      <c r="R1730" s="77"/>
    </row>
    <row r="1731" spans="1:18">
      <c r="A1731" s="77"/>
      <c r="B1731" s="77"/>
      <c r="C1731" s="77"/>
      <c r="D1731" s="77"/>
      <c r="E1731" s="77"/>
      <c r="F1731" s="77"/>
      <c r="G1731" s="77"/>
      <c r="H1731" s="77"/>
      <c r="I1731" s="77"/>
      <c r="J1731" s="77"/>
      <c r="K1731" s="77"/>
      <c r="L1731" s="77"/>
      <c r="M1731" s="77"/>
      <c r="N1731" s="77"/>
      <c r="O1731" s="77"/>
      <c r="P1731" s="77"/>
      <c r="Q1731" s="77"/>
      <c r="R1731" s="77"/>
    </row>
    <row r="1732" spans="1:18">
      <c r="A1732" s="77"/>
      <c r="B1732" s="77"/>
      <c r="C1732" s="77"/>
      <c r="D1732" s="77"/>
      <c r="E1732" s="77"/>
      <c r="F1732" s="77"/>
      <c r="G1732" s="77"/>
      <c r="H1732" s="77"/>
      <c r="I1732" s="77"/>
      <c r="J1732" s="77"/>
      <c r="K1732" s="77"/>
      <c r="L1732" s="77"/>
      <c r="M1732" s="77"/>
      <c r="N1732" s="77"/>
      <c r="O1732" s="77"/>
      <c r="P1732" s="77"/>
      <c r="Q1732" s="77"/>
      <c r="R1732" s="77"/>
    </row>
    <row r="1733" spans="1:18">
      <c r="A1733" s="77"/>
      <c r="B1733" s="77"/>
      <c r="C1733" s="77"/>
      <c r="D1733" s="77"/>
      <c r="E1733" s="77"/>
      <c r="F1733" s="77"/>
      <c r="G1733" s="77"/>
      <c r="H1733" s="77"/>
      <c r="I1733" s="77"/>
      <c r="J1733" s="77"/>
      <c r="K1733" s="77"/>
      <c r="L1733" s="77"/>
      <c r="M1733" s="77"/>
      <c r="N1733" s="77"/>
      <c r="O1733" s="77"/>
      <c r="P1733" s="77"/>
      <c r="Q1733" s="77"/>
      <c r="R1733" s="77"/>
    </row>
    <row r="1734" spans="1:18">
      <c r="A1734" s="77"/>
      <c r="B1734" s="77"/>
      <c r="C1734" s="77"/>
      <c r="D1734" s="77"/>
      <c r="E1734" s="77"/>
      <c r="F1734" s="77"/>
      <c r="G1734" s="77"/>
      <c r="H1734" s="77"/>
      <c r="I1734" s="77"/>
      <c r="J1734" s="77"/>
      <c r="K1734" s="77"/>
      <c r="L1734" s="77"/>
      <c r="M1734" s="77"/>
      <c r="N1734" s="77"/>
      <c r="O1734" s="77"/>
      <c r="P1734" s="77"/>
      <c r="Q1734" s="77"/>
      <c r="R1734" s="77"/>
    </row>
    <row r="1735" spans="1:18">
      <c r="A1735" s="77"/>
      <c r="B1735" s="77"/>
      <c r="C1735" s="77"/>
      <c r="D1735" s="77"/>
      <c r="E1735" s="77"/>
      <c r="F1735" s="77"/>
      <c r="G1735" s="77"/>
      <c r="H1735" s="77"/>
      <c r="I1735" s="77"/>
      <c r="J1735" s="77"/>
      <c r="K1735" s="77"/>
      <c r="L1735" s="77"/>
      <c r="M1735" s="77"/>
      <c r="N1735" s="77"/>
      <c r="O1735" s="77"/>
      <c r="P1735" s="77"/>
      <c r="Q1735" s="77"/>
      <c r="R1735" s="77"/>
    </row>
    <row r="1736" spans="1:18">
      <c r="A1736" s="77"/>
      <c r="B1736" s="77"/>
      <c r="C1736" s="77"/>
      <c r="D1736" s="77"/>
      <c r="E1736" s="77"/>
      <c r="F1736" s="77"/>
      <c r="G1736" s="77"/>
      <c r="H1736" s="77"/>
      <c r="I1736" s="77"/>
      <c r="J1736" s="77"/>
      <c r="K1736" s="77"/>
      <c r="L1736" s="77"/>
      <c r="M1736" s="77"/>
      <c r="N1736" s="77"/>
      <c r="O1736" s="77"/>
      <c r="P1736" s="77"/>
      <c r="Q1736" s="77"/>
      <c r="R1736" s="77"/>
    </row>
    <row r="1737" spans="1:18">
      <c r="A1737" s="77"/>
      <c r="B1737" s="77"/>
      <c r="C1737" s="77"/>
      <c r="D1737" s="77"/>
      <c r="E1737" s="77"/>
      <c r="F1737" s="77"/>
      <c r="G1737" s="77"/>
      <c r="H1737" s="77"/>
      <c r="I1737" s="77"/>
      <c r="J1737" s="77"/>
      <c r="K1737" s="77"/>
      <c r="L1737" s="77"/>
      <c r="M1737" s="77"/>
      <c r="N1737" s="77"/>
      <c r="O1737" s="77"/>
      <c r="P1737" s="77"/>
      <c r="Q1737" s="77"/>
      <c r="R1737" s="77"/>
    </row>
    <row r="1738" spans="1:18">
      <c r="A1738" s="77"/>
      <c r="B1738" s="77"/>
      <c r="C1738" s="77"/>
      <c r="D1738" s="77"/>
      <c r="E1738" s="77"/>
      <c r="F1738" s="77"/>
      <c r="G1738" s="77"/>
      <c r="H1738" s="77"/>
      <c r="I1738" s="77"/>
      <c r="J1738" s="77"/>
      <c r="K1738" s="77"/>
      <c r="L1738" s="77"/>
      <c r="M1738" s="77"/>
      <c r="N1738" s="77"/>
      <c r="O1738" s="77"/>
      <c r="P1738" s="77"/>
      <c r="Q1738" s="77"/>
      <c r="R1738" s="77"/>
    </row>
    <row r="1739" spans="1:18">
      <c r="A1739" s="77"/>
      <c r="B1739" s="77"/>
      <c r="C1739" s="77"/>
      <c r="D1739" s="77"/>
      <c r="E1739" s="77"/>
      <c r="F1739" s="77"/>
      <c r="G1739" s="77"/>
      <c r="H1739" s="77"/>
      <c r="I1739" s="77"/>
      <c r="J1739" s="77"/>
      <c r="K1739" s="77"/>
      <c r="L1739" s="77"/>
      <c r="M1739" s="77"/>
      <c r="N1739" s="77"/>
      <c r="O1739" s="77"/>
      <c r="P1739" s="77"/>
      <c r="Q1739" s="77"/>
      <c r="R1739" s="77"/>
    </row>
    <row r="1740" spans="1:18">
      <c r="A1740" s="77"/>
      <c r="B1740" s="77"/>
      <c r="C1740" s="77"/>
      <c r="D1740" s="77"/>
      <c r="E1740" s="77"/>
      <c r="F1740" s="77"/>
      <c r="G1740" s="77"/>
      <c r="H1740" s="77"/>
      <c r="I1740" s="77"/>
      <c r="J1740" s="77"/>
      <c r="K1740" s="77"/>
      <c r="L1740" s="77"/>
      <c r="M1740" s="77"/>
      <c r="N1740" s="77"/>
      <c r="O1740" s="77"/>
      <c r="P1740" s="77"/>
      <c r="Q1740" s="77"/>
      <c r="R1740" s="77"/>
    </row>
    <row r="1741" spans="1:18">
      <c r="A1741" s="77"/>
      <c r="B1741" s="77"/>
      <c r="C1741" s="77"/>
      <c r="D1741" s="77"/>
      <c r="E1741" s="77"/>
      <c r="F1741" s="77"/>
      <c r="G1741" s="77"/>
      <c r="H1741" s="77"/>
      <c r="I1741" s="77"/>
      <c r="J1741" s="77"/>
      <c r="K1741" s="77"/>
      <c r="L1741" s="77"/>
      <c r="M1741" s="77"/>
      <c r="N1741" s="77"/>
      <c r="O1741" s="77"/>
      <c r="P1741" s="77"/>
      <c r="Q1741" s="77"/>
      <c r="R1741" s="77"/>
    </row>
    <row r="1742" spans="1:18">
      <c r="A1742" s="77"/>
      <c r="B1742" s="77"/>
      <c r="C1742" s="77"/>
      <c r="D1742" s="77"/>
      <c r="E1742" s="77"/>
      <c r="F1742" s="77"/>
      <c r="G1742" s="77"/>
      <c r="H1742" s="77"/>
      <c r="I1742" s="77"/>
      <c r="J1742" s="77"/>
      <c r="K1742" s="77"/>
      <c r="L1742" s="77"/>
      <c r="M1742" s="77"/>
      <c r="N1742" s="77"/>
      <c r="O1742" s="77"/>
      <c r="P1742" s="77"/>
      <c r="Q1742" s="77"/>
      <c r="R1742" s="77"/>
    </row>
    <row r="1743" spans="1:18">
      <c r="A1743" s="77"/>
      <c r="B1743" s="77"/>
      <c r="C1743" s="77"/>
      <c r="D1743" s="77"/>
      <c r="E1743" s="77"/>
      <c r="F1743" s="77"/>
      <c r="G1743" s="77"/>
      <c r="H1743" s="77"/>
      <c r="I1743" s="77"/>
      <c r="J1743" s="77"/>
      <c r="K1743" s="77"/>
      <c r="L1743" s="77"/>
      <c r="M1743" s="77"/>
      <c r="N1743" s="77"/>
      <c r="O1743" s="77"/>
      <c r="P1743" s="77"/>
      <c r="Q1743" s="77"/>
      <c r="R1743" s="77"/>
    </row>
    <row r="1744" spans="1:18">
      <c r="A1744" s="77"/>
      <c r="B1744" s="77"/>
      <c r="C1744" s="77"/>
      <c r="D1744" s="77"/>
      <c r="E1744" s="77"/>
      <c r="F1744" s="77"/>
      <c r="G1744" s="77"/>
      <c r="H1744" s="77"/>
      <c r="I1744" s="77"/>
      <c r="J1744" s="77"/>
      <c r="K1744" s="77"/>
      <c r="L1744" s="77"/>
      <c r="M1744" s="77"/>
      <c r="N1744" s="77"/>
      <c r="O1744" s="77"/>
      <c r="P1744" s="77"/>
      <c r="Q1744" s="77"/>
      <c r="R1744" s="77"/>
    </row>
    <row r="1745" spans="1:18">
      <c r="A1745" s="77"/>
      <c r="B1745" s="77"/>
      <c r="C1745" s="77"/>
      <c r="D1745" s="77"/>
      <c r="E1745" s="77"/>
      <c r="F1745" s="77"/>
      <c r="G1745" s="77"/>
      <c r="H1745" s="77"/>
      <c r="I1745" s="77"/>
      <c r="J1745" s="77"/>
      <c r="K1745" s="77"/>
      <c r="L1745" s="77"/>
      <c r="M1745" s="77"/>
      <c r="N1745" s="77"/>
      <c r="O1745" s="77"/>
      <c r="P1745" s="77"/>
      <c r="Q1745" s="77"/>
      <c r="R1745" s="77"/>
    </row>
    <row r="1746" spans="1:18">
      <c r="A1746" s="77"/>
      <c r="B1746" s="77"/>
      <c r="C1746" s="77"/>
      <c r="D1746" s="77"/>
      <c r="E1746" s="77"/>
      <c r="F1746" s="77"/>
      <c r="G1746" s="77"/>
      <c r="H1746" s="77"/>
      <c r="I1746" s="77"/>
      <c r="J1746" s="77"/>
      <c r="K1746" s="77"/>
      <c r="L1746" s="77"/>
      <c r="M1746" s="77"/>
      <c r="N1746" s="77"/>
      <c r="O1746" s="77"/>
      <c r="P1746" s="77"/>
      <c r="Q1746" s="77"/>
      <c r="R1746" s="77"/>
    </row>
    <row r="1747" spans="1:18">
      <c r="A1747" s="77"/>
      <c r="B1747" s="77"/>
      <c r="C1747" s="77"/>
      <c r="D1747" s="77"/>
      <c r="E1747" s="77"/>
      <c r="F1747" s="77"/>
      <c r="G1747" s="77"/>
      <c r="H1747" s="77"/>
      <c r="I1747" s="77"/>
      <c r="J1747" s="77"/>
      <c r="K1747" s="77"/>
      <c r="L1747" s="77"/>
      <c r="M1747" s="77"/>
      <c r="N1747" s="77"/>
      <c r="O1747" s="77"/>
      <c r="P1747" s="77"/>
      <c r="Q1747" s="77"/>
      <c r="R1747" s="77"/>
    </row>
    <row r="1748" spans="1:18">
      <c r="A1748" s="77"/>
      <c r="B1748" s="77"/>
      <c r="C1748" s="77"/>
      <c r="D1748" s="77"/>
      <c r="E1748" s="77"/>
      <c r="F1748" s="77"/>
      <c r="G1748" s="77"/>
      <c r="H1748" s="77"/>
      <c r="I1748" s="77"/>
      <c r="J1748" s="77"/>
      <c r="K1748" s="77"/>
      <c r="L1748" s="77"/>
      <c r="M1748" s="77"/>
      <c r="N1748" s="77"/>
      <c r="O1748" s="77"/>
      <c r="P1748" s="77"/>
      <c r="Q1748" s="77"/>
      <c r="R1748" s="77"/>
    </row>
    <row r="1749" spans="1:18">
      <c r="A1749" s="77"/>
      <c r="B1749" s="77"/>
      <c r="C1749" s="77"/>
      <c r="D1749" s="77"/>
      <c r="E1749" s="77"/>
      <c r="F1749" s="77"/>
      <c r="G1749" s="77"/>
      <c r="H1749" s="77"/>
      <c r="I1749" s="77"/>
      <c r="J1749" s="77"/>
      <c r="K1749" s="77"/>
      <c r="L1749" s="77"/>
      <c r="M1749" s="77"/>
      <c r="N1749" s="77"/>
      <c r="O1749" s="77"/>
      <c r="P1749" s="77"/>
      <c r="Q1749" s="77"/>
      <c r="R1749" s="77"/>
    </row>
    <row r="1750" spans="1:18">
      <c r="A1750" s="77"/>
      <c r="B1750" s="77"/>
      <c r="C1750" s="77"/>
      <c r="D1750" s="77"/>
      <c r="E1750" s="77"/>
      <c r="F1750" s="77"/>
      <c r="G1750" s="77"/>
      <c r="H1750" s="77"/>
      <c r="I1750" s="77"/>
      <c r="J1750" s="77"/>
      <c r="K1750" s="77"/>
      <c r="L1750" s="77"/>
      <c r="M1750" s="77"/>
      <c r="N1750" s="77"/>
      <c r="O1750" s="77"/>
      <c r="P1750" s="77"/>
      <c r="Q1750" s="77"/>
      <c r="R1750" s="77"/>
    </row>
    <row r="1751" spans="1:18">
      <c r="A1751" s="77"/>
      <c r="B1751" s="77"/>
      <c r="C1751" s="77"/>
      <c r="D1751" s="77"/>
      <c r="E1751" s="77"/>
      <c r="F1751" s="77"/>
      <c r="G1751" s="77"/>
      <c r="H1751" s="77"/>
      <c r="I1751" s="77"/>
      <c r="J1751" s="77"/>
      <c r="K1751" s="77"/>
      <c r="L1751" s="77"/>
      <c r="M1751" s="77"/>
      <c r="N1751" s="77"/>
      <c r="O1751" s="77"/>
      <c r="P1751" s="77"/>
      <c r="Q1751" s="77"/>
      <c r="R1751" s="77"/>
    </row>
    <row r="1752" spans="1:18">
      <c r="A1752" s="77"/>
      <c r="B1752" s="77"/>
      <c r="C1752" s="77"/>
      <c r="D1752" s="77"/>
      <c r="E1752" s="77"/>
      <c r="F1752" s="77"/>
      <c r="G1752" s="77"/>
      <c r="H1752" s="77"/>
      <c r="I1752" s="77"/>
      <c r="J1752" s="77"/>
      <c r="K1752" s="77"/>
      <c r="L1752" s="77"/>
      <c r="M1752" s="77"/>
      <c r="N1752" s="77"/>
      <c r="O1752" s="77"/>
      <c r="P1752" s="77"/>
      <c r="Q1752" s="77"/>
      <c r="R1752" s="77"/>
    </row>
    <row r="1753" spans="1:18">
      <c r="A1753" s="77"/>
      <c r="B1753" s="77"/>
      <c r="C1753" s="77"/>
      <c r="D1753" s="77"/>
      <c r="E1753" s="77"/>
      <c r="F1753" s="77"/>
      <c r="G1753" s="77"/>
      <c r="H1753" s="77"/>
      <c r="I1753" s="77"/>
      <c r="J1753" s="77"/>
      <c r="K1753" s="77"/>
      <c r="L1753" s="77"/>
      <c r="M1753" s="77"/>
      <c r="N1753" s="77"/>
      <c r="O1753" s="77"/>
      <c r="P1753" s="77"/>
      <c r="Q1753" s="77"/>
      <c r="R1753" s="77"/>
    </row>
    <row r="1754" spans="1:18">
      <c r="A1754" s="77"/>
      <c r="B1754" s="77"/>
      <c r="C1754" s="77"/>
      <c r="D1754" s="77"/>
      <c r="E1754" s="77"/>
      <c r="F1754" s="77"/>
      <c r="G1754" s="77"/>
      <c r="H1754" s="77"/>
      <c r="I1754" s="77"/>
      <c r="J1754" s="77"/>
      <c r="K1754" s="77"/>
      <c r="L1754" s="77"/>
      <c r="M1754" s="77"/>
      <c r="N1754" s="77"/>
      <c r="O1754" s="77"/>
      <c r="P1754" s="77"/>
      <c r="Q1754" s="77"/>
      <c r="R1754" s="77"/>
    </row>
    <row r="1755" spans="1:18">
      <c r="A1755" s="77"/>
      <c r="B1755" s="77"/>
      <c r="C1755" s="77"/>
      <c r="D1755" s="77"/>
      <c r="E1755" s="77"/>
      <c r="F1755" s="77"/>
      <c r="G1755" s="77"/>
      <c r="H1755" s="77"/>
      <c r="I1755" s="77"/>
      <c r="J1755" s="77"/>
      <c r="K1755" s="77"/>
      <c r="L1755" s="77"/>
      <c r="M1755" s="77"/>
      <c r="N1755" s="77"/>
      <c r="O1755" s="77"/>
      <c r="P1755" s="77"/>
      <c r="Q1755" s="77"/>
      <c r="R1755" s="77"/>
    </row>
    <row r="1756" spans="1:18">
      <c r="A1756" s="77"/>
      <c r="B1756" s="77"/>
      <c r="C1756" s="77"/>
      <c r="D1756" s="77"/>
      <c r="E1756" s="77"/>
      <c r="F1756" s="77"/>
      <c r="G1756" s="77"/>
      <c r="H1756" s="77"/>
      <c r="I1756" s="77"/>
      <c r="J1756" s="77"/>
      <c r="K1756" s="77"/>
      <c r="L1756" s="77"/>
      <c r="M1756" s="77"/>
      <c r="N1756" s="77"/>
      <c r="O1756" s="77"/>
      <c r="P1756" s="77"/>
      <c r="Q1756" s="77"/>
      <c r="R1756" s="77"/>
    </row>
    <row r="1757" spans="1:18">
      <c r="A1757" s="77"/>
      <c r="B1757" s="77"/>
      <c r="C1757" s="77"/>
      <c r="D1757" s="77"/>
      <c r="E1757" s="77"/>
      <c r="F1757" s="77"/>
      <c r="G1757" s="77"/>
      <c r="H1757" s="77"/>
      <c r="I1757" s="77"/>
      <c r="J1757" s="77"/>
      <c r="K1757" s="77"/>
      <c r="L1757" s="77"/>
      <c r="M1757" s="77"/>
      <c r="N1757" s="77"/>
      <c r="O1757" s="77"/>
      <c r="P1757" s="77"/>
      <c r="Q1757" s="77"/>
      <c r="R1757" s="77"/>
    </row>
    <row r="1758" spans="1:18">
      <c r="A1758" s="77"/>
      <c r="B1758" s="77"/>
      <c r="C1758" s="77"/>
      <c r="D1758" s="77"/>
      <c r="E1758" s="77"/>
      <c r="F1758" s="77"/>
      <c r="G1758" s="77"/>
      <c r="H1758" s="77"/>
      <c r="I1758" s="77"/>
      <c r="J1758" s="77"/>
      <c r="K1758" s="77"/>
      <c r="L1758" s="77"/>
      <c r="M1758" s="77"/>
      <c r="N1758" s="77"/>
      <c r="O1758" s="77"/>
      <c r="P1758" s="77"/>
      <c r="Q1758" s="77"/>
      <c r="R1758" s="77"/>
    </row>
    <row r="1759" spans="1:18">
      <c r="A1759" s="77"/>
      <c r="B1759" s="77"/>
      <c r="C1759" s="77"/>
      <c r="D1759" s="77"/>
      <c r="E1759" s="77"/>
      <c r="F1759" s="77"/>
      <c r="G1759" s="77"/>
      <c r="H1759" s="77"/>
      <c r="I1759" s="77"/>
      <c r="J1759" s="77"/>
      <c r="K1759" s="77"/>
      <c r="L1759" s="77"/>
      <c r="M1759" s="77"/>
      <c r="N1759" s="77"/>
      <c r="O1759" s="77"/>
      <c r="P1759" s="77"/>
      <c r="Q1759" s="77"/>
      <c r="R1759" s="77"/>
    </row>
    <row r="1760" spans="1:18">
      <c r="A1760" s="77"/>
      <c r="B1760" s="77"/>
      <c r="C1760" s="77"/>
      <c r="D1760" s="77"/>
      <c r="E1760" s="77"/>
      <c r="F1760" s="77"/>
      <c r="G1760" s="77"/>
      <c r="H1760" s="77"/>
      <c r="I1760" s="77"/>
      <c r="J1760" s="77"/>
      <c r="K1760" s="77"/>
      <c r="L1760" s="77"/>
      <c r="M1760" s="77"/>
      <c r="N1760" s="77"/>
      <c r="O1760" s="77"/>
      <c r="P1760" s="77"/>
      <c r="Q1760" s="77"/>
      <c r="R1760" s="77"/>
    </row>
    <row r="1761" spans="1:18">
      <c r="A1761" s="77"/>
      <c r="B1761" s="77"/>
      <c r="C1761" s="77"/>
      <c r="D1761" s="77"/>
      <c r="E1761" s="77"/>
      <c r="F1761" s="77"/>
      <c r="G1761" s="77"/>
      <c r="H1761" s="77"/>
      <c r="I1761" s="77"/>
      <c r="J1761" s="77"/>
      <c r="K1761" s="77"/>
      <c r="L1761" s="77"/>
      <c r="M1761" s="77"/>
      <c r="N1761" s="77"/>
      <c r="O1761" s="77"/>
      <c r="P1761" s="77"/>
      <c r="Q1761" s="77"/>
      <c r="R1761" s="77"/>
    </row>
    <row r="1762" spans="1:18">
      <c r="A1762" s="77"/>
      <c r="B1762" s="77"/>
      <c r="C1762" s="77"/>
      <c r="D1762" s="77"/>
      <c r="E1762" s="77"/>
      <c r="F1762" s="77"/>
      <c r="G1762" s="77"/>
      <c r="H1762" s="77"/>
      <c r="I1762" s="77"/>
      <c r="J1762" s="77"/>
      <c r="K1762" s="77"/>
      <c r="L1762" s="77"/>
      <c r="M1762" s="77"/>
      <c r="N1762" s="77"/>
      <c r="O1762" s="77"/>
      <c r="P1762" s="77"/>
      <c r="Q1762" s="77"/>
      <c r="R1762" s="77"/>
    </row>
    <row r="1763" spans="1:18">
      <c r="A1763" s="77"/>
      <c r="B1763" s="77"/>
      <c r="C1763" s="77"/>
      <c r="D1763" s="77"/>
      <c r="E1763" s="77"/>
      <c r="F1763" s="77"/>
      <c r="G1763" s="77"/>
      <c r="H1763" s="77"/>
      <c r="I1763" s="77"/>
      <c r="J1763" s="77"/>
      <c r="K1763" s="77"/>
      <c r="L1763" s="77"/>
      <c r="M1763" s="77"/>
      <c r="N1763" s="77"/>
      <c r="O1763" s="77"/>
      <c r="P1763" s="77"/>
      <c r="Q1763" s="77"/>
      <c r="R1763" s="77"/>
    </row>
    <row r="1764" spans="1:18">
      <c r="A1764" s="77"/>
      <c r="B1764" s="77"/>
      <c r="C1764" s="77"/>
      <c r="D1764" s="77"/>
      <c r="E1764" s="77"/>
      <c r="F1764" s="77"/>
      <c r="G1764" s="77"/>
      <c r="H1764" s="77"/>
      <c r="I1764" s="77"/>
      <c r="J1764" s="77"/>
      <c r="K1764" s="77"/>
      <c r="L1764" s="77"/>
      <c r="M1764" s="77"/>
      <c r="N1764" s="77"/>
      <c r="O1764" s="77"/>
      <c r="P1764" s="77"/>
      <c r="Q1764" s="77"/>
      <c r="R1764" s="77"/>
    </row>
    <row r="1765" spans="1:18">
      <c r="A1765" s="77"/>
      <c r="B1765" s="77"/>
      <c r="C1765" s="77"/>
      <c r="D1765" s="77"/>
      <c r="E1765" s="77"/>
      <c r="F1765" s="77"/>
      <c r="G1765" s="77"/>
      <c r="H1765" s="77"/>
      <c r="I1765" s="77"/>
      <c r="J1765" s="77"/>
      <c r="K1765" s="77"/>
      <c r="L1765" s="77"/>
      <c r="M1765" s="77"/>
      <c r="N1765" s="77"/>
      <c r="O1765" s="77"/>
      <c r="P1765" s="77"/>
      <c r="Q1765" s="77"/>
      <c r="R1765" s="77"/>
    </row>
    <row r="1766" spans="1:18">
      <c r="A1766" s="77"/>
      <c r="B1766" s="77"/>
      <c r="C1766" s="77"/>
      <c r="D1766" s="77"/>
      <c r="E1766" s="77"/>
      <c r="F1766" s="77"/>
      <c r="G1766" s="77"/>
      <c r="H1766" s="77"/>
      <c r="I1766" s="77"/>
      <c r="J1766" s="77"/>
      <c r="K1766" s="77"/>
      <c r="L1766" s="77"/>
      <c r="M1766" s="77"/>
      <c r="N1766" s="77"/>
      <c r="O1766" s="77"/>
      <c r="P1766" s="77"/>
      <c r="Q1766" s="77"/>
      <c r="R1766" s="77"/>
    </row>
    <row r="1767" spans="1:18">
      <c r="A1767" s="77"/>
      <c r="B1767" s="77"/>
      <c r="C1767" s="77"/>
      <c r="D1767" s="77"/>
      <c r="E1767" s="77"/>
      <c r="F1767" s="77"/>
      <c r="G1767" s="77"/>
      <c r="H1767" s="77"/>
      <c r="I1767" s="77"/>
      <c r="J1767" s="77"/>
      <c r="K1767" s="77"/>
      <c r="L1767" s="77"/>
      <c r="M1767" s="77"/>
      <c r="N1767" s="77"/>
      <c r="O1767" s="77"/>
      <c r="P1767" s="77"/>
      <c r="Q1767" s="77"/>
      <c r="R1767" s="77"/>
    </row>
    <row r="1768" spans="1:18">
      <c r="A1768" s="77"/>
      <c r="B1768" s="77"/>
      <c r="C1768" s="77"/>
      <c r="D1768" s="77"/>
      <c r="E1768" s="77"/>
      <c r="F1768" s="77"/>
      <c r="G1768" s="77"/>
      <c r="H1768" s="77"/>
      <c r="I1768" s="77"/>
      <c r="J1768" s="77"/>
      <c r="K1768" s="77"/>
      <c r="L1768" s="77"/>
      <c r="M1768" s="77"/>
      <c r="N1768" s="77"/>
      <c r="O1768" s="77"/>
      <c r="P1768" s="77"/>
      <c r="Q1768" s="77"/>
      <c r="R1768" s="77"/>
    </row>
    <row r="1769" spans="1:18">
      <c r="A1769" s="77"/>
      <c r="B1769" s="77"/>
      <c r="C1769" s="77"/>
      <c r="D1769" s="77"/>
      <c r="E1769" s="77"/>
      <c r="F1769" s="77"/>
      <c r="G1769" s="77"/>
      <c r="H1769" s="77"/>
      <c r="I1769" s="77"/>
      <c r="J1769" s="77"/>
      <c r="K1769" s="77"/>
      <c r="L1769" s="77"/>
      <c r="M1769" s="77"/>
      <c r="N1769" s="77"/>
      <c r="O1769" s="77"/>
      <c r="P1769" s="77"/>
      <c r="Q1769" s="77"/>
      <c r="R1769" s="77"/>
    </row>
    <row r="1770" spans="1:18">
      <c r="A1770" s="77"/>
      <c r="B1770" s="77"/>
      <c r="C1770" s="77"/>
      <c r="D1770" s="77"/>
      <c r="E1770" s="77"/>
      <c r="F1770" s="77"/>
      <c r="G1770" s="77"/>
      <c r="H1770" s="77"/>
      <c r="I1770" s="77"/>
      <c r="J1770" s="77"/>
      <c r="K1770" s="77"/>
      <c r="L1770" s="77"/>
      <c r="M1770" s="77"/>
      <c r="N1770" s="77"/>
      <c r="O1770" s="77"/>
      <c r="P1770" s="77"/>
      <c r="Q1770" s="77"/>
      <c r="R1770" s="77"/>
    </row>
    <row r="1771" spans="1:18">
      <c r="A1771" s="77"/>
      <c r="B1771" s="77"/>
      <c r="C1771" s="77"/>
      <c r="D1771" s="77"/>
      <c r="E1771" s="77"/>
      <c r="F1771" s="77"/>
      <c r="G1771" s="77"/>
      <c r="H1771" s="77"/>
      <c r="I1771" s="77"/>
      <c r="J1771" s="77"/>
      <c r="K1771" s="77"/>
      <c r="L1771" s="77"/>
      <c r="M1771" s="77"/>
      <c r="N1771" s="77"/>
      <c r="O1771" s="77"/>
      <c r="P1771" s="77"/>
      <c r="Q1771" s="77"/>
      <c r="R1771" s="77"/>
    </row>
    <row r="1772" spans="1:18">
      <c r="A1772" s="77"/>
      <c r="B1772" s="77"/>
      <c r="C1772" s="77"/>
      <c r="D1772" s="77"/>
      <c r="E1772" s="77"/>
      <c r="F1772" s="77"/>
      <c r="G1772" s="77"/>
      <c r="H1772" s="77"/>
      <c r="I1772" s="77"/>
      <c r="J1772" s="77"/>
      <c r="K1772" s="77"/>
      <c r="L1772" s="77"/>
      <c r="M1772" s="77"/>
      <c r="N1772" s="77"/>
      <c r="O1772" s="77"/>
      <c r="P1772" s="77"/>
      <c r="Q1772" s="77"/>
      <c r="R1772" s="77"/>
    </row>
    <row r="1773" spans="1:18">
      <c r="A1773" s="77"/>
      <c r="B1773" s="77"/>
      <c r="C1773" s="77"/>
      <c r="D1773" s="77"/>
      <c r="E1773" s="77"/>
      <c r="F1773" s="77"/>
      <c r="G1773" s="77"/>
      <c r="H1773" s="77"/>
      <c r="I1773" s="77"/>
      <c r="J1773" s="77"/>
      <c r="K1773" s="77"/>
      <c r="L1773" s="77"/>
      <c r="M1773" s="77"/>
      <c r="N1773" s="77"/>
      <c r="O1773" s="77"/>
      <c r="P1773" s="77"/>
      <c r="Q1773" s="77"/>
      <c r="R1773" s="77"/>
    </row>
    <row r="1774" spans="1:18">
      <c r="A1774" s="77"/>
      <c r="B1774" s="77"/>
      <c r="C1774" s="77"/>
      <c r="D1774" s="77"/>
      <c r="E1774" s="77"/>
      <c r="F1774" s="77"/>
      <c r="G1774" s="77"/>
      <c r="H1774" s="77"/>
      <c r="I1774" s="77"/>
      <c r="J1774" s="77"/>
      <c r="K1774" s="77"/>
      <c r="L1774" s="77"/>
      <c r="M1774" s="77"/>
      <c r="N1774" s="77"/>
      <c r="O1774" s="77"/>
      <c r="P1774" s="77"/>
      <c r="Q1774" s="77"/>
      <c r="R1774" s="77"/>
    </row>
    <row r="1775" spans="1:18">
      <c r="A1775" s="77"/>
      <c r="B1775" s="77"/>
      <c r="C1775" s="77"/>
      <c r="D1775" s="77"/>
      <c r="E1775" s="77"/>
      <c r="F1775" s="77"/>
      <c r="G1775" s="77"/>
      <c r="H1775" s="77"/>
      <c r="I1775" s="77"/>
      <c r="J1775" s="77"/>
      <c r="K1775" s="77"/>
      <c r="L1775" s="77"/>
      <c r="M1775" s="77"/>
      <c r="N1775" s="77"/>
      <c r="O1775" s="77"/>
      <c r="P1775" s="77"/>
      <c r="Q1775" s="77"/>
      <c r="R1775" s="77"/>
    </row>
    <row r="1776" spans="1:18">
      <c r="A1776" s="77"/>
      <c r="B1776" s="77"/>
      <c r="C1776" s="77"/>
      <c r="D1776" s="77"/>
      <c r="E1776" s="77"/>
      <c r="F1776" s="77"/>
      <c r="G1776" s="77"/>
      <c r="H1776" s="77"/>
      <c r="I1776" s="77"/>
      <c r="J1776" s="77"/>
      <c r="K1776" s="77"/>
      <c r="L1776" s="77"/>
      <c r="M1776" s="77"/>
      <c r="N1776" s="77"/>
      <c r="O1776" s="77"/>
      <c r="P1776" s="77"/>
      <c r="Q1776" s="77"/>
      <c r="R1776" s="77"/>
    </row>
    <row r="1777" spans="1:18">
      <c r="A1777" s="77"/>
      <c r="B1777" s="77"/>
      <c r="C1777" s="77"/>
      <c r="D1777" s="77"/>
      <c r="E1777" s="77"/>
      <c r="F1777" s="77"/>
      <c r="G1777" s="77"/>
      <c r="H1777" s="77"/>
      <c r="I1777" s="77"/>
      <c r="J1777" s="77"/>
      <c r="K1777" s="77"/>
      <c r="L1777" s="77"/>
      <c r="M1777" s="77"/>
      <c r="N1777" s="77"/>
      <c r="O1777" s="77"/>
      <c r="P1777" s="77"/>
      <c r="Q1777" s="77"/>
      <c r="R1777" s="77"/>
    </row>
    <row r="1778" spans="1:18">
      <c r="A1778" s="77"/>
      <c r="B1778" s="77"/>
      <c r="C1778" s="77"/>
      <c r="D1778" s="77"/>
      <c r="E1778" s="77"/>
      <c r="F1778" s="77"/>
      <c r="G1778" s="77"/>
      <c r="H1778" s="77"/>
      <c r="I1778" s="77"/>
      <c r="J1778" s="77"/>
      <c r="K1778" s="77"/>
      <c r="L1778" s="77"/>
      <c r="M1778" s="77"/>
      <c r="N1778" s="77"/>
      <c r="O1778" s="77"/>
      <c r="P1778" s="77"/>
      <c r="Q1778" s="77"/>
      <c r="R1778" s="77"/>
    </row>
    <row r="1779" spans="1:18">
      <c r="A1779" s="77"/>
      <c r="B1779" s="77"/>
      <c r="C1779" s="77"/>
      <c r="D1779" s="77"/>
      <c r="E1779" s="77"/>
      <c r="F1779" s="77"/>
      <c r="G1779" s="77"/>
      <c r="H1779" s="77"/>
      <c r="I1779" s="77"/>
      <c r="J1779" s="77"/>
      <c r="K1779" s="77"/>
      <c r="L1779" s="77"/>
      <c r="M1779" s="77"/>
      <c r="N1779" s="77"/>
      <c r="O1779" s="77"/>
      <c r="P1779" s="77"/>
      <c r="Q1779" s="77"/>
      <c r="R1779" s="77"/>
    </row>
    <row r="1780" spans="1:18">
      <c r="A1780" s="77"/>
      <c r="B1780" s="77"/>
      <c r="C1780" s="77"/>
      <c r="D1780" s="77"/>
      <c r="E1780" s="77"/>
      <c r="F1780" s="77"/>
      <c r="G1780" s="77"/>
      <c r="H1780" s="77"/>
      <c r="I1780" s="77"/>
      <c r="J1780" s="77"/>
      <c r="K1780" s="77"/>
      <c r="L1780" s="77"/>
      <c r="M1780" s="77"/>
      <c r="N1780" s="77"/>
      <c r="O1780" s="77"/>
      <c r="P1780" s="77"/>
      <c r="Q1780" s="77"/>
      <c r="R1780" s="77"/>
    </row>
    <row r="1781" spans="1:18">
      <c r="A1781" s="77"/>
      <c r="B1781" s="77"/>
      <c r="C1781" s="77"/>
      <c r="D1781" s="77"/>
      <c r="E1781" s="77"/>
      <c r="F1781" s="77"/>
      <c r="G1781" s="77"/>
      <c r="H1781" s="77"/>
      <c r="I1781" s="77"/>
      <c r="J1781" s="77"/>
      <c r="K1781" s="77"/>
      <c r="L1781" s="77"/>
      <c r="M1781" s="77"/>
      <c r="N1781" s="77"/>
      <c r="O1781" s="77"/>
      <c r="P1781" s="77"/>
      <c r="Q1781" s="77"/>
      <c r="R1781" s="77"/>
    </row>
    <row r="1782" spans="1:18">
      <c r="A1782" s="77"/>
      <c r="B1782" s="77"/>
      <c r="C1782" s="77"/>
      <c r="D1782" s="77"/>
      <c r="E1782" s="77"/>
      <c r="F1782" s="77"/>
      <c r="G1782" s="77"/>
      <c r="H1782" s="77"/>
      <c r="I1782" s="77"/>
      <c r="J1782" s="77"/>
      <c r="K1782" s="77"/>
      <c r="L1782" s="77"/>
      <c r="M1782" s="77"/>
      <c r="N1782" s="77"/>
      <c r="O1782" s="77"/>
      <c r="P1782" s="77"/>
      <c r="Q1782" s="77"/>
      <c r="R1782" s="77"/>
    </row>
    <row r="1783" spans="1:18">
      <c r="A1783" s="77"/>
      <c r="B1783" s="77"/>
      <c r="C1783" s="77"/>
      <c r="D1783" s="77"/>
      <c r="E1783" s="77"/>
      <c r="F1783" s="77"/>
      <c r="G1783" s="77"/>
      <c r="H1783" s="77"/>
      <c r="I1783" s="77"/>
      <c r="J1783" s="77"/>
      <c r="K1783" s="77"/>
      <c r="L1783" s="77"/>
      <c r="M1783" s="77"/>
      <c r="N1783" s="77"/>
      <c r="O1783" s="77"/>
      <c r="P1783" s="77"/>
      <c r="Q1783" s="77"/>
      <c r="R1783" s="77"/>
    </row>
    <row r="1784" spans="1:18">
      <c r="A1784" s="77"/>
      <c r="B1784" s="77"/>
      <c r="C1784" s="77"/>
      <c r="D1784" s="77"/>
      <c r="E1784" s="77"/>
      <c r="F1784" s="77"/>
      <c r="G1784" s="77"/>
      <c r="H1784" s="77"/>
      <c r="I1784" s="77"/>
      <c r="J1784" s="77"/>
      <c r="K1784" s="77"/>
      <c r="L1784" s="77"/>
      <c r="M1784" s="77"/>
      <c r="N1784" s="77"/>
      <c r="O1784" s="77"/>
      <c r="P1784" s="77"/>
      <c r="Q1784" s="77"/>
      <c r="R1784" s="77"/>
    </row>
    <row r="1785" spans="1:18">
      <c r="A1785" s="77"/>
      <c r="B1785" s="77"/>
      <c r="C1785" s="77"/>
      <c r="D1785" s="77"/>
      <c r="E1785" s="77"/>
      <c r="F1785" s="77"/>
      <c r="G1785" s="77"/>
      <c r="H1785" s="77"/>
      <c r="I1785" s="77"/>
      <c r="J1785" s="77"/>
      <c r="K1785" s="77"/>
      <c r="L1785" s="77"/>
      <c r="M1785" s="77"/>
      <c r="N1785" s="77"/>
      <c r="O1785" s="77"/>
      <c r="P1785" s="77"/>
      <c r="Q1785" s="77"/>
      <c r="R1785" s="77"/>
    </row>
    <row r="1786" spans="1:18">
      <c r="A1786" s="77"/>
      <c r="B1786" s="77"/>
      <c r="C1786" s="77"/>
      <c r="D1786" s="77"/>
      <c r="E1786" s="77"/>
      <c r="F1786" s="77"/>
      <c r="G1786" s="77"/>
      <c r="H1786" s="77"/>
      <c r="I1786" s="77"/>
      <c r="J1786" s="77"/>
      <c r="K1786" s="77"/>
      <c r="L1786" s="77"/>
      <c r="M1786" s="77"/>
      <c r="N1786" s="77"/>
      <c r="O1786" s="77"/>
      <c r="P1786" s="77"/>
      <c r="Q1786" s="77"/>
      <c r="R1786" s="77"/>
    </row>
    <row r="1787" spans="1:18">
      <c r="A1787" s="77"/>
      <c r="B1787" s="77"/>
      <c r="C1787" s="77"/>
      <c r="D1787" s="77"/>
      <c r="E1787" s="77"/>
      <c r="F1787" s="77"/>
      <c r="G1787" s="77"/>
      <c r="H1787" s="77"/>
      <c r="I1787" s="77"/>
      <c r="J1787" s="77"/>
      <c r="K1787" s="77"/>
      <c r="L1787" s="77"/>
      <c r="M1787" s="77"/>
      <c r="N1787" s="77"/>
      <c r="O1787" s="77"/>
      <c r="P1787" s="77"/>
      <c r="Q1787" s="77"/>
      <c r="R1787" s="77"/>
    </row>
    <row r="1788" spans="1:18">
      <c r="A1788" s="77"/>
      <c r="B1788" s="77"/>
      <c r="C1788" s="77"/>
      <c r="D1788" s="77"/>
      <c r="E1788" s="77"/>
      <c r="F1788" s="77"/>
      <c r="G1788" s="77"/>
      <c r="H1788" s="77"/>
      <c r="I1788" s="77"/>
      <c r="J1788" s="77"/>
      <c r="K1788" s="77"/>
      <c r="L1788" s="77"/>
      <c r="M1788" s="77"/>
      <c r="N1788" s="77"/>
      <c r="O1788" s="77"/>
      <c r="P1788" s="77"/>
      <c r="Q1788" s="77"/>
      <c r="R1788" s="77"/>
    </row>
    <row r="1789" spans="1:18">
      <c r="A1789" s="77"/>
      <c r="B1789" s="77"/>
      <c r="C1789" s="77"/>
      <c r="D1789" s="77"/>
      <c r="E1789" s="77"/>
      <c r="F1789" s="77"/>
      <c r="G1789" s="77"/>
      <c r="H1789" s="77"/>
      <c r="I1789" s="77"/>
      <c r="J1789" s="77"/>
      <c r="K1789" s="77"/>
      <c r="L1789" s="77"/>
      <c r="M1789" s="77"/>
      <c r="N1789" s="77"/>
      <c r="O1789" s="77"/>
      <c r="P1789" s="77"/>
      <c r="Q1789" s="77"/>
      <c r="R1789" s="77"/>
    </row>
    <row r="1790" spans="1:18">
      <c r="A1790" s="77"/>
      <c r="B1790" s="77"/>
      <c r="C1790" s="77"/>
      <c r="D1790" s="77"/>
      <c r="E1790" s="77"/>
      <c r="F1790" s="77"/>
      <c r="G1790" s="77"/>
      <c r="H1790" s="77"/>
      <c r="I1790" s="77"/>
      <c r="J1790" s="77"/>
      <c r="K1790" s="77"/>
      <c r="L1790" s="77"/>
      <c r="M1790" s="77"/>
      <c r="N1790" s="77"/>
      <c r="O1790" s="77"/>
      <c r="P1790" s="77"/>
      <c r="Q1790" s="77"/>
      <c r="R1790" s="77"/>
    </row>
    <row r="1791" spans="1:18">
      <c r="A1791" s="77"/>
      <c r="B1791" s="77"/>
      <c r="C1791" s="77"/>
      <c r="D1791" s="77"/>
      <c r="E1791" s="77"/>
      <c r="F1791" s="77"/>
      <c r="G1791" s="77"/>
      <c r="H1791" s="77"/>
      <c r="I1791" s="77"/>
      <c r="J1791" s="77"/>
      <c r="K1791" s="77"/>
      <c r="L1791" s="77"/>
      <c r="M1791" s="77"/>
      <c r="N1791" s="77"/>
      <c r="O1791" s="77"/>
      <c r="P1791" s="77"/>
      <c r="Q1791" s="77"/>
      <c r="R1791" s="77"/>
    </row>
    <row r="1792" spans="1:18">
      <c r="A1792" s="77"/>
      <c r="B1792" s="77"/>
      <c r="C1792" s="77"/>
      <c r="D1792" s="77"/>
      <c r="E1792" s="77"/>
      <c r="F1792" s="77"/>
      <c r="G1792" s="77"/>
      <c r="H1792" s="77"/>
      <c r="I1792" s="77"/>
      <c r="J1792" s="77"/>
      <c r="K1792" s="77"/>
      <c r="L1792" s="77"/>
      <c r="M1792" s="77"/>
      <c r="N1792" s="77"/>
      <c r="O1792" s="77"/>
      <c r="P1792" s="77"/>
      <c r="Q1792" s="77"/>
      <c r="R1792" s="77"/>
    </row>
    <row r="1793" spans="1:18">
      <c r="A1793" s="77"/>
      <c r="B1793" s="77"/>
      <c r="C1793" s="77"/>
      <c r="D1793" s="77"/>
      <c r="E1793" s="77"/>
      <c r="F1793" s="77"/>
      <c r="G1793" s="77"/>
      <c r="H1793" s="77"/>
      <c r="I1793" s="77"/>
      <c r="J1793" s="77"/>
      <c r="K1793" s="77"/>
      <c r="L1793" s="77"/>
      <c r="M1793" s="77"/>
      <c r="N1793" s="77"/>
      <c r="O1793" s="77"/>
      <c r="P1793" s="77"/>
      <c r="Q1793" s="77"/>
      <c r="R1793" s="77"/>
    </row>
    <row r="1794" spans="1:18">
      <c r="A1794" s="77"/>
      <c r="B1794" s="77"/>
      <c r="C1794" s="77"/>
      <c r="D1794" s="77"/>
      <c r="E1794" s="77"/>
      <c r="F1794" s="77"/>
      <c r="G1794" s="77"/>
      <c r="H1794" s="77"/>
      <c r="I1794" s="77"/>
      <c r="J1794" s="77"/>
      <c r="K1794" s="77"/>
      <c r="L1794" s="77"/>
      <c r="M1794" s="77"/>
      <c r="N1794" s="77"/>
      <c r="O1794" s="77"/>
      <c r="P1794" s="77"/>
      <c r="Q1794" s="77"/>
      <c r="R1794" s="77"/>
    </row>
    <row r="1795" spans="1:18">
      <c r="A1795" s="77"/>
      <c r="B1795" s="77"/>
      <c r="C1795" s="77"/>
      <c r="D1795" s="77"/>
      <c r="E1795" s="77"/>
      <c r="F1795" s="77"/>
      <c r="G1795" s="77"/>
      <c r="H1795" s="77"/>
      <c r="I1795" s="77"/>
      <c r="J1795" s="77"/>
      <c r="K1795" s="77"/>
      <c r="L1795" s="77"/>
      <c r="M1795" s="77"/>
      <c r="N1795" s="77"/>
      <c r="O1795" s="77"/>
      <c r="P1795" s="77"/>
      <c r="Q1795" s="77"/>
      <c r="R1795" s="77"/>
    </row>
    <row r="1796" spans="1:18">
      <c r="A1796" s="77"/>
      <c r="B1796" s="77"/>
      <c r="C1796" s="77"/>
      <c r="D1796" s="77"/>
      <c r="E1796" s="77"/>
      <c r="F1796" s="77"/>
      <c r="G1796" s="77"/>
      <c r="H1796" s="77"/>
      <c r="I1796" s="77"/>
      <c r="J1796" s="77"/>
      <c r="K1796" s="77"/>
      <c r="L1796" s="77"/>
      <c r="M1796" s="77"/>
      <c r="N1796" s="77"/>
      <c r="O1796" s="77"/>
      <c r="P1796" s="77"/>
      <c r="Q1796" s="77"/>
      <c r="R1796" s="77"/>
    </row>
    <row r="1797" spans="1:18">
      <c r="A1797" s="77"/>
      <c r="B1797" s="77"/>
      <c r="C1797" s="77"/>
      <c r="D1797" s="77"/>
      <c r="E1797" s="77"/>
      <c r="F1797" s="77"/>
      <c r="G1797" s="77"/>
      <c r="H1797" s="77"/>
      <c r="I1797" s="77"/>
      <c r="J1797" s="77"/>
      <c r="K1797" s="77"/>
      <c r="L1797" s="77"/>
      <c r="M1797" s="77"/>
      <c r="N1797" s="77"/>
      <c r="O1797" s="77"/>
      <c r="P1797" s="77"/>
      <c r="Q1797" s="77"/>
      <c r="R1797" s="77"/>
    </row>
    <row r="1798" spans="1:18">
      <c r="A1798" s="77"/>
      <c r="B1798" s="77"/>
      <c r="C1798" s="77"/>
      <c r="D1798" s="77"/>
      <c r="E1798" s="77"/>
      <c r="F1798" s="77"/>
      <c r="G1798" s="77"/>
      <c r="H1798" s="77"/>
      <c r="I1798" s="77"/>
      <c r="J1798" s="77"/>
      <c r="K1798" s="77"/>
      <c r="L1798" s="77"/>
      <c r="M1798" s="77"/>
      <c r="N1798" s="77"/>
      <c r="O1798" s="77"/>
      <c r="P1798" s="77"/>
      <c r="Q1798" s="77"/>
      <c r="R1798" s="77"/>
    </row>
    <row r="1799" spans="1:18">
      <c r="A1799" s="77"/>
      <c r="B1799" s="77"/>
      <c r="C1799" s="77"/>
      <c r="D1799" s="77"/>
      <c r="E1799" s="77"/>
      <c r="F1799" s="77"/>
      <c r="G1799" s="77"/>
      <c r="H1799" s="77"/>
      <c r="I1799" s="77"/>
      <c r="J1799" s="77"/>
      <c r="K1799" s="77"/>
      <c r="L1799" s="77"/>
      <c r="M1799" s="77"/>
      <c r="N1799" s="77"/>
      <c r="O1799" s="77"/>
      <c r="P1799" s="77"/>
      <c r="Q1799" s="77"/>
      <c r="R1799" s="77"/>
    </row>
    <row r="1800" spans="1:18">
      <c r="A1800" s="77"/>
      <c r="B1800" s="77"/>
      <c r="C1800" s="77"/>
      <c r="D1800" s="77"/>
      <c r="E1800" s="77"/>
      <c r="F1800" s="77"/>
      <c r="G1800" s="77"/>
      <c r="H1800" s="77"/>
      <c r="I1800" s="77"/>
      <c r="J1800" s="77"/>
      <c r="K1800" s="77"/>
      <c r="L1800" s="77"/>
      <c r="M1800" s="77"/>
      <c r="N1800" s="77"/>
      <c r="O1800" s="77"/>
      <c r="P1800" s="77"/>
      <c r="Q1800" s="77"/>
      <c r="R1800" s="77"/>
    </row>
    <row r="1801" spans="1:18">
      <c r="A1801" s="77"/>
      <c r="B1801" s="77"/>
      <c r="C1801" s="77"/>
      <c r="D1801" s="77"/>
      <c r="E1801" s="77"/>
      <c r="F1801" s="77"/>
      <c r="G1801" s="77"/>
      <c r="H1801" s="77"/>
      <c r="I1801" s="77"/>
      <c r="J1801" s="77"/>
      <c r="K1801" s="77"/>
      <c r="L1801" s="77"/>
      <c r="M1801" s="77"/>
      <c r="N1801" s="77"/>
      <c r="O1801" s="77"/>
      <c r="P1801" s="77"/>
      <c r="Q1801" s="77"/>
      <c r="R1801" s="77"/>
    </row>
    <row r="1802" spans="1:18">
      <c r="A1802" s="77"/>
      <c r="B1802" s="77"/>
      <c r="C1802" s="77"/>
      <c r="D1802" s="77"/>
      <c r="E1802" s="77"/>
      <c r="F1802" s="77"/>
      <c r="G1802" s="77"/>
      <c r="H1802" s="77"/>
      <c r="I1802" s="77"/>
      <c r="J1802" s="77"/>
      <c r="K1802" s="77"/>
      <c r="L1802" s="77"/>
      <c r="M1802" s="77"/>
      <c r="N1802" s="77"/>
      <c r="O1802" s="77"/>
      <c r="P1802" s="77"/>
      <c r="Q1802" s="77"/>
      <c r="R1802" s="77"/>
    </row>
    <row r="1803" spans="1:18">
      <c r="A1803" s="77"/>
      <c r="B1803" s="77"/>
      <c r="C1803" s="77"/>
      <c r="D1803" s="77"/>
      <c r="E1803" s="77"/>
      <c r="F1803" s="77"/>
      <c r="G1803" s="77"/>
      <c r="H1803" s="77"/>
      <c r="I1803" s="77"/>
      <c r="J1803" s="77"/>
      <c r="K1803" s="77"/>
      <c r="L1803" s="77"/>
      <c r="M1803" s="77"/>
      <c r="N1803" s="77"/>
      <c r="O1803" s="77"/>
      <c r="P1803" s="77"/>
      <c r="Q1803" s="77"/>
      <c r="R1803" s="77"/>
    </row>
    <row r="1804" spans="1:18">
      <c r="A1804" s="77"/>
      <c r="B1804" s="77"/>
      <c r="C1804" s="77"/>
      <c r="D1804" s="77"/>
      <c r="E1804" s="77"/>
      <c r="F1804" s="77"/>
      <c r="G1804" s="77"/>
      <c r="H1804" s="77"/>
      <c r="I1804" s="77"/>
      <c r="J1804" s="77"/>
      <c r="K1804" s="77"/>
      <c r="L1804" s="77"/>
      <c r="M1804" s="77"/>
      <c r="N1804" s="77"/>
      <c r="O1804" s="77"/>
      <c r="P1804" s="77"/>
      <c r="Q1804" s="77"/>
      <c r="R1804" s="77"/>
    </row>
    <row r="1805" spans="1:18">
      <c r="A1805" s="77"/>
      <c r="B1805" s="77"/>
      <c r="C1805" s="77"/>
      <c r="D1805" s="77"/>
      <c r="E1805" s="77"/>
      <c r="F1805" s="77"/>
      <c r="G1805" s="77"/>
      <c r="H1805" s="77"/>
      <c r="I1805" s="77"/>
      <c r="J1805" s="77"/>
      <c r="K1805" s="77"/>
      <c r="L1805" s="77"/>
      <c r="M1805" s="77"/>
      <c r="N1805" s="77"/>
      <c r="O1805" s="77"/>
      <c r="P1805" s="77"/>
      <c r="Q1805" s="77"/>
      <c r="R1805" s="77"/>
    </row>
    <row r="1806" spans="1:18">
      <c r="A1806" s="77"/>
      <c r="B1806" s="77"/>
      <c r="C1806" s="77"/>
      <c r="D1806" s="77"/>
      <c r="E1806" s="77"/>
      <c r="F1806" s="77"/>
      <c r="G1806" s="77"/>
      <c r="H1806" s="77"/>
      <c r="I1806" s="77"/>
      <c r="J1806" s="77"/>
      <c r="K1806" s="77"/>
      <c r="L1806" s="77"/>
      <c r="M1806" s="77"/>
      <c r="N1806" s="77"/>
      <c r="O1806" s="77"/>
      <c r="P1806" s="77"/>
      <c r="Q1806" s="77"/>
      <c r="R1806" s="77"/>
    </row>
    <row r="1807" spans="1:18">
      <c r="A1807" s="77"/>
      <c r="B1807" s="77"/>
      <c r="C1807" s="77"/>
      <c r="D1807" s="77"/>
      <c r="E1807" s="77"/>
      <c r="F1807" s="77"/>
      <c r="G1807" s="77"/>
      <c r="H1807" s="77"/>
      <c r="I1807" s="77"/>
      <c r="J1807" s="77"/>
      <c r="K1807" s="77"/>
      <c r="L1807" s="77"/>
      <c r="M1807" s="77"/>
      <c r="N1807" s="77"/>
      <c r="O1807" s="77"/>
      <c r="P1807" s="77"/>
      <c r="Q1807" s="77"/>
      <c r="R1807" s="77"/>
    </row>
    <row r="1808" spans="1:18">
      <c r="A1808" s="77"/>
      <c r="B1808" s="77"/>
      <c r="C1808" s="77"/>
      <c r="D1808" s="77"/>
      <c r="E1808" s="77"/>
      <c r="F1808" s="77"/>
      <c r="G1808" s="77"/>
      <c r="H1808" s="77"/>
      <c r="I1808" s="77"/>
      <c r="J1808" s="77"/>
      <c r="K1808" s="77"/>
      <c r="L1808" s="77"/>
      <c r="M1808" s="77"/>
      <c r="N1808" s="77"/>
      <c r="O1808" s="77"/>
      <c r="P1808" s="77"/>
      <c r="Q1808" s="77"/>
      <c r="R1808" s="77"/>
    </row>
    <row r="1809" spans="1:18">
      <c r="A1809" s="77"/>
      <c r="B1809" s="77"/>
      <c r="C1809" s="77"/>
      <c r="D1809" s="77"/>
      <c r="E1809" s="77"/>
      <c r="F1809" s="77"/>
      <c r="G1809" s="77"/>
      <c r="H1809" s="77"/>
      <c r="I1809" s="77"/>
      <c r="J1809" s="77"/>
      <c r="K1809" s="77"/>
      <c r="L1809" s="77"/>
      <c r="M1809" s="77"/>
      <c r="N1809" s="77"/>
      <c r="O1809" s="77"/>
      <c r="P1809" s="77"/>
      <c r="Q1809" s="77"/>
      <c r="R1809" s="77"/>
    </row>
    <row r="1810" spans="1:18">
      <c r="A1810" s="77"/>
      <c r="B1810" s="77"/>
      <c r="C1810" s="77"/>
      <c r="D1810" s="77"/>
      <c r="E1810" s="77"/>
      <c r="F1810" s="77"/>
      <c r="G1810" s="77"/>
      <c r="H1810" s="77"/>
      <c r="I1810" s="77"/>
      <c r="J1810" s="77"/>
      <c r="K1810" s="77"/>
      <c r="L1810" s="77"/>
      <c r="M1810" s="77"/>
      <c r="N1810" s="77"/>
      <c r="O1810" s="77"/>
      <c r="P1810" s="77"/>
      <c r="Q1810" s="77"/>
      <c r="R1810" s="77"/>
    </row>
    <row r="1811" spans="1:18">
      <c r="A1811" s="77"/>
      <c r="B1811" s="77"/>
      <c r="C1811" s="77"/>
      <c r="D1811" s="77"/>
      <c r="E1811" s="77"/>
      <c r="F1811" s="77"/>
      <c r="G1811" s="77"/>
      <c r="H1811" s="77"/>
      <c r="I1811" s="77"/>
      <c r="J1811" s="77"/>
      <c r="K1811" s="77"/>
      <c r="L1811" s="77"/>
      <c r="M1811" s="77"/>
      <c r="N1811" s="77"/>
      <c r="O1811" s="77"/>
      <c r="P1811" s="77"/>
      <c r="Q1811" s="77"/>
      <c r="R1811" s="77"/>
    </row>
    <row r="1812" spans="1:18">
      <c r="A1812" s="77"/>
      <c r="B1812" s="77"/>
      <c r="C1812" s="77"/>
      <c r="D1812" s="77"/>
      <c r="E1812" s="77"/>
      <c r="F1812" s="77"/>
      <c r="G1812" s="77"/>
      <c r="H1812" s="77"/>
      <c r="I1812" s="77"/>
      <c r="J1812" s="77"/>
      <c r="K1812" s="77"/>
      <c r="L1812" s="77"/>
      <c r="M1812" s="77"/>
      <c r="N1812" s="77"/>
      <c r="O1812" s="77"/>
      <c r="P1812" s="77"/>
      <c r="Q1812" s="77"/>
      <c r="R1812" s="77"/>
    </row>
    <row r="1813" spans="1:18">
      <c r="A1813" s="77"/>
      <c r="B1813" s="77"/>
      <c r="C1813" s="77"/>
      <c r="D1813" s="77"/>
      <c r="E1813" s="77"/>
      <c r="F1813" s="77"/>
      <c r="G1813" s="77"/>
      <c r="H1813" s="77"/>
      <c r="I1813" s="77"/>
      <c r="J1813" s="77"/>
      <c r="K1813" s="77"/>
      <c r="L1813" s="77"/>
      <c r="M1813" s="77"/>
      <c r="N1813" s="77"/>
      <c r="O1813" s="77"/>
      <c r="P1813" s="77"/>
      <c r="Q1813" s="77"/>
      <c r="R1813" s="77"/>
    </row>
    <row r="1814" spans="1:18">
      <c r="A1814" s="77"/>
      <c r="B1814" s="77"/>
      <c r="C1814" s="77"/>
      <c r="D1814" s="77"/>
      <c r="E1814" s="77"/>
      <c r="F1814" s="77"/>
      <c r="G1814" s="77"/>
      <c r="H1814" s="77"/>
      <c r="I1814" s="77"/>
      <c r="J1814" s="77"/>
      <c r="K1814" s="77"/>
      <c r="L1814" s="77"/>
      <c r="M1814" s="77"/>
      <c r="N1814" s="77"/>
      <c r="O1814" s="77"/>
      <c r="P1814" s="77"/>
      <c r="Q1814" s="77"/>
      <c r="R1814" s="77"/>
    </row>
    <row r="1815" spans="1:18">
      <c r="A1815" s="77"/>
      <c r="B1815" s="77"/>
      <c r="C1815" s="77"/>
      <c r="D1815" s="77"/>
      <c r="E1815" s="77"/>
      <c r="F1815" s="77"/>
      <c r="G1815" s="77"/>
      <c r="H1815" s="77"/>
      <c r="I1815" s="77"/>
      <c r="J1815" s="77"/>
      <c r="K1815" s="77"/>
      <c r="L1815" s="77"/>
      <c r="M1815" s="77"/>
      <c r="N1815" s="77"/>
      <c r="O1815" s="77"/>
      <c r="P1815" s="77"/>
      <c r="Q1815" s="77"/>
      <c r="R1815" s="77"/>
    </row>
    <row r="1816" spans="1:18">
      <c r="A1816" s="77"/>
      <c r="B1816" s="77"/>
      <c r="C1816" s="77"/>
      <c r="D1816" s="77"/>
      <c r="E1816" s="77"/>
      <c r="F1816" s="77"/>
      <c r="G1816" s="77"/>
      <c r="H1816" s="77"/>
      <c r="I1816" s="77"/>
      <c r="J1816" s="77"/>
      <c r="K1816" s="77"/>
      <c r="L1816" s="77"/>
      <c r="M1816" s="77"/>
      <c r="N1816" s="77"/>
      <c r="O1816" s="77"/>
      <c r="P1816" s="77"/>
      <c r="Q1816" s="77"/>
      <c r="R1816" s="77"/>
    </row>
    <row r="1817" spans="1:18">
      <c r="A1817" s="77"/>
      <c r="B1817" s="77"/>
      <c r="C1817" s="77"/>
      <c r="D1817" s="77"/>
      <c r="E1817" s="77"/>
      <c r="F1817" s="77"/>
      <c r="G1817" s="77"/>
      <c r="H1817" s="77"/>
      <c r="I1817" s="77"/>
      <c r="J1817" s="77"/>
      <c r="K1817" s="77"/>
      <c r="L1817" s="77"/>
      <c r="M1817" s="77"/>
      <c r="N1817" s="77"/>
      <c r="O1817" s="77"/>
      <c r="P1817" s="77"/>
      <c r="Q1817" s="77"/>
      <c r="R1817" s="77"/>
    </row>
    <row r="1818" spans="1:18">
      <c r="A1818" s="77"/>
      <c r="B1818" s="77"/>
      <c r="C1818" s="77"/>
      <c r="D1818" s="77"/>
      <c r="E1818" s="77"/>
      <c r="F1818" s="77"/>
      <c r="G1818" s="77"/>
      <c r="H1818" s="77"/>
      <c r="I1818" s="77"/>
      <c r="J1818" s="77"/>
      <c r="K1818" s="77"/>
      <c r="L1818" s="77"/>
      <c r="M1818" s="77"/>
      <c r="N1818" s="77"/>
      <c r="O1818" s="77"/>
      <c r="P1818" s="77"/>
      <c r="Q1818" s="77"/>
      <c r="R1818" s="77"/>
    </row>
    <row r="1819" spans="1:18">
      <c r="A1819" s="77"/>
      <c r="B1819" s="77"/>
      <c r="C1819" s="77"/>
      <c r="D1819" s="77"/>
      <c r="E1819" s="77"/>
      <c r="F1819" s="77"/>
      <c r="G1819" s="77"/>
      <c r="H1819" s="77"/>
      <c r="I1819" s="77"/>
      <c r="J1819" s="77"/>
      <c r="K1819" s="77"/>
      <c r="L1819" s="77"/>
      <c r="M1819" s="77"/>
      <c r="N1819" s="77"/>
      <c r="O1819" s="77"/>
      <c r="P1819" s="77"/>
      <c r="Q1819" s="77"/>
      <c r="R1819" s="77"/>
    </row>
    <row r="1820" spans="1:18">
      <c r="A1820" s="77"/>
      <c r="B1820" s="77"/>
      <c r="C1820" s="77"/>
      <c r="D1820" s="77"/>
      <c r="E1820" s="77"/>
      <c r="F1820" s="77"/>
      <c r="G1820" s="77"/>
      <c r="H1820" s="77"/>
      <c r="I1820" s="77"/>
      <c r="J1820" s="77"/>
      <c r="K1820" s="77"/>
      <c r="L1820" s="77"/>
      <c r="M1820" s="77"/>
      <c r="N1820" s="77"/>
      <c r="O1820" s="77"/>
      <c r="P1820" s="77"/>
      <c r="Q1820" s="77"/>
      <c r="R1820" s="77"/>
    </row>
    <row r="1821" spans="1:18">
      <c r="A1821" s="77"/>
      <c r="B1821" s="77"/>
      <c r="C1821" s="77"/>
      <c r="D1821" s="77"/>
      <c r="E1821" s="77"/>
      <c r="F1821" s="77"/>
      <c r="G1821" s="77"/>
      <c r="H1821" s="77"/>
      <c r="I1821" s="77"/>
      <c r="J1821" s="77"/>
      <c r="K1821" s="77"/>
      <c r="L1821" s="77"/>
      <c r="M1821" s="77"/>
      <c r="N1821" s="77"/>
      <c r="O1821" s="77"/>
      <c r="P1821" s="77"/>
      <c r="Q1821" s="77"/>
      <c r="R1821" s="77"/>
    </row>
    <row r="1822" spans="1:18">
      <c r="A1822" s="77"/>
      <c r="B1822" s="77"/>
      <c r="C1822" s="77"/>
      <c r="D1822" s="77"/>
      <c r="E1822" s="77"/>
      <c r="F1822" s="77"/>
      <c r="G1822" s="77"/>
      <c r="H1822" s="77"/>
      <c r="I1822" s="77"/>
      <c r="J1822" s="77"/>
      <c r="K1822" s="77"/>
      <c r="L1822" s="77"/>
      <c r="M1822" s="77"/>
      <c r="N1822" s="77"/>
      <c r="O1822" s="77"/>
      <c r="P1822" s="77"/>
      <c r="Q1822" s="77"/>
      <c r="R1822" s="77"/>
    </row>
    <row r="1823" spans="1:18">
      <c r="A1823" s="77"/>
      <c r="B1823" s="77"/>
      <c r="C1823" s="77"/>
      <c r="D1823" s="77"/>
      <c r="E1823" s="77"/>
      <c r="F1823" s="77"/>
      <c r="G1823" s="77"/>
      <c r="H1823" s="77"/>
      <c r="I1823" s="77"/>
      <c r="J1823" s="77"/>
      <c r="K1823" s="77"/>
      <c r="L1823" s="77"/>
      <c r="M1823" s="77"/>
      <c r="N1823" s="77"/>
      <c r="O1823" s="77"/>
      <c r="P1823" s="77"/>
      <c r="Q1823" s="77"/>
      <c r="R1823" s="77"/>
    </row>
    <row r="1824" spans="1:18">
      <c r="A1824" s="77"/>
      <c r="B1824" s="77"/>
      <c r="C1824" s="77"/>
      <c r="D1824" s="77"/>
      <c r="E1824" s="77"/>
      <c r="F1824" s="77"/>
      <c r="G1824" s="77"/>
      <c r="H1824" s="77"/>
      <c r="I1824" s="77"/>
      <c r="J1824" s="77"/>
      <c r="K1824" s="77"/>
      <c r="L1824" s="77"/>
      <c r="M1824" s="77"/>
      <c r="N1824" s="77"/>
      <c r="O1824" s="77"/>
      <c r="P1824" s="77"/>
      <c r="Q1824" s="77"/>
      <c r="R1824" s="77"/>
    </row>
    <row r="1825" spans="1:18">
      <c r="A1825" s="77"/>
      <c r="B1825" s="77"/>
      <c r="C1825" s="77"/>
      <c r="D1825" s="77"/>
      <c r="E1825" s="77"/>
      <c r="F1825" s="77"/>
      <c r="G1825" s="77"/>
      <c r="H1825" s="77"/>
      <c r="I1825" s="77"/>
      <c r="J1825" s="77"/>
      <c r="K1825" s="77"/>
      <c r="L1825" s="77"/>
      <c r="M1825" s="77"/>
      <c r="N1825" s="77"/>
      <c r="O1825" s="77"/>
      <c r="P1825" s="77"/>
      <c r="Q1825" s="77"/>
      <c r="R1825" s="77"/>
    </row>
    <row r="1826" spans="1:18">
      <c r="A1826" s="77"/>
      <c r="B1826" s="77"/>
      <c r="C1826" s="77"/>
      <c r="D1826" s="77"/>
      <c r="E1826" s="77"/>
      <c r="F1826" s="77"/>
      <c r="G1826" s="77"/>
      <c r="H1826" s="77"/>
      <c r="I1826" s="77"/>
      <c r="J1826" s="77"/>
      <c r="K1826" s="77"/>
      <c r="L1826" s="77"/>
      <c r="M1826" s="77"/>
      <c r="N1826" s="77"/>
      <c r="O1826" s="77"/>
      <c r="P1826" s="77"/>
      <c r="Q1826" s="77"/>
      <c r="R1826" s="77"/>
    </row>
    <row r="1827" spans="1:18">
      <c r="A1827" s="77"/>
      <c r="B1827" s="77"/>
      <c r="C1827" s="77"/>
      <c r="D1827" s="77"/>
      <c r="E1827" s="77"/>
      <c r="F1827" s="77"/>
      <c r="G1827" s="77"/>
      <c r="H1827" s="77"/>
      <c r="I1827" s="77"/>
      <c r="J1827" s="77"/>
      <c r="K1827" s="77"/>
      <c r="L1827" s="77"/>
      <c r="M1827" s="77"/>
      <c r="N1827" s="77"/>
      <c r="O1827" s="77"/>
      <c r="P1827" s="77"/>
      <c r="Q1827" s="77"/>
      <c r="R1827" s="77"/>
    </row>
    <row r="1828" spans="1:18">
      <c r="A1828" s="77"/>
      <c r="B1828" s="77"/>
      <c r="C1828" s="77"/>
      <c r="D1828" s="77"/>
      <c r="E1828" s="77"/>
      <c r="F1828" s="77"/>
      <c r="G1828" s="77"/>
      <c r="H1828" s="77"/>
      <c r="I1828" s="77"/>
      <c r="J1828" s="77"/>
      <c r="K1828" s="77"/>
      <c r="L1828" s="77"/>
      <c r="M1828" s="77"/>
      <c r="N1828" s="77"/>
      <c r="O1828" s="77"/>
      <c r="P1828" s="77"/>
      <c r="Q1828" s="77"/>
      <c r="R1828" s="77"/>
    </row>
    <row r="1829" spans="1:18">
      <c r="A1829" s="77"/>
      <c r="B1829" s="77"/>
      <c r="C1829" s="77"/>
      <c r="D1829" s="77"/>
      <c r="E1829" s="77"/>
      <c r="F1829" s="77"/>
      <c r="G1829" s="77"/>
      <c r="H1829" s="77"/>
      <c r="I1829" s="77"/>
      <c r="J1829" s="77"/>
      <c r="K1829" s="77"/>
      <c r="L1829" s="77"/>
      <c r="M1829" s="77"/>
      <c r="N1829" s="77"/>
      <c r="O1829" s="77"/>
      <c r="P1829" s="77"/>
      <c r="Q1829" s="77"/>
      <c r="R1829" s="77"/>
    </row>
    <row r="1830" spans="1:18">
      <c r="A1830" s="77"/>
      <c r="B1830" s="77"/>
      <c r="C1830" s="77"/>
      <c r="D1830" s="77"/>
      <c r="E1830" s="77"/>
      <c r="F1830" s="77"/>
      <c r="G1830" s="77"/>
      <c r="H1830" s="77"/>
      <c r="I1830" s="77"/>
      <c r="J1830" s="77"/>
      <c r="K1830" s="77"/>
      <c r="L1830" s="77"/>
      <c r="M1830" s="77"/>
      <c r="N1830" s="77"/>
      <c r="O1830" s="77"/>
      <c r="P1830" s="77"/>
      <c r="Q1830" s="77"/>
      <c r="R1830" s="77"/>
    </row>
    <row r="1831" spans="1:18">
      <c r="A1831" s="77"/>
      <c r="B1831" s="77"/>
      <c r="C1831" s="77"/>
      <c r="D1831" s="77"/>
      <c r="E1831" s="77"/>
      <c r="F1831" s="77"/>
      <c r="G1831" s="77"/>
      <c r="H1831" s="77"/>
      <c r="I1831" s="77"/>
      <c r="J1831" s="77"/>
      <c r="K1831" s="77"/>
      <c r="L1831" s="77"/>
      <c r="M1831" s="77"/>
      <c r="N1831" s="77"/>
      <c r="O1831" s="77"/>
      <c r="P1831" s="77"/>
      <c r="Q1831" s="77"/>
      <c r="R1831" s="77"/>
    </row>
    <row r="1832" spans="1:18">
      <c r="A1832" s="77"/>
      <c r="B1832" s="77"/>
      <c r="C1832" s="77"/>
      <c r="D1832" s="77"/>
      <c r="E1832" s="77"/>
      <c r="F1832" s="77"/>
      <c r="G1832" s="77"/>
      <c r="H1832" s="77"/>
      <c r="I1832" s="77"/>
      <c r="J1832" s="77"/>
      <c r="K1832" s="77"/>
      <c r="L1832" s="77"/>
      <c r="M1832" s="77"/>
      <c r="N1832" s="77"/>
      <c r="O1832" s="77"/>
      <c r="P1832" s="77"/>
      <c r="Q1832" s="77"/>
      <c r="R1832" s="77"/>
    </row>
    <row r="1833" spans="1:18">
      <c r="A1833" s="77"/>
      <c r="B1833" s="77"/>
      <c r="C1833" s="77"/>
      <c r="D1833" s="77"/>
      <c r="E1833" s="77"/>
      <c r="F1833" s="77"/>
      <c r="G1833" s="77"/>
      <c r="H1833" s="77"/>
      <c r="I1833" s="77"/>
      <c r="J1833" s="77"/>
      <c r="K1833" s="77"/>
      <c r="L1833" s="77"/>
      <c r="M1833" s="77"/>
      <c r="N1833" s="77"/>
      <c r="O1833" s="77"/>
      <c r="P1833" s="77"/>
      <c r="Q1833" s="77"/>
      <c r="R1833" s="77"/>
    </row>
    <row r="1834" spans="1:18">
      <c r="A1834" s="77"/>
      <c r="B1834" s="77"/>
      <c r="C1834" s="77"/>
      <c r="D1834" s="77"/>
      <c r="E1834" s="77"/>
      <c r="F1834" s="77"/>
      <c r="G1834" s="77"/>
      <c r="H1834" s="77"/>
      <c r="I1834" s="77"/>
      <c r="J1834" s="77"/>
      <c r="K1834" s="77"/>
      <c r="L1834" s="77"/>
      <c r="M1834" s="77"/>
      <c r="N1834" s="77"/>
      <c r="O1834" s="77"/>
      <c r="P1834" s="77"/>
      <c r="Q1834" s="77"/>
      <c r="R1834" s="77"/>
    </row>
    <row r="1835" spans="1:18">
      <c r="A1835" s="77"/>
      <c r="B1835" s="77"/>
      <c r="C1835" s="77"/>
      <c r="D1835" s="77"/>
      <c r="E1835" s="77"/>
      <c r="F1835" s="77"/>
      <c r="G1835" s="77"/>
      <c r="H1835" s="77"/>
      <c r="I1835" s="77"/>
      <c r="J1835" s="77"/>
      <c r="K1835" s="77"/>
      <c r="L1835" s="77"/>
      <c r="M1835" s="77"/>
      <c r="N1835" s="77"/>
      <c r="O1835" s="77"/>
      <c r="P1835" s="77"/>
      <c r="Q1835" s="77"/>
      <c r="R1835" s="77"/>
    </row>
    <row r="1836" spans="1:18">
      <c r="A1836" s="77"/>
      <c r="B1836" s="77"/>
      <c r="C1836" s="77"/>
      <c r="D1836" s="77"/>
      <c r="E1836" s="77"/>
      <c r="F1836" s="77"/>
      <c r="G1836" s="77"/>
      <c r="H1836" s="77"/>
      <c r="I1836" s="77"/>
      <c r="J1836" s="77"/>
      <c r="K1836" s="77"/>
      <c r="L1836" s="77"/>
      <c r="M1836" s="77"/>
      <c r="N1836" s="77"/>
      <c r="O1836" s="77"/>
      <c r="P1836" s="77"/>
      <c r="Q1836" s="77"/>
      <c r="R1836" s="77"/>
    </row>
    <row r="1837" spans="1:18">
      <c r="A1837" s="77"/>
      <c r="B1837" s="77"/>
      <c r="C1837" s="77"/>
      <c r="D1837" s="77"/>
      <c r="E1837" s="77"/>
      <c r="F1837" s="77"/>
      <c r="G1837" s="77"/>
      <c r="H1837" s="77"/>
      <c r="I1837" s="77"/>
      <c r="J1837" s="77"/>
      <c r="K1837" s="77"/>
      <c r="L1837" s="77"/>
      <c r="M1837" s="77"/>
      <c r="N1837" s="77"/>
      <c r="O1837" s="77"/>
      <c r="P1837" s="77"/>
      <c r="Q1837" s="77"/>
      <c r="R1837" s="77"/>
    </row>
    <row r="1838" spans="1:18">
      <c r="A1838" s="77"/>
      <c r="B1838" s="77"/>
      <c r="C1838" s="77"/>
      <c r="D1838" s="77"/>
      <c r="E1838" s="77"/>
      <c r="F1838" s="77"/>
      <c r="G1838" s="77"/>
      <c r="H1838" s="77"/>
      <c r="I1838" s="77"/>
      <c r="J1838" s="77"/>
      <c r="K1838" s="77"/>
      <c r="L1838" s="77"/>
      <c r="M1838" s="77"/>
      <c r="N1838" s="77"/>
      <c r="O1838" s="77"/>
      <c r="P1838" s="77"/>
      <c r="Q1838" s="77"/>
      <c r="R1838" s="77"/>
    </row>
    <row r="1839" spans="1:18">
      <c r="A1839" s="77"/>
      <c r="B1839" s="77"/>
      <c r="C1839" s="77"/>
      <c r="D1839" s="77"/>
      <c r="E1839" s="77"/>
      <c r="F1839" s="77"/>
      <c r="G1839" s="77"/>
      <c r="H1839" s="77"/>
      <c r="I1839" s="77"/>
      <c r="J1839" s="77"/>
      <c r="K1839" s="77"/>
      <c r="L1839" s="77"/>
      <c r="M1839" s="77"/>
      <c r="N1839" s="77"/>
      <c r="O1839" s="77"/>
      <c r="P1839" s="77"/>
      <c r="Q1839" s="77"/>
      <c r="R1839" s="77"/>
    </row>
    <row r="1840" spans="1:18">
      <c r="A1840" s="77"/>
      <c r="B1840" s="77"/>
      <c r="C1840" s="77"/>
      <c r="D1840" s="77"/>
      <c r="E1840" s="77"/>
      <c r="F1840" s="77"/>
      <c r="G1840" s="77"/>
      <c r="H1840" s="77"/>
      <c r="I1840" s="77"/>
      <c r="J1840" s="77"/>
      <c r="K1840" s="77"/>
      <c r="L1840" s="77"/>
      <c r="M1840" s="77"/>
      <c r="N1840" s="77"/>
      <c r="O1840" s="77"/>
      <c r="P1840" s="77"/>
      <c r="Q1840" s="77"/>
      <c r="R1840" s="77"/>
    </row>
    <row r="1841" spans="1:18">
      <c r="A1841" s="77"/>
      <c r="B1841" s="77"/>
      <c r="C1841" s="77"/>
      <c r="D1841" s="77"/>
      <c r="E1841" s="77"/>
      <c r="F1841" s="77"/>
      <c r="G1841" s="77"/>
      <c r="H1841" s="77"/>
      <c r="I1841" s="77"/>
      <c r="J1841" s="77"/>
      <c r="K1841" s="77"/>
      <c r="L1841" s="77"/>
      <c r="M1841" s="77"/>
      <c r="N1841" s="77"/>
      <c r="O1841" s="77"/>
      <c r="P1841" s="77"/>
      <c r="Q1841" s="77"/>
      <c r="R1841" s="77"/>
    </row>
    <row r="1842" spans="1:18">
      <c r="A1842" s="77"/>
      <c r="B1842" s="77"/>
      <c r="C1842" s="77"/>
      <c r="D1842" s="77"/>
      <c r="E1842" s="77"/>
      <c r="F1842" s="77"/>
      <c r="G1842" s="77"/>
      <c r="H1842" s="77"/>
      <c r="I1842" s="77"/>
      <c r="J1842" s="77"/>
      <c r="K1842" s="77"/>
      <c r="L1842" s="77"/>
      <c r="M1842" s="77"/>
      <c r="N1842" s="77"/>
      <c r="O1842" s="77"/>
      <c r="P1842" s="77"/>
      <c r="Q1842" s="77"/>
      <c r="R1842" s="77"/>
    </row>
    <row r="1843" spans="1:18">
      <c r="A1843" s="77"/>
      <c r="B1843" s="77"/>
      <c r="C1843" s="77"/>
      <c r="D1843" s="77"/>
      <c r="E1843" s="77"/>
      <c r="F1843" s="77"/>
      <c r="G1843" s="77"/>
      <c r="H1843" s="77"/>
      <c r="I1843" s="77"/>
      <c r="J1843" s="77"/>
      <c r="K1843" s="77"/>
      <c r="L1843" s="77"/>
      <c r="M1843" s="77"/>
      <c r="N1843" s="77"/>
      <c r="O1843" s="77"/>
      <c r="P1843" s="77"/>
      <c r="Q1843" s="77"/>
      <c r="R1843" s="77"/>
    </row>
    <row r="1844" spans="1:18">
      <c r="A1844" s="77"/>
      <c r="B1844" s="77"/>
      <c r="C1844" s="77"/>
      <c r="D1844" s="77"/>
      <c r="E1844" s="77"/>
      <c r="F1844" s="77"/>
      <c r="G1844" s="77"/>
      <c r="H1844" s="77"/>
      <c r="I1844" s="77"/>
      <c r="J1844" s="77"/>
      <c r="K1844" s="77"/>
      <c r="L1844" s="77"/>
      <c r="M1844" s="77"/>
      <c r="N1844" s="77"/>
      <c r="O1844" s="77"/>
      <c r="P1844" s="77"/>
      <c r="Q1844" s="77"/>
      <c r="R1844" s="77"/>
    </row>
    <row r="1845" spans="1:18">
      <c r="A1845" s="77"/>
      <c r="B1845" s="77"/>
      <c r="C1845" s="77"/>
      <c r="D1845" s="77"/>
      <c r="E1845" s="77"/>
      <c r="F1845" s="77"/>
      <c r="G1845" s="77"/>
      <c r="H1845" s="77"/>
      <c r="I1845" s="77"/>
      <c r="J1845" s="77"/>
      <c r="K1845" s="77"/>
      <c r="L1845" s="77"/>
      <c r="M1845" s="77"/>
      <c r="N1845" s="77"/>
      <c r="O1845" s="77"/>
      <c r="P1845" s="77"/>
      <c r="Q1845" s="77"/>
      <c r="R1845" s="77"/>
    </row>
    <row r="1846" spans="1:18">
      <c r="A1846" s="77"/>
      <c r="B1846" s="77"/>
      <c r="C1846" s="77"/>
      <c r="D1846" s="77"/>
      <c r="E1846" s="77"/>
      <c r="F1846" s="77"/>
      <c r="G1846" s="77"/>
      <c r="H1846" s="77"/>
      <c r="I1846" s="77"/>
      <c r="J1846" s="77"/>
      <c r="K1846" s="77"/>
      <c r="L1846" s="77"/>
      <c r="M1846" s="77"/>
      <c r="N1846" s="77"/>
      <c r="O1846" s="77"/>
      <c r="P1846" s="77"/>
      <c r="Q1846" s="77"/>
      <c r="R1846" s="77"/>
    </row>
    <row r="1847" spans="1:18">
      <c r="A1847" s="77"/>
      <c r="B1847" s="77"/>
      <c r="C1847" s="77"/>
      <c r="D1847" s="77"/>
      <c r="E1847" s="77"/>
      <c r="F1847" s="77"/>
      <c r="G1847" s="77"/>
      <c r="H1847" s="77"/>
      <c r="I1847" s="77"/>
      <c r="J1847" s="77"/>
      <c r="K1847" s="77"/>
      <c r="L1847" s="77"/>
      <c r="M1847" s="77"/>
      <c r="N1847" s="77"/>
      <c r="O1847" s="77"/>
      <c r="P1847" s="77"/>
      <c r="Q1847" s="77"/>
      <c r="R1847" s="77"/>
    </row>
    <row r="1848" spans="1:18">
      <c r="A1848" s="77"/>
      <c r="B1848" s="77"/>
      <c r="C1848" s="77"/>
      <c r="D1848" s="77"/>
      <c r="E1848" s="77"/>
      <c r="F1848" s="77"/>
      <c r="G1848" s="77"/>
      <c r="H1848" s="77"/>
      <c r="I1848" s="77"/>
      <c r="J1848" s="77"/>
      <c r="K1848" s="77"/>
      <c r="L1848" s="77"/>
      <c r="M1848" s="77"/>
      <c r="N1848" s="77"/>
      <c r="O1848" s="77"/>
      <c r="P1848" s="77"/>
      <c r="Q1848" s="77"/>
      <c r="R1848" s="77"/>
    </row>
    <row r="1849" spans="1:18">
      <c r="A1849" s="77"/>
      <c r="B1849" s="77"/>
      <c r="C1849" s="77"/>
      <c r="D1849" s="77"/>
      <c r="E1849" s="77"/>
      <c r="F1849" s="77"/>
      <c r="G1849" s="77"/>
      <c r="H1849" s="77"/>
      <c r="I1849" s="77"/>
      <c r="J1849" s="77"/>
      <c r="K1849" s="77"/>
      <c r="L1849" s="77"/>
      <c r="M1849" s="77"/>
      <c r="N1849" s="77"/>
      <c r="O1849" s="77"/>
      <c r="P1849" s="77"/>
      <c r="Q1849" s="77"/>
      <c r="R1849" s="77"/>
    </row>
    <row r="1850" spans="1:18">
      <c r="A1850" s="77"/>
      <c r="B1850" s="77"/>
      <c r="C1850" s="77"/>
      <c r="D1850" s="77"/>
      <c r="E1850" s="77"/>
      <c r="F1850" s="77"/>
      <c r="G1850" s="77"/>
      <c r="H1850" s="77"/>
      <c r="I1850" s="77"/>
      <c r="J1850" s="77"/>
      <c r="K1850" s="77"/>
      <c r="L1850" s="77"/>
      <c r="M1850" s="77"/>
      <c r="N1850" s="77"/>
      <c r="O1850" s="77"/>
      <c r="P1850" s="77"/>
      <c r="Q1850" s="77"/>
      <c r="R1850" s="77"/>
    </row>
    <row r="1851" spans="1:18">
      <c r="A1851" s="77"/>
      <c r="B1851" s="77"/>
      <c r="C1851" s="77"/>
      <c r="D1851" s="77"/>
      <c r="E1851" s="77"/>
      <c r="F1851" s="77"/>
      <c r="G1851" s="77"/>
      <c r="H1851" s="77"/>
      <c r="I1851" s="77"/>
      <c r="J1851" s="77"/>
      <c r="K1851" s="77"/>
      <c r="L1851" s="77"/>
      <c r="M1851" s="77"/>
      <c r="N1851" s="77"/>
      <c r="O1851" s="77"/>
      <c r="P1851" s="77"/>
      <c r="Q1851" s="77"/>
      <c r="R1851" s="77"/>
    </row>
    <row r="1852" spans="1:18">
      <c r="A1852" s="77"/>
      <c r="B1852" s="77"/>
      <c r="C1852" s="77"/>
      <c r="D1852" s="77"/>
      <c r="E1852" s="77"/>
      <c r="F1852" s="77"/>
      <c r="G1852" s="77"/>
      <c r="H1852" s="77"/>
      <c r="I1852" s="77"/>
      <c r="J1852" s="77"/>
      <c r="K1852" s="77"/>
      <c r="L1852" s="77"/>
      <c r="M1852" s="77"/>
      <c r="N1852" s="77"/>
      <c r="O1852" s="77"/>
      <c r="P1852" s="77"/>
      <c r="Q1852" s="77"/>
      <c r="R1852" s="77"/>
    </row>
    <row r="1853" spans="1:18">
      <c r="A1853" s="77"/>
      <c r="B1853" s="77"/>
      <c r="C1853" s="77"/>
      <c r="D1853" s="77"/>
      <c r="E1853" s="77"/>
      <c r="F1853" s="77"/>
      <c r="G1853" s="77"/>
      <c r="H1853" s="77"/>
      <c r="I1853" s="77"/>
      <c r="J1853" s="77"/>
      <c r="K1853" s="77"/>
      <c r="L1853" s="77"/>
      <c r="M1853" s="77"/>
      <c r="N1853" s="77"/>
      <c r="O1853" s="77"/>
      <c r="P1853" s="77"/>
      <c r="Q1853" s="77"/>
      <c r="R1853" s="77"/>
    </row>
    <row r="1854" spans="1:18">
      <c r="A1854" s="77"/>
      <c r="B1854" s="77"/>
      <c r="C1854" s="77"/>
      <c r="D1854" s="77"/>
      <c r="E1854" s="77"/>
      <c r="F1854" s="77"/>
      <c r="G1854" s="77"/>
      <c r="H1854" s="77"/>
      <c r="I1854" s="77"/>
      <c r="J1854" s="77"/>
      <c r="K1854" s="77"/>
      <c r="L1854" s="77"/>
      <c r="M1854" s="77"/>
      <c r="N1854" s="77"/>
      <c r="O1854" s="77"/>
      <c r="P1854" s="77"/>
      <c r="Q1854" s="77"/>
      <c r="R1854" s="77"/>
    </row>
    <row r="1855" spans="1:18">
      <c r="A1855" s="77"/>
      <c r="B1855" s="77"/>
      <c r="C1855" s="77"/>
      <c r="D1855" s="77"/>
      <c r="E1855" s="77"/>
      <c r="F1855" s="77"/>
      <c r="G1855" s="77"/>
      <c r="H1855" s="77"/>
      <c r="I1855" s="77"/>
      <c r="J1855" s="77"/>
      <c r="K1855" s="77"/>
      <c r="L1855" s="77"/>
      <c r="M1855" s="77"/>
      <c r="N1855" s="77"/>
      <c r="O1855" s="77"/>
      <c r="P1855" s="77"/>
      <c r="Q1855" s="77"/>
      <c r="R1855" s="77"/>
    </row>
    <row r="1856" spans="1:18">
      <c r="A1856" s="77"/>
      <c r="B1856" s="77"/>
      <c r="C1856" s="77"/>
      <c r="D1856" s="77"/>
      <c r="E1856" s="77"/>
      <c r="F1856" s="77"/>
      <c r="G1856" s="77"/>
      <c r="H1856" s="77"/>
      <c r="I1856" s="77"/>
      <c r="J1856" s="77"/>
      <c r="K1856" s="77"/>
      <c r="L1856" s="77"/>
      <c r="M1856" s="77"/>
      <c r="N1856" s="77"/>
      <c r="O1856" s="77"/>
      <c r="P1856" s="77"/>
      <c r="Q1856" s="77"/>
      <c r="R1856" s="77"/>
    </row>
    <row r="1857" spans="1:18">
      <c r="A1857" s="77"/>
      <c r="B1857" s="77"/>
      <c r="C1857" s="77"/>
      <c r="D1857" s="77"/>
      <c r="E1857" s="77"/>
      <c r="F1857" s="77"/>
      <c r="G1857" s="77"/>
      <c r="H1857" s="77"/>
      <c r="I1857" s="77"/>
      <c r="J1857" s="77"/>
      <c r="K1857" s="77"/>
      <c r="L1857" s="77"/>
      <c r="M1857" s="77"/>
      <c r="N1857" s="77"/>
      <c r="O1857" s="77"/>
      <c r="P1857" s="77"/>
      <c r="Q1857" s="77"/>
      <c r="R1857" s="77"/>
    </row>
    <row r="1858" spans="1:18">
      <c r="A1858" s="77"/>
      <c r="B1858" s="77"/>
      <c r="C1858" s="77"/>
      <c r="D1858" s="77"/>
      <c r="E1858" s="77"/>
      <c r="F1858" s="77"/>
      <c r="G1858" s="77"/>
      <c r="H1858" s="77"/>
      <c r="I1858" s="77"/>
      <c r="J1858" s="77"/>
      <c r="K1858" s="77"/>
      <c r="L1858" s="77"/>
      <c r="M1858" s="77"/>
      <c r="N1858" s="77"/>
      <c r="O1858" s="77"/>
      <c r="P1858" s="77"/>
      <c r="Q1858" s="77"/>
      <c r="R1858" s="77"/>
    </row>
    <row r="1859" spans="1:18">
      <c r="A1859" s="77"/>
      <c r="B1859" s="77"/>
      <c r="C1859" s="77"/>
      <c r="D1859" s="77"/>
      <c r="E1859" s="77"/>
      <c r="F1859" s="77"/>
      <c r="G1859" s="77"/>
      <c r="H1859" s="77"/>
      <c r="I1859" s="77"/>
      <c r="J1859" s="77"/>
      <c r="K1859" s="77"/>
      <c r="L1859" s="77"/>
      <c r="M1859" s="77"/>
      <c r="N1859" s="77"/>
      <c r="O1859" s="77"/>
      <c r="P1859" s="77"/>
      <c r="Q1859" s="77"/>
      <c r="R1859" s="77"/>
    </row>
    <row r="1860" spans="1:18">
      <c r="A1860" s="77"/>
      <c r="B1860" s="77"/>
      <c r="C1860" s="77"/>
      <c r="D1860" s="77"/>
      <c r="E1860" s="77"/>
      <c r="F1860" s="77"/>
      <c r="G1860" s="77"/>
      <c r="H1860" s="77"/>
      <c r="I1860" s="77"/>
      <c r="J1860" s="77"/>
      <c r="K1860" s="77"/>
      <c r="L1860" s="77"/>
      <c r="M1860" s="77"/>
      <c r="N1860" s="77"/>
      <c r="O1860" s="77"/>
      <c r="P1860" s="77"/>
      <c r="Q1860" s="77"/>
      <c r="R1860" s="77"/>
    </row>
    <row r="1861" spans="1:18">
      <c r="A1861" s="77"/>
      <c r="B1861" s="77"/>
      <c r="C1861" s="77"/>
      <c r="D1861" s="77"/>
      <c r="E1861" s="77"/>
      <c r="F1861" s="77"/>
      <c r="G1861" s="77"/>
      <c r="H1861" s="77"/>
      <c r="I1861" s="77"/>
      <c r="J1861" s="77"/>
      <c r="K1861" s="77"/>
      <c r="L1861" s="77"/>
      <c r="M1861" s="77"/>
      <c r="N1861" s="77"/>
      <c r="O1861" s="77"/>
      <c r="P1861" s="77"/>
      <c r="Q1861" s="77"/>
      <c r="R1861" s="77"/>
    </row>
    <row r="1862" spans="1:18">
      <c r="A1862" s="77"/>
      <c r="B1862" s="77"/>
      <c r="C1862" s="77"/>
      <c r="D1862" s="77"/>
      <c r="E1862" s="77"/>
      <c r="F1862" s="77"/>
      <c r="G1862" s="77"/>
      <c r="H1862" s="77"/>
      <c r="I1862" s="77"/>
      <c r="J1862" s="77"/>
      <c r="K1862" s="77"/>
      <c r="L1862" s="77"/>
      <c r="M1862" s="77"/>
      <c r="N1862" s="77"/>
      <c r="O1862" s="77"/>
      <c r="P1862" s="77"/>
      <c r="Q1862" s="77"/>
      <c r="R1862" s="77"/>
    </row>
    <row r="1863" spans="1:18">
      <c r="A1863" s="77"/>
      <c r="B1863" s="77"/>
      <c r="C1863" s="77"/>
      <c r="D1863" s="77"/>
      <c r="E1863" s="77"/>
      <c r="F1863" s="77"/>
      <c r="G1863" s="77"/>
      <c r="H1863" s="77"/>
      <c r="I1863" s="77"/>
      <c r="J1863" s="77"/>
      <c r="K1863" s="77"/>
      <c r="L1863" s="77"/>
      <c r="M1863" s="77"/>
      <c r="N1863" s="77"/>
      <c r="O1863" s="77"/>
      <c r="P1863" s="77"/>
      <c r="Q1863" s="77"/>
      <c r="R1863" s="77"/>
    </row>
    <row r="1864" spans="1:18">
      <c r="A1864" s="77"/>
      <c r="B1864" s="77"/>
      <c r="C1864" s="77"/>
      <c r="D1864" s="77"/>
      <c r="E1864" s="77"/>
      <c r="F1864" s="77"/>
      <c r="G1864" s="77"/>
      <c r="H1864" s="77"/>
      <c r="I1864" s="77"/>
      <c r="J1864" s="77"/>
      <c r="K1864" s="77"/>
      <c r="L1864" s="77"/>
      <c r="M1864" s="77"/>
      <c r="N1864" s="77"/>
      <c r="O1864" s="77"/>
      <c r="P1864" s="77"/>
      <c r="Q1864" s="77"/>
      <c r="R1864" s="77"/>
    </row>
    <row r="1865" spans="1:18">
      <c r="A1865" s="77"/>
      <c r="B1865" s="77"/>
      <c r="C1865" s="77"/>
      <c r="D1865" s="77"/>
      <c r="E1865" s="77"/>
      <c r="F1865" s="77"/>
      <c r="G1865" s="77"/>
      <c r="H1865" s="77"/>
      <c r="I1865" s="77"/>
      <c r="J1865" s="77"/>
      <c r="K1865" s="77"/>
      <c r="L1865" s="77"/>
      <c r="M1865" s="77"/>
      <c r="N1865" s="77"/>
      <c r="O1865" s="77"/>
      <c r="P1865" s="77"/>
      <c r="Q1865" s="77"/>
      <c r="R1865" s="77"/>
    </row>
    <row r="1866" spans="1:18">
      <c r="A1866" s="77"/>
      <c r="B1866" s="77"/>
      <c r="C1866" s="77"/>
      <c r="D1866" s="77"/>
      <c r="E1866" s="77"/>
      <c r="F1866" s="77"/>
      <c r="G1866" s="77"/>
      <c r="H1866" s="77"/>
      <c r="I1866" s="77"/>
      <c r="J1866" s="77"/>
      <c r="K1866" s="77"/>
      <c r="L1866" s="77"/>
      <c r="M1866" s="77"/>
      <c r="N1866" s="77"/>
      <c r="O1866" s="77"/>
      <c r="P1866" s="77"/>
      <c r="Q1866" s="77"/>
      <c r="R1866" s="77"/>
    </row>
    <row r="1867" spans="1:18">
      <c r="A1867" s="77"/>
      <c r="B1867" s="77"/>
      <c r="C1867" s="77"/>
      <c r="D1867" s="77"/>
      <c r="E1867" s="77"/>
      <c r="F1867" s="77"/>
      <c r="G1867" s="77"/>
      <c r="H1867" s="77"/>
      <c r="I1867" s="77"/>
      <c r="J1867" s="77"/>
      <c r="K1867" s="77"/>
      <c r="L1867" s="77"/>
      <c r="M1867" s="77"/>
      <c r="N1867" s="77"/>
      <c r="O1867" s="77"/>
      <c r="P1867" s="77"/>
      <c r="Q1867" s="77"/>
      <c r="R1867" s="77"/>
    </row>
    <row r="1868" spans="1:18">
      <c r="A1868" s="77"/>
      <c r="B1868" s="77"/>
      <c r="C1868" s="77"/>
      <c r="D1868" s="77"/>
      <c r="E1868" s="77"/>
      <c r="F1868" s="77"/>
      <c r="G1868" s="77"/>
      <c r="H1868" s="77"/>
      <c r="I1868" s="77"/>
      <c r="J1868" s="77"/>
      <c r="K1868" s="77"/>
      <c r="L1868" s="77"/>
      <c r="M1868" s="77"/>
      <c r="N1868" s="77"/>
      <c r="O1868" s="77"/>
      <c r="P1868" s="77"/>
      <c r="Q1868" s="77"/>
      <c r="R1868" s="77"/>
    </row>
    <row r="1869" spans="1:18">
      <c r="A1869" s="77"/>
      <c r="B1869" s="77"/>
      <c r="C1869" s="77"/>
      <c r="D1869" s="77"/>
      <c r="E1869" s="77"/>
      <c r="F1869" s="77"/>
      <c r="G1869" s="77"/>
      <c r="H1869" s="77"/>
      <c r="I1869" s="77"/>
      <c r="J1869" s="77"/>
      <c r="K1869" s="77"/>
      <c r="L1869" s="77"/>
      <c r="M1869" s="77"/>
      <c r="N1869" s="77"/>
      <c r="O1869" s="77"/>
      <c r="P1869" s="77"/>
      <c r="Q1869" s="77"/>
      <c r="R1869" s="77"/>
    </row>
    <row r="1870" spans="1:18">
      <c r="A1870" s="77"/>
      <c r="B1870" s="77"/>
      <c r="C1870" s="77"/>
      <c r="D1870" s="77"/>
      <c r="E1870" s="77"/>
      <c r="F1870" s="77"/>
      <c r="G1870" s="77"/>
      <c r="H1870" s="77"/>
      <c r="I1870" s="77"/>
      <c r="J1870" s="77"/>
      <c r="K1870" s="77"/>
      <c r="L1870" s="77"/>
      <c r="M1870" s="77"/>
      <c r="N1870" s="77"/>
      <c r="O1870" s="77"/>
      <c r="P1870" s="77"/>
      <c r="Q1870" s="77"/>
      <c r="R1870" s="77"/>
    </row>
    <row r="1871" spans="1:18">
      <c r="A1871" s="77"/>
      <c r="B1871" s="77"/>
      <c r="C1871" s="77"/>
      <c r="D1871" s="77"/>
      <c r="E1871" s="77"/>
      <c r="F1871" s="77"/>
      <c r="G1871" s="77"/>
      <c r="H1871" s="77"/>
      <c r="I1871" s="77"/>
      <c r="J1871" s="77"/>
      <c r="K1871" s="77"/>
      <c r="L1871" s="77"/>
      <c r="M1871" s="77"/>
      <c r="N1871" s="77"/>
      <c r="O1871" s="77"/>
      <c r="P1871" s="77"/>
      <c r="Q1871" s="77"/>
      <c r="R1871" s="77"/>
    </row>
    <row r="1872" spans="1:18">
      <c r="A1872" s="77"/>
      <c r="B1872" s="77"/>
      <c r="C1872" s="77"/>
      <c r="D1872" s="77"/>
      <c r="E1872" s="77"/>
      <c r="F1872" s="77"/>
      <c r="G1872" s="77"/>
      <c r="H1872" s="77"/>
      <c r="I1872" s="77"/>
      <c r="J1872" s="77"/>
      <c r="K1872" s="77"/>
      <c r="L1872" s="77"/>
      <c r="M1872" s="77"/>
      <c r="N1872" s="77"/>
      <c r="O1872" s="77"/>
      <c r="P1872" s="77"/>
      <c r="Q1872" s="77"/>
      <c r="R1872" s="77"/>
    </row>
    <row r="1873" spans="1:18">
      <c r="A1873" s="77"/>
      <c r="B1873" s="77"/>
      <c r="C1873" s="77"/>
      <c r="D1873" s="77"/>
      <c r="E1873" s="77"/>
      <c r="F1873" s="77"/>
      <c r="G1873" s="77"/>
      <c r="H1873" s="77"/>
      <c r="I1873" s="77"/>
      <c r="J1873" s="77"/>
      <c r="K1873" s="77"/>
      <c r="L1873" s="77"/>
      <c r="M1873" s="77"/>
      <c r="N1873" s="77"/>
      <c r="O1873" s="77"/>
      <c r="P1873" s="77"/>
      <c r="Q1873" s="77"/>
      <c r="R1873" s="77"/>
    </row>
    <row r="1874" spans="1:18">
      <c r="A1874" s="77"/>
      <c r="B1874" s="77"/>
      <c r="C1874" s="77"/>
      <c r="D1874" s="77"/>
      <c r="E1874" s="77"/>
      <c r="F1874" s="77"/>
      <c r="G1874" s="77"/>
      <c r="H1874" s="77"/>
      <c r="I1874" s="77"/>
      <c r="J1874" s="77"/>
      <c r="K1874" s="77"/>
      <c r="L1874" s="77"/>
      <c r="M1874" s="77"/>
      <c r="N1874" s="77"/>
      <c r="O1874" s="77"/>
      <c r="P1874" s="77"/>
      <c r="Q1874" s="77"/>
      <c r="R1874" s="77"/>
    </row>
    <row r="1875" spans="1:18">
      <c r="A1875" s="77"/>
      <c r="B1875" s="77"/>
      <c r="C1875" s="77"/>
      <c r="D1875" s="77"/>
      <c r="E1875" s="77"/>
      <c r="F1875" s="77"/>
      <c r="G1875" s="77"/>
      <c r="H1875" s="77"/>
      <c r="I1875" s="77"/>
      <c r="J1875" s="77"/>
      <c r="K1875" s="77"/>
      <c r="L1875" s="77"/>
      <c r="M1875" s="77"/>
      <c r="N1875" s="77"/>
      <c r="O1875" s="77"/>
      <c r="P1875" s="77"/>
      <c r="Q1875" s="77"/>
      <c r="R1875" s="77"/>
    </row>
    <row r="1876" spans="1:18">
      <c r="A1876" s="77"/>
      <c r="B1876" s="77"/>
      <c r="C1876" s="77"/>
      <c r="D1876" s="77"/>
      <c r="E1876" s="77"/>
      <c r="F1876" s="77"/>
      <c r="G1876" s="77"/>
      <c r="H1876" s="77"/>
      <c r="I1876" s="77"/>
      <c r="J1876" s="77"/>
      <c r="K1876" s="77"/>
      <c r="L1876" s="77"/>
      <c r="M1876" s="77"/>
      <c r="N1876" s="77"/>
      <c r="O1876" s="77"/>
      <c r="P1876" s="77"/>
      <c r="Q1876" s="77"/>
      <c r="R1876" s="77"/>
    </row>
    <row r="1877" spans="1:18">
      <c r="A1877" s="77"/>
      <c r="B1877" s="77"/>
      <c r="C1877" s="77"/>
      <c r="D1877" s="77"/>
      <c r="E1877" s="77"/>
      <c r="F1877" s="77"/>
      <c r="G1877" s="77"/>
      <c r="H1877" s="77"/>
      <c r="I1877" s="77"/>
      <c r="J1877" s="77"/>
      <c r="K1877" s="77"/>
      <c r="L1877" s="77"/>
      <c r="M1877" s="77"/>
      <c r="N1877" s="77"/>
      <c r="O1877" s="77"/>
      <c r="P1877" s="77"/>
      <c r="Q1877" s="77"/>
      <c r="R1877" s="77"/>
    </row>
    <row r="1878" spans="1:18">
      <c r="A1878" s="77"/>
      <c r="B1878" s="77"/>
      <c r="C1878" s="77"/>
      <c r="D1878" s="77"/>
      <c r="E1878" s="77"/>
      <c r="F1878" s="77"/>
      <c r="G1878" s="77"/>
      <c r="H1878" s="77"/>
      <c r="I1878" s="77"/>
      <c r="J1878" s="77"/>
      <c r="K1878" s="77"/>
      <c r="L1878" s="77"/>
      <c r="M1878" s="77"/>
      <c r="N1878" s="77"/>
      <c r="O1878" s="77"/>
      <c r="P1878" s="77"/>
      <c r="Q1878" s="77"/>
      <c r="R1878" s="77"/>
    </row>
    <row r="1879" spans="1:18">
      <c r="A1879" s="77"/>
      <c r="B1879" s="77"/>
      <c r="C1879" s="77"/>
      <c r="D1879" s="77"/>
      <c r="E1879" s="77"/>
      <c r="F1879" s="77"/>
      <c r="G1879" s="77"/>
      <c r="H1879" s="77"/>
      <c r="I1879" s="77"/>
      <c r="J1879" s="77"/>
      <c r="K1879" s="77"/>
      <c r="L1879" s="77"/>
      <c r="M1879" s="77"/>
      <c r="N1879" s="77"/>
      <c r="O1879" s="77"/>
      <c r="P1879" s="77"/>
      <c r="Q1879" s="77"/>
      <c r="R1879" s="77"/>
    </row>
    <row r="1880" spans="1:18">
      <c r="A1880" s="77"/>
      <c r="B1880" s="77"/>
      <c r="C1880" s="77"/>
      <c r="D1880" s="77"/>
      <c r="E1880" s="77"/>
      <c r="F1880" s="77"/>
      <c r="G1880" s="77"/>
      <c r="H1880" s="77"/>
      <c r="I1880" s="77"/>
      <c r="J1880" s="77"/>
      <c r="K1880" s="77"/>
      <c r="L1880" s="77"/>
      <c r="M1880" s="77"/>
      <c r="N1880" s="77"/>
      <c r="O1880" s="77"/>
      <c r="P1880" s="77"/>
      <c r="Q1880" s="77"/>
      <c r="R1880" s="77"/>
    </row>
    <row r="1881" spans="1:18">
      <c r="A1881" s="77"/>
      <c r="B1881" s="77"/>
      <c r="C1881" s="77"/>
      <c r="D1881" s="77"/>
      <c r="E1881" s="77"/>
      <c r="F1881" s="77"/>
      <c r="G1881" s="77"/>
      <c r="H1881" s="77"/>
      <c r="I1881" s="77"/>
      <c r="J1881" s="77"/>
      <c r="K1881" s="77"/>
      <c r="L1881" s="77"/>
      <c r="M1881" s="77"/>
      <c r="N1881" s="77"/>
      <c r="O1881" s="77"/>
      <c r="P1881" s="77"/>
      <c r="Q1881" s="77"/>
      <c r="R1881" s="77"/>
    </row>
    <row r="1882" spans="1:18">
      <c r="A1882" s="77"/>
      <c r="B1882" s="77"/>
      <c r="C1882" s="77"/>
      <c r="D1882" s="77"/>
      <c r="E1882" s="77"/>
      <c r="F1882" s="77"/>
      <c r="G1882" s="77"/>
      <c r="H1882" s="77"/>
      <c r="I1882" s="77"/>
      <c r="J1882" s="77"/>
      <c r="K1882" s="77"/>
      <c r="L1882" s="77"/>
      <c r="M1882" s="77"/>
      <c r="N1882" s="77"/>
      <c r="O1882" s="77"/>
      <c r="P1882" s="77"/>
      <c r="Q1882" s="77"/>
      <c r="R1882" s="77"/>
    </row>
    <row r="1883" spans="1:18">
      <c r="A1883" s="77"/>
      <c r="B1883" s="77"/>
      <c r="C1883" s="77"/>
      <c r="D1883" s="77"/>
      <c r="E1883" s="77"/>
      <c r="F1883" s="77"/>
      <c r="G1883" s="77"/>
      <c r="H1883" s="77"/>
      <c r="I1883" s="77"/>
      <c r="J1883" s="77"/>
      <c r="K1883" s="77"/>
      <c r="L1883" s="77"/>
      <c r="M1883" s="77"/>
      <c r="N1883" s="77"/>
      <c r="O1883" s="77"/>
      <c r="P1883" s="77"/>
      <c r="Q1883" s="77"/>
      <c r="R1883" s="77"/>
    </row>
    <row r="1884" spans="1:18">
      <c r="A1884" s="77"/>
      <c r="B1884" s="77"/>
      <c r="C1884" s="77"/>
      <c r="D1884" s="77"/>
      <c r="E1884" s="77"/>
      <c r="F1884" s="77"/>
      <c r="G1884" s="77"/>
      <c r="H1884" s="77"/>
      <c r="I1884" s="77"/>
      <c r="J1884" s="77"/>
      <c r="K1884" s="77"/>
      <c r="L1884" s="77"/>
      <c r="M1884" s="77"/>
      <c r="N1884" s="77"/>
      <c r="O1884" s="77"/>
      <c r="P1884" s="77"/>
      <c r="Q1884" s="77"/>
      <c r="R1884" s="77"/>
    </row>
    <row r="1885" spans="1:18">
      <c r="A1885" s="77"/>
      <c r="B1885" s="77"/>
      <c r="C1885" s="77"/>
      <c r="D1885" s="77"/>
      <c r="E1885" s="77"/>
      <c r="F1885" s="77"/>
      <c r="G1885" s="77"/>
      <c r="H1885" s="77"/>
      <c r="I1885" s="77"/>
      <c r="J1885" s="77"/>
      <c r="K1885" s="77"/>
      <c r="L1885" s="77"/>
      <c r="M1885" s="77"/>
      <c r="N1885" s="77"/>
      <c r="O1885" s="77"/>
      <c r="P1885" s="77"/>
      <c r="Q1885" s="77"/>
      <c r="R1885" s="77"/>
    </row>
    <row r="1886" spans="1:18">
      <c r="A1886" s="77"/>
      <c r="B1886" s="77"/>
      <c r="C1886" s="77"/>
      <c r="D1886" s="77"/>
      <c r="E1886" s="77"/>
      <c r="F1886" s="77"/>
      <c r="G1886" s="77"/>
      <c r="H1886" s="77"/>
      <c r="I1886" s="77"/>
      <c r="J1886" s="77"/>
      <c r="K1886" s="77"/>
      <c r="L1886" s="77"/>
      <c r="M1886" s="77"/>
      <c r="N1886" s="77"/>
      <c r="O1886" s="77"/>
      <c r="P1886" s="77"/>
      <c r="Q1886" s="77"/>
      <c r="R1886" s="77"/>
    </row>
    <row r="1887" spans="1:18">
      <c r="A1887" s="77"/>
      <c r="B1887" s="77"/>
      <c r="C1887" s="77"/>
      <c r="D1887" s="77"/>
      <c r="E1887" s="77"/>
      <c r="F1887" s="77"/>
      <c r="G1887" s="77"/>
      <c r="H1887" s="77"/>
      <c r="I1887" s="77"/>
      <c r="J1887" s="77"/>
      <c r="K1887" s="77"/>
      <c r="L1887" s="77"/>
      <c r="M1887" s="77"/>
      <c r="N1887" s="77"/>
      <c r="O1887" s="77"/>
      <c r="P1887" s="77"/>
      <c r="Q1887" s="77"/>
      <c r="R1887" s="77"/>
    </row>
    <row r="1888" spans="1:18">
      <c r="A1888" s="77"/>
      <c r="B1888" s="77"/>
      <c r="C1888" s="77"/>
      <c r="D1888" s="77"/>
      <c r="E1888" s="77"/>
      <c r="F1888" s="77"/>
      <c r="G1888" s="77"/>
      <c r="H1888" s="77"/>
      <c r="I1888" s="77"/>
      <c r="J1888" s="77"/>
      <c r="K1888" s="77"/>
      <c r="L1888" s="77"/>
      <c r="M1888" s="77"/>
      <c r="N1888" s="77"/>
      <c r="O1888" s="77"/>
      <c r="P1888" s="77"/>
      <c r="Q1888" s="77"/>
      <c r="R1888" s="77"/>
    </row>
    <row r="1889" spans="1:18">
      <c r="A1889" s="77"/>
      <c r="B1889" s="77"/>
      <c r="C1889" s="77"/>
      <c r="D1889" s="77"/>
      <c r="E1889" s="77"/>
      <c r="F1889" s="77"/>
      <c r="G1889" s="77"/>
      <c r="H1889" s="77"/>
      <c r="I1889" s="77"/>
      <c r="J1889" s="77"/>
      <c r="K1889" s="77"/>
      <c r="L1889" s="77"/>
      <c r="M1889" s="77"/>
      <c r="N1889" s="77"/>
      <c r="O1889" s="77"/>
      <c r="P1889" s="77"/>
      <c r="Q1889" s="77"/>
      <c r="R1889" s="77"/>
    </row>
    <row r="1890" spans="1:18">
      <c r="A1890" s="77"/>
      <c r="B1890" s="77"/>
      <c r="C1890" s="77"/>
      <c r="D1890" s="77"/>
      <c r="E1890" s="77"/>
      <c r="F1890" s="77"/>
      <c r="G1890" s="77"/>
      <c r="H1890" s="77"/>
      <c r="I1890" s="77"/>
      <c r="J1890" s="77"/>
      <c r="K1890" s="77"/>
      <c r="L1890" s="77"/>
      <c r="M1890" s="77"/>
      <c r="N1890" s="77"/>
      <c r="O1890" s="77"/>
      <c r="P1890" s="77"/>
      <c r="Q1890" s="77"/>
      <c r="R1890" s="77"/>
    </row>
    <row r="1891" spans="1:18">
      <c r="A1891" s="77"/>
      <c r="B1891" s="77"/>
      <c r="C1891" s="77"/>
      <c r="D1891" s="77"/>
      <c r="E1891" s="77"/>
      <c r="F1891" s="77"/>
      <c r="G1891" s="77"/>
      <c r="H1891" s="77"/>
      <c r="I1891" s="77"/>
      <c r="J1891" s="77"/>
      <c r="K1891" s="77"/>
      <c r="L1891" s="77"/>
      <c r="M1891" s="77"/>
      <c r="N1891" s="77"/>
      <c r="O1891" s="77"/>
      <c r="P1891" s="77"/>
      <c r="Q1891" s="77"/>
      <c r="R1891" s="77"/>
    </row>
    <row r="1892" spans="1:18">
      <c r="A1892" s="77"/>
      <c r="B1892" s="77"/>
      <c r="C1892" s="77"/>
      <c r="D1892" s="77"/>
      <c r="E1892" s="77"/>
      <c r="F1892" s="77"/>
      <c r="G1892" s="77"/>
      <c r="H1892" s="77"/>
      <c r="I1892" s="77"/>
      <c r="J1892" s="77"/>
      <c r="K1892" s="77"/>
      <c r="L1892" s="77"/>
      <c r="M1892" s="77"/>
      <c r="N1892" s="77"/>
      <c r="O1892" s="77"/>
      <c r="P1892" s="77"/>
      <c r="Q1892" s="77"/>
      <c r="R1892" s="77"/>
    </row>
    <row r="1893" spans="1:18">
      <c r="A1893" s="77"/>
      <c r="B1893" s="77"/>
      <c r="C1893" s="77"/>
      <c r="D1893" s="77"/>
      <c r="E1893" s="77"/>
      <c r="F1893" s="77"/>
      <c r="G1893" s="77"/>
      <c r="H1893" s="77"/>
      <c r="I1893" s="77"/>
      <c r="J1893" s="77"/>
      <c r="K1893" s="77"/>
      <c r="L1893" s="77"/>
      <c r="M1893" s="77"/>
      <c r="N1893" s="77"/>
      <c r="O1893" s="77"/>
      <c r="P1893" s="77"/>
      <c r="Q1893" s="77"/>
      <c r="R1893" s="77"/>
    </row>
    <row r="1894" spans="1:18">
      <c r="A1894" s="77"/>
      <c r="B1894" s="77"/>
      <c r="C1894" s="77"/>
      <c r="D1894" s="77"/>
      <c r="E1894" s="77"/>
      <c r="F1894" s="77"/>
      <c r="G1894" s="77"/>
      <c r="H1894" s="77"/>
      <c r="I1894" s="77"/>
      <c r="J1894" s="77"/>
      <c r="K1894" s="77"/>
      <c r="L1894" s="77"/>
      <c r="M1894" s="77"/>
      <c r="N1894" s="77"/>
      <c r="O1894" s="77"/>
      <c r="P1894" s="77"/>
      <c r="Q1894" s="77"/>
      <c r="R1894" s="77"/>
    </row>
    <row r="1895" spans="1:18">
      <c r="A1895" s="77"/>
      <c r="B1895" s="77"/>
      <c r="C1895" s="77"/>
      <c r="D1895" s="77"/>
      <c r="E1895" s="77"/>
      <c r="F1895" s="77"/>
      <c r="G1895" s="77"/>
      <c r="H1895" s="77"/>
      <c r="I1895" s="77"/>
      <c r="J1895" s="77"/>
      <c r="K1895" s="77"/>
      <c r="L1895" s="77"/>
      <c r="M1895" s="77"/>
      <c r="N1895" s="77"/>
      <c r="O1895" s="77"/>
      <c r="P1895" s="77"/>
      <c r="Q1895" s="77"/>
      <c r="R1895" s="77"/>
    </row>
    <row r="1896" spans="1:18">
      <c r="A1896" s="77"/>
      <c r="B1896" s="77"/>
      <c r="C1896" s="77"/>
      <c r="D1896" s="77"/>
      <c r="E1896" s="77"/>
      <c r="F1896" s="77"/>
      <c r="G1896" s="77"/>
      <c r="H1896" s="77"/>
      <c r="I1896" s="77"/>
      <c r="J1896" s="77"/>
      <c r="K1896" s="77"/>
      <c r="L1896" s="77"/>
      <c r="M1896" s="77"/>
      <c r="N1896" s="77"/>
      <c r="O1896" s="77"/>
      <c r="P1896" s="77"/>
      <c r="Q1896" s="77"/>
      <c r="R1896" s="77"/>
    </row>
    <row r="1897" spans="1:18">
      <c r="A1897" s="77"/>
      <c r="B1897" s="77"/>
      <c r="C1897" s="77"/>
      <c r="D1897" s="77"/>
      <c r="E1897" s="77"/>
      <c r="F1897" s="77"/>
      <c r="G1897" s="77"/>
      <c r="H1897" s="77"/>
      <c r="I1897" s="77"/>
      <c r="J1897" s="77"/>
      <c r="K1897" s="77"/>
      <c r="L1897" s="77"/>
      <c r="M1897" s="77"/>
      <c r="N1897" s="77"/>
      <c r="O1897" s="77"/>
      <c r="P1897" s="77"/>
      <c r="Q1897" s="77"/>
      <c r="R1897" s="77"/>
    </row>
    <row r="1898" spans="1:18">
      <c r="A1898" s="77"/>
      <c r="B1898" s="77"/>
      <c r="C1898" s="77"/>
      <c r="D1898" s="77"/>
      <c r="E1898" s="77"/>
      <c r="F1898" s="77"/>
      <c r="G1898" s="77"/>
      <c r="H1898" s="77"/>
      <c r="I1898" s="77"/>
      <c r="J1898" s="77"/>
      <c r="K1898" s="77"/>
      <c r="L1898" s="77"/>
      <c r="M1898" s="77"/>
      <c r="N1898" s="77"/>
      <c r="O1898" s="77"/>
      <c r="P1898" s="77"/>
      <c r="Q1898" s="77"/>
      <c r="R1898" s="77"/>
    </row>
    <row r="1899" spans="1:18">
      <c r="A1899" s="77"/>
      <c r="B1899" s="77"/>
      <c r="C1899" s="77"/>
      <c r="D1899" s="77"/>
      <c r="E1899" s="77"/>
      <c r="F1899" s="77"/>
      <c r="G1899" s="77"/>
      <c r="H1899" s="77"/>
      <c r="I1899" s="77"/>
      <c r="J1899" s="77"/>
      <c r="K1899" s="77"/>
      <c r="L1899" s="77"/>
      <c r="M1899" s="77"/>
      <c r="N1899" s="77"/>
      <c r="O1899" s="77"/>
      <c r="P1899" s="77"/>
      <c r="Q1899" s="77"/>
      <c r="R1899" s="77"/>
    </row>
    <row r="1900" spans="1:18">
      <c r="A1900" s="77"/>
      <c r="B1900" s="77"/>
      <c r="C1900" s="77"/>
      <c r="D1900" s="77"/>
      <c r="E1900" s="77"/>
      <c r="F1900" s="77"/>
      <c r="G1900" s="77"/>
      <c r="H1900" s="77"/>
      <c r="I1900" s="77"/>
      <c r="J1900" s="77"/>
      <c r="K1900" s="77"/>
      <c r="L1900" s="77"/>
      <c r="M1900" s="77"/>
      <c r="N1900" s="77"/>
      <c r="O1900" s="77"/>
      <c r="P1900" s="77"/>
      <c r="Q1900" s="77"/>
      <c r="R1900" s="77"/>
    </row>
    <row r="1901" spans="1:18">
      <c r="A1901" s="77"/>
      <c r="B1901" s="77"/>
      <c r="C1901" s="77"/>
      <c r="D1901" s="77"/>
      <c r="E1901" s="77"/>
      <c r="F1901" s="77"/>
      <c r="G1901" s="77"/>
      <c r="H1901" s="77"/>
      <c r="I1901" s="77"/>
      <c r="J1901" s="77"/>
      <c r="K1901" s="77"/>
      <c r="L1901" s="77"/>
      <c r="M1901" s="77"/>
      <c r="N1901" s="77"/>
      <c r="O1901" s="77"/>
      <c r="P1901" s="77"/>
      <c r="Q1901" s="77"/>
      <c r="R1901" s="77"/>
    </row>
    <row r="1902" spans="1:18">
      <c r="A1902" s="77"/>
      <c r="B1902" s="77"/>
      <c r="C1902" s="77"/>
      <c r="D1902" s="77"/>
      <c r="E1902" s="77"/>
      <c r="F1902" s="77"/>
      <c r="G1902" s="77"/>
      <c r="H1902" s="77"/>
      <c r="I1902" s="77"/>
      <c r="J1902" s="77"/>
      <c r="K1902" s="77"/>
      <c r="L1902" s="77"/>
      <c r="M1902" s="77"/>
      <c r="N1902" s="77"/>
      <c r="O1902" s="77"/>
      <c r="P1902" s="77"/>
      <c r="Q1902" s="77"/>
      <c r="R1902" s="77"/>
    </row>
    <row r="1903" spans="1:18">
      <c r="A1903" s="77"/>
      <c r="B1903" s="77"/>
      <c r="C1903" s="77"/>
      <c r="D1903" s="77"/>
      <c r="E1903" s="77"/>
      <c r="F1903" s="77"/>
      <c r="G1903" s="77"/>
      <c r="H1903" s="77"/>
      <c r="I1903" s="77"/>
      <c r="J1903" s="77"/>
      <c r="K1903" s="77"/>
      <c r="L1903" s="77"/>
      <c r="M1903" s="77"/>
      <c r="N1903" s="77"/>
      <c r="O1903" s="77"/>
      <c r="P1903" s="77"/>
      <c r="Q1903" s="77"/>
      <c r="R1903" s="77"/>
    </row>
    <row r="1904" spans="1:18">
      <c r="A1904" s="77"/>
      <c r="B1904" s="77"/>
      <c r="C1904" s="77"/>
      <c r="D1904" s="77"/>
      <c r="E1904" s="77"/>
      <c r="F1904" s="77"/>
      <c r="G1904" s="77"/>
      <c r="H1904" s="77"/>
      <c r="I1904" s="77"/>
      <c r="J1904" s="77"/>
      <c r="K1904" s="77"/>
      <c r="L1904" s="77"/>
      <c r="M1904" s="77"/>
      <c r="N1904" s="77"/>
      <c r="O1904" s="77"/>
      <c r="P1904" s="77"/>
      <c r="Q1904" s="77"/>
      <c r="R1904" s="77"/>
    </row>
    <row r="1905" spans="1:18">
      <c r="A1905" s="77"/>
      <c r="B1905" s="77"/>
      <c r="C1905" s="77"/>
      <c r="D1905" s="77"/>
      <c r="E1905" s="77"/>
      <c r="F1905" s="77"/>
      <c r="G1905" s="77"/>
      <c r="H1905" s="77"/>
      <c r="I1905" s="77"/>
      <c r="J1905" s="77"/>
      <c r="K1905" s="77"/>
      <c r="L1905" s="77"/>
      <c r="M1905" s="77"/>
      <c r="N1905" s="77"/>
      <c r="O1905" s="77"/>
      <c r="P1905" s="77"/>
      <c r="Q1905" s="77"/>
      <c r="R1905" s="77"/>
    </row>
    <row r="1906" spans="1:18">
      <c r="A1906" s="77"/>
      <c r="B1906" s="77"/>
      <c r="C1906" s="77"/>
      <c r="D1906" s="77"/>
      <c r="E1906" s="77"/>
      <c r="F1906" s="77"/>
      <c r="G1906" s="77"/>
      <c r="H1906" s="77"/>
      <c r="I1906" s="77"/>
      <c r="J1906" s="77"/>
      <c r="K1906" s="77"/>
      <c r="L1906" s="77"/>
      <c r="M1906" s="77"/>
      <c r="N1906" s="77"/>
      <c r="O1906" s="77"/>
      <c r="P1906" s="77"/>
      <c r="Q1906" s="77"/>
      <c r="R1906" s="77"/>
    </row>
    <row r="1907" spans="1:18">
      <c r="A1907" s="77"/>
      <c r="B1907" s="77"/>
      <c r="C1907" s="77"/>
      <c r="D1907" s="77"/>
      <c r="E1907" s="77"/>
      <c r="F1907" s="77"/>
      <c r="G1907" s="77"/>
      <c r="H1907" s="77"/>
      <c r="I1907" s="77"/>
      <c r="J1907" s="77"/>
      <c r="K1907" s="77"/>
      <c r="L1907" s="77"/>
      <c r="M1907" s="77"/>
      <c r="N1907" s="77"/>
      <c r="O1907" s="77"/>
      <c r="P1907" s="77"/>
      <c r="Q1907" s="77"/>
      <c r="R1907" s="77"/>
    </row>
    <row r="1908" spans="1:18">
      <c r="A1908" s="77"/>
      <c r="B1908" s="77"/>
      <c r="C1908" s="77"/>
      <c r="D1908" s="77"/>
      <c r="E1908" s="77"/>
      <c r="F1908" s="77"/>
      <c r="G1908" s="77"/>
      <c r="H1908" s="77"/>
      <c r="I1908" s="77"/>
      <c r="J1908" s="77"/>
      <c r="K1908" s="77"/>
      <c r="L1908" s="77"/>
      <c r="M1908" s="77"/>
      <c r="N1908" s="77"/>
      <c r="O1908" s="77"/>
      <c r="P1908" s="77"/>
      <c r="Q1908" s="77"/>
      <c r="R1908" s="77"/>
    </row>
    <row r="1909" spans="1:18">
      <c r="A1909" s="77"/>
      <c r="B1909" s="77"/>
      <c r="C1909" s="77"/>
      <c r="D1909" s="77"/>
      <c r="E1909" s="77"/>
      <c r="F1909" s="77"/>
      <c r="G1909" s="77"/>
      <c r="H1909" s="77"/>
      <c r="I1909" s="77"/>
      <c r="J1909" s="77"/>
      <c r="K1909" s="77"/>
      <c r="L1909" s="77"/>
      <c r="M1909" s="77"/>
      <c r="N1909" s="77"/>
      <c r="O1909" s="77"/>
      <c r="P1909" s="77"/>
      <c r="Q1909" s="77"/>
      <c r="R1909" s="77"/>
    </row>
    <row r="1910" spans="1:18">
      <c r="A1910" s="77"/>
      <c r="B1910" s="77"/>
      <c r="C1910" s="77"/>
      <c r="D1910" s="77"/>
      <c r="E1910" s="77"/>
      <c r="F1910" s="77"/>
      <c r="G1910" s="77"/>
      <c r="H1910" s="77"/>
      <c r="I1910" s="77"/>
      <c r="J1910" s="77"/>
      <c r="K1910" s="77"/>
      <c r="L1910" s="77"/>
      <c r="M1910" s="77"/>
      <c r="N1910" s="77"/>
      <c r="O1910" s="77"/>
      <c r="P1910" s="77"/>
      <c r="Q1910" s="77"/>
      <c r="R1910" s="77"/>
    </row>
    <row r="1911" spans="1:18">
      <c r="A1911" s="77"/>
      <c r="B1911" s="77"/>
      <c r="C1911" s="77"/>
      <c r="D1911" s="77"/>
      <c r="E1911" s="77"/>
      <c r="F1911" s="77"/>
      <c r="G1911" s="77"/>
      <c r="H1911" s="77"/>
      <c r="I1911" s="77"/>
      <c r="J1911" s="77"/>
      <c r="K1911" s="77"/>
      <c r="L1911" s="77"/>
      <c r="M1911" s="77"/>
      <c r="N1911" s="77"/>
      <c r="O1911" s="77"/>
      <c r="P1911" s="77"/>
      <c r="Q1911" s="77"/>
      <c r="R1911" s="77"/>
    </row>
    <row r="1912" spans="1:18">
      <c r="A1912" s="77"/>
      <c r="B1912" s="77"/>
      <c r="C1912" s="77"/>
      <c r="D1912" s="77"/>
      <c r="E1912" s="77"/>
      <c r="F1912" s="77"/>
      <c r="G1912" s="77"/>
      <c r="H1912" s="77"/>
      <c r="I1912" s="77"/>
      <c r="J1912" s="77"/>
      <c r="K1912" s="77"/>
      <c r="L1912" s="77"/>
      <c r="M1912" s="77"/>
      <c r="N1912" s="77"/>
      <c r="O1912" s="77"/>
      <c r="P1912" s="77"/>
      <c r="Q1912" s="77"/>
      <c r="R1912" s="77"/>
    </row>
    <row r="1913" spans="1:18">
      <c r="A1913" s="77"/>
      <c r="B1913" s="77"/>
      <c r="C1913" s="77"/>
      <c r="D1913" s="77"/>
      <c r="E1913" s="77"/>
      <c r="F1913" s="77"/>
      <c r="G1913" s="77"/>
      <c r="H1913" s="77"/>
      <c r="I1913" s="77"/>
      <c r="J1913" s="77"/>
      <c r="K1913" s="77"/>
      <c r="L1913" s="77"/>
      <c r="M1913" s="77"/>
      <c r="N1913" s="77"/>
      <c r="O1913" s="77"/>
      <c r="P1913" s="77"/>
      <c r="Q1913" s="77"/>
      <c r="R1913" s="77"/>
    </row>
    <row r="1914" spans="1:18">
      <c r="A1914" s="77"/>
      <c r="B1914" s="77"/>
      <c r="C1914" s="77"/>
      <c r="D1914" s="77"/>
      <c r="E1914" s="77"/>
      <c r="F1914" s="77"/>
      <c r="G1914" s="77"/>
      <c r="H1914" s="77"/>
      <c r="I1914" s="77"/>
      <c r="J1914" s="77"/>
      <c r="K1914" s="77"/>
      <c r="L1914" s="77"/>
      <c r="M1914" s="77"/>
      <c r="N1914" s="77"/>
      <c r="O1914" s="77"/>
      <c r="P1914" s="77"/>
      <c r="Q1914" s="77"/>
      <c r="R1914" s="77"/>
    </row>
    <row r="1915" spans="1:18">
      <c r="A1915" s="77"/>
      <c r="B1915" s="77"/>
      <c r="C1915" s="77"/>
      <c r="D1915" s="77"/>
      <c r="E1915" s="77"/>
      <c r="F1915" s="77"/>
      <c r="G1915" s="77"/>
      <c r="H1915" s="77"/>
      <c r="I1915" s="77"/>
      <c r="J1915" s="77"/>
      <c r="K1915" s="77"/>
      <c r="L1915" s="77"/>
      <c r="M1915" s="77"/>
      <c r="N1915" s="77"/>
      <c r="O1915" s="77"/>
      <c r="P1915" s="77"/>
      <c r="Q1915" s="77"/>
      <c r="R1915" s="77"/>
    </row>
    <row r="1916" spans="1:18">
      <c r="A1916" s="77"/>
      <c r="B1916" s="77"/>
      <c r="C1916" s="77"/>
      <c r="D1916" s="77"/>
      <c r="E1916" s="77"/>
      <c r="F1916" s="77"/>
      <c r="G1916" s="77"/>
      <c r="H1916" s="77"/>
      <c r="I1916" s="77"/>
      <c r="J1916" s="77"/>
      <c r="K1916" s="77"/>
      <c r="L1916" s="77"/>
      <c r="M1916" s="77"/>
      <c r="N1916" s="77"/>
      <c r="O1916" s="77"/>
      <c r="P1916" s="77"/>
      <c r="Q1916" s="77"/>
      <c r="R1916" s="77"/>
    </row>
    <row r="1917" spans="1:18">
      <c r="A1917" s="77"/>
      <c r="B1917" s="77"/>
      <c r="C1917" s="77"/>
      <c r="D1917" s="77"/>
      <c r="E1917" s="77"/>
      <c r="F1917" s="77"/>
      <c r="G1917" s="77"/>
      <c r="H1917" s="77"/>
      <c r="I1917" s="77"/>
      <c r="J1917" s="77"/>
      <c r="K1917" s="77"/>
      <c r="L1917" s="77"/>
      <c r="M1917" s="77"/>
      <c r="N1917" s="77"/>
      <c r="O1917" s="77"/>
      <c r="P1917" s="77"/>
      <c r="Q1917" s="77"/>
      <c r="R1917" s="77"/>
    </row>
    <row r="1918" spans="1:18">
      <c r="A1918" s="77"/>
      <c r="B1918" s="77"/>
      <c r="C1918" s="77"/>
      <c r="D1918" s="77"/>
      <c r="E1918" s="77"/>
      <c r="F1918" s="77"/>
      <c r="G1918" s="77"/>
      <c r="H1918" s="77"/>
      <c r="I1918" s="77"/>
      <c r="J1918" s="77"/>
      <c r="K1918" s="77"/>
      <c r="L1918" s="77"/>
      <c r="M1918" s="77"/>
      <c r="N1918" s="77"/>
      <c r="O1918" s="77"/>
      <c r="P1918" s="77"/>
      <c r="Q1918" s="77"/>
      <c r="R1918" s="77"/>
    </row>
    <row r="1919" spans="1:18">
      <c r="A1919" s="77"/>
      <c r="B1919" s="77"/>
      <c r="C1919" s="77"/>
      <c r="D1919" s="77"/>
      <c r="E1919" s="77"/>
      <c r="F1919" s="77"/>
      <c r="G1919" s="77"/>
      <c r="H1919" s="77"/>
      <c r="I1919" s="77"/>
      <c r="J1919" s="77"/>
      <c r="K1919" s="77"/>
      <c r="L1919" s="77"/>
      <c r="M1919" s="77"/>
      <c r="N1919" s="77"/>
      <c r="O1919" s="77"/>
      <c r="P1919" s="77"/>
      <c r="Q1919" s="77"/>
      <c r="R1919" s="77"/>
    </row>
    <row r="1920" spans="1:18">
      <c r="A1920" s="77"/>
      <c r="B1920" s="77"/>
      <c r="C1920" s="77"/>
      <c r="D1920" s="77"/>
      <c r="E1920" s="77"/>
      <c r="F1920" s="77"/>
      <c r="G1920" s="77"/>
      <c r="H1920" s="77"/>
      <c r="I1920" s="77"/>
      <c r="J1920" s="77"/>
      <c r="K1920" s="77"/>
      <c r="L1920" s="77"/>
      <c r="M1920" s="77"/>
      <c r="N1920" s="77"/>
      <c r="O1920" s="77"/>
      <c r="P1920" s="77"/>
      <c r="Q1920" s="77"/>
      <c r="R1920" s="77"/>
    </row>
    <row r="1921" spans="1:18">
      <c r="A1921" s="77"/>
      <c r="B1921" s="77"/>
      <c r="C1921" s="77"/>
      <c r="D1921" s="77"/>
      <c r="E1921" s="77"/>
      <c r="F1921" s="77"/>
      <c r="G1921" s="77"/>
      <c r="H1921" s="77"/>
      <c r="I1921" s="77"/>
      <c r="J1921" s="77"/>
      <c r="K1921" s="77"/>
      <c r="L1921" s="77"/>
      <c r="M1921" s="77"/>
      <c r="N1921" s="77"/>
      <c r="O1921" s="77"/>
      <c r="P1921" s="77"/>
      <c r="Q1921" s="77"/>
      <c r="R1921" s="77"/>
    </row>
    <row r="1922" spans="1:18">
      <c r="A1922" s="77"/>
      <c r="B1922" s="77"/>
      <c r="C1922" s="77"/>
      <c r="D1922" s="77"/>
      <c r="E1922" s="77"/>
      <c r="F1922" s="77"/>
      <c r="G1922" s="77"/>
      <c r="H1922" s="77"/>
      <c r="I1922" s="77"/>
      <c r="J1922" s="77"/>
      <c r="K1922" s="77"/>
      <c r="L1922" s="77"/>
      <c r="M1922" s="77"/>
      <c r="N1922" s="77"/>
      <c r="O1922" s="77"/>
      <c r="P1922" s="77"/>
      <c r="Q1922" s="77"/>
      <c r="R1922" s="77"/>
    </row>
    <row r="1923" spans="1:18">
      <c r="A1923" s="77"/>
      <c r="B1923" s="77"/>
      <c r="C1923" s="77"/>
      <c r="D1923" s="77"/>
      <c r="E1923" s="77"/>
      <c r="F1923" s="77"/>
      <c r="G1923" s="77"/>
      <c r="H1923" s="77"/>
      <c r="I1923" s="77"/>
      <c r="J1923" s="77"/>
      <c r="K1923" s="77"/>
      <c r="L1923" s="77"/>
      <c r="M1923" s="77"/>
      <c r="N1923" s="77"/>
      <c r="O1923" s="77"/>
      <c r="P1923" s="77"/>
      <c r="Q1923" s="77"/>
      <c r="R1923" s="77"/>
    </row>
    <row r="1924" spans="1:18">
      <c r="A1924" s="77"/>
      <c r="B1924" s="77"/>
      <c r="C1924" s="77"/>
      <c r="D1924" s="77"/>
      <c r="E1924" s="77"/>
      <c r="F1924" s="77"/>
      <c r="G1924" s="77"/>
      <c r="H1924" s="77"/>
      <c r="I1924" s="77"/>
      <c r="J1924" s="77"/>
      <c r="K1924" s="77"/>
      <c r="L1924" s="77"/>
      <c r="M1924" s="77"/>
      <c r="N1924" s="77"/>
      <c r="O1924" s="77"/>
      <c r="P1924" s="77"/>
      <c r="Q1924" s="77"/>
      <c r="R1924" s="77"/>
    </row>
    <row r="1925" spans="1:18">
      <c r="A1925" s="77"/>
      <c r="B1925" s="77"/>
      <c r="C1925" s="77"/>
      <c r="D1925" s="77"/>
      <c r="E1925" s="77"/>
      <c r="F1925" s="77"/>
      <c r="G1925" s="77"/>
      <c r="H1925" s="77"/>
      <c r="I1925" s="77"/>
      <c r="J1925" s="77"/>
      <c r="K1925" s="77"/>
      <c r="L1925" s="77"/>
      <c r="M1925" s="77"/>
      <c r="N1925" s="77"/>
      <c r="O1925" s="77"/>
      <c r="P1925" s="77"/>
      <c r="Q1925" s="77"/>
      <c r="R1925" s="77"/>
    </row>
    <row r="1926" spans="1:18">
      <c r="A1926" s="77"/>
      <c r="B1926" s="77"/>
      <c r="C1926" s="77"/>
      <c r="D1926" s="77"/>
      <c r="E1926" s="77"/>
      <c r="F1926" s="77"/>
      <c r="G1926" s="77"/>
      <c r="H1926" s="77"/>
      <c r="I1926" s="77"/>
      <c r="J1926" s="77"/>
      <c r="K1926" s="77"/>
      <c r="L1926" s="77"/>
      <c r="M1926" s="77"/>
      <c r="N1926" s="77"/>
      <c r="O1926" s="77"/>
      <c r="P1926" s="77"/>
      <c r="Q1926" s="77"/>
      <c r="R1926" s="77"/>
    </row>
    <row r="1927" spans="1:18">
      <c r="A1927" s="77"/>
      <c r="B1927" s="77"/>
      <c r="C1927" s="77"/>
      <c r="D1927" s="77"/>
      <c r="E1927" s="77"/>
      <c r="F1927" s="77"/>
      <c r="G1927" s="77"/>
      <c r="H1927" s="77"/>
      <c r="I1927" s="77"/>
      <c r="J1927" s="77"/>
      <c r="K1927" s="77"/>
      <c r="L1927" s="77"/>
      <c r="M1927" s="77"/>
      <c r="N1927" s="77"/>
      <c r="O1927" s="77"/>
      <c r="P1927" s="77"/>
      <c r="Q1927" s="77"/>
      <c r="R1927" s="77"/>
    </row>
    <row r="1928" spans="1:18">
      <c r="A1928" s="77"/>
      <c r="B1928" s="77"/>
      <c r="C1928" s="77"/>
      <c r="D1928" s="77"/>
      <c r="E1928" s="77"/>
      <c r="F1928" s="77"/>
      <c r="G1928" s="77"/>
      <c r="H1928" s="77"/>
      <c r="I1928" s="77"/>
      <c r="J1928" s="77"/>
      <c r="K1928" s="77"/>
      <c r="L1928" s="77"/>
      <c r="M1928" s="77"/>
      <c r="N1928" s="77"/>
      <c r="O1928" s="77"/>
      <c r="P1928" s="77"/>
      <c r="Q1928" s="77"/>
      <c r="R1928" s="77"/>
    </row>
    <row r="1929" spans="1:18">
      <c r="A1929" s="77"/>
      <c r="B1929" s="77"/>
      <c r="C1929" s="77"/>
      <c r="D1929" s="77"/>
      <c r="E1929" s="77"/>
      <c r="F1929" s="77"/>
      <c r="G1929" s="77"/>
      <c r="H1929" s="77"/>
      <c r="I1929" s="77"/>
      <c r="J1929" s="77"/>
      <c r="K1929" s="77"/>
      <c r="L1929" s="77"/>
      <c r="M1929" s="77"/>
      <c r="N1929" s="77"/>
      <c r="O1929" s="77"/>
      <c r="P1929" s="77"/>
      <c r="Q1929" s="77"/>
      <c r="R1929" s="77"/>
    </row>
    <row r="1930" spans="1:18">
      <c r="A1930" s="77"/>
      <c r="B1930" s="77"/>
      <c r="C1930" s="77"/>
      <c r="D1930" s="77"/>
      <c r="E1930" s="77"/>
      <c r="F1930" s="77"/>
      <c r="G1930" s="77"/>
      <c r="H1930" s="77"/>
      <c r="I1930" s="77"/>
      <c r="J1930" s="77"/>
      <c r="K1930" s="77"/>
      <c r="L1930" s="77"/>
      <c r="M1930" s="77"/>
      <c r="N1930" s="77"/>
      <c r="O1930" s="77"/>
      <c r="P1930" s="77"/>
      <c r="Q1930" s="77"/>
      <c r="R1930" s="77"/>
    </row>
    <row r="1931" spans="1:18">
      <c r="A1931" s="77"/>
      <c r="B1931" s="77"/>
      <c r="C1931" s="77"/>
      <c r="D1931" s="77"/>
      <c r="E1931" s="77"/>
      <c r="F1931" s="77"/>
      <c r="G1931" s="77"/>
      <c r="H1931" s="77"/>
      <c r="I1931" s="77"/>
      <c r="J1931" s="77"/>
      <c r="K1931" s="77"/>
      <c r="L1931" s="77"/>
      <c r="M1931" s="77"/>
      <c r="N1931" s="77"/>
      <c r="O1931" s="77"/>
      <c r="P1931" s="77"/>
      <c r="Q1931" s="77"/>
      <c r="R1931" s="77"/>
    </row>
    <row r="1932" spans="1:18">
      <c r="A1932" s="77"/>
      <c r="B1932" s="77"/>
      <c r="C1932" s="77"/>
      <c r="D1932" s="77"/>
      <c r="E1932" s="77"/>
      <c r="F1932" s="77"/>
      <c r="G1932" s="77"/>
      <c r="H1932" s="77"/>
      <c r="I1932" s="77"/>
      <c r="J1932" s="77"/>
      <c r="K1932" s="77"/>
      <c r="L1932" s="77"/>
      <c r="M1932" s="77"/>
      <c r="N1932" s="77"/>
      <c r="O1932" s="77"/>
      <c r="P1932" s="77"/>
      <c r="Q1932" s="77"/>
      <c r="R1932" s="77"/>
    </row>
    <row r="1933" spans="1:18">
      <c r="A1933" s="77"/>
      <c r="B1933" s="77"/>
      <c r="C1933" s="77"/>
      <c r="D1933" s="77"/>
      <c r="E1933" s="77"/>
      <c r="F1933" s="77"/>
      <c r="G1933" s="77"/>
      <c r="H1933" s="77"/>
      <c r="I1933" s="77"/>
      <c r="J1933" s="77"/>
      <c r="K1933" s="77"/>
      <c r="L1933" s="77"/>
      <c r="M1933" s="77"/>
      <c r="N1933" s="77"/>
      <c r="O1933" s="77"/>
      <c r="P1933" s="77"/>
      <c r="Q1933" s="77"/>
      <c r="R1933" s="77"/>
    </row>
    <row r="1934" spans="1:18">
      <c r="A1934" s="77"/>
      <c r="B1934" s="77"/>
      <c r="C1934" s="77"/>
      <c r="D1934" s="77"/>
      <c r="E1934" s="77"/>
      <c r="F1934" s="77"/>
      <c r="G1934" s="77"/>
      <c r="H1934" s="77"/>
      <c r="I1934" s="77"/>
      <c r="J1934" s="77"/>
      <c r="K1934" s="77"/>
      <c r="L1934" s="77"/>
      <c r="M1934" s="77"/>
      <c r="N1934" s="77"/>
      <c r="O1934" s="77"/>
      <c r="P1934" s="77"/>
      <c r="Q1934" s="77"/>
      <c r="R1934" s="77"/>
    </row>
    <row r="1935" spans="1:18">
      <c r="A1935" s="77"/>
      <c r="B1935" s="77"/>
      <c r="C1935" s="77"/>
      <c r="D1935" s="77"/>
      <c r="E1935" s="77"/>
      <c r="F1935" s="77"/>
      <c r="G1935" s="77"/>
      <c r="H1935" s="77"/>
      <c r="I1935" s="77"/>
      <c r="J1935" s="77"/>
      <c r="K1935" s="77"/>
      <c r="L1935" s="77"/>
      <c r="M1935" s="77"/>
      <c r="N1935" s="77"/>
      <c r="O1935" s="77"/>
      <c r="P1935" s="77"/>
      <c r="Q1935" s="77"/>
      <c r="R1935" s="77"/>
    </row>
    <row r="1936" spans="1:18">
      <c r="A1936" s="77"/>
      <c r="B1936" s="77"/>
      <c r="C1936" s="77"/>
      <c r="D1936" s="77"/>
      <c r="E1936" s="77"/>
      <c r="F1936" s="77"/>
      <c r="G1936" s="77"/>
      <c r="H1936" s="77"/>
      <c r="I1936" s="77"/>
      <c r="J1936" s="77"/>
      <c r="K1936" s="77"/>
      <c r="L1936" s="77"/>
      <c r="M1936" s="77"/>
      <c r="N1936" s="77"/>
      <c r="O1936" s="77"/>
      <c r="P1936" s="77"/>
      <c r="Q1936" s="77"/>
      <c r="R1936" s="77"/>
    </row>
    <row r="1937" spans="1:18">
      <c r="A1937" s="77"/>
      <c r="B1937" s="77"/>
      <c r="C1937" s="77"/>
      <c r="D1937" s="77"/>
      <c r="E1937" s="77"/>
      <c r="F1937" s="77"/>
      <c r="G1937" s="77"/>
      <c r="H1937" s="77"/>
      <c r="I1937" s="77"/>
      <c r="J1937" s="77"/>
      <c r="K1937" s="77"/>
      <c r="L1937" s="77"/>
      <c r="M1937" s="77"/>
      <c r="N1937" s="77"/>
      <c r="O1937" s="77"/>
      <c r="P1937" s="77"/>
      <c r="Q1937" s="77"/>
      <c r="R1937" s="77"/>
    </row>
    <row r="1938" spans="1:18">
      <c r="A1938" s="77"/>
      <c r="B1938" s="77"/>
      <c r="C1938" s="77"/>
      <c r="D1938" s="77"/>
      <c r="E1938" s="77"/>
      <c r="F1938" s="77"/>
      <c r="G1938" s="77"/>
      <c r="H1938" s="77"/>
      <c r="I1938" s="77"/>
      <c r="J1938" s="77"/>
      <c r="K1938" s="77"/>
      <c r="L1938" s="77"/>
      <c r="M1938" s="77"/>
      <c r="N1938" s="77"/>
      <c r="O1938" s="77"/>
      <c r="P1938" s="77"/>
      <c r="Q1938" s="77"/>
      <c r="R1938" s="77"/>
    </row>
    <row r="1939" spans="1:18">
      <c r="A1939" s="77"/>
      <c r="B1939" s="77"/>
      <c r="C1939" s="77"/>
      <c r="D1939" s="77"/>
      <c r="E1939" s="77"/>
      <c r="F1939" s="77"/>
      <c r="G1939" s="77"/>
      <c r="H1939" s="77"/>
      <c r="I1939" s="77"/>
      <c r="J1939" s="77"/>
      <c r="K1939" s="77"/>
      <c r="L1939" s="77"/>
      <c r="M1939" s="77"/>
      <c r="N1939" s="77"/>
      <c r="O1939" s="77"/>
      <c r="P1939" s="77"/>
      <c r="Q1939" s="77"/>
      <c r="R1939" s="77"/>
    </row>
    <row r="1940" spans="1:18">
      <c r="A1940" s="77"/>
      <c r="B1940" s="77"/>
      <c r="C1940" s="77"/>
      <c r="D1940" s="77"/>
      <c r="E1940" s="77"/>
      <c r="F1940" s="77"/>
      <c r="G1940" s="77"/>
      <c r="H1940" s="77"/>
      <c r="I1940" s="77"/>
      <c r="J1940" s="77"/>
      <c r="K1940" s="77"/>
      <c r="L1940" s="77"/>
      <c r="M1940" s="77"/>
      <c r="N1940" s="77"/>
      <c r="O1940" s="77"/>
      <c r="P1940" s="77"/>
      <c r="Q1940" s="77"/>
      <c r="R1940" s="77"/>
    </row>
    <row r="1941" spans="1:18">
      <c r="A1941" s="77"/>
      <c r="B1941" s="77"/>
      <c r="C1941" s="77"/>
      <c r="D1941" s="77"/>
      <c r="E1941" s="77"/>
      <c r="F1941" s="77"/>
      <c r="G1941" s="77"/>
      <c r="H1941" s="77"/>
      <c r="I1941" s="77"/>
      <c r="J1941" s="77"/>
      <c r="K1941" s="77"/>
      <c r="L1941" s="77"/>
      <c r="M1941" s="77"/>
      <c r="N1941" s="77"/>
      <c r="O1941" s="77"/>
      <c r="P1941" s="77"/>
      <c r="Q1941" s="77"/>
      <c r="R1941" s="77"/>
    </row>
    <row r="1942" spans="1:18">
      <c r="A1942" s="77"/>
      <c r="B1942" s="77"/>
      <c r="C1942" s="77"/>
      <c r="D1942" s="77"/>
      <c r="E1942" s="77"/>
      <c r="F1942" s="77"/>
      <c r="G1942" s="77"/>
      <c r="H1942" s="77"/>
      <c r="I1942" s="77"/>
      <c r="J1942" s="77"/>
      <c r="K1942" s="77"/>
      <c r="L1942" s="77"/>
      <c r="M1942" s="77"/>
      <c r="N1942" s="77"/>
      <c r="O1942" s="77"/>
      <c r="P1942" s="77"/>
      <c r="Q1942" s="77"/>
      <c r="R1942" s="77"/>
    </row>
    <row r="1943" spans="1:18">
      <c r="A1943" s="77"/>
      <c r="B1943" s="77"/>
      <c r="C1943" s="77"/>
      <c r="D1943" s="77"/>
      <c r="E1943" s="77"/>
      <c r="F1943" s="77"/>
      <c r="G1943" s="77"/>
      <c r="H1943" s="77"/>
      <c r="I1943" s="77"/>
      <c r="J1943" s="77"/>
      <c r="K1943" s="77"/>
      <c r="L1943" s="77"/>
      <c r="M1943" s="77"/>
      <c r="N1943" s="77"/>
      <c r="O1943" s="77"/>
      <c r="P1943" s="77"/>
      <c r="Q1943" s="77"/>
      <c r="R1943" s="77"/>
    </row>
    <row r="1944" spans="1:18">
      <c r="A1944" s="77"/>
      <c r="B1944" s="77"/>
      <c r="C1944" s="77"/>
      <c r="D1944" s="77"/>
      <c r="E1944" s="77"/>
      <c r="F1944" s="77"/>
      <c r="G1944" s="77"/>
      <c r="H1944" s="77"/>
      <c r="I1944" s="77"/>
      <c r="J1944" s="77"/>
      <c r="K1944" s="77"/>
      <c r="L1944" s="77"/>
      <c r="M1944" s="77"/>
      <c r="N1944" s="77"/>
      <c r="O1944" s="77"/>
      <c r="P1944" s="77"/>
      <c r="Q1944" s="77"/>
      <c r="R1944" s="77"/>
    </row>
    <row r="1945" spans="1:18">
      <c r="A1945" s="77"/>
      <c r="B1945" s="77"/>
      <c r="C1945" s="77"/>
      <c r="D1945" s="77"/>
      <c r="E1945" s="77"/>
      <c r="F1945" s="77"/>
      <c r="G1945" s="77"/>
      <c r="H1945" s="77"/>
      <c r="I1945" s="77"/>
      <c r="J1945" s="77"/>
      <c r="K1945" s="77"/>
      <c r="L1945" s="77"/>
      <c r="M1945" s="77"/>
      <c r="N1945" s="77"/>
      <c r="O1945" s="77"/>
      <c r="P1945" s="77"/>
      <c r="Q1945" s="77"/>
      <c r="R1945" s="77"/>
    </row>
    <row r="1946" spans="1:18">
      <c r="A1946" s="77"/>
      <c r="B1946" s="77"/>
      <c r="C1946" s="77"/>
      <c r="D1946" s="77"/>
      <c r="E1946" s="77"/>
      <c r="F1946" s="77"/>
      <c r="G1946" s="77"/>
      <c r="H1946" s="77"/>
      <c r="I1946" s="77"/>
      <c r="J1946" s="77"/>
      <c r="K1946" s="77"/>
      <c r="L1946" s="77"/>
      <c r="M1946" s="77"/>
      <c r="N1946" s="77"/>
      <c r="O1946" s="77"/>
      <c r="P1946" s="77"/>
      <c r="Q1946" s="77"/>
      <c r="R1946" s="77"/>
    </row>
    <row r="1947" spans="1:18">
      <c r="A1947" s="77"/>
      <c r="B1947" s="77"/>
      <c r="C1947" s="77"/>
      <c r="D1947" s="77"/>
      <c r="E1947" s="77"/>
      <c r="F1947" s="77"/>
      <c r="G1947" s="77"/>
      <c r="H1947" s="77"/>
      <c r="I1947" s="77"/>
      <c r="J1947" s="77"/>
      <c r="K1947" s="77"/>
      <c r="L1947" s="77"/>
      <c r="M1947" s="77"/>
      <c r="N1947" s="77"/>
      <c r="O1947" s="77"/>
      <c r="P1947" s="77"/>
      <c r="Q1947" s="77"/>
      <c r="R1947" s="77"/>
    </row>
    <row r="1948" spans="1:18">
      <c r="A1948" s="77"/>
      <c r="B1948" s="77"/>
      <c r="C1948" s="77"/>
      <c r="D1948" s="77"/>
      <c r="E1948" s="77"/>
      <c r="F1948" s="77"/>
      <c r="G1948" s="77"/>
      <c r="H1948" s="77"/>
      <c r="I1948" s="77"/>
      <c r="J1948" s="77"/>
      <c r="K1948" s="77"/>
      <c r="L1948" s="77"/>
      <c r="M1948" s="77"/>
      <c r="N1948" s="77"/>
      <c r="O1948" s="77"/>
      <c r="P1948" s="77"/>
      <c r="Q1948" s="77"/>
      <c r="R1948" s="77"/>
    </row>
    <row r="1949" spans="1:18">
      <c r="A1949" s="77"/>
      <c r="B1949" s="77"/>
      <c r="C1949" s="77"/>
      <c r="D1949" s="77"/>
      <c r="E1949" s="77"/>
      <c r="F1949" s="77"/>
      <c r="G1949" s="77"/>
      <c r="H1949" s="77"/>
      <c r="I1949" s="77"/>
      <c r="J1949" s="77"/>
      <c r="K1949" s="77"/>
      <c r="L1949" s="77"/>
      <c r="M1949" s="77"/>
      <c r="N1949" s="77"/>
      <c r="O1949" s="77"/>
      <c r="P1949" s="77"/>
      <c r="Q1949" s="77"/>
      <c r="R1949" s="77"/>
    </row>
    <row r="1950" spans="1:18">
      <c r="A1950" s="77"/>
      <c r="B1950" s="77"/>
      <c r="C1950" s="77"/>
      <c r="D1950" s="77"/>
      <c r="E1950" s="77"/>
      <c r="F1950" s="77"/>
      <c r="G1950" s="77"/>
      <c r="H1950" s="77"/>
      <c r="I1950" s="77"/>
      <c r="J1950" s="77"/>
      <c r="K1950" s="77"/>
      <c r="L1950" s="77"/>
      <c r="M1950" s="77"/>
      <c r="N1950" s="77"/>
      <c r="O1950" s="77"/>
      <c r="P1950" s="77"/>
      <c r="Q1950" s="77"/>
      <c r="R1950" s="77"/>
    </row>
    <row r="1951" spans="1:18">
      <c r="A1951" s="77"/>
      <c r="B1951" s="77"/>
      <c r="C1951" s="77"/>
      <c r="D1951" s="77"/>
      <c r="E1951" s="77"/>
      <c r="F1951" s="77"/>
      <c r="G1951" s="77"/>
      <c r="H1951" s="77"/>
      <c r="I1951" s="77"/>
      <c r="J1951" s="77"/>
      <c r="K1951" s="77"/>
      <c r="L1951" s="77"/>
      <c r="M1951" s="77"/>
      <c r="N1951" s="77"/>
      <c r="O1951" s="77"/>
      <c r="P1951" s="77"/>
      <c r="Q1951" s="77"/>
      <c r="R1951" s="77"/>
    </row>
    <row r="1952" spans="1:18">
      <c r="A1952" s="77"/>
      <c r="B1952" s="77"/>
      <c r="C1952" s="77"/>
      <c r="D1952" s="77"/>
      <c r="E1952" s="77"/>
      <c r="F1952" s="77"/>
      <c r="G1952" s="77"/>
      <c r="H1952" s="77"/>
      <c r="I1952" s="77"/>
      <c r="J1952" s="77"/>
      <c r="K1952" s="77"/>
      <c r="L1952" s="77"/>
      <c r="M1952" s="77"/>
      <c r="N1952" s="77"/>
      <c r="O1952" s="77"/>
      <c r="P1952" s="77"/>
      <c r="Q1952" s="77"/>
      <c r="R1952" s="77"/>
    </row>
    <row r="1953" spans="1:18">
      <c r="A1953" s="77"/>
      <c r="B1953" s="77"/>
      <c r="C1953" s="77"/>
      <c r="D1953" s="77"/>
      <c r="E1953" s="77"/>
      <c r="F1953" s="77"/>
      <c r="G1953" s="77"/>
      <c r="H1953" s="77"/>
      <c r="I1953" s="77"/>
      <c r="J1953" s="77"/>
      <c r="K1953" s="77"/>
      <c r="L1953" s="77"/>
      <c r="M1953" s="77"/>
      <c r="N1953" s="77"/>
      <c r="O1953" s="77"/>
      <c r="P1953" s="77"/>
      <c r="Q1953" s="77"/>
      <c r="R1953" s="77"/>
    </row>
    <row r="1954" spans="1:18">
      <c r="A1954" s="77"/>
      <c r="B1954" s="77"/>
      <c r="C1954" s="77"/>
      <c r="D1954" s="77"/>
      <c r="E1954" s="77"/>
      <c r="F1954" s="77"/>
      <c r="G1954" s="77"/>
      <c r="H1954" s="77"/>
      <c r="I1954" s="77"/>
      <c r="J1954" s="77"/>
      <c r="K1954" s="77"/>
      <c r="L1954" s="77"/>
      <c r="M1954" s="77"/>
      <c r="N1954" s="77"/>
      <c r="O1954" s="77"/>
      <c r="P1954" s="77"/>
      <c r="Q1954" s="77"/>
      <c r="R1954" s="77"/>
    </row>
    <row r="1955" spans="1:18">
      <c r="A1955" s="77"/>
      <c r="B1955" s="77"/>
      <c r="C1955" s="77"/>
      <c r="D1955" s="77"/>
      <c r="E1955" s="77"/>
      <c r="F1955" s="77"/>
      <c r="G1955" s="77"/>
      <c r="H1955" s="77"/>
      <c r="I1955" s="77"/>
      <c r="J1955" s="77"/>
      <c r="K1955" s="77"/>
      <c r="L1955" s="77"/>
      <c r="M1955" s="77"/>
      <c r="N1955" s="77"/>
      <c r="O1955" s="77"/>
      <c r="P1955" s="77"/>
      <c r="Q1955" s="77"/>
      <c r="R1955" s="77"/>
    </row>
    <row r="1956" spans="1:18">
      <c r="A1956" s="77"/>
      <c r="B1956" s="77"/>
      <c r="C1956" s="77"/>
      <c r="D1956" s="77"/>
      <c r="E1956" s="77"/>
      <c r="F1956" s="77"/>
      <c r="G1956" s="77"/>
      <c r="H1956" s="77"/>
      <c r="I1956" s="77"/>
      <c r="J1956" s="77"/>
      <c r="K1956" s="77"/>
      <c r="L1956" s="77"/>
      <c r="M1956" s="77"/>
      <c r="N1956" s="77"/>
      <c r="O1956" s="77"/>
      <c r="P1956" s="77"/>
      <c r="Q1956" s="77"/>
      <c r="R1956" s="77"/>
    </row>
    <row r="1957" spans="1:18">
      <c r="A1957" s="77"/>
      <c r="B1957" s="77"/>
      <c r="C1957" s="77"/>
      <c r="D1957" s="77"/>
      <c r="E1957" s="77"/>
      <c r="F1957" s="77"/>
      <c r="G1957" s="77"/>
      <c r="H1957" s="77"/>
      <c r="I1957" s="77"/>
      <c r="J1957" s="77"/>
      <c r="K1957" s="77"/>
      <c r="L1957" s="77"/>
      <c r="M1957" s="77"/>
      <c r="N1957" s="77"/>
      <c r="O1957" s="77"/>
      <c r="P1957" s="77"/>
      <c r="Q1957" s="77"/>
      <c r="R1957" s="77"/>
    </row>
    <row r="1958" spans="1:18">
      <c r="A1958" s="77"/>
      <c r="B1958" s="77"/>
      <c r="C1958" s="77"/>
      <c r="D1958" s="77"/>
      <c r="E1958" s="77"/>
      <c r="F1958" s="77"/>
      <c r="G1958" s="77"/>
      <c r="H1958" s="77"/>
      <c r="I1958" s="77"/>
      <c r="J1958" s="77"/>
      <c r="K1958" s="77"/>
      <c r="L1958" s="77"/>
      <c r="M1958" s="77"/>
      <c r="N1958" s="77"/>
      <c r="O1958" s="77"/>
      <c r="P1958" s="77"/>
      <c r="Q1958" s="77"/>
      <c r="R1958" s="77"/>
    </row>
    <row r="1959" spans="1:18">
      <c r="A1959" s="77"/>
      <c r="B1959" s="77"/>
      <c r="C1959" s="77"/>
      <c r="D1959" s="77"/>
      <c r="E1959" s="77"/>
      <c r="F1959" s="77"/>
      <c r="G1959" s="77"/>
      <c r="H1959" s="77"/>
      <c r="I1959" s="77"/>
      <c r="J1959" s="77"/>
      <c r="K1959" s="77"/>
      <c r="L1959" s="77"/>
      <c r="M1959" s="77"/>
      <c r="N1959" s="77"/>
      <c r="O1959" s="77"/>
      <c r="P1959" s="77"/>
      <c r="Q1959" s="77"/>
      <c r="R1959" s="77"/>
    </row>
    <row r="1960" spans="1:18">
      <c r="A1960" s="77"/>
      <c r="B1960" s="77"/>
      <c r="C1960" s="77"/>
      <c r="D1960" s="77"/>
      <c r="E1960" s="77"/>
      <c r="F1960" s="77"/>
      <c r="G1960" s="77"/>
      <c r="H1960" s="77"/>
      <c r="I1960" s="77"/>
      <c r="J1960" s="77"/>
      <c r="K1960" s="77"/>
      <c r="L1960" s="77"/>
      <c r="M1960" s="77"/>
      <c r="N1960" s="77"/>
      <c r="O1960" s="77"/>
      <c r="P1960" s="77"/>
      <c r="Q1960" s="77"/>
      <c r="R1960" s="77"/>
    </row>
    <row r="1961" spans="1:18">
      <c r="A1961" s="77"/>
      <c r="B1961" s="77"/>
      <c r="C1961" s="77"/>
      <c r="D1961" s="77"/>
      <c r="E1961" s="77"/>
      <c r="F1961" s="77"/>
      <c r="G1961" s="77"/>
      <c r="H1961" s="77"/>
      <c r="I1961" s="77"/>
      <c r="J1961" s="77"/>
      <c r="K1961" s="77"/>
      <c r="L1961" s="77"/>
      <c r="M1961" s="77"/>
      <c r="N1961" s="77"/>
      <c r="O1961" s="77"/>
      <c r="P1961" s="77"/>
      <c r="Q1961" s="77"/>
      <c r="R1961" s="77"/>
    </row>
    <row r="1962" spans="1:18">
      <c r="A1962" s="77"/>
      <c r="B1962" s="77"/>
      <c r="C1962" s="77"/>
      <c r="D1962" s="77"/>
      <c r="E1962" s="77"/>
      <c r="F1962" s="77"/>
      <c r="G1962" s="77"/>
      <c r="H1962" s="77"/>
      <c r="I1962" s="77"/>
      <c r="J1962" s="77"/>
      <c r="K1962" s="77"/>
      <c r="L1962" s="77"/>
      <c r="M1962" s="77"/>
      <c r="N1962" s="77"/>
      <c r="O1962" s="77"/>
      <c r="P1962" s="77"/>
      <c r="Q1962" s="77"/>
      <c r="R1962" s="77"/>
    </row>
    <row r="1963" spans="1:18">
      <c r="A1963" s="77"/>
      <c r="B1963" s="77"/>
      <c r="C1963" s="77"/>
      <c r="D1963" s="77"/>
      <c r="E1963" s="77"/>
      <c r="F1963" s="77"/>
      <c r="G1963" s="77"/>
      <c r="H1963" s="77"/>
      <c r="I1963" s="77"/>
      <c r="J1963" s="77"/>
      <c r="K1963" s="77"/>
      <c r="L1963" s="77"/>
      <c r="M1963" s="77"/>
      <c r="N1963" s="77"/>
      <c r="O1963" s="77"/>
      <c r="P1963" s="77"/>
      <c r="Q1963" s="77"/>
      <c r="R1963" s="77"/>
    </row>
    <row r="1964" spans="1:18">
      <c r="A1964" s="77"/>
      <c r="B1964" s="77"/>
      <c r="C1964" s="77"/>
      <c r="D1964" s="77"/>
      <c r="E1964" s="77"/>
      <c r="F1964" s="77"/>
      <c r="G1964" s="77"/>
      <c r="H1964" s="77"/>
      <c r="I1964" s="77"/>
      <c r="J1964" s="77"/>
      <c r="K1964" s="77"/>
      <c r="L1964" s="77"/>
      <c r="M1964" s="77"/>
      <c r="N1964" s="77"/>
      <c r="O1964" s="77"/>
      <c r="P1964" s="77"/>
      <c r="Q1964" s="77"/>
      <c r="R1964" s="77"/>
    </row>
    <row r="1965" spans="1:18">
      <c r="A1965" s="77"/>
      <c r="B1965" s="77"/>
      <c r="C1965" s="77"/>
      <c r="D1965" s="77"/>
      <c r="E1965" s="77"/>
      <c r="F1965" s="77"/>
      <c r="G1965" s="77"/>
      <c r="H1965" s="77"/>
      <c r="I1965" s="77"/>
      <c r="J1965" s="77"/>
      <c r="K1965" s="77"/>
      <c r="L1965" s="77"/>
      <c r="M1965" s="77"/>
      <c r="N1965" s="77"/>
      <c r="O1965" s="77"/>
      <c r="P1965" s="77"/>
      <c r="Q1965" s="77"/>
      <c r="R1965" s="77"/>
    </row>
    <row r="1966" spans="1:18">
      <c r="A1966" s="77"/>
      <c r="B1966" s="77"/>
      <c r="C1966" s="77"/>
      <c r="D1966" s="77"/>
      <c r="E1966" s="77"/>
      <c r="F1966" s="77"/>
      <c r="G1966" s="77"/>
      <c r="H1966" s="77"/>
      <c r="I1966" s="77"/>
      <c r="J1966" s="77"/>
      <c r="K1966" s="77"/>
      <c r="L1966" s="77"/>
      <c r="M1966" s="77"/>
      <c r="N1966" s="77"/>
      <c r="O1966" s="77"/>
      <c r="P1966" s="77"/>
      <c r="Q1966" s="77"/>
      <c r="R1966" s="77"/>
    </row>
    <row r="1967" spans="1:18">
      <c r="A1967" s="77"/>
      <c r="B1967" s="77"/>
      <c r="C1967" s="77"/>
      <c r="D1967" s="77"/>
      <c r="E1967" s="77"/>
      <c r="F1967" s="77"/>
      <c r="G1967" s="77"/>
      <c r="H1967" s="77"/>
      <c r="I1967" s="77"/>
      <c r="J1967" s="77"/>
      <c r="K1967" s="77"/>
      <c r="L1967" s="77"/>
      <c r="M1967" s="77"/>
      <c r="N1967" s="77"/>
      <c r="O1967" s="77"/>
      <c r="P1967" s="77"/>
      <c r="Q1967" s="77"/>
      <c r="R1967" s="77"/>
    </row>
    <row r="1968" spans="1:18">
      <c r="A1968" s="77"/>
      <c r="B1968" s="77"/>
      <c r="C1968" s="77"/>
      <c r="D1968" s="77"/>
      <c r="E1968" s="77"/>
      <c r="F1968" s="77"/>
      <c r="G1968" s="77"/>
      <c r="H1968" s="77"/>
      <c r="I1968" s="77"/>
      <c r="J1968" s="77"/>
      <c r="K1968" s="77"/>
      <c r="L1968" s="77"/>
      <c r="M1968" s="77"/>
      <c r="N1968" s="77"/>
      <c r="O1968" s="77"/>
      <c r="P1968" s="77"/>
      <c r="Q1968" s="77"/>
      <c r="R1968" s="77"/>
    </row>
    <row r="1969" spans="1:18">
      <c r="A1969" s="77"/>
      <c r="B1969" s="77"/>
      <c r="C1969" s="77"/>
      <c r="D1969" s="77"/>
      <c r="E1969" s="77"/>
      <c r="F1969" s="77"/>
      <c r="G1969" s="77"/>
      <c r="H1969" s="77"/>
      <c r="I1969" s="77"/>
      <c r="J1969" s="77"/>
      <c r="K1969" s="77"/>
      <c r="L1969" s="77"/>
      <c r="M1969" s="77"/>
      <c r="N1969" s="77"/>
      <c r="O1969" s="77"/>
      <c r="P1969" s="77"/>
      <c r="Q1969" s="77"/>
      <c r="R1969" s="77"/>
    </row>
    <row r="1970" spans="1:18">
      <c r="A1970" s="77"/>
      <c r="B1970" s="77"/>
      <c r="C1970" s="77"/>
      <c r="D1970" s="77"/>
      <c r="E1970" s="77"/>
      <c r="F1970" s="77"/>
      <c r="G1970" s="77"/>
      <c r="H1970" s="77"/>
      <c r="I1970" s="77"/>
      <c r="J1970" s="77"/>
      <c r="K1970" s="77"/>
      <c r="L1970" s="77"/>
      <c r="M1970" s="77"/>
      <c r="N1970" s="77"/>
      <c r="O1970" s="77"/>
      <c r="P1970" s="77"/>
      <c r="Q1970" s="77"/>
      <c r="R1970" s="77"/>
    </row>
    <row r="1971" spans="1:18">
      <c r="A1971" s="77"/>
      <c r="B1971" s="77"/>
      <c r="C1971" s="77"/>
      <c r="D1971" s="77"/>
      <c r="E1971" s="77"/>
      <c r="F1971" s="77"/>
      <c r="G1971" s="77"/>
      <c r="H1971" s="77"/>
      <c r="I1971" s="77"/>
      <c r="J1971" s="77"/>
      <c r="K1971" s="77"/>
      <c r="L1971" s="77"/>
      <c r="M1971" s="77"/>
      <c r="N1971" s="77"/>
      <c r="O1971" s="77"/>
      <c r="P1971" s="77"/>
      <c r="Q1971" s="77"/>
      <c r="R1971" s="77"/>
    </row>
    <row r="1972" spans="1:18">
      <c r="A1972" s="77"/>
      <c r="B1972" s="77"/>
      <c r="C1972" s="77"/>
      <c r="D1972" s="77"/>
      <c r="E1972" s="77"/>
      <c r="F1972" s="77"/>
      <c r="G1972" s="77"/>
      <c r="H1972" s="77"/>
      <c r="I1972" s="77"/>
      <c r="J1972" s="77"/>
      <c r="K1972" s="77"/>
      <c r="L1972" s="77"/>
      <c r="M1972" s="77"/>
      <c r="N1972" s="77"/>
      <c r="O1972" s="77"/>
      <c r="P1972" s="77"/>
      <c r="Q1972" s="77"/>
      <c r="R1972" s="77"/>
    </row>
    <row r="1973" spans="1:18">
      <c r="A1973" s="77"/>
      <c r="B1973" s="77"/>
      <c r="C1973" s="77"/>
      <c r="D1973" s="77"/>
      <c r="E1973" s="77"/>
      <c r="F1973" s="77"/>
      <c r="G1973" s="77"/>
      <c r="H1973" s="77"/>
      <c r="I1973" s="77"/>
      <c r="J1973" s="77"/>
      <c r="K1973" s="77"/>
      <c r="L1973" s="77"/>
      <c r="M1973" s="77"/>
      <c r="N1973" s="77"/>
      <c r="O1973" s="77"/>
      <c r="P1973" s="77"/>
      <c r="Q1973" s="77"/>
      <c r="R1973" s="77"/>
    </row>
    <row r="1974" spans="1:18">
      <c r="A1974" s="77"/>
      <c r="B1974" s="77"/>
      <c r="C1974" s="77"/>
      <c r="D1974" s="77"/>
      <c r="E1974" s="77"/>
      <c r="F1974" s="77"/>
      <c r="G1974" s="77"/>
      <c r="H1974" s="77"/>
      <c r="I1974" s="77"/>
      <c r="J1974" s="77"/>
      <c r="K1974" s="77"/>
      <c r="L1974" s="77"/>
      <c r="M1974" s="77"/>
      <c r="N1974" s="77"/>
      <c r="O1974" s="77"/>
      <c r="P1974" s="77"/>
      <c r="Q1974" s="77"/>
      <c r="R1974" s="77"/>
    </row>
    <row r="1975" spans="1:18">
      <c r="A1975" s="77"/>
      <c r="B1975" s="77"/>
      <c r="C1975" s="77"/>
      <c r="D1975" s="77"/>
      <c r="E1975" s="77"/>
      <c r="F1975" s="77"/>
      <c r="G1975" s="77"/>
      <c r="H1975" s="77"/>
      <c r="I1975" s="77"/>
      <c r="J1975" s="77"/>
      <c r="K1975" s="77"/>
      <c r="L1975" s="77"/>
      <c r="M1975" s="77"/>
      <c r="N1975" s="77"/>
      <c r="O1975" s="77"/>
      <c r="P1975" s="77"/>
      <c r="Q1975" s="77"/>
      <c r="R1975" s="77"/>
    </row>
    <row r="1976" spans="1:18">
      <c r="A1976" s="77"/>
      <c r="B1976" s="77"/>
      <c r="C1976" s="77"/>
      <c r="D1976" s="77"/>
      <c r="E1976" s="77"/>
      <c r="F1976" s="77"/>
      <c r="G1976" s="77"/>
      <c r="H1976" s="77"/>
      <c r="I1976" s="77"/>
      <c r="J1976" s="77"/>
      <c r="K1976" s="77"/>
      <c r="L1976" s="77"/>
      <c r="M1976" s="77"/>
      <c r="N1976" s="77"/>
      <c r="O1976" s="77"/>
      <c r="P1976" s="77"/>
      <c r="Q1976" s="77"/>
      <c r="R1976" s="77"/>
    </row>
    <row r="1977" spans="1:18">
      <c r="A1977" s="77"/>
      <c r="B1977" s="77"/>
      <c r="C1977" s="77"/>
      <c r="D1977" s="77"/>
      <c r="E1977" s="77"/>
      <c r="F1977" s="77"/>
      <c r="G1977" s="77"/>
      <c r="H1977" s="77"/>
      <c r="I1977" s="77"/>
      <c r="J1977" s="77"/>
      <c r="K1977" s="77"/>
      <c r="L1977" s="77"/>
      <c r="M1977" s="77"/>
      <c r="N1977" s="77"/>
      <c r="O1977" s="77"/>
      <c r="P1977" s="77"/>
      <c r="Q1977" s="77"/>
      <c r="R1977" s="77"/>
    </row>
    <row r="1978" spans="1:18">
      <c r="A1978" s="77"/>
      <c r="B1978" s="77"/>
      <c r="C1978" s="77"/>
      <c r="D1978" s="77"/>
      <c r="E1978" s="77"/>
      <c r="F1978" s="77"/>
      <c r="G1978" s="77"/>
      <c r="H1978" s="77"/>
      <c r="I1978" s="77"/>
      <c r="J1978" s="77"/>
      <c r="K1978" s="77"/>
      <c r="L1978" s="77"/>
      <c r="M1978" s="77"/>
      <c r="N1978" s="77"/>
      <c r="O1978" s="77"/>
      <c r="P1978" s="77"/>
      <c r="Q1978" s="77"/>
      <c r="R1978" s="77"/>
    </row>
    <row r="1979" spans="1:18">
      <c r="A1979" s="77"/>
      <c r="B1979" s="77"/>
      <c r="C1979" s="77"/>
      <c r="D1979" s="77"/>
      <c r="E1979" s="77"/>
      <c r="F1979" s="77"/>
      <c r="G1979" s="77"/>
      <c r="H1979" s="77"/>
      <c r="I1979" s="77"/>
      <c r="J1979" s="77"/>
      <c r="K1979" s="77"/>
      <c r="L1979" s="77"/>
      <c r="M1979" s="77"/>
      <c r="N1979" s="77"/>
      <c r="O1979" s="77"/>
      <c r="P1979" s="77"/>
      <c r="Q1979" s="77"/>
      <c r="R1979" s="77"/>
    </row>
    <row r="1980" spans="1:18">
      <c r="A1980" s="77"/>
      <c r="B1980" s="77"/>
      <c r="C1980" s="77"/>
      <c r="D1980" s="77"/>
      <c r="E1980" s="77"/>
      <c r="F1980" s="77"/>
      <c r="G1980" s="77"/>
      <c r="H1980" s="77"/>
      <c r="I1980" s="77"/>
      <c r="J1980" s="77"/>
      <c r="K1980" s="77"/>
      <c r="L1980" s="77"/>
      <c r="M1980" s="77"/>
      <c r="N1980" s="77"/>
      <c r="O1980" s="77"/>
      <c r="P1980" s="77"/>
      <c r="Q1980" s="77"/>
      <c r="R1980" s="77"/>
    </row>
    <row r="1981" spans="1:18">
      <c r="A1981" s="77"/>
      <c r="B1981" s="77"/>
      <c r="C1981" s="77"/>
      <c r="D1981" s="77"/>
      <c r="E1981" s="77"/>
      <c r="F1981" s="77"/>
      <c r="G1981" s="77"/>
      <c r="H1981" s="77"/>
      <c r="I1981" s="77"/>
      <c r="J1981" s="77"/>
      <c r="K1981" s="77"/>
      <c r="L1981" s="77"/>
      <c r="M1981" s="77"/>
      <c r="N1981" s="77"/>
      <c r="O1981" s="77"/>
      <c r="P1981" s="77"/>
      <c r="Q1981" s="77"/>
      <c r="R1981" s="77"/>
    </row>
    <row r="1982" spans="1:18">
      <c r="A1982" s="77"/>
      <c r="B1982" s="77"/>
      <c r="C1982" s="77"/>
      <c r="D1982" s="77"/>
      <c r="E1982" s="77"/>
      <c r="F1982" s="77"/>
      <c r="G1982" s="77"/>
      <c r="H1982" s="77"/>
      <c r="I1982" s="77"/>
      <c r="J1982" s="77"/>
      <c r="K1982" s="77"/>
      <c r="L1982" s="77"/>
      <c r="M1982" s="77"/>
      <c r="N1982" s="77"/>
      <c r="O1982" s="77"/>
      <c r="P1982" s="77"/>
      <c r="Q1982" s="77"/>
      <c r="R1982" s="77"/>
    </row>
    <row r="1983" spans="1:18">
      <c r="A1983" s="77"/>
      <c r="B1983" s="77"/>
      <c r="C1983" s="77"/>
      <c r="D1983" s="77"/>
      <c r="E1983" s="77"/>
      <c r="F1983" s="77"/>
      <c r="G1983" s="77"/>
      <c r="H1983" s="77"/>
      <c r="I1983" s="77"/>
      <c r="J1983" s="77"/>
      <c r="K1983" s="77"/>
      <c r="L1983" s="77"/>
      <c r="M1983" s="77"/>
      <c r="N1983" s="77"/>
      <c r="O1983" s="77"/>
      <c r="P1983" s="77"/>
      <c r="Q1983" s="77"/>
      <c r="R1983" s="77"/>
    </row>
    <row r="1984" spans="1:18">
      <c r="A1984" s="77"/>
      <c r="B1984" s="77"/>
      <c r="C1984" s="77"/>
      <c r="D1984" s="77"/>
      <c r="E1984" s="77"/>
      <c r="F1984" s="77"/>
      <c r="G1984" s="77"/>
      <c r="H1984" s="77"/>
      <c r="I1984" s="77"/>
      <c r="J1984" s="77"/>
      <c r="K1984" s="77"/>
      <c r="L1984" s="77"/>
      <c r="M1984" s="77"/>
      <c r="N1984" s="77"/>
      <c r="O1984" s="77"/>
      <c r="P1984" s="77"/>
      <c r="Q1984" s="77"/>
      <c r="R1984" s="77"/>
    </row>
    <row r="1985" spans="1:18">
      <c r="A1985" s="77"/>
      <c r="B1985" s="77"/>
      <c r="C1985" s="77"/>
      <c r="D1985" s="77"/>
      <c r="E1985" s="77"/>
      <c r="F1985" s="77"/>
      <c r="G1985" s="77"/>
      <c r="H1985" s="77"/>
      <c r="I1985" s="77"/>
      <c r="J1985" s="77"/>
      <c r="K1985" s="77"/>
      <c r="L1985" s="77"/>
      <c r="M1985" s="77"/>
      <c r="N1985" s="77"/>
      <c r="O1985" s="77"/>
      <c r="P1985" s="77"/>
      <c r="Q1985" s="77"/>
      <c r="R1985" s="77"/>
    </row>
    <row r="1986" spans="1:18">
      <c r="A1986" s="77"/>
      <c r="B1986" s="77"/>
      <c r="C1986" s="77"/>
      <c r="D1986" s="77"/>
      <c r="E1986" s="77"/>
      <c r="F1986" s="77"/>
      <c r="G1986" s="77"/>
      <c r="H1986" s="77"/>
      <c r="I1986" s="77"/>
      <c r="J1986" s="77"/>
      <c r="K1986" s="77"/>
      <c r="L1986" s="77"/>
      <c r="M1986" s="77"/>
      <c r="N1986" s="77"/>
      <c r="O1986" s="77"/>
      <c r="P1986" s="77"/>
      <c r="Q1986" s="77"/>
      <c r="R1986" s="77"/>
    </row>
    <row r="1987" spans="1:18">
      <c r="A1987" s="77"/>
      <c r="B1987" s="77"/>
      <c r="C1987" s="77"/>
      <c r="D1987" s="77"/>
      <c r="E1987" s="77"/>
      <c r="F1987" s="77"/>
      <c r="G1987" s="77"/>
      <c r="H1987" s="77"/>
      <c r="I1987" s="77"/>
      <c r="J1987" s="77"/>
      <c r="K1987" s="77"/>
      <c r="L1987" s="77"/>
      <c r="M1987" s="77"/>
      <c r="N1987" s="77"/>
      <c r="O1987" s="77"/>
      <c r="P1987" s="77"/>
      <c r="Q1987" s="77"/>
      <c r="R1987" s="77"/>
    </row>
    <row r="1988" spans="1:18">
      <c r="A1988" s="77"/>
      <c r="B1988" s="77"/>
      <c r="C1988" s="77"/>
      <c r="D1988" s="77"/>
      <c r="E1988" s="77"/>
      <c r="F1988" s="77"/>
      <c r="G1988" s="77"/>
      <c r="H1988" s="77"/>
      <c r="I1988" s="77"/>
      <c r="J1988" s="77"/>
      <c r="K1988" s="77"/>
      <c r="L1988" s="77"/>
      <c r="M1988" s="77"/>
      <c r="N1988" s="77"/>
      <c r="O1988" s="77"/>
      <c r="P1988" s="77"/>
      <c r="Q1988" s="77"/>
      <c r="R1988" s="77"/>
    </row>
    <row r="1989" spans="1:18">
      <c r="A1989" s="77"/>
      <c r="B1989" s="77"/>
      <c r="C1989" s="77"/>
      <c r="D1989" s="77"/>
      <c r="E1989" s="77"/>
      <c r="F1989" s="77"/>
      <c r="G1989" s="77"/>
      <c r="H1989" s="77"/>
      <c r="I1989" s="77"/>
      <c r="J1989" s="77"/>
      <c r="K1989" s="77"/>
      <c r="L1989" s="77"/>
      <c r="M1989" s="77"/>
      <c r="N1989" s="77"/>
      <c r="O1989" s="77"/>
      <c r="P1989" s="77"/>
      <c r="Q1989" s="77"/>
      <c r="R1989" s="77"/>
    </row>
    <row r="1990" spans="1:18">
      <c r="A1990" s="77"/>
      <c r="B1990" s="77"/>
      <c r="C1990" s="77"/>
      <c r="D1990" s="77"/>
      <c r="E1990" s="77"/>
      <c r="F1990" s="77"/>
      <c r="G1990" s="77"/>
      <c r="H1990" s="77"/>
      <c r="I1990" s="77"/>
      <c r="J1990" s="77"/>
      <c r="K1990" s="77"/>
      <c r="L1990" s="77"/>
      <c r="M1990" s="77"/>
      <c r="N1990" s="77"/>
      <c r="O1990" s="77"/>
      <c r="P1990" s="77"/>
      <c r="Q1990" s="77"/>
      <c r="R1990" s="77"/>
    </row>
    <row r="1991" spans="1:18">
      <c r="A1991" s="77"/>
      <c r="B1991" s="77"/>
      <c r="C1991" s="77"/>
      <c r="D1991" s="77"/>
      <c r="E1991" s="77"/>
      <c r="F1991" s="77"/>
      <c r="G1991" s="77"/>
      <c r="H1991" s="77"/>
      <c r="I1991" s="77"/>
      <c r="J1991" s="77"/>
      <c r="K1991" s="77"/>
      <c r="L1991" s="77"/>
      <c r="M1991" s="77"/>
      <c r="N1991" s="77"/>
      <c r="O1991" s="77"/>
      <c r="P1991" s="77"/>
      <c r="Q1991" s="77"/>
      <c r="R1991" s="77"/>
    </row>
    <row r="1992" spans="1:18">
      <c r="A1992" s="77"/>
      <c r="B1992" s="77"/>
      <c r="C1992" s="77"/>
      <c r="D1992" s="77"/>
      <c r="E1992" s="77"/>
      <c r="F1992" s="77"/>
      <c r="G1992" s="77"/>
      <c r="H1992" s="77"/>
      <c r="I1992" s="77"/>
      <c r="J1992" s="77"/>
      <c r="K1992" s="77"/>
      <c r="L1992" s="77"/>
      <c r="M1992" s="77"/>
      <c r="N1992" s="77"/>
      <c r="O1992" s="77"/>
      <c r="P1992" s="77"/>
      <c r="Q1992" s="77"/>
      <c r="R1992" s="77"/>
    </row>
    <row r="1993" spans="1:18">
      <c r="A1993" s="77"/>
      <c r="B1993" s="77"/>
      <c r="C1993" s="77"/>
      <c r="D1993" s="77"/>
      <c r="E1993" s="77"/>
      <c r="F1993" s="77"/>
      <c r="G1993" s="77"/>
      <c r="H1993" s="77"/>
      <c r="I1993" s="77"/>
      <c r="J1993" s="77"/>
      <c r="K1993" s="77"/>
      <c r="L1993" s="77"/>
      <c r="M1993" s="77"/>
      <c r="N1993" s="77"/>
      <c r="O1993" s="77"/>
      <c r="P1993" s="77"/>
      <c r="Q1993" s="77"/>
      <c r="R1993" s="77"/>
    </row>
    <row r="1994" spans="1:18">
      <c r="A1994" s="77"/>
      <c r="B1994" s="77"/>
      <c r="C1994" s="77"/>
      <c r="D1994" s="77"/>
      <c r="E1994" s="77"/>
      <c r="F1994" s="77"/>
      <c r="G1994" s="77"/>
      <c r="H1994" s="77"/>
      <c r="I1994" s="77"/>
      <c r="J1994" s="77"/>
      <c r="K1994" s="77"/>
      <c r="L1994" s="77"/>
      <c r="M1994" s="77"/>
      <c r="N1994" s="77"/>
      <c r="O1994" s="77"/>
      <c r="P1994" s="77"/>
      <c r="Q1994" s="77"/>
      <c r="R1994" s="77"/>
    </row>
    <row r="1995" spans="1:18">
      <c r="A1995" s="77"/>
      <c r="B1995" s="77"/>
      <c r="C1995" s="77"/>
      <c r="D1995" s="77"/>
      <c r="E1995" s="77"/>
      <c r="F1995" s="77"/>
      <c r="G1995" s="77"/>
      <c r="H1995" s="77"/>
      <c r="I1995" s="77"/>
      <c r="J1995" s="77"/>
      <c r="K1995" s="77"/>
      <c r="L1995" s="77"/>
      <c r="M1995" s="77"/>
      <c r="N1995" s="77"/>
      <c r="O1995" s="77"/>
      <c r="P1995" s="77"/>
      <c r="Q1995" s="77"/>
      <c r="R1995" s="77"/>
    </row>
    <row r="1996" spans="1:18">
      <c r="A1996" s="77"/>
      <c r="B1996" s="77"/>
      <c r="C1996" s="77"/>
      <c r="D1996" s="77"/>
      <c r="E1996" s="77"/>
      <c r="F1996" s="77"/>
      <c r="G1996" s="77"/>
      <c r="H1996" s="77"/>
      <c r="I1996" s="77"/>
      <c r="J1996" s="77"/>
      <c r="K1996" s="77"/>
      <c r="L1996" s="77"/>
      <c r="M1996" s="77"/>
      <c r="N1996" s="77"/>
      <c r="O1996" s="77"/>
      <c r="P1996" s="77"/>
      <c r="Q1996" s="77"/>
      <c r="R1996" s="77"/>
    </row>
    <row r="1997" spans="1:18">
      <c r="A1997" s="77"/>
      <c r="B1997" s="77"/>
      <c r="C1997" s="77"/>
      <c r="D1997" s="77"/>
      <c r="E1997" s="77"/>
      <c r="F1997" s="77"/>
      <c r="G1997" s="77"/>
      <c r="H1997" s="77"/>
      <c r="I1997" s="77"/>
      <c r="J1997" s="77"/>
      <c r="K1997" s="77"/>
      <c r="L1997" s="77"/>
      <c r="M1997" s="77"/>
      <c r="N1997" s="77"/>
      <c r="O1997" s="77"/>
      <c r="P1997" s="77"/>
      <c r="Q1997" s="77"/>
      <c r="R1997" s="77"/>
    </row>
    <row r="1998" spans="1:18">
      <c r="A1998" s="77"/>
      <c r="B1998" s="77"/>
      <c r="C1998" s="77"/>
      <c r="D1998" s="77"/>
      <c r="E1998" s="77"/>
      <c r="F1998" s="77"/>
      <c r="G1998" s="77"/>
      <c r="H1998" s="77"/>
      <c r="I1998" s="77"/>
      <c r="J1998" s="77"/>
      <c r="K1998" s="77"/>
      <c r="L1998" s="77"/>
      <c r="M1998" s="77"/>
      <c r="N1998" s="77"/>
      <c r="O1998" s="77"/>
      <c r="P1998" s="77"/>
      <c r="Q1998" s="77"/>
      <c r="R1998" s="77"/>
    </row>
    <row r="1999" spans="1:18">
      <c r="A1999" s="77"/>
      <c r="B1999" s="77"/>
      <c r="C1999" s="77"/>
      <c r="D1999" s="77"/>
      <c r="E1999" s="77"/>
      <c r="F1999" s="77"/>
      <c r="G1999" s="77"/>
      <c r="H1999" s="77"/>
      <c r="I1999" s="77"/>
      <c r="J1999" s="77"/>
      <c r="K1999" s="77"/>
      <c r="L1999" s="77"/>
      <c r="M1999" s="77"/>
      <c r="N1999" s="77"/>
      <c r="O1999" s="77"/>
      <c r="P1999" s="77"/>
      <c r="Q1999" s="77"/>
      <c r="R1999" s="77"/>
    </row>
    <row r="2000" spans="1:18">
      <c r="A2000" s="77"/>
      <c r="B2000" s="77"/>
      <c r="C2000" s="77"/>
      <c r="D2000" s="77"/>
      <c r="E2000" s="77"/>
      <c r="F2000" s="77"/>
      <c r="G2000" s="77"/>
      <c r="H2000" s="77"/>
      <c r="I2000" s="77"/>
      <c r="J2000" s="77"/>
      <c r="K2000" s="77"/>
      <c r="L2000" s="77"/>
      <c r="M2000" s="77"/>
      <c r="N2000" s="77"/>
      <c r="O2000" s="77"/>
      <c r="P2000" s="77"/>
      <c r="Q2000" s="77"/>
      <c r="R2000" s="77"/>
    </row>
    <row r="2001" spans="1:18">
      <c r="A2001" s="77"/>
      <c r="B2001" s="77"/>
      <c r="C2001" s="77"/>
      <c r="D2001" s="77"/>
      <c r="E2001" s="77"/>
      <c r="F2001" s="77"/>
      <c r="G2001" s="77"/>
      <c r="H2001" s="77"/>
      <c r="I2001" s="77"/>
      <c r="J2001" s="77"/>
      <c r="K2001" s="77"/>
      <c r="L2001" s="77"/>
      <c r="M2001" s="77"/>
      <c r="N2001" s="77"/>
      <c r="O2001" s="77"/>
      <c r="P2001" s="77"/>
      <c r="Q2001" s="77"/>
      <c r="R2001" s="77"/>
    </row>
    <row r="2002" spans="1:18">
      <c r="A2002" s="77"/>
      <c r="B2002" s="77"/>
      <c r="C2002" s="77"/>
      <c r="D2002" s="77"/>
      <c r="E2002" s="77"/>
      <c r="F2002" s="77"/>
      <c r="G2002" s="77"/>
      <c r="H2002" s="77"/>
      <c r="I2002" s="77"/>
      <c r="J2002" s="77"/>
      <c r="K2002" s="77"/>
      <c r="L2002" s="77"/>
      <c r="M2002" s="77"/>
      <c r="N2002" s="77"/>
      <c r="O2002" s="77"/>
      <c r="P2002" s="77"/>
      <c r="Q2002" s="77"/>
      <c r="R2002" s="77"/>
    </row>
    <row r="2003" spans="1:18">
      <c r="A2003" s="77"/>
      <c r="B2003" s="77"/>
      <c r="C2003" s="77"/>
      <c r="D2003" s="77"/>
      <c r="E2003" s="77"/>
      <c r="F2003" s="77"/>
      <c r="G2003" s="77"/>
      <c r="H2003" s="77"/>
      <c r="I2003" s="77"/>
      <c r="J2003" s="77"/>
      <c r="K2003" s="77"/>
      <c r="L2003" s="77"/>
      <c r="M2003" s="77"/>
      <c r="N2003" s="77"/>
      <c r="O2003" s="77"/>
      <c r="P2003" s="77"/>
      <c r="Q2003" s="77"/>
      <c r="R2003" s="77"/>
    </row>
    <row r="2004" spans="1:18">
      <c r="A2004" s="77"/>
      <c r="B2004" s="77"/>
      <c r="C2004" s="77"/>
      <c r="D2004" s="77"/>
      <c r="E2004" s="77"/>
      <c r="F2004" s="77"/>
      <c r="G2004" s="77"/>
      <c r="H2004" s="77"/>
      <c r="I2004" s="77"/>
      <c r="J2004" s="77"/>
      <c r="K2004" s="77"/>
      <c r="L2004" s="77"/>
      <c r="M2004" s="77"/>
      <c r="N2004" s="77"/>
      <c r="O2004" s="77"/>
      <c r="P2004" s="77"/>
      <c r="Q2004" s="77"/>
      <c r="R2004" s="77"/>
    </row>
    <row r="2005" spans="1:18">
      <c r="A2005" s="77"/>
      <c r="B2005" s="77"/>
      <c r="C2005" s="77"/>
      <c r="D2005" s="77"/>
      <c r="E2005" s="77"/>
      <c r="F2005" s="77"/>
      <c r="G2005" s="77"/>
      <c r="H2005" s="77"/>
      <c r="I2005" s="77"/>
      <c r="J2005" s="77"/>
      <c r="K2005" s="77"/>
      <c r="L2005" s="77"/>
      <c r="M2005" s="77"/>
      <c r="N2005" s="77"/>
      <c r="O2005" s="77"/>
      <c r="P2005" s="77"/>
      <c r="Q2005" s="77"/>
      <c r="R2005" s="77"/>
    </row>
    <row r="2006" spans="1:18">
      <c r="A2006" s="77"/>
      <c r="B2006" s="77"/>
      <c r="C2006" s="77"/>
      <c r="D2006" s="77"/>
      <c r="E2006" s="77"/>
      <c r="F2006" s="77"/>
      <c r="G2006" s="77"/>
      <c r="H2006" s="77"/>
      <c r="I2006" s="77"/>
      <c r="J2006" s="77"/>
      <c r="K2006" s="77"/>
      <c r="L2006" s="77"/>
      <c r="M2006" s="77"/>
      <c r="N2006" s="77"/>
      <c r="O2006" s="77"/>
      <c r="P2006" s="77"/>
      <c r="Q2006" s="77"/>
      <c r="R2006" s="77"/>
    </row>
    <row r="2007" spans="1:18">
      <c r="A2007" s="77"/>
      <c r="B2007" s="77"/>
      <c r="C2007" s="77"/>
      <c r="D2007" s="77"/>
      <c r="E2007" s="77"/>
      <c r="F2007" s="77"/>
      <c r="G2007" s="77"/>
      <c r="H2007" s="77"/>
      <c r="I2007" s="77"/>
      <c r="J2007" s="77"/>
      <c r="K2007" s="77"/>
      <c r="L2007" s="77"/>
      <c r="M2007" s="77"/>
      <c r="N2007" s="77"/>
      <c r="O2007" s="77"/>
      <c r="P2007" s="77"/>
      <c r="Q2007" s="77"/>
      <c r="R2007" s="77"/>
    </row>
    <row r="2008" spans="1:18">
      <c r="A2008" s="77"/>
      <c r="B2008" s="77"/>
      <c r="C2008" s="77"/>
      <c r="D2008" s="77"/>
      <c r="E2008" s="77"/>
      <c r="F2008" s="77"/>
      <c r="G2008" s="77"/>
      <c r="H2008" s="77"/>
      <c r="I2008" s="77"/>
      <c r="J2008" s="77"/>
      <c r="K2008" s="77"/>
      <c r="L2008" s="77"/>
      <c r="M2008" s="77"/>
      <c r="N2008" s="77"/>
      <c r="O2008" s="77"/>
      <c r="P2008" s="77"/>
      <c r="Q2008" s="77"/>
      <c r="R2008" s="77"/>
    </row>
    <row r="2009" spans="1:18">
      <c r="A2009" s="77"/>
      <c r="B2009" s="77"/>
      <c r="C2009" s="77"/>
      <c r="D2009" s="77"/>
      <c r="E2009" s="77"/>
      <c r="F2009" s="77"/>
      <c r="G2009" s="77"/>
      <c r="H2009" s="77"/>
      <c r="I2009" s="77"/>
      <c r="J2009" s="77"/>
      <c r="K2009" s="77"/>
      <c r="L2009" s="77"/>
      <c r="M2009" s="77"/>
      <c r="N2009" s="77"/>
      <c r="O2009" s="77"/>
      <c r="P2009" s="77"/>
      <c r="Q2009" s="77"/>
      <c r="R2009" s="77"/>
    </row>
    <row r="2010" spans="1:18">
      <c r="A2010" s="77"/>
      <c r="B2010" s="77"/>
      <c r="C2010" s="77"/>
      <c r="D2010" s="77"/>
      <c r="E2010" s="77"/>
      <c r="F2010" s="77"/>
      <c r="G2010" s="77"/>
      <c r="H2010" s="77"/>
      <c r="I2010" s="77"/>
      <c r="J2010" s="77"/>
      <c r="K2010" s="77"/>
      <c r="L2010" s="77"/>
      <c r="M2010" s="77"/>
      <c r="N2010" s="77"/>
      <c r="O2010" s="77"/>
      <c r="P2010" s="77"/>
      <c r="Q2010" s="77"/>
      <c r="R2010" s="77"/>
    </row>
    <row r="2011" spans="1:18">
      <c r="A2011" s="77"/>
      <c r="B2011" s="77"/>
      <c r="C2011" s="77"/>
      <c r="D2011" s="77"/>
      <c r="E2011" s="77"/>
      <c r="F2011" s="77"/>
      <c r="G2011" s="77"/>
      <c r="H2011" s="77"/>
      <c r="I2011" s="77"/>
      <c r="J2011" s="77"/>
      <c r="K2011" s="77"/>
      <c r="L2011" s="77"/>
      <c r="M2011" s="77"/>
      <c r="N2011" s="77"/>
      <c r="O2011" s="77"/>
      <c r="P2011" s="77"/>
      <c r="Q2011" s="77"/>
      <c r="R2011" s="77"/>
    </row>
    <row r="2012" spans="1:18">
      <c r="A2012" s="77"/>
      <c r="B2012" s="77"/>
      <c r="C2012" s="77"/>
      <c r="D2012" s="77"/>
      <c r="E2012" s="77"/>
      <c r="F2012" s="77"/>
      <c r="G2012" s="77"/>
      <c r="H2012" s="77"/>
      <c r="I2012" s="77"/>
      <c r="J2012" s="77"/>
      <c r="K2012" s="77"/>
      <c r="L2012" s="77"/>
      <c r="M2012" s="77"/>
      <c r="N2012" s="77"/>
      <c r="O2012" s="77"/>
      <c r="P2012" s="77"/>
      <c r="Q2012" s="77"/>
      <c r="R2012" s="77"/>
    </row>
    <row r="2013" spans="1:18">
      <c r="A2013" s="77"/>
      <c r="B2013" s="77"/>
      <c r="C2013" s="77"/>
      <c r="D2013" s="77"/>
      <c r="E2013" s="77"/>
      <c r="F2013" s="77"/>
      <c r="G2013" s="77"/>
      <c r="H2013" s="77"/>
      <c r="I2013" s="77"/>
      <c r="J2013" s="77"/>
      <c r="K2013" s="77"/>
      <c r="L2013" s="77"/>
      <c r="M2013" s="77"/>
      <c r="N2013" s="77"/>
      <c r="O2013" s="77"/>
      <c r="P2013" s="77"/>
      <c r="Q2013" s="77"/>
      <c r="R2013" s="77"/>
    </row>
    <row r="2014" spans="1:18">
      <c r="A2014" s="77"/>
      <c r="B2014" s="77"/>
      <c r="C2014" s="77"/>
      <c r="D2014" s="77"/>
      <c r="E2014" s="77"/>
      <c r="F2014" s="77"/>
      <c r="G2014" s="77"/>
      <c r="H2014" s="77"/>
      <c r="I2014" s="77"/>
      <c r="J2014" s="77"/>
      <c r="K2014" s="77"/>
      <c r="L2014" s="77"/>
      <c r="M2014" s="77"/>
      <c r="N2014" s="77"/>
      <c r="O2014" s="77"/>
      <c r="P2014" s="77"/>
      <c r="Q2014" s="77"/>
      <c r="R2014" s="77"/>
    </row>
    <row r="2015" spans="1:18">
      <c r="A2015" s="77"/>
      <c r="B2015" s="77"/>
      <c r="C2015" s="77"/>
      <c r="D2015" s="77"/>
      <c r="E2015" s="77"/>
      <c r="F2015" s="77"/>
      <c r="G2015" s="77"/>
      <c r="H2015" s="77"/>
      <c r="I2015" s="77"/>
      <c r="J2015" s="77"/>
      <c r="K2015" s="77"/>
      <c r="L2015" s="77"/>
      <c r="M2015" s="77"/>
      <c r="N2015" s="77"/>
      <c r="O2015" s="77"/>
      <c r="P2015" s="77"/>
      <c r="Q2015" s="77"/>
      <c r="R2015" s="77"/>
    </row>
    <row r="2016" spans="1:18">
      <c r="A2016" s="77"/>
      <c r="B2016" s="77"/>
      <c r="C2016" s="77"/>
      <c r="D2016" s="77"/>
      <c r="E2016" s="77"/>
      <c r="F2016" s="77"/>
      <c r="G2016" s="77"/>
      <c r="H2016" s="77"/>
      <c r="I2016" s="77"/>
      <c r="J2016" s="77"/>
      <c r="K2016" s="77"/>
      <c r="L2016" s="77"/>
      <c r="M2016" s="77"/>
      <c r="N2016" s="77"/>
      <c r="O2016" s="77"/>
      <c r="P2016" s="77"/>
      <c r="Q2016" s="77"/>
      <c r="R2016" s="77"/>
    </row>
    <row r="2017" spans="1:18">
      <c r="A2017" s="77"/>
      <c r="B2017" s="77"/>
      <c r="C2017" s="77"/>
      <c r="D2017" s="77"/>
      <c r="E2017" s="77"/>
      <c r="F2017" s="77"/>
      <c r="G2017" s="77"/>
      <c r="H2017" s="77"/>
      <c r="I2017" s="77"/>
      <c r="J2017" s="77"/>
      <c r="K2017" s="77"/>
      <c r="L2017" s="77"/>
      <c r="M2017" s="77"/>
      <c r="N2017" s="77"/>
      <c r="O2017" s="77"/>
      <c r="P2017" s="77"/>
      <c r="Q2017" s="77"/>
      <c r="R2017" s="77"/>
    </row>
    <row r="2018" spans="1:18">
      <c r="A2018" s="77"/>
      <c r="B2018" s="77"/>
      <c r="C2018" s="77"/>
      <c r="D2018" s="77"/>
      <c r="E2018" s="77"/>
      <c r="F2018" s="77"/>
      <c r="G2018" s="77"/>
      <c r="H2018" s="77"/>
      <c r="I2018" s="77"/>
      <c r="J2018" s="77"/>
      <c r="K2018" s="77"/>
      <c r="L2018" s="77"/>
      <c r="M2018" s="77"/>
      <c r="N2018" s="77"/>
      <c r="O2018" s="77"/>
      <c r="P2018" s="77"/>
      <c r="Q2018" s="77"/>
      <c r="R2018" s="77"/>
    </row>
    <row r="2019" spans="1:18">
      <c r="A2019" s="77"/>
      <c r="B2019" s="77"/>
      <c r="C2019" s="77"/>
      <c r="D2019" s="77"/>
      <c r="E2019" s="77"/>
      <c r="F2019" s="77"/>
      <c r="G2019" s="77"/>
      <c r="H2019" s="77"/>
      <c r="I2019" s="77"/>
      <c r="J2019" s="77"/>
      <c r="K2019" s="77"/>
      <c r="L2019" s="77"/>
      <c r="M2019" s="77"/>
      <c r="N2019" s="77"/>
      <c r="O2019" s="77"/>
      <c r="P2019" s="77"/>
      <c r="Q2019" s="77"/>
      <c r="R2019" s="77"/>
    </row>
    <row r="2020" spans="1:18">
      <c r="A2020" s="77"/>
      <c r="B2020" s="77"/>
      <c r="C2020" s="77"/>
      <c r="D2020" s="77"/>
      <c r="E2020" s="77"/>
      <c r="F2020" s="77"/>
      <c r="G2020" s="77"/>
      <c r="H2020" s="77"/>
      <c r="I2020" s="77"/>
      <c r="J2020" s="77"/>
      <c r="K2020" s="77"/>
      <c r="L2020" s="77"/>
      <c r="M2020" s="77"/>
      <c r="N2020" s="77"/>
      <c r="O2020" s="77"/>
      <c r="P2020" s="77"/>
      <c r="Q2020" s="77"/>
      <c r="R2020" s="77"/>
    </row>
    <row r="2021" spans="1:18">
      <c r="A2021" s="77"/>
      <c r="B2021" s="77"/>
      <c r="C2021" s="77"/>
      <c r="D2021" s="77"/>
      <c r="E2021" s="77"/>
      <c r="F2021" s="77"/>
      <c r="G2021" s="77"/>
      <c r="H2021" s="77"/>
      <c r="I2021" s="77"/>
      <c r="J2021" s="77"/>
      <c r="K2021" s="77"/>
      <c r="L2021" s="77"/>
      <c r="M2021" s="77"/>
      <c r="N2021" s="77"/>
      <c r="O2021" s="77"/>
      <c r="P2021" s="77"/>
      <c r="Q2021" s="77"/>
      <c r="R2021" s="77"/>
    </row>
    <row r="2022" spans="1:18">
      <c r="A2022" s="77"/>
      <c r="B2022" s="77"/>
      <c r="C2022" s="77"/>
      <c r="D2022" s="77"/>
      <c r="E2022" s="77"/>
      <c r="F2022" s="77"/>
      <c r="G2022" s="77"/>
      <c r="H2022" s="77"/>
      <c r="I2022" s="77"/>
      <c r="J2022" s="77"/>
      <c r="K2022" s="77"/>
      <c r="L2022" s="77"/>
      <c r="M2022" s="77"/>
      <c r="N2022" s="77"/>
      <c r="O2022" s="77"/>
      <c r="P2022" s="77"/>
      <c r="Q2022" s="77"/>
      <c r="R2022" s="77"/>
    </row>
    <row r="2023" spans="1:18">
      <c r="A2023" s="77"/>
      <c r="B2023" s="77"/>
      <c r="C2023" s="77"/>
      <c r="D2023" s="77"/>
      <c r="E2023" s="77"/>
      <c r="F2023" s="77"/>
      <c r="G2023" s="77"/>
      <c r="H2023" s="77"/>
      <c r="I2023" s="77"/>
      <c r="J2023" s="77"/>
      <c r="K2023" s="77"/>
      <c r="L2023" s="77"/>
      <c r="M2023" s="77"/>
      <c r="N2023" s="77"/>
      <c r="O2023" s="77"/>
      <c r="P2023" s="77"/>
      <c r="Q2023" s="77"/>
      <c r="R2023" s="77"/>
    </row>
    <row r="2024" spans="1:18">
      <c r="A2024" s="77"/>
      <c r="B2024" s="77"/>
      <c r="C2024" s="77"/>
      <c r="D2024" s="77"/>
      <c r="E2024" s="77"/>
      <c r="F2024" s="77"/>
      <c r="G2024" s="77"/>
      <c r="H2024" s="77"/>
      <c r="I2024" s="77"/>
      <c r="J2024" s="77"/>
      <c r="K2024" s="77"/>
      <c r="L2024" s="77"/>
      <c r="M2024" s="77"/>
      <c r="N2024" s="77"/>
      <c r="O2024" s="77"/>
      <c r="P2024" s="77"/>
      <c r="Q2024" s="77"/>
      <c r="R2024" s="77"/>
    </row>
    <row r="2025" spans="1:18">
      <c r="A2025" s="77"/>
      <c r="B2025" s="77"/>
      <c r="C2025" s="77"/>
      <c r="D2025" s="77"/>
      <c r="E2025" s="77"/>
      <c r="F2025" s="77"/>
      <c r="G2025" s="77"/>
      <c r="H2025" s="77"/>
      <c r="I2025" s="77"/>
      <c r="J2025" s="77"/>
      <c r="K2025" s="77"/>
      <c r="L2025" s="77"/>
      <c r="M2025" s="77"/>
      <c r="N2025" s="77"/>
      <c r="O2025" s="77"/>
      <c r="P2025" s="77"/>
      <c r="Q2025" s="77"/>
      <c r="R2025" s="77"/>
    </row>
    <row r="2026" spans="1:18">
      <c r="A2026" s="77"/>
      <c r="B2026" s="77"/>
      <c r="C2026" s="77"/>
      <c r="D2026" s="77"/>
      <c r="E2026" s="77"/>
      <c r="F2026" s="77"/>
      <c r="G2026" s="77"/>
      <c r="H2026" s="77"/>
      <c r="I2026" s="77"/>
      <c r="J2026" s="77"/>
      <c r="K2026" s="77"/>
      <c r="L2026" s="77"/>
      <c r="M2026" s="77"/>
      <c r="N2026" s="77"/>
      <c r="O2026" s="77"/>
      <c r="P2026" s="77"/>
      <c r="Q2026" s="77"/>
      <c r="R2026" s="77"/>
    </row>
    <row r="2027" spans="1:18">
      <c r="A2027" s="77"/>
      <c r="B2027" s="77"/>
      <c r="C2027" s="77"/>
      <c r="D2027" s="77"/>
      <c r="E2027" s="77"/>
      <c r="F2027" s="77"/>
      <c r="G2027" s="77"/>
      <c r="H2027" s="77"/>
      <c r="I2027" s="77"/>
      <c r="J2027" s="77"/>
      <c r="K2027" s="77"/>
      <c r="L2027" s="77"/>
      <c r="M2027" s="77"/>
      <c r="N2027" s="77"/>
      <c r="O2027" s="77"/>
      <c r="P2027" s="77"/>
      <c r="Q2027" s="77"/>
      <c r="R2027" s="77"/>
    </row>
    <row r="2028" spans="1:18">
      <c r="A2028" s="77"/>
      <c r="B2028" s="77"/>
      <c r="C2028" s="77"/>
      <c r="D2028" s="77"/>
      <c r="E2028" s="77"/>
      <c r="F2028" s="77"/>
      <c r="G2028" s="77"/>
      <c r="H2028" s="77"/>
      <c r="I2028" s="77"/>
      <c r="J2028" s="77"/>
      <c r="K2028" s="77"/>
      <c r="L2028" s="77"/>
      <c r="M2028" s="77"/>
      <c r="N2028" s="77"/>
      <c r="O2028" s="77"/>
      <c r="P2028" s="77"/>
      <c r="Q2028" s="77"/>
      <c r="R2028" s="77"/>
    </row>
    <row r="2029" spans="1:18">
      <c r="A2029" s="77"/>
      <c r="B2029" s="77"/>
      <c r="C2029" s="77"/>
      <c r="D2029" s="77"/>
      <c r="E2029" s="77"/>
      <c r="F2029" s="77"/>
      <c r="G2029" s="77"/>
      <c r="H2029" s="77"/>
      <c r="I2029" s="77"/>
      <c r="J2029" s="77"/>
      <c r="K2029" s="77"/>
      <c r="L2029" s="77"/>
      <c r="M2029" s="77"/>
      <c r="N2029" s="77"/>
      <c r="O2029" s="77"/>
      <c r="P2029" s="77"/>
      <c r="Q2029" s="77"/>
      <c r="R2029" s="77"/>
    </row>
    <row r="2030" spans="1:18">
      <c r="A2030" s="77"/>
      <c r="B2030" s="77"/>
      <c r="C2030" s="77"/>
      <c r="D2030" s="77"/>
      <c r="E2030" s="77"/>
      <c r="F2030" s="77"/>
      <c r="G2030" s="77"/>
      <c r="H2030" s="77"/>
      <c r="I2030" s="77"/>
      <c r="J2030" s="77"/>
      <c r="K2030" s="77"/>
      <c r="L2030" s="77"/>
      <c r="M2030" s="77"/>
      <c r="N2030" s="77"/>
      <c r="O2030" s="77"/>
      <c r="P2030" s="77"/>
      <c r="Q2030" s="77"/>
      <c r="R2030" s="77"/>
    </row>
    <row r="2031" spans="1:18">
      <c r="A2031" s="77"/>
      <c r="B2031" s="77"/>
      <c r="C2031" s="77"/>
      <c r="D2031" s="77"/>
      <c r="E2031" s="77"/>
      <c r="F2031" s="77"/>
      <c r="G2031" s="77"/>
      <c r="H2031" s="77"/>
      <c r="I2031" s="77"/>
      <c r="J2031" s="77"/>
      <c r="K2031" s="77"/>
      <c r="L2031" s="77"/>
      <c r="M2031" s="77"/>
      <c r="N2031" s="77"/>
      <c r="O2031" s="77"/>
      <c r="P2031" s="77"/>
      <c r="Q2031" s="77"/>
      <c r="R2031" s="77"/>
    </row>
    <row r="2032" spans="1:18">
      <c r="A2032" s="77"/>
      <c r="B2032" s="77"/>
      <c r="C2032" s="77"/>
      <c r="D2032" s="77"/>
      <c r="E2032" s="77"/>
      <c r="F2032" s="77"/>
      <c r="G2032" s="77"/>
      <c r="H2032" s="77"/>
      <c r="I2032" s="77"/>
      <c r="J2032" s="77"/>
      <c r="K2032" s="77"/>
      <c r="L2032" s="77"/>
      <c r="M2032" s="77"/>
      <c r="N2032" s="77"/>
      <c r="O2032" s="77"/>
      <c r="P2032" s="77"/>
      <c r="Q2032" s="77"/>
      <c r="R2032" s="77"/>
    </row>
    <row r="2033" spans="1:18">
      <c r="A2033" s="77"/>
      <c r="B2033" s="77"/>
      <c r="C2033" s="77"/>
      <c r="D2033" s="77"/>
      <c r="E2033" s="77"/>
      <c r="F2033" s="77"/>
      <c r="G2033" s="77"/>
      <c r="H2033" s="77"/>
      <c r="I2033" s="77"/>
      <c r="J2033" s="77"/>
      <c r="K2033" s="77"/>
      <c r="L2033" s="77"/>
      <c r="M2033" s="77"/>
      <c r="N2033" s="77"/>
      <c r="O2033" s="77"/>
      <c r="P2033" s="77"/>
      <c r="Q2033" s="77"/>
      <c r="R2033" s="77"/>
    </row>
    <row r="2034" spans="1:18">
      <c r="A2034" s="77"/>
      <c r="B2034" s="77"/>
      <c r="C2034" s="77"/>
      <c r="D2034" s="77"/>
      <c r="E2034" s="77"/>
      <c r="F2034" s="77"/>
      <c r="G2034" s="77"/>
      <c r="H2034" s="77"/>
      <c r="I2034" s="77"/>
      <c r="J2034" s="77"/>
      <c r="K2034" s="77"/>
      <c r="L2034" s="77"/>
      <c r="M2034" s="77"/>
      <c r="N2034" s="77"/>
      <c r="O2034" s="77"/>
      <c r="P2034" s="77"/>
      <c r="Q2034" s="77"/>
      <c r="R2034" s="77"/>
    </row>
    <row r="2035" spans="1:18">
      <c r="A2035" s="77"/>
      <c r="B2035" s="77"/>
      <c r="C2035" s="77"/>
      <c r="D2035" s="77"/>
      <c r="E2035" s="77"/>
      <c r="F2035" s="77"/>
      <c r="G2035" s="77"/>
      <c r="H2035" s="77"/>
      <c r="I2035" s="77"/>
      <c r="J2035" s="77"/>
      <c r="K2035" s="77"/>
      <c r="L2035" s="77"/>
      <c r="M2035" s="77"/>
      <c r="N2035" s="77"/>
      <c r="O2035" s="77"/>
      <c r="P2035" s="77"/>
      <c r="Q2035" s="77"/>
      <c r="R2035" s="77"/>
    </row>
    <row r="2036" spans="1:18">
      <c r="A2036" s="77"/>
      <c r="B2036" s="77"/>
      <c r="C2036" s="77"/>
      <c r="D2036" s="77"/>
      <c r="E2036" s="77"/>
      <c r="F2036" s="77"/>
      <c r="G2036" s="77"/>
      <c r="H2036" s="77"/>
      <c r="I2036" s="77"/>
      <c r="J2036" s="77"/>
      <c r="K2036" s="77"/>
      <c r="L2036" s="77"/>
      <c r="M2036" s="77"/>
      <c r="N2036" s="77"/>
      <c r="O2036" s="77"/>
      <c r="P2036" s="77"/>
      <c r="Q2036" s="77"/>
      <c r="R2036" s="77"/>
    </row>
    <row r="2037" spans="1:18">
      <c r="A2037" s="77"/>
      <c r="B2037" s="77"/>
      <c r="C2037" s="77"/>
      <c r="D2037" s="77"/>
      <c r="E2037" s="77"/>
      <c r="F2037" s="77"/>
      <c r="G2037" s="77"/>
      <c r="H2037" s="77"/>
      <c r="I2037" s="77"/>
      <c r="J2037" s="77"/>
      <c r="K2037" s="77"/>
      <c r="L2037" s="77"/>
      <c r="M2037" s="77"/>
      <c r="N2037" s="77"/>
      <c r="O2037" s="77"/>
      <c r="P2037" s="77"/>
      <c r="Q2037" s="77"/>
      <c r="R2037" s="77"/>
    </row>
    <row r="2038" spans="1:18">
      <c r="A2038" s="77"/>
      <c r="B2038" s="77"/>
      <c r="C2038" s="77"/>
      <c r="D2038" s="77"/>
      <c r="E2038" s="77"/>
      <c r="F2038" s="77"/>
      <c r="G2038" s="77"/>
      <c r="H2038" s="77"/>
      <c r="I2038" s="77"/>
      <c r="J2038" s="77"/>
      <c r="K2038" s="77"/>
      <c r="L2038" s="77"/>
      <c r="M2038" s="77"/>
      <c r="N2038" s="77"/>
      <c r="O2038" s="77"/>
      <c r="P2038" s="77"/>
      <c r="Q2038" s="77"/>
      <c r="R2038" s="77"/>
    </row>
    <row r="2039" spans="1:18">
      <c r="A2039" s="77"/>
      <c r="B2039" s="77"/>
      <c r="C2039" s="77"/>
      <c r="D2039" s="77"/>
      <c r="E2039" s="77"/>
      <c r="F2039" s="77"/>
      <c r="G2039" s="77"/>
      <c r="H2039" s="77"/>
      <c r="I2039" s="77"/>
      <c r="J2039" s="77"/>
      <c r="K2039" s="77"/>
      <c r="L2039" s="77"/>
      <c r="M2039" s="77"/>
      <c r="N2039" s="77"/>
      <c r="O2039" s="77"/>
      <c r="P2039" s="77"/>
      <c r="Q2039" s="77"/>
      <c r="R2039" s="77"/>
    </row>
    <row r="2040" spans="1:18">
      <c r="A2040" s="77"/>
      <c r="B2040" s="77"/>
      <c r="C2040" s="77"/>
      <c r="D2040" s="77"/>
      <c r="E2040" s="77"/>
      <c r="F2040" s="77"/>
      <c r="G2040" s="77"/>
      <c r="H2040" s="77"/>
      <c r="I2040" s="77"/>
      <c r="J2040" s="77"/>
      <c r="K2040" s="77"/>
      <c r="L2040" s="77"/>
      <c r="M2040" s="77"/>
      <c r="N2040" s="77"/>
      <c r="O2040" s="77"/>
      <c r="P2040" s="77"/>
      <c r="Q2040" s="77"/>
      <c r="R2040" s="77"/>
    </row>
    <row r="2041" spans="1:18">
      <c r="A2041" s="77"/>
      <c r="B2041" s="77"/>
      <c r="C2041" s="77"/>
      <c r="D2041" s="77"/>
      <c r="E2041" s="77"/>
      <c r="F2041" s="77"/>
      <c r="G2041" s="77"/>
      <c r="H2041" s="77"/>
      <c r="I2041" s="77"/>
      <c r="J2041" s="77"/>
      <c r="K2041" s="77"/>
      <c r="L2041" s="77"/>
      <c r="M2041" s="77"/>
      <c r="N2041" s="77"/>
      <c r="O2041" s="77"/>
      <c r="P2041" s="77"/>
      <c r="Q2041" s="77"/>
      <c r="R2041" s="77"/>
    </row>
    <row r="2042" spans="1:18">
      <c r="A2042" s="77"/>
      <c r="B2042" s="77"/>
      <c r="C2042" s="77"/>
      <c r="D2042" s="77"/>
      <c r="E2042" s="77"/>
      <c r="F2042" s="77"/>
      <c r="G2042" s="77"/>
      <c r="H2042" s="77"/>
      <c r="I2042" s="77"/>
      <c r="J2042" s="77"/>
      <c r="K2042" s="77"/>
      <c r="L2042" s="77"/>
      <c r="M2042" s="77"/>
      <c r="N2042" s="77"/>
      <c r="O2042" s="77"/>
      <c r="P2042" s="77"/>
      <c r="Q2042" s="77"/>
      <c r="R2042" s="77"/>
    </row>
    <row r="2043" spans="1:18">
      <c r="A2043" s="77"/>
      <c r="B2043" s="77"/>
      <c r="C2043" s="77"/>
      <c r="D2043" s="77"/>
      <c r="E2043" s="77"/>
      <c r="F2043" s="77"/>
      <c r="G2043" s="77"/>
      <c r="H2043" s="77"/>
      <c r="I2043" s="77"/>
      <c r="J2043" s="77"/>
      <c r="K2043" s="77"/>
      <c r="L2043" s="77"/>
      <c r="M2043" s="77"/>
      <c r="N2043" s="77"/>
      <c r="O2043" s="77"/>
      <c r="P2043" s="77"/>
      <c r="Q2043" s="77"/>
      <c r="R2043" s="77"/>
    </row>
    <row r="2044" spans="1:18">
      <c r="A2044" s="77"/>
      <c r="B2044" s="77"/>
      <c r="C2044" s="77"/>
      <c r="D2044" s="77"/>
      <c r="E2044" s="77"/>
      <c r="F2044" s="77"/>
      <c r="G2044" s="77"/>
      <c r="H2044" s="77"/>
      <c r="I2044" s="77"/>
      <c r="J2044" s="77"/>
      <c r="K2044" s="77"/>
      <c r="L2044" s="77"/>
      <c r="M2044" s="77"/>
      <c r="N2044" s="77"/>
      <c r="O2044" s="77"/>
      <c r="P2044" s="77"/>
      <c r="Q2044" s="77"/>
      <c r="R2044" s="77"/>
    </row>
    <row r="2045" spans="1:18">
      <c r="A2045" s="77"/>
      <c r="B2045" s="77"/>
      <c r="C2045" s="77"/>
      <c r="D2045" s="77"/>
      <c r="E2045" s="77"/>
      <c r="F2045" s="77"/>
      <c r="G2045" s="77"/>
      <c r="H2045" s="77"/>
      <c r="I2045" s="77"/>
      <c r="J2045" s="77"/>
      <c r="K2045" s="77"/>
      <c r="L2045" s="77"/>
      <c r="M2045" s="77"/>
      <c r="N2045" s="77"/>
      <c r="O2045" s="77"/>
      <c r="P2045" s="77"/>
      <c r="Q2045" s="77"/>
      <c r="R2045" s="77"/>
    </row>
    <row r="2046" spans="1:18">
      <c r="A2046" s="77"/>
      <c r="B2046" s="77"/>
      <c r="C2046" s="77"/>
      <c r="D2046" s="77"/>
      <c r="E2046" s="77"/>
      <c r="F2046" s="77"/>
      <c r="G2046" s="77"/>
      <c r="H2046" s="77"/>
      <c r="I2046" s="77"/>
      <c r="J2046" s="77"/>
      <c r="K2046" s="77"/>
      <c r="L2046" s="77"/>
      <c r="M2046" s="77"/>
      <c r="N2046" s="77"/>
      <c r="O2046" s="77"/>
      <c r="P2046" s="77"/>
      <c r="Q2046" s="77"/>
      <c r="R2046" s="77"/>
    </row>
    <row r="2047" spans="1:18">
      <c r="A2047" s="77"/>
      <c r="B2047" s="77"/>
      <c r="C2047" s="77"/>
      <c r="D2047" s="77"/>
      <c r="E2047" s="77"/>
      <c r="F2047" s="77"/>
      <c r="G2047" s="77"/>
      <c r="H2047" s="77"/>
      <c r="I2047" s="77"/>
      <c r="J2047" s="77"/>
      <c r="K2047" s="77"/>
      <c r="L2047" s="77"/>
      <c r="M2047" s="77"/>
      <c r="N2047" s="77"/>
      <c r="O2047" s="77"/>
      <c r="P2047" s="77"/>
      <c r="Q2047" s="77"/>
      <c r="R2047" s="77"/>
    </row>
    <row r="2048" spans="1:18">
      <c r="A2048" s="77"/>
      <c r="B2048" s="77"/>
      <c r="C2048" s="77"/>
      <c r="D2048" s="77"/>
      <c r="E2048" s="77"/>
      <c r="F2048" s="77"/>
      <c r="G2048" s="77"/>
      <c r="H2048" s="77"/>
      <c r="I2048" s="77"/>
      <c r="J2048" s="77"/>
      <c r="K2048" s="77"/>
      <c r="L2048" s="77"/>
      <c r="M2048" s="77"/>
      <c r="N2048" s="77"/>
      <c r="O2048" s="77"/>
      <c r="P2048" s="77"/>
      <c r="Q2048" s="77"/>
      <c r="R2048" s="77"/>
    </row>
    <row r="2049" spans="1:18">
      <c r="A2049" s="77"/>
      <c r="B2049" s="77"/>
      <c r="C2049" s="77"/>
      <c r="D2049" s="77"/>
      <c r="E2049" s="77"/>
      <c r="F2049" s="77"/>
      <c r="G2049" s="77"/>
      <c r="H2049" s="77"/>
      <c r="I2049" s="77"/>
      <c r="J2049" s="77"/>
      <c r="K2049" s="77"/>
      <c r="L2049" s="77"/>
      <c r="M2049" s="77"/>
      <c r="N2049" s="77"/>
      <c r="O2049" s="77"/>
      <c r="P2049" s="77"/>
      <c r="Q2049" s="77"/>
      <c r="R2049" s="77"/>
    </row>
    <row r="2050" spans="1:18">
      <c r="A2050" s="77"/>
      <c r="B2050" s="77"/>
      <c r="C2050" s="77"/>
      <c r="D2050" s="77"/>
      <c r="E2050" s="77"/>
      <c r="F2050" s="77"/>
      <c r="G2050" s="77"/>
      <c r="H2050" s="77"/>
      <c r="I2050" s="77"/>
      <c r="J2050" s="77"/>
      <c r="K2050" s="77"/>
      <c r="L2050" s="77"/>
      <c r="M2050" s="77"/>
      <c r="N2050" s="77"/>
      <c r="O2050" s="77"/>
      <c r="P2050" s="77"/>
      <c r="Q2050" s="77"/>
      <c r="R2050" s="77"/>
    </row>
    <row r="2051" spans="1:18">
      <c r="A2051" s="77"/>
      <c r="B2051" s="77"/>
      <c r="C2051" s="77"/>
      <c r="D2051" s="77"/>
      <c r="E2051" s="77"/>
      <c r="F2051" s="77"/>
      <c r="G2051" s="77"/>
      <c r="H2051" s="77"/>
      <c r="I2051" s="77"/>
      <c r="J2051" s="77"/>
      <c r="K2051" s="77"/>
      <c r="L2051" s="77"/>
      <c r="M2051" s="77"/>
      <c r="N2051" s="77"/>
      <c r="O2051" s="77"/>
      <c r="P2051" s="77"/>
      <c r="Q2051" s="77"/>
      <c r="R2051" s="77"/>
    </row>
    <row r="2052" spans="1:18">
      <c r="A2052" s="77"/>
      <c r="B2052" s="77"/>
      <c r="C2052" s="77"/>
      <c r="D2052" s="77"/>
      <c r="E2052" s="77"/>
      <c r="F2052" s="77"/>
      <c r="G2052" s="77"/>
      <c r="H2052" s="77"/>
      <c r="I2052" s="77"/>
      <c r="J2052" s="77"/>
      <c r="K2052" s="77"/>
      <c r="L2052" s="77"/>
      <c r="M2052" s="77"/>
      <c r="N2052" s="77"/>
      <c r="O2052" s="77"/>
      <c r="P2052" s="77"/>
      <c r="Q2052" s="77"/>
      <c r="R2052" s="77"/>
    </row>
    <row r="2053" spans="1:18">
      <c r="A2053" s="77"/>
      <c r="B2053" s="77"/>
      <c r="C2053" s="77"/>
      <c r="D2053" s="77"/>
      <c r="E2053" s="77"/>
      <c r="F2053" s="77"/>
      <c r="G2053" s="77"/>
      <c r="H2053" s="77"/>
      <c r="I2053" s="77"/>
      <c r="J2053" s="77"/>
      <c r="K2053" s="77"/>
      <c r="L2053" s="77"/>
      <c r="M2053" s="77"/>
      <c r="N2053" s="77"/>
      <c r="O2053" s="77"/>
      <c r="P2053" s="77"/>
      <c r="Q2053" s="77"/>
      <c r="R2053" s="77"/>
    </row>
    <row r="2054" spans="1:18">
      <c r="A2054" s="77"/>
      <c r="B2054" s="77"/>
      <c r="C2054" s="77"/>
      <c r="D2054" s="77"/>
      <c r="E2054" s="77"/>
      <c r="F2054" s="77"/>
      <c r="G2054" s="77"/>
      <c r="H2054" s="77"/>
      <c r="I2054" s="77"/>
      <c r="J2054" s="77"/>
      <c r="K2054" s="77"/>
      <c r="L2054" s="77"/>
      <c r="M2054" s="77"/>
      <c r="N2054" s="77"/>
      <c r="O2054" s="77"/>
      <c r="P2054" s="77"/>
      <c r="Q2054" s="77"/>
      <c r="R2054" s="77"/>
    </row>
    <row r="2055" spans="1:18">
      <c r="A2055" s="77"/>
      <c r="B2055" s="77"/>
      <c r="C2055" s="77"/>
      <c r="D2055" s="77"/>
      <c r="E2055" s="77"/>
      <c r="F2055" s="77"/>
      <c r="G2055" s="77"/>
      <c r="H2055" s="77"/>
      <c r="I2055" s="77"/>
      <c r="J2055" s="77"/>
      <c r="K2055" s="77"/>
      <c r="L2055" s="77"/>
      <c r="M2055" s="77"/>
      <c r="N2055" s="77"/>
      <c r="O2055" s="77"/>
      <c r="P2055" s="77"/>
      <c r="Q2055" s="77"/>
      <c r="R2055" s="77"/>
    </row>
    <row r="2056" spans="1:18">
      <c r="A2056" s="77"/>
      <c r="B2056" s="77"/>
      <c r="C2056" s="77"/>
      <c r="D2056" s="77"/>
      <c r="E2056" s="77"/>
      <c r="F2056" s="77"/>
      <c r="G2056" s="77"/>
      <c r="H2056" s="77"/>
      <c r="I2056" s="77"/>
      <c r="J2056" s="77"/>
      <c r="K2056" s="77"/>
      <c r="L2056" s="77"/>
      <c r="M2056" s="77"/>
      <c r="N2056" s="77"/>
      <c r="O2056" s="77"/>
      <c r="P2056" s="77"/>
      <c r="Q2056" s="77"/>
      <c r="R2056" s="77"/>
    </row>
    <row r="2057" spans="1:18">
      <c r="A2057" s="77"/>
      <c r="B2057" s="77"/>
      <c r="C2057" s="77"/>
      <c r="D2057" s="77"/>
      <c r="E2057" s="77"/>
      <c r="F2057" s="77"/>
      <c r="G2057" s="77"/>
      <c r="H2057" s="77"/>
      <c r="I2057" s="77"/>
      <c r="J2057" s="77"/>
      <c r="K2057" s="77"/>
      <c r="L2057" s="77"/>
      <c r="M2057" s="77"/>
      <c r="N2057" s="77"/>
      <c r="O2057" s="77"/>
      <c r="P2057" s="77"/>
      <c r="Q2057" s="77"/>
      <c r="R2057" s="77"/>
    </row>
    <row r="2058" spans="1:18">
      <c r="A2058" s="77"/>
      <c r="B2058" s="77"/>
      <c r="C2058" s="77"/>
      <c r="D2058" s="77"/>
      <c r="E2058" s="77"/>
      <c r="F2058" s="77"/>
      <c r="G2058" s="77"/>
      <c r="H2058" s="77"/>
      <c r="I2058" s="77"/>
      <c r="J2058" s="77"/>
      <c r="K2058" s="77"/>
      <c r="L2058" s="77"/>
      <c r="M2058" s="77"/>
      <c r="N2058" s="77"/>
      <c r="O2058" s="77"/>
      <c r="P2058" s="77"/>
      <c r="Q2058" s="77"/>
      <c r="R2058" s="77"/>
    </row>
    <row r="2059" spans="1:18">
      <c r="A2059" s="77"/>
      <c r="B2059" s="77"/>
      <c r="C2059" s="77"/>
      <c r="D2059" s="77"/>
      <c r="E2059" s="77"/>
      <c r="F2059" s="77"/>
      <c r="G2059" s="77"/>
      <c r="H2059" s="77"/>
      <c r="I2059" s="77"/>
      <c r="J2059" s="77"/>
      <c r="K2059" s="77"/>
      <c r="L2059" s="77"/>
      <c r="M2059" s="77"/>
      <c r="N2059" s="77"/>
      <c r="O2059" s="77"/>
      <c r="P2059" s="77"/>
      <c r="Q2059" s="77"/>
      <c r="R2059" s="77"/>
    </row>
    <row r="2060" spans="1:18">
      <c r="A2060" s="77"/>
      <c r="B2060" s="77"/>
      <c r="C2060" s="77"/>
      <c r="D2060" s="77"/>
      <c r="E2060" s="77"/>
      <c r="F2060" s="77"/>
      <c r="G2060" s="77"/>
      <c r="H2060" s="77"/>
      <c r="I2060" s="77"/>
      <c r="J2060" s="77"/>
      <c r="K2060" s="77"/>
      <c r="L2060" s="77"/>
      <c r="M2060" s="77"/>
      <c r="N2060" s="77"/>
      <c r="O2060" s="77"/>
      <c r="P2060" s="77"/>
      <c r="Q2060" s="77"/>
      <c r="R2060" s="77"/>
    </row>
    <row r="2061" spans="1:18">
      <c r="A2061" s="77"/>
      <c r="B2061" s="77"/>
      <c r="C2061" s="77"/>
      <c r="D2061" s="77"/>
      <c r="E2061" s="77"/>
      <c r="F2061" s="77"/>
      <c r="G2061" s="77"/>
      <c r="H2061" s="77"/>
      <c r="I2061" s="77"/>
      <c r="J2061" s="77"/>
      <c r="K2061" s="77"/>
      <c r="L2061" s="77"/>
      <c r="M2061" s="77"/>
      <c r="N2061" s="77"/>
      <c r="O2061" s="77"/>
      <c r="P2061" s="77"/>
      <c r="Q2061" s="77"/>
      <c r="R2061" s="77"/>
    </row>
    <row r="2062" spans="1:18">
      <c r="A2062" s="77"/>
      <c r="B2062" s="77"/>
      <c r="C2062" s="77"/>
      <c r="D2062" s="77"/>
      <c r="E2062" s="77"/>
      <c r="F2062" s="77"/>
      <c r="G2062" s="77"/>
      <c r="H2062" s="77"/>
      <c r="I2062" s="77"/>
      <c r="J2062" s="77"/>
      <c r="K2062" s="77"/>
      <c r="L2062" s="77"/>
      <c r="M2062" s="77"/>
      <c r="N2062" s="77"/>
      <c r="O2062" s="77"/>
      <c r="P2062" s="77"/>
      <c r="Q2062" s="77"/>
      <c r="R2062" s="77"/>
    </row>
    <row r="2063" spans="1:18">
      <c r="A2063" s="77"/>
      <c r="B2063" s="77"/>
      <c r="C2063" s="77"/>
      <c r="D2063" s="77"/>
      <c r="E2063" s="77"/>
      <c r="F2063" s="77"/>
      <c r="G2063" s="77"/>
      <c r="H2063" s="77"/>
      <c r="I2063" s="77"/>
      <c r="J2063" s="77"/>
      <c r="K2063" s="77"/>
      <c r="L2063" s="77"/>
      <c r="M2063" s="77"/>
      <c r="N2063" s="77"/>
      <c r="O2063" s="77"/>
      <c r="P2063" s="77"/>
      <c r="Q2063" s="77"/>
      <c r="R2063" s="77"/>
    </row>
    <row r="2064" spans="1:18">
      <c r="A2064" s="77"/>
      <c r="B2064" s="77"/>
      <c r="C2064" s="77"/>
      <c r="D2064" s="77"/>
      <c r="E2064" s="77"/>
      <c r="F2064" s="77"/>
      <c r="G2064" s="77"/>
      <c r="H2064" s="77"/>
      <c r="I2064" s="77"/>
      <c r="J2064" s="77"/>
      <c r="K2064" s="77"/>
      <c r="L2064" s="77"/>
      <c r="M2064" s="77"/>
      <c r="N2064" s="77"/>
      <c r="O2064" s="77"/>
      <c r="P2064" s="77"/>
      <c r="Q2064" s="77"/>
      <c r="R2064" s="77"/>
    </row>
    <row r="2065" spans="1:18">
      <c r="A2065" s="77"/>
      <c r="B2065" s="77"/>
      <c r="C2065" s="77"/>
      <c r="D2065" s="77"/>
      <c r="E2065" s="77"/>
      <c r="F2065" s="77"/>
      <c r="G2065" s="77"/>
      <c r="H2065" s="77"/>
      <c r="I2065" s="77"/>
      <c r="J2065" s="77"/>
      <c r="K2065" s="77"/>
      <c r="L2065" s="77"/>
      <c r="M2065" s="77"/>
      <c r="N2065" s="77"/>
      <c r="O2065" s="77"/>
      <c r="P2065" s="77"/>
      <c r="Q2065" s="77"/>
      <c r="R2065" s="77"/>
    </row>
    <row r="2066" spans="1:18">
      <c r="A2066" s="77"/>
      <c r="B2066" s="77"/>
      <c r="C2066" s="77"/>
      <c r="D2066" s="77"/>
      <c r="E2066" s="77"/>
      <c r="F2066" s="77"/>
      <c r="G2066" s="77"/>
      <c r="H2066" s="77"/>
      <c r="I2066" s="77"/>
      <c r="J2066" s="77"/>
      <c r="K2066" s="77"/>
      <c r="L2066" s="77"/>
      <c r="M2066" s="77"/>
      <c r="N2066" s="77"/>
      <c r="O2066" s="77"/>
      <c r="P2066" s="77"/>
      <c r="Q2066" s="77"/>
      <c r="R2066" s="77"/>
    </row>
    <row r="2067" spans="1:18">
      <c r="A2067" s="77"/>
      <c r="B2067" s="77"/>
      <c r="C2067" s="77"/>
      <c r="D2067" s="77"/>
      <c r="E2067" s="77"/>
      <c r="F2067" s="77"/>
      <c r="G2067" s="77"/>
      <c r="H2067" s="77"/>
      <c r="I2067" s="77"/>
      <c r="J2067" s="77"/>
      <c r="K2067" s="77"/>
      <c r="L2067" s="77"/>
      <c r="M2067" s="77"/>
      <c r="N2067" s="77"/>
      <c r="O2067" s="77"/>
      <c r="P2067" s="77"/>
      <c r="Q2067" s="77"/>
      <c r="R2067" s="77"/>
    </row>
    <row r="2068" spans="1:18">
      <c r="A2068" s="77"/>
      <c r="B2068" s="77"/>
      <c r="C2068" s="77"/>
      <c r="D2068" s="77"/>
      <c r="E2068" s="77"/>
      <c r="F2068" s="77"/>
      <c r="G2068" s="77"/>
      <c r="H2068" s="77"/>
      <c r="I2068" s="77"/>
      <c r="J2068" s="77"/>
      <c r="K2068" s="77"/>
      <c r="L2068" s="77"/>
      <c r="M2068" s="77"/>
      <c r="N2068" s="77"/>
      <c r="O2068" s="77"/>
      <c r="P2068" s="77"/>
      <c r="Q2068" s="77"/>
      <c r="R2068" s="77"/>
    </row>
    <row r="2069" spans="1:18">
      <c r="A2069" s="77"/>
      <c r="B2069" s="77"/>
      <c r="C2069" s="77"/>
      <c r="D2069" s="77"/>
      <c r="E2069" s="77"/>
      <c r="F2069" s="77"/>
      <c r="G2069" s="77"/>
      <c r="H2069" s="77"/>
      <c r="I2069" s="77"/>
      <c r="J2069" s="77"/>
      <c r="K2069" s="77"/>
      <c r="L2069" s="77"/>
      <c r="M2069" s="77"/>
      <c r="N2069" s="77"/>
      <c r="O2069" s="77"/>
      <c r="P2069" s="77"/>
      <c r="Q2069" s="77"/>
      <c r="R2069" s="77"/>
    </row>
  </sheetData>
  <sheetProtection formatRows="0"/>
  <mergeCells count="283">
    <mergeCell ref="P403:Q404"/>
    <mergeCell ref="Q3:Q5"/>
    <mergeCell ref="A89:Q89"/>
    <mergeCell ref="B364:N364"/>
    <mergeCell ref="B363:N363"/>
    <mergeCell ref="C209:N209"/>
    <mergeCell ref="A234:Q234"/>
    <mergeCell ref="K220:P220"/>
    <mergeCell ref="B220:I220"/>
    <mergeCell ref="B221:I221"/>
    <mergeCell ref="B222:I222"/>
    <mergeCell ref="B223:I223"/>
    <mergeCell ref="B224:I224"/>
    <mergeCell ref="B225:I225"/>
    <mergeCell ref="A264:Q264"/>
    <mergeCell ref="A266:Q266"/>
    <mergeCell ref="P354:Q354"/>
    <mergeCell ref="I356:P356"/>
    <mergeCell ref="I355:P355"/>
    <mergeCell ref="A304:Q304"/>
    <mergeCell ref="B135:N135"/>
    <mergeCell ref="N123:O123"/>
    <mergeCell ref="P123:Q123"/>
    <mergeCell ref="P92:Q92"/>
    <mergeCell ref="B144:N144"/>
    <mergeCell ref="B143:N143"/>
    <mergeCell ref="B142:N142"/>
    <mergeCell ref="K223:P223"/>
    <mergeCell ref="K221:P221"/>
    <mergeCell ref="B145:N145"/>
    <mergeCell ref="C200:G200"/>
    <mergeCell ref="A214:Q214"/>
    <mergeCell ref="A216:Q216"/>
    <mergeCell ref="C194:O194"/>
    <mergeCell ref="Q193:Q194"/>
    <mergeCell ref="K224:P224"/>
    <mergeCell ref="K222:P222"/>
    <mergeCell ref="P197:Q197"/>
    <mergeCell ref="C199:G199"/>
    <mergeCell ref="I200:O200"/>
    <mergeCell ref="I199:O199"/>
    <mergeCell ref="P34:Q34"/>
    <mergeCell ref="A38:J38"/>
    <mergeCell ref="K38:Q38"/>
    <mergeCell ref="M60:P60"/>
    <mergeCell ref="C116:Q116"/>
    <mergeCell ref="M59:P59"/>
    <mergeCell ref="O64:Q64"/>
    <mergeCell ref="P42:P43"/>
    <mergeCell ref="M132:N132"/>
    <mergeCell ref="K195:N195"/>
    <mergeCell ref="C201:G201"/>
    <mergeCell ref="A185:Q185"/>
    <mergeCell ref="A187:Q187"/>
    <mergeCell ref="K193:L193"/>
    <mergeCell ref="C202:G202"/>
    <mergeCell ref="I202:O202"/>
    <mergeCell ref="Q42:Q43"/>
    <mergeCell ref="L99:P99"/>
    <mergeCell ref="R22:S25"/>
    <mergeCell ref="A23:Q23"/>
    <mergeCell ref="I403:I404"/>
    <mergeCell ref="C244:N244"/>
    <mergeCell ref="C243:N243"/>
    <mergeCell ref="B229:N229"/>
    <mergeCell ref="P238:Q238"/>
    <mergeCell ref="A252:Q252"/>
    <mergeCell ref="A254:Q254"/>
    <mergeCell ref="B262:N262"/>
    <mergeCell ref="C257:N257"/>
    <mergeCell ref="C260:N260"/>
    <mergeCell ref="K238:O238"/>
    <mergeCell ref="P307:Q307"/>
    <mergeCell ref="B312:N312"/>
    <mergeCell ref="C315:F315"/>
    <mergeCell ref="O332:Q332"/>
    <mergeCell ref="A334:Q334"/>
    <mergeCell ref="M288:N288"/>
    <mergeCell ref="C286:N286"/>
    <mergeCell ref="C285:N285"/>
    <mergeCell ref="C284:N284"/>
    <mergeCell ref="A277:Q277"/>
    <mergeCell ref="P268:Q268"/>
    <mergeCell ref="R8:S11"/>
    <mergeCell ref="R15:S20"/>
    <mergeCell ref="A1:Q1"/>
    <mergeCell ref="A3:G3"/>
    <mergeCell ref="H3:N3"/>
    <mergeCell ref="B4:D4"/>
    <mergeCell ref="P6:Q6"/>
    <mergeCell ref="A8:Q8"/>
    <mergeCell ref="A21:Q21"/>
    <mergeCell ref="A9:Q9"/>
    <mergeCell ref="A10:Q10"/>
    <mergeCell ref="A11:Q11"/>
    <mergeCell ref="A12:Q12"/>
    <mergeCell ref="A13:Q13"/>
    <mergeCell ref="A14:Q14"/>
    <mergeCell ref="A15:Q15"/>
    <mergeCell ref="A16:Q16"/>
    <mergeCell ref="A17:Q17"/>
    <mergeCell ref="A18:Q18"/>
    <mergeCell ref="A19:Q19"/>
    <mergeCell ref="A20:Q20"/>
    <mergeCell ref="K6:O6"/>
    <mergeCell ref="E5:I5"/>
    <mergeCell ref="P3:P5"/>
    <mergeCell ref="A24:Q24"/>
    <mergeCell ref="A25:Q25"/>
    <mergeCell ref="P27:Q27"/>
    <mergeCell ref="A30:Q30"/>
    <mergeCell ref="A22:Q22"/>
    <mergeCell ref="O66:Q66"/>
    <mergeCell ref="A387:Q387"/>
    <mergeCell ref="C51:L52"/>
    <mergeCell ref="L50:Q50"/>
    <mergeCell ref="B42:J43"/>
    <mergeCell ref="P141:Q141"/>
    <mergeCell ref="A125:Q125"/>
    <mergeCell ref="A128:Q128"/>
    <mergeCell ref="P130:Q130"/>
    <mergeCell ref="M131:N131"/>
    <mergeCell ref="M133:N133"/>
    <mergeCell ref="P133:Q133"/>
    <mergeCell ref="K134:P134"/>
    <mergeCell ref="A54:J54"/>
    <mergeCell ref="K54:Q54"/>
    <mergeCell ref="P56:Q56"/>
    <mergeCell ref="M58:P58"/>
    <mergeCell ref="A32:Q32"/>
    <mergeCell ref="P40:Q40"/>
    <mergeCell ref="B226:I226"/>
    <mergeCell ref="K227:P227"/>
    <mergeCell ref="B341:N341"/>
    <mergeCell ref="Q395:Q396"/>
    <mergeCell ref="P395:P396"/>
    <mergeCell ref="C161:N161"/>
    <mergeCell ref="C160:N160"/>
    <mergeCell ref="C158:N158"/>
    <mergeCell ref="J179:N179"/>
    <mergeCell ref="J180:N180"/>
    <mergeCell ref="B179:G180"/>
    <mergeCell ref="P217:Q217"/>
    <mergeCell ref="A232:Q232"/>
    <mergeCell ref="P189:Q189"/>
    <mergeCell ref="K192:L192"/>
    <mergeCell ref="A279:Q279"/>
    <mergeCell ref="C271:N271"/>
    <mergeCell ref="K241:O241"/>
    <mergeCell ref="C272:N272"/>
    <mergeCell ref="K310:N310"/>
    <mergeCell ref="D288:H290"/>
    <mergeCell ref="P281:Q281"/>
    <mergeCell ref="A336:Q336"/>
    <mergeCell ref="K225:P225"/>
    <mergeCell ref="P236:Q236"/>
    <mergeCell ref="P240:Q240"/>
    <mergeCell ref="P241:Q241"/>
    <mergeCell ref="K240:O240"/>
    <mergeCell ref="B227:I227"/>
    <mergeCell ref="B239:O239"/>
    <mergeCell ref="P256:Q256"/>
    <mergeCell ref="C293:H295"/>
    <mergeCell ref="C319:N319"/>
    <mergeCell ref="G315:N315"/>
    <mergeCell ref="O331:Q331"/>
    <mergeCell ref="G314:N314"/>
    <mergeCell ref="N329:O329"/>
    <mergeCell ref="B320:N320"/>
    <mergeCell ref="P329:Q329"/>
    <mergeCell ref="C318:N318"/>
    <mergeCell ref="A323:Q323"/>
    <mergeCell ref="D291:H292"/>
    <mergeCell ref="P326:Q326"/>
    <mergeCell ref="L298:Q298"/>
    <mergeCell ref="A325:Q325"/>
    <mergeCell ref="P445:Q445"/>
    <mergeCell ref="A447:Q447"/>
    <mergeCell ref="A173:Q173"/>
    <mergeCell ref="A175:Q175"/>
    <mergeCell ref="P177:Q177"/>
    <mergeCell ref="A165:Q165"/>
    <mergeCell ref="A167:Q167"/>
    <mergeCell ref="P169:Q169"/>
    <mergeCell ref="A147:Q147"/>
    <mergeCell ref="A149:Q149"/>
    <mergeCell ref="B151:D151"/>
    <mergeCell ref="P151:Q151"/>
    <mergeCell ref="B162:N162"/>
    <mergeCell ref="J172:N172"/>
    <mergeCell ref="P380:Q380"/>
    <mergeCell ref="B373:N373"/>
    <mergeCell ref="B360:N360"/>
    <mergeCell ref="G417:I417"/>
    <mergeCell ref="E372:I372"/>
    <mergeCell ref="J372:L372"/>
    <mergeCell ref="M372:Q372"/>
    <mergeCell ref="M374:N374"/>
    <mergeCell ref="A376:Q376"/>
    <mergeCell ref="C400:F402"/>
    <mergeCell ref="A449:Q449"/>
    <mergeCell ref="A424:Q424"/>
    <mergeCell ref="A426:Q426"/>
    <mergeCell ref="P428:Q428"/>
    <mergeCell ref="B439:N439"/>
    <mergeCell ref="N403:N404"/>
    <mergeCell ref="C405:H406"/>
    <mergeCell ref="K408:M408"/>
    <mergeCell ref="K405:M405"/>
    <mergeCell ref="K406:M406"/>
    <mergeCell ref="K409:M409"/>
    <mergeCell ref="K412:M412"/>
    <mergeCell ref="B438:N438"/>
    <mergeCell ref="A441:Q441"/>
    <mergeCell ref="A443:Q443"/>
    <mergeCell ref="C432:N432"/>
    <mergeCell ref="B422:N422"/>
    <mergeCell ref="B437:N437"/>
    <mergeCell ref="B436:N436"/>
    <mergeCell ref="B419:Q419"/>
    <mergeCell ref="B431:N431"/>
    <mergeCell ref="C435:N435"/>
    <mergeCell ref="C434:N434"/>
    <mergeCell ref="J403:J404"/>
    <mergeCell ref="J64:L64"/>
    <mergeCell ref="A71:Q71"/>
    <mergeCell ref="A73:Q73"/>
    <mergeCell ref="E65:G65"/>
    <mergeCell ref="O65:Q65"/>
    <mergeCell ref="E66:G66"/>
    <mergeCell ref="J66:L66"/>
    <mergeCell ref="A91:Q91"/>
    <mergeCell ref="L94:P94"/>
    <mergeCell ref="J65:L65"/>
    <mergeCell ref="E64:G64"/>
    <mergeCell ref="P391:Q391"/>
    <mergeCell ref="G416:K416"/>
    <mergeCell ref="B357:N357"/>
    <mergeCell ref="P338:Q338"/>
    <mergeCell ref="P74:Q74"/>
    <mergeCell ref="M77:P77"/>
    <mergeCell ref="G317:N317"/>
    <mergeCell ref="C84:N84"/>
    <mergeCell ref="J171:N171"/>
    <mergeCell ref="A137:Q137"/>
    <mergeCell ref="A139:Q139"/>
    <mergeCell ref="B123:L123"/>
    <mergeCell ref="E250:N250"/>
    <mergeCell ref="B246:D249"/>
    <mergeCell ref="L273:P273"/>
    <mergeCell ref="J288:L289"/>
    <mergeCell ref="K226:P226"/>
    <mergeCell ref="I201:O201"/>
    <mergeCell ref="B344:N344"/>
    <mergeCell ref="A350:Q350"/>
    <mergeCell ref="A352:Q352"/>
    <mergeCell ref="Q291:Q292"/>
    <mergeCell ref="P291:P292"/>
    <mergeCell ref="A306:Q306"/>
    <mergeCell ref="J35:L35"/>
    <mergeCell ref="N35:Q35"/>
    <mergeCell ref="J36:L36"/>
    <mergeCell ref="N36:Q36"/>
    <mergeCell ref="B430:N430"/>
    <mergeCell ref="M417:Q417"/>
    <mergeCell ref="B421:N421"/>
    <mergeCell ref="D416:D417"/>
    <mergeCell ref="C299:N299"/>
    <mergeCell ref="B297:N297"/>
    <mergeCell ref="C302:N302"/>
    <mergeCell ref="C301:N301"/>
    <mergeCell ref="C300:N300"/>
    <mergeCell ref="B358:N358"/>
    <mergeCell ref="P371:Q371"/>
    <mergeCell ref="B346:N346"/>
    <mergeCell ref="C411:H412"/>
    <mergeCell ref="K403:M404"/>
    <mergeCell ref="K411:M411"/>
    <mergeCell ref="A378:Q378"/>
    <mergeCell ref="A389:Q389"/>
    <mergeCell ref="A366:Q366"/>
    <mergeCell ref="A368:Q368"/>
    <mergeCell ref="H385:O385"/>
  </mergeCells>
  <dataValidations count="31">
    <dataValidation type="list" allowBlank="1" showInputMessage="1" showErrorMessage="1" sqref="P238:Q238" xr:uid="{00000000-0002-0000-0B00-000000000000}">
      <formula1>"&lt;&lt;Select&gt;&gt;, Substantial Gut Rehab, Historic Preservation, Pre-Application Waiver"</formula1>
    </dataValidation>
    <dataValidation type="list" allowBlank="1" showInputMessage="1" showErrorMessage="1" sqref="P210" xr:uid="{00000000-0002-0000-0B00-000001000000}">
      <formula1>"Agree, Disagree, N/A"</formula1>
    </dataValidation>
    <dataValidation type="list" allowBlank="1" showInputMessage="1" showErrorMessage="1" sqref="P160:P161 Q49 Q46 P101:Q101" xr:uid="{00000000-0002-0000-0B00-000002000000}">
      <formula1>"Yes, No, N/Ap"</formula1>
    </dataValidation>
    <dataValidation type="list" allowBlank="1" showInputMessage="1" showErrorMessage="1" sqref="P6:Q6" xr:uid="{00000000-0002-0000-0B00-000003000000}">
      <formula1>"PASS, FAIL, W/DRWN"</formula1>
    </dataValidation>
    <dataValidation type="list" allowBlank="1" showInputMessage="1" showErrorMessage="1" sqref="M133:N133" xr:uid="{00000000-0002-0000-0B00-000004000000}">
      <formula1>"&lt;&lt;Select&gt;&gt;, Warranty Deed, Purchase Contract, Ground lease/Option, RFP Selection, Other (see comments)"</formula1>
    </dataValidation>
    <dataValidation type="list" allowBlank="1" showInputMessage="1" showErrorMessage="1" sqref="P133:Q133" xr:uid="{00000000-0002-0000-0B00-000005000000}">
      <formula1>"&lt;&lt;Select&gt;&gt;, Warranty Deed, Contract/Option, Ground lease, No site control, Other (see comments)"</formula1>
    </dataValidation>
    <dataValidation type="list" allowBlank="1" showInputMessage="1" showErrorMessage="1" sqref="Q199:Q202 P84:Q84 P131:Q132 Q143:Q145 P183:Q183 P286:Q286 P362:Q362 P397:Q397" xr:uid="{00000000-0002-0000-0B00-000006000000}">
      <formula1>"Yes, No, N/A"</formula1>
    </dataValidation>
    <dataValidation type="list" allowBlank="1" showInputMessage="1" showErrorMessage="1" sqref="K192" xr:uid="{00000000-0002-0000-0B00-000008000000}">
      <formula1>"&lt;&lt;Select&gt;&gt;, Room, Building"</formula1>
    </dataValidation>
    <dataValidation type="list" allowBlank="1" showInputMessage="1" showErrorMessage="1" sqref="G314:N314" xr:uid="{00000000-0002-0000-0B00-000009000000}">
      <formula1>$K$494:$K$498</formula1>
    </dataValidation>
    <dataValidation type="list" allowBlank="1" showInputMessage="1" showErrorMessage="1" sqref="G315:N315" xr:uid="{00000000-0002-0000-0B00-00000A000000}">
      <formula1>$K$489:$K$491</formula1>
    </dataValidation>
    <dataValidation type="list" allowBlank="1" showInputMessage="1" showErrorMessage="1" sqref="N123:Q123" xr:uid="{00000000-0002-0000-0B00-00000B000000}">
      <formula1>"&lt;&lt;Select&gt;&gt;, Minority concentration, Racially mixed, Non-minority"</formula1>
    </dataValidation>
    <dataValidation type="list" allowBlank="1" showInputMessage="1" showErrorMessage="1" sqref="P191:Q191 P430:Q439 P51 P196:Q196 P203:Q203 Q210 P42:Q42 P271:Q272 P250:Q250 P422:Q422 P341:Q341 P47:P48 P229:Q230 P320:Q320 P344:Q344 P312:Q312 P275:Q275 Q273 Q310 P346:Q347 Q192:Q193 Q195" xr:uid="{00000000-0002-0000-0B00-00000C000000}">
      <formula1>"Agree, Disagree"</formula1>
    </dataValidation>
    <dataValidation type="list" allowBlank="1" showInputMessage="1" showErrorMessage="1" sqref="P445 P371 P380 P151 P307 P236 P268 P177 P189 P169 P40 P56 P74 P92 P130 P141 P34 P27 P428 P326 P354 P256 P281 P217 P391 P338" xr:uid="{00000000-0002-0000-0B00-00000D000000}">
      <formula1>"Conditional Pass, Pass, Fail, N/A, TBD"</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62:C467 C457:C458" xr:uid="{00000000-0002-0000-0B00-00000E000000}"/>
    <dataValidation type="list" allowBlank="1" showInputMessage="1" showErrorMessage="1" sqref="Q47:Q48 Q379 P76:Q76 P308:Q310 P381:Q385 P340:Q340 P408:Q408 P199:P202 P190:Q190 P118:Q121 P211:Q212 Q176 P171:Q172 P142:Q142 P162:P163 Q58:Q60 P85:Q85 Q51 Q77:Q78 P299:Q302 P228:Q228 P314:Q315 P284:Q285 P363:Q364 F111:G114 Q153:Q163 P179:Q182 P153:P159 P297:Q297 P293:Q293 P257:Q262 P290:Q291 P80:Q83 P109:Q109 P239:Q239 Q427 P242:Q249 Q420 Q422 P97:P98 P78:Q78 P67:Q68 P282:Q282 Q369:Q370 Q444 P411:Q411 P405:Q405 P103:Q104 Q134 P111:Q114 P394:Q395 P237:Q237 P204:Q209 P269:Q269 P318:Q319 P373:Q374 P392:Q392 Q94:Q95 Q97:Q99 P106:Q107 J111:K114 P327:Q328 P330:Q330 P347:Q347 P95 P357:P361 Q355:Q361 P398:Q399" xr:uid="{00000000-0002-0000-0B00-000010000000}">
      <formula1>"Yes, No"</formula1>
    </dataValidation>
    <dataValidation type="list" allowBlank="1" showInputMessage="1" showErrorMessage="1" sqref="P143:P145" xr:uid="{00000000-0002-0000-0B00-000012000000}">
      <formula1>"Yes, No,N/A"</formula1>
    </dataValidation>
    <dataValidation type="list" allowBlank="1" showInputMessage="1" showErrorMessage="1" sqref="P135:Q135 P86:Q87" xr:uid="{00000000-0002-0000-0B00-000013000000}">
      <formula1>"Yes, No, N/a"</formula1>
    </dataValidation>
    <dataValidation type="list" allowBlank="1" showInputMessage="1" showErrorMessage="1" sqref="G417" xr:uid="{00000000-0002-0000-0B00-000015000000}">
      <formula1>"&lt;&lt; Select &gt;&gt;, Non-profit, Advocacy group, Non-profit advocacy group, Relocation specialist, Local Government, Other (explain in box at right--&gt;)"</formula1>
    </dataValidation>
    <dataValidation type="list" allowBlank="1" showInputMessage="1" showErrorMessage="1" sqref="P415:Q415" xr:uid="{00000000-0002-0000-0B00-000016000000}">
      <formula1>"&lt;&lt;Select&gt;&gt;, Applicant, Third-party"</formula1>
    </dataValidation>
    <dataValidation type="list" allowBlank="1" showInputMessage="1" showErrorMessage="1" sqref="K195:N195" xr:uid="{00000000-0002-0000-0B00-00001A000000}">
      <formula1>"&lt;&lt;Select&gt;&gt;, On-site laundry, W&amp;D installed in each unit, Both options"</formula1>
    </dataValidation>
    <dataValidation type="list" allowBlank="1" showInputMessage="1" showErrorMessage="1" sqref="C199:G202" xr:uid="{A1E1C529-94D8-4509-A0C4-607C2A69A7F0}">
      <formula1>$M$507:$M$515</formula1>
    </dataValidation>
    <dataValidation type="list" allowBlank="1" showInputMessage="1" showErrorMessage="1" sqref="O331:Q332" xr:uid="{00000000-0002-0000-0B00-000011000000}">
      <formula1>$O$456:$O$464</formula1>
    </dataValidation>
    <dataValidation type="list" allowBlank="1" showInputMessage="1" showErrorMessage="1" sqref="P46" xr:uid="{C7C89C2C-12A5-4EAA-BE1B-19AD143E2FF0}">
      <formula1>"Agree, Disagree, N/ap"</formula1>
    </dataValidation>
    <dataValidation type="list" allowBlank="1" showInputMessage="1" showErrorMessage="1" sqref="P49" xr:uid="{6A436DBA-ACF3-4DA0-8BAB-AD7AF7EF2071}">
      <formula1>"Agree, Disagree, N/Ap"</formula1>
    </dataValidation>
    <dataValidation type="list" allowBlank="1" showInputMessage="1" showErrorMessage="1" sqref="K193:L193" xr:uid="{5617B09D-CDEA-4632-9C83-DB71017735D5}">
      <formula1>"&lt;&lt;Select&gt;&gt;, Gazebo, Covered Porch, Other Pre-Approved"</formula1>
    </dataValidation>
    <dataValidation type="list" allowBlank="1" showInputMessage="1" showErrorMessage="1" sqref="K238:O238" xr:uid="{6DE4FD8E-D39A-4A5F-8C49-0E20D216BF9C}">
      <formula1>"&lt;&lt;Select&gt;&gt;, Substantial Rehab Gutted, Substantial Rehab Non-Gutted,Historic Preservation"</formula1>
    </dataValidation>
    <dataValidation type="list" allowBlank="1" showInputMessage="1" showErrorMessage="1" sqref="K310" xr:uid="{23CEE138-287F-4A1B-B970-73DECDD8D20B}">
      <formula1>"&lt;&lt;Select&gt;&gt;, N/A - no NC involved, Yes - W&amp;D hookups installed in each unit"</formula1>
    </dataValidation>
    <dataValidation type="list" allowBlank="1" showInputMessage="1" showErrorMessage="1" sqref="L273:P273" xr:uid="{8BA19976-3E28-4C7F-93F4-807A96A79424}">
      <formula1>$M$519:$M$533</formula1>
    </dataValidation>
    <dataValidation type="list" allowBlank="1" showInputMessage="1" showErrorMessage="1" sqref="N329:Q329" xr:uid="{1507D5F4-3CF5-47E5-8041-58440C5F4F2A}">
      <formula1>"&lt;&lt;Select&gt;&gt;,Yes - see Comment, No, N/A - no pre-app"</formula1>
    </dataValidation>
    <dataValidation type="list" allowBlank="1" showInputMessage="1" showErrorMessage="1" sqref="J35" xr:uid="{DF40FE17-CD0F-4AFC-95D5-117923C37B41}">
      <formula1>"&lt;&lt; Select PROPOSED Tenancy &gt;&gt;,Family,Elderly,HFOP,Other Senior/Elderly, Other Non-Senior"</formula1>
    </dataValidation>
    <dataValidation type="list" allowBlank="1" showInputMessage="1" showErrorMessage="1" sqref="J36:L36" xr:uid="{A2C6F289-0AA9-401C-BF26-3ECDC7180054}">
      <formula1>"&lt;&lt; Select CURRENT Tenancy &gt;&gt;,Family,Elderly,HFOP,Other Senior/Elderly, Other Non-Senior, N/A"</formula1>
    </dataValidation>
  </dataValidations>
  <hyperlinks>
    <hyperlink ref="N275" r:id="rId1" xr:uid="{A1FBB798-7F36-4540-BAD5-7F4FCDD154B5}"/>
  </hyperlinks>
  <printOptions horizontalCentered="1"/>
  <pageMargins left="0.35" right="0.35" top="0.5" bottom="0.4" header="0.3" footer="0.25"/>
  <pageSetup fitToHeight="0" orientation="landscape" horizontalDpi="1200" verticalDpi="1200" r:id="rId2"/>
  <headerFooter>
    <oddHeader>&amp;LGeorgia Department of Community Affairs&amp;C2022 Funding Application&amp;RHousing Finance and Development Division</oddHeader>
    <oddFooter>&amp;L&amp;G &amp;F&amp;C&amp;A&amp;R&amp;P of &amp;N</oddFooter>
  </headerFooter>
  <rowBreaks count="10" manualBreakCount="10">
    <brk id="33" max="16383" man="1"/>
    <brk id="73" max="16383" man="1"/>
    <brk id="91" max="16383" man="1"/>
    <brk id="129" max="16383" man="1"/>
    <brk id="167" max="16383" man="1"/>
    <brk id="209" max="16383" man="1"/>
    <brk id="280" max="16383" man="1"/>
    <brk id="306" max="16383" man="1"/>
    <brk id="379" max="16383" man="1"/>
    <brk id="420" max="16383" man="1"/>
  </rowBreaks>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CEA0-EE47-41AA-B836-0943946D9095}">
  <sheetPr codeName="Sheet16"/>
  <dimension ref="A1:KI80"/>
  <sheetViews>
    <sheetView showGridLines="0" workbookViewId="0">
      <selection sqref="A1:XFD1048576"/>
    </sheetView>
  </sheetViews>
  <sheetFormatPr defaultRowHeight="13.2"/>
  <sheetData>
    <row r="1" spans="1:28" s="96" customFormat="1" ht="12.75" customHeight="1">
      <c r="A1" s="98"/>
      <c r="B1" s="98"/>
      <c r="C1" s="98"/>
      <c r="D1"/>
      <c r="G1" s="881"/>
      <c r="H1" s="145"/>
      <c r="I1" s="95"/>
      <c r="J1" s="98"/>
      <c r="K1" s="2611"/>
      <c r="L1" s="2611"/>
      <c r="M1" s="2611"/>
      <c r="N1" s="2611"/>
      <c r="O1" s="98"/>
      <c r="P1" s="95"/>
      <c r="Q1" s="144"/>
      <c r="R1" s="144"/>
      <c r="S1" s="95"/>
      <c r="T1" s="95"/>
      <c r="U1" s="95"/>
      <c r="AA1" s="40"/>
      <c r="AB1" s="40"/>
    </row>
    <row r="2" spans="1:28" s="96" customFormat="1" ht="11.7" customHeight="1">
      <c r="A2" s="4563" t="s">
        <v>6731</v>
      </c>
      <c r="B2" s="4563"/>
      <c r="C2" s="98"/>
      <c r="D2" s="585">
        <v>2021</v>
      </c>
      <c r="E2" s="95"/>
      <c r="F2" s="4557" t="s">
        <v>6732</v>
      </c>
      <c r="G2" s="4558"/>
      <c r="H2" s="4558"/>
      <c r="I2" s="4558"/>
      <c r="J2" s="4559"/>
      <c r="K2" s="2611"/>
      <c r="L2" s="316" t="s">
        <v>4677</v>
      </c>
      <c r="M2" s="2611"/>
      <c r="N2" s="4557" t="s">
        <v>6732</v>
      </c>
      <c r="O2" s="4558"/>
      <c r="P2" s="4558"/>
      <c r="Q2" s="4558"/>
      <c r="R2" s="4559"/>
      <c r="S2" s="150"/>
      <c r="T2" s="95"/>
      <c r="U2" s="95"/>
      <c r="V2" s="222"/>
      <c r="W2" s="222"/>
      <c r="X2" s="222"/>
      <c r="AA2" s="40"/>
      <c r="AB2" s="40"/>
    </row>
    <row r="3" spans="1:28" s="96" customFormat="1" ht="11.7" customHeight="1">
      <c r="A3" s="4563"/>
      <c r="B3" s="4563"/>
      <c r="D3" s="317" t="s">
        <v>4689</v>
      </c>
      <c r="E3" s="317" t="s">
        <v>6733</v>
      </c>
      <c r="F3" s="318">
        <v>0</v>
      </c>
      <c r="G3" s="2519">
        <v>1</v>
      </c>
      <c r="H3" s="2531">
        <v>2</v>
      </c>
      <c r="I3" s="2531">
        <v>3</v>
      </c>
      <c r="J3" s="319" t="s">
        <v>4843</v>
      </c>
      <c r="L3" s="317" t="s">
        <v>4689</v>
      </c>
      <c r="M3" s="317" t="s">
        <v>6733</v>
      </c>
      <c r="N3" s="318">
        <v>0</v>
      </c>
      <c r="O3" s="2519">
        <v>1</v>
      </c>
      <c r="P3" s="2531">
        <v>2</v>
      </c>
      <c r="Q3" s="2531">
        <v>3</v>
      </c>
      <c r="R3" s="319" t="s">
        <v>4843</v>
      </c>
      <c r="S3" s="150"/>
      <c r="T3" s="95"/>
      <c r="U3" s="95"/>
      <c r="V3" s="222"/>
      <c r="W3" s="222"/>
      <c r="X3" s="222"/>
      <c r="AA3" s="40"/>
      <c r="AB3" s="40"/>
    </row>
    <row r="4" spans="1:28" s="96" customFormat="1" ht="11.7" customHeight="1">
      <c r="A4" s="4563"/>
      <c r="B4" s="4563"/>
      <c r="D4" s="576" t="s">
        <v>2057</v>
      </c>
      <c r="E4" s="576" t="s">
        <v>6734</v>
      </c>
      <c r="F4" s="577">
        <v>142816</v>
      </c>
      <c r="G4" s="577">
        <v>184662</v>
      </c>
      <c r="H4" s="577">
        <v>220865</v>
      </c>
      <c r="I4" s="577">
        <v>263215</v>
      </c>
      <c r="J4" s="577">
        <v>310038</v>
      </c>
      <c r="L4" s="150" t="s">
        <v>2057</v>
      </c>
      <c r="M4" s="150" t="s">
        <v>6734</v>
      </c>
      <c r="N4" s="611">
        <f t="shared" ref="N4:N39" si="0">ROUNDDOWN(F4*1.1,0)</f>
        <v>157097</v>
      </c>
      <c r="O4" s="611">
        <f t="shared" ref="O4:O39" si="1">ROUNDDOWN(G4*1.1,0)</f>
        <v>203128</v>
      </c>
      <c r="P4" s="611">
        <f t="shared" ref="P4:P39" si="2">ROUNDDOWN(H4*1.1,0)</f>
        <v>242951</v>
      </c>
      <c r="Q4" s="611">
        <f t="shared" ref="Q4:Q39" si="3">ROUNDDOWN(I4*1.1,0)</f>
        <v>289536</v>
      </c>
      <c r="R4" s="611">
        <f t="shared" ref="R4:R39" si="4">ROUNDDOWN(J4*1.1,0)</f>
        <v>341041</v>
      </c>
      <c r="S4" s="150"/>
      <c r="T4" s="95"/>
      <c r="U4" s="95"/>
      <c r="V4" s="222"/>
      <c r="W4" s="222"/>
      <c r="X4" s="222"/>
      <c r="AA4" s="40"/>
      <c r="AB4" s="40"/>
    </row>
    <row r="5" spans="1:28" s="96" customFormat="1" ht="11.7" customHeight="1">
      <c r="A5" s="98"/>
      <c r="D5" s="576" t="s">
        <v>2057</v>
      </c>
      <c r="E5" s="576" t="s">
        <v>1269</v>
      </c>
      <c r="F5" s="577">
        <v>111333</v>
      </c>
      <c r="G5" s="577">
        <v>155866</v>
      </c>
      <c r="H5" s="577">
        <v>200399</v>
      </c>
      <c r="I5" s="577">
        <v>267199</v>
      </c>
      <c r="J5" s="577">
        <v>333999</v>
      </c>
      <c r="L5" s="150" t="s">
        <v>2057</v>
      </c>
      <c r="M5" s="150" t="s">
        <v>1269</v>
      </c>
      <c r="N5" s="611">
        <f t="shared" si="0"/>
        <v>122466</v>
      </c>
      <c r="O5" s="611">
        <f t="shared" si="1"/>
        <v>171452</v>
      </c>
      <c r="P5" s="611">
        <f t="shared" si="2"/>
        <v>220438</v>
      </c>
      <c r="Q5" s="611">
        <f t="shared" si="3"/>
        <v>293918</v>
      </c>
      <c r="R5" s="611">
        <f t="shared" si="4"/>
        <v>367398</v>
      </c>
      <c r="S5" s="150"/>
      <c r="T5" s="95"/>
      <c r="U5" s="95"/>
      <c r="V5" s="222"/>
      <c r="W5" s="222"/>
      <c r="X5" s="222"/>
      <c r="AA5" s="40"/>
      <c r="AB5" s="40"/>
    </row>
    <row r="6" spans="1:28" s="96" customFormat="1" ht="11.7" customHeight="1">
      <c r="A6" s="98"/>
      <c r="D6" s="576" t="s">
        <v>2057</v>
      </c>
      <c r="E6" s="576" t="s">
        <v>1267</v>
      </c>
      <c r="F6" s="577">
        <v>123345</v>
      </c>
      <c r="G6" s="577">
        <v>160923</v>
      </c>
      <c r="H6" s="577">
        <v>194869</v>
      </c>
      <c r="I6" s="577">
        <v>237606</v>
      </c>
      <c r="J6" s="577">
        <v>281429</v>
      </c>
      <c r="L6" s="150" t="s">
        <v>2057</v>
      </c>
      <c r="M6" s="150" t="s">
        <v>1267</v>
      </c>
      <c r="N6" s="611">
        <f t="shared" si="0"/>
        <v>135679</v>
      </c>
      <c r="O6" s="611">
        <f t="shared" si="1"/>
        <v>177015</v>
      </c>
      <c r="P6" s="611">
        <f t="shared" si="2"/>
        <v>214355</v>
      </c>
      <c r="Q6" s="611">
        <f t="shared" si="3"/>
        <v>261366</v>
      </c>
      <c r="R6" s="611">
        <f t="shared" si="4"/>
        <v>309571</v>
      </c>
      <c r="S6" s="150"/>
      <c r="T6" s="95"/>
      <c r="U6" s="95"/>
      <c r="V6" s="222"/>
      <c r="W6" s="222"/>
      <c r="X6" s="222"/>
      <c r="AA6" s="40"/>
      <c r="AB6" s="40"/>
    </row>
    <row r="7" spans="1:28" s="96" customFormat="1" ht="11.7" customHeight="1">
      <c r="A7" s="98"/>
      <c r="D7" s="576" t="s">
        <v>2057</v>
      </c>
      <c r="E7" s="576" t="s">
        <v>1268</v>
      </c>
      <c r="F7" s="577">
        <v>110658</v>
      </c>
      <c r="G7" s="577">
        <v>150909</v>
      </c>
      <c r="H7" s="577">
        <v>191026</v>
      </c>
      <c r="I7" s="577">
        <v>251664</v>
      </c>
      <c r="J7" s="577">
        <v>311733</v>
      </c>
      <c r="L7" s="150" t="s">
        <v>2057</v>
      </c>
      <c r="M7" s="150" t="s">
        <v>1268</v>
      </c>
      <c r="N7" s="611">
        <f t="shared" si="0"/>
        <v>121723</v>
      </c>
      <c r="O7" s="611">
        <f t="shared" si="1"/>
        <v>165999</v>
      </c>
      <c r="P7" s="611">
        <f t="shared" si="2"/>
        <v>210128</v>
      </c>
      <c r="Q7" s="611">
        <f t="shared" si="3"/>
        <v>276830</v>
      </c>
      <c r="R7" s="611">
        <f t="shared" si="4"/>
        <v>342906</v>
      </c>
      <c r="S7" s="150"/>
      <c r="T7" s="95"/>
      <c r="U7" s="95"/>
      <c r="V7" s="222"/>
      <c r="W7" s="222"/>
      <c r="X7" s="222"/>
      <c r="AA7" s="40"/>
      <c r="AB7" s="40"/>
    </row>
    <row r="8" spans="1:28" s="96" customFormat="1" ht="11.7" customHeight="1">
      <c r="A8" s="98"/>
      <c r="D8" s="568" t="s">
        <v>4897</v>
      </c>
      <c r="E8" s="568" t="s">
        <v>6734</v>
      </c>
      <c r="F8" s="569">
        <v>141797</v>
      </c>
      <c r="G8" s="569">
        <v>183527</v>
      </c>
      <c r="H8" s="569">
        <v>219633</v>
      </c>
      <c r="I8" s="569">
        <v>261936</v>
      </c>
      <c r="J8" s="569">
        <v>308710</v>
      </c>
      <c r="L8" s="150" t="s">
        <v>4897</v>
      </c>
      <c r="M8" s="150" t="s">
        <v>6734</v>
      </c>
      <c r="N8" s="611">
        <f t="shared" si="0"/>
        <v>155976</v>
      </c>
      <c r="O8" s="611">
        <f t="shared" si="1"/>
        <v>201879</v>
      </c>
      <c r="P8" s="611">
        <f t="shared" si="2"/>
        <v>241596</v>
      </c>
      <c r="Q8" s="611">
        <f t="shared" si="3"/>
        <v>288129</v>
      </c>
      <c r="R8" s="611">
        <f t="shared" si="4"/>
        <v>339581</v>
      </c>
      <c r="S8" s="150"/>
      <c r="T8" s="95"/>
      <c r="U8" s="95"/>
      <c r="V8" s="222"/>
      <c r="W8" s="222"/>
      <c r="X8" s="222"/>
      <c r="AA8" s="40"/>
      <c r="AB8" s="40"/>
    </row>
    <row r="9" spans="1:28" s="96" customFormat="1" ht="11.7" customHeight="1">
      <c r="A9" s="98"/>
      <c r="D9" s="568" t="s">
        <v>4897</v>
      </c>
      <c r="E9" s="568" t="s">
        <v>1269</v>
      </c>
      <c r="F9" s="569">
        <v>110497</v>
      </c>
      <c r="G9" s="569">
        <v>154696</v>
      </c>
      <c r="H9" s="569">
        <v>198895</v>
      </c>
      <c r="I9" s="569">
        <v>265193</v>
      </c>
      <c r="J9" s="569">
        <v>331491</v>
      </c>
      <c r="L9" s="150" t="s">
        <v>4897</v>
      </c>
      <c r="M9" s="150" t="s">
        <v>1269</v>
      </c>
      <c r="N9" s="611">
        <f t="shared" si="0"/>
        <v>121546</v>
      </c>
      <c r="O9" s="611">
        <f t="shared" si="1"/>
        <v>170165</v>
      </c>
      <c r="P9" s="611">
        <f t="shared" si="2"/>
        <v>218784</v>
      </c>
      <c r="Q9" s="611">
        <f t="shared" si="3"/>
        <v>291712</v>
      </c>
      <c r="R9" s="611">
        <f t="shared" si="4"/>
        <v>364640</v>
      </c>
      <c r="S9" s="150"/>
      <c r="T9" s="95"/>
      <c r="U9" s="95"/>
      <c r="V9" s="222"/>
      <c r="W9" s="222"/>
      <c r="X9" s="222"/>
      <c r="AA9" s="40"/>
      <c r="AB9" s="40"/>
    </row>
    <row r="10" spans="1:28" s="96" customFormat="1" ht="11.7" customHeight="1">
      <c r="A10" s="98"/>
      <c r="D10" s="568" t="s">
        <v>4897</v>
      </c>
      <c r="E10" s="568" t="s">
        <v>1267</v>
      </c>
      <c r="F10" s="569">
        <v>121614</v>
      </c>
      <c r="G10" s="569">
        <v>158920</v>
      </c>
      <c r="H10" s="569">
        <v>192685</v>
      </c>
      <c r="I10" s="569">
        <v>235391</v>
      </c>
      <c r="J10" s="569">
        <v>279054</v>
      </c>
      <c r="L10" s="150" t="s">
        <v>4897</v>
      </c>
      <c r="M10" s="150" t="s">
        <v>1267</v>
      </c>
      <c r="N10" s="611">
        <f t="shared" si="0"/>
        <v>133775</v>
      </c>
      <c r="O10" s="611">
        <f t="shared" si="1"/>
        <v>174812</v>
      </c>
      <c r="P10" s="611">
        <f t="shared" si="2"/>
        <v>211953</v>
      </c>
      <c r="Q10" s="611">
        <f t="shared" si="3"/>
        <v>258930</v>
      </c>
      <c r="R10" s="611">
        <f t="shared" si="4"/>
        <v>306959</v>
      </c>
      <c r="S10" s="150"/>
      <c r="T10" s="95"/>
      <c r="U10" s="95"/>
      <c r="V10" s="222"/>
      <c r="W10" s="222"/>
      <c r="X10" s="222"/>
      <c r="AA10" s="40"/>
      <c r="AB10" s="40"/>
    </row>
    <row r="11" spans="1:28" s="96" customFormat="1" ht="11.7" customHeight="1">
      <c r="A11" s="98"/>
      <c r="D11" s="568" t="s">
        <v>4897</v>
      </c>
      <c r="E11" s="568" t="s">
        <v>1268</v>
      </c>
      <c r="F11" s="569">
        <v>108520</v>
      </c>
      <c r="G11" s="569">
        <v>147769</v>
      </c>
      <c r="H11" s="569">
        <v>186880</v>
      </c>
      <c r="I11" s="569">
        <v>246024</v>
      </c>
      <c r="J11" s="569">
        <v>304578</v>
      </c>
      <c r="L11" s="150" t="s">
        <v>4897</v>
      </c>
      <c r="M11" s="150" t="s">
        <v>1268</v>
      </c>
      <c r="N11" s="611">
        <f t="shared" si="0"/>
        <v>119372</v>
      </c>
      <c r="O11" s="611">
        <f t="shared" si="1"/>
        <v>162545</v>
      </c>
      <c r="P11" s="611">
        <f t="shared" si="2"/>
        <v>205568</v>
      </c>
      <c r="Q11" s="611">
        <f t="shared" si="3"/>
        <v>270626</v>
      </c>
      <c r="R11" s="611">
        <f t="shared" si="4"/>
        <v>335035</v>
      </c>
      <c r="S11" s="150"/>
      <c r="T11" s="95"/>
      <c r="U11" s="95"/>
      <c r="V11" s="222"/>
      <c r="W11" s="222"/>
      <c r="X11" s="222"/>
      <c r="AA11" s="40"/>
      <c r="AB11" s="40"/>
    </row>
    <row r="12" spans="1:28" s="96" customFormat="1" ht="11.7" customHeight="1">
      <c r="A12" s="98"/>
      <c r="D12" s="566" t="s">
        <v>4903</v>
      </c>
      <c r="E12" s="566" t="s">
        <v>6734</v>
      </c>
      <c r="F12" s="567">
        <v>155687</v>
      </c>
      <c r="G12" s="567">
        <v>201438</v>
      </c>
      <c r="H12" s="567">
        <v>241022</v>
      </c>
      <c r="I12" s="567">
        <v>287374</v>
      </c>
      <c r="J12" s="567">
        <v>338625</v>
      </c>
      <c r="L12" s="315" t="s">
        <v>4903</v>
      </c>
      <c r="M12" s="315" t="s">
        <v>6734</v>
      </c>
      <c r="N12" s="611">
        <f t="shared" si="0"/>
        <v>171255</v>
      </c>
      <c r="O12" s="611">
        <f t="shared" si="1"/>
        <v>221581</v>
      </c>
      <c r="P12" s="611">
        <f t="shared" si="2"/>
        <v>265124</v>
      </c>
      <c r="Q12" s="611">
        <f t="shared" si="3"/>
        <v>316111</v>
      </c>
      <c r="R12" s="611">
        <f t="shared" si="4"/>
        <v>372487</v>
      </c>
      <c r="S12" s="150"/>
      <c r="T12" s="95"/>
      <c r="U12" s="95"/>
      <c r="V12" s="222"/>
      <c r="W12" s="222"/>
      <c r="X12" s="222"/>
      <c r="AA12" s="40"/>
      <c r="AB12" s="40"/>
    </row>
    <row r="13" spans="1:28" s="96" customFormat="1" ht="11.7" customHeight="1">
      <c r="A13" s="98"/>
      <c r="D13" s="566" t="s">
        <v>4903</v>
      </c>
      <c r="E13" s="566" t="s">
        <v>1269</v>
      </c>
      <c r="F13" s="567">
        <v>121337</v>
      </c>
      <c r="G13" s="567">
        <v>169871</v>
      </c>
      <c r="H13" s="567">
        <v>218406</v>
      </c>
      <c r="I13" s="567">
        <v>291208</v>
      </c>
      <c r="J13" s="567">
        <v>364010</v>
      </c>
      <c r="L13" s="315" t="s">
        <v>4903</v>
      </c>
      <c r="M13" s="315" t="s">
        <v>1269</v>
      </c>
      <c r="N13" s="611">
        <f t="shared" si="0"/>
        <v>133470</v>
      </c>
      <c r="O13" s="611">
        <f t="shared" si="1"/>
        <v>186858</v>
      </c>
      <c r="P13" s="611">
        <f t="shared" si="2"/>
        <v>240246</v>
      </c>
      <c r="Q13" s="611">
        <f t="shared" si="3"/>
        <v>320328</v>
      </c>
      <c r="R13" s="611">
        <f t="shared" si="4"/>
        <v>400411</v>
      </c>
      <c r="S13" s="150"/>
      <c r="T13" s="95"/>
      <c r="U13" s="95"/>
      <c r="V13" s="222"/>
      <c r="W13" s="222"/>
      <c r="X13" s="222"/>
      <c r="AA13" s="40"/>
      <c r="AB13" s="40"/>
    </row>
    <row r="14" spans="1:28" s="96" customFormat="1" ht="11.7" customHeight="1">
      <c r="A14" s="98"/>
      <c r="D14" s="566" t="s">
        <v>4903</v>
      </c>
      <c r="E14" s="566" t="s">
        <v>1267</v>
      </c>
      <c r="F14" s="567">
        <v>133842</v>
      </c>
      <c r="G14" s="567">
        <v>174804</v>
      </c>
      <c r="H14" s="567">
        <v>211854</v>
      </c>
      <c r="I14" s="567">
        <v>258642</v>
      </c>
      <c r="J14" s="567">
        <v>306526</v>
      </c>
      <c r="L14" s="315" t="s">
        <v>4903</v>
      </c>
      <c r="M14" s="315" t="s">
        <v>1267</v>
      </c>
      <c r="N14" s="611">
        <f t="shared" si="0"/>
        <v>147226</v>
      </c>
      <c r="O14" s="611">
        <f t="shared" si="1"/>
        <v>192284</v>
      </c>
      <c r="P14" s="611">
        <f t="shared" si="2"/>
        <v>233039</v>
      </c>
      <c r="Q14" s="611">
        <f t="shared" si="3"/>
        <v>284506</v>
      </c>
      <c r="R14" s="611">
        <f t="shared" si="4"/>
        <v>337178</v>
      </c>
      <c r="S14" s="150"/>
      <c r="T14" s="95"/>
      <c r="U14" s="95"/>
      <c r="V14" s="222"/>
      <c r="W14" s="222"/>
      <c r="X14" s="222"/>
      <c r="AA14" s="40"/>
      <c r="AB14" s="40"/>
    </row>
    <row r="15" spans="1:28" s="96" customFormat="1" ht="11.7" customHeight="1">
      <c r="A15" s="98"/>
      <c r="D15" s="566" t="s">
        <v>4903</v>
      </c>
      <c r="E15" s="566" t="s">
        <v>1268</v>
      </c>
      <c r="F15" s="567">
        <v>119649</v>
      </c>
      <c r="G15" s="567">
        <v>163008</v>
      </c>
      <c r="H15" s="567">
        <v>206217</v>
      </c>
      <c r="I15" s="567">
        <v>271547</v>
      </c>
      <c r="J15" s="567">
        <v>336239</v>
      </c>
      <c r="L15" s="315" t="s">
        <v>4903</v>
      </c>
      <c r="M15" s="315" t="s">
        <v>1268</v>
      </c>
      <c r="N15" s="611">
        <f t="shared" si="0"/>
        <v>131613</v>
      </c>
      <c r="O15" s="611">
        <f t="shared" si="1"/>
        <v>179308</v>
      </c>
      <c r="P15" s="611">
        <f t="shared" si="2"/>
        <v>226838</v>
      </c>
      <c r="Q15" s="611">
        <f t="shared" si="3"/>
        <v>298701</v>
      </c>
      <c r="R15" s="611">
        <f t="shared" si="4"/>
        <v>369862</v>
      </c>
      <c r="S15" s="150"/>
      <c r="T15" s="95"/>
      <c r="U15" s="95"/>
      <c r="V15" s="222"/>
      <c r="W15" s="222"/>
      <c r="X15" s="222"/>
      <c r="AA15" s="40"/>
      <c r="AB15" s="40"/>
    </row>
    <row r="16" spans="1:28" s="96" customFormat="1" ht="11.7" customHeight="1">
      <c r="A16" s="98"/>
      <c r="D16" s="570" t="s">
        <v>4963</v>
      </c>
      <c r="E16" s="570" t="s">
        <v>6734</v>
      </c>
      <c r="F16" s="571">
        <v>145521</v>
      </c>
      <c r="G16" s="571">
        <v>188031</v>
      </c>
      <c r="H16" s="571">
        <v>224805</v>
      </c>
      <c r="I16" s="571">
        <v>267776</v>
      </c>
      <c r="J16" s="571">
        <v>315283</v>
      </c>
      <c r="L16" s="315" t="s">
        <v>4963</v>
      </c>
      <c r="M16" s="315" t="s">
        <v>6734</v>
      </c>
      <c r="N16" s="611">
        <f t="shared" si="0"/>
        <v>160073</v>
      </c>
      <c r="O16" s="611">
        <f t="shared" si="1"/>
        <v>206834</v>
      </c>
      <c r="P16" s="611">
        <f t="shared" si="2"/>
        <v>247285</v>
      </c>
      <c r="Q16" s="611">
        <f t="shared" si="3"/>
        <v>294553</v>
      </c>
      <c r="R16" s="611">
        <f t="shared" si="4"/>
        <v>346811</v>
      </c>
      <c r="S16" s="150"/>
      <c r="T16" s="95"/>
      <c r="U16" s="95"/>
      <c r="V16" s="222"/>
      <c r="W16" s="222"/>
      <c r="X16" s="222"/>
      <c r="AA16" s="40"/>
      <c r="AB16" s="40"/>
    </row>
    <row r="17" spans="1:28" s="96" customFormat="1" ht="11.7" customHeight="1">
      <c r="A17" s="98"/>
      <c r="D17" s="570" t="s">
        <v>4963</v>
      </c>
      <c r="E17" s="570" t="s">
        <v>1269</v>
      </c>
      <c r="F17" s="571">
        <v>113472</v>
      </c>
      <c r="G17" s="571">
        <v>158861</v>
      </c>
      <c r="H17" s="571">
        <v>204249</v>
      </c>
      <c r="I17" s="571">
        <v>272333</v>
      </c>
      <c r="J17" s="571">
        <v>340416</v>
      </c>
      <c r="L17" s="315" t="s">
        <v>4963</v>
      </c>
      <c r="M17" s="315" t="s">
        <v>1269</v>
      </c>
      <c r="N17" s="611">
        <f t="shared" si="0"/>
        <v>124819</v>
      </c>
      <c r="O17" s="611">
        <f t="shared" si="1"/>
        <v>174747</v>
      </c>
      <c r="P17" s="611">
        <f t="shared" si="2"/>
        <v>224673</v>
      </c>
      <c r="Q17" s="611">
        <f t="shared" si="3"/>
        <v>299566</v>
      </c>
      <c r="R17" s="611">
        <f t="shared" si="4"/>
        <v>374457</v>
      </c>
      <c r="S17" s="150"/>
      <c r="T17" s="95"/>
      <c r="U17" s="95"/>
      <c r="V17" s="222"/>
      <c r="W17" s="222"/>
      <c r="X17" s="222"/>
      <c r="AA17" s="40"/>
      <c r="AB17" s="40"/>
    </row>
    <row r="18" spans="1:28" s="96" customFormat="1" ht="11.7" customHeight="1">
      <c r="A18" s="98"/>
      <c r="D18" s="570" t="s">
        <v>4963</v>
      </c>
      <c r="E18" s="570" t="s">
        <v>1267</v>
      </c>
      <c r="F18" s="571">
        <v>126289</v>
      </c>
      <c r="G18" s="571">
        <v>164581</v>
      </c>
      <c r="H18" s="571">
        <v>199126</v>
      </c>
      <c r="I18" s="571">
        <v>242479</v>
      </c>
      <c r="J18" s="571">
        <v>287022</v>
      </c>
      <c r="L18" s="315" t="s">
        <v>4963</v>
      </c>
      <c r="M18" s="315" t="s">
        <v>1267</v>
      </c>
      <c r="N18" s="611">
        <f t="shared" si="0"/>
        <v>138917</v>
      </c>
      <c r="O18" s="611">
        <f t="shared" si="1"/>
        <v>181039</v>
      </c>
      <c r="P18" s="611">
        <f t="shared" si="2"/>
        <v>219038</v>
      </c>
      <c r="Q18" s="611">
        <f t="shared" si="3"/>
        <v>266726</v>
      </c>
      <c r="R18" s="611">
        <f t="shared" si="4"/>
        <v>315724</v>
      </c>
      <c r="S18" s="150"/>
      <c r="T18" s="95"/>
      <c r="U18" s="95"/>
      <c r="V18" s="222"/>
      <c r="W18" s="222"/>
      <c r="X18" s="222"/>
      <c r="AA18" s="40"/>
      <c r="AB18" s="40"/>
    </row>
    <row r="19" spans="1:28" s="96" customFormat="1" ht="11.7" customHeight="1">
      <c r="A19" s="98"/>
      <c r="D19" s="570" t="s">
        <v>4963</v>
      </c>
      <c r="E19" s="570" t="s">
        <v>1268</v>
      </c>
      <c r="F19" s="571">
        <v>113715</v>
      </c>
      <c r="G19" s="571">
        <v>155238</v>
      </c>
      <c r="H19" s="571">
        <v>196629</v>
      </c>
      <c r="I19" s="571">
        <v>259171</v>
      </c>
      <c r="J19" s="571">
        <v>321151</v>
      </c>
      <c r="L19" s="315" t="s">
        <v>4963</v>
      </c>
      <c r="M19" s="315" t="s">
        <v>1268</v>
      </c>
      <c r="N19" s="611">
        <f t="shared" si="0"/>
        <v>125086</v>
      </c>
      <c r="O19" s="611">
        <f t="shared" si="1"/>
        <v>170761</v>
      </c>
      <c r="P19" s="611">
        <f t="shared" si="2"/>
        <v>216291</v>
      </c>
      <c r="Q19" s="611">
        <f t="shared" si="3"/>
        <v>285088</v>
      </c>
      <c r="R19" s="611">
        <f t="shared" si="4"/>
        <v>353266</v>
      </c>
      <c r="S19" s="150"/>
      <c r="T19" s="95"/>
      <c r="U19" s="95"/>
      <c r="V19" s="222"/>
      <c r="W19" s="222"/>
      <c r="X19" s="222"/>
      <c r="AA19" s="40"/>
      <c r="AB19" s="40"/>
    </row>
    <row r="20" spans="1:28" s="96" customFormat="1" ht="11.7" customHeight="1">
      <c r="A20" s="98"/>
      <c r="D20" s="150" t="s">
        <v>4981</v>
      </c>
      <c r="E20" s="150" t="s">
        <v>6734</v>
      </c>
      <c r="F20" s="486">
        <v>151294</v>
      </c>
      <c r="G20" s="486">
        <v>195836</v>
      </c>
      <c r="H20" s="486">
        <v>234374</v>
      </c>
      <c r="I20" s="486">
        <v>279532</v>
      </c>
      <c r="J20" s="486">
        <v>329464</v>
      </c>
      <c r="L20" s="150" t="s">
        <v>4981</v>
      </c>
      <c r="M20" s="315" t="s">
        <v>6734</v>
      </c>
      <c r="N20" s="611">
        <f t="shared" si="0"/>
        <v>166423</v>
      </c>
      <c r="O20" s="611">
        <f t="shared" si="1"/>
        <v>215419</v>
      </c>
      <c r="P20" s="611">
        <f t="shared" si="2"/>
        <v>257811</v>
      </c>
      <c r="Q20" s="611">
        <f t="shared" si="3"/>
        <v>307485</v>
      </c>
      <c r="R20" s="611">
        <f t="shared" si="4"/>
        <v>362410</v>
      </c>
      <c r="S20" s="150"/>
      <c r="T20" s="95"/>
      <c r="U20" s="95"/>
      <c r="V20" s="222"/>
      <c r="W20" s="222"/>
      <c r="X20" s="222"/>
      <c r="AA20" s="40"/>
      <c r="AB20" s="40"/>
    </row>
    <row r="21" spans="1:28" s="96" customFormat="1" ht="11.7" customHeight="1">
      <c r="A21" s="98"/>
      <c r="D21" s="150" t="s">
        <v>4981</v>
      </c>
      <c r="E21" s="150" t="s">
        <v>1269</v>
      </c>
      <c r="F21" s="486">
        <v>117895</v>
      </c>
      <c r="G21" s="486">
        <v>165052</v>
      </c>
      <c r="H21" s="486">
        <v>212210</v>
      </c>
      <c r="I21" s="486">
        <v>282947</v>
      </c>
      <c r="J21" s="486">
        <v>353684</v>
      </c>
      <c r="L21" s="150" t="s">
        <v>4981</v>
      </c>
      <c r="M21" s="315" t="s">
        <v>1269</v>
      </c>
      <c r="N21" s="611">
        <f t="shared" si="0"/>
        <v>129684</v>
      </c>
      <c r="O21" s="611">
        <f t="shared" si="1"/>
        <v>181557</v>
      </c>
      <c r="P21" s="611">
        <f t="shared" si="2"/>
        <v>233431</v>
      </c>
      <c r="Q21" s="611">
        <f t="shared" si="3"/>
        <v>311241</v>
      </c>
      <c r="R21" s="611">
        <f t="shared" si="4"/>
        <v>389052</v>
      </c>
      <c r="S21" s="150"/>
      <c r="T21" s="95"/>
      <c r="U21" s="95"/>
      <c r="V21" s="222"/>
      <c r="W21" s="222"/>
      <c r="X21" s="222"/>
      <c r="AA21" s="40"/>
      <c r="AB21" s="40"/>
    </row>
    <row r="22" spans="1:28" s="96" customFormat="1" ht="11.7" customHeight="1">
      <c r="A22" s="98"/>
      <c r="D22" s="150" t="s">
        <v>4981</v>
      </c>
      <c r="E22" s="150" t="s">
        <v>1267</v>
      </c>
      <c r="F22" s="486">
        <v>129687</v>
      </c>
      <c r="G22" s="486">
        <v>169491</v>
      </c>
      <c r="H22" s="486">
        <v>205524</v>
      </c>
      <c r="I22" s="486">
        <v>251113</v>
      </c>
      <c r="J22" s="486">
        <v>297714</v>
      </c>
      <c r="L22" s="150" t="s">
        <v>4981</v>
      </c>
      <c r="M22" s="315" t="s">
        <v>1267</v>
      </c>
      <c r="N22" s="611">
        <f t="shared" si="0"/>
        <v>142655</v>
      </c>
      <c r="O22" s="611">
        <f t="shared" si="1"/>
        <v>186440</v>
      </c>
      <c r="P22" s="611">
        <f t="shared" si="2"/>
        <v>226076</v>
      </c>
      <c r="Q22" s="611">
        <f t="shared" si="3"/>
        <v>276224</v>
      </c>
      <c r="R22" s="611">
        <f t="shared" si="4"/>
        <v>327485</v>
      </c>
      <c r="S22" s="150"/>
      <c r="T22" s="95"/>
      <c r="U22" s="95"/>
      <c r="V22" s="222"/>
      <c r="W22" s="222"/>
      <c r="X22" s="222"/>
      <c r="AA22" s="40"/>
      <c r="AB22" s="40"/>
    </row>
    <row r="23" spans="1:28" s="96" customFormat="1" ht="11.7" customHeight="1">
      <c r="A23" s="98"/>
      <c r="D23" s="150" t="s">
        <v>4981</v>
      </c>
      <c r="E23" s="150" t="s">
        <v>1268</v>
      </c>
      <c r="F23" s="486">
        <v>115673</v>
      </c>
      <c r="G23" s="486">
        <v>157490</v>
      </c>
      <c r="H23" s="486">
        <v>199159</v>
      </c>
      <c r="I23" s="486">
        <v>262174</v>
      </c>
      <c r="J23" s="486">
        <v>324557</v>
      </c>
      <c r="L23" s="150" t="s">
        <v>4981</v>
      </c>
      <c r="M23" s="315" t="s">
        <v>1268</v>
      </c>
      <c r="N23" s="611">
        <f t="shared" si="0"/>
        <v>127240</v>
      </c>
      <c r="O23" s="611">
        <f t="shared" si="1"/>
        <v>173239</v>
      </c>
      <c r="P23" s="611">
        <f t="shared" si="2"/>
        <v>219074</v>
      </c>
      <c r="Q23" s="611">
        <f t="shared" si="3"/>
        <v>288391</v>
      </c>
      <c r="R23" s="611">
        <f t="shared" si="4"/>
        <v>357012</v>
      </c>
      <c r="S23" s="150"/>
      <c r="T23" s="95"/>
      <c r="U23" s="95"/>
      <c r="V23" s="222"/>
      <c r="W23" s="222"/>
      <c r="X23" s="222"/>
      <c r="AA23" s="40"/>
      <c r="AB23" s="40"/>
    </row>
    <row r="24" spans="1:28" s="96" customFormat="1" ht="11.7" customHeight="1">
      <c r="A24" s="98"/>
      <c r="D24" s="572" t="s">
        <v>5015</v>
      </c>
      <c r="E24" s="572" t="s">
        <v>6734</v>
      </c>
      <c r="F24" s="573">
        <v>142816</v>
      </c>
      <c r="G24" s="573">
        <v>184662</v>
      </c>
      <c r="H24" s="573">
        <v>220865</v>
      </c>
      <c r="I24" s="573">
        <v>263215</v>
      </c>
      <c r="J24" s="573">
        <v>310038</v>
      </c>
      <c r="L24" s="150" t="s">
        <v>5015</v>
      </c>
      <c r="M24" s="150" t="s">
        <v>6734</v>
      </c>
      <c r="N24" s="611">
        <f t="shared" si="0"/>
        <v>157097</v>
      </c>
      <c r="O24" s="611">
        <f t="shared" si="1"/>
        <v>203128</v>
      </c>
      <c r="P24" s="611">
        <f t="shared" si="2"/>
        <v>242951</v>
      </c>
      <c r="Q24" s="611">
        <f t="shared" si="3"/>
        <v>289536</v>
      </c>
      <c r="R24" s="611">
        <f t="shared" si="4"/>
        <v>341041</v>
      </c>
      <c r="S24" s="150"/>
      <c r="T24" s="95"/>
      <c r="U24" s="95"/>
      <c r="V24" s="222"/>
      <c r="W24" s="222"/>
      <c r="X24" s="222"/>
      <c r="AA24" s="40"/>
      <c r="AB24" s="40"/>
    </row>
    <row r="25" spans="1:28" s="96" customFormat="1" ht="11.7" customHeight="1">
      <c r="A25" s="98"/>
      <c r="D25" s="572" t="s">
        <v>5015</v>
      </c>
      <c r="E25" s="572" t="s">
        <v>1269</v>
      </c>
      <c r="F25" s="573">
        <v>111333</v>
      </c>
      <c r="G25" s="573">
        <v>155866</v>
      </c>
      <c r="H25" s="573">
        <v>200399</v>
      </c>
      <c r="I25" s="573">
        <v>267199</v>
      </c>
      <c r="J25" s="573">
        <v>333999</v>
      </c>
      <c r="L25" s="150" t="s">
        <v>5015</v>
      </c>
      <c r="M25" s="150" t="s">
        <v>1269</v>
      </c>
      <c r="N25" s="611">
        <f t="shared" si="0"/>
        <v>122466</v>
      </c>
      <c r="O25" s="611">
        <f t="shared" si="1"/>
        <v>171452</v>
      </c>
      <c r="P25" s="611">
        <f t="shared" si="2"/>
        <v>220438</v>
      </c>
      <c r="Q25" s="611">
        <f t="shared" si="3"/>
        <v>293918</v>
      </c>
      <c r="R25" s="611">
        <f t="shared" si="4"/>
        <v>367398</v>
      </c>
      <c r="S25" s="150"/>
      <c r="T25" s="95"/>
      <c r="U25" s="95"/>
      <c r="V25" s="222"/>
      <c r="W25" s="222"/>
      <c r="X25" s="222"/>
      <c r="AA25" s="40"/>
      <c r="AB25" s="40"/>
    </row>
    <row r="26" spans="1:28" s="96" customFormat="1" ht="11.7" customHeight="1">
      <c r="A26" s="98"/>
      <c r="D26" s="572" t="s">
        <v>5015</v>
      </c>
      <c r="E26" s="572" t="s">
        <v>1267</v>
      </c>
      <c r="F26" s="573">
        <v>123345</v>
      </c>
      <c r="G26" s="573">
        <v>160923</v>
      </c>
      <c r="H26" s="573">
        <v>194869</v>
      </c>
      <c r="I26" s="573">
        <v>237606</v>
      </c>
      <c r="J26" s="573">
        <v>281429</v>
      </c>
      <c r="L26" s="150" t="s">
        <v>5015</v>
      </c>
      <c r="M26" s="150" t="s">
        <v>1267</v>
      </c>
      <c r="N26" s="611">
        <f t="shared" si="0"/>
        <v>135679</v>
      </c>
      <c r="O26" s="611">
        <f t="shared" si="1"/>
        <v>177015</v>
      </c>
      <c r="P26" s="611">
        <f t="shared" si="2"/>
        <v>214355</v>
      </c>
      <c r="Q26" s="611">
        <f t="shared" si="3"/>
        <v>261366</v>
      </c>
      <c r="R26" s="611">
        <f t="shared" si="4"/>
        <v>309571</v>
      </c>
      <c r="S26" s="150"/>
      <c r="T26" s="95"/>
      <c r="U26" s="95"/>
      <c r="V26" s="222"/>
      <c r="W26" s="222"/>
      <c r="X26" s="222"/>
      <c r="AA26" s="40"/>
      <c r="AB26" s="40"/>
    </row>
    <row r="27" spans="1:28" s="96" customFormat="1" ht="11.7" customHeight="1">
      <c r="A27" s="98"/>
      <c r="D27" s="572" t="s">
        <v>5015</v>
      </c>
      <c r="E27" s="572" t="s">
        <v>1268</v>
      </c>
      <c r="F27" s="573">
        <v>110658</v>
      </c>
      <c r="G27" s="573">
        <v>150909</v>
      </c>
      <c r="H27" s="573">
        <v>191026</v>
      </c>
      <c r="I27" s="573">
        <v>251664</v>
      </c>
      <c r="J27" s="573">
        <v>311733</v>
      </c>
      <c r="L27" s="150" t="s">
        <v>5015</v>
      </c>
      <c r="M27" s="150" t="s">
        <v>1268</v>
      </c>
      <c r="N27" s="611">
        <f t="shared" si="0"/>
        <v>121723</v>
      </c>
      <c r="O27" s="611">
        <f t="shared" si="1"/>
        <v>165999</v>
      </c>
      <c r="P27" s="611">
        <f t="shared" si="2"/>
        <v>210128</v>
      </c>
      <c r="Q27" s="611">
        <f t="shared" si="3"/>
        <v>276830</v>
      </c>
      <c r="R27" s="611">
        <f t="shared" si="4"/>
        <v>342906</v>
      </c>
      <c r="S27" s="150"/>
      <c r="T27" s="95"/>
      <c r="U27" s="95"/>
      <c r="V27" s="222"/>
      <c r="W27" s="222"/>
      <c r="X27" s="222"/>
      <c r="AA27" s="40"/>
      <c r="AB27" s="40"/>
    </row>
    <row r="28" spans="1:28" s="96" customFormat="1" ht="11.7" customHeight="1">
      <c r="A28" s="98"/>
      <c r="D28" s="574" t="s">
        <v>4888</v>
      </c>
      <c r="E28" s="574" t="s">
        <v>6734</v>
      </c>
      <c r="F28" s="575">
        <v>145346</v>
      </c>
      <c r="G28" s="575">
        <v>188013</v>
      </c>
      <c r="H28" s="575">
        <v>224927</v>
      </c>
      <c r="I28" s="575">
        <v>268137</v>
      </c>
      <c r="J28" s="575">
        <v>315913</v>
      </c>
      <c r="L28" s="315" t="s">
        <v>4888</v>
      </c>
      <c r="M28" s="315" t="s">
        <v>6734</v>
      </c>
      <c r="N28" s="611">
        <f t="shared" si="0"/>
        <v>159880</v>
      </c>
      <c r="O28" s="611">
        <f t="shared" si="1"/>
        <v>206814</v>
      </c>
      <c r="P28" s="611">
        <f t="shared" si="2"/>
        <v>247419</v>
      </c>
      <c r="Q28" s="611">
        <f t="shared" si="3"/>
        <v>294950</v>
      </c>
      <c r="R28" s="611">
        <f t="shared" si="4"/>
        <v>347504</v>
      </c>
      <c r="S28" s="150"/>
      <c r="T28" s="95"/>
      <c r="U28" s="95"/>
      <c r="V28" s="222"/>
      <c r="W28" s="222"/>
      <c r="X28" s="222"/>
      <c r="AA28" s="40"/>
      <c r="AB28" s="40"/>
    </row>
    <row r="29" spans="1:28" s="96" customFormat="1" ht="11.7" customHeight="1">
      <c r="A29" s="98"/>
      <c r="D29" s="574" t="s">
        <v>4888</v>
      </c>
      <c r="E29" s="574" t="s">
        <v>1269</v>
      </c>
      <c r="F29" s="575">
        <v>113288</v>
      </c>
      <c r="G29" s="575">
        <v>158603</v>
      </c>
      <c r="H29" s="575">
        <v>203918</v>
      </c>
      <c r="I29" s="575">
        <v>271890</v>
      </c>
      <c r="J29" s="575">
        <v>339863</v>
      </c>
      <c r="L29" s="315" t="s">
        <v>4888</v>
      </c>
      <c r="M29" s="315" t="s">
        <v>1269</v>
      </c>
      <c r="N29" s="611">
        <f t="shared" si="0"/>
        <v>124616</v>
      </c>
      <c r="O29" s="611">
        <f t="shared" si="1"/>
        <v>174463</v>
      </c>
      <c r="P29" s="611">
        <f t="shared" si="2"/>
        <v>224309</v>
      </c>
      <c r="Q29" s="611">
        <f t="shared" si="3"/>
        <v>299079</v>
      </c>
      <c r="R29" s="611">
        <f t="shared" si="4"/>
        <v>373849</v>
      </c>
      <c r="S29" s="150"/>
      <c r="T29" s="95"/>
      <c r="U29" s="95"/>
      <c r="V29" s="222"/>
      <c r="W29" s="222"/>
      <c r="X29" s="222"/>
      <c r="AA29" s="40"/>
      <c r="AB29" s="40"/>
    </row>
    <row r="30" spans="1:28" s="96" customFormat="1" ht="11.7" customHeight="1">
      <c r="A30" s="98"/>
      <c r="D30" s="574" t="s">
        <v>4888</v>
      </c>
      <c r="E30" s="574" t="s">
        <v>1267</v>
      </c>
      <c r="F30" s="575">
        <v>125163</v>
      </c>
      <c r="G30" s="575">
        <v>163405</v>
      </c>
      <c r="H30" s="575">
        <v>197979</v>
      </c>
      <c r="I30" s="575">
        <v>241592</v>
      </c>
      <c r="J30" s="575">
        <v>286257</v>
      </c>
      <c r="L30" s="315" t="s">
        <v>4888</v>
      </c>
      <c r="M30" s="315" t="s">
        <v>1267</v>
      </c>
      <c r="N30" s="611">
        <f t="shared" si="0"/>
        <v>137679</v>
      </c>
      <c r="O30" s="611">
        <f t="shared" si="1"/>
        <v>179745</v>
      </c>
      <c r="P30" s="611">
        <f t="shared" si="2"/>
        <v>217776</v>
      </c>
      <c r="Q30" s="611">
        <f t="shared" si="3"/>
        <v>265751</v>
      </c>
      <c r="R30" s="611">
        <f t="shared" si="4"/>
        <v>314882</v>
      </c>
      <c r="S30" s="150"/>
      <c r="T30" s="95"/>
      <c r="U30" s="95"/>
      <c r="V30" s="222"/>
      <c r="W30" s="222"/>
      <c r="X30" s="222"/>
      <c r="AA30" s="40"/>
      <c r="AB30" s="40"/>
    </row>
    <row r="31" spans="1:28" s="96" customFormat="1" ht="11.7" customHeight="1">
      <c r="A31" s="98"/>
      <c r="D31" s="574" t="s">
        <v>4888</v>
      </c>
      <c r="E31" s="574" t="s">
        <v>1268</v>
      </c>
      <c r="F31" s="575">
        <v>112036</v>
      </c>
      <c r="G31" s="575">
        <v>152693</v>
      </c>
      <c r="H31" s="575">
        <v>193210</v>
      </c>
      <c r="I31" s="575">
        <v>254464</v>
      </c>
      <c r="J31" s="575">
        <v>315128</v>
      </c>
      <c r="L31" s="315" t="s">
        <v>4888</v>
      </c>
      <c r="M31" s="315" t="s">
        <v>1268</v>
      </c>
      <c r="N31" s="611">
        <f t="shared" si="0"/>
        <v>123239</v>
      </c>
      <c r="O31" s="611">
        <f t="shared" si="1"/>
        <v>167962</v>
      </c>
      <c r="P31" s="611">
        <f t="shared" si="2"/>
        <v>212531</v>
      </c>
      <c r="Q31" s="611">
        <f t="shared" si="3"/>
        <v>279910</v>
      </c>
      <c r="R31" s="611">
        <f t="shared" si="4"/>
        <v>346640</v>
      </c>
      <c r="S31" s="150"/>
      <c r="T31" s="95"/>
      <c r="U31" s="95"/>
      <c r="V31" s="222"/>
      <c r="W31" s="222"/>
      <c r="X31" s="222"/>
      <c r="AA31" s="40"/>
      <c r="AB31" s="40"/>
    </row>
    <row r="32" spans="1:28" s="96" customFormat="1" ht="11.7" customHeight="1">
      <c r="A32" s="98"/>
      <c r="D32" s="566" t="s">
        <v>4859</v>
      </c>
      <c r="E32" s="566" t="s">
        <v>6734</v>
      </c>
      <c r="F32" s="567">
        <v>148008</v>
      </c>
      <c r="G32" s="567">
        <v>191377</v>
      </c>
      <c r="H32" s="567">
        <v>228898</v>
      </c>
      <c r="I32" s="567">
        <v>272788</v>
      </c>
      <c r="J32" s="567">
        <v>321315</v>
      </c>
      <c r="L32" s="315" t="s">
        <v>4859</v>
      </c>
      <c r="M32" s="315" t="s">
        <v>6734</v>
      </c>
      <c r="N32" s="611">
        <f t="shared" si="0"/>
        <v>162808</v>
      </c>
      <c r="O32" s="611">
        <f t="shared" si="1"/>
        <v>210514</v>
      </c>
      <c r="P32" s="611">
        <f t="shared" si="2"/>
        <v>251787</v>
      </c>
      <c r="Q32" s="611">
        <f t="shared" si="3"/>
        <v>300066</v>
      </c>
      <c r="R32" s="611">
        <f t="shared" si="4"/>
        <v>353446</v>
      </c>
      <c r="S32" s="150"/>
      <c r="T32" s="95"/>
      <c r="U32" s="95"/>
      <c r="V32" s="222"/>
      <c r="W32" s="222"/>
      <c r="X32" s="222"/>
      <c r="AA32" s="40"/>
      <c r="AB32" s="40"/>
    </row>
    <row r="33" spans="1:295" s="96" customFormat="1" ht="11.7" customHeight="1">
      <c r="A33" s="98"/>
      <c r="D33" s="566" t="s">
        <v>4859</v>
      </c>
      <c r="E33" s="566" t="s">
        <v>1269</v>
      </c>
      <c r="F33" s="567">
        <v>115381</v>
      </c>
      <c r="G33" s="567">
        <v>161533</v>
      </c>
      <c r="H33" s="567">
        <v>207685</v>
      </c>
      <c r="I33" s="567">
        <v>276913</v>
      </c>
      <c r="J33" s="567">
        <v>346142</v>
      </c>
      <c r="L33" s="315" t="s">
        <v>4859</v>
      </c>
      <c r="M33" s="315" t="s">
        <v>1269</v>
      </c>
      <c r="N33" s="611">
        <f t="shared" si="0"/>
        <v>126919</v>
      </c>
      <c r="O33" s="611">
        <f t="shared" si="1"/>
        <v>177686</v>
      </c>
      <c r="P33" s="611">
        <f t="shared" si="2"/>
        <v>228453</v>
      </c>
      <c r="Q33" s="611">
        <f t="shared" si="3"/>
        <v>304604</v>
      </c>
      <c r="R33" s="611">
        <f t="shared" si="4"/>
        <v>380756</v>
      </c>
      <c r="S33" s="150"/>
      <c r="T33" s="95"/>
      <c r="U33" s="95"/>
      <c r="V33" s="222"/>
      <c r="W33" s="222"/>
      <c r="X33" s="222"/>
      <c r="AA33" s="40"/>
      <c r="AB33" s="40"/>
    </row>
    <row r="34" spans="1:295" s="96" customFormat="1" ht="11.7" customHeight="1">
      <c r="A34" s="98"/>
      <c r="D34" s="566" t="s">
        <v>4859</v>
      </c>
      <c r="E34" s="566" t="s">
        <v>1267</v>
      </c>
      <c r="F34" s="567">
        <v>127825</v>
      </c>
      <c r="G34" s="567">
        <v>166769</v>
      </c>
      <c r="H34" s="567">
        <v>201950</v>
      </c>
      <c r="I34" s="567">
        <v>246243</v>
      </c>
      <c r="J34" s="567">
        <v>291659</v>
      </c>
      <c r="L34" s="315" t="s">
        <v>4859</v>
      </c>
      <c r="M34" s="315" t="s">
        <v>1267</v>
      </c>
      <c r="N34" s="611">
        <f t="shared" si="0"/>
        <v>140607</v>
      </c>
      <c r="O34" s="611">
        <f t="shared" si="1"/>
        <v>183445</v>
      </c>
      <c r="P34" s="611">
        <f t="shared" si="2"/>
        <v>222145</v>
      </c>
      <c r="Q34" s="611">
        <f t="shared" si="3"/>
        <v>270867</v>
      </c>
      <c r="R34" s="611">
        <f t="shared" si="4"/>
        <v>320824</v>
      </c>
      <c r="S34" s="150"/>
      <c r="T34" s="95"/>
      <c r="U34" s="95"/>
      <c r="V34" s="222"/>
      <c r="W34" s="222"/>
      <c r="X34" s="222"/>
      <c r="AA34" s="40"/>
      <c r="AB34" s="40"/>
    </row>
    <row r="35" spans="1:295" s="96" customFormat="1" ht="11.7" customHeight="1">
      <c r="A35" s="98"/>
      <c r="D35" s="566" t="s">
        <v>4859</v>
      </c>
      <c r="E35" s="566" t="s">
        <v>1268</v>
      </c>
      <c r="F35" s="567">
        <v>114674</v>
      </c>
      <c r="G35" s="567">
        <v>156385</v>
      </c>
      <c r="H35" s="567">
        <v>197957</v>
      </c>
      <c r="I35" s="567">
        <v>260794</v>
      </c>
      <c r="J35" s="567">
        <v>323041</v>
      </c>
      <c r="L35" s="315" t="s">
        <v>4859</v>
      </c>
      <c r="M35" s="315" t="s">
        <v>1268</v>
      </c>
      <c r="N35" s="611">
        <f t="shared" si="0"/>
        <v>126141</v>
      </c>
      <c r="O35" s="611">
        <f t="shared" si="1"/>
        <v>172023</v>
      </c>
      <c r="P35" s="611">
        <f t="shared" si="2"/>
        <v>217752</v>
      </c>
      <c r="Q35" s="611">
        <f t="shared" si="3"/>
        <v>286873</v>
      </c>
      <c r="R35" s="611">
        <f t="shared" si="4"/>
        <v>355345</v>
      </c>
      <c r="S35" s="150"/>
      <c r="T35" s="95"/>
      <c r="U35" s="95"/>
      <c r="V35" s="222"/>
      <c r="W35" s="222"/>
      <c r="X35" s="222"/>
      <c r="AA35" s="40"/>
      <c r="AB35" s="40"/>
    </row>
    <row r="36" spans="1:295" s="96" customFormat="1" ht="11.7" customHeight="1">
      <c r="A36" s="98"/>
      <c r="D36" s="570" t="s">
        <v>2143</v>
      </c>
      <c r="E36" s="570" t="s">
        <v>6734</v>
      </c>
      <c r="F36" s="571">
        <v>135717</v>
      </c>
      <c r="G36" s="571">
        <v>175691</v>
      </c>
      <c r="H36" s="571">
        <v>210278</v>
      </c>
      <c r="I36" s="571">
        <v>250813</v>
      </c>
      <c r="J36" s="571">
        <v>295633</v>
      </c>
      <c r="L36" s="315" t="s">
        <v>2143</v>
      </c>
      <c r="M36" s="315" t="s">
        <v>6734</v>
      </c>
      <c r="N36" s="611">
        <f t="shared" si="0"/>
        <v>149288</v>
      </c>
      <c r="O36" s="611">
        <f t="shared" si="1"/>
        <v>193260</v>
      </c>
      <c r="P36" s="611">
        <f t="shared" si="2"/>
        <v>231305</v>
      </c>
      <c r="Q36" s="611">
        <f t="shared" si="3"/>
        <v>275894</v>
      </c>
      <c r="R36" s="611">
        <f t="shared" si="4"/>
        <v>325196</v>
      </c>
      <c r="S36" s="150"/>
      <c r="T36" s="95"/>
      <c r="U36" s="95"/>
      <c r="V36" s="222"/>
      <c r="W36" s="222"/>
      <c r="X36" s="222"/>
      <c r="AA36" s="40"/>
      <c r="AB36" s="40"/>
    </row>
    <row r="37" spans="1:295" s="96" customFormat="1" ht="11.7" customHeight="1">
      <c r="A37" s="98"/>
      <c r="D37" s="570" t="s">
        <v>2143</v>
      </c>
      <c r="E37" s="570" t="s">
        <v>1269</v>
      </c>
      <c r="F37" s="571">
        <v>105752</v>
      </c>
      <c r="G37" s="571">
        <v>148052</v>
      </c>
      <c r="H37" s="571">
        <v>190353</v>
      </c>
      <c r="I37" s="571">
        <v>253804</v>
      </c>
      <c r="J37" s="571">
        <v>317255</v>
      </c>
      <c r="L37" s="315" t="s">
        <v>2143</v>
      </c>
      <c r="M37" s="315" t="s">
        <v>1269</v>
      </c>
      <c r="N37" s="611">
        <f t="shared" si="0"/>
        <v>116327</v>
      </c>
      <c r="O37" s="611">
        <f t="shared" si="1"/>
        <v>162857</v>
      </c>
      <c r="P37" s="611">
        <f t="shared" si="2"/>
        <v>209388</v>
      </c>
      <c r="Q37" s="611">
        <f t="shared" si="3"/>
        <v>279184</v>
      </c>
      <c r="R37" s="611">
        <f t="shared" si="4"/>
        <v>348980</v>
      </c>
      <c r="S37" s="150"/>
      <c r="T37" s="95"/>
      <c r="U37" s="95"/>
      <c r="V37" s="222"/>
      <c r="W37" s="222"/>
      <c r="X37" s="222"/>
      <c r="AA37" s="40"/>
      <c r="AB37" s="40"/>
    </row>
    <row r="38" spans="1:295" s="96" customFormat="1" ht="11.7" customHeight="1">
      <c r="A38" s="98"/>
      <c r="D38" s="570" t="s">
        <v>2143</v>
      </c>
      <c r="E38" s="570" t="s">
        <v>1267</v>
      </c>
      <c r="F38" s="571">
        <v>116246</v>
      </c>
      <c r="G38" s="571">
        <v>151952</v>
      </c>
      <c r="H38" s="571">
        <v>184281</v>
      </c>
      <c r="I38" s="571">
        <v>225204</v>
      </c>
      <c r="J38" s="571">
        <v>267023</v>
      </c>
      <c r="L38" s="315" t="s">
        <v>2143</v>
      </c>
      <c r="M38" s="315" t="s">
        <v>1267</v>
      </c>
      <c r="N38" s="611">
        <f t="shared" si="0"/>
        <v>127870</v>
      </c>
      <c r="O38" s="611">
        <f t="shared" si="1"/>
        <v>167147</v>
      </c>
      <c r="P38" s="611">
        <f t="shared" si="2"/>
        <v>202709</v>
      </c>
      <c r="Q38" s="611">
        <f t="shared" si="3"/>
        <v>247724</v>
      </c>
      <c r="R38" s="611">
        <f t="shared" si="4"/>
        <v>293725</v>
      </c>
      <c r="S38" s="150"/>
      <c r="T38" s="95"/>
      <c r="U38" s="95"/>
      <c r="V38" s="222"/>
      <c r="W38" s="222"/>
      <c r="X38" s="222"/>
      <c r="AA38" s="40"/>
      <c r="AB38" s="40"/>
    </row>
    <row r="39" spans="1:295" s="96" customFormat="1" ht="11.7" customHeight="1">
      <c r="A39" s="98"/>
      <c r="D39" s="570" t="s">
        <v>2143</v>
      </c>
      <c r="E39" s="570" t="s">
        <v>1268</v>
      </c>
      <c r="F39" s="571">
        <v>103624</v>
      </c>
      <c r="G39" s="571">
        <v>141062</v>
      </c>
      <c r="H39" s="571">
        <v>178366</v>
      </c>
      <c r="I39" s="571">
        <v>234784</v>
      </c>
      <c r="J39" s="571">
        <v>290632</v>
      </c>
      <c r="L39" s="315" t="s">
        <v>2143</v>
      </c>
      <c r="M39" s="315" t="s">
        <v>1268</v>
      </c>
      <c r="N39" s="611">
        <f t="shared" si="0"/>
        <v>113986</v>
      </c>
      <c r="O39" s="611">
        <f t="shared" si="1"/>
        <v>155168</v>
      </c>
      <c r="P39" s="611">
        <f t="shared" si="2"/>
        <v>196202</v>
      </c>
      <c r="Q39" s="611">
        <f t="shared" si="3"/>
        <v>258262</v>
      </c>
      <c r="R39" s="611">
        <f t="shared" si="4"/>
        <v>319695</v>
      </c>
      <c r="S39" s="150"/>
      <c r="T39" s="95"/>
      <c r="U39" s="95"/>
      <c r="V39" s="222"/>
      <c r="W39" s="222"/>
      <c r="X39" s="222"/>
      <c r="AA39" s="40"/>
      <c r="AB39" s="40"/>
    </row>
    <row r="40" spans="1:295" s="96" customFormat="1" ht="3" customHeight="1">
      <c r="A40" s="98"/>
      <c r="B40" s="98"/>
      <c r="C40" s="98"/>
      <c r="D40" s="98"/>
      <c r="E40" s="95"/>
      <c r="F40" s="98"/>
      <c r="G40" s="98"/>
      <c r="H40" s="145"/>
      <c r="I40" s="95"/>
      <c r="J40" s="98"/>
      <c r="K40" s="2611"/>
      <c r="L40" s="2611"/>
      <c r="M40" s="2611"/>
      <c r="N40" s="2611"/>
      <c r="O40" s="98"/>
      <c r="P40" s="95"/>
      <c r="Q40" s="144"/>
      <c r="R40" s="144"/>
      <c r="S40" s="95"/>
      <c r="T40" s="95"/>
      <c r="U40" s="95"/>
      <c r="AA40" s="40"/>
      <c r="AB40" s="40"/>
    </row>
    <row r="42" spans="1:295">
      <c r="A42" s="1224" t="s">
        <v>6735</v>
      </c>
      <c r="B42" s="1225"/>
      <c r="C42" s="1225"/>
    </row>
    <row r="44" spans="1:295" s="12" customFormat="1" ht="12.75" customHeight="1">
      <c r="A44" s="2521" t="s">
        <v>25</v>
      </c>
      <c r="B44" s="3" t="s">
        <v>1454</v>
      </c>
      <c r="C44" s="3"/>
      <c r="D44" s="3"/>
      <c r="E44" s="2586"/>
      <c r="F44" s="77"/>
      <c r="G44" s="344"/>
      <c r="H44" s="344"/>
      <c r="I44" s="344"/>
      <c r="J44" s="43"/>
      <c r="K44" s="77"/>
      <c r="L44" s="345"/>
      <c r="M44" s="345"/>
      <c r="N44" s="345"/>
      <c r="O44" s="66" t="s">
        <v>1451</v>
      </c>
      <c r="P44" s="4382"/>
      <c r="Q44" s="4383"/>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c r="JT44" s="77"/>
      <c r="JU44" s="77"/>
      <c r="JV44" s="77"/>
      <c r="JW44" s="77"/>
      <c r="JX44" s="77"/>
      <c r="JY44" s="77"/>
      <c r="JZ44" s="77"/>
      <c r="KA44" s="77"/>
      <c r="KB44" s="77"/>
      <c r="KC44" s="77"/>
      <c r="KD44" s="77"/>
      <c r="KE44" s="77"/>
      <c r="KF44" s="77"/>
      <c r="KG44" s="77"/>
      <c r="KH44" s="77"/>
      <c r="KI44" s="77"/>
    </row>
    <row r="45" spans="1:295" s="12" customFormat="1" ht="11.25" customHeight="1">
      <c r="A45" s="4573"/>
      <c r="B45" s="4573"/>
      <c r="C45" s="4573"/>
      <c r="D45" s="4573"/>
      <c r="E45" s="4573"/>
      <c r="F45" s="860"/>
      <c r="G45" s="4586" t="s">
        <v>6736</v>
      </c>
      <c r="H45" s="4587"/>
      <c r="I45" s="38"/>
      <c r="J45" s="43"/>
      <c r="K45" s="4588" t="s">
        <v>6737</v>
      </c>
      <c r="L45" s="4589"/>
      <c r="M45" s="4589"/>
      <c r="N45" s="4590"/>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c r="JT45" s="77"/>
      <c r="JU45" s="77"/>
      <c r="JV45" s="77"/>
      <c r="JW45" s="77"/>
      <c r="JX45" s="77"/>
      <c r="JY45" s="77"/>
      <c r="JZ45" s="77"/>
      <c r="KA45" s="77"/>
      <c r="KB45" s="77"/>
      <c r="KC45" s="77"/>
      <c r="KD45" s="77"/>
      <c r="KE45" s="77"/>
      <c r="KF45" s="77"/>
      <c r="KG45" s="77"/>
      <c r="KH45" s="77"/>
      <c r="KI45" s="77"/>
    </row>
    <row r="46" spans="1:295" s="12" customFormat="1" ht="11.25" customHeight="1">
      <c r="A46" s="4573"/>
      <c r="B46" s="4573"/>
      <c r="C46" s="4573"/>
      <c r="D46" s="4573"/>
      <c r="E46" s="4573"/>
      <c r="F46" s="860"/>
      <c r="G46" s="4591" t="s">
        <v>6738</v>
      </c>
      <c r="H46" s="4592"/>
      <c r="I46" s="38"/>
      <c r="J46" s="43"/>
      <c r="K46" s="4566" t="s">
        <v>6739</v>
      </c>
      <c r="L46" s="4567"/>
      <c r="M46" s="4567"/>
      <c r="N46" s="4568"/>
      <c r="O46" s="77"/>
      <c r="P46" s="292" t="s">
        <v>6740</v>
      </c>
      <c r="Q46" s="2900"/>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c r="JT46" s="77"/>
      <c r="JU46" s="77"/>
      <c r="JV46" s="77"/>
      <c r="JW46" s="77"/>
      <c r="JX46" s="77"/>
      <c r="JY46" s="77"/>
      <c r="JZ46" s="77"/>
      <c r="KA46" s="77"/>
      <c r="KB46" s="77"/>
      <c r="KC46" s="77"/>
      <c r="KD46" s="77"/>
      <c r="KE46" s="77"/>
      <c r="KF46" s="77"/>
      <c r="KG46" s="77"/>
      <c r="KH46" s="77"/>
      <c r="KI46" s="77"/>
    </row>
    <row r="47" spans="1:295" s="12" customFormat="1" ht="4.5" customHeight="1">
      <c r="A47" s="860"/>
      <c r="B47" s="860"/>
      <c r="C47" s="860"/>
      <c r="D47" s="860"/>
      <c r="E47" s="860"/>
      <c r="F47" s="860"/>
      <c r="G47" s="38"/>
      <c r="H47" s="38"/>
      <c r="I47" s="38"/>
      <c r="J47" s="43"/>
      <c r="K47" s="4434"/>
      <c r="L47" s="4434"/>
      <c r="M47" s="4434"/>
      <c r="N47" s="4434"/>
      <c r="O47" s="77"/>
      <c r="P47" s="4571" t="s">
        <v>6741</v>
      </c>
      <c r="Q47" s="4571"/>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c r="JN47" s="77"/>
      <c r="JO47" s="77"/>
      <c r="JP47" s="77"/>
      <c r="JQ47" s="77"/>
      <c r="JR47" s="77"/>
      <c r="JS47" s="77"/>
      <c r="JT47" s="77"/>
      <c r="JU47" s="77"/>
      <c r="JV47" s="77"/>
      <c r="JW47" s="77"/>
      <c r="JX47" s="77"/>
      <c r="JY47" s="77"/>
      <c r="JZ47" s="77"/>
      <c r="KA47" s="77"/>
      <c r="KB47" s="77"/>
      <c r="KC47" s="77"/>
      <c r="KD47" s="77"/>
      <c r="KE47" s="77"/>
      <c r="KF47" s="77"/>
      <c r="KG47" s="77"/>
      <c r="KH47" s="77"/>
      <c r="KI47" s="77"/>
    </row>
    <row r="48" spans="1:295" s="35" customFormat="1" ht="10.5" customHeight="1">
      <c r="D48" s="347" t="s">
        <v>1330</v>
      </c>
      <c r="E48" s="77"/>
      <c r="F48" s="348" t="s">
        <v>6742</v>
      </c>
      <c r="G48" s="4561" t="s">
        <v>6743</v>
      </c>
      <c r="H48" s="4561"/>
      <c r="I48" s="4561"/>
      <c r="J48" s="77"/>
      <c r="K48" s="348" t="s">
        <v>6742</v>
      </c>
      <c r="L48" s="4561" t="s">
        <v>6744</v>
      </c>
      <c r="M48" s="4561"/>
      <c r="N48" s="4561"/>
      <c r="O48" s="77"/>
      <c r="P48" s="4571"/>
      <c r="Q48" s="4571"/>
      <c r="R48" s="225"/>
      <c r="U48" s="77"/>
      <c r="V48" s="253"/>
      <c r="W48" s="253"/>
      <c r="X48" s="254"/>
      <c r="Y48" s="253"/>
      <c r="Z48" s="256"/>
      <c r="AA48" s="257"/>
      <c r="AB48" s="257"/>
      <c r="AC48" s="257"/>
      <c r="AD48" s="257"/>
      <c r="AE48" s="257"/>
      <c r="AF48" s="257"/>
      <c r="AG48" s="251"/>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1"/>
      <c r="CR48" s="251"/>
      <c r="CS48" s="251"/>
      <c r="CT48" s="251"/>
      <c r="CU48" s="251"/>
      <c r="CV48" s="251"/>
      <c r="CW48" s="251"/>
      <c r="CX48" s="251"/>
      <c r="CY48" s="251"/>
      <c r="CZ48" s="251"/>
      <c r="DA48" s="251"/>
      <c r="DB48" s="251"/>
      <c r="DC48" s="251"/>
      <c r="DD48" s="251"/>
      <c r="DE48" s="251"/>
      <c r="DF48" s="251"/>
      <c r="DG48" s="251"/>
      <c r="DH48" s="251"/>
      <c r="DI48" s="251"/>
      <c r="DJ48" s="251"/>
      <c r="DK48" s="251"/>
      <c r="DL48" s="251"/>
      <c r="DM48" s="251"/>
      <c r="DN48" s="251"/>
      <c r="DO48" s="251"/>
      <c r="DP48" s="251"/>
      <c r="DQ48" s="251"/>
      <c r="DR48" s="251"/>
      <c r="DS48" s="251"/>
      <c r="DT48" s="251"/>
      <c r="DU48" s="251"/>
      <c r="DV48" s="251"/>
      <c r="DW48" s="251"/>
      <c r="DX48" s="251"/>
      <c r="DY48" s="251"/>
      <c r="DZ48" s="251"/>
      <c r="EA48" s="251"/>
      <c r="EB48" s="251"/>
      <c r="EC48" s="251"/>
      <c r="ED48" s="251"/>
      <c r="EE48" s="251"/>
      <c r="EF48" s="251"/>
      <c r="EG48" s="251"/>
      <c r="EH48" s="251"/>
      <c r="EI48" s="251"/>
      <c r="EJ48" s="251"/>
      <c r="EK48" s="251"/>
      <c r="EL48" s="251"/>
      <c r="EM48" s="251"/>
      <c r="EN48" s="251"/>
      <c r="EO48" s="251"/>
      <c r="EP48" s="251"/>
      <c r="EQ48" s="251"/>
      <c r="ER48" s="251"/>
      <c r="ES48" s="251"/>
      <c r="ET48" s="251"/>
      <c r="EU48" s="251"/>
      <c r="EV48" s="251"/>
      <c r="EW48" s="251"/>
      <c r="EX48" s="251"/>
      <c r="EY48" s="251"/>
      <c r="EZ48" s="251"/>
      <c r="FA48" s="251"/>
      <c r="FB48" s="251"/>
      <c r="FC48" s="251"/>
      <c r="FD48" s="251"/>
      <c r="FE48" s="251"/>
      <c r="FF48" s="251"/>
      <c r="FG48" s="251"/>
      <c r="FH48" s="251"/>
      <c r="FI48" s="251"/>
      <c r="FJ48" s="251"/>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5"/>
      <c r="IK48" s="255"/>
      <c r="IL48" s="251"/>
      <c r="IM48" s="251"/>
      <c r="IN48" s="251"/>
      <c r="IO48" s="251"/>
      <c r="IP48" s="251"/>
      <c r="IQ48" s="251"/>
      <c r="IR48" s="251"/>
      <c r="IS48" s="251"/>
      <c r="IT48" s="251"/>
      <c r="IU48" s="251"/>
      <c r="IV48" s="251"/>
      <c r="IW48" s="251"/>
      <c r="IX48" s="251"/>
      <c r="IY48" s="251"/>
      <c r="IZ48" s="251"/>
      <c r="JA48" s="255"/>
      <c r="JB48" s="251"/>
      <c r="JC48" s="251"/>
      <c r="JD48" s="77"/>
      <c r="JE48" s="77"/>
      <c r="JF48" s="77"/>
      <c r="JG48" s="77"/>
      <c r="JH48" s="77"/>
      <c r="JI48" s="77"/>
      <c r="JJ48" s="77"/>
      <c r="JK48" s="77"/>
      <c r="JL48" s="77"/>
      <c r="JM48" s="77"/>
      <c r="JN48" s="77"/>
      <c r="JO48" s="77"/>
      <c r="JP48" s="77"/>
      <c r="JQ48" s="77"/>
      <c r="JR48" s="77"/>
      <c r="JS48" s="77"/>
      <c r="JT48" s="77"/>
      <c r="JU48" s="77"/>
      <c r="JV48" s="77"/>
      <c r="JW48" s="77"/>
      <c r="JX48" s="77"/>
      <c r="JY48" s="77"/>
      <c r="JZ48" s="77"/>
      <c r="KA48" s="77"/>
      <c r="KB48" s="77"/>
      <c r="KC48" s="77"/>
      <c r="KD48" s="77"/>
      <c r="KE48" s="77"/>
      <c r="KF48" s="77"/>
      <c r="KG48" s="77"/>
      <c r="KH48" s="77"/>
      <c r="KI48" s="77"/>
    </row>
    <row r="49" spans="1:295" s="35" customFormat="1" ht="12" customHeight="1">
      <c r="A49" s="4565" t="s">
        <v>6734</v>
      </c>
      <c r="B49" s="4565"/>
      <c r="C49" s="4565"/>
      <c r="D49" s="483" t="s">
        <v>772</v>
      </c>
      <c r="E49" s="484">
        <v>0</v>
      </c>
      <c r="F49" s="858" t="e">
        <f>IF(#REF! =0,"",#REF!)</f>
        <v>#REF!</v>
      </c>
      <c r="G49" s="485" t="e">
        <f>IF('Part VIII Scoring Criteria OLD'!$O$113='Part VIII Scoring Criteria OLD'!$M$113,$L49,
IF($P$50="Albany",VLOOKUP($A$49,'Cost Limits Threshold, Assumpt '!$E$4:$J$7,$E49+2),
IF($P$50="Athens",VLOOKUP($A$49,'Cost Limits Threshold, Assumpt '!$E$8:$J$11,$E49+2),
IF($P$50="Atlanta",VLOOKUP($A$49,'Cost Limits Threshold, Assumpt '!$E$12:$J$15,$E49+2),
IF($P$50="Augusta",VLOOKUP($A$49,'Cost Limits Threshold, Assumpt '!$E$16:$J$19,$E49+2),
IF($P$50="Chattanooga",VLOOKUP($A$49,'Cost Limits Threshold, Assumpt '!$E$20:$J$23,$E49+2),
IF($P$50="Columbus",VLOOKUP($A$49,'Cost Limits Threshold, Assumpt '!$E$24:$J$27,$E49+2),
IF($P$50="Macon",VLOOKUP($A$49,'Cost Limits Threshold, Assumpt '!$E$28:$J$31,$E49+2),
IF($P$50="Savannah",VLOOKUP($A$49,'Cost Limits Threshold, Assumpt '!$E$32:$J$35,$E49+2),
VLOOKUP($A$49,'Cost Limits Threshold, Assumpt '!$E$36:$J$39,$E49+2))))))))))*(1+#REF!)</f>
        <v>#REF!</v>
      </c>
      <c r="H49" s="16" t="e">
        <f>CONCATENATE("x ", F49," units = ")</f>
        <v>#REF!</v>
      </c>
      <c r="I49" s="859" t="e">
        <f>IF(F49="","",F49*G49)</f>
        <v>#REF!</v>
      </c>
      <c r="J49" s="43"/>
      <c r="K49" s="858" t="e">
        <f>IF(#REF! =0,"",#REF!)</f>
        <v>#REF!</v>
      </c>
      <c r="L49" s="485" t="e">
        <f>G49*(1+#REF!)</f>
        <v>#REF!</v>
      </c>
      <c r="M49" s="16" t="e">
        <f>CONCATENATE("x ", K49," units = ")</f>
        <v>#REF!</v>
      </c>
      <c r="N49" s="859" t="e">
        <f>IF(K49="","",K49*L49)</f>
        <v>#REF!</v>
      </c>
      <c r="O49" s="2586"/>
      <c r="P49" s="4572"/>
      <c r="Q49" s="4572"/>
      <c r="R49" s="225"/>
      <c r="U49" s="77"/>
      <c r="V49" s="253"/>
      <c r="W49" s="253"/>
      <c r="X49" s="254"/>
      <c r="Y49" s="253"/>
      <c r="Z49" s="256"/>
      <c r="AA49" s="257"/>
      <c r="AB49" s="257"/>
      <c r="AC49" s="257"/>
      <c r="AD49" s="257"/>
      <c r="AE49" s="257"/>
      <c r="AF49" s="257"/>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1"/>
      <c r="CR49" s="251"/>
      <c r="CS49" s="251"/>
      <c r="CT49" s="251"/>
      <c r="CU49" s="251"/>
      <c r="CV49" s="251"/>
      <c r="CW49" s="251"/>
      <c r="CX49" s="251"/>
      <c r="CY49" s="251"/>
      <c r="CZ49" s="251"/>
      <c r="DA49" s="251"/>
      <c r="DB49" s="251"/>
      <c r="DC49" s="251"/>
      <c r="DD49" s="251"/>
      <c r="DE49" s="251"/>
      <c r="DF49" s="251"/>
      <c r="DG49" s="251"/>
      <c r="DH49" s="251"/>
      <c r="DI49" s="251"/>
      <c r="DJ49" s="251"/>
      <c r="DK49" s="251"/>
      <c r="DL49" s="251"/>
      <c r="DM49" s="251"/>
      <c r="DN49" s="251"/>
      <c r="DO49" s="251"/>
      <c r="DP49" s="251"/>
      <c r="DQ49" s="251"/>
      <c r="DR49" s="251"/>
      <c r="DS49" s="251"/>
      <c r="DT49" s="251"/>
      <c r="DU49" s="251"/>
      <c r="DV49" s="251"/>
      <c r="DW49" s="251"/>
      <c r="DX49" s="251"/>
      <c r="DY49" s="251"/>
      <c r="DZ49" s="251"/>
      <c r="EA49" s="251"/>
      <c r="EB49" s="251"/>
      <c r="EC49" s="251"/>
      <c r="ED49" s="251"/>
      <c r="EE49" s="251"/>
      <c r="EF49" s="251"/>
      <c r="EG49" s="251"/>
      <c r="EH49" s="251"/>
      <c r="EI49" s="251"/>
      <c r="EJ49" s="251"/>
      <c r="EK49" s="251"/>
      <c r="EL49" s="251"/>
      <c r="EM49" s="251"/>
      <c r="EN49" s="251"/>
      <c r="EO49" s="251"/>
      <c r="EP49" s="251"/>
      <c r="EQ49" s="251"/>
      <c r="ER49" s="251"/>
      <c r="ES49" s="251"/>
      <c r="ET49" s="251"/>
      <c r="EU49" s="251"/>
      <c r="EV49" s="251"/>
      <c r="EW49" s="251"/>
      <c r="EX49" s="251"/>
      <c r="EY49" s="251"/>
      <c r="EZ49" s="251"/>
      <c r="FA49" s="251"/>
      <c r="FB49" s="251"/>
      <c r="FC49" s="251"/>
      <c r="FD49" s="251"/>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5"/>
      <c r="IK49" s="255"/>
      <c r="IL49" s="251"/>
      <c r="IM49" s="251"/>
      <c r="IN49" s="251"/>
      <c r="IO49" s="251"/>
      <c r="IP49" s="251"/>
      <c r="IQ49" s="251"/>
      <c r="IR49" s="251"/>
      <c r="IS49" s="251"/>
      <c r="IT49" s="251"/>
      <c r="IU49" s="251"/>
      <c r="IV49" s="251"/>
      <c r="IW49" s="251"/>
      <c r="IX49" s="251"/>
      <c r="IY49" s="251"/>
      <c r="IZ49" s="251"/>
      <c r="JA49" s="255"/>
      <c r="JB49" s="251"/>
      <c r="JC49" s="251"/>
      <c r="JD49" s="77"/>
      <c r="JE49" s="77"/>
      <c r="JF49" s="77"/>
      <c r="JG49" s="77"/>
      <c r="JH49" s="77"/>
      <c r="JI49" s="77"/>
      <c r="JJ49" s="77"/>
      <c r="JK49" s="77"/>
      <c r="JL49" s="77"/>
      <c r="JM49" s="77"/>
      <c r="JN49" s="77"/>
      <c r="JO49" s="77"/>
      <c r="JP49" s="77"/>
      <c r="JQ49" s="77"/>
      <c r="JR49" s="77"/>
      <c r="JS49" s="77"/>
      <c r="JT49" s="77"/>
      <c r="JU49" s="77"/>
      <c r="JV49" s="77"/>
      <c r="JW49" s="77"/>
      <c r="JX49" s="77"/>
      <c r="JY49" s="77"/>
      <c r="JZ49" s="77"/>
      <c r="KA49" s="77"/>
      <c r="KB49" s="77"/>
      <c r="KC49" s="77"/>
      <c r="KD49" s="77"/>
      <c r="KE49" s="77"/>
      <c r="KF49" s="77"/>
      <c r="KG49" s="77"/>
      <c r="KH49" s="77"/>
      <c r="KI49" s="77"/>
    </row>
    <row r="50" spans="1:295" s="35" customFormat="1" ht="12" customHeight="1">
      <c r="A50" s="4565"/>
      <c r="B50" s="4565"/>
      <c r="C50" s="4565"/>
      <c r="D50" s="483" t="s">
        <v>814</v>
      </c>
      <c r="E50" s="484">
        <v>1</v>
      </c>
      <c r="F50" s="858" t="e">
        <f>IF(#REF! =0,"",#REF!)</f>
        <v>#REF!</v>
      </c>
      <c r="G50" s="485" t="e">
        <f>IF('Part VIII Scoring Criteria OLD'!$O$113='Part VIII Scoring Criteria OLD'!$M$113,$L50,
IF($P$50="Albany",VLOOKUP($A$49,'Cost Limits Threshold, Assumpt '!$E$4:$J$7,$E50+2),
IF($P$50="Athens",VLOOKUP($A$49,'Cost Limits Threshold, Assumpt '!$E$8:$J$11,$E50+2),
IF($P$50="Atlanta",VLOOKUP($A$49,'Cost Limits Threshold, Assumpt '!$E$12:$J$15,$E50+2),
IF($P$50="Augusta",VLOOKUP($A$49,'Cost Limits Threshold, Assumpt '!$E$16:$J$19,$E50+2),
IF($P$50="Chattanooga",VLOOKUP($A$49,'Cost Limits Threshold, Assumpt '!$E$20:$J$23,$E50+2),
IF($P$50="Columbus",VLOOKUP($A$49,'Cost Limits Threshold, Assumpt '!$E$24:$J$27,$E50+2),
IF($P$50="Macon",VLOOKUP($A$49,'Cost Limits Threshold, Assumpt '!$E$28:$J$31,$E50+2),
IF($P$50="Savannah",VLOOKUP($A$49,'Cost Limits Threshold, Assumpt '!$E$32:$J$35,$E50+2),
VLOOKUP($A$49,'Cost Limits Threshold, Assumpt '!$E$36:$J$39,$E50+2))))))))))*(1+#REF!)</f>
        <v>#REF!</v>
      </c>
      <c r="H50" s="16" t="e">
        <f>CONCATENATE("x ", F50," units = ")</f>
        <v>#REF!</v>
      </c>
      <c r="I50" s="859" t="e">
        <f>IF(F50="","",F50*G50)</f>
        <v>#REF!</v>
      </c>
      <c r="J50" s="43"/>
      <c r="K50" s="858" t="e">
        <f>IF(#REF! =0,"",#REF!)</f>
        <v>#REF!</v>
      </c>
      <c r="L50" s="485" t="e">
        <f>G50*(1+#REF!)</f>
        <v>#REF!</v>
      </c>
      <c r="M50" s="16" t="e">
        <f>CONCATENATE("x ", K50," units = ")</f>
        <v>#REF!</v>
      </c>
      <c r="N50" s="859" t="e">
        <f>IF(K50="","",K50*L50)</f>
        <v>#REF!</v>
      </c>
      <c r="O50" s="2586"/>
      <c r="P50" s="4578" t="e">
        <f>IF(#REF!="","",VLOOKUP(#REF!,#REF!,8,FALSE))</f>
        <v>#REF!</v>
      </c>
      <c r="Q50" s="4579"/>
      <c r="R50" s="225"/>
      <c r="W50" s="253"/>
      <c r="X50" s="254"/>
      <c r="Y50" s="253"/>
      <c r="Z50" s="256"/>
      <c r="AA50" s="257"/>
      <c r="AB50" s="257"/>
      <c r="AC50" s="257"/>
      <c r="AD50" s="257"/>
      <c r="AE50" s="257"/>
      <c r="AF50" s="257"/>
      <c r="AG50" s="251"/>
      <c r="AH50" s="251"/>
      <c r="AI50" s="251"/>
      <c r="AJ50" s="251"/>
      <c r="AK50" s="251"/>
      <c r="AL50" s="251"/>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51"/>
      <c r="BT50" s="251"/>
      <c r="BU50" s="251"/>
      <c r="BV50" s="251"/>
      <c r="BW50" s="251"/>
      <c r="BX50" s="251"/>
      <c r="BY50" s="251"/>
      <c r="BZ50" s="251"/>
      <c r="CA50" s="251"/>
      <c r="CB50" s="251"/>
      <c r="CC50" s="251"/>
      <c r="CD50" s="251"/>
      <c r="CE50" s="251"/>
      <c r="CF50" s="251"/>
      <c r="CG50" s="251"/>
      <c r="CH50" s="251"/>
      <c r="CI50" s="251"/>
      <c r="CJ50" s="251"/>
      <c r="CK50" s="251"/>
      <c r="CL50" s="251"/>
      <c r="CM50" s="251"/>
      <c r="CN50" s="251"/>
      <c r="CO50" s="251"/>
      <c r="CP50" s="251"/>
      <c r="CQ50" s="251"/>
      <c r="CR50" s="251"/>
      <c r="CS50" s="251"/>
      <c r="CT50" s="251"/>
      <c r="CU50" s="251"/>
      <c r="CV50" s="251"/>
      <c r="CW50" s="251"/>
      <c r="CX50" s="251"/>
      <c r="CY50" s="251"/>
      <c r="CZ50" s="251"/>
      <c r="DA50" s="251"/>
      <c r="DB50" s="251"/>
      <c r="DC50" s="251"/>
      <c r="DD50" s="251"/>
      <c r="DE50" s="251"/>
      <c r="DF50" s="251"/>
      <c r="DG50" s="251"/>
      <c r="DH50" s="251"/>
      <c r="DI50" s="251"/>
      <c r="DJ50" s="251"/>
      <c r="DK50" s="251"/>
      <c r="DL50" s="251"/>
      <c r="DM50" s="251"/>
      <c r="DN50" s="251"/>
      <c r="DO50" s="251"/>
      <c r="DP50" s="251"/>
      <c r="DQ50" s="251"/>
      <c r="DR50" s="251"/>
      <c r="DS50" s="251"/>
      <c r="DT50" s="251"/>
      <c r="DU50" s="251"/>
      <c r="DV50" s="251"/>
      <c r="DW50" s="251"/>
      <c r="DX50" s="251"/>
      <c r="DY50" s="251"/>
      <c r="DZ50" s="251"/>
      <c r="EA50" s="251"/>
      <c r="EB50" s="251"/>
      <c r="EC50" s="251"/>
      <c r="ED50" s="251"/>
      <c r="EE50" s="251"/>
      <c r="EF50" s="251"/>
      <c r="EG50" s="251"/>
      <c r="EH50" s="251"/>
      <c r="EI50" s="251"/>
      <c r="EJ50" s="251"/>
      <c r="EK50" s="251"/>
      <c r="EL50" s="251"/>
      <c r="EM50" s="251"/>
      <c r="EN50" s="251"/>
      <c r="EO50" s="251"/>
      <c r="EP50" s="251"/>
      <c r="EQ50" s="251"/>
      <c r="ER50" s="251"/>
      <c r="ES50" s="251"/>
      <c r="ET50" s="251"/>
      <c r="EU50" s="251"/>
      <c r="EV50" s="251"/>
      <c r="EW50" s="251"/>
      <c r="EX50" s="251"/>
      <c r="EY50" s="251"/>
      <c r="EZ50" s="251"/>
      <c r="FA50" s="251"/>
      <c r="FB50" s="251"/>
      <c r="FC50" s="251"/>
      <c r="FD50" s="251"/>
      <c r="FE50" s="251"/>
      <c r="FF50" s="251"/>
      <c r="FG50" s="251"/>
      <c r="FH50" s="251"/>
      <c r="FI50" s="251"/>
      <c r="FJ50" s="251"/>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5"/>
      <c r="IK50" s="255"/>
      <c r="IL50" s="251"/>
      <c r="IM50" s="251"/>
      <c r="IN50" s="251"/>
      <c r="IO50" s="251"/>
      <c r="IP50" s="251"/>
      <c r="IQ50" s="251"/>
      <c r="IR50" s="251"/>
      <c r="IS50" s="251"/>
      <c r="IT50" s="251"/>
      <c r="IU50" s="251"/>
      <c r="IV50" s="251"/>
      <c r="IW50" s="251"/>
      <c r="IX50" s="251"/>
      <c r="IY50" s="251"/>
      <c r="IZ50" s="251"/>
      <c r="JA50" s="255"/>
      <c r="JB50" s="251"/>
      <c r="JC50" s="251"/>
      <c r="JD50" s="77"/>
      <c r="JE50" s="77"/>
      <c r="JF50" s="77"/>
      <c r="JG50" s="77"/>
      <c r="JH50" s="77"/>
      <c r="JI50" s="77"/>
      <c r="JJ50" s="77"/>
      <c r="JK50" s="77"/>
      <c r="JL50" s="77"/>
      <c r="JM50" s="77"/>
      <c r="JN50" s="77"/>
      <c r="JO50" s="77"/>
      <c r="JP50" s="77"/>
      <c r="JQ50" s="77"/>
      <c r="JR50" s="77"/>
      <c r="JS50" s="77"/>
      <c r="JT50" s="77"/>
      <c r="JU50" s="77"/>
      <c r="JV50" s="77"/>
      <c r="JW50" s="77"/>
      <c r="JX50" s="77"/>
      <c r="JY50" s="77"/>
      <c r="JZ50" s="77"/>
      <c r="KA50" s="77"/>
      <c r="KB50" s="77"/>
      <c r="KC50" s="77"/>
      <c r="KD50" s="77"/>
      <c r="KE50" s="77"/>
      <c r="KF50" s="77"/>
      <c r="KG50" s="77"/>
      <c r="KH50" s="77"/>
      <c r="KI50" s="77"/>
    </row>
    <row r="51" spans="1:295" s="35" customFormat="1" ht="12" customHeight="1">
      <c r="A51" s="4565"/>
      <c r="B51" s="4565"/>
      <c r="C51" s="4565"/>
      <c r="D51" s="483" t="s">
        <v>815</v>
      </c>
      <c r="E51" s="484">
        <v>2</v>
      </c>
      <c r="F51" s="858" t="e">
        <f>IF(#REF! =0,"",#REF!)</f>
        <v>#REF!</v>
      </c>
      <c r="G51" s="485" t="e">
        <f>IF('Part VIII Scoring Criteria OLD'!$O$113='Part VIII Scoring Criteria OLD'!$M$113,$L51,
IF($P$50="Albany",VLOOKUP($A$49,'Cost Limits Threshold, Assumpt '!$E$4:$J$7,$E51+2),
IF($P$50="Athens",VLOOKUP($A$49,'Cost Limits Threshold, Assumpt '!$E$8:$J$11,$E51+2),
IF($P$50="Atlanta",VLOOKUP($A$49,'Cost Limits Threshold, Assumpt '!$E$12:$J$15,$E51+2),
IF($P$50="Augusta",VLOOKUP($A$49,'Cost Limits Threshold, Assumpt '!$E$16:$J$19,$E51+2),
IF($P$50="Chattanooga",VLOOKUP($A$49,'Cost Limits Threshold, Assumpt '!$E$20:$J$23,$E51+2),
IF($P$50="Columbus",VLOOKUP($A$49,'Cost Limits Threshold, Assumpt '!$E$24:$J$27,$E51+2),
IF($P$50="Macon",VLOOKUP($A$49,'Cost Limits Threshold, Assumpt '!$E$28:$J$31,$E51+2),
IF($P$50="Savannah",VLOOKUP($A$49,'Cost Limits Threshold, Assumpt '!$E$32:$J$35,$E51+2),
VLOOKUP($A$49,'Cost Limits Threshold, Assumpt '!$E$36:$J$39,$E51+2))))))))))*(1+#REF!)</f>
        <v>#REF!</v>
      </c>
      <c r="H51" s="16" t="e">
        <f>CONCATENATE("x ", F51," units = ")</f>
        <v>#REF!</v>
      </c>
      <c r="I51" s="859" t="e">
        <f>IF(F51="","",F51*G51)</f>
        <v>#REF!</v>
      </c>
      <c r="J51" s="43"/>
      <c r="K51" s="858" t="e">
        <f>IF(#REF! =0,"",#REF!)</f>
        <v>#REF!</v>
      </c>
      <c r="L51" s="485" t="e">
        <f>G51*(1+#REF!)</f>
        <v>#REF!</v>
      </c>
      <c r="M51" s="16" t="e">
        <f>CONCATENATE("x ", K51," units = ")</f>
        <v>#REF!</v>
      </c>
      <c r="N51" s="859" t="e">
        <f>IF(K51="","",K51*L51)</f>
        <v>#REF!</v>
      </c>
      <c r="O51" s="2586"/>
      <c r="P51" s="4580"/>
      <c r="Q51" s="4581"/>
      <c r="W51" s="253"/>
      <c r="X51" s="254"/>
      <c r="Y51" s="253"/>
      <c r="Z51" s="256"/>
      <c r="AA51" s="257"/>
      <c r="AB51" s="257"/>
      <c r="AC51" s="257"/>
      <c r="AD51" s="257"/>
      <c r="AE51" s="257"/>
      <c r="AF51" s="257"/>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251"/>
      <c r="CE51" s="251"/>
      <c r="CF51" s="251"/>
      <c r="CG51" s="251"/>
      <c r="CH51" s="251"/>
      <c r="CI51" s="251"/>
      <c r="CJ51" s="251"/>
      <c r="CK51" s="251"/>
      <c r="CL51" s="251"/>
      <c r="CM51" s="251"/>
      <c r="CN51" s="251"/>
      <c r="CO51" s="251"/>
      <c r="CP51" s="251"/>
      <c r="CQ51" s="251"/>
      <c r="CR51" s="251"/>
      <c r="CS51" s="251"/>
      <c r="CT51" s="251"/>
      <c r="CU51" s="251"/>
      <c r="CV51" s="251"/>
      <c r="CW51" s="251"/>
      <c r="CX51" s="251"/>
      <c r="CY51" s="251"/>
      <c r="CZ51" s="251"/>
      <c r="DA51" s="251"/>
      <c r="DB51" s="251"/>
      <c r="DC51" s="251"/>
      <c r="DD51" s="251"/>
      <c r="DE51" s="251"/>
      <c r="DF51" s="251"/>
      <c r="DG51" s="251"/>
      <c r="DH51" s="251"/>
      <c r="DI51" s="251"/>
      <c r="DJ51" s="251"/>
      <c r="DK51" s="251"/>
      <c r="DL51" s="251"/>
      <c r="DM51" s="251"/>
      <c r="DN51" s="251"/>
      <c r="DO51" s="251"/>
      <c r="DP51" s="251"/>
      <c r="DQ51" s="251"/>
      <c r="DR51" s="251"/>
      <c r="DS51" s="251"/>
      <c r="DT51" s="251"/>
      <c r="DU51" s="251"/>
      <c r="DV51" s="251"/>
      <c r="DW51" s="251"/>
      <c r="DX51" s="251"/>
      <c r="DY51" s="251"/>
      <c r="DZ51" s="251"/>
      <c r="EA51" s="251"/>
      <c r="EB51" s="251"/>
      <c r="EC51" s="251"/>
      <c r="ED51" s="251"/>
      <c r="EE51" s="251"/>
      <c r="EF51" s="251"/>
      <c r="EG51" s="251"/>
      <c r="EH51" s="251"/>
      <c r="EI51" s="251"/>
      <c r="EJ51" s="251"/>
      <c r="EK51" s="251"/>
      <c r="EL51" s="251"/>
      <c r="EM51" s="251"/>
      <c r="EN51" s="251"/>
      <c r="EO51" s="251"/>
      <c r="EP51" s="251"/>
      <c r="EQ51" s="251"/>
      <c r="ER51" s="251"/>
      <c r="ES51" s="251"/>
      <c r="ET51" s="251"/>
      <c r="EU51" s="251"/>
      <c r="EV51" s="251"/>
      <c r="EW51" s="251"/>
      <c r="EX51" s="251"/>
      <c r="EY51" s="251"/>
      <c r="EZ51" s="251"/>
      <c r="FA51" s="251"/>
      <c r="FB51" s="251"/>
      <c r="FC51" s="251"/>
      <c r="FD51" s="251"/>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5"/>
      <c r="IK51" s="255"/>
      <c r="IL51" s="251"/>
      <c r="IM51" s="251"/>
      <c r="IN51" s="251"/>
      <c r="IO51" s="251"/>
      <c r="IP51" s="251"/>
      <c r="IQ51" s="251"/>
      <c r="IR51" s="251"/>
      <c r="IS51" s="251"/>
      <c r="IT51" s="251"/>
      <c r="IU51" s="251"/>
      <c r="IV51" s="251"/>
      <c r="IW51" s="251"/>
      <c r="IX51" s="251"/>
      <c r="IY51" s="251"/>
      <c r="IZ51" s="251"/>
      <c r="JA51" s="255"/>
      <c r="JB51" s="251"/>
      <c r="JC51" s="251"/>
      <c r="JD51" s="77"/>
      <c r="JE51" s="77"/>
      <c r="JF51" s="77"/>
      <c r="JG51" s="77"/>
      <c r="JH51" s="77"/>
      <c r="JI51" s="77"/>
      <c r="JJ51" s="77"/>
      <c r="JK51" s="77"/>
      <c r="JL51" s="77"/>
      <c r="JM51" s="77"/>
      <c r="JN51" s="77"/>
      <c r="JO51" s="77"/>
      <c r="JP51" s="77"/>
      <c r="JQ51" s="77"/>
      <c r="JR51" s="77"/>
      <c r="JS51" s="77"/>
      <c r="JT51" s="77"/>
      <c r="JU51" s="77"/>
      <c r="JV51" s="77"/>
      <c r="JW51" s="77"/>
      <c r="JX51" s="77"/>
      <c r="JY51" s="77"/>
      <c r="JZ51" s="77"/>
      <c r="KA51" s="77"/>
      <c r="KB51" s="77"/>
      <c r="KC51" s="77"/>
      <c r="KD51" s="77"/>
      <c r="KE51" s="77"/>
      <c r="KF51" s="77"/>
      <c r="KG51" s="77"/>
      <c r="KH51" s="77"/>
      <c r="KI51" s="77"/>
    </row>
    <row r="52" spans="1:295" s="35" customFormat="1" ht="12" customHeight="1">
      <c r="A52" s="4565"/>
      <c r="B52" s="4565"/>
      <c r="C52" s="4565"/>
      <c r="D52" s="483" t="s">
        <v>816</v>
      </c>
      <c r="E52" s="484">
        <v>3</v>
      </c>
      <c r="F52" s="858" t="e">
        <f>IF(#REF! =0,"",#REF!)</f>
        <v>#REF!</v>
      </c>
      <c r="G52" s="485" t="e">
        <f>IF('Part VIII Scoring Criteria OLD'!$O$113='Part VIII Scoring Criteria OLD'!$M$113,$L52,
IF($P$50="Albany",VLOOKUP($A$49,'Cost Limits Threshold, Assumpt '!$E$4:$J$7,$E52+2),
IF($P$50="Athens",VLOOKUP($A$49,'Cost Limits Threshold, Assumpt '!$E$8:$J$11,$E52+2),
IF($P$50="Atlanta",VLOOKUP($A$49,'Cost Limits Threshold, Assumpt '!$E$12:$J$15,$E52+2),
IF($P$50="Augusta",VLOOKUP($A$49,'Cost Limits Threshold, Assumpt '!$E$16:$J$19,$E52+2),
IF($P$50="Chattanooga",VLOOKUP($A$49,'Cost Limits Threshold, Assumpt '!$E$20:$J$23,$E52+2),
IF($P$50="Columbus",VLOOKUP($A$49,'Cost Limits Threshold, Assumpt '!$E$24:$J$27,$E52+2),
IF($P$50="Macon",VLOOKUP($A$49,'Cost Limits Threshold, Assumpt '!$E$28:$J$31,$E52+2),
IF($P$50="Savannah",VLOOKUP($A$49,'Cost Limits Threshold, Assumpt '!$E$32:$J$35,$E52+2),
VLOOKUP($A$49,'Cost Limits Threshold, Assumpt '!$E$36:$J$39,$E52+2))))))))))*(1+#REF!)</f>
        <v>#REF!</v>
      </c>
      <c r="H52" s="16" t="e">
        <f>CONCATENATE("x ", F52," units = ")</f>
        <v>#REF!</v>
      </c>
      <c r="I52" s="859" t="e">
        <f>IF(F52="","",F52*G52)</f>
        <v>#REF!</v>
      </c>
      <c r="J52" s="43"/>
      <c r="K52" s="858" t="e">
        <f>IF(#REF! =0,"",#REF!)</f>
        <v>#REF!</v>
      </c>
      <c r="L52" s="485" t="e">
        <f>G52*(1+#REF!)</f>
        <v>#REF!</v>
      </c>
      <c r="M52" s="16" t="e">
        <f>CONCATENATE("x ", K52," units = ")</f>
        <v>#REF!</v>
      </c>
      <c r="N52" s="859" t="e">
        <f>IF(K52="","",K52*L52)</f>
        <v>#REF!</v>
      </c>
      <c r="O52" s="2586"/>
      <c r="P52" s="4533" t="s">
        <v>6745</v>
      </c>
      <c r="Q52" s="4533"/>
      <c r="W52" s="253"/>
      <c r="X52" s="254"/>
      <c r="AC52" s="257"/>
      <c r="AD52" s="257"/>
      <c r="AE52" s="257"/>
      <c r="AF52" s="257"/>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c r="BR52" s="251"/>
      <c r="BS52" s="251"/>
      <c r="BT52" s="251"/>
      <c r="BU52" s="251"/>
      <c r="BV52" s="251"/>
      <c r="BW52" s="251"/>
      <c r="BX52" s="251"/>
      <c r="BY52" s="251"/>
      <c r="BZ52" s="251"/>
      <c r="CA52" s="251"/>
      <c r="CB52" s="251"/>
      <c r="CC52" s="251"/>
      <c r="CD52" s="251"/>
      <c r="CE52" s="251"/>
      <c r="CF52" s="251"/>
      <c r="CG52" s="251"/>
      <c r="CH52" s="251"/>
      <c r="CI52" s="251"/>
      <c r="CJ52" s="251"/>
      <c r="CK52" s="251"/>
      <c r="CL52" s="251"/>
      <c r="CM52" s="251"/>
      <c r="CN52" s="251"/>
      <c r="CO52" s="251"/>
      <c r="CP52" s="251"/>
      <c r="CQ52" s="251"/>
      <c r="CR52" s="251"/>
      <c r="CS52" s="251"/>
      <c r="CT52" s="251"/>
      <c r="CU52" s="251"/>
      <c r="CV52" s="251"/>
      <c r="CW52" s="251"/>
      <c r="CX52" s="251"/>
      <c r="CY52" s="251"/>
      <c r="CZ52" s="251"/>
      <c r="DA52" s="251"/>
      <c r="DB52" s="251"/>
      <c r="DC52" s="251"/>
      <c r="DD52" s="251"/>
      <c r="DE52" s="251"/>
      <c r="DF52" s="251"/>
      <c r="DG52" s="251"/>
      <c r="DH52" s="251"/>
      <c r="DI52" s="251"/>
      <c r="DJ52" s="251"/>
      <c r="DK52" s="251"/>
      <c r="DL52" s="251"/>
      <c r="DM52" s="251"/>
      <c r="DN52" s="251"/>
      <c r="DO52" s="251"/>
      <c r="DP52" s="251"/>
      <c r="DQ52" s="251"/>
      <c r="DR52" s="251"/>
      <c r="DS52" s="251"/>
      <c r="DT52" s="251"/>
      <c r="DU52" s="251"/>
      <c r="DV52" s="251"/>
      <c r="DW52" s="251"/>
      <c r="DX52" s="251"/>
      <c r="DY52" s="251"/>
      <c r="DZ52" s="251"/>
      <c r="EA52" s="251"/>
      <c r="EB52" s="251"/>
      <c r="EC52" s="251"/>
      <c r="ED52" s="251"/>
      <c r="EE52" s="251"/>
      <c r="EF52" s="251"/>
      <c r="EG52" s="251"/>
      <c r="EH52" s="251"/>
      <c r="EI52" s="251"/>
      <c r="EJ52" s="251"/>
      <c r="EK52" s="251"/>
      <c r="EL52" s="251"/>
      <c r="EM52" s="251"/>
      <c r="EN52" s="251"/>
      <c r="EO52" s="251"/>
      <c r="EP52" s="251"/>
      <c r="EQ52" s="251"/>
      <c r="ER52" s="251"/>
      <c r="ES52" s="251"/>
      <c r="ET52" s="251"/>
      <c r="EU52" s="251"/>
      <c r="EV52" s="251"/>
      <c r="EW52" s="251"/>
      <c r="EX52" s="251"/>
      <c r="EY52" s="251"/>
      <c r="EZ52" s="251"/>
      <c r="FA52" s="251"/>
      <c r="FB52" s="251"/>
      <c r="FC52" s="251"/>
      <c r="FD52" s="251"/>
      <c r="FE52" s="251"/>
      <c r="FF52" s="251"/>
      <c r="FG52" s="251"/>
      <c r="FH52" s="251"/>
      <c r="FI52" s="251"/>
      <c r="FJ52" s="251"/>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5"/>
      <c r="IK52" s="255"/>
      <c r="IL52" s="251"/>
      <c r="IM52" s="251"/>
      <c r="IN52" s="251"/>
      <c r="IO52" s="251"/>
      <c r="IP52" s="251"/>
      <c r="IQ52" s="251"/>
      <c r="IR52" s="251"/>
      <c r="IS52" s="251"/>
      <c r="IT52" s="251"/>
      <c r="IU52" s="251"/>
      <c r="IV52" s="251"/>
      <c r="IW52" s="251"/>
      <c r="IX52" s="251"/>
      <c r="IY52" s="251"/>
      <c r="IZ52" s="251"/>
      <c r="JA52" s="255"/>
      <c r="JB52" s="251"/>
      <c r="JC52" s="251"/>
      <c r="JD52" s="77"/>
      <c r="JE52" s="77"/>
      <c r="JF52" s="77"/>
      <c r="JG52" s="77"/>
      <c r="JH52" s="77"/>
      <c r="JI52" s="77"/>
      <c r="JJ52" s="77"/>
      <c r="JK52" s="77"/>
      <c r="JL52" s="77"/>
      <c r="JM52" s="77"/>
      <c r="JN52" s="77"/>
      <c r="JO52" s="77"/>
      <c r="JP52" s="77"/>
      <c r="JQ52" s="77"/>
      <c r="JR52" s="77"/>
      <c r="JS52" s="77"/>
      <c r="JT52" s="77"/>
      <c r="JU52" s="77"/>
      <c r="JV52" s="77"/>
      <c r="JW52" s="77"/>
      <c r="JX52" s="77"/>
      <c r="JY52" s="77"/>
      <c r="JZ52" s="77"/>
      <c r="KA52" s="77"/>
      <c r="KB52" s="77"/>
      <c r="KC52" s="77"/>
      <c r="KD52" s="77"/>
      <c r="KE52" s="77"/>
      <c r="KF52" s="77"/>
      <c r="KG52" s="77"/>
      <c r="KH52" s="77"/>
      <c r="KI52" s="77"/>
    </row>
    <row r="53" spans="1:295" s="35" customFormat="1" ht="12" customHeight="1">
      <c r="A53" s="77"/>
      <c r="B53" s="77"/>
      <c r="C53" s="43"/>
      <c r="D53" s="483" t="s">
        <v>817</v>
      </c>
      <c r="E53" s="484">
        <v>4</v>
      </c>
      <c r="F53" s="858" t="e">
        <f>IF(#REF! =0,"",#REF!)</f>
        <v>#REF!</v>
      </c>
      <c r="G53" s="485" t="e">
        <f>IF('Part VIII Scoring Criteria OLD'!$O$113='Part VIII Scoring Criteria OLD'!$M$113,$L53,
IF($P$50="Albany",VLOOKUP($A$49,'Cost Limits Threshold, Assumpt '!$E$4:$J$7,$E53+2),
IF($P$50="Athens",VLOOKUP($A$49,'Cost Limits Threshold, Assumpt '!$E$8:$J$11,$E53+2),
IF($P$50="Atlanta",VLOOKUP($A$49,'Cost Limits Threshold, Assumpt '!$E$12:$J$15,$E53+2),
IF($P$50="Augusta",VLOOKUP($A$49,'Cost Limits Threshold, Assumpt '!$E$16:$J$19,$E53+2),
IF($P$50="Chattanooga",VLOOKUP($A$49,'Cost Limits Threshold, Assumpt '!$E$20:$J$23,$E53+2),
IF($P$50="Columbus",VLOOKUP($A$49,'Cost Limits Threshold, Assumpt '!$E$24:$J$27,$E53+2),
IF($P$50="Macon",VLOOKUP($A$49,'Cost Limits Threshold, Assumpt '!$E$28:$J$31,$E53+2),
IF($P$50="Savannah",VLOOKUP($A$49,'Cost Limits Threshold, Assumpt '!$E$32:$J$35,$E53+2),
VLOOKUP($A$49,'Cost Limits Threshold, Assumpt '!$E$36:$J$39,$E53+2))))))))))*(1+#REF!)</f>
        <v>#REF!</v>
      </c>
      <c r="H53" s="16" t="e">
        <f>CONCATENATE("x ", F53," units = ")</f>
        <v>#REF!</v>
      </c>
      <c r="I53" s="859" t="e">
        <f>IF(F53="","",F53*G53)</f>
        <v>#REF!</v>
      </c>
      <c r="J53" s="43"/>
      <c r="K53" s="858" t="e">
        <f>IF(#REF! =0,"",#REF!)</f>
        <v>#REF!</v>
      </c>
      <c r="L53" s="485" t="e">
        <f>G53*(1+#REF!)</f>
        <v>#REF!</v>
      </c>
      <c r="M53" s="16" t="e">
        <f>CONCATENATE("x ", K53," units = ")</f>
        <v>#REF!</v>
      </c>
      <c r="N53" s="859" t="e">
        <f>IF(K53="","",K53*L53)</f>
        <v>#REF!</v>
      </c>
      <c r="O53" s="2586"/>
      <c r="P53" s="4569" t="e">
        <f>#REF!</f>
        <v>#REF!</v>
      </c>
      <c r="Q53" s="4570"/>
      <c r="AC53" s="257"/>
      <c r="AD53" s="257"/>
      <c r="AE53" s="257"/>
      <c r="AF53" s="257"/>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1"/>
      <c r="BY53" s="251"/>
      <c r="BZ53" s="251"/>
      <c r="CA53" s="251"/>
      <c r="CB53" s="251"/>
      <c r="CC53" s="251"/>
      <c r="CD53" s="251"/>
      <c r="CE53" s="251"/>
      <c r="CF53" s="251"/>
      <c r="CG53" s="251"/>
      <c r="CH53" s="251"/>
      <c r="CI53" s="251"/>
      <c r="CJ53" s="251"/>
      <c r="CK53" s="251"/>
      <c r="CL53" s="251"/>
      <c r="CM53" s="251"/>
      <c r="CN53" s="251"/>
      <c r="CO53" s="251"/>
      <c r="CP53" s="251"/>
      <c r="CQ53" s="251"/>
      <c r="CR53" s="251"/>
      <c r="CS53" s="251"/>
      <c r="CT53" s="251"/>
      <c r="CU53" s="251"/>
      <c r="CV53" s="251"/>
      <c r="CW53" s="251"/>
      <c r="CX53" s="251"/>
      <c r="CY53" s="251"/>
      <c r="CZ53" s="251"/>
      <c r="DA53" s="251"/>
      <c r="DB53" s="251"/>
      <c r="DC53" s="251"/>
      <c r="DD53" s="251"/>
      <c r="DE53" s="251"/>
      <c r="DF53" s="251"/>
      <c r="DG53" s="251"/>
      <c r="DH53" s="251"/>
      <c r="DI53" s="251"/>
      <c r="DJ53" s="251"/>
      <c r="DK53" s="251"/>
      <c r="DL53" s="251"/>
      <c r="DM53" s="251"/>
      <c r="DN53" s="251"/>
      <c r="DO53" s="251"/>
      <c r="DP53" s="251"/>
      <c r="DQ53" s="251"/>
      <c r="DR53" s="251"/>
      <c r="DS53" s="251"/>
      <c r="DT53" s="251"/>
      <c r="DU53" s="251"/>
      <c r="DV53" s="251"/>
      <c r="DW53" s="251"/>
      <c r="DX53" s="251"/>
      <c r="DY53" s="251"/>
      <c r="DZ53" s="251"/>
      <c r="EA53" s="251"/>
      <c r="EB53" s="251"/>
      <c r="EC53" s="251"/>
      <c r="ED53" s="251"/>
      <c r="EE53" s="251"/>
      <c r="EF53" s="251"/>
      <c r="EG53" s="251"/>
      <c r="EH53" s="251"/>
      <c r="EI53" s="251"/>
      <c r="EJ53" s="251"/>
      <c r="EK53" s="251"/>
      <c r="EL53" s="251"/>
      <c r="EM53" s="251"/>
      <c r="EN53" s="251"/>
      <c r="EO53" s="251"/>
      <c r="EP53" s="251"/>
      <c r="EQ53" s="251"/>
      <c r="ER53" s="251"/>
      <c r="ES53" s="251"/>
      <c r="ET53" s="251"/>
      <c r="EU53" s="251"/>
      <c r="EV53" s="251"/>
      <c r="EW53" s="251"/>
      <c r="EX53" s="251"/>
      <c r="EY53" s="251"/>
      <c r="EZ53" s="251"/>
      <c r="FA53" s="251"/>
      <c r="FB53" s="251"/>
      <c r="FC53" s="251"/>
      <c r="FD53" s="251"/>
      <c r="FE53" s="251"/>
      <c r="FF53" s="251"/>
      <c r="FG53" s="251"/>
      <c r="FH53" s="251"/>
      <c r="FI53" s="251"/>
      <c r="FJ53" s="251"/>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5"/>
      <c r="IK53" s="255"/>
      <c r="IL53" s="251"/>
      <c r="IM53" s="251"/>
      <c r="IN53" s="251"/>
      <c r="IO53" s="251"/>
      <c r="IP53" s="251"/>
      <c r="IQ53" s="251"/>
      <c r="IR53" s="251"/>
      <c r="IS53" s="251"/>
      <c r="IT53" s="251"/>
      <c r="IU53" s="251"/>
      <c r="IV53" s="251"/>
      <c r="IW53" s="251"/>
      <c r="IX53" s="251"/>
      <c r="IY53" s="251"/>
      <c r="IZ53" s="251"/>
      <c r="JA53" s="255"/>
      <c r="JB53" s="251"/>
      <c r="JC53" s="251"/>
      <c r="JD53" s="77"/>
      <c r="JE53" s="77"/>
      <c r="JF53" s="77"/>
      <c r="JG53" s="77"/>
      <c r="JH53" s="77"/>
      <c r="JI53" s="77"/>
      <c r="JJ53" s="77"/>
      <c r="JK53" s="77"/>
      <c r="JL53" s="77"/>
      <c r="JM53" s="77"/>
      <c r="JN53" s="77"/>
      <c r="JO53" s="77"/>
      <c r="JP53" s="77"/>
      <c r="JQ53" s="77"/>
      <c r="JR53" s="77"/>
      <c r="JS53" s="77"/>
      <c r="JT53" s="77"/>
      <c r="JU53" s="77"/>
      <c r="JV53" s="77"/>
      <c r="JW53" s="77"/>
      <c r="JX53" s="77"/>
      <c r="JY53" s="77"/>
      <c r="JZ53" s="77"/>
      <c r="KA53" s="77"/>
      <c r="KB53" s="77"/>
      <c r="KC53" s="77"/>
      <c r="KD53" s="77"/>
      <c r="KE53" s="77"/>
      <c r="KF53" s="77"/>
      <c r="KG53" s="77"/>
      <c r="KH53" s="77"/>
      <c r="KI53" s="77"/>
    </row>
    <row r="54" spans="1:295" s="35" customFormat="1" ht="12" customHeight="1">
      <c r="A54" s="77"/>
      <c r="B54" s="77"/>
      <c r="C54" s="43"/>
      <c r="D54" s="324" t="s">
        <v>6746</v>
      </c>
      <c r="E54" s="229"/>
      <c r="F54" s="631" t="e">
        <f>SUM(F49:F53)</f>
        <v>#REF!</v>
      </c>
      <c r="G54" s="349"/>
      <c r="H54" s="632"/>
      <c r="I54" s="633" t="e">
        <f>SUM(I49:I53)</f>
        <v>#REF!</v>
      </c>
      <c r="J54" s="634"/>
      <c r="K54" s="631" t="e">
        <f>SUM(K49:K53)</f>
        <v>#REF!</v>
      </c>
      <c r="L54" s="634"/>
      <c r="M54" s="632"/>
      <c r="N54" s="633" t="e">
        <f>SUM(N49:N53)</f>
        <v>#REF!</v>
      </c>
      <c r="O54" s="2586"/>
      <c r="P54" s="4533" t="s">
        <v>6747</v>
      </c>
      <c r="Q54" s="4533"/>
      <c r="R54" s="4560" t="s">
        <v>6748</v>
      </c>
      <c r="S54" s="4560"/>
      <c r="T54" s="4560"/>
      <c r="V54" s="895"/>
      <c r="W54" s="895"/>
      <c r="AC54" s="257"/>
      <c r="AD54" s="257"/>
      <c r="AE54" s="257"/>
      <c r="AF54" s="257"/>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1"/>
      <c r="CP54" s="251"/>
      <c r="CQ54" s="251"/>
      <c r="CR54" s="251"/>
      <c r="CS54" s="251"/>
      <c r="CT54" s="251"/>
      <c r="CU54" s="251"/>
      <c r="CV54" s="251"/>
      <c r="CW54" s="251"/>
      <c r="CX54" s="251"/>
      <c r="CY54" s="251"/>
      <c r="CZ54" s="251"/>
      <c r="DA54" s="251"/>
      <c r="DB54" s="251"/>
      <c r="DC54" s="251"/>
      <c r="DD54" s="251"/>
      <c r="DE54" s="251"/>
      <c r="DF54" s="251"/>
      <c r="DG54" s="251"/>
      <c r="DH54" s="251"/>
      <c r="DI54" s="251"/>
      <c r="DJ54" s="251"/>
      <c r="DK54" s="251"/>
      <c r="DL54" s="251"/>
      <c r="DM54" s="251"/>
      <c r="DN54" s="251"/>
      <c r="DO54" s="251"/>
      <c r="DP54" s="251"/>
      <c r="DQ54" s="251"/>
      <c r="DR54" s="251"/>
      <c r="DS54" s="251"/>
      <c r="DT54" s="251"/>
      <c r="DU54" s="251"/>
      <c r="DV54" s="251"/>
      <c r="DW54" s="251"/>
      <c r="DX54" s="251"/>
      <c r="DY54" s="251"/>
      <c r="DZ54" s="251"/>
      <c r="EA54" s="251"/>
      <c r="EB54" s="251"/>
      <c r="EC54" s="251"/>
      <c r="ED54" s="251"/>
      <c r="EE54" s="251"/>
      <c r="EF54" s="251"/>
      <c r="EG54" s="251"/>
      <c r="EH54" s="251"/>
      <c r="EI54" s="251"/>
      <c r="EJ54" s="251"/>
      <c r="EK54" s="251"/>
      <c r="EL54" s="251"/>
      <c r="EM54" s="251"/>
      <c r="EN54" s="251"/>
      <c r="EO54" s="251"/>
      <c r="EP54" s="251"/>
      <c r="EQ54" s="251"/>
      <c r="ER54" s="251"/>
      <c r="ES54" s="251"/>
      <c r="ET54" s="251"/>
      <c r="EU54" s="251"/>
      <c r="EV54" s="251"/>
      <c r="EW54" s="251"/>
      <c r="EX54" s="251"/>
      <c r="EY54" s="251"/>
      <c r="EZ54" s="251"/>
      <c r="FA54" s="251"/>
      <c r="FB54" s="251"/>
      <c r="FC54" s="251"/>
      <c r="FD54" s="251"/>
      <c r="FE54" s="251"/>
      <c r="FF54" s="251"/>
      <c r="FG54" s="251"/>
      <c r="FH54" s="251"/>
      <c r="FI54" s="251"/>
      <c r="FJ54" s="251"/>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5"/>
      <c r="IK54" s="255"/>
      <c r="IL54" s="251"/>
      <c r="IM54" s="251"/>
      <c r="IN54" s="251"/>
      <c r="IO54" s="251"/>
      <c r="IP54" s="251"/>
      <c r="IQ54" s="251"/>
      <c r="IR54" s="251"/>
      <c r="IS54" s="251"/>
      <c r="IT54" s="251"/>
      <c r="IU54" s="251"/>
      <c r="IV54" s="251"/>
      <c r="IW54" s="251"/>
      <c r="IX54" s="251"/>
      <c r="IY54" s="251"/>
      <c r="IZ54" s="251"/>
      <c r="JA54" s="255"/>
      <c r="JB54" s="251"/>
      <c r="JC54" s="251"/>
      <c r="JD54" s="77"/>
      <c r="JE54" s="77"/>
      <c r="JF54" s="77"/>
      <c r="JG54" s="77"/>
      <c r="JH54" s="77"/>
      <c r="JI54" s="77"/>
      <c r="JJ54" s="77"/>
      <c r="JK54" s="77"/>
      <c r="JL54" s="77"/>
      <c r="JM54" s="77"/>
      <c r="JN54" s="77"/>
      <c r="JO54" s="77"/>
      <c r="JP54" s="77"/>
      <c r="JQ54" s="77"/>
      <c r="JR54" s="77"/>
      <c r="JS54" s="77"/>
      <c r="JT54" s="77"/>
      <c r="JU54" s="77"/>
      <c r="JV54" s="77"/>
      <c r="JW54" s="77"/>
      <c r="JX54" s="77"/>
      <c r="JY54" s="77"/>
      <c r="JZ54" s="77"/>
      <c r="KA54" s="77"/>
      <c r="KB54" s="77"/>
      <c r="KC54" s="77"/>
      <c r="KD54" s="77"/>
      <c r="KE54" s="77"/>
      <c r="KF54" s="77"/>
      <c r="KG54" s="77"/>
      <c r="KH54" s="77"/>
      <c r="KI54" s="77"/>
    </row>
    <row r="55" spans="1:295" s="35" customFormat="1" ht="12" customHeight="1">
      <c r="A55" s="77"/>
      <c r="C55" s="43"/>
      <c r="D55" s="303"/>
      <c r="E55" s="303"/>
      <c r="F55" s="2589"/>
      <c r="G55" s="73"/>
      <c r="H55" s="77"/>
      <c r="I55" s="2589"/>
      <c r="J55" s="77"/>
      <c r="K55" s="2589"/>
      <c r="L55" s="77"/>
      <c r="M55" s="2586"/>
      <c r="N55" s="2589"/>
      <c r="O55" s="2586"/>
      <c r="R55" s="225"/>
      <c r="AC55" s="257"/>
      <c r="AD55" s="257"/>
      <c r="AE55" s="257"/>
      <c r="AF55" s="257"/>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c r="DX55" s="251"/>
      <c r="DY55" s="251"/>
      <c r="DZ55" s="251"/>
      <c r="EA55" s="251"/>
      <c r="EB55" s="251"/>
      <c r="EC55" s="251"/>
      <c r="ED55" s="251"/>
      <c r="EE55" s="251"/>
      <c r="EF55" s="251"/>
      <c r="EG55" s="251"/>
      <c r="EH55" s="251"/>
      <c r="EI55" s="251"/>
      <c r="EJ55" s="251"/>
      <c r="EK55" s="251"/>
      <c r="EL55" s="251"/>
      <c r="EM55" s="251"/>
      <c r="EN55" s="251"/>
      <c r="EO55" s="251"/>
      <c r="EP55" s="251"/>
      <c r="EQ55" s="251"/>
      <c r="ER55" s="251"/>
      <c r="ES55" s="251"/>
      <c r="ET55" s="251"/>
      <c r="EU55" s="251"/>
      <c r="EV55" s="251"/>
      <c r="EW55" s="251"/>
      <c r="EX55" s="251"/>
      <c r="EY55" s="251"/>
      <c r="EZ55" s="251"/>
      <c r="FA55" s="251"/>
      <c r="FB55" s="251"/>
      <c r="FC55" s="251"/>
      <c r="FD55" s="251"/>
      <c r="FE55" s="251"/>
      <c r="FF55" s="251"/>
      <c r="FG55" s="251"/>
      <c r="FH55" s="251"/>
      <c r="FI55" s="251"/>
      <c r="FJ55" s="251"/>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5"/>
      <c r="IK55" s="255"/>
      <c r="IL55" s="251"/>
      <c r="IM55" s="251"/>
      <c r="IN55" s="251"/>
      <c r="IO55" s="251"/>
      <c r="IP55" s="251"/>
      <c r="IQ55" s="251"/>
      <c r="IR55" s="251"/>
      <c r="IS55" s="251"/>
      <c r="IT55" s="251"/>
      <c r="IU55" s="251"/>
      <c r="IV55" s="251"/>
      <c r="IW55" s="251"/>
      <c r="IX55" s="251"/>
      <c r="IY55" s="251"/>
      <c r="IZ55" s="251"/>
      <c r="JA55" s="255"/>
      <c r="JB55" s="251"/>
      <c r="JC55" s="251"/>
      <c r="JD55" s="77"/>
      <c r="JE55" s="77"/>
      <c r="JF55" s="77"/>
      <c r="JG55" s="77"/>
      <c r="JH55" s="77"/>
      <c r="JI55" s="77"/>
      <c r="JJ55" s="77"/>
      <c r="JK55" s="77"/>
      <c r="JL55" s="77"/>
      <c r="JM55" s="77"/>
      <c r="JN55" s="77"/>
      <c r="JO55" s="77"/>
      <c r="JP55" s="77"/>
      <c r="JQ55" s="77"/>
      <c r="JR55" s="77"/>
      <c r="JS55" s="77"/>
      <c r="JT55" s="77"/>
      <c r="JU55" s="77"/>
      <c r="JV55" s="77"/>
      <c r="JW55" s="77"/>
      <c r="JX55" s="77"/>
      <c r="JY55" s="77"/>
      <c r="JZ55" s="77"/>
      <c r="KA55" s="77"/>
      <c r="KB55" s="77"/>
      <c r="KC55" s="77"/>
      <c r="KD55" s="77"/>
      <c r="KE55" s="77"/>
      <c r="KF55" s="77"/>
      <c r="KG55" s="77"/>
      <c r="KH55" s="77"/>
      <c r="KI55" s="77"/>
    </row>
    <row r="56" spans="1:295" s="35" customFormat="1" ht="12" customHeight="1">
      <c r="A56" s="4565" t="s">
        <v>1267</v>
      </c>
      <c r="B56" s="4565"/>
      <c r="C56" s="4565"/>
      <c r="D56" s="483" t="s">
        <v>772</v>
      </c>
      <c r="E56" s="487">
        <v>0</v>
      </c>
      <c r="F56" s="858" t="e">
        <f>IF(#REF! =0,"",#REF!)</f>
        <v>#REF!</v>
      </c>
      <c r="G56" s="485" t="e">
        <f>IF('Part VIII Scoring Criteria OLD'!$O$113='Part VIII Scoring Criteria OLD'!$M$113,$L56,
IF($P$50="Albany",VLOOKUP($A$56,'Cost Limits Threshold, Assumpt '!$E$4:$J$7,$E56+2),
IF($P$50="Athens",VLOOKUP($A$56,'Cost Limits Threshold, Assumpt '!$E$8:$J$11,$E56+2),
IF($P$50="Atlanta",VLOOKUP($A$56,'Cost Limits Threshold, Assumpt '!$E$12:$J$15,$E56+2),
IF($P$50="Augusta",VLOOKUP($A$56,'Cost Limits Threshold, Assumpt '!$E$16:$J$19,$E56+2),
IF($P$50="Chattanooga",VLOOKUP($A$56,'Cost Limits Threshold, Assumpt '!$E$20:$J$23,$E56+2),
IF($P$50="Columbus",VLOOKUP($A$56,'Cost Limits Threshold, Assumpt '!$E$24:$J$27,$E56+2),
IF($P$50="Macon",VLOOKUP($A$56,'Cost Limits Threshold, Assumpt '!$E$28:$J$31,$E56+2),
IF($P$50="Savannah",VLOOKUP($A$56,'Cost Limits Threshold, Assumpt '!$E$32:$J$35,$E56+2),
VLOOKUP($A$56,'Cost Limits Threshold, Assumpt '!$E$36:$J$39,$E56+2))))))))))*(1+#REF!)</f>
        <v>#REF!</v>
      </c>
      <c r="H56" s="16" t="e">
        <f>CONCATENATE("x ", F56," units = ")</f>
        <v>#REF!</v>
      </c>
      <c r="I56" s="859" t="e">
        <f>IF(F56="","",F56*G56)</f>
        <v>#REF!</v>
      </c>
      <c r="J56" s="43"/>
      <c r="K56" s="858" t="e">
        <f>IF(#REF! =0,"",#REF!)</f>
        <v>#REF!</v>
      </c>
      <c r="L56" s="485" t="e">
        <f>G56*(1+#REF!)</f>
        <v>#REF!</v>
      </c>
      <c r="M56" s="16" t="e">
        <f>CONCATENATE("x ", K56," units = ")</f>
        <v>#REF!</v>
      </c>
      <c r="N56" s="859" t="e">
        <f>IF(K56="","",K56*L56)</f>
        <v>#REF!</v>
      </c>
      <c r="P56" s="4569" t="e">
        <f>#REF!-#REF!-#REF!-#REF!-#REF!-#REF!</f>
        <v>#REF!</v>
      </c>
      <c r="Q56" s="4570"/>
      <c r="AC56" s="257"/>
      <c r="AD56" s="257"/>
      <c r="AE56" s="257"/>
      <c r="AF56" s="257"/>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1"/>
      <c r="BY56" s="251"/>
      <c r="BZ56" s="251"/>
      <c r="CA56" s="251"/>
      <c r="CB56" s="251"/>
      <c r="CC56" s="251"/>
      <c r="CD56" s="251"/>
      <c r="CE56" s="251"/>
      <c r="CF56" s="251"/>
      <c r="CG56" s="251"/>
      <c r="CH56" s="251"/>
      <c r="CI56" s="251"/>
      <c r="CJ56" s="251"/>
      <c r="CK56" s="251"/>
      <c r="CL56" s="251"/>
      <c r="CM56" s="251"/>
      <c r="CN56" s="251"/>
      <c r="CO56" s="251"/>
      <c r="CP56" s="251"/>
      <c r="CQ56" s="251"/>
      <c r="CR56" s="251"/>
      <c r="CS56" s="251"/>
      <c r="CT56" s="251"/>
      <c r="CU56" s="251"/>
      <c r="CV56" s="251"/>
      <c r="CW56" s="251"/>
      <c r="CX56" s="251"/>
      <c r="CY56" s="251"/>
      <c r="CZ56" s="251"/>
      <c r="DA56" s="251"/>
      <c r="DB56" s="251"/>
      <c r="DC56" s="251"/>
      <c r="DD56" s="251"/>
      <c r="DE56" s="251"/>
      <c r="DF56" s="251"/>
      <c r="DG56" s="251"/>
      <c r="DH56" s="251"/>
      <c r="DI56" s="251"/>
      <c r="DJ56" s="251"/>
      <c r="DK56" s="251"/>
      <c r="DL56" s="251"/>
      <c r="DM56" s="251"/>
      <c r="DN56" s="251"/>
      <c r="DO56" s="251"/>
      <c r="DP56" s="251"/>
      <c r="DQ56" s="251"/>
      <c r="DR56" s="251"/>
      <c r="DS56" s="251"/>
      <c r="DT56" s="251"/>
      <c r="DU56" s="251"/>
      <c r="DV56" s="251"/>
      <c r="DW56" s="251"/>
      <c r="DX56" s="251"/>
      <c r="DY56" s="251"/>
      <c r="DZ56" s="251"/>
      <c r="EA56" s="251"/>
      <c r="EB56" s="251"/>
      <c r="EC56" s="251"/>
      <c r="ED56" s="251"/>
      <c r="EE56" s="251"/>
      <c r="EF56" s="251"/>
      <c r="EG56" s="251"/>
      <c r="EH56" s="251"/>
      <c r="EI56" s="251"/>
      <c r="EJ56" s="251"/>
      <c r="EK56" s="251"/>
      <c r="EL56" s="251"/>
      <c r="EM56" s="251"/>
      <c r="EN56" s="251"/>
      <c r="EO56" s="251"/>
      <c r="EP56" s="251"/>
      <c r="EQ56" s="251"/>
      <c r="ER56" s="251"/>
      <c r="ES56" s="251"/>
      <c r="ET56" s="251"/>
      <c r="EU56" s="251"/>
      <c r="EV56" s="251"/>
      <c r="EW56" s="251"/>
      <c r="EX56" s="251"/>
      <c r="EY56" s="251"/>
      <c r="EZ56" s="251"/>
      <c r="FA56" s="251"/>
      <c r="FB56" s="251"/>
      <c r="FC56" s="251"/>
      <c r="FD56" s="251"/>
      <c r="FE56" s="251"/>
      <c r="FF56" s="251"/>
      <c r="FG56" s="251"/>
      <c r="FH56" s="251"/>
      <c r="FI56" s="251"/>
      <c r="FJ56" s="251"/>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5"/>
      <c r="IK56" s="255"/>
      <c r="IL56" s="251"/>
      <c r="IM56" s="251"/>
      <c r="IN56" s="251"/>
      <c r="IO56" s="251"/>
      <c r="IP56" s="251"/>
      <c r="IQ56" s="251"/>
      <c r="IR56" s="251"/>
      <c r="IS56" s="251"/>
      <c r="IT56" s="251"/>
      <c r="IU56" s="251"/>
      <c r="IV56" s="251"/>
      <c r="IW56" s="251"/>
      <c r="IX56" s="251"/>
      <c r="IY56" s="251"/>
      <c r="IZ56" s="251"/>
      <c r="JA56" s="255"/>
      <c r="JB56" s="251"/>
      <c r="JC56" s="251"/>
      <c r="JD56" s="77"/>
      <c r="JE56" s="77"/>
      <c r="JF56" s="77"/>
      <c r="JG56" s="77"/>
      <c r="JH56" s="77"/>
      <c r="JI56" s="77"/>
      <c r="JJ56" s="77"/>
      <c r="JK56" s="77"/>
      <c r="JL56" s="77"/>
      <c r="JM56" s="77"/>
      <c r="JN56" s="77"/>
      <c r="JO56" s="77"/>
      <c r="JP56" s="77"/>
      <c r="JQ56" s="77"/>
      <c r="JR56" s="77"/>
      <c r="JS56" s="77"/>
      <c r="JT56" s="77"/>
      <c r="JU56" s="77"/>
      <c r="JV56" s="77"/>
      <c r="JW56" s="77"/>
      <c r="JX56" s="77"/>
      <c r="JY56" s="77"/>
      <c r="JZ56" s="77"/>
      <c r="KA56" s="77"/>
      <c r="KB56" s="77"/>
      <c r="KC56" s="77"/>
      <c r="KD56" s="77"/>
      <c r="KE56" s="77"/>
      <c r="KF56" s="77"/>
      <c r="KG56" s="77"/>
      <c r="KH56" s="77"/>
      <c r="KI56" s="77"/>
    </row>
    <row r="57" spans="1:295" s="35" customFormat="1" ht="12" customHeight="1" thickBot="1">
      <c r="A57" s="4565"/>
      <c r="B57" s="4565"/>
      <c r="C57" s="4565"/>
      <c r="D57" s="483" t="s">
        <v>814</v>
      </c>
      <c r="E57" s="484">
        <v>1</v>
      </c>
      <c r="F57" s="858" t="e">
        <f>IF(#REF! =0,"",#REF!)</f>
        <v>#REF!</v>
      </c>
      <c r="G57" s="485" t="e">
        <f>IF('Part VIII Scoring Criteria OLD'!$O$113='Part VIII Scoring Criteria OLD'!$M$113,$L57,
IF($P$50="Albany",VLOOKUP($A$56,'Cost Limits Threshold, Assumpt '!$E$4:$J$7,$E57+2),
IF($P$50="Athens",VLOOKUP($A$56,'Cost Limits Threshold, Assumpt '!$E$8:$J$11,$E57+2),
IF($P$50="Atlanta",VLOOKUP($A$56,'Cost Limits Threshold, Assumpt '!$E$12:$J$15,$E57+2),
IF($P$50="Augusta",VLOOKUP($A$56,'Cost Limits Threshold, Assumpt '!$E$16:$J$19,$E57+2),
IF($P$50="Chattanooga",VLOOKUP($A$56,'Cost Limits Threshold, Assumpt '!$E$20:$J$23,$E57+2),
IF($P$50="Columbus",VLOOKUP($A$56,'Cost Limits Threshold, Assumpt '!$E$24:$J$27,$E57+2),
IF($P$50="Macon",VLOOKUP($A$56,'Cost Limits Threshold, Assumpt '!$E$28:$J$31,$E57+2),
IF($P$50="Savannah",VLOOKUP($A$56,'Cost Limits Threshold, Assumpt '!$E$32:$J$35,$E57+2),
VLOOKUP($A$56,'Cost Limits Threshold, Assumpt '!$E$36:$J$39,$E57+2))))))))))*(1+#REF!)</f>
        <v>#REF!</v>
      </c>
      <c r="H57" s="16" t="e">
        <f>CONCATENATE("x ", F57," units = ")</f>
        <v>#REF!</v>
      </c>
      <c r="I57" s="859" t="e">
        <f>IF(F57="","",F57*G57)</f>
        <v>#REF!</v>
      </c>
      <c r="J57" s="43"/>
      <c r="K57" s="858" t="e">
        <f>IF(#REF! =0,"",#REF!)</f>
        <v>#REF!</v>
      </c>
      <c r="L57" s="485" t="e">
        <f>G57*(1+#REF!)</f>
        <v>#REF!</v>
      </c>
      <c r="M57" s="16" t="e">
        <f>CONCATENATE("x ", K57," units = ")</f>
        <v>#REF!</v>
      </c>
      <c r="N57" s="859" t="e">
        <f>IF(K57="","",K57*L57)</f>
        <v>#REF!</v>
      </c>
      <c r="P57" s="4315" t="s">
        <v>6749</v>
      </c>
      <c r="Q57" s="4315"/>
      <c r="AC57" s="257"/>
      <c r="AD57" s="257"/>
      <c r="AE57" s="257"/>
      <c r="AF57" s="257"/>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c r="CK57" s="251"/>
      <c r="CL57" s="251"/>
      <c r="CM57" s="251"/>
      <c r="CN57" s="251"/>
      <c r="CO57" s="251"/>
      <c r="CP57" s="251"/>
      <c r="CQ57" s="251"/>
      <c r="CR57" s="251"/>
      <c r="CS57" s="251"/>
      <c r="CT57" s="251"/>
      <c r="CU57" s="251"/>
      <c r="CV57" s="251"/>
      <c r="CW57" s="251"/>
      <c r="CX57" s="251"/>
      <c r="CY57" s="251"/>
      <c r="CZ57" s="251"/>
      <c r="DA57" s="251"/>
      <c r="DB57" s="251"/>
      <c r="DC57" s="251"/>
      <c r="DD57" s="251"/>
      <c r="DE57" s="251"/>
      <c r="DF57" s="251"/>
      <c r="DG57" s="251"/>
      <c r="DH57" s="251"/>
      <c r="DI57" s="251"/>
      <c r="DJ57" s="251"/>
      <c r="DK57" s="251"/>
      <c r="DL57" s="251"/>
      <c r="DM57" s="251"/>
      <c r="DN57" s="251"/>
      <c r="DO57" s="251"/>
      <c r="DP57" s="251"/>
      <c r="DQ57" s="251"/>
      <c r="DR57" s="251"/>
      <c r="DS57" s="251"/>
      <c r="DT57" s="251"/>
      <c r="DU57" s="251"/>
      <c r="DV57" s="251"/>
      <c r="DW57" s="251"/>
      <c r="DX57" s="251"/>
      <c r="DY57" s="251"/>
      <c r="DZ57" s="251"/>
      <c r="EA57" s="251"/>
      <c r="EB57" s="251"/>
      <c r="EC57" s="251"/>
      <c r="ED57" s="251"/>
      <c r="EE57" s="251"/>
      <c r="EF57" s="251"/>
      <c r="EG57" s="251"/>
      <c r="EH57" s="251"/>
      <c r="EI57" s="251"/>
      <c r="EJ57" s="251"/>
      <c r="EK57" s="251"/>
      <c r="EL57" s="251"/>
      <c r="EM57" s="251"/>
      <c r="EN57" s="251"/>
      <c r="EO57" s="251"/>
      <c r="EP57" s="251"/>
      <c r="EQ57" s="251"/>
      <c r="ER57" s="251"/>
      <c r="ES57" s="251"/>
      <c r="ET57" s="251"/>
      <c r="EU57" s="251"/>
      <c r="EV57" s="251"/>
      <c r="EW57" s="251"/>
      <c r="EX57" s="251"/>
      <c r="EY57" s="251"/>
      <c r="EZ57" s="251"/>
      <c r="FA57" s="251"/>
      <c r="FB57" s="251"/>
      <c r="FC57" s="251"/>
      <c r="FD57" s="251"/>
      <c r="FE57" s="251"/>
      <c r="FF57" s="251"/>
      <c r="FG57" s="251"/>
      <c r="FH57" s="251"/>
      <c r="FI57" s="251"/>
      <c r="FJ57" s="251"/>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5"/>
      <c r="IK57" s="255"/>
      <c r="IL57" s="251"/>
      <c r="IM57" s="251"/>
      <c r="IN57" s="251"/>
      <c r="IO57" s="251"/>
      <c r="IP57" s="251"/>
      <c r="IQ57" s="251"/>
      <c r="IR57" s="251"/>
      <c r="IS57" s="251"/>
      <c r="IT57" s="251"/>
      <c r="IU57" s="251"/>
      <c r="IV57" s="251"/>
      <c r="IW57" s="251"/>
      <c r="IX57" s="251"/>
      <c r="IY57" s="251"/>
      <c r="IZ57" s="251"/>
      <c r="JA57" s="255"/>
      <c r="JB57" s="251"/>
      <c r="JC57" s="251"/>
      <c r="JD57" s="77"/>
      <c r="JE57" s="77"/>
      <c r="JF57" s="77"/>
      <c r="JG57" s="77"/>
      <c r="JH57" s="77"/>
      <c r="JI57" s="77"/>
      <c r="JJ57" s="77"/>
      <c r="JK57" s="77"/>
      <c r="JL57" s="77"/>
      <c r="JM57" s="77"/>
      <c r="JN57" s="77"/>
      <c r="JO57" s="77"/>
      <c r="JP57" s="77"/>
      <c r="JQ57" s="77"/>
      <c r="JR57" s="77"/>
      <c r="JS57" s="77"/>
      <c r="JT57" s="77"/>
      <c r="JU57" s="77"/>
      <c r="JV57" s="77"/>
      <c r="JW57" s="77"/>
      <c r="JX57" s="77"/>
      <c r="JY57" s="77"/>
      <c r="JZ57" s="77"/>
      <c r="KA57" s="77"/>
      <c r="KB57" s="77"/>
      <c r="KC57" s="77"/>
      <c r="KD57" s="77"/>
      <c r="KE57" s="77"/>
      <c r="KF57" s="77"/>
      <c r="KG57" s="77"/>
      <c r="KH57" s="77"/>
      <c r="KI57" s="77"/>
    </row>
    <row r="58" spans="1:295" s="35" customFormat="1" ht="12" customHeight="1">
      <c r="A58" s="4565"/>
      <c r="B58" s="4565"/>
      <c r="C58" s="4565"/>
      <c r="D58" s="483" t="s">
        <v>815</v>
      </c>
      <c r="E58" s="484">
        <v>2</v>
      </c>
      <c r="F58" s="858" t="e">
        <f>IF(#REF! =0,"",#REF!)</f>
        <v>#REF!</v>
      </c>
      <c r="G58" s="485" t="e">
        <f>IF('Part VIII Scoring Criteria OLD'!$O$113='Part VIII Scoring Criteria OLD'!$M$113,$L58,
IF($P$50="Albany",VLOOKUP($A$56,'Cost Limits Threshold, Assumpt '!$E$4:$J$7,$E58+2),
IF($P$50="Athens",VLOOKUP($A$56,'Cost Limits Threshold, Assumpt '!$E$8:$J$11,$E58+2),
IF($P$50="Atlanta",VLOOKUP($A$56,'Cost Limits Threshold, Assumpt '!$E$12:$J$15,$E58+2),
IF($P$50="Augusta",VLOOKUP($A$56,'Cost Limits Threshold, Assumpt '!$E$16:$J$19,$E58+2),
IF($P$50="Chattanooga",VLOOKUP($A$56,'Cost Limits Threshold, Assumpt '!$E$20:$J$23,$E58+2),
IF($P$50="Columbus",VLOOKUP($A$56,'Cost Limits Threshold, Assumpt '!$E$24:$J$27,$E58+2),
IF($P$50="Macon",VLOOKUP($A$56,'Cost Limits Threshold, Assumpt '!$E$28:$J$31,$E58+2),
IF($P$50="Savannah",VLOOKUP($A$56,'Cost Limits Threshold, Assumpt '!$E$32:$J$35,$E58+2),
VLOOKUP($A$56,'Cost Limits Threshold, Assumpt '!$E$36:$J$39,$E58+2))))))))))*(1+#REF!)</f>
        <v>#REF!</v>
      </c>
      <c r="H58" s="16" t="e">
        <f>CONCATENATE("x ", F58," units = ")</f>
        <v>#REF!</v>
      </c>
      <c r="I58" s="859" t="e">
        <f>IF(F58="","",F58*G58)</f>
        <v>#REF!</v>
      </c>
      <c r="J58" s="43"/>
      <c r="K58" s="858" t="e">
        <f>IF(#REF! =0,"",#REF!)</f>
        <v>#REF!</v>
      </c>
      <c r="L58" s="485" t="e">
        <f>G58*(1+#REF!)</f>
        <v>#REF!</v>
      </c>
      <c r="M58" s="16" t="e">
        <f>CONCATENATE("x ", K58," units = ")</f>
        <v>#REF!</v>
      </c>
      <c r="N58" s="859" t="e">
        <f>IF(K58="","",K58*L58)</f>
        <v>#REF!</v>
      </c>
      <c r="O58" s="314"/>
      <c r="P58" s="4582"/>
      <c r="Q58" s="4583"/>
      <c r="R58" s="225"/>
      <c r="S58" s="4543" t="s">
        <v>6750</v>
      </c>
      <c r="T58" s="4544"/>
      <c r="U58" s="4544"/>
      <c r="V58" s="4545"/>
      <c r="AC58" s="257"/>
      <c r="AD58" s="257"/>
      <c r="AE58" s="257"/>
      <c r="AF58" s="257"/>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251"/>
      <c r="BO58" s="251"/>
      <c r="BP58" s="251"/>
      <c r="BQ58" s="251"/>
      <c r="BR58" s="251"/>
      <c r="BS58" s="251"/>
      <c r="BT58" s="251"/>
      <c r="BU58" s="251"/>
      <c r="BV58" s="251"/>
      <c r="BW58" s="251"/>
      <c r="BX58" s="251"/>
      <c r="BY58" s="251"/>
      <c r="BZ58" s="251"/>
      <c r="CA58" s="251"/>
      <c r="CB58" s="251"/>
      <c r="CC58" s="251"/>
      <c r="CD58" s="251"/>
      <c r="CE58" s="251"/>
      <c r="CF58" s="251"/>
      <c r="CG58" s="251"/>
      <c r="CH58" s="251"/>
      <c r="CI58" s="251"/>
      <c r="CJ58" s="251"/>
      <c r="CK58" s="251"/>
      <c r="CL58" s="251"/>
      <c r="CM58" s="251"/>
      <c r="CN58" s="251"/>
      <c r="CO58" s="251"/>
      <c r="CP58" s="251"/>
      <c r="CQ58" s="251"/>
      <c r="CR58" s="251"/>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c r="DX58" s="251"/>
      <c r="DY58" s="251"/>
      <c r="DZ58" s="251"/>
      <c r="EA58" s="251"/>
      <c r="EB58" s="251"/>
      <c r="EC58" s="251"/>
      <c r="ED58" s="251"/>
      <c r="EE58" s="251"/>
      <c r="EF58" s="251"/>
      <c r="EG58" s="251"/>
      <c r="EH58" s="251"/>
      <c r="EI58" s="251"/>
      <c r="EJ58" s="251"/>
      <c r="EK58" s="251"/>
      <c r="EL58" s="251"/>
      <c r="EM58" s="251"/>
      <c r="EN58" s="251"/>
      <c r="EO58" s="251"/>
      <c r="EP58" s="251"/>
      <c r="EQ58" s="251"/>
      <c r="ER58" s="251"/>
      <c r="ES58" s="251"/>
      <c r="ET58" s="251"/>
      <c r="EU58" s="251"/>
      <c r="EV58" s="251"/>
      <c r="EW58" s="251"/>
      <c r="EX58" s="251"/>
      <c r="EY58" s="251"/>
      <c r="EZ58" s="251"/>
      <c r="FA58" s="251"/>
      <c r="FB58" s="251"/>
      <c r="FC58" s="251"/>
      <c r="FD58" s="251"/>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5"/>
      <c r="IK58" s="255"/>
      <c r="IL58" s="251"/>
      <c r="IM58" s="251"/>
      <c r="IN58" s="251"/>
      <c r="IO58" s="251"/>
      <c r="IP58" s="251"/>
      <c r="IQ58" s="251"/>
      <c r="IR58" s="251"/>
      <c r="IS58" s="251"/>
      <c r="IT58" s="251"/>
      <c r="IU58" s="251"/>
      <c r="IV58" s="251"/>
      <c r="IW58" s="251"/>
      <c r="IX58" s="251"/>
      <c r="IY58" s="251"/>
      <c r="IZ58" s="251"/>
      <c r="JA58" s="255"/>
      <c r="JB58" s="251"/>
      <c r="JC58" s="251"/>
      <c r="JD58" s="77"/>
      <c r="JE58" s="77"/>
      <c r="JF58" s="77"/>
      <c r="JG58" s="77"/>
      <c r="JH58" s="77"/>
      <c r="JI58" s="77"/>
      <c r="JJ58" s="77"/>
      <c r="JK58" s="77"/>
      <c r="JL58" s="77"/>
      <c r="JM58" s="77"/>
      <c r="JN58" s="77"/>
      <c r="JO58" s="77"/>
      <c r="JP58" s="77"/>
      <c r="JQ58" s="77"/>
      <c r="JR58" s="77"/>
      <c r="JS58" s="77"/>
      <c r="JT58" s="77"/>
      <c r="JU58" s="77"/>
      <c r="JV58" s="77"/>
      <c r="JW58" s="77"/>
      <c r="JX58" s="77"/>
      <c r="JY58" s="77"/>
      <c r="JZ58" s="77"/>
      <c r="KA58" s="77"/>
      <c r="KB58" s="77"/>
      <c r="KC58" s="77"/>
      <c r="KD58" s="77"/>
      <c r="KE58" s="77"/>
      <c r="KF58" s="77"/>
      <c r="KG58" s="77"/>
      <c r="KH58" s="77"/>
      <c r="KI58" s="77"/>
    </row>
    <row r="59" spans="1:295" s="35" customFormat="1" ht="12" customHeight="1">
      <c r="A59" s="77"/>
      <c r="B59" s="77"/>
      <c r="C59" s="43"/>
      <c r="D59" s="483" t="s">
        <v>816</v>
      </c>
      <c r="E59" s="484">
        <v>3</v>
      </c>
      <c r="F59" s="858" t="e">
        <f>IF(#REF! =0,"",#REF!)</f>
        <v>#REF!</v>
      </c>
      <c r="G59" s="485" t="e">
        <f>IF('Part VIII Scoring Criteria OLD'!$O$113='Part VIII Scoring Criteria OLD'!$M$113,$L59,
IF($P$50="Albany",VLOOKUP($A$56,'Cost Limits Threshold, Assumpt '!$E$4:$J$7,$E59+2),
IF($P$50="Athens",VLOOKUP($A$56,'Cost Limits Threshold, Assumpt '!$E$8:$J$11,$E59+2),
IF($P$50="Atlanta",VLOOKUP($A$56,'Cost Limits Threshold, Assumpt '!$E$12:$J$15,$E59+2),
IF($P$50="Augusta",VLOOKUP($A$56,'Cost Limits Threshold, Assumpt '!$E$16:$J$19,$E59+2),
IF($P$50="Chattanooga",VLOOKUP($A$56,'Cost Limits Threshold, Assumpt '!$E$20:$J$23,$E59+2),
IF($P$50="Columbus",VLOOKUP($A$56,'Cost Limits Threshold, Assumpt '!$E$24:$J$27,$E59+2),
IF($P$50="Macon",VLOOKUP($A$56,'Cost Limits Threshold, Assumpt '!$E$28:$J$31,$E59+2),
IF($P$50="Savannah",VLOOKUP($A$56,'Cost Limits Threshold, Assumpt '!$E$32:$J$35,$E59+2),
VLOOKUP($A$56,'Cost Limits Threshold, Assumpt '!$E$36:$J$39,$E59+2))))))))))*(1+#REF!)</f>
        <v>#REF!</v>
      </c>
      <c r="H59" s="16" t="e">
        <f>CONCATENATE("x ", F59," units = ")</f>
        <v>#REF!</v>
      </c>
      <c r="I59" s="859" t="e">
        <f>IF(F59="","",F59*G59)</f>
        <v>#REF!</v>
      </c>
      <c r="J59" s="43"/>
      <c r="K59" s="858" t="e">
        <f>IF(#REF! =0,"",#REF!)</f>
        <v>#REF!</v>
      </c>
      <c r="L59" s="485" t="e">
        <f>G59*(1+#REF!)</f>
        <v>#REF!</v>
      </c>
      <c r="M59" s="16" t="e">
        <f>CONCATENATE("x ", K59," units = ")</f>
        <v>#REF!</v>
      </c>
      <c r="N59" s="859" t="e">
        <f>IF(K59="","",K59*L59)</f>
        <v>#REF!</v>
      </c>
      <c r="O59" s="314"/>
      <c r="P59" s="4584"/>
      <c r="Q59" s="4585"/>
      <c r="S59" s="4546"/>
      <c r="T59" s="4547"/>
      <c r="U59" s="4547"/>
      <c r="V59" s="4548"/>
      <c r="AC59" s="257"/>
      <c r="AD59" s="257"/>
      <c r="AE59" s="257"/>
      <c r="AF59" s="257"/>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1"/>
      <c r="BY59" s="251"/>
      <c r="BZ59" s="251"/>
      <c r="CA59" s="251"/>
      <c r="CB59" s="251"/>
      <c r="CC59" s="251"/>
      <c r="CD59" s="251"/>
      <c r="CE59" s="251"/>
      <c r="CF59" s="251"/>
      <c r="CG59" s="251"/>
      <c r="CH59" s="251"/>
      <c r="CI59" s="251"/>
      <c r="CJ59" s="251"/>
      <c r="CK59" s="251"/>
      <c r="CL59" s="251"/>
      <c r="CM59" s="251"/>
      <c r="CN59" s="251"/>
      <c r="CO59" s="251"/>
      <c r="CP59" s="251"/>
      <c r="CQ59" s="251"/>
      <c r="CR59" s="251"/>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c r="DX59" s="251"/>
      <c r="DY59" s="251"/>
      <c r="DZ59" s="251"/>
      <c r="EA59" s="251"/>
      <c r="EB59" s="251"/>
      <c r="EC59" s="251"/>
      <c r="ED59" s="251"/>
      <c r="EE59" s="251"/>
      <c r="EF59" s="251"/>
      <c r="EG59" s="251"/>
      <c r="EH59" s="251"/>
      <c r="EI59" s="251"/>
      <c r="EJ59" s="251"/>
      <c r="EK59" s="251"/>
      <c r="EL59" s="251"/>
      <c r="EM59" s="251"/>
      <c r="EN59" s="251"/>
      <c r="EO59" s="251"/>
      <c r="EP59" s="251"/>
      <c r="EQ59" s="251"/>
      <c r="ER59" s="251"/>
      <c r="ES59" s="251"/>
      <c r="ET59" s="251"/>
      <c r="EU59" s="251"/>
      <c r="EV59" s="251"/>
      <c r="EW59" s="251"/>
      <c r="EX59" s="251"/>
      <c r="EY59" s="251"/>
      <c r="EZ59" s="251"/>
      <c r="FA59" s="251"/>
      <c r="FB59" s="251"/>
      <c r="FC59" s="251"/>
      <c r="FD59" s="251"/>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5"/>
      <c r="IK59" s="255"/>
      <c r="IL59" s="251"/>
      <c r="IM59" s="251"/>
      <c r="IN59" s="251"/>
      <c r="IO59" s="251"/>
      <c r="IP59" s="251"/>
      <c r="IQ59" s="251"/>
      <c r="IR59" s="251"/>
      <c r="IS59" s="251"/>
      <c r="IT59" s="251"/>
      <c r="IU59" s="251"/>
      <c r="IV59" s="251"/>
      <c r="IW59" s="251"/>
      <c r="IX59" s="251"/>
      <c r="IY59" s="251"/>
      <c r="IZ59" s="251"/>
      <c r="JA59" s="255"/>
      <c r="JB59" s="251"/>
      <c r="JC59" s="251"/>
      <c r="JD59" s="77"/>
      <c r="JE59" s="77"/>
      <c r="JF59" s="77"/>
      <c r="JG59" s="77"/>
      <c r="JH59" s="77"/>
      <c r="JI59" s="77"/>
      <c r="JJ59" s="77"/>
      <c r="JK59" s="77"/>
      <c r="JL59" s="77"/>
      <c r="JM59" s="77"/>
      <c r="JN59" s="77"/>
      <c r="JO59" s="77"/>
      <c r="JP59" s="77"/>
      <c r="JQ59" s="77"/>
      <c r="JR59" s="77"/>
      <c r="JS59" s="77"/>
      <c r="JT59" s="77"/>
      <c r="JU59" s="77"/>
      <c r="JV59" s="77"/>
      <c r="JW59" s="77"/>
      <c r="JX59" s="77"/>
      <c r="JY59" s="77"/>
      <c r="JZ59" s="77"/>
      <c r="KA59" s="77"/>
      <c r="KB59" s="77"/>
      <c r="KC59" s="77"/>
      <c r="KD59" s="77"/>
      <c r="KE59" s="77"/>
      <c r="KF59" s="77"/>
      <c r="KG59" s="77"/>
      <c r="KH59" s="77"/>
      <c r="KI59" s="77"/>
    </row>
    <row r="60" spans="1:295" s="35" customFormat="1" ht="12" customHeight="1">
      <c r="A60" s="77"/>
      <c r="B60" s="77"/>
      <c r="C60" s="43"/>
      <c r="D60" s="483" t="s">
        <v>817</v>
      </c>
      <c r="E60" s="484">
        <v>4</v>
      </c>
      <c r="F60" s="858" t="e">
        <f>IF(#REF! =0,"",#REF!)</f>
        <v>#REF!</v>
      </c>
      <c r="G60" s="485" t="e">
        <f>IF('Part VIII Scoring Criteria OLD'!$O$113='Part VIII Scoring Criteria OLD'!$M$113,$L60,
IF($P$50="Albany",VLOOKUP($A$56,'Cost Limits Threshold, Assumpt '!$E$4:$J$7,$E60+2),
IF($P$50="Athens",VLOOKUP($A$56,'Cost Limits Threshold, Assumpt '!$E$8:$J$11,$E60+2),
IF($P$50="Atlanta",VLOOKUP($A$56,'Cost Limits Threshold, Assumpt '!$E$12:$J$15,$E60+2),
IF($P$50="Augusta",VLOOKUP($A$56,'Cost Limits Threshold, Assumpt '!$E$16:$J$19,$E60+2),
IF($P$50="Chattanooga",VLOOKUP($A$56,'Cost Limits Threshold, Assumpt '!$E$20:$J$23,$E60+2),
IF($P$50="Columbus",VLOOKUP($A$56,'Cost Limits Threshold, Assumpt '!$E$24:$J$27,$E60+2),
IF($P$50="Macon",VLOOKUP($A$56,'Cost Limits Threshold, Assumpt '!$E$28:$J$31,$E60+2),
IF($P$50="Savannah",VLOOKUP($A$56,'Cost Limits Threshold, Assumpt '!$E$32:$J$35,$E60+2),
VLOOKUP($A$56,'Cost Limits Threshold, Assumpt '!$E$36:$J$39,$E60+2))))))))))*(1+#REF!)</f>
        <v>#REF!</v>
      </c>
      <c r="H60" s="16" t="e">
        <f>CONCATENATE("x ", F60," units = ")</f>
        <v>#REF!</v>
      </c>
      <c r="I60" s="859" t="e">
        <f>IF(F60="","",F60*G60)</f>
        <v>#REF!</v>
      </c>
      <c r="J60" s="43"/>
      <c r="K60" s="858" t="e">
        <f>IF(#REF! =0,"",#REF!)</f>
        <v>#REF!</v>
      </c>
      <c r="L60" s="485" t="e">
        <f>G60*(1+#REF!)</f>
        <v>#REF!</v>
      </c>
      <c r="M60" s="16" t="e">
        <f>CONCATENATE("x ", K60," units = ")</f>
        <v>#REF!</v>
      </c>
      <c r="N60" s="859" t="e">
        <f>IF(K60="","",K60*L60)</f>
        <v>#REF!</v>
      </c>
      <c r="O60" s="314"/>
      <c r="P60" s="4564" t="s">
        <v>6751</v>
      </c>
      <c r="Q60" s="4564"/>
      <c r="S60" s="4546"/>
      <c r="T60" s="4547"/>
      <c r="U60" s="4547"/>
      <c r="V60" s="4548"/>
      <c r="AC60" s="257"/>
      <c r="AD60" s="257"/>
      <c r="AE60" s="257"/>
      <c r="AF60" s="257"/>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1"/>
      <c r="CR60" s="251"/>
      <c r="CS60" s="251"/>
      <c r="CT60" s="251"/>
      <c r="CU60" s="251"/>
      <c r="CV60" s="251"/>
      <c r="CW60" s="251"/>
      <c r="CX60" s="251"/>
      <c r="CY60" s="251"/>
      <c r="CZ60" s="251"/>
      <c r="DA60" s="251"/>
      <c r="DB60" s="251"/>
      <c r="DC60" s="251"/>
      <c r="DD60" s="251"/>
      <c r="DE60" s="251"/>
      <c r="DF60" s="251"/>
      <c r="DG60" s="251"/>
      <c r="DH60" s="251"/>
      <c r="DI60" s="251"/>
      <c r="DJ60" s="251"/>
      <c r="DK60" s="251"/>
      <c r="DL60" s="251"/>
      <c r="DM60" s="251"/>
      <c r="DN60" s="251"/>
      <c r="DO60" s="251"/>
      <c r="DP60" s="251"/>
      <c r="DQ60" s="251"/>
      <c r="DR60" s="251"/>
      <c r="DS60" s="251"/>
      <c r="DT60" s="251"/>
      <c r="DU60" s="251"/>
      <c r="DV60" s="251"/>
      <c r="DW60" s="251"/>
      <c r="DX60" s="251"/>
      <c r="DY60" s="251"/>
      <c r="DZ60" s="251"/>
      <c r="EA60" s="251"/>
      <c r="EB60" s="251"/>
      <c r="EC60" s="251"/>
      <c r="ED60" s="251"/>
      <c r="EE60" s="251"/>
      <c r="EF60" s="251"/>
      <c r="EG60" s="251"/>
      <c r="EH60" s="251"/>
      <c r="EI60" s="251"/>
      <c r="EJ60" s="251"/>
      <c r="EK60" s="251"/>
      <c r="EL60" s="251"/>
      <c r="EM60" s="251"/>
      <c r="EN60" s="251"/>
      <c r="EO60" s="251"/>
      <c r="EP60" s="251"/>
      <c r="EQ60" s="251"/>
      <c r="ER60" s="251"/>
      <c r="ES60" s="251"/>
      <c r="ET60" s="251"/>
      <c r="EU60" s="251"/>
      <c r="EV60" s="251"/>
      <c r="EW60" s="251"/>
      <c r="EX60" s="251"/>
      <c r="EY60" s="251"/>
      <c r="EZ60" s="251"/>
      <c r="FA60" s="251"/>
      <c r="FB60" s="251"/>
      <c r="FC60" s="251"/>
      <c r="FD60" s="251"/>
      <c r="FE60" s="251"/>
      <c r="FF60" s="251"/>
      <c r="FG60" s="251"/>
      <c r="FH60" s="251"/>
      <c r="FI60" s="251"/>
      <c r="FJ60" s="251"/>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5"/>
      <c r="IK60" s="255"/>
      <c r="IL60" s="251"/>
      <c r="IM60" s="251"/>
      <c r="IN60" s="251"/>
      <c r="IO60" s="251"/>
      <c r="IP60" s="251"/>
      <c r="IQ60" s="251"/>
      <c r="IR60" s="251"/>
      <c r="IS60" s="251"/>
      <c r="IT60" s="251"/>
      <c r="IU60" s="251"/>
      <c r="IV60" s="251"/>
      <c r="IW60" s="251"/>
      <c r="IX60" s="251"/>
      <c r="IY60" s="251"/>
      <c r="IZ60" s="251"/>
      <c r="JA60" s="255"/>
      <c r="JB60" s="251"/>
      <c r="JC60" s="251"/>
      <c r="JD60" s="77"/>
      <c r="JE60" s="77"/>
      <c r="JF60" s="77"/>
      <c r="JG60" s="77"/>
      <c r="JH60" s="77"/>
      <c r="JI60" s="77"/>
      <c r="JJ60" s="77"/>
      <c r="JK60" s="77"/>
      <c r="JL60" s="77"/>
      <c r="JM60" s="77"/>
      <c r="JN60" s="77"/>
      <c r="JO60" s="77"/>
      <c r="JP60" s="77"/>
      <c r="JQ60" s="77"/>
      <c r="JR60" s="77"/>
      <c r="JS60" s="77"/>
      <c r="JT60" s="77"/>
      <c r="JU60" s="77"/>
      <c r="JV60" s="77"/>
      <c r="JW60" s="77"/>
      <c r="JX60" s="77"/>
      <c r="JY60" s="77"/>
      <c r="JZ60" s="77"/>
      <c r="KA60" s="77"/>
      <c r="KB60" s="77"/>
      <c r="KC60" s="77"/>
      <c r="KD60" s="77"/>
      <c r="KE60" s="77"/>
      <c r="KF60" s="77"/>
      <c r="KG60" s="77"/>
      <c r="KH60" s="77"/>
      <c r="KI60" s="77"/>
    </row>
    <row r="61" spans="1:295" s="35" customFormat="1" ht="12" customHeight="1">
      <c r="A61" s="77"/>
      <c r="B61" s="77"/>
      <c r="C61" s="43"/>
      <c r="D61" s="324" t="s">
        <v>6746</v>
      </c>
      <c r="E61" s="229"/>
      <c r="F61" s="631" t="e">
        <f>SUM(F56:F60)</f>
        <v>#REF!</v>
      </c>
      <c r="G61" s="349"/>
      <c r="H61" s="632"/>
      <c r="I61" s="633" t="e">
        <f>SUM(I56:I60)</f>
        <v>#REF!</v>
      </c>
      <c r="J61" s="634"/>
      <c r="K61" s="631" t="e">
        <f>SUM(K56:K60)</f>
        <v>#REF!</v>
      </c>
      <c r="L61" s="634"/>
      <c r="M61" s="632"/>
      <c r="N61" s="633" t="e">
        <f>SUM(N56:N60)</f>
        <v>#REF!</v>
      </c>
      <c r="O61" s="314"/>
      <c r="P61" s="637" t="s">
        <v>1730</v>
      </c>
      <c r="Q61" s="637" t="s">
        <v>1724</v>
      </c>
      <c r="R61" s="225"/>
      <c r="S61" s="4546"/>
      <c r="T61" s="4547"/>
      <c r="U61" s="4547"/>
      <c r="V61" s="4548"/>
      <c r="AB61" s="257"/>
      <c r="AC61" s="257"/>
      <c r="AD61" s="257"/>
      <c r="AE61" s="257"/>
      <c r="AF61" s="257"/>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1"/>
      <c r="CR61" s="251"/>
      <c r="CS61" s="251"/>
      <c r="CT61" s="251"/>
      <c r="CU61" s="251"/>
      <c r="CV61" s="251"/>
      <c r="CW61" s="251"/>
      <c r="CX61" s="251"/>
      <c r="CY61" s="251"/>
      <c r="CZ61" s="251"/>
      <c r="DA61" s="251"/>
      <c r="DB61" s="251"/>
      <c r="DC61" s="251"/>
      <c r="DD61" s="251"/>
      <c r="DE61" s="251"/>
      <c r="DF61" s="251"/>
      <c r="DG61" s="251"/>
      <c r="DH61" s="251"/>
      <c r="DI61" s="251"/>
      <c r="DJ61" s="251"/>
      <c r="DK61" s="251"/>
      <c r="DL61" s="251"/>
      <c r="DM61" s="251"/>
      <c r="DN61" s="251"/>
      <c r="DO61" s="251"/>
      <c r="DP61" s="251"/>
      <c r="DQ61" s="251"/>
      <c r="DR61" s="251"/>
      <c r="DS61" s="251"/>
      <c r="DT61" s="251"/>
      <c r="DU61" s="251"/>
      <c r="DV61" s="251"/>
      <c r="DW61" s="251"/>
      <c r="DX61" s="251"/>
      <c r="DY61" s="251"/>
      <c r="DZ61" s="251"/>
      <c r="EA61" s="251"/>
      <c r="EB61" s="251"/>
      <c r="EC61" s="251"/>
      <c r="ED61" s="251"/>
      <c r="EE61" s="251"/>
      <c r="EF61" s="251"/>
      <c r="EG61" s="251"/>
      <c r="EH61" s="251"/>
      <c r="EI61" s="251"/>
      <c r="EJ61" s="251"/>
      <c r="EK61" s="251"/>
      <c r="EL61" s="251"/>
      <c r="EM61" s="251"/>
      <c r="EN61" s="251"/>
      <c r="EO61" s="251"/>
      <c r="EP61" s="251"/>
      <c r="EQ61" s="251"/>
      <c r="ER61" s="251"/>
      <c r="ES61" s="251"/>
      <c r="ET61" s="251"/>
      <c r="EU61" s="251"/>
      <c r="EV61" s="251"/>
      <c r="EW61" s="251"/>
      <c r="EX61" s="251"/>
      <c r="EY61" s="251"/>
      <c r="EZ61" s="251"/>
      <c r="FA61" s="251"/>
      <c r="FB61" s="251"/>
      <c r="FC61" s="251"/>
      <c r="FD61" s="251"/>
      <c r="FE61" s="251"/>
      <c r="FF61" s="251"/>
      <c r="FG61" s="251"/>
      <c r="FH61" s="251"/>
      <c r="FI61" s="251"/>
      <c r="FJ61" s="251"/>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5"/>
      <c r="IK61" s="255"/>
      <c r="IL61" s="251"/>
      <c r="IM61" s="251"/>
      <c r="IN61" s="251"/>
      <c r="IO61" s="251"/>
      <c r="IP61" s="251"/>
      <c r="IQ61" s="251"/>
      <c r="IR61" s="251"/>
      <c r="IS61" s="251"/>
      <c r="IT61" s="251"/>
      <c r="IU61" s="251"/>
      <c r="IV61" s="251"/>
      <c r="IW61" s="251"/>
      <c r="IX61" s="251"/>
      <c r="IY61" s="251"/>
      <c r="IZ61" s="251"/>
      <c r="JA61" s="255"/>
      <c r="JB61" s="251"/>
      <c r="JC61" s="251"/>
      <c r="JD61" s="77"/>
      <c r="JE61" s="77"/>
      <c r="JF61" s="77"/>
      <c r="JG61" s="77"/>
      <c r="JH61" s="77"/>
      <c r="JI61" s="77"/>
      <c r="JJ61" s="77"/>
      <c r="JK61" s="77"/>
      <c r="JL61" s="77"/>
      <c r="JM61" s="77"/>
      <c r="JN61" s="77"/>
      <c r="JO61" s="77"/>
      <c r="JP61" s="77"/>
      <c r="JQ61" s="77"/>
      <c r="JR61" s="77"/>
      <c r="JS61" s="77"/>
      <c r="JT61" s="77"/>
      <c r="JU61" s="77"/>
      <c r="JV61" s="77"/>
      <c r="JW61" s="77"/>
      <c r="JX61" s="77"/>
      <c r="JY61" s="77"/>
      <c r="JZ61" s="77"/>
      <c r="KA61" s="77"/>
      <c r="KB61" s="77"/>
      <c r="KC61" s="77"/>
      <c r="KD61" s="77"/>
      <c r="KE61" s="77"/>
      <c r="KF61" s="77"/>
      <c r="KG61" s="77"/>
      <c r="KH61" s="77"/>
      <c r="KI61" s="77"/>
    </row>
    <row r="62" spans="1:295" s="35" customFormat="1" ht="12" customHeight="1">
      <c r="A62" s="77"/>
      <c r="C62" s="43"/>
      <c r="D62" s="303"/>
      <c r="E62" s="303"/>
      <c r="F62" s="2589"/>
      <c r="G62" s="73"/>
      <c r="H62" s="77"/>
      <c r="I62" s="2589"/>
      <c r="J62" s="77"/>
      <c r="K62" s="2589"/>
      <c r="L62" s="77"/>
      <c r="M62" s="2586"/>
      <c r="N62" s="2589"/>
      <c r="O62" s="314"/>
      <c r="R62" s="225"/>
      <c r="S62" s="4546"/>
      <c r="T62" s="4547"/>
      <c r="U62" s="4547"/>
      <c r="V62" s="4548"/>
      <c r="W62" s="253"/>
      <c r="AB62" s="257"/>
      <c r="AC62" s="257"/>
      <c r="AD62" s="257"/>
      <c r="AE62" s="257"/>
      <c r="AF62" s="257"/>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1"/>
      <c r="BW62" s="251"/>
      <c r="BX62" s="251"/>
      <c r="BY62" s="251"/>
      <c r="BZ62" s="251"/>
      <c r="CA62" s="251"/>
      <c r="CB62" s="251"/>
      <c r="CC62" s="251"/>
      <c r="CD62" s="251"/>
      <c r="CE62" s="251"/>
      <c r="CF62" s="251"/>
      <c r="CG62" s="251"/>
      <c r="CH62" s="251"/>
      <c r="CI62" s="251"/>
      <c r="CJ62" s="251"/>
      <c r="CK62" s="251"/>
      <c r="CL62" s="251"/>
      <c r="CM62" s="251"/>
      <c r="CN62" s="251"/>
      <c r="CO62" s="251"/>
      <c r="CP62" s="251"/>
      <c r="CQ62" s="251"/>
      <c r="CR62" s="251"/>
      <c r="CS62" s="251"/>
      <c r="CT62" s="251"/>
      <c r="CU62" s="251"/>
      <c r="CV62" s="251"/>
      <c r="CW62" s="251"/>
      <c r="CX62" s="251"/>
      <c r="CY62" s="251"/>
      <c r="CZ62" s="251"/>
      <c r="DA62" s="251"/>
      <c r="DB62" s="251"/>
      <c r="DC62" s="251"/>
      <c r="DD62" s="251"/>
      <c r="DE62" s="251"/>
      <c r="DF62" s="251"/>
      <c r="DG62" s="251"/>
      <c r="DH62" s="251"/>
      <c r="DI62" s="251"/>
      <c r="DJ62" s="251"/>
      <c r="DK62" s="251"/>
      <c r="DL62" s="251"/>
      <c r="DM62" s="251"/>
      <c r="DN62" s="251"/>
      <c r="DO62" s="251"/>
      <c r="DP62" s="251"/>
      <c r="DQ62" s="251"/>
      <c r="DR62" s="251"/>
      <c r="DS62" s="251"/>
      <c r="DT62" s="251"/>
      <c r="DU62" s="251"/>
      <c r="DV62" s="251"/>
      <c r="DW62" s="251"/>
      <c r="DX62" s="251"/>
      <c r="DY62" s="251"/>
      <c r="DZ62" s="251"/>
      <c r="EA62" s="251"/>
      <c r="EB62" s="251"/>
      <c r="EC62" s="251"/>
      <c r="ED62" s="251"/>
      <c r="EE62" s="251"/>
      <c r="EF62" s="251"/>
      <c r="EG62" s="251"/>
      <c r="EH62" s="251"/>
      <c r="EI62" s="251"/>
      <c r="EJ62" s="251"/>
      <c r="EK62" s="251"/>
      <c r="EL62" s="251"/>
      <c r="EM62" s="251"/>
      <c r="EN62" s="251"/>
      <c r="EO62" s="251"/>
      <c r="EP62" s="251"/>
      <c r="EQ62" s="251"/>
      <c r="ER62" s="251"/>
      <c r="ES62" s="251"/>
      <c r="ET62" s="251"/>
      <c r="EU62" s="251"/>
      <c r="EV62" s="251"/>
      <c r="EW62" s="251"/>
      <c r="EX62" s="251"/>
      <c r="EY62" s="251"/>
      <c r="EZ62" s="251"/>
      <c r="FA62" s="251"/>
      <c r="FB62" s="251"/>
      <c r="FC62" s="251"/>
      <c r="FD62" s="251"/>
      <c r="FE62" s="251"/>
      <c r="FF62" s="251"/>
      <c r="FG62" s="251"/>
      <c r="FH62" s="251"/>
      <c r="FI62" s="251"/>
      <c r="FJ62" s="251"/>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5"/>
      <c r="IK62" s="255"/>
      <c r="IL62" s="251"/>
      <c r="IM62" s="251"/>
      <c r="IN62" s="251"/>
      <c r="IO62" s="251"/>
      <c r="IP62" s="251"/>
      <c r="IQ62" s="251"/>
      <c r="IR62" s="251"/>
      <c r="IS62" s="251"/>
      <c r="IT62" s="251"/>
      <c r="IU62" s="251"/>
      <c r="IV62" s="251"/>
      <c r="IW62" s="251"/>
      <c r="IX62" s="251"/>
      <c r="IY62" s="251"/>
      <c r="IZ62" s="251"/>
      <c r="JA62" s="255"/>
      <c r="JB62" s="251"/>
      <c r="JC62" s="251"/>
      <c r="JD62" s="77"/>
      <c r="JE62" s="77"/>
      <c r="JF62" s="77"/>
      <c r="JG62" s="77"/>
      <c r="JH62" s="77"/>
      <c r="JI62" s="77"/>
      <c r="JJ62" s="77"/>
      <c r="JK62" s="77"/>
      <c r="JL62" s="77"/>
      <c r="JM62" s="77"/>
      <c r="JN62" s="77"/>
      <c r="JO62" s="77"/>
      <c r="JP62" s="77"/>
      <c r="JQ62" s="77"/>
      <c r="JR62" s="77"/>
      <c r="JS62" s="77"/>
      <c r="JT62" s="77"/>
      <c r="JU62" s="77"/>
      <c r="JV62" s="77"/>
      <c r="JW62" s="77"/>
      <c r="JX62" s="77"/>
      <c r="JY62" s="77"/>
      <c r="JZ62" s="77"/>
      <c r="KA62" s="77"/>
      <c r="KB62" s="77"/>
      <c r="KC62" s="77"/>
      <c r="KD62" s="77"/>
      <c r="KE62" s="77"/>
      <c r="KF62" s="77"/>
      <c r="KG62" s="77"/>
      <c r="KH62" s="77"/>
      <c r="KI62" s="77"/>
    </row>
    <row r="63" spans="1:295" s="35" customFormat="1" ht="12" customHeight="1">
      <c r="A63" s="323" t="s">
        <v>1268</v>
      </c>
      <c r="B63" s="322"/>
      <c r="C63" s="43"/>
      <c r="D63" s="483" t="s">
        <v>772</v>
      </c>
      <c r="E63" s="484">
        <v>0</v>
      </c>
      <c r="F63" s="858" t="e">
        <f>IF(#REF! =0,"",#REF!)</f>
        <v>#REF!</v>
      </c>
      <c r="G63" s="485" t="e">
        <f>IF('Part VIII Scoring Criteria OLD'!$O$113='Part VIII Scoring Criteria OLD'!$M$113,$L63,
IF($P$50="Albany",VLOOKUP($A$63,'Cost Limits Threshold, Assumpt '!$E$4:$J$7,$E63+2),
IF($P$50="Athens",VLOOKUP($A$63,'Cost Limits Threshold, Assumpt '!$E$8:$J$11,$E63+2),
IF($P$50="Atlanta",VLOOKUP($A$63,'Cost Limits Threshold, Assumpt '!$E$12:$J$15,$E63+2),
IF($P$50="Augusta",VLOOKUP($A$63,'Cost Limits Threshold, Assumpt '!$E$16:$J$19,$E63+2),
IF($P$50="Chattanooga",VLOOKUP($A$63,'Cost Limits Threshold, Assumpt '!$E$20:$J$23,$E63+2),
IF($P$50="Columbus",VLOOKUP($A$63,'Cost Limits Threshold, Assumpt '!$E$24:$J$27,$E63+2),
IF($P$50="Macon",VLOOKUP($A$63,'Cost Limits Threshold, Assumpt '!$E$28:$J$31,$E63+2),
IF($P$50="Savannah",VLOOKUP($A$63,'Cost Limits Threshold, Assumpt '!$E$32:$J$35,$E63+2),
VLOOKUP($A$63,'Cost Limits Threshold, Assumpt '!$E$36:$J$39,$E63+2))))))))))*(1+#REF!)</f>
        <v>#REF!</v>
      </c>
      <c r="H63" s="16" t="e">
        <f>CONCATENATE("x ", F63," units = ")</f>
        <v>#REF!</v>
      </c>
      <c r="I63" s="859" t="e">
        <f>IF(F63="","",F63*G63)</f>
        <v>#REF!</v>
      </c>
      <c r="J63" s="43"/>
      <c r="K63" s="858" t="e">
        <f>IF(#REF! =0,"",#REF!)</f>
        <v>#REF!</v>
      </c>
      <c r="L63" s="485" t="e">
        <f>G63*(1+#REF!)</f>
        <v>#REF!</v>
      </c>
      <c r="M63" s="16" t="e">
        <f>CONCATENATE("x ", K63," units = ")</f>
        <v>#REF!</v>
      </c>
      <c r="N63" s="859" t="e">
        <f>IF(K63="","",K63*L63)</f>
        <v>#REF!</v>
      </c>
      <c r="O63" s="314"/>
      <c r="P63" s="636">
        <f>'Part VIII Scoring Criteria OLD'!O378</f>
        <v>0</v>
      </c>
      <c r="Q63" s="636">
        <f>'Part VIII Scoring Criteria OLD'!P378</f>
        <v>0</v>
      </c>
      <c r="R63" s="225"/>
      <c r="S63" s="4546"/>
      <c r="T63" s="4547"/>
      <c r="U63" s="4547"/>
      <c r="V63" s="4548"/>
      <c r="W63" s="253"/>
      <c r="AB63" s="257"/>
      <c r="AC63" s="257"/>
      <c r="AD63" s="257"/>
      <c r="AE63" s="257"/>
      <c r="AF63" s="257"/>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1"/>
      <c r="BR63" s="251"/>
      <c r="BS63" s="251"/>
      <c r="BT63" s="251"/>
      <c r="BU63" s="251"/>
      <c r="BV63" s="251"/>
      <c r="BW63" s="251"/>
      <c r="BX63" s="251"/>
      <c r="BY63" s="251"/>
      <c r="BZ63" s="251"/>
      <c r="CA63" s="251"/>
      <c r="CB63" s="251"/>
      <c r="CC63" s="251"/>
      <c r="CD63" s="251"/>
      <c r="CE63" s="251"/>
      <c r="CF63" s="251"/>
      <c r="CG63" s="251"/>
      <c r="CH63" s="251"/>
      <c r="CI63" s="251"/>
      <c r="CJ63" s="251"/>
      <c r="CK63" s="251"/>
      <c r="CL63" s="251"/>
      <c r="CM63" s="251"/>
      <c r="CN63" s="251"/>
      <c r="CO63" s="251"/>
      <c r="CP63" s="251"/>
      <c r="CQ63" s="251"/>
      <c r="CR63" s="251"/>
      <c r="CS63" s="251"/>
      <c r="CT63" s="251"/>
      <c r="CU63" s="251"/>
      <c r="CV63" s="251"/>
      <c r="CW63" s="251"/>
      <c r="CX63" s="251"/>
      <c r="CY63" s="251"/>
      <c r="CZ63" s="251"/>
      <c r="DA63" s="251"/>
      <c r="DB63" s="251"/>
      <c r="DC63" s="251"/>
      <c r="DD63" s="251"/>
      <c r="DE63" s="251"/>
      <c r="DF63" s="251"/>
      <c r="DG63" s="251"/>
      <c r="DH63" s="251"/>
      <c r="DI63" s="251"/>
      <c r="DJ63" s="251"/>
      <c r="DK63" s="251"/>
      <c r="DL63" s="251"/>
      <c r="DM63" s="251"/>
      <c r="DN63" s="251"/>
      <c r="DO63" s="251"/>
      <c r="DP63" s="251"/>
      <c r="DQ63" s="251"/>
      <c r="DR63" s="251"/>
      <c r="DS63" s="251"/>
      <c r="DT63" s="251"/>
      <c r="DU63" s="251"/>
      <c r="DV63" s="251"/>
      <c r="DW63" s="251"/>
      <c r="DX63" s="251"/>
      <c r="DY63" s="251"/>
      <c r="DZ63" s="251"/>
      <c r="EA63" s="251"/>
      <c r="EB63" s="251"/>
      <c r="EC63" s="251"/>
      <c r="ED63" s="251"/>
      <c r="EE63" s="251"/>
      <c r="EF63" s="251"/>
      <c r="EG63" s="251"/>
      <c r="EH63" s="251"/>
      <c r="EI63" s="251"/>
      <c r="EJ63" s="251"/>
      <c r="EK63" s="251"/>
      <c r="EL63" s="251"/>
      <c r="EM63" s="251"/>
      <c r="EN63" s="251"/>
      <c r="EO63" s="251"/>
      <c r="EP63" s="251"/>
      <c r="EQ63" s="251"/>
      <c r="ER63" s="251"/>
      <c r="ES63" s="251"/>
      <c r="ET63" s="251"/>
      <c r="EU63" s="251"/>
      <c r="EV63" s="251"/>
      <c r="EW63" s="251"/>
      <c r="EX63" s="251"/>
      <c r="EY63" s="251"/>
      <c r="EZ63" s="251"/>
      <c r="FA63" s="251"/>
      <c r="FB63" s="251"/>
      <c r="FC63" s="251"/>
      <c r="FD63" s="251"/>
      <c r="FE63" s="251"/>
      <c r="FF63" s="251"/>
      <c r="FG63" s="251"/>
      <c r="FH63" s="251"/>
      <c r="FI63" s="251"/>
      <c r="FJ63" s="251"/>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5"/>
      <c r="IK63" s="255"/>
      <c r="IL63" s="251"/>
      <c r="IM63" s="251"/>
      <c r="IN63" s="251"/>
      <c r="IO63" s="251"/>
      <c r="IP63" s="251"/>
      <c r="IQ63" s="251"/>
      <c r="IR63" s="251"/>
      <c r="IS63" s="251"/>
      <c r="IT63" s="251"/>
      <c r="IU63" s="251"/>
      <c r="IV63" s="251"/>
      <c r="IW63" s="251"/>
      <c r="IX63" s="251"/>
      <c r="IY63" s="251"/>
      <c r="IZ63" s="251"/>
      <c r="JA63" s="255"/>
      <c r="JB63" s="251"/>
      <c r="JC63" s="251"/>
      <c r="JD63" s="77"/>
      <c r="JE63" s="77"/>
      <c r="JF63" s="77"/>
      <c r="JG63" s="77"/>
      <c r="JH63" s="77"/>
      <c r="JI63" s="77"/>
      <c r="JJ63" s="77"/>
      <c r="JK63" s="77"/>
      <c r="JL63" s="77"/>
      <c r="JM63" s="77"/>
      <c r="JN63" s="77"/>
      <c r="JO63" s="77"/>
      <c r="JP63" s="77"/>
      <c r="JQ63" s="77"/>
      <c r="JR63" s="77"/>
      <c r="JS63" s="77"/>
      <c r="JT63" s="77"/>
      <c r="JU63" s="77"/>
      <c r="JV63" s="77"/>
      <c r="JW63" s="77"/>
      <c r="JX63" s="77"/>
      <c r="JY63" s="77"/>
      <c r="JZ63" s="77"/>
      <c r="KA63" s="77"/>
      <c r="KB63" s="77"/>
      <c r="KC63" s="77"/>
      <c r="KD63" s="77"/>
      <c r="KE63" s="77"/>
      <c r="KF63" s="77"/>
      <c r="KG63" s="77"/>
      <c r="KH63" s="77"/>
      <c r="KI63" s="77"/>
    </row>
    <row r="64" spans="1:295" s="35" customFormat="1" ht="12" customHeight="1">
      <c r="A64" s="77"/>
      <c r="B64" s="77"/>
      <c r="C64" s="43"/>
      <c r="D64" s="483" t="s">
        <v>814</v>
      </c>
      <c r="E64" s="484">
        <v>1</v>
      </c>
      <c r="F64" s="858" t="e">
        <f>IF(#REF! =0,"",#REF!)</f>
        <v>#REF!</v>
      </c>
      <c r="G64" s="485" t="e">
        <f>IF('Part VIII Scoring Criteria OLD'!$O$113='Part VIII Scoring Criteria OLD'!$M$113,$L64,
IF($P$50="Albany",VLOOKUP($A$63,'Cost Limits Threshold, Assumpt '!$E$4:$J$7,$E64+2),
IF($P$50="Athens",VLOOKUP($A$63,'Cost Limits Threshold, Assumpt '!$E$8:$J$11,$E64+2),
IF($P$50="Atlanta",VLOOKUP($A$63,'Cost Limits Threshold, Assumpt '!$E$12:$J$15,$E64+2),
IF($P$50="Augusta",VLOOKUP($A$63,'Cost Limits Threshold, Assumpt '!$E$16:$J$19,$E64+2),
IF($P$50="Chattanooga",VLOOKUP($A$63,'Cost Limits Threshold, Assumpt '!$E$20:$J$23,$E64+2),
IF($P$50="Columbus",VLOOKUP($A$63,'Cost Limits Threshold, Assumpt '!$E$24:$J$27,$E64+2),
IF($P$50="Macon",VLOOKUP($A$63,'Cost Limits Threshold, Assumpt '!$E$28:$J$31,$E64+2),
IF($P$50="Savannah",VLOOKUP($A$63,'Cost Limits Threshold, Assumpt '!$E$32:$J$35,$E64+2),
VLOOKUP($A$63,'Cost Limits Threshold, Assumpt '!$E$36:$J$39,$E64+2))))))))))*(1+#REF!)</f>
        <v>#REF!</v>
      </c>
      <c r="H64" s="16" t="e">
        <f>CONCATENATE("x ", F64," units = ")</f>
        <v>#REF!</v>
      </c>
      <c r="I64" s="859" t="e">
        <f>IF(F64="","",F64*G64)</f>
        <v>#REF!</v>
      </c>
      <c r="J64" s="43"/>
      <c r="K64" s="858" t="e">
        <f>IF(#REF! =0,"",#REF!)</f>
        <v>#REF!</v>
      </c>
      <c r="L64" s="485" t="e">
        <f>G64*(1+#REF!)</f>
        <v>#REF!</v>
      </c>
      <c r="M64" s="16" t="e">
        <f>CONCATENATE("x ", K64," units = ")</f>
        <v>#REF!</v>
      </c>
      <c r="N64" s="859" t="e">
        <f>IF(K64="","",K64*L64)</f>
        <v>#REF!</v>
      </c>
      <c r="P64" s="4564" t="s">
        <v>6752</v>
      </c>
      <c r="Q64" s="4564"/>
      <c r="S64" s="4546"/>
      <c r="T64" s="4547"/>
      <c r="U64" s="4547"/>
      <c r="V64" s="4548"/>
      <c r="W64" s="253"/>
      <c r="AB64" s="257"/>
      <c r="AC64" s="257"/>
      <c r="AD64" s="257"/>
      <c r="AE64" s="257"/>
      <c r="AF64" s="257"/>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1"/>
      <c r="BR64" s="251"/>
      <c r="BS64" s="251"/>
      <c r="BT64" s="251"/>
      <c r="BU64" s="251"/>
      <c r="BV64" s="251"/>
      <c r="BW64" s="251"/>
      <c r="BX64" s="251"/>
      <c r="BY64" s="251"/>
      <c r="BZ64" s="251"/>
      <c r="CA64" s="251"/>
      <c r="CB64" s="251"/>
      <c r="CC64" s="251"/>
      <c r="CD64" s="251"/>
      <c r="CE64" s="251"/>
      <c r="CF64" s="251"/>
      <c r="CG64" s="251"/>
      <c r="CH64" s="251"/>
      <c r="CI64" s="251"/>
      <c r="CJ64" s="251"/>
      <c r="CK64" s="251"/>
      <c r="CL64" s="251"/>
      <c r="CM64" s="251"/>
      <c r="CN64" s="251"/>
      <c r="CO64" s="251"/>
      <c r="CP64" s="251"/>
      <c r="CQ64" s="251"/>
      <c r="CR64" s="251"/>
      <c r="CS64" s="251"/>
      <c r="CT64" s="251"/>
      <c r="CU64" s="251"/>
      <c r="CV64" s="251"/>
      <c r="CW64" s="251"/>
      <c r="CX64" s="251"/>
      <c r="CY64" s="251"/>
      <c r="CZ64" s="251"/>
      <c r="DA64" s="251"/>
      <c r="DB64" s="251"/>
      <c r="DC64" s="251"/>
      <c r="DD64" s="251"/>
      <c r="DE64" s="251"/>
      <c r="DF64" s="251"/>
      <c r="DG64" s="251"/>
      <c r="DH64" s="251"/>
      <c r="DI64" s="251"/>
      <c r="DJ64" s="251"/>
      <c r="DK64" s="251"/>
      <c r="DL64" s="251"/>
      <c r="DM64" s="251"/>
      <c r="DN64" s="251"/>
      <c r="DO64" s="251"/>
      <c r="DP64" s="251"/>
      <c r="DQ64" s="251"/>
      <c r="DR64" s="251"/>
      <c r="DS64" s="251"/>
      <c r="DT64" s="251"/>
      <c r="DU64" s="251"/>
      <c r="DV64" s="251"/>
      <c r="DW64" s="251"/>
      <c r="DX64" s="251"/>
      <c r="DY64" s="251"/>
      <c r="DZ64" s="251"/>
      <c r="EA64" s="251"/>
      <c r="EB64" s="251"/>
      <c r="EC64" s="251"/>
      <c r="ED64" s="251"/>
      <c r="EE64" s="251"/>
      <c r="EF64" s="251"/>
      <c r="EG64" s="251"/>
      <c r="EH64" s="251"/>
      <c r="EI64" s="251"/>
      <c r="EJ64" s="251"/>
      <c r="EK64" s="251"/>
      <c r="EL64" s="251"/>
      <c r="EM64" s="251"/>
      <c r="EN64" s="251"/>
      <c r="EO64" s="251"/>
      <c r="EP64" s="251"/>
      <c r="EQ64" s="251"/>
      <c r="ER64" s="251"/>
      <c r="ES64" s="251"/>
      <c r="ET64" s="251"/>
      <c r="EU64" s="251"/>
      <c r="EV64" s="251"/>
      <c r="EW64" s="251"/>
      <c r="EX64" s="251"/>
      <c r="EY64" s="251"/>
      <c r="EZ64" s="251"/>
      <c r="FA64" s="251"/>
      <c r="FB64" s="251"/>
      <c r="FC64" s="251"/>
      <c r="FD64" s="251"/>
      <c r="FE64" s="251"/>
      <c r="FF64" s="251"/>
      <c r="FG64" s="251"/>
      <c r="FH64" s="251"/>
      <c r="FI64" s="251"/>
      <c r="FJ64" s="251"/>
      <c r="FK64" s="251"/>
      <c r="FL64" s="251"/>
      <c r="FM64" s="251"/>
      <c r="FN64" s="251"/>
      <c r="FO64" s="251"/>
      <c r="FP64" s="251"/>
      <c r="FQ64" s="251"/>
      <c r="FR64" s="251"/>
      <c r="FS64" s="251"/>
      <c r="FT64" s="251"/>
      <c r="FU64" s="251"/>
      <c r="FV64" s="251"/>
      <c r="FW64" s="251"/>
      <c r="FX64" s="251"/>
      <c r="FY64" s="251"/>
      <c r="FZ64" s="251"/>
      <c r="GA64" s="251"/>
      <c r="GB64" s="251"/>
      <c r="GC64" s="251"/>
      <c r="GD64" s="251"/>
      <c r="GE64" s="251"/>
      <c r="GF64" s="251"/>
      <c r="GG64" s="251"/>
      <c r="GH64" s="251"/>
      <c r="GI64" s="251"/>
      <c r="GJ64" s="251"/>
      <c r="GK64" s="251"/>
      <c r="GL64" s="251"/>
      <c r="GM64" s="251"/>
      <c r="GN64" s="251"/>
      <c r="GO64" s="251"/>
      <c r="GP64" s="251"/>
      <c r="GQ64" s="251"/>
      <c r="GR64" s="251"/>
      <c r="GS64" s="251"/>
      <c r="GT64" s="251"/>
      <c r="GU64" s="251"/>
      <c r="GV64" s="251"/>
      <c r="GW64" s="251"/>
      <c r="GX64" s="251"/>
      <c r="GY64" s="251"/>
      <c r="GZ64" s="251"/>
      <c r="HA64" s="251"/>
      <c r="HB64" s="251"/>
      <c r="HC64" s="251"/>
      <c r="HD64" s="251"/>
      <c r="HE64" s="251"/>
      <c r="HF64" s="251"/>
      <c r="HG64" s="251"/>
      <c r="HH64" s="251"/>
      <c r="HI64" s="251"/>
      <c r="HJ64" s="251"/>
      <c r="HK64" s="251"/>
      <c r="HL64" s="251"/>
      <c r="HM64" s="251"/>
      <c r="HN64" s="251"/>
      <c r="HO64" s="251"/>
      <c r="HP64" s="251"/>
      <c r="HQ64" s="251"/>
      <c r="HR64" s="251"/>
      <c r="HS64" s="251"/>
      <c r="HT64" s="251"/>
      <c r="HU64" s="251"/>
      <c r="HV64" s="251"/>
      <c r="HW64" s="251"/>
      <c r="HX64" s="251"/>
      <c r="HY64" s="251"/>
      <c r="HZ64" s="251"/>
      <c r="IA64" s="251"/>
      <c r="IB64" s="251"/>
      <c r="IC64" s="251"/>
      <c r="ID64" s="251"/>
      <c r="IE64" s="251"/>
      <c r="IF64" s="251"/>
      <c r="IG64" s="251"/>
      <c r="IH64" s="251"/>
      <c r="II64" s="251"/>
      <c r="IJ64" s="255"/>
      <c r="IK64" s="255"/>
      <c r="IL64" s="251"/>
      <c r="IM64" s="251"/>
      <c r="IN64" s="251"/>
      <c r="IO64" s="251"/>
      <c r="IP64" s="251"/>
      <c r="IQ64" s="251"/>
      <c r="IR64" s="251"/>
      <c r="IS64" s="251"/>
      <c r="IT64" s="251"/>
      <c r="IU64" s="251"/>
      <c r="IV64" s="251"/>
      <c r="IW64" s="251"/>
      <c r="IX64" s="251"/>
      <c r="IY64" s="251"/>
      <c r="IZ64" s="251"/>
      <c r="JA64" s="255"/>
      <c r="JB64" s="251"/>
      <c r="JC64" s="251"/>
      <c r="JD64" s="77"/>
      <c r="JE64" s="77"/>
      <c r="JF64" s="77"/>
      <c r="JG64" s="77"/>
      <c r="JH64" s="77"/>
      <c r="JI64" s="77"/>
      <c r="JJ64" s="77"/>
      <c r="JK64" s="77"/>
      <c r="JL64" s="77"/>
      <c r="JM64" s="77"/>
      <c r="JN64" s="77"/>
      <c r="JO64" s="77"/>
      <c r="JP64" s="77"/>
      <c r="JQ64" s="77"/>
      <c r="JR64" s="77"/>
      <c r="JS64" s="77"/>
      <c r="JT64" s="77"/>
      <c r="JU64" s="77"/>
      <c r="JV64" s="77"/>
      <c r="JW64" s="77"/>
      <c r="JX64" s="77"/>
      <c r="JY64" s="77"/>
      <c r="JZ64" s="77"/>
      <c r="KA64" s="77"/>
      <c r="KB64" s="77"/>
      <c r="KC64" s="77"/>
      <c r="KD64" s="77"/>
      <c r="KE64" s="77"/>
      <c r="KF64" s="77"/>
      <c r="KG64" s="77"/>
      <c r="KH64" s="77"/>
      <c r="KI64" s="77"/>
    </row>
    <row r="65" spans="1:295" s="35" customFormat="1" ht="12" customHeight="1">
      <c r="A65" s="77"/>
      <c r="B65" s="77"/>
      <c r="C65" s="43"/>
      <c r="D65" s="483" t="s">
        <v>815</v>
      </c>
      <c r="E65" s="484">
        <v>2</v>
      </c>
      <c r="F65" s="858" t="e">
        <f>IF(#REF! =0,"",#REF!)</f>
        <v>#REF!</v>
      </c>
      <c r="G65" s="485" t="e">
        <f>IF('Part VIII Scoring Criteria OLD'!$O$113='Part VIII Scoring Criteria OLD'!$M$113,$L65,
IF($P$50="Albany",VLOOKUP($A$63,'Cost Limits Threshold, Assumpt '!$E$4:$J$7,$E65+2),
IF($P$50="Athens",VLOOKUP($A$63,'Cost Limits Threshold, Assumpt '!$E$8:$J$11,$E65+2),
IF($P$50="Atlanta",VLOOKUP($A$63,'Cost Limits Threshold, Assumpt '!$E$12:$J$15,$E65+2),
IF($P$50="Augusta",VLOOKUP($A$63,'Cost Limits Threshold, Assumpt '!$E$16:$J$19,$E65+2),
IF($P$50="Chattanooga",VLOOKUP($A$63,'Cost Limits Threshold, Assumpt '!$E$20:$J$23,$E65+2),
IF($P$50="Columbus",VLOOKUP($A$63,'Cost Limits Threshold, Assumpt '!$E$24:$J$27,$E65+2),
IF($P$50="Macon",VLOOKUP($A$63,'Cost Limits Threshold, Assumpt '!$E$28:$J$31,$E65+2),
IF($P$50="Savannah",VLOOKUP($A$63,'Cost Limits Threshold, Assumpt '!$E$32:$J$35,$E65+2),
VLOOKUP($A$63,'Cost Limits Threshold, Assumpt '!$E$36:$J$39,$E65+2))))))))))*(1+#REF!)</f>
        <v>#REF!</v>
      </c>
      <c r="H65" s="16" t="e">
        <f>CONCATENATE("x ", F65," units = ")</f>
        <v>#REF!</v>
      </c>
      <c r="I65" s="859" t="e">
        <f>IF(F65="","",F65*G65)</f>
        <v>#REF!</v>
      </c>
      <c r="J65" s="43"/>
      <c r="K65" s="858" t="e">
        <f>IF(#REF! =0,"",#REF!)</f>
        <v>#REF!</v>
      </c>
      <c r="L65" s="485" t="e">
        <f>G65*(1+#REF!)</f>
        <v>#REF!</v>
      </c>
      <c r="M65" s="16" t="e">
        <f>CONCATENATE("x ", K65," units = ")</f>
        <v>#REF!</v>
      </c>
      <c r="N65" s="859" t="e">
        <f>IF(K65="","",K65*L65)</f>
        <v>#REF!</v>
      </c>
      <c r="P65" s="637" t="s">
        <v>1730</v>
      </c>
      <c r="Q65" s="637" t="s">
        <v>1724</v>
      </c>
      <c r="S65" s="4546"/>
      <c r="T65" s="4547"/>
      <c r="U65" s="4547"/>
      <c r="V65" s="4548"/>
      <c r="W65" s="253"/>
      <c r="AB65" s="257"/>
      <c r="AC65" s="257"/>
      <c r="AD65" s="257"/>
      <c r="AE65" s="257"/>
      <c r="AF65" s="257"/>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S65" s="251"/>
      <c r="CT65" s="251"/>
      <c r="CU65" s="251"/>
      <c r="CV65" s="251"/>
      <c r="CW65" s="251"/>
      <c r="CX65" s="251"/>
      <c r="CY65" s="251"/>
      <c r="CZ65" s="251"/>
      <c r="DA65" s="251"/>
      <c r="DB65" s="251"/>
      <c r="DC65" s="251"/>
      <c r="DD65" s="251"/>
      <c r="DE65" s="251"/>
      <c r="DF65" s="251"/>
      <c r="DG65" s="251"/>
      <c r="DH65" s="251"/>
      <c r="DI65" s="251"/>
      <c r="DJ65" s="251"/>
      <c r="DK65" s="251"/>
      <c r="DL65" s="251"/>
      <c r="DM65" s="251"/>
      <c r="DN65" s="251"/>
      <c r="DO65" s="251"/>
      <c r="DP65" s="251"/>
      <c r="DQ65" s="251"/>
      <c r="DR65" s="251"/>
      <c r="DS65" s="251"/>
      <c r="DT65" s="251"/>
      <c r="DU65" s="251"/>
      <c r="DV65" s="251"/>
      <c r="DW65" s="251"/>
      <c r="DX65" s="251"/>
      <c r="DY65" s="251"/>
      <c r="DZ65" s="251"/>
      <c r="EA65" s="251"/>
      <c r="EB65" s="251"/>
      <c r="EC65" s="251"/>
      <c r="ED65" s="251"/>
      <c r="EE65" s="251"/>
      <c r="EF65" s="251"/>
      <c r="EG65" s="251"/>
      <c r="EH65" s="251"/>
      <c r="EI65" s="251"/>
      <c r="EJ65" s="251"/>
      <c r="EK65" s="251"/>
      <c r="EL65" s="251"/>
      <c r="EM65" s="251"/>
      <c r="EN65" s="251"/>
      <c r="EO65" s="251"/>
      <c r="EP65" s="251"/>
      <c r="EQ65" s="251"/>
      <c r="ER65" s="251"/>
      <c r="ES65" s="251"/>
      <c r="ET65" s="251"/>
      <c r="EU65" s="251"/>
      <c r="EV65" s="251"/>
      <c r="EW65" s="251"/>
      <c r="EX65" s="251"/>
      <c r="EY65" s="251"/>
      <c r="EZ65" s="251"/>
      <c r="FA65" s="251"/>
      <c r="FB65" s="251"/>
      <c r="FC65" s="251"/>
      <c r="FD65" s="251"/>
      <c r="FE65" s="251"/>
      <c r="FF65" s="251"/>
      <c r="FG65" s="251"/>
      <c r="FH65" s="251"/>
      <c r="FI65" s="251"/>
      <c r="FJ65" s="251"/>
      <c r="FK65" s="251"/>
      <c r="FL65" s="251"/>
      <c r="FM65" s="251"/>
      <c r="FN65" s="251"/>
      <c r="FO65" s="251"/>
      <c r="FP65" s="251"/>
      <c r="FQ65" s="251"/>
      <c r="FR65" s="251"/>
      <c r="FS65" s="251"/>
      <c r="FT65" s="251"/>
      <c r="FU65" s="251"/>
      <c r="FV65" s="251"/>
      <c r="FW65" s="251"/>
      <c r="FX65" s="251"/>
      <c r="FY65" s="251"/>
      <c r="FZ65" s="251"/>
      <c r="GA65" s="251"/>
      <c r="GB65" s="251"/>
      <c r="GC65" s="251"/>
      <c r="GD65" s="251"/>
      <c r="GE65" s="251"/>
      <c r="GF65" s="251"/>
      <c r="GG65" s="251"/>
      <c r="GH65" s="251"/>
      <c r="GI65" s="251"/>
      <c r="GJ65" s="251"/>
      <c r="GK65" s="251"/>
      <c r="GL65" s="251"/>
      <c r="GM65" s="251"/>
      <c r="GN65" s="251"/>
      <c r="GO65" s="251"/>
      <c r="GP65" s="251"/>
      <c r="GQ65" s="251"/>
      <c r="GR65" s="251"/>
      <c r="GS65" s="251"/>
      <c r="GT65" s="251"/>
      <c r="GU65" s="251"/>
      <c r="GV65" s="251"/>
      <c r="GW65" s="251"/>
      <c r="GX65" s="251"/>
      <c r="GY65" s="251"/>
      <c r="GZ65" s="251"/>
      <c r="HA65" s="251"/>
      <c r="HB65" s="251"/>
      <c r="HC65" s="251"/>
      <c r="HD65" s="251"/>
      <c r="HE65" s="251"/>
      <c r="HF65" s="251"/>
      <c r="HG65" s="251"/>
      <c r="HH65" s="251"/>
      <c r="HI65" s="251"/>
      <c r="HJ65" s="251"/>
      <c r="HK65" s="251"/>
      <c r="HL65" s="251"/>
      <c r="HM65" s="251"/>
      <c r="HN65" s="251"/>
      <c r="HO65" s="251"/>
      <c r="HP65" s="251"/>
      <c r="HQ65" s="251"/>
      <c r="HR65" s="251"/>
      <c r="HS65" s="251"/>
      <c r="HT65" s="251"/>
      <c r="HU65" s="251"/>
      <c r="HV65" s="251"/>
      <c r="HW65" s="251"/>
      <c r="HX65" s="251"/>
      <c r="HY65" s="251"/>
      <c r="HZ65" s="251"/>
      <c r="IA65" s="251"/>
      <c r="IB65" s="251"/>
      <c r="IC65" s="251"/>
      <c r="ID65" s="251"/>
      <c r="IE65" s="251"/>
      <c r="IF65" s="251"/>
      <c r="IG65" s="251"/>
      <c r="IH65" s="251"/>
      <c r="II65" s="251"/>
      <c r="IJ65" s="255"/>
      <c r="IK65" s="255"/>
      <c r="IL65" s="251"/>
      <c r="IM65" s="251"/>
      <c r="IN65" s="251"/>
      <c r="IO65" s="251"/>
      <c r="IP65" s="251"/>
      <c r="IQ65" s="251"/>
      <c r="IR65" s="251"/>
      <c r="IS65" s="251"/>
      <c r="IT65" s="251"/>
      <c r="IU65" s="251"/>
      <c r="IV65" s="251"/>
      <c r="IW65" s="251"/>
      <c r="IX65" s="251"/>
      <c r="IY65" s="251"/>
      <c r="IZ65" s="251"/>
      <c r="JA65" s="255"/>
      <c r="JB65" s="251"/>
      <c r="JC65" s="251"/>
      <c r="JD65" s="77"/>
      <c r="JE65" s="77"/>
      <c r="JF65" s="77"/>
      <c r="JG65" s="77"/>
      <c r="JH65" s="77"/>
      <c r="JI65" s="77"/>
      <c r="JJ65" s="77"/>
      <c r="JK65" s="77"/>
      <c r="JL65" s="77"/>
      <c r="JM65" s="77"/>
      <c r="JN65" s="77"/>
      <c r="JO65" s="77"/>
      <c r="JP65" s="77"/>
      <c r="JQ65" s="77"/>
      <c r="JR65" s="77"/>
      <c r="JS65" s="77"/>
      <c r="JT65" s="77"/>
      <c r="JU65" s="77"/>
      <c r="JV65" s="77"/>
      <c r="JW65" s="77"/>
      <c r="JX65" s="77"/>
      <c r="JY65" s="77"/>
      <c r="JZ65" s="77"/>
      <c r="KA65" s="77"/>
      <c r="KB65" s="77"/>
      <c r="KC65" s="77"/>
      <c r="KD65" s="77"/>
      <c r="KE65" s="77"/>
      <c r="KF65" s="77"/>
      <c r="KG65" s="77"/>
      <c r="KH65" s="77"/>
      <c r="KI65" s="77"/>
    </row>
    <row r="66" spans="1:295" s="35" customFormat="1" ht="12" customHeight="1">
      <c r="A66" s="77"/>
      <c r="B66" s="77"/>
      <c r="C66" s="43"/>
      <c r="D66" s="483" t="s">
        <v>816</v>
      </c>
      <c r="E66" s="484">
        <v>3</v>
      </c>
      <c r="F66" s="858" t="e">
        <f>IF(#REF! =0,"",#REF!)</f>
        <v>#REF!</v>
      </c>
      <c r="G66" s="485" t="e">
        <f>IF('Part VIII Scoring Criteria OLD'!$O$113='Part VIII Scoring Criteria OLD'!$M$113,$L66,
IF($P$50="Albany",VLOOKUP($A$63,'Cost Limits Threshold, Assumpt '!$E$4:$J$7,$E66+2),
IF($P$50="Athens",VLOOKUP($A$63,'Cost Limits Threshold, Assumpt '!$E$8:$J$11,$E66+2),
IF($P$50="Atlanta",VLOOKUP($A$63,'Cost Limits Threshold, Assumpt '!$E$12:$J$15,$E66+2),
IF($P$50="Augusta",VLOOKUP($A$63,'Cost Limits Threshold, Assumpt '!$E$16:$J$19,$E66+2),
IF($P$50="Chattanooga",VLOOKUP($A$63,'Cost Limits Threshold, Assumpt '!$E$20:$J$23,$E66+2),
IF($P$50="Columbus",VLOOKUP($A$63,'Cost Limits Threshold, Assumpt '!$E$24:$J$27,$E66+2),
IF($P$50="Macon",VLOOKUP($A$63,'Cost Limits Threshold, Assumpt '!$E$28:$J$31,$E66+2),
IF($P$50="Savannah",VLOOKUP($A$63,'Cost Limits Threshold, Assumpt '!$E$32:$J$35,$E66+2),
VLOOKUP($A$63,'Cost Limits Threshold, Assumpt '!$E$36:$J$39,$E66+2))))))))))*(1+#REF!)</f>
        <v>#REF!</v>
      </c>
      <c r="H66" s="16" t="e">
        <f>CONCATENATE("x ", F66," units = ")</f>
        <v>#REF!</v>
      </c>
      <c r="I66" s="859" t="e">
        <f>IF(F66="","",F66*G66)</f>
        <v>#REF!</v>
      </c>
      <c r="J66" s="43"/>
      <c r="K66" s="858" t="e">
        <f>IF(#REF! =0,"",#REF!)</f>
        <v>#REF!</v>
      </c>
      <c r="L66" s="485" t="e">
        <f>G66*(1+#REF!)</f>
        <v>#REF!</v>
      </c>
      <c r="M66" s="16" t="e">
        <f>CONCATENATE("x ", K66," units = ")</f>
        <v>#REF!</v>
      </c>
      <c r="N66" s="859" t="e">
        <f>IF(K66="","",K66*L66)</f>
        <v>#REF!</v>
      </c>
      <c r="O66" s="314"/>
      <c r="P66" s="636">
        <f>'Part VIII Scoring Criteria OLD'!O113</f>
        <v>0</v>
      </c>
      <c r="Q66" s="636">
        <f>'Part VIII Scoring Criteria OLD'!P113</f>
        <v>0</v>
      </c>
      <c r="S66" s="4546"/>
      <c r="T66" s="4547"/>
      <c r="U66" s="4547"/>
      <c r="V66" s="4548"/>
      <c r="W66" s="253"/>
      <c r="AB66" s="257"/>
      <c r="AC66" s="257"/>
      <c r="AD66" s="257"/>
      <c r="AE66" s="257"/>
      <c r="AF66" s="257"/>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1"/>
      <c r="CM66" s="251"/>
      <c r="CN66" s="251"/>
      <c r="CO66" s="251"/>
      <c r="CP66" s="251"/>
      <c r="CQ66" s="251"/>
      <c r="CR66" s="251"/>
      <c r="CS66" s="251"/>
      <c r="CT66" s="251"/>
      <c r="CU66" s="251"/>
      <c r="CV66" s="251"/>
      <c r="CW66" s="251"/>
      <c r="CX66" s="251"/>
      <c r="CY66" s="251"/>
      <c r="CZ66" s="251"/>
      <c r="DA66" s="251"/>
      <c r="DB66" s="251"/>
      <c r="DC66" s="251"/>
      <c r="DD66" s="251"/>
      <c r="DE66" s="251"/>
      <c r="DF66" s="251"/>
      <c r="DG66" s="251"/>
      <c r="DH66" s="251"/>
      <c r="DI66" s="251"/>
      <c r="DJ66" s="251"/>
      <c r="DK66" s="251"/>
      <c r="DL66" s="251"/>
      <c r="DM66" s="251"/>
      <c r="DN66" s="251"/>
      <c r="DO66" s="251"/>
      <c r="DP66" s="251"/>
      <c r="DQ66" s="251"/>
      <c r="DR66" s="251"/>
      <c r="DS66" s="251"/>
      <c r="DT66" s="251"/>
      <c r="DU66" s="251"/>
      <c r="DV66" s="251"/>
      <c r="DW66" s="251"/>
      <c r="DX66" s="251"/>
      <c r="DY66" s="251"/>
      <c r="DZ66" s="251"/>
      <c r="EA66" s="251"/>
      <c r="EB66" s="251"/>
      <c r="EC66" s="251"/>
      <c r="ED66" s="251"/>
      <c r="EE66" s="251"/>
      <c r="EF66" s="251"/>
      <c r="EG66" s="251"/>
      <c r="EH66" s="251"/>
      <c r="EI66" s="251"/>
      <c r="EJ66" s="251"/>
      <c r="EK66" s="251"/>
      <c r="EL66" s="251"/>
      <c r="EM66" s="251"/>
      <c r="EN66" s="251"/>
      <c r="EO66" s="251"/>
      <c r="EP66" s="251"/>
      <c r="EQ66" s="251"/>
      <c r="ER66" s="251"/>
      <c r="ES66" s="251"/>
      <c r="ET66" s="251"/>
      <c r="EU66" s="251"/>
      <c r="EV66" s="251"/>
      <c r="EW66" s="251"/>
      <c r="EX66" s="251"/>
      <c r="EY66" s="251"/>
      <c r="EZ66" s="251"/>
      <c r="FA66" s="251"/>
      <c r="FB66" s="251"/>
      <c r="FC66" s="251"/>
      <c r="FD66" s="251"/>
      <c r="FE66" s="251"/>
      <c r="FF66" s="251"/>
      <c r="FG66" s="251"/>
      <c r="FH66" s="251"/>
      <c r="FI66" s="251"/>
      <c r="FJ66" s="251"/>
      <c r="FK66" s="251"/>
      <c r="FL66" s="251"/>
      <c r="FM66" s="251"/>
      <c r="FN66" s="251"/>
      <c r="FO66" s="251"/>
      <c r="FP66" s="251"/>
      <c r="FQ66" s="251"/>
      <c r="FR66" s="251"/>
      <c r="FS66" s="251"/>
      <c r="FT66" s="251"/>
      <c r="FU66" s="251"/>
      <c r="FV66" s="251"/>
      <c r="FW66" s="251"/>
      <c r="FX66" s="251"/>
      <c r="FY66" s="251"/>
      <c r="FZ66" s="251"/>
      <c r="GA66" s="251"/>
      <c r="GB66" s="251"/>
      <c r="GC66" s="251"/>
      <c r="GD66" s="251"/>
      <c r="GE66" s="251"/>
      <c r="GF66" s="251"/>
      <c r="GG66" s="251"/>
      <c r="GH66" s="251"/>
      <c r="GI66" s="251"/>
      <c r="GJ66" s="251"/>
      <c r="GK66" s="251"/>
      <c r="GL66" s="251"/>
      <c r="GM66" s="251"/>
      <c r="GN66" s="251"/>
      <c r="GO66" s="251"/>
      <c r="GP66" s="251"/>
      <c r="GQ66" s="251"/>
      <c r="GR66" s="251"/>
      <c r="GS66" s="251"/>
      <c r="GT66" s="251"/>
      <c r="GU66" s="251"/>
      <c r="GV66" s="251"/>
      <c r="GW66" s="251"/>
      <c r="GX66" s="251"/>
      <c r="GY66" s="251"/>
      <c r="GZ66" s="251"/>
      <c r="HA66" s="251"/>
      <c r="HB66" s="251"/>
      <c r="HC66" s="251"/>
      <c r="HD66" s="251"/>
      <c r="HE66" s="251"/>
      <c r="HF66" s="251"/>
      <c r="HG66" s="251"/>
      <c r="HH66" s="251"/>
      <c r="HI66" s="251"/>
      <c r="HJ66" s="251"/>
      <c r="HK66" s="251"/>
      <c r="HL66" s="251"/>
      <c r="HM66" s="251"/>
      <c r="HN66" s="251"/>
      <c r="HO66" s="251"/>
      <c r="HP66" s="251"/>
      <c r="HQ66" s="251"/>
      <c r="HR66" s="251"/>
      <c r="HS66" s="251"/>
      <c r="HT66" s="251"/>
      <c r="HU66" s="251"/>
      <c r="HV66" s="251"/>
      <c r="HW66" s="251"/>
      <c r="HX66" s="251"/>
      <c r="HY66" s="251"/>
      <c r="HZ66" s="251"/>
      <c r="IA66" s="251"/>
      <c r="IB66" s="251"/>
      <c r="IC66" s="251"/>
      <c r="ID66" s="251"/>
      <c r="IE66" s="251"/>
      <c r="IF66" s="251"/>
      <c r="IG66" s="251"/>
      <c r="IH66" s="251"/>
      <c r="II66" s="251"/>
      <c r="IJ66" s="255"/>
      <c r="IK66" s="255"/>
      <c r="IL66" s="251"/>
      <c r="IM66" s="251"/>
      <c r="IN66" s="251"/>
      <c r="IO66" s="251"/>
      <c r="IP66" s="251"/>
      <c r="IQ66" s="251"/>
      <c r="IR66" s="251"/>
      <c r="IS66" s="251"/>
      <c r="IT66" s="251"/>
      <c r="IU66" s="251"/>
      <c r="IV66" s="251"/>
      <c r="IW66" s="251"/>
      <c r="IX66" s="251"/>
      <c r="IY66" s="251"/>
      <c r="IZ66" s="251"/>
      <c r="JA66" s="255"/>
      <c r="JB66" s="251"/>
      <c r="JC66" s="251"/>
      <c r="JD66" s="77"/>
      <c r="JE66" s="77"/>
      <c r="JF66" s="77"/>
      <c r="JG66" s="77"/>
      <c r="JH66" s="77"/>
      <c r="JI66" s="77"/>
      <c r="JJ66" s="77"/>
      <c r="JK66" s="77"/>
      <c r="JL66" s="77"/>
      <c r="JM66" s="77"/>
      <c r="JN66" s="77"/>
      <c r="JO66" s="77"/>
      <c r="JP66" s="77"/>
      <c r="JQ66" s="77"/>
      <c r="JR66" s="77"/>
      <c r="JS66" s="77"/>
      <c r="JT66" s="77"/>
      <c r="JU66" s="77"/>
      <c r="JV66" s="77"/>
      <c r="JW66" s="77"/>
      <c r="JX66" s="77"/>
      <c r="JY66" s="77"/>
      <c r="JZ66" s="77"/>
      <c r="KA66" s="77"/>
      <c r="KB66" s="77"/>
      <c r="KC66" s="77"/>
      <c r="KD66" s="77"/>
      <c r="KE66" s="77"/>
      <c r="KF66" s="77"/>
      <c r="KG66" s="77"/>
      <c r="KH66" s="77"/>
      <c r="KI66" s="77"/>
    </row>
    <row r="67" spans="1:295" s="35" customFormat="1" ht="12" customHeight="1">
      <c r="A67" s="77"/>
      <c r="B67" s="77"/>
      <c r="C67" s="43"/>
      <c r="D67" s="483" t="s">
        <v>817</v>
      </c>
      <c r="E67" s="484">
        <v>4</v>
      </c>
      <c r="F67" s="858" t="e">
        <f>IF(#REF! =0,"",#REF!)</f>
        <v>#REF!</v>
      </c>
      <c r="G67" s="485" t="e">
        <f>IF('Part VIII Scoring Criteria OLD'!$O$113='Part VIII Scoring Criteria OLD'!$M$113,$L67,
IF($P$50="Albany",VLOOKUP($A$63,'Cost Limits Threshold, Assumpt '!$E$4:$J$7,$E67+2),
IF($P$50="Athens",VLOOKUP($A$63,'Cost Limits Threshold, Assumpt '!$E$8:$J$11,$E67+2),
IF($P$50="Atlanta",VLOOKUP($A$63,'Cost Limits Threshold, Assumpt '!$E$12:$J$15,$E67+2),
IF($P$50="Augusta",VLOOKUP($A$63,'Cost Limits Threshold, Assumpt '!$E$16:$J$19,$E67+2),
IF($P$50="Chattanooga",VLOOKUP($A$63,'Cost Limits Threshold, Assumpt '!$E$20:$J$23,$E67+2),
IF($P$50="Columbus",VLOOKUP($A$63,'Cost Limits Threshold, Assumpt '!$E$24:$J$27,$E67+2),
IF($P$50="Macon",VLOOKUP($A$63,'Cost Limits Threshold, Assumpt '!$E$28:$J$31,$E67+2),
IF($P$50="Savannah",VLOOKUP($A$63,'Cost Limits Threshold, Assumpt '!$E$32:$J$35,$E67+2),
VLOOKUP($A$63,'Cost Limits Threshold, Assumpt '!$E$36:$J$39,$E67+2))))))))))*(1+#REF!)</f>
        <v>#REF!</v>
      </c>
      <c r="H67" s="16" t="e">
        <f>CONCATENATE("x ", F67," units = ")</f>
        <v>#REF!</v>
      </c>
      <c r="I67" s="859" t="e">
        <f>IF(F67="","",F67*G67)</f>
        <v>#REF!</v>
      </c>
      <c r="J67" s="43"/>
      <c r="K67" s="858" t="e">
        <f>IF(#REF! =0,"",#REF!)</f>
        <v>#REF!</v>
      </c>
      <c r="L67" s="485" t="e">
        <f>G67*(1+#REF!)</f>
        <v>#REF!</v>
      </c>
      <c r="M67" s="16" t="e">
        <f>CONCATENATE("x ", K67," units = ")</f>
        <v>#REF!</v>
      </c>
      <c r="N67" s="859" t="e">
        <f>IF(K67="","",K67*L67)</f>
        <v>#REF!</v>
      </c>
      <c r="O67" s="314"/>
      <c r="P67" s="4555" t="s">
        <v>6753</v>
      </c>
      <c r="Q67" s="4555"/>
      <c r="S67" s="4546"/>
      <c r="T67" s="4547"/>
      <c r="U67" s="4547"/>
      <c r="V67" s="4548"/>
      <c r="W67" s="253"/>
      <c r="AB67" s="257"/>
      <c r="AC67" s="257"/>
      <c r="AD67" s="257"/>
      <c r="AE67" s="257"/>
      <c r="AF67" s="257"/>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51"/>
      <c r="BP67" s="251"/>
      <c r="BQ67" s="251"/>
      <c r="BR67" s="251"/>
      <c r="BS67" s="251"/>
      <c r="BT67" s="251"/>
      <c r="BU67" s="251"/>
      <c r="BV67" s="251"/>
      <c r="BW67" s="251"/>
      <c r="BX67" s="251"/>
      <c r="BY67" s="251"/>
      <c r="BZ67" s="251"/>
      <c r="CA67" s="251"/>
      <c r="CB67" s="251"/>
      <c r="CC67" s="251"/>
      <c r="CD67" s="251"/>
      <c r="CE67" s="251"/>
      <c r="CF67" s="251"/>
      <c r="CG67" s="251"/>
      <c r="CH67" s="251"/>
      <c r="CI67" s="251"/>
      <c r="CJ67" s="251"/>
      <c r="CK67" s="251"/>
      <c r="CL67" s="251"/>
      <c r="CM67" s="251"/>
      <c r="CN67" s="251"/>
      <c r="CO67" s="251"/>
      <c r="CP67" s="251"/>
      <c r="CQ67" s="251"/>
      <c r="CR67" s="251"/>
      <c r="CS67" s="251"/>
      <c r="CT67" s="251"/>
      <c r="CU67" s="251"/>
      <c r="CV67" s="251"/>
      <c r="CW67" s="251"/>
      <c r="CX67" s="251"/>
      <c r="CY67" s="251"/>
      <c r="CZ67" s="251"/>
      <c r="DA67" s="251"/>
      <c r="DB67" s="251"/>
      <c r="DC67" s="251"/>
      <c r="DD67" s="251"/>
      <c r="DE67" s="251"/>
      <c r="DF67" s="251"/>
      <c r="DG67" s="251"/>
      <c r="DH67" s="251"/>
      <c r="DI67" s="251"/>
      <c r="DJ67" s="251"/>
      <c r="DK67" s="251"/>
      <c r="DL67" s="251"/>
      <c r="DM67" s="251"/>
      <c r="DN67" s="251"/>
      <c r="DO67" s="251"/>
      <c r="DP67" s="251"/>
      <c r="DQ67" s="251"/>
      <c r="DR67" s="251"/>
      <c r="DS67" s="251"/>
      <c r="DT67" s="251"/>
      <c r="DU67" s="251"/>
      <c r="DV67" s="251"/>
      <c r="DW67" s="251"/>
      <c r="DX67" s="251"/>
      <c r="DY67" s="251"/>
      <c r="DZ67" s="251"/>
      <c r="EA67" s="251"/>
      <c r="EB67" s="251"/>
      <c r="EC67" s="251"/>
      <c r="ED67" s="251"/>
      <c r="EE67" s="251"/>
      <c r="EF67" s="251"/>
      <c r="EG67" s="251"/>
      <c r="EH67" s="251"/>
      <c r="EI67" s="251"/>
      <c r="EJ67" s="251"/>
      <c r="EK67" s="251"/>
      <c r="EL67" s="251"/>
      <c r="EM67" s="251"/>
      <c r="EN67" s="251"/>
      <c r="EO67" s="251"/>
      <c r="EP67" s="251"/>
      <c r="EQ67" s="251"/>
      <c r="ER67" s="251"/>
      <c r="ES67" s="251"/>
      <c r="ET67" s="251"/>
      <c r="EU67" s="251"/>
      <c r="EV67" s="251"/>
      <c r="EW67" s="251"/>
      <c r="EX67" s="251"/>
      <c r="EY67" s="251"/>
      <c r="EZ67" s="251"/>
      <c r="FA67" s="251"/>
      <c r="FB67" s="251"/>
      <c r="FC67" s="251"/>
      <c r="FD67" s="251"/>
      <c r="FE67" s="251"/>
      <c r="FF67" s="251"/>
      <c r="FG67" s="251"/>
      <c r="FH67" s="251"/>
      <c r="FI67" s="251"/>
      <c r="FJ67" s="251"/>
      <c r="FK67" s="251"/>
      <c r="FL67" s="251"/>
      <c r="FM67" s="251"/>
      <c r="FN67" s="251"/>
      <c r="FO67" s="251"/>
      <c r="FP67" s="251"/>
      <c r="FQ67" s="251"/>
      <c r="FR67" s="251"/>
      <c r="FS67" s="251"/>
      <c r="FT67" s="251"/>
      <c r="FU67" s="251"/>
      <c r="FV67" s="251"/>
      <c r="FW67" s="251"/>
      <c r="FX67" s="251"/>
      <c r="FY67" s="251"/>
      <c r="FZ67" s="251"/>
      <c r="GA67" s="251"/>
      <c r="GB67" s="251"/>
      <c r="GC67" s="251"/>
      <c r="GD67" s="251"/>
      <c r="GE67" s="251"/>
      <c r="GF67" s="251"/>
      <c r="GG67" s="251"/>
      <c r="GH67" s="251"/>
      <c r="GI67" s="251"/>
      <c r="GJ67" s="251"/>
      <c r="GK67" s="251"/>
      <c r="GL67" s="251"/>
      <c r="GM67" s="251"/>
      <c r="GN67" s="251"/>
      <c r="GO67" s="251"/>
      <c r="GP67" s="251"/>
      <c r="GQ67" s="251"/>
      <c r="GR67" s="251"/>
      <c r="GS67" s="251"/>
      <c r="GT67" s="251"/>
      <c r="GU67" s="251"/>
      <c r="GV67" s="251"/>
      <c r="GW67" s="251"/>
      <c r="GX67" s="251"/>
      <c r="GY67" s="251"/>
      <c r="GZ67" s="251"/>
      <c r="HA67" s="251"/>
      <c r="HB67" s="251"/>
      <c r="HC67" s="251"/>
      <c r="HD67" s="251"/>
      <c r="HE67" s="251"/>
      <c r="HF67" s="251"/>
      <c r="HG67" s="251"/>
      <c r="HH67" s="251"/>
      <c r="HI67" s="251"/>
      <c r="HJ67" s="251"/>
      <c r="HK67" s="251"/>
      <c r="HL67" s="251"/>
      <c r="HM67" s="251"/>
      <c r="HN67" s="251"/>
      <c r="HO67" s="251"/>
      <c r="HP67" s="251"/>
      <c r="HQ67" s="251"/>
      <c r="HR67" s="251"/>
      <c r="HS67" s="251"/>
      <c r="HT67" s="251"/>
      <c r="HU67" s="251"/>
      <c r="HV67" s="251"/>
      <c r="HW67" s="251"/>
      <c r="HX67" s="251"/>
      <c r="HY67" s="251"/>
      <c r="HZ67" s="251"/>
      <c r="IA67" s="251"/>
      <c r="IB67" s="251"/>
      <c r="IC67" s="251"/>
      <c r="ID67" s="251"/>
      <c r="IE67" s="251"/>
      <c r="IF67" s="251"/>
      <c r="IG67" s="251"/>
      <c r="IH67" s="251"/>
      <c r="II67" s="251"/>
      <c r="IJ67" s="255"/>
      <c r="IK67" s="255"/>
      <c r="IL67" s="251"/>
      <c r="IM67" s="251"/>
      <c r="IN67" s="251"/>
      <c r="IO67" s="251"/>
      <c r="IP67" s="251"/>
      <c r="IQ67" s="251"/>
      <c r="IR67" s="251"/>
      <c r="IS67" s="251"/>
      <c r="IT67" s="251"/>
      <c r="IU67" s="251"/>
      <c r="IV67" s="251"/>
      <c r="IW67" s="251"/>
      <c r="IX67" s="251"/>
      <c r="IY67" s="251"/>
      <c r="IZ67" s="251"/>
      <c r="JA67" s="255"/>
      <c r="JB67" s="251"/>
      <c r="JC67" s="251"/>
      <c r="JD67" s="77"/>
      <c r="JE67" s="77"/>
      <c r="JF67" s="77"/>
      <c r="JG67" s="77"/>
      <c r="JH67" s="77"/>
      <c r="JI67" s="77"/>
      <c r="JJ67" s="77"/>
      <c r="JK67" s="77"/>
      <c r="JL67" s="77"/>
      <c r="JM67" s="77"/>
      <c r="JN67" s="77"/>
      <c r="JO67" s="77"/>
      <c r="JP67" s="77"/>
      <c r="JQ67" s="77"/>
      <c r="JR67" s="77"/>
      <c r="JS67" s="77"/>
      <c r="JT67" s="77"/>
      <c r="JU67" s="77"/>
      <c r="JV67" s="77"/>
      <c r="JW67" s="77"/>
      <c r="JX67" s="77"/>
      <c r="JY67" s="77"/>
      <c r="JZ67" s="77"/>
      <c r="KA67" s="77"/>
      <c r="KB67" s="77"/>
      <c r="KC67" s="77"/>
      <c r="KD67" s="77"/>
      <c r="KE67" s="77"/>
      <c r="KF67" s="77"/>
      <c r="KG67" s="77"/>
      <c r="KH67" s="77"/>
      <c r="KI67" s="77"/>
    </row>
    <row r="68" spans="1:295" s="35" customFormat="1" ht="12" customHeight="1">
      <c r="A68" s="77"/>
      <c r="B68" s="77"/>
      <c r="C68" s="43"/>
      <c r="D68" s="324" t="s">
        <v>6746</v>
      </c>
      <c r="E68" s="229"/>
      <c r="F68" s="631" t="e">
        <f>SUM(F63:F67)</f>
        <v>#REF!</v>
      </c>
      <c r="G68" s="349"/>
      <c r="H68" s="632"/>
      <c r="I68" s="633" t="e">
        <f>SUM(I63:I67)</f>
        <v>#REF!</v>
      </c>
      <c r="J68" s="634"/>
      <c r="K68" s="631" t="e">
        <f>SUM(K63:K67)</f>
        <v>#REF!</v>
      </c>
      <c r="L68" s="634"/>
      <c r="M68" s="632"/>
      <c r="N68" s="633" t="e">
        <f>SUM(N63:N67)</f>
        <v>#REF!</v>
      </c>
      <c r="O68" s="314"/>
      <c r="P68" s="4555"/>
      <c r="Q68" s="4555"/>
      <c r="S68" s="4546"/>
      <c r="T68" s="4547"/>
      <c r="U68" s="4547"/>
      <c r="V68" s="4548"/>
      <c r="W68" s="253"/>
      <c r="AB68" s="257"/>
      <c r="AC68" s="257"/>
      <c r="AD68" s="257"/>
      <c r="AE68" s="257"/>
      <c r="AF68" s="257"/>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1"/>
      <c r="CN68" s="251"/>
      <c r="CO68" s="251"/>
      <c r="CP68" s="251"/>
      <c r="CQ68" s="251"/>
      <c r="CR68" s="251"/>
      <c r="CS68" s="251"/>
      <c r="CT68" s="251"/>
      <c r="CU68" s="251"/>
      <c r="CV68" s="251"/>
      <c r="CW68" s="251"/>
      <c r="CX68" s="251"/>
      <c r="CY68" s="251"/>
      <c r="CZ68" s="251"/>
      <c r="DA68" s="251"/>
      <c r="DB68" s="251"/>
      <c r="DC68" s="251"/>
      <c r="DD68" s="251"/>
      <c r="DE68" s="251"/>
      <c r="DF68" s="251"/>
      <c r="DG68" s="251"/>
      <c r="DH68" s="251"/>
      <c r="DI68" s="251"/>
      <c r="DJ68" s="251"/>
      <c r="DK68" s="251"/>
      <c r="DL68" s="251"/>
      <c r="DM68" s="251"/>
      <c r="DN68" s="251"/>
      <c r="DO68" s="251"/>
      <c r="DP68" s="251"/>
      <c r="DQ68" s="251"/>
      <c r="DR68" s="251"/>
      <c r="DS68" s="251"/>
      <c r="DT68" s="251"/>
      <c r="DU68" s="251"/>
      <c r="DV68" s="251"/>
      <c r="DW68" s="251"/>
      <c r="DX68" s="251"/>
      <c r="DY68" s="251"/>
      <c r="DZ68" s="251"/>
      <c r="EA68" s="251"/>
      <c r="EB68" s="251"/>
      <c r="EC68" s="251"/>
      <c r="ED68" s="251"/>
      <c r="EE68" s="251"/>
      <c r="EF68" s="251"/>
      <c r="EG68" s="251"/>
      <c r="EH68" s="251"/>
      <c r="EI68" s="251"/>
      <c r="EJ68" s="251"/>
      <c r="EK68" s="251"/>
      <c r="EL68" s="251"/>
      <c r="EM68" s="251"/>
      <c r="EN68" s="251"/>
      <c r="EO68" s="251"/>
      <c r="EP68" s="251"/>
      <c r="EQ68" s="251"/>
      <c r="ER68" s="251"/>
      <c r="ES68" s="251"/>
      <c r="ET68" s="251"/>
      <c r="EU68" s="251"/>
      <c r="EV68" s="251"/>
      <c r="EW68" s="251"/>
      <c r="EX68" s="251"/>
      <c r="EY68" s="251"/>
      <c r="EZ68" s="251"/>
      <c r="FA68" s="251"/>
      <c r="FB68" s="251"/>
      <c r="FC68" s="251"/>
      <c r="FD68" s="251"/>
      <c r="FE68" s="251"/>
      <c r="FF68" s="251"/>
      <c r="FG68" s="251"/>
      <c r="FH68" s="251"/>
      <c r="FI68" s="251"/>
      <c r="FJ68" s="251"/>
      <c r="FK68" s="251"/>
      <c r="FL68" s="251"/>
      <c r="FM68" s="251"/>
      <c r="FN68" s="251"/>
      <c r="FO68" s="251"/>
      <c r="FP68" s="251"/>
      <c r="FQ68" s="251"/>
      <c r="FR68" s="251"/>
      <c r="FS68" s="251"/>
      <c r="FT68" s="251"/>
      <c r="FU68" s="251"/>
      <c r="FV68" s="251"/>
      <c r="FW68" s="251"/>
      <c r="FX68" s="251"/>
      <c r="FY68" s="251"/>
      <c r="FZ68" s="251"/>
      <c r="GA68" s="251"/>
      <c r="GB68" s="251"/>
      <c r="GC68" s="251"/>
      <c r="GD68" s="251"/>
      <c r="GE68" s="251"/>
      <c r="GF68" s="251"/>
      <c r="GG68" s="251"/>
      <c r="GH68" s="251"/>
      <c r="GI68" s="251"/>
      <c r="GJ68" s="251"/>
      <c r="GK68" s="251"/>
      <c r="GL68" s="251"/>
      <c r="GM68" s="251"/>
      <c r="GN68" s="251"/>
      <c r="GO68" s="251"/>
      <c r="GP68" s="251"/>
      <c r="GQ68" s="251"/>
      <c r="GR68" s="251"/>
      <c r="GS68" s="251"/>
      <c r="GT68" s="251"/>
      <c r="GU68" s="251"/>
      <c r="GV68" s="251"/>
      <c r="GW68" s="251"/>
      <c r="GX68" s="251"/>
      <c r="GY68" s="251"/>
      <c r="GZ68" s="251"/>
      <c r="HA68" s="251"/>
      <c r="HB68" s="251"/>
      <c r="HC68" s="251"/>
      <c r="HD68" s="251"/>
      <c r="HE68" s="251"/>
      <c r="HF68" s="251"/>
      <c r="HG68" s="251"/>
      <c r="HH68" s="251"/>
      <c r="HI68" s="251"/>
      <c r="HJ68" s="251"/>
      <c r="HK68" s="251"/>
      <c r="HL68" s="251"/>
      <c r="HM68" s="251"/>
      <c r="HN68" s="251"/>
      <c r="HO68" s="251"/>
      <c r="HP68" s="251"/>
      <c r="HQ68" s="251"/>
      <c r="HR68" s="251"/>
      <c r="HS68" s="251"/>
      <c r="HT68" s="251"/>
      <c r="HU68" s="251"/>
      <c r="HV68" s="251"/>
      <c r="HW68" s="251"/>
      <c r="HX68" s="251"/>
      <c r="HY68" s="251"/>
      <c r="HZ68" s="251"/>
      <c r="IA68" s="251"/>
      <c r="IB68" s="251"/>
      <c r="IC68" s="251"/>
      <c r="ID68" s="251"/>
      <c r="IE68" s="251"/>
      <c r="IF68" s="251"/>
      <c r="IG68" s="251"/>
      <c r="IH68" s="251"/>
      <c r="II68" s="251"/>
      <c r="IJ68" s="255"/>
      <c r="IK68" s="255"/>
      <c r="IL68" s="251"/>
      <c r="IM68" s="251"/>
      <c r="IN68" s="251"/>
      <c r="IO68" s="251"/>
      <c r="IP68" s="251"/>
      <c r="IQ68" s="251"/>
      <c r="IR68" s="251"/>
      <c r="IS68" s="251"/>
      <c r="IT68" s="251"/>
      <c r="IU68" s="251"/>
      <c r="IV68" s="251"/>
      <c r="IW68" s="251"/>
      <c r="IX68" s="251"/>
      <c r="IY68" s="251"/>
      <c r="IZ68" s="251"/>
      <c r="JA68" s="255"/>
      <c r="JB68" s="251"/>
      <c r="JC68" s="251"/>
      <c r="JD68" s="77"/>
      <c r="JE68" s="77"/>
      <c r="JF68" s="77"/>
      <c r="JG68" s="77"/>
      <c r="JH68" s="77"/>
      <c r="JI68" s="77"/>
      <c r="JJ68" s="77"/>
      <c r="JK68" s="77"/>
      <c r="JL68" s="77"/>
      <c r="JM68" s="77"/>
      <c r="JN68" s="77"/>
      <c r="JO68" s="77"/>
      <c r="JP68" s="77"/>
      <c r="JQ68" s="77"/>
      <c r="JR68" s="77"/>
      <c r="JS68" s="77"/>
      <c r="JT68" s="77"/>
      <c r="JU68" s="77"/>
      <c r="JV68" s="77"/>
      <c r="JW68" s="77"/>
      <c r="JX68" s="77"/>
      <c r="JY68" s="77"/>
      <c r="JZ68" s="77"/>
      <c r="KA68" s="77"/>
      <c r="KB68" s="77"/>
      <c r="KC68" s="77"/>
      <c r="KD68" s="77"/>
      <c r="KE68" s="77"/>
      <c r="KF68" s="77"/>
      <c r="KG68" s="77"/>
      <c r="KH68" s="77"/>
      <c r="KI68" s="77"/>
    </row>
    <row r="69" spans="1:295" s="35" customFormat="1" ht="12" customHeight="1">
      <c r="A69" s="77"/>
      <c r="C69" s="43"/>
      <c r="D69" s="303"/>
      <c r="E69" s="303"/>
      <c r="F69" s="2589"/>
      <c r="G69" s="73"/>
      <c r="H69" s="77"/>
      <c r="I69" s="2589"/>
      <c r="J69" s="77"/>
      <c r="K69" s="2589"/>
      <c r="L69" s="77"/>
      <c r="M69" s="2586"/>
      <c r="N69" s="2589"/>
      <c r="O69" s="314"/>
      <c r="P69" s="4555"/>
      <c r="Q69" s="4555"/>
      <c r="R69" s="225"/>
      <c r="S69" s="4546"/>
      <c r="T69" s="4547"/>
      <c r="U69" s="4547"/>
      <c r="V69" s="4548"/>
      <c r="W69" s="253"/>
      <c r="AB69" s="257"/>
      <c r="AC69" s="257"/>
      <c r="AD69" s="257"/>
      <c r="AE69" s="257"/>
      <c r="AF69" s="257"/>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1"/>
      <c r="BE69" s="251"/>
      <c r="BF69" s="251"/>
      <c r="BG69" s="251"/>
      <c r="BH69" s="251"/>
      <c r="BI69" s="251"/>
      <c r="BJ69" s="251"/>
      <c r="BK69" s="251"/>
      <c r="BL69" s="251"/>
      <c r="BM69" s="251"/>
      <c r="BN69" s="251"/>
      <c r="BO69" s="251"/>
      <c r="BP69" s="251"/>
      <c r="BQ69" s="251"/>
      <c r="BR69" s="251"/>
      <c r="BS69" s="251"/>
      <c r="BT69" s="251"/>
      <c r="BU69" s="251"/>
      <c r="BV69" s="251"/>
      <c r="BW69" s="251"/>
      <c r="BX69" s="251"/>
      <c r="BY69" s="251"/>
      <c r="BZ69" s="251"/>
      <c r="CA69" s="251"/>
      <c r="CB69" s="251"/>
      <c r="CC69" s="251"/>
      <c r="CD69" s="251"/>
      <c r="CE69" s="251"/>
      <c r="CF69" s="251"/>
      <c r="CG69" s="251"/>
      <c r="CH69" s="251"/>
      <c r="CI69" s="251"/>
      <c r="CJ69" s="251"/>
      <c r="CK69" s="251"/>
      <c r="CL69" s="251"/>
      <c r="CM69" s="251"/>
      <c r="CN69" s="251"/>
      <c r="CO69" s="251"/>
      <c r="CP69" s="251"/>
      <c r="CQ69" s="251"/>
      <c r="CR69" s="251"/>
      <c r="CS69" s="251"/>
      <c r="CT69" s="251"/>
      <c r="CU69" s="251"/>
      <c r="CV69" s="251"/>
      <c r="CW69" s="251"/>
      <c r="CX69" s="251"/>
      <c r="CY69" s="251"/>
      <c r="CZ69" s="251"/>
      <c r="DA69" s="251"/>
      <c r="DB69" s="251"/>
      <c r="DC69" s="251"/>
      <c r="DD69" s="251"/>
      <c r="DE69" s="251"/>
      <c r="DF69" s="251"/>
      <c r="DG69" s="251"/>
      <c r="DH69" s="251"/>
      <c r="DI69" s="251"/>
      <c r="DJ69" s="251"/>
      <c r="DK69" s="251"/>
      <c r="DL69" s="251"/>
      <c r="DM69" s="251"/>
      <c r="DN69" s="251"/>
      <c r="DO69" s="251"/>
      <c r="DP69" s="251"/>
      <c r="DQ69" s="251"/>
      <c r="DR69" s="251"/>
      <c r="DS69" s="251"/>
      <c r="DT69" s="251"/>
      <c r="DU69" s="251"/>
      <c r="DV69" s="251"/>
      <c r="DW69" s="251"/>
      <c r="DX69" s="251"/>
      <c r="DY69" s="251"/>
      <c r="DZ69" s="251"/>
      <c r="EA69" s="251"/>
      <c r="EB69" s="251"/>
      <c r="EC69" s="251"/>
      <c r="ED69" s="251"/>
      <c r="EE69" s="251"/>
      <c r="EF69" s="251"/>
      <c r="EG69" s="251"/>
      <c r="EH69" s="251"/>
      <c r="EI69" s="251"/>
      <c r="EJ69" s="251"/>
      <c r="EK69" s="251"/>
      <c r="EL69" s="251"/>
      <c r="EM69" s="251"/>
      <c r="EN69" s="251"/>
      <c r="EO69" s="251"/>
      <c r="EP69" s="251"/>
      <c r="EQ69" s="251"/>
      <c r="ER69" s="251"/>
      <c r="ES69" s="251"/>
      <c r="ET69" s="251"/>
      <c r="EU69" s="251"/>
      <c r="EV69" s="251"/>
      <c r="EW69" s="251"/>
      <c r="EX69" s="251"/>
      <c r="EY69" s="251"/>
      <c r="EZ69" s="251"/>
      <c r="FA69" s="251"/>
      <c r="FB69" s="251"/>
      <c r="FC69" s="251"/>
      <c r="FD69" s="251"/>
      <c r="FE69" s="251"/>
      <c r="FF69" s="251"/>
      <c r="FG69" s="251"/>
      <c r="FH69" s="251"/>
      <c r="FI69" s="251"/>
      <c r="FJ69" s="251"/>
      <c r="FK69" s="251"/>
      <c r="FL69" s="251"/>
      <c r="FM69" s="251"/>
      <c r="FN69" s="251"/>
      <c r="FO69" s="251"/>
      <c r="FP69" s="251"/>
      <c r="FQ69" s="251"/>
      <c r="FR69" s="251"/>
      <c r="FS69" s="251"/>
      <c r="FT69" s="251"/>
      <c r="FU69" s="251"/>
      <c r="FV69" s="251"/>
      <c r="FW69" s="251"/>
      <c r="FX69" s="251"/>
      <c r="FY69" s="251"/>
      <c r="FZ69" s="251"/>
      <c r="GA69" s="251"/>
      <c r="GB69" s="251"/>
      <c r="GC69" s="251"/>
      <c r="GD69" s="251"/>
      <c r="GE69" s="251"/>
      <c r="GF69" s="251"/>
      <c r="GG69" s="251"/>
      <c r="GH69" s="251"/>
      <c r="GI69" s="251"/>
      <c r="GJ69" s="251"/>
      <c r="GK69" s="251"/>
      <c r="GL69" s="251"/>
      <c r="GM69" s="251"/>
      <c r="GN69" s="251"/>
      <c r="GO69" s="251"/>
      <c r="GP69" s="251"/>
      <c r="GQ69" s="251"/>
      <c r="GR69" s="251"/>
      <c r="GS69" s="251"/>
      <c r="GT69" s="251"/>
      <c r="GU69" s="251"/>
      <c r="GV69" s="251"/>
      <c r="GW69" s="251"/>
      <c r="GX69" s="251"/>
      <c r="GY69" s="251"/>
      <c r="GZ69" s="251"/>
      <c r="HA69" s="251"/>
      <c r="HB69" s="251"/>
      <c r="HC69" s="251"/>
      <c r="HD69" s="251"/>
      <c r="HE69" s="251"/>
      <c r="HF69" s="251"/>
      <c r="HG69" s="251"/>
      <c r="HH69" s="251"/>
      <c r="HI69" s="251"/>
      <c r="HJ69" s="251"/>
      <c r="HK69" s="251"/>
      <c r="HL69" s="251"/>
      <c r="HM69" s="251"/>
      <c r="HN69" s="251"/>
      <c r="HO69" s="251"/>
      <c r="HP69" s="251"/>
      <c r="HQ69" s="251"/>
      <c r="HR69" s="251"/>
      <c r="HS69" s="251"/>
      <c r="HT69" s="251"/>
      <c r="HU69" s="251"/>
      <c r="HV69" s="251"/>
      <c r="HW69" s="251"/>
      <c r="HX69" s="251"/>
      <c r="HY69" s="251"/>
      <c r="HZ69" s="251"/>
      <c r="IA69" s="251"/>
      <c r="IB69" s="251"/>
      <c r="IC69" s="251"/>
      <c r="ID69" s="251"/>
      <c r="IE69" s="251"/>
      <c r="IF69" s="251"/>
      <c r="IG69" s="251"/>
      <c r="IH69" s="251"/>
      <c r="II69" s="251"/>
      <c r="IJ69" s="255"/>
      <c r="IK69" s="255"/>
      <c r="IL69" s="251"/>
      <c r="IM69" s="251"/>
      <c r="IN69" s="251"/>
      <c r="IO69" s="251"/>
      <c r="IP69" s="251"/>
      <c r="IQ69" s="251"/>
      <c r="IR69" s="251"/>
      <c r="IS69" s="251"/>
      <c r="IT69" s="251"/>
      <c r="IU69" s="251"/>
      <c r="IV69" s="251"/>
      <c r="IW69" s="251"/>
      <c r="IX69" s="251"/>
      <c r="IY69" s="251"/>
      <c r="IZ69" s="251"/>
      <c r="JA69" s="255"/>
      <c r="JB69" s="251"/>
      <c r="JC69" s="251"/>
      <c r="JD69" s="77"/>
      <c r="JE69" s="77"/>
      <c r="JF69" s="77"/>
      <c r="JG69" s="77"/>
      <c r="JH69" s="77"/>
      <c r="JI69" s="77"/>
      <c r="JJ69" s="77"/>
      <c r="JK69" s="77"/>
      <c r="JL69" s="77"/>
      <c r="JM69" s="77"/>
      <c r="JN69" s="77"/>
      <c r="JO69" s="77"/>
      <c r="JP69" s="77"/>
      <c r="JQ69" s="77"/>
      <c r="JR69" s="77"/>
      <c r="JS69" s="77"/>
      <c r="JT69" s="77"/>
      <c r="JU69" s="77"/>
      <c r="JV69" s="77"/>
      <c r="JW69" s="77"/>
      <c r="JX69" s="77"/>
      <c r="JY69" s="77"/>
      <c r="JZ69" s="77"/>
      <c r="KA69" s="77"/>
      <c r="KB69" s="77"/>
      <c r="KC69" s="77"/>
      <c r="KD69" s="77"/>
      <c r="KE69" s="77"/>
      <c r="KF69" s="77"/>
      <c r="KG69" s="77"/>
      <c r="KH69" s="77"/>
      <c r="KI69" s="77"/>
    </row>
    <row r="70" spans="1:295" s="35" customFormat="1" ht="12" customHeight="1" thickBot="1">
      <c r="A70" s="323" t="s">
        <v>1269</v>
      </c>
      <c r="B70" s="77"/>
      <c r="C70" s="43"/>
      <c r="D70" s="483" t="s">
        <v>772</v>
      </c>
      <c r="E70" s="484">
        <v>0</v>
      </c>
      <c r="F70" s="858" t="e">
        <f>IF(#REF! =0,"",#REF!)</f>
        <v>#REF!</v>
      </c>
      <c r="G70" s="485" t="e">
        <f>IF('Part VIII Scoring Criteria OLD'!$O$113='Part VIII Scoring Criteria OLD'!$M$113,$L70,
IF($P$50="Albany",VLOOKUP($A$70,'Cost Limits Threshold, Assumpt '!$E$4:$J$7,$E70+2),
IF($P$50="Athens",VLOOKUP($A$70,'Cost Limits Threshold, Assumpt '!$E$8:$J$11,$E70+2),
IF($P$50="Atlanta",VLOOKUP($A$70,'Cost Limits Threshold, Assumpt '!$E$12:$J$15,$E70+2),
IF($P$50="Augusta",VLOOKUP($A$70,'Cost Limits Threshold, Assumpt '!$E$16:$J$19,$E70+2),
IF($P$50="Chattanooga",VLOOKUP($A$70,'Cost Limits Threshold, Assumpt '!$E$20:$J$23,$E70+2),
IF($P$50="Columbus",VLOOKUP($A$70,'Cost Limits Threshold, Assumpt '!$E$24:$J$27,$E70+2),
IF($P$50="Macon",VLOOKUP($A$70,'Cost Limits Threshold, Assumpt '!$E$28:$J$31,$E70+2),
IF($P$50="Savannah",VLOOKUP($A$70,'Cost Limits Threshold, Assumpt '!$E$32:$J$35,$E70+2),
VLOOKUP($A$70,'Cost Limits Threshold, Assumpt '!$E$36:$J$39,$E70+2))))))))))*(1+#REF!)</f>
        <v>#REF!</v>
      </c>
      <c r="H70" s="16" t="e">
        <f>CONCATENATE("x ", F70," units = ")</f>
        <v>#REF!</v>
      </c>
      <c r="I70" s="859" t="e">
        <f>IF(F70="","",F70*G70)</f>
        <v>#REF!</v>
      </c>
      <c r="J70" s="43"/>
      <c r="K70" s="858" t="e">
        <f>IF(#REF! =0,"",#REF!)</f>
        <v>#REF!</v>
      </c>
      <c r="L70" s="485" t="e">
        <f>G70*(1+#REF!)</f>
        <v>#REF!</v>
      </c>
      <c r="M70" s="16" t="e">
        <f>CONCATENATE("x ", K70," units = ")</f>
        <v>#REF!</v>
      </c>
      <c r="N70" s="859" t="e">
        <f>IF(K70="","",K70*L70)</f>
        <v>#REF!</v>
      </c>
      <c r="O70" s="314"/>
      <c r="P70" s="4556"/>
      <c r="Q70" s="4556"/>
      <c r="R70" s="225"/>
      <c r="S70" s="4549"/>
      <c r="T70" s="4550"/>
      <c r="U70" s="4550"/>
      <c r="V70" s="4551"/>
      <c r="W70" s="253"/>
      <c r="X70" s="254"/>
      <c r="Y70" s="253"/>
      <c r="Z70" s="256"/>
      <c r="AA70" s="257"/>
      <c r="AB70" s="257"/>
      <c r="AC70" s="257"/>
      <c r="AD70" s="257"/>
      <c r="AE70" s="257"/>
      <c r="AF70" s="257"/>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51"/>
      <c r="BT70" s="251"/>
      <c r="BU70" s="251"/>
      <c r="BV70" s="251"/>
      <c r="BW70" s="251"/>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1"/>
      <c r="DW70" s="251"/>
      <c r="DX70" s="251"/>
      <c r="DY70" s="251"/>
      <c r="DZ70" s="251"/>
      <c r="EA70" s="251"/>
      <c r="EB70" s="251"/>
      <c r="EC70" s="251"/>
      <c r="ED70" s="251"/>
      <c r="EE70" s="251"/>
      <c r="EF70" s="251"/>
      <c r="EG70" s="251"/>
      <c r="EH70" s="251"/>
      <c r="EI70" s="251"/>
      <c r="EJ70" s="251"/>
      <c r="EK70" s="251"/>
      <c r="EL70" s="251"/>
      <c r="EM70" s="251"/>
      <c r="EN70" s="251"/>
      <c r="EO70" s="251"/>
      <c r="EP70" s="251"/>
      <c r="EQ70" s="251"/>
      <c r="ER70" s="251"/>
      <c r="ES70" s="251"/>
      <c r="ET70" s="251"/>
      <c r="EU70" s="251"/>
      <c r="EV70" s="251"/>
      <c r="EW70" s="251"/>
      <c r="EX70" s="251"/>
      <c r="EY70" s="251"/>
      <c r="EZ70" s="251"/>
      <c r="FA70" s="251"/>
      <c r="FB70" s="251"/>
      <c r="FC70" s="251"/>
      <c r="FD70" s="251"/>
      <c r="FE70" s="251"/>
      <c r="FF70" s="251"/>
      <c r="FG70" s="251"/>
      <c r="FH70" s="251"/>
      <c r="FI70" s="251"/>
      <c r="FJ70" s="251"/>
      <c r="FK70" s="251"/>
      <c r="FL70" s="251"/>
      <c r="FM70" s="251"/>
      <c r="FN70" s="251"/>
      <c r="FO70" s="251"/>
      <c r="FP70" s="251"/>
      <c r="FQ70" s="251"/>
      <c r="FR70" s="251"/>
      <c r="FS70" s="251"/>
      <c r="FT70" s="251"/>
      <c r="FU70" s="251"/>
      <c r="FV70" s="251"/>
      <c r="FW70" s="251"/>
      <c r="FX70" s="251"/>
      <c r="FY70" s="251"/>
      <c r="FZ70" s="251"/>
      <c r="GA70" s="251"/>
      <c r="GB70" s="251"/>
      <c r="GC70" s="251"/>
      <c r="GD70" s="251"/>
      <c r="GE70" s="251"/>
      <c r="GF70" s="251"/>
      <c r="GG70" s="251"/>
      <c r="GH70" s="251"/>
      <c r="GI70" s="251"/>
      <c r="GJ70" s="251"/>
      <c r="GK70" s="251"/>
      <c r="GL70" s="251"/>
      <c r="GM70" s="251"/>
      <c r="GN70" s="251"/>
      <c r="GO70" s="251"/>
      <c r="GP70" s="251"/>
      <c r="GQ70" s="251"/>
      <c r="GR70" s="251"/>
      <c r="GS70" s="251"/>
      <c r="GT70" s="251"/>
      <c r="GU70" s="251"/>
      <c r="GV70" s="251"/>
      <c r="GW70" s="251"/>
      <c r="GX70" s="251"/>
      <c r="GY70" s="251"/>
      <c r="GZ70" s="251"/>
      <c r="HA70" s="251"/>
      <c r="HB70" s="251"/>
      <c r="HC70" s="251"/>
      <c r="HD70" s="251"/>
      <c r="HE70" s="251"/>
      <c r="HF70" s="251"/>
      <c r="HG70" s="251"/>
      <c r="HH70" s="251"/>
      <c r="HI70" s="251"/>
      <c r="HJ70" s="251"/>
      <c r="HK70" s="251"/>
      <c r="HL70" s="251"/>
      <c r="HM70" s="251"/>
      <c r="HN70" s="251"/>
      <c r="HO70" s="251"/>
      <c r="HP70" s="251"/>
      <c r="HQ70" s="251"/>
      <c r="HR70" s="251"/>
      <c r="HS70" s="251"/>
      <c r="HT70" s="251"/>
      <c r="HU70" s="251"/>
      <c r="HV70" s="251"/>
      <c r="HW70" s="251"/>
      <c r="HX70" s="251"/>
      <c r="HY70" s="251"/>
      <c r="HZ70" s="251"/>
      <c r="IA70" s="251"/>
      <c r="IB70" s="251"/>
      <c r="IC70" s="251"/>
      <c r="ID70" s="251"/>
      <c r="IE70" s="251"/>
      <c r="IF70" s="251"/>
      <c r="IG70" s="251"/>
      <c r="IH70" s="251"/>
      <c r="II70" s="251"/>
      <c r="IJ70" s="255"/>
      <c r="IK70" s="255"/>
      <c r="IL70" s="251"/>
      <c r="IM70" s="251"/>
      <c r="IN70" s="251"/>
      <c r="IO70" s="251"/>
      <c r="IP70" s="251"/>
      <c r="IQ70" s="251"/>
      <c r="IR70" s="251"/>
      <c r="IS70" s="251"/>
      <c r="IT70" s="251"/>
      <c r="IU70" s="251"/>
      <c r="IV70" s="251"/>
      <c r="IW70" s="251"/>
      <c r="IX70" s="251"/>
      <c r="IY70" s="251"/>
      <c r="IZ70" s="251"/>
      <c r="JA70" s="255"/>
      <c r="JB70" s="251"/>
      <c r="JC70" s="251"/>
      <c r="JD70" s="77"/>
      <c r="JE70" s="77"/>
      <c r="JF70" s="77"/>
      <c r="JG70" s="77"/>
      <c r="JH70" s="77"/>
      <c r="JI70" s="77"/>
      <c r="JJ70" s="77"/>
      <c r="JK70" s="77"/>
      <c r="JL70" s="77"/>
      <c r="JM70" s="77"/>
      <c r="JN70" s="77"/>
      <c r="JO70" s="77"/>
      <c r="JP70" s="77"/>
      <c r="JQ70" s="77"/>
      <c r="JR70" s="77"/>
      <c r="JS70" s="77"/>
      <c r="JT70" s="77"/>
      <c r="JU70" s="77"/>
      <c r="JV70" s="77"/>
      <c r="JW70" s="77"/>
      <c r="JX70" s="77"/>
      <c r="JY70" s="77"/>
      <c r="JZ70" s="77"/>
      <c r="KA70" s="77"/>
      <c r="KB70" s="77"/>
      <c r="KC70" s="77"/>
      <c r="KD70" s="77"/>
      <c r="KE70" s="77"/>
      <c r="KF70" s="77"/>
      <c r="KG70" s="77"/>
      <c r="KH70" s="77"/>
      <c r="KI70" s="77"/>
    </row>
    <row r="71" spans="1:295" s="35" customFormat="1" ht="12" customHeight="1">
      <c r="A71" s="77"/>
      <c r="B71" s="77"/>
      <c r="C71" s="43"/>
      <c r="D71" s="483" t="s">
        <v>814</v>
      </c>
      <c r="E71" s="484">
        <v>1</v>
      </c>
      <c r="F71" s="858" t="e">
        <f>IF(#REF! =0,"",#REF!)</f>
        <v>#REF!</v>
      </c>
      <c r="G71" s="485" t="e">
        <f>IF('Part VIII Scoring Criteria OLD'!$O$113='Part VIII Scoring Criteria OLD'!$M$113,$L71,
IF($P$50="Albany",VLOOKUP($A$70,'Cost Limits Threshold, Assumpt '!$E$4:$J$7,$E71+2),
IF($P$50="Athens",VLOOKUP($A$70,'Cost Limits Threshold, Assumpt '!$E$8:$J$11,$E71+2),
IF($P$50="Atlanta",VLOOKUP($A$70,'Cost Limits Threshold, Assumpt '!$E$12:$J$15,$E71+2),
IF($P$50="Augusta",VLOOKUP($A$70,'Cost Limits Threshold, Assumpt '!$E$16:$J$19,$E71+2),
IF($P$50="Chattanooga",VLOOKUP($A$70,'Cost Limits Threshold, Assumpt '!$E$20:$J$23,$E71+2),
IF($P$50="Columbus",VLOOKUP($A$70,'Cost Limits Threshold, Assumpt '!$E$24:$J$27,$E71+2),
IF($P$50="Macon",VLOOKUP($A$70,'Cost Limits Threshold, Assumpt '!$E$28:$J$31,$E71+2),
IF($P$50="Savannah",VLOOKUP($A$70,'Cost Limits Threshold, Assumpt '!$E$32:$J$35,$E71+2),
VLOOKUP($A$70,'Cost Limits Threshold, Assumpt '!$E$36:$J$39,$E71+2))))))))))*(1+#REF!)</f>
        <v>#REF!</v>
      </c>
      <c r="H71" s="16" t="e">
        <f>CONCATENATE("x ", F71," units = ")</f>
        <v>#REF!</v>
      </c>
      <c r="I71" s="859" t="e">
        <f>IF(F71="","",F71*G71)</f>
        <v>#REF!</v>
      </c>
      <c r="J71" s="43"/>
      <c r="K71" s="858" t="e">
        <f>IF(#REF! =0,"",#REF!)</f>
        <v>#REF!</v>
      </c>
      <c r="L71" s="485" t="e">
        <f>G71*(1+#REF!)</f>
        <v>#REF!</v>
      </c>
      <c r="M71" s="16" t="e">
        <f>CONCATENATE("x ", K71," units = ")</f>
        <v>#REF!</v>
      </c>
      <c r="N71" s="859" t="e">
        <f>IF(K71="","",K71*L71)</f>
        <v>#REF!</v>
      </c>
      <c r="O71" s="314"/>
      <c r="P71" s="4574" t="e">
        <f>IF(P58&gt;1,P58, IF(OR('Part VIII Scoring Criteria OLD'!$O$113='Part VIII Scoring Criteria OLD'!$M$113,AND(#REF!="Yes",'Part VIII Scoring Criteria OLD'!$O$378&gt;0)),H77+M77,H77))</f>
        <v>#REF!</v>
      </c>
      <c r="Q71" s="4575"/>
      <c r="R71" s="893"/>
      <c r="S71" s="894"/>
      <c r="U71" s="77"/>
      <c r="V71" s="253"/>
      <c r="W71" s="253"/>
      <c r="X71" s="254"/>
      <c r="Y71" s="253"/>
      <c r="Z71" s="256"/>
      <c r="AA71" s="257"/>
      <c r="AB71" s="257"/>
      <c r="AC71" s="257"/>
      <c r="AD71" s="257"/>
      <c r="AE71" s="257"/>
      <c r="AF71" s="257"/>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1"/>
      <c r="DW71" s="251"/>
      <c r="DX71" s="251"/>
      <c r="DY71" s="251"/>
      <c r="DZ71" s="251"/>
      <c r="EA71" s="251"/>
      <c r="EB71" s="251"/>
      <c r="EC71" s="251"/>
      <c r="ED71" s="251"/>
      <c r="EE71" s="251"/>
      <c r="EF71" s="251"/>
      <c r="EG71" s="251"/>
      <c r="EH71" s="251"/>
      <c r="EI71" s="251"/>
      <c r="EJ71" s="251"/>
      <c r="EK71" s="251"/>
      <c r="EL71" s="251"/>
      <c r="EM71" s="251"/>
      <c r="EN71" s="251"/>
      <c r="EO71" s="251"/>
      <c r="EP71" s="251"/>
      <c r="EQ71" s="251"/>
      <c r="ER71" s="251"/>
      <c r="ES71" s="251"/>
      <c r="ET71" s="251"/>
      <c r="EU71" s="251"/>
      <c r="EV71" s="251"/>
      <c r="EW71" s="251"/>
      <c r="EX71" s="251"/>
      <c r="EY71" s="251"/>
      <c r="EZ71" s="251"/>
      <c r="FA71" s="251"/>
      <c r="FB71" s="251"/>
      <c r="FC71" s="251"/>
      <c r="FD71" s="251"/>
      <c r="FE71" s="251"/>
      <c r="FF71" s="251"/>
      <c r="FG71" s="251"/>
      <c r="FH71" s="251"/>
      <c r="FI71" s="251"/>
      <c r="FJ71" s="251"/>
      <c r="FK71" s="251"/>
      <c r="FL71" s="251"/>
      <c r="FM71" s="251"/>
      <c r="FN71" s="251"/>
      <c r="FO71" s="251"/>
      <c r="FP71" s="251"/>
      <c r="FQ71" s="251"/>
      <c r="FR71" s="251"/>
      <c r="FS71" s="251"/>
      <c r="FT71" s="251"/>
      <c r="FU71" s="251"/>
      <c r="FV71" s="251"/>
      <c r="FW71" s="251"/>
      <c r="FX71" s="251"/>
      <c r="FY71" s="251"/>
      <c r="FZ71" s="251"/>
      <c r="GA71" s="251"/>
      <c r="GB71" s="251"/>
      <c r="GC71" s="251"/>
      <c r="GD71" s="251"/>
      <c r="GE71" s="251"/>
      <c r="GF71" s="251"/>
      <c r="GG71" s="251"/>
      <c r="GH71" s="251"/>
      <c r="GI71" s="251"/>
      <c r="GJ71" s="251"/>
      <c r="GK71" s="251"/>
      <c r="GL71" s="251"/>
      <c r="GM71" s="251"/>
      <c r="GN71" s="251"/>
      <c r="GO71" s="251"/>
      <c r="GP71" s="251"/>
      <c r="GQ71" s="251"/>
      <c r="GR71" s="251"/>
      <c r="GS71" s="251"/>
      <c r="GT71" s="251"/>
      <c r="GU71" s="251"/>
      <c r="GV71" s="251"/>
      <c r="GW71" s="251"/>
      <c r="GX71" s="251"/>
      <c r="GY71" s="251"/>
      <c r="GZ71" s="251"/>
      <c r="HA71" s="251"/>
      <c r="HB71" s="251"/>
      <c r="HC71" s="251"/>
      <c r="HD71" s="251"/>
      <c r="HE71" s="251"/>
      <c r="HF71" s="251"/>
      <c r="HG71" s="251"/>
      <c r="HH71" s="251"/>
      <c r="HI71" s="251"/>
      <c r="HJ71" s="251"/>
      <c r="HK71" s="251"/>
      <c r="HL71" s="251"/>
      <c r="HM71" s="251"/>
      <c r="HN71" s="251"/>
      <c r="HO71" s="251"/>
      <c r="HP71" s="251"/>
      <c r="HQ71" s="251"/>
      <c r="HR71" s="251"/>
      <c r="HS71" s="251"/>
      <c r="HT71" s="251"/>
      <c r="HU71" s="251"/>
      <c r="HV71" s="251"/>
      <c r="HW71" s="251"/>
      <c r="HX71" s="251"/>
      <c r="HY71" s="251"/>
      <c r="HZ71" s="251"/>
      <c r="IA71" s="251"/>
      <c r="IB71" s="251"/>
      <c r="IC71" s="251"/>
      <c r="ID71" s="251"/>
      <c r="IE71" s="251"/>
      <c r="IF71" s="251"/>
      <c r="IG71" s="251"/>
      <c r="IH71" s="251"/>
      <c r="II71" s="251"/>
      <c r="IJ71" s="255"/>
      <c r="IK71" s="255"/>
      <c r="IL71" s="251"/>
      <c r="IM71" s="251"/>
      <c r="IN71" s="251"/>
      <c r="IO71" s="251"/>
      <c r="IP71" s="251"/>
      <c r="IQ71" s="251"/>
      <c r="IR71" s="251"/>
      <c r="IS71" s="251"/>
      <c r="IT71" s="251"/>
      <c r="IU71" s="251"/>
      <c r="IV71" s="251"/>
      <c r="IW71" s="251"/>
      <c r="IX71" s="251"/>
      <c r="IY71" s="251"/>
      <c r="IZ71" s="251"/>
      <c r="JA71" s="255"/>
      <c r="JB71" s="251"/>
      <c r="JC71" s="251"/>
      <c r="JD71" s="77"/>
      <c r="JE71" s="77"/>
      <c r="JF71" s="77"/>
      <c r="JG71" s="77"/>
      <c r="JH71" s="77"/>
      <c r="JI71" s="77"/>
      <c r="JJ71" s="77"/>
      <c r="JK71" s="77"/>
      <c r="JL71" s="77"/>
      <c r="JM71" s="77"/>
      <c r="JN71" s="77"/>
      <c r="JO71" s="77"/>
      <c r="JP71" s="77"/>
      <c r="JQ71" s="77"/>
      <c r="JR71" s="77"/>
      <c r="JS71" s="77"/>
      <c r="JT71" s="77"/>
      <c r="JU71" s="77"/>
      <c r="JV71" s="77"/>
      <c r="JW71" s="77"/>
      <c r="JX71" s="77"/>
      <c r="JY71" s="77"/>
      <c r="JZ71" s="77"/>
      <c r="KA71" s="77"/>
      <c r="KB71" s="77"/>
      <c r="KC71" s="77"/>
      <c r="KD71" s="77"/>
      <c r="KE71" s="77"/>
      <c r="KF71" s="77"/>
      <c r="KG71" s="77"/>
      <c r="KH71" s="77"/>
      <c r="KI71" s="77"/>
    </row>
    <row r="72" spans="1:295" s="35" customFormat="1" ht="12" customHeight="1">
      <c r="A72" s="77"/>
      <c r="B72" s="77"/>
      <c r="C72" s="43"/>
      <c r="D72" s="483" t="s">
        <v>815</v>
      </c>
      <c r="E72" s="484">
        <v>2</v>
      </c>
      <c r="F72" s="858" t="e">
        <f>IF(#REF! =0,"",#REF!)</f>
        <v>#REF!</v>
      </c>
      <c r="G72" s="485" t="e">
        <f>IF('Part VIII Scoring Criteria OLD'!$O$113='Part VIII Scoring Criteria OLD'!$M$113,$L72,
IF($P$50="Albany",VLOOKUP($A$70,'Cost Limits Threshold, Assumpt '!$E$4:$J$7,$E72+2),
IF($P$50="Athens",VLOOKUP($A$70,'Cost Limits Threshold, Assumpt '!$E$8:$J$11,$E72+2),
IF($P$50="Atlanta",VLOOKUP($A$70,'Cost Limits Threshold, Assumpt '!$E$12:$J$15,$E72+2),
IF($P$50="Augusta",VLOOKUP($A$70,'Cost Limits Threshold, Assumpt '!$E$16:$J$19,$E72+2),
IF($P$50="Chattanooga",VLOOKUP($A$70,'Cost Limits Threshold, Assumpt '!$E$20:$J$23,$E72+2),
IF($P$50="Columbus",VLOOKUP($A$70,'Cost Limits Threshold, Assumpt '!$E$24:$J$27,$E72+2),
IF($P$50="Macon",VLOOKUP($A$70,'Cost Limits Threshold, Assumpt '!$E$28:$J$31,$E72+2),
IF($P$50="Savannah",VLOOKUP($A$70,'Cost Limits Threshold, Assumpt '!$E$32:$J$35,$E72+2),
VLOOKUP($A$70,'Cost Limits Threshold, Assumpt '!$E$36:$J$39,$E72+2))))))))))*(1+#REF!)</f>
        <v>#REF!</v>
      </c>
      <c r="H72" s="16" t="e">
        <f>CONCATENATE("x ", F72," units = ")</f>
        <v>#REF!</v>
      </c>
      <c r="I72" s="859" t="e">
        <f>IF(F72="","",F72*G72)</f>
        <v>#REF!</v>
      </c>
      <c r="J72" s="43"/>
      <c r="K72" s="858" t="e">
        <f>IF(#REF! =0,"",#REF!)</f>
        <v>#REF!</v>
      </c>
      <c r="L72" s="485" t="e">
        <f>G72*(1+#REF!)</f>
        <v>#REF!</v>
      </c>
      <c r="M72" s="16" t="e">
        <f>CONCATENATE("x ", K72," units = ")</f>
        <v>#REF!</v>
      </c>
      <c r="N72" s="859" t="e">
        <f>IF(K72="","",K72*L72)</f>
        <v>#REF!</v>
      </c>
      <c r="P72" s="4576"/>
      <c r="Q72" s="4577"/>
      <c r="R72" s="893"/>
      <c r="S72" s="894"/>
      <c r="U72" s="77"/>
      <c r="V72" s="253"/>
      <c r="W72" s="253"/>
      <c r="X72" s="254"/>
      <c r="Y72" s="253"/>
      <c r="Z72" s="256"/>
      <c r="AA72" s="257"/>
      <c r="AB72" s="257"/>
      <c r="AC72" s="257"/>
      <c r="AD72" s="257"/>
      <c r="AE72" s="257"/>
      <c r="AF72" s="257"/>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c r="GP72" s="251"/>
      <c r="GQ72" s="251"/>
      <c r="GR72" s="251"/>
      <c r="GS72" s="251"/>
      <c r="GT72" s="251"/>
      <c r="GU72" s="251"/>
      <c r="GV72" s="251"/>
      <c r="GW72" s="251"/>
      <c r="GX72" s="251"/>
      <c r="GY72" s="251"/>
      <c r="GZ72" s="251"/>
      <c r="HA72" s="251"/>
      <c r="HB72" s="251"/>
      <c r="HC72" s="251"/>
      <c r="HD72" s="251"/>
      <c r="HE72" s="251"/>
      <c r="HF72" s="251"/>
      <c r="HG72" s="251"/>
      <c r="HH72" s="251"/>
      <c r="HI72" s="251"/>
      <c r="HJ72" s="251"/>
      <c r="HK72" s="251"/>
      <c r="HL72" s="251"/>
      <c r="HM72" s="251"/>
      <c r="HN72" s="251"/>
      <c r="HO72" s="251"/>
      <c r="HP72" s="251"/>
      <c r="HQ72" s="251"/>
      <c r="HR72" s="251"/>
      <c r="HS72" s="251"/>
      <c r="HT72" s="251"/>
      <c r="HU72" s="251"/>
      <c r="HV72" s="251"/>
      <c r="HW72" s="251"/>
      <c r="HX72" s="251"/>
      <c r="HY72" s="251"/>
      <c r="HZ72" s="251"/>
      <c r="IA72" s="251"/>
      <c r="IB72" s="251"/>
      <c r="IC72" s="251"/>
      <c r="ID72" s="251"/>
      <c r="IE72" s="251"/>
      <c r="IF72" s="251"/>
      <c r="IG72" s="251"/>
      <c r="IH72" s="251"/>
      <c r="II72" s="251"/>
      <c r="IJ72" s="255"/>
      <c r="IK72" s="255"/>
      <c r="IL72" s="251"/>
      <c r="IM72" s="251"/>
      <c r="IN72" s="251"/>
      <c r="IO72" s="251"/>
      <c r="IP72" s="251"/>
      <c r="IQ72" s="251"/>
      <c r="IR72" s="251"/>
      <c r="IS72" s="251"/>
      <c r="IT72" s="251"/>
      <c r="IU72" s="251"/>
      <c r="IV72" s="251"/>
      <c r="IW72" s="251"/>
      <c r="IX72" s="251"/>
      <c r="IY72" s="251"/>
      <c r="IZ72" s="251"/>
      <c r="JA72" s="255"/>
      <c r="JB72" s="251"/>
      <c r="JC72" s="251"/>
      <c r="JD72" s="77"/>
      <c r="JE72" s="77"/>
      <c r="JF72" s="77"/>
      <c r="JG72" s="77"/>
      <c r="JH72" s="77"/>
      <c r="JI72" s="77"/>
      <c r="JJ72" s="77"/>
      <c r="JK72" s="77"/>
      <c r="JL72" s="77"/>
      <c r="JM72" s="77"/>
      <c r="JN72" s="77"/>
      <c r="JO72" s="77"/>
      <c r="JP72" s="77"/>
      <c r="JQ72" s="77"/>
      <c r="JR72" s="77"/>
      <c r="JS72" s="77"/>
      <c r="JT72" s="77"/>
      <c r="JU72" s="77"/>
      <c r="JV72" s="77"/>
      <c r="JW72" s="77"/>
      <c r="JX72" s="77"/>
      <c r="JY72" s="77"/>
      <c r="JZ72" s="77"/>
      <c r="KA72" s="77"/>
      <c r="KB72" s="77"/>
      <c r="KC72" s="77"/>
      <c r="KD72" s="77"/>
      <c r="KE72" s="77"/>
      <c r="KF72" s="77"/>
      <c r="KG72" s="77"/>
      <c r="KH72" s="77"/>
      <c r="KI72" s="77"/>
    </row>
    <row r="73" spans="1:295" s="35" customFormat="1" ht="12" customHeight="1">
      <c r="A73" s="77"/>
      <c r="B73" s="77"/>
      <c r="C73" s="43"/>
      <c r="D73" s="483" t="s">
        <v>816</v>
      </c>
      <c r="E73" s="484">
        <v>3</v>
      </c>
      <c r="F73" s="858" t="e">
        <f>IF(#REF! =0,"",#REF!)</f>
        <v>#REF!</v>
      </c>
      <c r="G73" s="485" t="e">
        <f>IF('Part VIII Scoring Criteria OLD'!$O$113='Part VIII Scoring Criteria OLD'!$M$113,$L73,
IF($P$50="Albany",VLOOKUP($A$70,'Cost Limits Threshold, Assumpt '!$E$4:$J$7,$E73+2),
IF($P$50="Athens",VLOOKUP($A$70,'Cost Limits Threshold, Assumpt '!$E$8:$J$11,$E73+2),
IF($P$50="Atlanta",VLOOKUP($A$70,'Cost Limits Threshold, Assumpt '!$E$12:$J$15,$E73+2),
IF($P$50="Augusta",VLOOKUP($A$70,'Cost Limits Threshold, Assumpt '!$E$16:$J$19,$E73+2),
IF($P$50="Chattanooga",VLOOKUP($A$70,'Cost Limits Threshold, Assumpt '!$E$20:$J$23,$E73+2),
IF($P$50="Columbus",VLOOKUP($A$70,'Cost Limits Threshold, Assumpt '!$E$24:$J$27,$E73+2),
IF($P$50="Macon",VLOOKUP($A$70,'Cost Limits Threshold, Assumpt '!$E$28:$J$31,$E73+2),
IF($P$50="Savannah",VLOOKUP($A$70,'Cost Limits Threshold, Assumpt '!$E$32:$J$35,$E73+2),
VLOOKUP($A$70,'Cost Limits Threshold, Assumpt '!$E$36:$J$39,$E73+2))))))))))*(1+#REF!)</f>
        <v>#REF!</v>
      </c>
      <c r="H73" s="16" t="e">
        <f>CONCATENATE("x ", F73," units = ")</f>
        <v>#REF!</v>
      </c>
      <c r="I73" s="859" t="e">
        <f>IF(F73="","",F73*G73)</f>
        <v>#REF!</v>
      </c>
      <c r="J73" s="43"/>
      <c r="K73" s="858" t="e">
        <f>IF(#REF! =0,"",#REF!)</f>
        <v>#REF!</v>
      </c>
      <c r="L73" s="485" t="e">
        <f>G73*(1+#REF!)</f>
        <v>#REF!</v>
      </c>
      <c r="M73" s="16" t="e">
        <f>CONCATENATE("x ", K73," units = ")</f>
        <v>#REF!</v>
      </c>
      <c r="N73" s="859" t="e">
        <f>IF(K73="","",K73*L73)</f>
        <v>#REF!</v>
      </c>
      <c r="P73" s="4552" t="s">
        <v>6754</v>
      </c>
      <c r="Q73" s="4552"/>
      <c r="R73" s="225"/>
      <c r="U73" s="77"/>
      <c r="V73" s="253"/>
      <c r="W73" s="253"/>
      <c r="X73" s="254"/>
      <c r="Y73" s="253"/>
      <c r="Z73" s="256"/>
      <c r="AA73" s="257"/>
      <c r="AB73" s="257"/>
      <c r="AC73" s="257"/>
      <c r="AD73" s="257"/>
      <c r="AE73" s="257"/>
      <c r="AF73" s="257"/>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c r="GP73" s="251"/>
      <c r="GQ73" s="251"/>
      <c r="GR73" s="251"/>
      <c r="GS73" s="251"/>
      <c r="GT73" s="251"/>
      <c r="GU73" s="251"/>
      <c r="GV73" s="251"/>
      <c r="GW73" s="251"/>
      <c r="GX73" s="251"/>
      <c r="GY73" s="251"/>
      <c r="GZ73" s="251"/>
      <c r="HA73" s="251"/>
      <c r="HB73" s="251"/>
      <c r="HC73" s="251"/>
      <c r="HD73" s="251"/>
      <c r="HE73" s="251"/>
      <c r="HF73" s="251"/>
      <c r="HG73" s="251"/>
      <c r="HH73" s="251"/>
      <c r="HI73" s="251"/>
      <c r="HJ73" s="251"/>
      <c r="HK73" s="251"/>
      <c r="HL73" s="251"/>
      <c r="HM73" s="251"/>
      <c r="HN73" s="251"/>
      <c r="HO73" s="251"/>
      <c r="HP73" s="251"/>
      <c r="HQ73" s="251"/>
      <c r="HR73" s="251"/>
      <c r="HS73" s="251"/>
      <c r="HT73" s="251"/>
      <c r="HU73" s="251"/>
      <c r="HV73" s="251"/>
      <c r="HW73" s="251"/>
      <c r="HX73" s="251"/>
      <c r="HY73" s="251"/>
      <c r="HZ73" s="251"/>
      <c r="IA73" s="251"/>
      <c r="IB73" s="251"/>
      <c r="IC73" s="251"/>
      <c r="ID73" s="251"/>
      <c r="IE73" s="251"/>
      <c r="IF73" s="251"/>
      <c r="IG73" s="251"/>
      <c r="IH73" s="251"/>
      <c r="II73" s="251"/>
      <c r="IJ73" s="255"/>
      <c r="IK73" s="255"/>
      <c r="IL73" s="251"/>
      <c r="IM73" s="251"/>
      <c r="IN73" s="251"/>
      <c r="IO73" s="251"/>
      <c r="IP73" s="251"/>
      <c r="IQ73" s="251"/>
      <c r="IR73" s="251"/>
      <c r="IS73" s="251"/>
      <c r="IT73" s="251"/>
      <c r="IU73" s="251"/>
      <c r="IV73" s="251"/>
      <c r="IW73" s="251"/>
      <c r="IX73" s="251"/>
      <c r="IY73" s="251"/>
      <c r="IZ73" s="251"/>
      <c r="JA73" s="255"/>
      <c r="JB73" s="251"/>
      <c r="JC73" s="251"/>
      <c r="JD73" s="77"/>
      <c r="JE73" s="77"/>
      <c r="JF73" s="77"/>
      <c r="JG73" s="77"/>
      <c r="JH73" s="77"/>
      <c r="JI73" s="77"/>
      <c r="JJ73" s="77"/>
      <c r="JK73" s="77"/>
      <c r="JL73" s="77"/>
      <c r="JM73" s="77"/>
      <c r="JN73" s="77"/>
      <c r="JO73" s="77"/>
      <c r="JP73" s="77"/>
      <c r="JQ73" s="77"/>
      <c r="JR73" s="77"/>
      <c r="JS73" s="77"/>
      <c r="JT73" s="77"/>
      <c r="JU73" s="77"/>
      <c r="JV73" s="77"/>
      <c r="JW73" s="77"/>
      <c r="JX73" s="77"/>
      <c r="JY73" s="77"/>
      <c r="JZ73" s="77"/>
      <c r="KA73" s="77"/>
      <c r="KB73" s="77"/>
      <c r="KC73" s="77"/>
      <c r="KD73" s="77"/>
      <c r="KE73" s="77"/>
      <c r="KF73" s="77"/>
      <c r="KG73" s="77"/>
      <c r="KH73" s="77"/>
      <c r="KI73" s="77"/>
    </row>
    <row r="74" spans="1:295" s="35" customFormat="1" ht="12" customHeight="1">
      <c r="A74" s="77"/>
      <c r="B74" s="77"/>
      <c r="C74" s="43"/>
      <c r="D74" s="483" t="s">
        <v>817</v>
      </c>
      <c r="E74" s="484">
        <v>4</v>
      </c>
      <c r="F74" s="858" t="e">
        <f>IF(#REF! =0,"",#REF!)</f>
        <v>#REF!</v>
      </c>
      <c r="G74" s="485" t="e">
        <f>IF('Part VIII Scoring Criteria OLD'!$O$113='Part VIII Scoring Criteria OLD'!$M$113,$L74,
IF($P$50="Albany",VLOOKUP($A$70,'Cost Limits Threshold, Assumpt '!$E$4:$J$7,$E74+2),
IF($P$50="Athens",VLOOKUP($A$70,'Cost Limits Threshold, Assumpt '!$E$8:$J$11,$E74+2),
IF($P$50="Atlanta",VLOOKUP($A$70,'Cost Limits Threshold, Assumpt '!$E$12:$J$15,$E74+2),
IF($P$50="Augusta",VLOOKUP($A$70,'Cost Limits Threshold, Assumpt '!$E$16:$J$19,$E74+2),
IF($P$50="Chattanooga",VLOOKUP($A$70,'Cost Limits Threshold, Assumpt '!$E$20:$J$23,$E74+2),
IF($P$50="Columbus",VLOOKUP($A$70,'Cost Limits Threshold, Assumpt '!$E$24:$J$27,$E74+2),
IF($P$50="Macon",VLOOKUP($A$70,'Cost Limits Threshold, Assumpt '!$E$28:$J$31,$E74+2),
IF($P$50="Savannah",VLOOKUP($A$70,'Cost Limits Threshold, Assumpt '!$E$32:$J$35,$E74+2),
VLOOKUP($A$70,'Cost Limits Threshold, Assumpt '!$E$36:$J$39,$E74+2))))))))))*(1+#REF!)</f>
        <v>#REF!</v>
      </c>
      <c r="H74" s="16" t="e">
        <f>CONCATENATE("x ", F74," units = ")</f>
        <v>#REF!</v>
      </c>
      <c r="I74" s="859" t="e">
        <f>IF(F74="","",F74*G74)</f>
        <v>#REF!</v>
      </c>
      <c r="J74" s="43"/>
      <c r="K74" s="858" t="e">
        <f>IF(#REF! =0,"",#REF!)</f>
        <v>#REF!</v>
      </c>
      <c r="L74" s="485" t="e">
        <f>G74*(1+#REF!)</f>
        <v>#REF!</v>
      </c>
      <c r="M74" s="16" t="e">
        <f>CONCATENATE("x ", K74," units = ")</f>
        <v>#REF!</v>
      </c>
      <c r="N74" s="859" t="e">
        <f>IF(K74="","",K74*L74)</f>
        <v>#REF!</v>
      </c>
      <c r="O74" s="314"/>
      <c r="P74" s="4553"/>
      <c r="Q74" s="4553"/>
      <c r="R74" s="225"/>
      <c r="U74" s="77"/>
      <c r="V74" s="253"/>
      <c r="W74" s="253"/>
      <c r="X74" s="254"/>
      <c r="Y74" s="253"/>
      <c r="Z74" s="256"/>
      <c r="AA74" s="257"/>
      <c r="AB74" s="257"/>
      <c r="AC74" s="257"/>
      <c r="AD74" s="257"/>
      <c r="AE74" s="257"/>
      <c r="AF74" s="257"/>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c r="GP74" s="251"/>
      <c r="GQ74" s="251"/>
      <c r="GR74" s="251"/>
      <c r="GS74" s="251"/>
      <c r="GT74" s="251"/>
      <c r="GU74" s="251"/>
      <c r="GV74" s="251"/>
      <c r="GW74" s="251"/>
      <c r="GX74" s="251"/>
      <c r="GY74" s="251"/>
      <c r="GZ74" s="251"/>
      <c r="HA74" s="251"/>
      <c r="HB74" s="251"/>
      <c r="HC74" s="251"/>
      <c r="HD74" s="251"/>
      <c r="HE74" s="251"/>
      <c r="HF74" s="251"/>
      <c r="HG74" s="251"/>
      <c r="HH74" s="251"/>
      <c r="HI74" s="251"/>
      <c r="HJ74" s="251"/>
      <c r="HK74" s="251"/>
      <c r="HL74" s="251"/>
      <c r="HM74" s="251"/>
      <c r="HN74" s="251"/>
      <c r="HO74" s="251"/>
      <c r="HP74" s="251"/>
      <c r="HQ74" s="251"/>
      <c r="HR74" s="251"/>
      <c r="HS74" s="251"/>
      <c r="HT74" s="251"/>
      <c r="HU74" s="251"/>
      <c r="HV74" s="251"/>
      <c r="HW74" s="251"/>
      <c r="HX74" s="251"/>
      <c r="HY74" s="251"/>
      <c r="HZ74" s="251"/>
      <c r="IA74" s="251"/>
      <c r="IB74" s="251"/>
      <c r="IC74" s="251"/>
      <c r="ID74" s="251"/>
      <c r="IE74" s="251"/>
      <c r="IF74" s="251"/>
      <c r="IG74" s="251"/>
      <c r="IH74" s="251"/>
      <c r="II74" s="251"/>
      <c r="IJ74" s="255"/>
      <c r="IK74" s="255"/>
      <c r="IL74" s="251"/>
      <c r="IM74" s="251"/>
      <c r="IN74" s="251"/>
      <c r="IO74" s="251"/>
      <c r="IP74" s="251"/>
      <c r="IQ74" s="251"/>
      <c r="IR74" s="251"/>
      <c r="IS74" s="251"/>
      <c r="IT74" s="251"/>
      <c r="IU74" s="251"/>
      <c r="IV74" s="251"/>
      <c r="IW74" s="251"/>
      <c r="IX74" s="251"/>
      <c r="IY74" s="251"/>
      <c r="IZ74" s="251"/>
      <c r="JA74" s="255"/>
      <c r="JB74" s="251"/>
      <c r="JC74" s="251"/>
      <c r="JD74" s="77"/>
      <c r="JE74" s="77"/>
      <c r="JF74" s="77"/>
      <c r="JG74" s="77"/>
      <c r="JH74" s="77"/>
      <c r="JI74" s="77"/>
      <c r="JJ74" s="77"/>
      <c r="JK74" s="77"/>
      <c r="JL74" s="77"/>
      <c r="JM74" s="77"/>
      <c r="JN74" s="77"/>
      <c r="JO74" s="77"/>
      <c r="JP74" s="77"/>
      <c r="JQ74" s="77"/>
      <c r="JR74" s="77"/>
      <c r="JS74" s="77"/>
      <c r="JT74" s="77"/>
      <c r="JU74" s="77"/>
      <c r="JV74" s="77"/>
      <c r="JW74" s="77"/>
      <c r="JX74" s="77"/>
      <c r="JY74" s="77"/>
      <c r="JZ74" s="77"/>
      <c r="KA74" s="77"/>
      <c r="KB74" s="77"/>
      <c r="KC74" s="77"/>
      <c r="KD74" s="77"/>
      <c r="KE74" s="77"/>
      <c r="KF74" s="77"/>
      <c r="KG74" s="77"/>
      <c r="KH74" s="77"/>
      <c r="KI74" s="77"/>
    </row>
    <row r="75" spans="1:295" s="35" customFormat="1" ht="12" customHeight="1" thickBot="1">
      <c r="A75" s="77"/>
      <c r="B75" s="77"/>
      <c r="C75" s="43"/>
      <c r="D75" s="324" t="s">
        <v>6746</v>
      </c>
      <c r="E75" s="229"/>
      <c r="F75" s="631" t="e">
        <f>SUM(F70:F74)</f>
        <v>#REF!</v>
      </c>
      <c r="G75" s="349"/>
      <c r="H75" s="632"/>
      <c r="I75" s="635" t="e">
        <f>SUM(I70:I74)</f>
        <v>#REF!</v>
      </c>
      <c r="J75" s="634"/>
      <c r="K75" s="631" t="e">
        <f>SUM(K70:K74)</f>
        <v>#REF!</v>
      </c>
      <c r="L75" s="634"/>
      <c r="M75" s="632"/>
      <c r="N75" s="635" t="e">
        <f>SUM(N70:N74)</f>
        <v>#REF!</v>
      </c>
      <c r="O75" s="314"/>
      <c r="P75" s="4553"/>
      <c r="Q75" s="4553"/>
      <c r="R75" s="225"/>
      <c r="U75" s="77"/>
      <c r="V75" s="253"/>
      <c r="W75" s="253"/>
      <c r="X75" s="254"/>
      <c r="Y75" s="253"/>
      <c r="Z75" s="256"/>
      <c r="AA75" s="257"/>
      <c r="AB75" s="257"/>
      <c r="AC75" s="257"/>
      <c r="AD75" s="257"/>
      <c r="AE75" s="257"/>
      <c r="AF75" s="257"/>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c r="GP75" s="251"/>
      <c r="GQ75" s="251"/>
      <c r="GR75" s="251"/>
      <c r="GS75" s="251"/>
      <c r="GT75" s="251"/>
      <c r="GU75" s="251"/>
      <c r="GV75" s="251"/>
      <c r="GW75" s="251"/>
      <c r="GX75" s="251"/>
      <c r="GY75" s="251"/>
      <c r="GZ75" s="251"/>
      <c r="HA75" s="251"/>
      <c r="HB75" s="251"/>
      <c r="HC75" s="251"/>
      <c r="HD75" s="251"/>
      <c r="HE75" s="251"/>
      <c r="HF75" s="251"/>
      <c r="HG75" s="251"/>
      <c r="HH75" s="251"/>
      <c r="HI75" s="251"/>
      <c r="HJ75" s="251"/>
      <c r="HK75" s="251"/>
      <c r="HL75" s="251"/>
      <c r="HM75" s="251"/>
      <c r="HN75" s="251"/>
      <c r="HO75" s="251"/>
      <c r="HP75" s="251"/>
      <c r="HQ75" s="251"/>
      <c r="HR75" s="251"/>
      <c r="HS75" s="251"/>
      <c r="HT75" s="251"/>
      <c r="HU75" s="251"/>
      <c r="HV75" s="251"/>
      <c r="HW75" s="251"/>
      <c r="HX75" s="251"/>
      <c r="HY75" s="251"/>
      <c r="HZ75" s="251"/>
      <c r="IA75" s="251"/>
      <c r="IB75" s="251"/>
      <c r="IC75" s="251"/>
      <c r="ID75" s="251"/>
      <c r="IE75" s="251"/>
      <c r="IF75" s="251"/>
      <c r="IG75" s="251"/>
      <c r="IH75" s="251"/>
      <c r="II75" s="251"/>
      <c r="IJ75" s="255"/>
      <c r="IK75" s="255"/>
      <c r="IL75" s="251"/>
      <c r="IM75" s="251"/>
      <c r="IN75" s="251"/>
      <c r="IO75" s="251"/>
      <c r="IP75" s="251"/>
      <c r="IQ75" s="251"/>
      <c r="IR75" s="251"/>
      <c r="IS75" s="251"/>
      <c r="IT75" s="251"/>
      <c r="IU75" s="251"/>
      <c r="IV75" s="251"/>
      <c r="IW75" s="251"/>
      <c r="IX75" s="251"/>
      <c r="IY75" s="251"/>
      <c r="IZ75" s="251"/>
      <c r="JA75" s="255"/>
      <c r="JB75" s="251"/>
      <c r="JC75" s="251"/>
      <c r="JD75" s="77"/>
      <c r="JE75" s="77"/>
      <c r="JF75" s="77"/>
      <c r="JG75" s="77"/>
      <c r="JH75" s="77"/>
      <c r="JI75" s="77"/>
      <c r="JJ75" s="77"/>
      <c r="JK75" s="77"/>
      <c r="JL75" s="77"/>
      <c r="JM75" s="77"/>
      <c r="JN75" s="77"/>
      <c r="JO75" s="77"/>
      <c r="JP75" s="77"/>
      <c r="JQ75" s="77"/>
      <c r="JR75" s="77"/>
      <c r="JS75" s="77"/>
      <c r="JT75" s="77"/>
      <c r="JU75" s="77"/>
      <c r="JV75" s="77"/>
      <c r="JW75" s="77"/>
      <c r="JX75" s="77"/>
      <c r="JY75" s="77"/>
      <c r="JZ75" s="77"/>
      <c r="KA75" s="77"/>
      <c r="KB75" s="77"/>
      <c r="KC75" s="77"/>
      <c r="KD75" s="77"/>
      <c r="KE75" s="77"/>
      <c r="KF75" s="77"/>
      <c r="KG75" s="77"/>
      <c r="KH75" s="77"/>
      <c r="KI75" s="77"/>
    </row>
    <row r="76" spans="1:295" s="35" customFormat="1" ht="3.75" customHeight="1" thickTop="1" thickBot="1">
      <c r="A76" s="77"/>
      <c r="B76" s="77"/>
      <c r="C76" s="43"/>
      <c r="D76" s="43"/>
      <c r="E76" s="40"/>
      <c r="F76" s="43"/>
      <c r="G76" s="13"/>
      <c r="H76" s="2400"/>
      <c r="I76" s="2400"/>
      <c r="J76" s="2400"/>
      <c r="K76" s="2400"/>
      <c r="L76" s="2400"/>
      <c r="M76" s="2400"/>
      <c r="N76" s="2605"/>
      <c r="O76" s="314"/>
      <c r="P76" s="4553"/>
      <c r="Q76" s="4553"/>
      <c r="R76" s="225"/>
      <c r="S76" s="225"/>
      <c r="T76" s="77"/>
      <c r="U76" s="77"/>
      <c r="V76" s="253"/>
      <c r="W76" s="253"/>
      <c r="X76" s="254"/>
      <c r="Y76" s="253"/>
      <c r="Z76" s="256"/>
      <c r="AA76" s="257"/>
      <c r="AB76" s="257"/>
      <c r="AC76" s="257"/>
      <c r="AD76" s="257"/>
      <c r="AE76" s="257"/>
      <c r="AF76" s="257"/>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251"/>
      <c r="BW76" s="251"/>
      <c r="BX76" s="251"/>
      <c r="BY76" s="251"/>
      <c r="BZ76" s="251"/>
      <c r="CA76" s="251"/>
      <c r="CB76" s="251"/>
      <c r="CC76" s="251"/>
      <c r="CD76" s="251"/>
      <c r="CE76" s="251"/>
      <c r="CF76" s="251"/>
      <c r="CG76" s="251"/>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1"/>
      <c r="DW76" s="251"/>
      <c r="DX76" s="251"/>
      <c r="DY76" s="251"/>
      <c r="DZ76" s="251"/>
      <c r="EA76" s="251"/>
      <c r="EB76" s="251"/>
      <c r="EC76" s="251"/>
      <c r="ED76" s="251"/>
      <c r="EE76" s="251"/>
      <c r="EF76" s="251"/>
      <c r="EG76" s="251"/>
      <c r="EH76" s="251"/>
      <c r="EI76" s="251"/>
      <c r="EJ76" s="251"/>
      <c r="EK76" s="251"/>
      <c r="EL76" s="251"/>
      <c r="EM76" s="251"/>
      <c r="EN76" s="251"/>
      <c r="EO76" s="251"/>
      <c r="EP76" s="251"/>
      <c r="EQ76" s="251"/>
      <c r="ER76" s="251"/>
      <c r="ES76" s="251"/>
      <c r="ET76" s="251"/>
      <c r="EU76" s="251"/>
      <c r="EV76" s="251"/>
      <c r="EW76" s="251"/>
      <c r="EX76" s="251"/>
      <c r="EY76" s="251"/>
      <c r="EZ76" s="251"/>
      <c r="FA76" s="251"/>
      <c r="FB76" s="251"/>
      <c r="FC76" s="251"/>
      <c r="FD76" s="251"/>
      <c r="FE76" s="251"/>
      <c r="FF76" s="251"/>
      <c r="FG76" s="251"/>
      <c r="FH76" s="251"/>
      <c r="FI76" s="251"/>
      <c r="FJ76" s="251"/>
      <c r="FK76" s="251"/>
      <c r="FL76" s="251"/>
      <c r="FM76" s="251"/>
      <c r="FN76" s="251"/>
      <c r="FO76" s="251"/>
      <c r="FP76" s="251"/>
      <c r="FQ76" s="251"/>
      <c r="FR76" s="251"/>
      <c r="FS76" s="251"/>
      <c r="FT76" s="251"/>
      <c r="FU76" s="251"/>
      <c r="FV76" s="251"/>
      <c r="FW76" s="251"/>
      <c r="FX76" s="251"/>
      <c r="FY76" s="251"/>
      <c r="FZ76" s="251"/>
      <c r="GA76" s="251"/>
      <c r="GB76" s="251"/>
      <c r="GC76" s="251"/>
      <c r="GD76" s="251"/>
      <c r="GE76" s="251"/>
      <c r="GF76" s="251"/>
      <c r="GG76" s="251"/>
      <c r="GH76" s="251"/>
      <c r="GI76" s="251"/>
      <c r="GJ76" s="251"/>
      <c r="GK76" s="251"/>
      <c r="GL76" s="251"/>
      <c r="GM76" s="251"/>
      <c r="GN76" s="251"/>
      <c r="GO76" s="251"/>
      <c r="GP76" s="251"/>
      <c r="GQ76" s="251"/>
      <c r="GR76" s="251"/>
      <c r="GS76" s="251"/>
      <c r="GT76" s="251"/>
      <c r="GU76" s="251"/>
      <c r="GV76" s="251"/>
      <c r="GW76" s="251"/>
      <c r="GX76" s="251"/>
      <c r="GY76" s="251"/>
      <c r="GZ76" s="251"/>
      <c r="HA76" s="251"/>
      <c r="HB76" s="251"/>
      <c r="HC76" s="251"/>
      <c r="HD76" s="251"/>
      <c r="HE76" s="251"/>
      <c r="HF76" s="251"/>
      <c r="HG76" s="251"/>
      <c r="HH76" s="251"/>
      <c r="HI76" s="251"/>
      <c r="HJ76" s="251"/>
      <c r="HK76" s="251"/>
      <c r="HL76" s="251"/>
      <c r="HM76" s="251"/>
      <c r="HN76" s="251"/>
      <c r="HO76" s="251"/>
      <c r="HP76" s="251"/>
      <c r="HQ76" s="251"/>
      <c r="HR76" s="251"/>
      <c r="HS76" s="251"/>
      <c r="HT76" s="251"/>
      <c r="HU76" s="251"/>
      <c r="HV76" s="251"/>
      <c r="HW76" s="251"/>
      <c r="HX76" s="251"/>
      <c r="HY76" s="251"/>
      <c r="HZ76" s="251"/>
      <c r="IA76" s="251"/>
      <c r="IB76" s="251"/>
      <c r="IC76" s="251"/>
      <c r="ID76" s="251"/>
      <c r="IE76" s="251"/>
      <c r="IF76" s="251"/>
      <c r="IG76" s="251"/>
      <c r="IH76" s="251"/>
      <c r="II76" s="251"/>
      <c r="IJ76" s="255"/>
      <c r="IK76" s="255"/>
      <c r="IL76" s="251"/>
      <c r="IM76" s="251"/>
      <c r="IN76" s="251"/>
      <c r="IO76" s="251"/>
      <c r="IP76" s="251"/>
      <c r="IQ76" s="251"/>
      <c r="IR76" s="251"/>
      <c r="IS76" s="251"/>
      <c r="IT76" s="251"/>
      <c r="IU76" s="251"/>
      <c r="IV76" s="251"/>
      <c r="IW76" s="251"/>
      <c r="IX76" s="251"/>
      <c r="IY76" s="251"/>
      <c r="IZ76" s="251"/>
      <c r="JA76" s="255"/>
      <c r="JB76" s="251"/>
      <c r="JC76" s="251"/>
      <c r="JD76" s="77"/>
      <c r="JE76" s="77"/>
      <c r="JF76" s="77"/>
      <c r="JG76" s="77"/>
      <c r="JH76" s="77"/>
      <c r="JI76" s="77"/>
      <c r="JJ76" s="77"/>
      <c r="JK76" s="77"/>
      <c r="JL76" s="77"/>
      <c r="JM76" s="77"/>
      <c r="JN76" s="77"/>
      <c r="JO76" s="77"/>
      <c r="JP76" s="77"/>
      <c r="JQ76" s="77"/>
      <c r="JR76" s="77"/>
      <c r="JS76" s="77"/>
      <c r="JT76" s="77"/>
      <c r="JU76" s="77"/>
      <c r="JV76" s="77"/>
      <c r="JW76" s="77"/>
      <c r="JX76" s="77"/>
      <c r="JY76" s="77"/>
      <c r="JZ76" s="77"/>
      <c r="KA76" s="77"/>
      <c r="KB76" s="77"/>
      <c r="KC76" s="77"/>
      <c r="KD76" s="77"/>
      <c r="KE76" s="77"/>
      <c r="KF76" s="77"/>
      <c r="KG76" s="77"/>
      <c r="KH76" s="77"/>
      <c r="KI76" s="77"/>
    </row>
    <row r="77" spans="1:295" s="35" customFormat="1" ht="12.75" customHeight="1" thickTop="1">
      <c r="A77" s="56" t="s">
        <v>6755</v>
      </c>
      <c r="B77" s="43"/>
      <c r="C77" s="43"/>
      <c r="D77" s="41"/>
      <c r="E77" s="48"/>
      <c r="F77" s="342" t="e">
        <f>F54+F61+F68+F75</f>
        <v>#REF!</v>
      </c>
      <c r="G77" s="163"/>
      <c r="H77" s="4562" t="e">
        <f>I54+I61+I68+I75</f>
        <v>#REF!</v>
      </c>
      <c r="I77" s="4562"/>
      <c r="J77" s="4562"/>
      <c r="K77" s="342" t="e">
        <f>K54+K61+K68+K75</f>
        <v>#REF!</v>
      </c>
      <c r="L77" s="343"/>
      <c r="M77" s="4562" t="e">
        <f>N54+N61+N68+N75</f>
        <v>#REF!</v>
      </c>
      <c r="N77" s="4562"/>
      <c r="O77" s="4562"/>
      <c r="P77" s="4553"/>
      <c r="Q77" s="4553"/>
      <c r="R77" s="225"/>
      <c r="S77" s="225"/>
      <c r="T77" s="77"/>
      <c r="U77" s="77"/>
      <c r="V77" s="253"/>
      <c r="W77" s="253"/>
      <c r="X77" s="254"/>
      <c r="Y77" s="253"/>
      <c r="Z77" s="256"/>
      <c r="AA77" s="257"/>
      <c r="AB77" s="257"/>
      <c r="AC77" s="257"/>
      <c r="AD77" s="257"/>
      <c r="AE77" s="257"/>
      <c r="AF77" s="257"/>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251"/>
      <c r="BT77" s="251"/>
      <c r="BU77" s="251"/>
      <c r="BV77" s="251"/>
      <c r="BW77" s="251"/>
      <c r="BX77" s="251"/>
      <c r="BY77" s="251"/>
      <c r="BZ77" s="251"/>
      <c r="CA77" s="251"/>
      <c r="CB77" s="251"/>
      <c r="CC77" s="251"/>
      <c r="CD77" s="251"/>
      <c r="CE77" s="251"/>
      <c r="CF77" s="251"/>
      <c r="CG77" s="251"/>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1"/>
      <c r="DW77" s="251"/>
      <c r="DX77" s="251"/>
      <c r="DY77" s="251"/>
      <c r="DZ77" s="251"/>
      <c r="EA77" s="251"/>
      <c r="EB77" s="251"/>
      <c r="EC77" s="251"/>
      <c r="ED77" s="251"/>
      <c r="EE77" s="251"/>
      <c r="EF77" s="251"/>
      <c r="EG77" s="251"/>
      <c r="EH77" s="251"/>
      <c r="EI77" s="251"/>
      <c r="EJ77" s="251"/>
      <c r="EK77" s="251"/>
      <c r="EL77" s="251"/>
      <c r="EM77" s="251"/>
      <c r="EN77" s="251"/>
      <c r="EO77" s="251"/>
      <c r="EP77" s="251"/>
      <c r="EQ77" s="251"/>
      <c r="ER77" s="251"/>
      <c r="ES77" s="251"/>
      <c r="ET77" s="251"/>
      <c r="EU77" s="251"/>
      <c r="EV77" s="251"/>
      <c r="EW77" s="251"/>
      <c r="EX77" s="251"/>
      <c r="EY77" s="251"/>
      <c r="EZ77" s="251"/>
      <c r="FA77" s="251"/>
      <c r="FB77" s="251"/>
      <c r="FC77" s="251"/>
      <c r="FD77" s="251"/>
      <c r="FE77" s="251"/>
      <c r="FF77" s="251"/>
      <c r="FG77" s="251"/>
      <c r="FH77" s="251"/>
      <c r="FI77" s="251"/>
      <c r="FJ77" s="251"/>
      <c r="FK77" s="251"/>
      <c r="FL77" s="251"/>
      <c r="FM77" s="251"/>
      <c r="FN77" s="251"/>
      <c r="FO77" s="251"/>
      <c r="FP77" s="251"/>
      <c r="FQ77" s="251"/>
      <c r="FR77" s="251"/>
      <c r="FS77" s="251"/>
      <c r="FT77" s="251"/>
      <c r="FU77" s="251"/>
      <c r="FV77" s="251"/>
      <c r="FW77" s="251"/>
      <c r="FX77" s="251"/>
      <c r="FY77" s="251"/>
      <c r="FZ77" s="251"/>
      <c r="GA77" s="251"/>
      <c r="GB77" s="251"/>
      <c r="GC77" s="251"/>
      <c r="GD77" s="251"/>
      <c r="GE77" s="251"/>
      <c r="GF77" s="251"/>
      <c r="GG77" s="251"/>
      <c r="GH77" s="251"/>
      <c r="GI77" s="251"/>
      <c r="GJ77" s="251"/>
      <c r="GK77" s="251"/>
      <c r="GL77" s="251"/>
      <c r="GM77" s="251"/>
      <c r="GN77" s="251"/>
      <c r="GO77" s="251"/>
      <c r="GP77" s="251"/>
      <c r="GQ77" s="251"/>
      <c r="GR77" s="251"/>
      <c r="GS77" s="251"/>
      <c r="GT77" s="251"/>
      <c r="GU77" s="251"/>
      <c r="GV77" s="251"/>
      <c r="GW77" s="251"/>
      <c r="GX77" s="251"/>
      <c r="GY77" s="251"/>
      <c r="GZ77" s="251"/>
      <c r="HA77" s="251"/>
      <c r="HB77" s="251"/>
      <c r="HC77" s="251"/>
      <c r="HD77" s="251"/>
      <c r="HE77" s="251"/>
      <c r="HF77" s="251"/>
      <c r="HG77" s="251"/>
      <c r="HH77" s="251"/>
      <c r="HI77" s="251"/>
      <c r="HJ77" s="251"/>
      <c r="HK77" s="251"/>
      <c r="HL77" s="251"/>
      <c r="HM77" s="251"/>
      <c r="HN77" s="251"/>
      <c r="HO77" s="251"/>
      <c r="HP77" s="251"/>
      <c r="HQ77" s="251"/>
      <c r="HR77" s="251"/>
      <c r="HS77" s="251"/>
      <c r="HT77" s="251"/>
      <c r="HU77" s="251"/>
      <c r="HV77" s="251"/>
      <c r="HW77" s="251"/>
      <c r="HX77" s="251"/>
      <c r="HY77" s="251"/>
      <c r="HZ77" s="251"/>
      <c r="IA77" s="251"/>
      <c r="IB77" s="251"/>
      <c r="IC77" s="251"/>
      <c r="ID77" s="251"/>
      <c r="IE77" s="251"/>
      <c r="IF77" s="251"/>
      <c r="IG77" s="251"/>
      <c r="IH77" s="251"/>
      <c r="II77" s="251"/>
      <c r="IJ77" s="255"/>
      <c r="IK77" s="255"/>
      <c r="IL77" s="251"/>
      <c r="IM77" s="251"/>
      <c r="IN77" s="251"/>
      <c r="IO77" s="251"/>
      <c r="IP77" s="251"/>
      <c r="IQ77" s="251"/>
      <c r="IR77" s="251"/>
      <c r="IS77" s="251"/>
      <c r="IT77" s="251"/>
      <c r="IU77" s="251"/>
      <c r="IV77" s="251"/>
      <c r="IW77" s="251"/>
      <c r="IX77" s="251"/>
      <c r="IY77" s="251"/>
      <c r="IZ77" s="251"/>
      <c r="JA77" s="255"/>
      <c r="JB77" s="251"/>
      <c r="JC77" s="251"/>
      <c r="JD77" s="77"/>
      <c r="JE77" s="77"/>
      <c r="JF77" s="77"/>
      <c r="JG77" s="77"/>
      <c r="JH77" s="77"/>
      <c r="JI77" s="77"/>
      <c r="JJ77" s="77"/>
      <c r="JK77" s="77"/>
      <c r="JL77" s="77"/>
      <c r="JM77" s="77"/>
      <c r="JN77" s="77"/>
      <c r="JO77" s="77"/>
      <c r="JP77" s="77"/>
      <c r="JQ77" s="77"/>
      <c r="JR77" s="77"/>
      <c r="JS77" s="77"/>
      <c r="JT77" s="77"/>
      <c r="JU77" s="77"/>
      <c r="JV77" s="77"/>
      <c r="JW77" s="77"/>
      <c r="JX77" s="77"/>
      <c r="JY77" s="77"/>
      <c r="JZ77" s="77"/>
      <c r="KA77" s="77"/>
      <c r="KB77" s="77"/>
      <c r="KC77" s="77"/>
      <c r="KD77" s="77"/>
      <c r="KE77" s="77"/>
      <c r="KF77" s="77"/>
      <c r="KG77" s="77"/>
      <c r="KH77" s="77"/>
      <c r="KI77" s="77"/>
    </row>
    <row r="78" spans="1:295" s="12" customFormat="1" ht="10.5" customHeight="1">
      <c r="A78" s="77"/>
      <c r="B78" s="44" t="s">
        <v>1457</v>
      </c>
      <c r="C78" s="77"/>
      <c r="D78" s="44"/>
      <c r="E78" s="44"/>
      <c r="F78" s="44"/>
      <c r="G78" s="44"/>
      <c r="H78" s="16"/>
      <c r="I78" s="2596"/>
      <c r="J78" s="2596"/>
      <c r="K78" s="70" t="s">
        <v>1453</v>
      </c>
      <c r="L78" s="501"/>
      <c r="M78" s="501"/>
      <c r="N78" s="501"/>
      <c r="O78" s="501"/>
      <c r="P78" s="4554"/>
      <c r="Q78" s="4554"/>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c r="JN78" s="77"/>
      <c r="JO78" s="77"/>
      <c r="JP78" s="77"/>
      <c r="JQ78" s="77"/>
      <c r="JR78" s="77"/>
      <c r="JS78" s="77"/>
      <c r="JT78" s="77"/>
      <c r="JU78" s="77"/>
      <c r="JV78" s="77"/>
      <c r="JW78" s="77"/>
      <c r="JX78" s="77"/>
      <c r="JY78" s="77"/>
      <c r="JZ78" s="77"/>
      <c r="KA78" s="77"/>
      <c r="KB78" s="77"/>
      <c r="KC78" s="77"/>
      <c r="KD78" s="77"/>
      <c r="KE78" s="77"/>
      <c r="KF78" s="77"/>
      <c r="KG78" s="77"/>
      <c r="KH78" s="77"/>
      <c r="KI78" s="77"/>
    </row>
    <row r="79" spans="1:295" s="12" customFormat="1" ht="10.5" customHeight="1">
      <c r="A79" s="4390"/>
      <c r="B79" s="4391"/>
      <c r="C79" s="4391"/>
      <c r="D79" s="4391"/>
      <c r="E79" s="4391"/>
      <c r="F79" s="4391"/>
      <c r="G79" s="4391"/>
      <c r="H79" s="4391"/>
      <c r="I79" s="4391"/>
      <c r="J79" s="4392"/>
      <c r="K79" s="4387"/>
      <c r="L79" s="4388"/>
      <c r="M79" s="4388"/>
      <c r="N79" s="4388"/>
      <c r="O79" s="4388"/>
      <c r="P79" s="4388"/>
      <c r="Q79" s="4389"/>
      <c r="R79" s="248" t="s">
        <v>6410</v>
      </c>
      <c r="S79" s="77"/>
      <c r="T79" s="77"/>
      <c r="U79" s="69"/>
      <c r="V79" s="69"/>
      <c r="W79" s="69"/>
      <c r="X79" s="69"/>
      <c r="Y79" s="69"/>
      <c r="Z79" s="69"/>
      <c r="AA79" s="69"/>
      <c r="AB79" s="69"/>
      <c r="AC79" s="69"/>
      <c r="AD79" s="69"/>
      <c r="AE79" s="69"/>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c r="JN79" s="77"/>
      <c r="JO79" s="77"/>
      <c r="JP79" s="77"/>
      <c r="JQ79" s="77"/>
      <c r="JR79" s="77"/>
      <c r="JS79" s="77"/>
      <c r="JT79" s="77"/>
      <c r="JU79" s="77"/>
      <c r="JV79" s="77"/>
      <c r="JW79" s="77"/>
      <c r="JX79" s="77"/>
      <c r="JY79" s="77"/>
      <c r="JZ79" s="77"/>
      <c r="KA79" s="77"/>
      <c r="KB79" s="77"/>
      <c r="KC79" s="77"/>
      <c r="KD79" s="77"/>
      <c r="KE79" s="77"/>
      <c r="KF79" s="77"/>
      <c r="KG79" s="77"/>
      <c r="KH79" s="77"/>
      <c r="KI79" s="77"/>
    </row>
    <row r="80" spans="1:295" s="12" customFormat="1" ht="3" customHeight="1">
      <c r="A80" s="77"/>
      <c r="B80" s="2596"/>
      <c r="C80" s="2586"/>
      <c r="D80" s="2586"/>
      <c r="E80" s="2586"/>
      <c r="F80" s="2586"/>
      <c r="G80" s="2586"/>
      <c r="H80" s="2586"/>
      <c r="I80" s="2586"/>
      <c r="J80" s="2586"/>
      <c r="K80" s="2586"/>
      <c r="L80" s="2586"/>
      <c r="M80" s="2586"/>
      <c r="N80" s="2586"/>
      <c r="O80" s="2586"/>
      <c r="P80" s="2586"/>
      <c r="Q80" s="501"/>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c r="JN80" s="77"/>
      <c r="JO80" s="77"/>
      <c r="JP80" s="77"/>
      <c r="JQ80" s="77"/>
      <c r="JR80" s="77"/>
      <c r="JS80" s="77"/>
      <c r="JT80" s="77"/>
      <c r="JU80" s="77"/>
      <c r="JV80" s="77"/>
      <c r="JW80" s="77"/>
      <c r="JX80" s="77"/>
      <c r="JY80" s="77"/>
      <c r="JZ80" s="77"/>
      <c r="KA80" s="77"/>
      <c r="KB80" s="77"/>
      <c r="KC80" s="77"/>
      <c r="KD80" s="77"/>
      <c r="KE80" s="77"/>
      <c r="KF80" s="77"/>
      <c r="KG80" s="77"/>
      <c r="KH80" s="77"/>
      <c r="KI80" s="77"/>
    </row>
  </sheetData>
  <mergeCells count="33">
    <mergeCell ref="A56:C58"/>
    <mergeCell ref="P44:Q44"/>
    <mergeCell ref="G45:H45"/>
    <mergeCell ref="K45:N45"/>
    <mergeCell ref="G46:H46"/>
    <mergeCell ref="P54:Q54"/>
    <mergeCell ref="P53:Q53"/>
    <mergeCell ref="A2:B4"/>
    <mergeCell ref="P60:Q60"/>
    <mergeCell ref="P64:Q64"/>
    <mergeCell ref="A79:J79"/>
    <mergeCell ref="K79:Q79"/>
    <mergeCell ref="A49:C52"/>
    <mergeCell ref="K46:N46"/>
    <mergeCell ref="K47:N47"/>
    <mergeCell ref="P56:Q56"/>
    <mergeCell ref="P47:Q49"/>
    <mergeCell ref="A45:E46"/>
    <mergeCell ref="P71:Q72"/>
    <mergeCell ref="P50:Q51"/>
    <mergeCell ref="P57:Q57"/>
    <mergeCell ref="P58:Q59"/>
    <mergeCell ref="G48:I48"/>
    <mergeCell ref="S58:V70"/>
    <mergeCell ref="P73:Q78"/>
    <mergeCell ref="P67:Q70"/>
    <mergeCell ref="F2:J2"/>
    <mergeCell ref="N2:R2"/>
    <mergeCell ref="R54:T54"/>
    <mergeCell ref="L48:N48"/>
    <mergeCell ref="H77:J77"/>
    <mergeCell ref="M77:O77"/>
    <mergeCell ref="P52:Q52"/>
  </mergeCells>
  <conditionalFormatting sqref="R48:R50">
    <cfRule type="cellIs" dxfId="35" priority="1" stopIfTrue="1" operator="greaterThan">
      <formula>0</formula>
    </cfRule>
  </conditionalFormatting>
  <conditionalFormatting sqref="R55 R58 R61:R63 R69:R70 R73:R75 R76:S77">
    <cfRule type="cellIs" dxfId="34" priority="2" stopIfTrue="1" operator="greaterThan">
      <formula>0</formula>
    </cfRule>
  </conditionalFormatting>
  <dataValidations count="2">
    <dataValidation type="list" allowBlank="1" showInputMessage="1" showErrorMessage="1" sqref="Q46" xr:uid="{00000000-0002-0000-0B00-000010000000}">
      <formula1>"Yes, No"</formula1>
    </dataValidation>
    <dataValidation type="list" allowBlank="1" showInputMessage="1" showErrorMessage="1" sqref="P44" xr:uid="{00000000-0002-0000-0B00-00000D000000}">
      <formula1>"Conditional Pass, Pass, Fail, N/A, TBD"</formula1>
    </dataValidation>
  </dataValidation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pageSetUpPr fitToPage="1"/>
  </sheetPr>
  <dimension ref="A1:AT838"/>
  <sheetViews>
    <sheetView showGridLines="0" topLeftCell="A355" zoomScale="120" zoomScaleNormal="120" workbookViewId="0">
      <selection activeCell="B387" sqref="B387:P387"/>
    </sheetView>
  </sheetViews>
  <sheetFormatPr defaultColWidth="9.21875" defaultRowHeight="13.2"/>
  <cols>
    <col min="1" max="1" width="6" customWidth="1"/>
    <col min="2" max="2" width="3.44140625" customWidth="1"/>
    <col min="3" max="3" width="10.5546875" customWidth="1"/>
    <col min="4" max="4" width="10.21875" customWidth="1"/>
    <col min="5" max="5" width="6.21875" customWidth="1"/>
    <col min="6" max="6" width="9.21875" customWidth="1"/>
    <col min="7" max="9" width="11.5546875" customWidth="1"/>
    <col min="10" max="10" width="9.21875" customWidth="1"/>
    <col min="11" max="11" width="11.77734375" customWidth="1"/>
    <col min="12" max="12" width="14.77734375" customWidth="1"/>
    <col min="13" max="13" width="6.77734375" customWidth="1"/>
    <col min="14" max="14" width="2.77734375" style="33" customWidth="1"/>
    <col min="15" max="16" width="6.77734375" style="9" customWidth="1"/>
    <col min="17" max="17" width="6" customWidth="1"/>
    <col min="18" max="21" width="9.21875" customWidth="1"/>
    <col min="22" max="23" width="10" customWidth="1"/>
  </cols>
  <sheetData>
    <row r="1" spans="1:25" s="12" customFormat="1" ht="14.1" customHeight="1">
      <c r="A1" s="3484" t="e">
        <f>CONCATENATE("PART EIGHT - SCORING CRITERIA","  -  ",#REF!," ",#REF!,", ",#REF!,", ",#REF!," County")</f>
        <v>#REF!</v>
      </c>
      <c r="B1" s="3485"/>
      <c r="C1" s="3485"/>
      <c r="D1" s="3485"/>
      <c r="E1" s="3485"/>
      <c r="F1" s="3485"/>
      <c r="G1" s="3485"/>
      <c r="H1" s="3485"/>
      <c r="I1" s="3485"/>
      <c r="J1" s="3485"/>
      <c r="K1" s="3485"/>
      <c r="L1" s="3485"/>
      <c r="M1" s="3485"/>
      <c r="N1" s="3485"/>
      <c r="O1" s="3485"/>
      <c r="P1" s="3486"/>
      <c r="Q1" s="4594" t="s">
        <v>6756</v>
      </c>
      <c r="R1" s="4594"/>
      <c r="S1" s="4594"/>
      <c r="T1" s="4594"/>
      <c r="U1" s="4594"/>
      <c r="V1" s="4594"/>
      <c r="W1" s="1352"/>
      <c r="X1" s="1321"/>
      <c r="Y1" s="77"/>
    </row>
    <row r="2" spans="1:25" s="12" customFormat="1" ht="4.3499999999999996" customHeight="1">
      <c r="A2" s="13"/>
      <c r="B2" s="13"/>
      <c r="C2" s="14"/>
      <c r="D2" s="13"/>
      <c r="E2" s="13"/>
      <c r="F2" s="13"/>
      <c r="G2" s="13"/>
      <c r="H2" s="13"/>
      <c r="I2" s="13"/>
      <c r="J2" s="13"/>
      <c r="K2" s="13"/>
      <c r="L2" s="13"/>
      <c r="M2" s="2596"/>
      <c r="N2" s="32"/>
      <c r="O2" s="2542"/>
      <c r="P2" s="2542"/>
      <c r="Q2" s="4594"/>
      <c r="R2" s="4594"/>
      <c r="S2" s="4594"/>
      <c r="T2" s="4594"/>
      <c r="U2" s="4594"/>
      <c r="V2" s="4594"/>
      <c r="W2" s="1352"/>
      <c r="X2" s="1321"/>
      <c r="Y2" s="77"/>
    </row>
    <row r="3" spans="1:25" s="18" customFormat="1" ht="12" customHeight="1">
      <c r="A3" s="4645" t="s">
        <v>6757</v>
      </c>
      <c r="B3" s="4645"/>
      <c r="C3" s="4645"/>
      <c r="D3" s="4645"/>
      <c r="E3" s="4645"/>
      <c r="F3" s="4645"/>
      <c r="G3" s="4645"/>
      <c r="H3" s="4645"/>
      <c r="I3" s="4645"/>
      <c r="J3" s="4645"/>
      <c r="K3" s="4645"/>
      <c r="L3" s="4645"/>
      <c r="M3" s="493"/>
      <c r="N3" s="32"/>
      <c r="O3" s="2934" t="s">
        <v>1723</v>
      </c>
      <c r="P3" s="2935" t="s">
        <v>1724</v>
      </c>
      <c r="Q3" s="4594"/>
      <c r="R3" s="4594"/>
      <c r="S3" s="4594"/>
      <c r="T3" s="4594"/>
      <c r="U3" s="4594"/>
      <c r="V3" s="4594"/>
      <c r="W3" s="1352"/>
      <c r="X3" s="1321"/>
      <c r="Y3" s="43"/>
    </row>
    <row r="4" spans="1:25" s="20" customFormat="1" ht="12" customHeight="1">
      <c r="A4" s="4645"/>
      <c r="B4" s="4645"/>
      <c r="C4" s="4645"/>
      <c r="D4" s="4645"/>
      <c r="E4" s="4645"/>
      <c r="F4" s="4645"/>
      <c r="G4" s="4645"/>
      <c r="H4" s="4645"/>
      <c r="I4" s="4645"/>
      <c r="J4" s="4645"/>
      <c r="K4" s="4645"/>
      <c r="L4" s="4645"/>
      <c r="M4" s="493"/>
      <c r="N4" s="36"/>
      <c r="O4" s="100" t="s">
        <v>1725</v>
      </c>
      <c r="P4" s="100" t="s">
        <v>1725</v>
      </c>
      <c r="Q4" s="4594"/>
      <c r="R4" s="4594"/>
      <c r="S4" s="4594"/>
      <c r="T4" s="4594"/>
      <c r="U4" s="4594"/>
      <c r="V4" s="4594"/>
    </row>
    <row r="5" spans="1:25" s="20" customFormat="1" ht="3" customHeight="1" thickBot="1">
      <c r="A5" s="43"/>
      <c r="B5" s="43"/>
      <c r="C5" s="43"/>
      <c r="D5" s="43"/>
      <c r="E5" s="43"/>
      <c r="F5" s="43"/>
      <c r="G5" s="43"/>
      <c r="H5" s="43"/>
      <c r="I5" s="43"/>
      <c r="J5" s="43"/>
      <c r="K5" s="43"/>
      <c r="M5" s="2530"/>
      <c r="N5" s="3"/>
      <c r="O5" s="2542"/>
      <c r="P5" s="9"/>
      <c r="Q5" s="4594"/>
      <c r="R5" s="4594"/>
      <c r="S5" s="4594"/>
      <c r="T5" s="4594"/>
      <c r="U5" s="4594"/>
      <c r="V5" s="4594"/>
    </row>
    <row r="6" spans="1:25" s="20" customFormat="1" ht="13.5" customHeight="1" thickTop="1" thickBot="1">
      <c r="A6" s="43"/>
      <c r="B6" s="4739" t="e">
        <f>#REF!</f>
        <v>#REF!</v>
      </c>
      <c r="C6" s="4739"/>
      <c r="D6" s="4739"/>
      <c r="E6" s="4739"/>
      <c r="F6" s="4739"/>
      <c r="G6" s="43"/>
      <c r="H6" s="43"/>
      <c r="I6" s="43"/>
      <c r="J6" s="43"/>
      <c r="L6" s="30" t="s">
        <v>1726</v>
      </c>
      <c r="M6" s="2"/>
      <c r="N6" s="2375"/>
      <c r="O6" s="1079" t="e">
        <f>O442</f>
        <v>#REF!</v>
      </c>
      <c r="P6" s="1079" t="e">
        <f>P442</f>
        <v>#REF!</v>
      </c>
      <c r="Q6" s="1030" t="s">
        <v>6758</v>
      </c>
      <c r="R6" s="1350"/>
      <c r="S6" s="1350"/>
      <c r="T6" s="1350"/>
      <c r="U6" s="1350"/>
      <c r="V6" s="1350"/>
      <c r="W6" s="1350"/>
      <c r="X6" s="1350"/>
      <c r="Y6" s="1350"/>
    </row>
    <row r="7" spans="1:25" s="19" customFormat="1" ht="3.6" customHeight="1" thickTop="1">
      <c r="A7" s="43"/>
      <c r="B7" s="22"/>
      <c r="C7" s="13"/>
      <c r="D7" s="48"/>
      <c r="E7" s="48"/>
      <c r="F7" s="48"/>
      <c r="G7" s="48"/>
      <c r="H7" s="48"/>
      <c r="I7" s="48"/>
      <c r="J7" s="48"/>
      <c r="K7" s="48"/>
      <c r="L7" s="43"/>
      <c r="M7" s="32"/>
      <c r="N7" s="58"/>
      <c r="O7" s="2"/>
      <c r="P7" s="2542"/>
      <c r="Q7" s="1350"/>
      <c r="R7" s="1350"/>
      <c r="S7" s="1350"/>
      <c r="T7" s="1350"/>
      <c r="U7" s="1350"/>
      <c r="V7" s="1350"/>
      <c r="W7" s="1350"/>
      <c r="X7" s="1350"/>
      <c r="Y7" s="1350"/>
    </row>
    <row r="8" spans="1:25" s="18" customFormat="1" ht="2.25" customHeight="1">
      <c r="A8" s="818"/>
      <c r="B8" s="43"/>
      <c r="C8" s="43"/>
      <c r="D8" s="13"/>
      <c r="E8" s="13"/>
      <c r="F8" s="13"/>
      <c r="G8" s="23"/>
      <c r="H8" s="98"/>
      <c r="I8" s="23"/>
      <c r="J8" s="23"/>
      <c r="K8" s="23"/>
      <c r="L8" s="23"/>
      <c r="M8" s="23"/>
      <c r="N8" s="23"/>
      <c r="O8" s="23"/>
      <c r="P8" s="23"/>
      <c r="Q8" s="43"/>
      <c r="R8" s="43"/>
      <c r="S8" s="43"/>
      <c r="T8" s="43"/>
      <c r="U8" s="43"/>
      <c r="V8" s="43"/>
      <c r="W8" s="43"/>
      <c r="X8" s="43"/>
      <c r="Y8" s="43"/>
    </row>
    <row r="9" spans="1:25" s="18" customFormat="1" ht="12" customHeight="1" thickBot="1">
      <c r="A9" s="79" t="s">
        <v>21</v>
      </c>
      <c r="B9" s="50" t="s">
        <v>6759</v>
      </c>
      <c r="C9" s="3"/>
      <c r="D9" s="13"/>
      <c r="E9" s="13"/>
      <c r="F9" s="13"/>
      <c r="G9" s="23"/>
      <c r="H9" s="98"/>
      <c r="I9" s="23"/>
      <c r="J9" s="23"/>
      <c r="K9" s="23"/>
      <c r="L9" s="23"/>
      <c r="M9" s="23"/>
      <c r="N9" s="23"/>
      <c r="O9" s="23"/>
      <c r="P9" s="23"/>
      <c r="Q9" s="1350"/>
      <c r="R9" s="1350"/>
      <c r="S9" s="1350"/>
      <c r="T9" s="1350"/>
      <c r="U9" s="1350"/>
      <c r="V9" s="1350"/>
      <c r="W9" s="1350"/>
      <c r="X9" s="1350"/>
      <c r="Y9" s="1350"/>
    </row>
    <row r="10" spans="1:25" s="18" customFormat="1" ht="12" customHeight="1" thickBot="1">
      <c r="A10" s="818" t="s">
        <v>6760</v>
      </c>
      <c r="B10" s="43"/>
      <c r="C10" s="43"/>
      <c r="D10" s="13"/>
      <c r="E10" s="13"/>
      <c r="F10" s="13"/>
      <c r="G10" s="23"/>
      <c r="H10" s="98" t="s">
        <v>6761</v>
      </c>
      <c r="I10" s="23"/>
      <c r="J10" s="23"/>
      <c r="K10" s="23"/>
      <c r="L10" s="23"/>
      <c r="M10" s="812" t="s">
        <v>6762</v>
      </c>
      <c r="N10" s="23"/>
      <c r="O10" s="23"/>
      <c r="P10" s="647">
        <f>IF(P12&lt;2,0,IF(AND(P12&gt;1,P12&lt;5),1,IF(P12&gt;4,P12-3)))</f>
        <v>0</v>
      </c>
      <c r="Q10" s="1350"/>
      <c r="R10" s="1350"/>
      <c r="S10" s="1350"/>
      <c r="T10" s="1350"/>
      <c r="U10" s="1350"/>
      <c r="V10" s="1350"/>
      <c r="W10" s="1350"/>
      <c r="X10" s="1350"/>
      <c r="Y10" s="1350"/>
    </row>
    <row r="11" spans="1:25" s="19" customFormat="1" ht="3.6" customHeight="1">
      <c r="A11" s="43"/>
      <c r="B11" s="22"/>
      <c r="C11" s="13"/>
      <c r="D11" s="48"/>
      <c r="E11" s="48"/>
      <c r="F11" s="48"/>
      <c r="G11" s="48"/>
      <c r="H11" s="48"/>
      <c r="I11" s="48"/>
      <c r="J11" s="48"/>
      <c r="K11" s="48"/>
      <c r="L11" s="43"/>
      <c r="M11" s="32"/>
      <c r="N11" s="58"/>
      <c r="O11" s="2"/>
      <c r="P11" s="2542"/>
      <c r="R11" s="43"/>
      <c r="S11" s="43"/>
    </row>
    <row r="12" spans="1:25" s="18" customFormat="1" ht="10.5" customHeight="1">
      <c r="A12" s="829" t="s">
        <v>6763</v>
      </c>
      <c r="B12" s="829" t="s">
        <v>6764</v>
      </c>
      <c r="C12" s="671"/>
      <c r="D12" s="671"/>
      <c r="E12" s="146" t="s">
        <v>6765</v>
      </c>
      <c r="F12" s="4736" t="s">
        <v>6766</v>
      </c>
      <c r="G12" s="4736"/>
      <c r="H12" s="4736"/>
      <c r="I12" s="4736"/>
      <c r="J12" s="4736"/>
      <c r="K12" s="4736"/>
      <c r="L12" s="4736"/>
      <c r="M12" s="4736"/>
      <c r="N12" s="4736"/>
      <c r="O12" s="830" t="s">
        <v>6767</v>
      </c>
      <c r="P12" s="831">
        <f>SUM(P13:P31)</f>
        <v>0</v>
      </c>
      <c r="Q12" s="4593" t="s">
        <v>6768</v>
      </c>
      <c r="R12" s="4593"/>
      <c r="S12" s="4593"/>
      <c r="T12" s="4593"/>
      <c r="U12" s="4593"/>
      <c r="V12" s="811"/>
      <c r="W12" s="43"/>
      <c r="X12" s="43"/>
      <c r="Y12" s="43"/>
    </row>
    <row r="13" spans="1:25" s="18" customFormat="1" ht="10.5" customHeight="1">
      <c r="A13" s="659" t="s">
        <v>58</v>
      </c>
      <c r="B13" s="2936" t="s">
        <v>1980</v>
      </c>
      <c r="C13" s="2937"/>
      <c r="D13" s="2938"/>
      <c r="E13" s="2939">
        <f>$O$103</f>
        <v>0</v>
      </c>
      <c r="F13" s="4737">
        <f>$A$109</f>
        <v>0</v>
      </c>
      <c r="G13" s="4738"/>
      <c r="H13" s="4738"/>
      <c r="I13" s="4738"/>
      <c r="J13" s="4738"/>
      <c r="K13" s="4738"/>
      <c r="L13" s="4738"/>
      <c r="M13" s="4738"/>
      <c r="N13" s="4738"/>
      <c r="O13" s="4738"/>
      <c r="P13" s="836"/>
      <c r="Q13" s="4593"/>
      <c r="R13" s="4593"/>
      <c r="S13" s="4593"/>
      <c r="T13" s="4593"/>
      <c r="U13" s="4593"/>
      <c r="V13" s="811"/>
      <c r="W13" s="43"/>
      <c r="X13" s="43"/>
      <c r="Y13" s="43"/>
    </row>
    <row r="14" spans="1:25" s="18" customFormat="1" ht="10.5" customHeight="1">
      <c r="A14" s="659" t="s">
        <v>67</v>
      </c>
      <c r="B14" s="548" t="s">
        <v>1981</v>
      </c>
      <c r="C14" s="628"/>
      <c r="D14" s="660"/>
      <c r="E14" s="1201">
        <f>$O$113</f>
        <v>0</v>
      </c>
      <c r="F14" s="4613">
        <f>$A$147</f>
        <v>0</v>
      </c>
      <c r="G14" s="4614"/>
      <c r="H14" s="4614"/>
      <c r="I14" s="4614"/>
      <c r="J14" s="4614"/>
      <c r="K14" s="4614"/>
      <c r="L14" s="4614"/>
      <c r="M14" s="4614"/>
      <c r="N14" s="4614"/>
      <c r="O14" s="4615"/>
      <c r="P14" s="837"/>
      <c r="Q14" s="4593"/>
      <c r="R14" s="4593"/>
      <c r="S14" s="4593"/>
      <c r="T14" s="4593"/>
      <c r="U14" s="4593"/>
      <c r="V14" s="43"/>
      <c r="W14" s="43"/>
      <c r="X14" s="43"/>
      <c r="Y14" s="43"/>
    </row>
    <row r="15" spans="1:25" s="18" customFormat="1" ht="10.5" customHeight="1">
      <c r="A15" s="659" t="s">
        <v>69</v>
      </c>
      <c r="B15" s="548" t="s">
        <v>1982</v>
      </c>
      <c r="C15" s="628"/>
      <c r="D15" s="660"/>
      <c r="E15" s="1201">
        <f>$O$152</f>
        <v>0</v>
      </c>
      <c r="F15" s="4613">
        <f>$A$165</f>
        <v>0</v>
      </c>
      <c r="G15" s="4614"/>
      <c r="H15" s="4614"/>
      <c r="I15" s="4614"/>
      <c r="J15" s="4614"/>
      <c r="K15" s="4614"/>
      <c r="L15" s="4614"/>
      <c r="M15" s="4614"/>
      <c r="N15" s="4614"/>
      <c r="O15" s="4615"/>
      <c r="P15" s="837"/>
      <c r="Q15" s="1357"/>
      <c r="R15" s="1357"/>
      <c r="S15" s="1357"/>
      <c r="T15" s="1357"/>
      <c r="U15" s="1357"/>
      <c r="V15" s="43"/>
      <c r="W15" s="43"/>
      <c r="X15" s="43"/>
      <c r="Y15" s="43"/>
    </row>
    <row r="16" spans="1:25" s="18" customFormat="1" ht="10.5" customHeight="1">
      <c r="A16" s="1078" t="s">
        <v>1482</v>
      </c>
      <c r="B16" s="548" t="s">
        <v>1925</v>
      </c>
      <c r="C16" s="628"/>
      <c r="D16" s="660"/>
      <c r="E16" s="826">
        <f>$O$169</f>
        <v>0</v>
      </c>
      <c r="F16" s="4613">
        <f>$A$186</f>
        <v>0</v>
      </c>
      <c r="G16" s="4614"/>
      <c r="H16" s="4614"/>
      <c r="I16" s="4614"/>
      <c r="J16" s="4614"/>
      <c r="K16" s="4614"/>
      <c r="L16" s="4614"/>
      <c r="M16" s="4614"/>
      <c r="N16" s="4614"/>
      <c r="O16" s="4615"/>
      <c r="P16" s="837"/>
      <c r="Q16" s="1357"/>
      <c r="R16" s="1357"/>
      <c r="S16" s="1357"/>
      <c r="T16" s="1357"/>
      <c r="U16" s="1357"/>
      <c r="V16" s="43"/>
      <c r="W16" s="43"/>
      <c r="X16" s="43"/>
      <c r="Y16" s="43"/>
    </row>
    <row r="17" spans="1:35" s="18" customFormat="1" ht="10.5" customHeight="1">
      <c r="A17" s="659" t="s">
        <v>1486</v>
      </c>
      <c r="B17" s="666" t="s">
        <v>1898</v>
      </c>
      <c r="C17" s="667"/>
      <c r="D17" s="668"/>
      <c r="E17" s="827" t="s">
        <v>2062</v>
      </c>
      <c r="F17" s="4677">
        <f>$A$201</f>
        <v>0</v>
      </c>
      <c r="G17" s="4678"/>
      <c r="H17" s="4678"/>
      <c r="I17" s="4678"/>
      <c r="J17" s="4678"/>
      <c r="K17" s="4678"/>
      <c r="L17" s="4678"/>
      <c r="M17" s="4678"/>
      <c r="N17" s="4678"/>
      <c r="O17" s="4679"/>
      <c r="P17" s="837"/>
      <c r="Q17" s="1357"/>
      <c r="R17" s="1357"/>
      <c r="S17" s="1357"/>
      <c r="T17" s="1357"/>
      <c r="U17" s="1357"/>
      <c r="V17" s="43"/>
      <c r="W17" s="43"/>
      <c r="X17" s="43"/>
      <c r="Y17" s="43"/>
      <c r="Z17" s="43"/>
      <c r="AA17" s="43"/>
      <c r="AB17" s="43"/>
      <c r="AC17" s="43"/>
      <c r="AD17" s="43"/>
      <c r="AE17" s="43"/>
      <c r="AF17" s="43"/>
      <c r="AG17" s="43"/>
      <c r="AH17" s="43"/>
      <c r="AI17" s="43"/>
    </row>
    <row r="18" spans="1:35" s="18" customFormat="1" ht="10.5" customHeight="1">
      <c r="A18" s="659" t="s">
        <v>1488</v>
      </c>
      <c r="B18" s="548" t="s">
        <v>1926</v>
      </c>
      <c r="C18" s="628"/>
      <c r="D18" s="660"/>
      <c r="E18" s="825">
        <f>$O$205</f>
        <v>0</v>
      </c>
      <c r="F18" s="4613">
        <f>$A$220</f>
        <v>0</v>
      </c>
      <c r="G18" s="4614"/>
      <c r="H18" s="4614"/>
      <c r="I18" s="4614"/>
      <c r="J18" s="4614"/>
      <c r="K18" s="4614"/>
      <c r="L18" s="4614"/>
      <c r="M18" s="4614"/>
      <c r="N18" s="4614"/>
      <c r="O18" s="4615"/>
      <c r="P18" s="837"/>
      <c r="Q18" s="4672" t="str">
        <f>IF(OR($A$109="",$A$147="",$A$165="",$A$186="",$A$201="",$A$220="",$A$238="",$A$248="",$A$257="",$A$281="",$A$306="",$A$314="",$A$338="",$A$374="",$A$393="",$A$414="",$A$420="",$A$430="",$A$438=""),"Some Applicant Scoring Justification boxes are empty! Check to see if points claimed.","")</f>
        <v>Some Applicant Scoring Justification boxes are empty! Check to see if points claimed.</v>
      </c>
      <c r="R18" s="4673"/>
      <c r="S18" s="4673"/>
      <c r="T18" s="43"/>
      <c r="U18" s="43"/>
      <c r="V18" s="43"/>
      <c r="W18" s="43"/>
      <c r="X18" s="43"/>
      <c r="Y18" s="43"/>
      <c r="Z18" s="43"/>
      <c r="AA18" s="43"/>
      <c r="AB18" s="43"/>
      <c r="AC18" s="43"/>
      <c r="AD18" s="43"/>
      <c r="AE18" s="43"/>
      <c r="AF18" s="43"/>
      <c r="AG18" s="43"/>
      <c r="AH18" s="43"/>
      <c r="AI18" s="43"/>
    </row>
    <row r="19" spans="1:35" s="18" customFormat="1" ht="10.5" customHeight="1">
      <c r="A19" s="659" t="s">
        <v>6769</v>
      </c>
      <c r="B19" s="548" t="s">
        <v>1985</v>
      </c>
      <c r="C19" s="628"/>
      <c r="D19" s="660"/>
      <c r="E19" s="825">
        <f>$O$233</f>
        <v>0</v>
      </c>
      <c r="F19" s="4613">
        <f>$A$238</f>
        <v>0</v>
      </c>
      <c r="G19" s="4614"/>
      <c r="H19" s="4614"/>
      <c r="I19" s="4614"/>
      <c r="J19" s="4614"/>
      <c r="K19" s="4614"/>
      <c r="L19" s="4614"/>
      <c r="M19" s="4614"/>
      <c r="N19" s="4614"/>
      <c r="O19" s="4615"/>
      <c r="P19" s="837"/>
      <c r="Q19" s="4672"/>
      <c r="R19" s="4673"/>
      <c r="S19" s="4673"/>
      <c r="T19" s="43"/>
      <c r="U19" s="43"/>
      <c r="V19" s="43"/>
      <c r="W19" s="43"/>
      <c r="X19" s="43"/>
      <c r="Y19" s="43"/>
      <c r="Z19" s="43"/>
      <c r="AA19" s="43"/>
      <c r="AB19" s="43"/>
      <c r="AC19" s="43"/>
      <c r="AD19" s="43"/>
      <c r="AE19" s="43"/>
      <c r="AF19" s="43"/>
      <c r="AG19" s="43"/>
      <c r="AH19" s="43"/>
      <c r="AI19" s="43"/>
    </row>
    <row r="20" spans="1:35" s="18" customFormat="1" ht="10.5" customHeight="1">
      <c r="A20" s="659" t="s">
        <v>6770</v>
      </c>
      <c r="B20" s="548" t="s">
        <v>2161</v>
      </c>
      <c r="C20" s="628"/>
      <c r="D20" s="660"/>
      <c r="E20" s="827">
        <f>$O$242</f>
        <v>0</v>
      </c>
      <c r="F20" s="4613">
        <f>$A$248</f>
        <v>0</v>
      </c>
      <c r="G20" s="4614"/>
      <c r="H20" s="4614"/>
      <c r="I20" s="4614"/>
      <c r="J20" s="4614"/>
      <c r="K20" s="4614"/>
      <c r="L20" s="4614"/>
      <c r="M20" s="4614"/>
      <c r="N20" s="4614"/>
      <c r="O20" s="4615"/>
      <c r="P20" s="837"/>
      <c r="Q20" s="4672"/>
      <c r="R20" s="4673"/>
      <c r="S20" s="4673"/>
      <c r="T20" s="43"/>
      <c r="U20" s="43"/>
      <c r="V20" s="43"/>
      <c r="W20" s="43"/>
      <c r="X20" s="43"/>
      <c r="Y20" s="43"/>
      <c r="Z20" s="43"/>
      <c r="AA20" s="43"/>
      <c r="AB20" s="43"/>
      <c r="AC20" s="43"/>
      <c r="AD20" s="43"/>
      <c r="AE20" s="43"/>
      <c r="AF20" s="43"/>
      <c r="AG20" s="43"/>
      <c r="AH20" s="43"/>
      <c r="AI20" s="43"/>
    </row>
    <row r="21" spans="1:35" s="18" customFormat="1" ht="10.5" customHeight="1">
      <c r="A21" s="665" t="s">
        <v>6771</v>
      </c>
      <c r="B21" s="666" t="s">
        <v>2074</v>
      </c>
      <c r="C21" s="667"/>
      <c r="D21" s="668"/>
      <c r="E21" s="828">
        <f>$O$252</f>
        <v>0</v>
      </c>
      <c r="F21" s="4677">
        <f>$A$257</f>
        <v>0</v>
      </c>
      <c r="G21" s="4678"/>
      <c r="H21" s="4678"/>
      <c r="I21" s="4678"/>
      <c r="J21" s="4678"/>
      <c r="K21" s="4678"/>
      <c r="L21" s="4678"/>
      <c r="M21" s="4678"/>
      <c r="N21" s="4678"/>
      <c r="O21" s="4679"/>
      <c r="P21" s="837"/>
      <c r="Q21" s="4672"/>
      <c r="R21" s="4673"/>
      <c r="S21" s="4673"/>
      <c r="T21" s="43"/>
      <c r="U21" s="43"/>
      <c r="V21" s="43"/>
      <c r="W21" s="43"/>
      <c r="X21" s="43"/>
      <c r="Y21" s="43"/>
      <c r="Z21" s="43"/>
      <c r="AA21" s="43"/>
      <c r="AB21" s="43"/>
      <c r="AC21" s="43"/>
      <c r="AD21" s="43"/>
      <c r="AE21" s="43"/>
      <c r="AF21" s="43"/>
      <c r="AG21" s="43"/>
      <c r="AH21" s="43"/>
      <c r="AI21" s="43"/>
    </row>
    <row r="22" spans="1:35" s="18" customFormat="1" ht="10.5" customHeight="1">
      <c r="A22" s="659" t="s">
        <v>6772</v>
      </c>
      <c r="B22" s="548" t="s">
        <v>6773</v>
      </c>
      <c r="C22" s="628"/>
      <c r="D22" s="660"/>
      <c r="E22" s="825">
        <f>$O$274</f>
        <v>0</v>
      </c>
      <c r="F22" s="4613">
        <f>$A$281</f>
        <v>0</v>
      </c>
      <c r="G22" s="4614"/>
      <c r="H22" s="4614"/>
      <c r="I22" s="4614"/>
      <c r="J22" s="4614"/>
      <c r="K22" s="4614"/>
      <c r="L22" s="4614"/>
      <c r="M22" s="4614"/>
      <c r="N22" s="4614"/>
      <c r="O22" s="4615"/>
      <c r="P22" s="837"/>
      <c r="Q22" s="4672"/>
      <c r="R22" s="4673"/>
      <c r="S22" s="4673"/>
      <c r="T22" s="43"/>
      <c r="U22" s="43"/>
      <c r="V22" s="43"/>
      <c r="W22" s="43"/>
      <c r="X22" s="43"/>
      <c r="Y22" s="43"/>
      <c r="Z22" s="43"/>
      <c r="AA22" s="43"/>
      <c r="AB22" s="43"/>
      <c r="AC22" s="43"/>
      <c r="AD22" s="43"/>
      <c r="AE22" s="43"/>
      <c r="AF22" s="43"/>
      <c r="AG22" s="43"/>
      <c r="AH22" s="43"/>
      <c r="AI22" s="43"/>
    </row>
    <row r="23" spans="1:35" s="18" customFormat="1" ht="10.5" customHeight="1">
      <c r="A23" s="659" t="s">
        <v>6774</v>
      </c>
      <c r="B23" s="548" t="s">
        <v>6775</v>
      </c>
      <c r="C23" s="628"/>
      <c r="D23" s="660"/>
      <c r="E23" s="825">
        <f>$O$285</f>
        <v>0</v>
      </c>
      <c r="F23" s="4613">
        <f>$A$306</f>
        <v>0</v>
      </c>
      <c r="G23" s="4614"/>
      <c r="H23" s="4614"/>
      <c r="I23" s="4614"/>
      <c r="J23" s="4614"/>
      <c r="K23" s="4614"/>
      <c r="L23" s="4614"/>
      <c r="M23" s="4614"/>
      <c r="N23" s="4614"/>
      <c r="O23" s="4615"/>
      <c r="P23" s="837"/>
      <c r="Q23" s="4672"/>
      <c r="R23" s="4673"/>
      <c r="S23" s="4673"/>
      <c r="T23" s="43"/>
      <c r="U23" s="43"/>
      <c r="V23" s="43"/>
      <c r="W23" s="43"/>
      <c r="X23" s="43"/>
      <c r="Y23" s="43"/>
      <c r="Z23" s="43"/>
      <c r="AA23" s="43"/>
      <c r="AB23" s="43"/>
      <c r="AC23" s="43"/>
      <c r="AD23" s="43"/>
      <c r="AE23" s="43"/>
      <c r="AF23" s="43"/>
      <c r="AG23" s="43"/>
      <c r="AH23" s="43"/>
      <c r="AI23" s="43"/>
    </row>
    <row r="24" spans="1:35" s="18" customFormat="1" ht="10.5" customHeight="1">
      <c r="A24" s="1078" t="s">
        <v>1548</v>
      </c>
      <c r="B24" s="1292" t="s">
        <v>2091</v>
      </c>
      <c r="C24" s="1293"/>
      <c r="D24" s="1294"/>
      <c r="E24" s="826">
        <f>$O$310</f>
        <v>0</v>
      </c>
      <c r="F24" s="4666">
        <f>$A$314</f>
        <v>0</v>
      </c>
      <c r="G24" s="4667"/>
      <c r="H24" s="4667"/>
      <c r="I24" s="4667"/>
      <c r="J24" s="4667"/>
      <c r="K24" s="4667"/>
      <c r="L24" s="4667"/>
      <c r="M24" s="4667"/>
      <c r="N24" s="4667"/>
      <c r="O24" s="4668"/>
      <c r="P24" s="837"/>
      <c r="Q24" s="4672"/>
      <c r="R24" s="4673"/>
      <c r="S24" s="4673"/>
      <c r="T24" s="43"/>
      <c r="U24" s="43"/>
      <c r="V24" s="43"/>
      <c r="W24" s="43"/>
      <c r="X24" s="43"/>
      <c r="Y24" s="43"/>
      <c r="Z24" s="43"/>
      <c r="AA24" s="43"/>
      <c r="AB24" s="43"/>
      <c r="AC24" s="43"/>
      <c r="AD24" s="43"/>
      <c r="AE24" s="43"/>
      <c r="AF24" s="43"/>
      <c r="AG24" s="43"/>
      <c r="AH24" s="43"/>
      <c r="AI24" s="43"/>
    </row>
    <row r="25" spans="1:35" s="18" customFormat="1" ht="10.5" customHeight="1">
      <c r="A25" s="659" t="s">
        <v>1565</v>
      </c>
      <c r="B25" s="548" t="s">
        <v>2095</v>
      </c>
      <c r="C25" s="628"/>
      <c r="D25" s="660"/>
      <c r="E25" s="825">
        <f>$O$334</f>
        <v>0</v>
      </c>
      <c r="F25" s="4613">
        <f>$A$338</f>
        <v>0</v>
      </c>
      <c r="G25" s="4614"/>
      <c r="H25" s="4614"/>
      <c r="I25" s="4614"/>
      <c r="J25" s="4614"/>
      <c r="K25" s="4614"/>
      <c r="L25" s="4614"/>
      <c r="M25" s="4614"/>
      <c r="N25" s="4614"/>
      <c r="O25" s="4615"/>
      <c r="P25" s="837"/>
      <c r="Q25" s="4672"/>
      <c r="R25" s="4673"/>
      <c r="S25" s="4673"/>
      <c r="T25" s="43"/>
      <c r="U25" s="43"/>
      <c r="V25" s="43"/>
      <c r="W25" s="43"/>
      <c r="X25" s="43"/>
      <c r="Y25" s="43"/>
      <c r="Z25" s="43"/>
      <c r="AA25" s="43"/>
      <c r="AB25" s="43"/>
      <c r="AC25" s="43"/>
      <c r="AD25" s="43"/>
      <c r="AE25" s="43"/>
      <c r="AF25" s="43"/>
      <c r="AG25" s="43"/>
      <c r="AH25" s="43"/>
      <c r="AI25" s="43"/>
    </row>
    <row r="26" spans="1:35" s="18" customFormat="1" ht="10.5" customHeight="1">
      <c r="A26" s="659" t="s">
        <v>1577</v>
      </c>
      <c r="B26" s="548" t="s">
        <v>2028</v>
      </c>
      <c r="C26" s="628"/>
      <c r="D26" s="660"/>
      <c r="E26" s="825">
        <f>$O$342</f>
        <v>0</v>
      </c>
      <c r="F26" s="4613">
        <f>$A$374</f>
        <v>0</v>
      </c>
      <c r="G26" s="4614"/>
      <c r="H26" s="4614"/>
      <c r="I26" s="4614"/>
      <c r="J26" s="4614"/>
      <c r="K26" s="4614"/>
      <c r="L26" s="4614"/>
      <c r="M26" s="4614"/>
      <c r="N26" s="4614"/>
      <c r="O26" s="4615"/>
      <c r="P26" s="837"/>
      <c r="Q26" s="4672"/>
      <c r="R26" s="4673"/>
      <c r="S26" s="4673"/>
      <c r="T26" s="43"/>
      <c r="U26" s="43"/>
      <c r="V26" s="43"/>
      <c r="W26" s="43"/>
      <c r="X26" s="43"/>
      <c r="Y26" s="43"/>
      <c r="Z26" s="43"/>
      <c r="AA26" s="43"/>
      <c r="AB26" s="43"/>
      <c r="AC26" s="43"/>
      <c r="AD26" s="43"/>
      <c r="AE26" s="43"/>
      <c r="AF26" s="43"/>
      <c r="AG26" s="43"/>
      <c r="AH26" s="43"/>
      <c r="AI26" s="43"/>
    </row>
    <row r="27" spans="1:35" s="18" customFormat="1" ht="10.5" customHeight="1">
      <c r="A27" s="659" t="s">
        <v>1582</v>
      </c>
      <c r="B27" s="548" t="s">
        <v>2087</v>
      </c>
      <c r="C27" s="628"/>
      <c r="D27" s="660"/>
      <c r="E27" s="827">
        <f>$O$378</f>
        <v>0</v>
      </c>
      <c r="F27" s="4613">
        <f>$A$393</f>
        <v>0</v>
      </c>
      <c r="G27" s="4614"/>
      <c r="H27" s="4614"/>
      <c r="I27" s="4614"/>
      <c r="J27" s="4614"/>
      <c r="K27" s="4614"/>
      <c r="L27" s="4614"/>
      <c r="M27" s="4614"/>
      <c r="N27" s="4614"/>
      <c r="O27" s="4615"/>
      <c r="P27" s="837"/>
      <c r="Q27" s="1349"/>
      <c r="R27" s="1092"/>
      <c r="S27" s="1092"/>
      <c r="T27" s="43"/>
      <c r="U27" s="43"/>
      <c r="V27" s="43"/>
      <c r="W27" s="43"/>
      <c r="X27" s="43"/>
      <c r="Y27" s="43"/>
      <c r="Z27" s="43"/>
      <c r="AA27" s="3"/>
      <c r="AB27" s="3"/>
      <c r="AC27" s="3"/>
      <c r="AD27" s="3"/>
      <c r="AE27" s="3"/>
      <c r="AF27" s="3"/>
      <c r="AG27" s="43"/>
      <c r="AH27" s="43"/>
      <c r="AI27" s="43"/>
    </row>
    <row r="28" spans="1:35" s="18" customFormat="1" ht="10.5" customHeight="1">
      <c r="A28" s="661" t="s">
        <v>1593</v>
      </c>
      <c r="B28" s="662" t="s">
        <v>6776</v>
      </c>
      <c r="C28" s="663"/>
      <c r="D28" s="664"/>
      <c r="E28" s="1088">
        <f>$O$405</f>
        <v>2</v>
      </c>
      <c r="F28" s="4628">
        <f>$A$414</f>
        <v>0</v>
      </c>
      <c r="G28" s="4629"/>
      <c r="H28" s="4629"/>
      <c r="I28" s="4629"/>
      <c r="J28" s="4629"/>
      <c r="K28" s="4629"/>
      <c r="L28" s="4629"/>
      <c r="M28" s="4629"/>
      <c r="N28" s="4629"/>
      <c r="O28" s="4630"/>
      <c r="P28" s="838"/>
      <c r="Q28" s="1349"/>
      <c r="R28" s="1092"/>
      <c r="S28" s="1092"/>
      <c r="T28" s="43"/>
      <c r="U28" s="43"/>
      <c r="V28" s="43"/>
      <c r="W28" s="43"/>
      <c r="X28" s="3"/>
      <c r="Y28" s="3"/>
      <c r="Z28" s="3"/>
      <c r="AA28" s="3"/>
      <c r="AB28" s="3"/>
      <c r="AC28" s="3"/>
      <c r="AD28" s="3"/>
      <c r="AE28" s="3"/>
      <c r="AF28" s="3"/>
      <c r="AG28" s="3"/>
      <c r="AH28" s="3"/>
      <c r="AI28" s="3"/>
    </row>
    <row r="29" spans="1:35" s="18" customFormat="1" ht="10.5" customHeight="1">
      <c r="A29" s="659" t="s">
        <v>1597</v>
      </c>
      <c r="B29" s="548" t="s">
        <v>1970</v>
      </c>
      <c r="C29" s="628"/>
      <c r="D29" s="660"/>
      <c r="E29" s="825">
        <f>$O$418</f>
        <v>0</v>
      </c>
      <c r="F29" s="4613">
        <f>$A$420</f>
        <v>0</v>
      </c>
      <c r="G29" s="4614"/>
      <c r="H29" s="4614"/>
      <c r="I29" s="4614"/>
      <c r="J29" s="4614"/>
      <c r="K29" s="4614"/>
      <c r="L29" s="4614"/>
      <c r="M29" s="4614"/>
      <c r="N29" s="4614"/>
      <c r="O29" s="4615"/>
      <c r="P29" s="837"/>
      <c r="Q29" s="1349"/>
      <c r="R29" s="1092"/>
      <c r="S29" s="1092"/>
      <c r="T29" s="43"/>
      <c r="U29" s="43"/>
      <c r="V29" s="43"/>
      <c r="W29" s="43"/>
      <c r="X29" s="43"/>
      <c r="Y29" s="43"/>
      <c r="Z29" s="43"/>
      <c r="AA29" s="43"/>
      <c r="AB29" s="43"/>
      <c r="AC29" s="43"/>
      <c r="AD29" s="43"/>
      <c r="AE29" s="43"/>
      <c r="AF29" s="43"/>
      <c r="AG29" s="43"/>
      <c r="AH29" s="43"/>
      <c r="AI29" s="43"/>
    </row>
    <row r="30" spans="1:35" s="18" customFormat="1" ht="10.5" customHeight="1">
      <c r="A30" s="659" t="s">
        <v>1606</v>
      </c>
      <c r="B30" s="548" t="s">
        <v>6777</v>
      </c>
      <c r="C30" s="628"/>
      <c r="D30" s="660"/>
      <c r="E30" s="825">
        <f>$O$428</f>
        <v>0</v>
      </c>
      <c r="F30" s="4613">
        <f>$A$430</f>
        <v>0</v>
      </c>
      <c r="G30" s="4614"/>
      <c r="H30" s="4614"/>
      <c r="I30" s="4614"/>
      <c r="J30" s="4614"/>
      <c r="K30" s="4614"/>
      <c r="L30" s="4614"/>
      <c r="M30" s="4614"/>
      <c r="N30" s="4614"/>
      <c r="O30" s="4615"/>
      <c r="P30" s="837"/>
      <c r="Q30" s="1349"/>
      <c r="R30" s="1092"/>
      <c r="S30" s="1092"/>
      <c r="T30" s="43"/>
      <c r="U30" s="43"/>
      <c r="V30" s="43"/>
      <c r="W30" s="43"/>
      <c r="X30" s="43"/>
      <c r="Y30" s="43"/>
      <c r="Z30" s="43"/>
      <c r="AA30" s="3792" t="s">
        <v>2016</v>
      </c>
      <c r="AB30" s="3792"/>
      <c r="AC30" s="3792"/>
      <c r="AD30" s="3792"/>
      <c r="AE30" s="3792"/>
      <c r="AF30" s="3792"/>
      <c r="AG30" s="43"/>
      <c r="AH30" s="43"/>
      <c r="AI30" s="43"/>
    </row>
    <row r="31" spans="1:35" s="18" customFormat="1" ht="10.5" customHeight="1">
      <c r="A31" s="661" t="s">
        <v>1610</v>
      </c>
      <c r="B31" s="662" t="s">
        <v>6778</v>
      </c>
      <c r="C31" s="663"/>
      <c r="D31" s="664"/>
      <c r="E31" s="1088">
        <f>$O$434</f>
        <v>0</v>
      </c>
      <c r="F31" s="4628">
        <f>$A$438</f>
        <v>0</v>
      </c>
      <c r="G31" s="4629"/>
      <c r="H31" s="4629"/>
      <c r="I31" s="4629"/>
      <c r="J31" s="4629"/>
      <c r="K31" s="4629"/>
      <c r="L31" s="4629"/>
      <c r="M31" s="4629"/>
      <c r="N31" s="4629"/>
      <c r="O31" s="4630"/>
      <c r="P31" s="838"/>
      <c r="Q31" s="1349"/>
      <c r="R31" s="1092"/>
      <c r="S31" s="1092"/>
      <c r="T31" s="43"/>
      <c r="U31" s="43"/>
      <c r="V31" s="43"/>
      <c r="W31" s="43"/>
      <c r="X31" s="3792" t="s">
        <v>2017</v>
      </c>
      <c r="Y31" s="3792"/>
      <c r="Z31" s="3792"/>
      <c r="AA31" s="3792"/>
      <c r="AB31" s="3792"/>
      <c r="AC31" s="3792"/>
      <c r="AD31" s="3792" t="s">
        <v>2018</v>
      </c>
      <c r="AE31" s="3792"/>
      <c r="AF31" s="3792"/>
      <c r="AG31" s="3792"/>
      <c r="AH31" s="3792"/>
      <c r="AI31" s="3792"/>
    </row>
    <row r="32" spans="1:35" s="77" customFormat="1" ht="5.25" customHeight="1">
      <c r="C32" s="40"/>
      <c r="D32" s="40"/>
      <c r="E32" s="40"/>
      <c r="F32" s="40"/>
      <c r="G32" s="1009"/>
      <c r="H32" s="40"/>
      <c r="I32" s="40"/>
      <c r="J32" s="40"/>
      <c r="K32" s="40"/>
    </row>
    <row r="33" spans="1:46" s="77" customFormat="1" ht="12.75" customHeight="1">
      <c r="A33" s="79" t="s">
        <v>25</v>
      </c>
      <c r="B33" s="50" t="s">
        <v>1728</v>
      </c>
      <c r="C33" s="42"/>
      <c r="D33" s="40"/>
      <c r="E33" s="40"/>
      <c r="F33" s="40"/>
      <c r="G33" s="4680" t="s">
        <v>6779</v>
      </c>
      <c r="H33" s="4680"/>
      <c r="I33" s="4674" t="s">
        <v>2019</v>
      </c>
      <c r="J33" s="4675"/>
      <c r="K33" s="4675"/>
      <c r="L33" s="4676"/>
      <c r="M33" s="4740" t="s">
        <v>2020</v>
      </c>
      <c r="N33" s="4740"/>
      <c r="O33" s="4740"/>
      <c r="P33" s="4740"/>
      <c r="Q33" s="310"/>
      <c r="R33" s="310"/>
      <c r="S33" s="50" t="s">
        <v>1728</v>
      </c>
      <c r="T33" s="310"/>
      <c r="U33" s="310"/>
      <c r="V33" s="310"/>
      <c r="X33" s="4660" t="s">
        <v>6779</v>
      </c>
      <c r="Y33" s="4662"/>
      <c r="Z33" s="4660" t="s">
        <v>2019</v>
      </c>
      <c r="AA33" s="4661"/>
      <c r="AB33" s="4661"/>
      <c r="AC33" s="4662"/>
      <c r="AD33" s="4669" t="s">
        <v>6779</v>
      </c>
      <c r="AE33" s="4670"/>
      <c r="AF33" s="4671" t="s">
        <v>2019</v>
      </c>
      <c r="AG33" s="4669"/>
      <c r="AH33" s="4669"/>
      <c r="AI33" s="4670"/>
    </row>
    <row r="34" spans="1:46" s="77" customFormat="1" ht="11.25" customHeight="1">
      <c r="A34" s="25"/>
      <c r="B34" s="13"/>
      <c r="C34" s="25"/>
      <c r="D34" s="25"/>
      <c r="E34" s="25"/>
      <c r="F34" s="25"/>
      <c r="G34" s="1167">
        <v>0.09</v>
      </c>
      <c r="H34" s="1167">
        <v>0.04</v>
      </c>
      <c r="I34" s="1167">
        <v>0.04</v>
      </c>
      <c r="J34" s="1167" t="s">
        <v>2156</v>
      </c>
      <c r="K34" s="1167" t="s">
        <v>2154</v>
      </c>
      <c r="L34" s="1167" t="s">
        <v>2155</v>
      </c>
      <c r="M34" s="4663" t="e">
        <f>#REF!</f>
        <v>#REF!</v>
      </c>
      <c r="N34" s="4664"/>
      <c r="O34" s="4664"/>
      <c r="P34" s="4665"/>
      <c r="Q34" s="310"/>
      <c r="R34" s="25"/>
      <c r="S34" s="13"/>
      <c r="T34" s="25"/>
      <c r="U34" s="25"/>
      <c r="V34" s="25"/>
      <c r="W34" s="25"/>
      <c r="X34" s="1167">
        <v>0.09</v>
      </c>
      <c r="Y34" s="1167">
        <v>0.04</v>
      </c>
      <c r="Z34" s="1167">
        <v>0.04</v>
      </c>
      <c r="AA34" s="1167" t="s">
        <v>2156</v>
      </c>
      <c r="AB34" s="1167" t="s">
        <v>2154</v>
      </c>
      <c r="AC34" s="1167" t="s">
        <v>2155</v>
      </c>
      <c r="AD34" s="1167">
        <v>0.09</v>
      </c>
      <c r="AE34" s="1167">
        <v>0.04</v>
      </c>
      <c r="AF34" s="1167">
        <v>0.04</v>
      </c>
      <c r="AG34" s="1167" t="s">
        <v>2156</v>
      </c>
      <c r="AH34" s="1167" t="s">
        <v>2154</v>
      </c>
      <c r="AI34" s="1167" t="s">
        <v>2155</v>
      </c>
    </row>
    <row r="35" spans="1:46" s="77" customFormat="1" ht="10.5" customHeight="1">
      <c r="A35" s="482" t="s">
        <v>21</v>
      </c>
      <c r="B35" s="1168" t="s">
        <v>6780</v>
      </c>
      <c r="C35" s="1169"/>
      <c r="D35" s="1170"/>
      <c r="E35" s="1170"/>
      <c r="F35" s="1170"/>
      <c r="G35" s="1171">
        <v>0</v>
      </c>
      <c r="H35" s="1172">
        <v>0</v>
      </c>
      <c r="I35" s="2940">
        <v>0</v>
      </c>
      <c r="J35" s="1371">
        <v>0</v>
      </c>
      <c r="K35" s="1371">
        <v>0</v>
      </c>
      <c r="L35" s="2941">
        <v>0</v>
      </c>
      <c r="Q35" s="93"/>
      <c r="R35" s="482" t="s">
        <v>21</v>
      </c>
      <c r="S35" s="1168" t="s">
        <v>6780</v>
      </c>
      <c r="T35" s="1168"/>
      <c r="U35" s="1270"/>
      <c r="V35" s="1270"/>
      <c r="W35" s="1270"/>
      <c r="X35" s="1213">
        <v>0</v>
      </c>
      <c r="Y35" s="1243">
        <v>0</v>
      </c>
      <c r="Z35" s="2942">
        <v>0</v>
      </c>
      <c r="AA35" s="1246">
        <v>0</v>
      </c>
      <c r="AB35" s="1246">
        <v>0</v>
      </c>
      <c r="AC35" s="1247">
        <v>0</v>
      </c>
      <c r="AD35" s="2943">
        <f t="shared" ref="AD35:AI35" si="0">-$P$10</f>
        <v>0</v>
      </c>
      <c r="AE35" s="2944">
        <f t="shared" si="0"/>
        <v>0</v>
      </c>
      <c r="AF35" s="2942">
        <f t="shared" si="0"/>
        <v>0</v>
      </c>
      <c r="AG35" s="1246">
        <f t="shared" si="0"/>
        <v>0</v>
      </c>
      <c r="AH35" s="1246">
        <f t="shared" si="0"/>
        <v>0</v>
      </c>
      <c r="AI35" s="2944">
        <f t="shared" si="0"/>
        <v>0</v>
      </c>
    </row>
    <row r="36" spans="1:46" s="77" customFormat="1" ht="10.5" customHeight="1">
      <c r="A36" s="482" t="s">
        <v>32</v>
      </c>
      <c r="B36" s="1168" t="s">
        <v>6781</v>
      </c>
      <c r="C36" s="1169"/>
      <c r="D36" s="1170"/>
      <c r="E36" s="1170"/>
      <c r="F36" s="1170"/>
      <c r="G36" s="1171">
        <v>10</v>
      </c>
      <c r="H36" s="1172">
        <v>10</v>
      </c>
      <c r="I36" s="1171">
        <v>10</v>
      </c>
      <c r="J36" s="1372">
        <v>10</v>
      </c>
      <c r="K36" s="1237">
        <v>10</v>
      </c>
      <c r="L36" s="1177">
        <v>10</v>
      </c>
      <c r="Q36" s="93"/>
      <c r="R36" s="482" t="s">
        <v>32</v>
      </c>
      <c r="S36" s="1168" t="s">
        <v>6781</v>
      </c>
      <c r="T36" s="1168"/>
      <c r="U36" s="1270"/>
      <c r="V36" s="1270"/>
      <c r="W36" s="1270"/>
      <c r="X36" s="1213">
        <f>O64</f>
        <v>10</v>
      </c>
      <c r="Y36" s="1243">
        <f>O64</f>
        <v>10</v>
      </c>
      <c r="Z36" s="1204">
        <f>O64</f>
        <v>10</v>
      </c>
      <c r="AA36" s="1238">
        <f>O64</f>
        <v>10</v>
      </c>
      <c r="AB36" s="1238">
        <f>O64</f>
        <v>10</v>
      </c>
      <c r="AC36" s="1239">
        <f>O64</f>
        <v>10</v>
      </c>
      <c r="AD36" s="1207">
        <f>P64</f>
        <v>10</v>
      </c>
      <c r="AE36" s="1211">
        <f>P64</f>
        <v>10</v>
      </c>
      <c r="AF36" s="1204">
        <f>P64</f>
        <v>10</v>
      </c>
      <c r="AG36" s="1238">
        <f>P64</f>
        <v>10</v>
      </c>
      <c r="AH36" s="1238">
        <f>P64</f>
        <v>10</v>
      </c>
      <c r="AI36" s="1211">
        <f>P64</f>
        <v>10</v>
      </c>
    </row>
    <row r="37" spans="1:46" s="77" customFormat="1" ht="10.5" customHeight="1">
      <c r="A37" s="482" t="s">
        <v>44</v>
      </c>
      <c r="B37" s="1173" t="s">
        <v>2038</v>
      </c>
      <c r="C37" s="1174"/>
      <c r="D37" s="1175"/>
      <c r="E37" s="1175"/>
      <c r="F37" s="1175"/>
      <c r="G37" s="1176">
        <v>3</v>
      </c>
      <c r="H37" s="1177">
        <v>3</v>
      </c>
      <c r="I37" s="1176"/>
      <c r="J37" s="1237"/>
      <c r="K37" s="1237"/>
      <c r="L37" s="1177"/>
      <c r="M37" s="163" t="s">
        <v>2027</v>
      </c>
      <c r="N37" s="93"/>
      <c r="O37" s="93"/>
      <c r="P37" s="2945" t="e">
        <f>IF(OR($M$34="9% Credit Competitive Round only", $M$34="9% Credit &amp; HOME"),"9%",IF(OR($M$34="4% Credit/TE Bond", $M$34="4% Credit/TE Bond &amp; HOME", $M$34="4% Credit/TE Bond &amp; HOME NOFA", $M$34="4% Credit &amp; NHTF", $M$34="4% Credit &amp; NHTF &amp; HOME"),"4%",""))</f>
        <v>#REF!</v>
      </c>
      <c r="Q37" s="93"/>
      <c r="R37" s="482" t="s">
        <v>44</v>
      </c>
      <c r="S37" s="1173" t="s">
        <v>2038</v>
      </c>
      <c r="T37" s="1173"/>
      <c r="U37" s="1271"/>
      <c r="V37" s="1271"/>
      <c r="W37" s="1271"/>
      <c r="X37" s="1204" t="e">
        <f>O89</f>
        <v>#REF!</v>
      </c>
      <c r="Y37" s="1211" t="e">
        <f>O89</f>
        <v>#REF!</v>
      </c>
      <c r="Z37" s="1204"/>
      <c r="AA37" s="1237"/>
      <c r="AB37" s="1238"/>
      <c r="AC37" s="1239"/>
      <c r="AD37" s="1207" t="e">
        <f>P89</f>
        <v>#REF!</v>
      </c>
      <c r="AE37" s="1211" t="e">
        <f>P89</f>
        <v>#REF!</v>
      </c>
      <c r="AF37" s="1204"/>
      <c r="AG37" s="1237"/>
      <c r="AH37" s="1238"/>
      <c r="AI37" s="1211"/>
    </row>
    <row r="38" spans="1:46" s="77" customFormat="1" ht="10.5" customHeight="1">
      <c r="A38" s="482" t="s">
        <v>58</v>
      </c>
      <c r="B38" s="1173" t="s">
        <v>1980</v>
      </c>
      <c r="C38" s="1174"/>
      <c r="D38" s="1175"/>
      <c r="E38" s="1175"/>
      <c r="F38" s="1175"/>
      <c r="G38" s="1176">
        <v>20</v>
      </c>
      <c r="H38" s="1177">
        <v>12</v>
      </c>
      <c r="I38" s="1176"/>
      <c r="J38" s="1237"/>
      <c r="K38" s="1237"/>
      <c r="L38" s="1177"/>
      <c r="Q38" s="93"/>
      <c r="R38" s="482" t="s">
        <v>58</v>
      </c>
      <c r="S38" s="1173" t="s">
        <v>1980</v>
      </c>
      <c r="T38" s="1173"/>
      <c r="U38" s="1271"/>
      <c r="V38" s="1271"/>
      <c r="W38" s="1271"/>
      <c r="X38" s="1205">
        <f>O103</f>
        <v>0</v>
      </c>
      <c r="Y38" s="1212">
        <f>O103</f>
        <v>0</v>
      </c>
      <c r="Z38" s="1176"/>
      <c r="AA38" s="1237"/>
      <c r="AB38" s="1237"/>
      <c r="AC38" s="1240"/>
      <c r="AD38" s="1208">
        <f>P103</f>
        <v>0</v>
      </c>
      <c r="AE38" s="1212">
        <f>P103</f>
        <v>0</v>
      </c>
      <c r="AF38" s="1176"/>
      <c r="AG38" s="1237"/>
      <c r="AH38" s="1237"/>
      <c r="AI38" s="1177"/>
    </row>
    <row r="39" spans="1:46" s="77" customFormat="1" ht="10.5" customHeight="1">
      <c r="A39" s="482" t="s">
        <v>67</v>
      </c>
      <c r="B39" s="1173" t="s">
        <v>1981</v>
      </c>
      <c r="C39" s="1174"/>
      <c r="D39" s="1175"/>
      <c r="E39" s="1175"/>
      <c r="F39" s="1175"/>
      <c r="G39" s="1176">
        <v>6</v>
      </c>
      <c r="H39" s="1177">
        <v>4</v>
      </c>
      <c r="I39" s="1176"/>
      <c r="J39" s="1237"/>
      <c r="K39" s="1237"/>
      <c r="L39" s="1177"/>
      <c r="Q39" s="93"/>
      <c r="R39" s="482" t="s">
        <v>67</v>
      </c>
      <c r="S39" s="1173" t="s">
        <v>1981</v>
      </c>
      <c r="T39" s="1173"/>
      <c r="U39" s="1271"/>
      <c r="V39" s="1271"/>
      <c r="W39" s="1271"/>
      <c r="X39" s="1205">
        <f>O113</f>
        <v>0</v>
      </c>
      <c r="Y39" s="1212">
        <f>O113</f>
        <v>0</v>
      </c>
      <c r="Z39" s="1176"/>
      <c r="AA39" s="1237"/>
      <c r="AB39" s="1237"/>
      <c r="AC39" s="1240"/>
      <c r="AD39" s="1208">
        <f>P113</f>
        <v>0</v>
      </c>
      <c r="AE39" s="1212">
        <f>P113</f>
        <v>0</v>
      </c>
      <c r="AF39" s="1176"/>
      <c r="AG39" s="1237"/>
      <c r="AH39" s="1237"/>
      <c r="AI39" s="1177"/>
    </row>
    <row r="40" spans="1:46" s="77" customFormat="1" ht="10.5" customHeight="1">
      <c r="A40" s="482" t="s">
        <v>69</v>
      </c>
      <c r="B40" s="1173" t="s">
        <v>1982</v>
      </c>
      <c r="C40" s="1174"/>
      <c r="D40" s="1175"/>
      <c r="E40" s="1175"/>
      <c r="F40" s="1175"/>
      <c r="G40" s="1176">
        <v>3</v>
      </c>
      <c r="H40" s="1177">
        <v>2</v>
      </c>
      <c r="I40" s="1176"/>
      <c r="J40" s="1237"/>
      <c r="K40" s="1237"/>
      <c r="L40" s="1177"/>
      <c r="M40" s="4741" t="s">
        <v>2034</v>
      </c>
      <c r="N40" s="4742"/>
      <c r="O40" s="4742"/>
      <c r="P40" s="4742"/>
      <c r="Q40" s="93"/>
      <c r="R40" s="482" t="s">
        <v>69</v>
      </c>
      <c r="S40" s="1173" t="s">
        <v>1982</v>
      </c>
      <c r="T40" s="1173"/>
      <c r="U40" s="1271"/>
      <c r="V40" s="1271"/>
      <c r="W40" s="1271"/>
      <c r="X40" s="1176">
        <f>O152</f>
        <v>0</v>
      </c>
      <c r="Y40" s="1177">
        <f>O152</f>
        <v>0</v>
      </c>
      <c r="Z40" s="1176"/>
      <c r="AA40" s="1237"/>
      <c r="AB40" s="1237"/>
      <c r="AC40" s="1240"/>
      <c r="AD40" s="1203">
        <f>P152</f>
        <v>0</v>
      </c>
      <c r="AE40" s="1177">
        <f>P152</f>
        <v>0</v>
      </c>
      <c r="AF40" s="1176"/>
      <c r="AG40" s="1237"/>
      <c r="AH40" s="1237"/>
      <c r="AI40" s="1177"/>
    </row>
    <row r="41" spans="1:46" s="77" customFormat="1" ht="10.5" customHeight="1">
      <c r="A41" s="482" t="s">
        <v>1482</v>
      </c>
      <c r="B41" s="1173" t="s">
        <v>1925</v>
      </c>
      <c r="C41" s="1174"/>
      <c r="D41" s="1175"/>
      <c r="E41" s="1175"/>
      <c r="F41" s="1175"/>
      <c r="G41" s="1176">
        <v>7</v>
      </c>
      <c r="H41" s="1177">
        <v>5</v>
      </c>
      <c r="I41" s="1176"/>
      <c r="J41" s="1237"/>
      <c r="K41" s="1237"/>
      <c r="L41" s="1177"/>
      <c r="M41" s="4741"/>
      <c r="N41" s="4742"/>
      <c r="O41" s="4742"/>
      <c r="P41" s="4742"/>
      <c r="Q41" s="93"/>
      <c r="R41" s="482" t="s">
        <v>1482</v>
      </c>
      <c r="S41" s="1173" t="s">
        <v>1925</v>
      </c>
      <c r="T41" s="1173"/>
      <c r="U41" s="1271"/>
      <c r="V41" s="1271"/>
      <c r="W41" s="1271"/>
      <c r="X41" s="1204">
        <f>O169</f>
        <v>0</v>
      </c>
      <c r="Y41" s="1211">
        <f>O169</f>
        <v>0</v>
      </c>
      <c r="Z41" s="1176"/>
      <c r="AA41" s="1237"/>
      <c r="AB41" s="1237"/>
      <c r="AC41" s="1240"/>
      <c r="AD41" s="1207">
        <f>P169</f>
        <v>0</v>
      </c>
      <c r="AE41" s="1211">
        <f>P169</f>
        <v>0</v>
      </c>
      <c r="AF41" s="1176"/>
      <c r="AG41" s="1237"/>
      <c r="AH41" s="1237"/>
      <c r="AI41" s="1177"/>
    </row>
    <row r="42" spans="1:46" s="77" customFormat="1" ht="10.5" customHeight="1">
      <c r="A42" s="482" t="s">
        <v>1486</v>
      </c>
      <c r="B42" s="1173" t="s">
        <v>1898</v>
      </c>
      <c r="C42" s="1174"/>
      <c r="D42" s="1175"/>
      <c r="E42" s="1175"/>
      <c r="F42" s="1175"/>
      <c r="G42" s="1176">
        <v>3</v>
      </c>
      <c r="H42" s="1177"/>
      <c r="I42" s="1176"/>
      <c r="J42" s="1237"/>
      <c r="K42" s="1237"/>
      <c r="L42" s="1177"/>
      <c r="M42" s="98" t="s">
        <v>2039</v>
      </c>
      <c r="N42" s="98"/>
      <c r="O42" s="98"/>
      <c r="P42" s="2653"/>
      <c r="Q42" s="93"/>
      <c r="R42" s="482" t="s">
        <v>1486</v>
      </c>
      <c r="S42" s="1173" t="s">
        <v>1898</v>
      </c>
      <c r="T42" s="1173"/>
      <c r="U42" s="1271"/>
      <c r="V42" s="1271"/>
      <c r="W42" s="1271"/>
      <c r="X42" s="1206"/>
      <c r="Y42" s="1210"/>
      <c r="Z42" s="1206"/>
      <c r="AA42" s="1241"/>
      <c r="AB42" s="1241"/>
      <c r="AC42" s="1242"/>
      <c r="AD42" s="1207">
        <f>P190</f>
        <v>0</v>
      </c>
      <c r="AE42" s="1177"/>
      <c r="AF42" s="1176"/>
      <c r="AG42" s="1237"/>
      <c r="AH42" s="1237"/>
      <c r="AI42" s="1177"/>
    </row>
    <row r="43" spans="1:46" s="77" customFormat="1" ht="10.5" customHeight="1">
      <c r="A43" s="482" t="s">
        <v>1488</v>
      </c>
      <c r="B43" s="1173" t="s">
        <v>1926</v>
      </c>
      <c r="C43" s="1174"/>
      <c r="D43" s="1175"/>
      <c r="E43" s="1175"/>
      <c r="F43" s="1175"/>
      <c r="G43" s="1176">
        <v>10</v>
      </c>
      <c r="H43" s="1177">
        <v>5</v>
      </c>
      <c r="I43" s="1176"/>
      <c r="J43" s="1237"/>
      <c r="K43" s="1237"/>
      <c r="L43" s="1177"/>
      <c r="M43" s="98" t="s">
        <v>2043</v>
      </c>
      <c r="N43" s="98"/>
      <c r="O43" s="98"/>
      <c r="P43" s="602"/>
      <c r="Q43" s="93"/>
      <c r="R43" s="482" t="s">
        <v>1488</v>
      </c>
      <c r="S43" s="1173" t="s">
        <v>1926</v>
      </c>
      <c r="T43" s="1173"/>
      <c r="U43" s="1271"/>
      <c r="V43" s="1271"/>
      <c r="W43" s="1271"/>
      <c r="X43" s="1204">
        <f>O205</f>
        <v>0</v>
      </c>
      <c r="Y43" s="1211">
        <f>O205</f>
        <v>0</v>
      </c>
      <c r="Z43" s="1176"/>
      <c r="AA43" s="1237"/>
      <c r="AB43" s="1237"/>
      <c r="AC43" s="1240"/>
      <c r="AD43" s="1207">
        <f>P205</f>
        <v>0</v>
      </c>
      <c r="AE43" s="1211">
        <f>P205</f>
        <v>0</v>
      </c>
      <c r="AF43" s="1176"/>
      <c r="AG43" s="1237"/>
      <c r="AH43" s="1237"/>
      <c r="AI43" s="1177"/>
    </row>
    <row r="44" spans="1:46" s="77" customFormat="1" ht="10.5" customHeight="1">
      <c r="A44" s="482" t="s">
        <v>1490</v>
      </c>
      <c r="B44" s="1173" t="s">
        <v>2084</v>
      </c>
      <c r="C44" s="1174"/>
      <c r="D44" s="1175"/>
      <c r="E44" s="1175"/>
      <c r="F44" s="1175"/>
      <c r="G44" s="1176">
        <v>1</v>
      </c>
      <c r="H44" s="1177"/>
      <c r="I44" s="1176"/>
      <c r="J44" s="1237"/>
      <c r="K44" s="1237"/>
      <c r="L44" s="1177"/>
      <c r="M44" s="1248" t="s">
        <v>2048</v>
      </c>
      <c r="N44" s="135"/>
      <c r="O44" s="135"/>
      <c r="P44" s="601"/>
      <c r="Q44" s="93"/>
      <c r="R44" s="482" t="s">
        <v>1490</v>
      </c>
      <c r="S44" s="1173" t="s">
        <v>2084</v>
      </c>
      <c r="T44" s="1173"/>
      <c r="U44" s="1271"/>
      <c r="V44" s="1271"/>
      <c r="W44" s="1271"/>
      <c r="X44" s="1204">
        <f>O225</f>
        <v>0</v>
      </c>
      <c r="Y44" s="1177"/>
      <c r="Z44" s="1176"/>
      <c r="AA44" s="1237"/>
      <c r="AB44" s="1237"/>
      <c r="AC44" s="1240"/>
      <c r="AD44" s="1207">
        <f>P225</f>
        <v>0</v>
      </c>
      <c r="AE44" s="1177"/>
      <c r="AF44" s="1176"/>
      <c r="AG44" s="1237"/>
      <c r="AH44" s="1237"/>
      <c r="AI44" s="1177"/>
    </row>
    <row r="45" spans="1:46" s="77" customFormat="1" ht="10.5" customHeight="1">
      <c r="A45" s="482" t="s">
        <v>1496</v>
      </c>
      <c r="B45" s="1173" t="s">
        <v>1985</v>
      </c>
      <c r="C45" s="1174"/>
      <c r="D45" s="1175"/>
      <c r="E45" s="1175"/>
      <c r="F45" s="1175"/>
      <c r="G45" s="1176">
        <v>10</v>
      </c>
      <c r="H45" s="1177">
        <v>5</v>
      </c>
      <c r="I45" s="1176"/>
      <c r="J45" s="1237"/>
      <c r="K45" s="1237"/>
      <c r="L45" s="1177"/>
      <c r="M45" s="1248" t="s">
        <v>2051</v>
      </c>
      <c r="N45" s="135"/>
      <c r="O45" s="150" t="s">
        <v>2056</v>
      </c>
      <c r="P45" s="2946" t="str">
        <f>IF('Part VII-Threshold Criteria OLD'!$P$341="Agree","Yes","")</f>
        <v/>
      </c>
      <c r="Q45" s="93"/>
      <c r="R45" s="482" t="s">
        <v>1496</v>
      </c>
      <c r="S45" s="1173" t="s">
        <v>1985</v>
      </c>
      <c r="T45" s="1173"/>
      <c r="U45" s="1271"/>
      <c r="V45" s="1271"/>
      <c r="W45" s="1271"/>
      <c r="X45" s="1204">
        <f>O233</f>
        <v>0</v>
      </c>
      <c r="Y45" s="1211">
        <f>O233</f>
        <v>0</v>
      </c>
      <c r="Z45" s="1176"/>
      <c r="AA45" s="1237"/>
      <c r="AB45" s="1237"/>
      <c r="AC45" s="1240"/>
      <c r="AD45" s="1207">
        <f>P233</f>
        <v>0</v>
      </c>
      <c r="AE45" s="1211">
        <f>P233</f>
        <v>0</v>
      </c>
      <c r="AF45" s="1176"/>
      <c r="AG45" s="1237"/>
      <c r="AH45" s="1237"/>
      <c r="AI45" s="1177"/>
    </row>
    <row r="46" spans="1:46" s="77" customFormat="1" ht="10.5" customHeight="1">
      <c r="A46" s="482" t="s">
        <v>1501</v>
      </c>
      <c r="B46" s="1173" t="s">
        <v>2070</v>
      </c>
      <c r="C46" s="1174"/>
      <c r="D46" s="1175"/>
      <c r="E46" s="1175"/>
      <c r="F46" s="1175"/>
      <c r="G46" s="1176">
        <v>3</v>
      </c>
      <c r="H46" s="1177"/>
      <c r="I46" s="1176"/>
      <c r="J46" s="1237"/>
      <c r="K46" s="1237"/>
      <c r="L46" s="1177"/>
      <c r="M46" s="1248"/>
      <c r="N46" s="135"/>
      <c r="O46" s="150" t="s">
        <v>2060</v>
      </c>
      <c r="P46" s="1309" t="str">
        <f>IF('Part VII-Threshold Criteria OLD'!$P$344="Agree","Yes","")</f>
        <v/>
      </c>
      <c r="Q46" s="93"/>
      <c r="R46" s="482" t="s">
        <v>1501</v>
      </c>
      <c r="S46" s="1173" t="s">
        <v>2070</v>
      </c>
      <c r="T46" s="1173"/>
      <c r="U46" s="1271"/>
      <c r="V46" s="1271"/>
      <c r="W46" s="1271"/>
      <c r="X46" s="1204">
        <f>O242</f>
        <v>0</v>
      </c>
      <c r="Y46" s="1177"/>
      <c r="Z46" s="1176"/>
      <c r="AA46" s="1237"/>
      <c r="AB46" s="1237"/>
      <c r="AC46" s="1240"/>
      <c r="AD46" s="1207">
        <f>P242</f>
        <v>0</v>
      </c>
      <c r="AE46" s="1177"/>
      <c r="AF46" s="1176"/>
      <c r="AG46" s="1237"/>
      <c r="AH46" s="1237"/>
      <c r="AI46" s="1177"/>
    </row>
    <row r="47" spans="1:46" s="77" customFormat="1" ht="10.5" customHeight="1">
      <c r="A47" s="482" t="s">
        <v>1522</v>
      </c>
      <c r="B47" s="1173" t="s">
        <v>2074</v>
      </c>
      <c r="C47" s="1174"/>
      <c r="D47" s="1175"/>
      <c r="E47" s="1175"/>
      <c r="F47" s="1175"/>
      <c r="G47" s="1176">
        <v>5</v>
      </c>
      <c r="H47" s="1177"/>
      <c r="I47" s="1176"/>
      <c r="J47" s="1237"/>
      <c r="K47" s="1237"/>
      <c r="L47" s="1177"/>
      <c r="M47" s="875"/>
      <c r="N47" s="1269"/>
      <c r="O47" s="1249" t="s">
        <v>2064</v>
      </c>
      <c r="P47" s="1310" t="str">
        <f>IF('Part VII-Threshold Criteria OLD'!$P$346="Agree","Yes","")</f>
        <v/>
      </c>
      <c r="Q47" s="93"/>
      <c r="R47" s="482" t="s">
        <v>1522</v>
      </c>
      <c r="S47" s="1173" t="s">
        <v>2074</v>
      </c>
      <c r="T47" s="1173"/>
      <c r="U47" s="1271"/>
      <c r="V47" s="1271"/>
      <c r="W47" s="1271"/>
      <c r="X47" s="1204">
        <f>O252</f>
        <v>0</v>
      </c>
      <c r="Y47" s="1177"/>
      <c r="Z47" s="1176"/>
      <c r="AA47" s="1237"/>
      <c r="AB47" s="1237"/>
      <c r="AC47" s="1240"/>
      <c r="AD47" s="1207">
        <f>P252</f>
        <v>0</v>
      </c>
      <c r="AE47" s="1177"/>
      <c r="AF47" s="1176"/>
      <c r="AG47" s="1237"/>
      <c r="AH47" s="1237"/>
      <c r="AI47" s="1177"/>
    </row>
    <row r="48" spans="1:46" s="77" customFormat="1" ht="10.5" customHeight="1">
      <c r="A48" s="482" t="s">
        <v>1520</v>
      </c>
      <c r="B48" s="1173" t="s">
        <v>2024</v>
      </c>
      <c r="C48" s="1174"/>
      <c r="D48" s="1175"/>
      <c r="E48" s="1175"/>
      <c r="F48" s="1175"/>
      <c r="G48" s="1176">
        <v>4</v>
      </c>
      <c r="H48" s="1177">
        <v>4</v>
      </c>
      <c r="I48" s="1176">
        <v>4</v>
      </c>
      <c r="J48" s="1237">
        <v>4</v>
      </c>
      <c r="K48" s="1237">
        <v>4</v>
      </c>
      <c r="L48" s="1177">
        <v>4</v>
      </c>
      <c r="M48" s="1263" t="s">
        <v>2067</v>
      </c>
      <c r="N48" s="1264"/>
      <c r="O48" s="1265"/>
      <c r="P48" s="2653"/>
      <c r="R48" s="482" t="s">
        <v>1520</v>
      </c>
      <c r="S48" s="1173" t="s">
        <v>2024</v>
      </c>
      <c r="T48" s="1173"/>
      <c r="U48" s="1271"/>
      <c r="V48" s="1271"/>
      <c r="W48" s="1271"/>
      <c r="X48" s="1204">
        <f>O261</f>
        <v>0</v>
      </c>
      <c r="Y48" s="1211">
        <f>O261</f>
        <v>0</v>
      </c>
      <c r="Z48" s="1204">
        <f>O261</f>
        <v>0</v>
      </c>
      <c r="AA48" s="1238">
        <f>O261</f>
        <v>0</v>
      </c>
      <c r="AB48" s="1238">
        <f>O261</f>
        <v>0</v>
      </c>
      <c r="AC48" s="1239">
        <f>O261</f>
        <v>0</v>
      </c>
      <c r="AD48" s="1207">
        <f>P261</f>
        <v>0</v>
      </c>
      <c r="AE48" s="1211">
        <f>P261</f>
        <v>0</v>
      </c>
      <c r="AF48" s="1204">
        <f>P261</f>
        <v>0</v>
      </c>
      <c r="AG48" s="1238">
        <f>P261</f>
        <v>0</v>
      </c>
      <c r="AH48" s="1238">
        <f>P261</f>
        <v>0</v>
      </c>
      <c r="AI48" s="1211">
        <f>P261</f>
        <v>0</v>
      </c>
      <c r="AT48" s="1316" t="s">
        <v>6611</v>
      </c>
    </row>
    <row r="49" spans="1:46" s="77" customFormat="1" ht="10.5" customHeight="1">
      <c r="A49" s="482" t="s">
        <v>1522</v>
      </c>
      <c r="B49" s="1173" t="s">
        <v>6773</v>
      </c>
      <c r="C49" s="1174"/>
      <c r="D49" s="1175"/>
      <c r="E49" s="1175"/>
      <c r="F49" s="1175"/>
      <c r="G49" s="1176">
        <v>2</v>
      </c>
      <c r="H49" s="1177">
        <v>2</v>
      </c>
      <c r="I49" s="1176">
        <v>2</v>
      </c>
      <c r="J49" s="1237">
        <v>2</v>
      </c>
      <c r="K49" s="1237">
        <v>2</v>
      </c>
      <c r="L49" s="1177">
        <v>2</v>
      </c>
      <c r="M49" s="1266" t="s">
        <v>2071</v>
      </c>
      <c r="N49" s="1267"/>
      <c r="O49" s="1268"/>
      <c r="P49" s="601"/>
      <c r="R49" s="482" t="s">
        <v>1522</v>
      </c>
      <c r="S49" s="1173" t="s">
        <v>6773</v>
      </c>
      <c r="T49" s="1173"/>
      <c r="U49" s="1271"/>
      <c r="V49" s="1271"/>
      <c r="W49" s="1271"/>
      <c r="X49" s="1204">
        <f>O274</f>
        <v>0</v>
      </c>
      <c r="Y49" s="1211">
        <f>O274</f>
        <v>0</v>
      </c>
      <c r="Z49" s="1204">
        <f>O274</f>
        <v>0</v>
      </c>
      <c r="AA49" s="1238">
        <f>O274</f>
        <v>0</v>
      </c>
      <c r="AB49" s="1238">
        <f>O274</f>
        <v>0</v>
      </c>
      <c r="AC49" s="1239">
        <f>O274</f>
        <v>0</v>
      </c>
      <c r="AD49" s="1207">
        <f>P274</f>
        <v>0</v>
      </c>
      <c r="AE49" s="1211">
        <f>P274</f>
        <v>0</v>
      </c>
      <c r="AF49" s="1204">
        <f>P274</f>
        <v>0</v>
      </c>
      <c r="AG49" s="1238">
        <f>P274</f>
        <v>0</v>
      </c>
      <c r="AH49" s="1238">
        <f>P274</f>
        <v>0</v>
      </c>
      <c r="AI49" s="1211">
        <f>P274</f>
        <v>0</v>
      </c>
      <c r="AQ49" s="1315" t="s">
        <v>6782</v>
      </c>
      <c r="AR49" s="135"/>
      <c r="AS49" s="43"/>
      <c r="AT49" s="2947" t="e">
        <f>#REF!+#REF!+#REF!</f>
        <v>#REF!</v>
      </c>
    </row>
    <row r="50" spans="1:46" s="77" customFormat="1" ht="10.5" customHeight="1">
      <c r="A50" s="482" t="s">
        <v>1528</v>
      </c>
      <c r="B50" s="1173" t="s">
        <v>2026</v>
      </c>
      <c r="C50" s="1174"/>
      <c r="D50" s="1175"/>
      <c r="E50" s="1175"/>
      <c r="F50" s="1175"/>
      <c r="G50" s="1176">
        <v>2</v>
      </c>
      <c r="H50" s="1177">
        <v>2</v>
      </c>
      <c r="I50" s="1176">
        <v>2</v>
      </c>
      <c r="J50" s="1237">
        <v>2</v>
      </c>
      <c r="K50" s="1237">
        <v>2</v>
      </c>
      <c r="L50" s="1177">
        <v>2</v>
      </c>
      <c r="M50" s="98" t="s">
        <v>2075</v>
      </c>
      <c r="N50" s="43"/>
      <c r="O50" s="43"/>
      <c r="P50" s="328" t="e">
        <f>#REF!</f>
        <v>#REF!</v>
      </c>
      <c r="R50" s="482" t="s">
        <v>1528</v>
      </c>
      <c r="S50" s="1173" t="s">
        <v>2026</v>
      </c>
      <c r="T50" s="1173"/>
      <c r="U50" s="1271"/>
      <c r="V50" s="1271"/>
      <c r="W50" s="1271"/>
      <c r="X50" s="1204">
        <f>O285</f>
        <v>0</v>
      </c>
      <c r="Y50" s="1211">
        <f>O285</f>
        <v>0</v>
      </c>
      <c r="Z50" s="1204">
        <f>O285</f>
        <v>0</v>
      </c>
      <c r="AA50" s="1238">
        <f>O285</f>
        <v>0</v>
      </c>
      <c r="AB50" s="1238">
        <f>O285</f>
        <v>0</v>
      </c>
      <c r="AC50" s="1239">
        <f>O285</f>
        <v>0</v>
      </c>
      <c r="AD50" s="1207">
        <f>P285</f>
        <v>0</v>
      </c>
      <c r="AE50" s="1211">
        <f>P285</f>
        <v>0</v>
      </c>
      <c r="AF50" s="1204">
        <f>P285</f>
        <v>0</v>
      </c>
      <c r="AG50" s="1238">
        <f>P285</f>
        <v>0</v>
      </c>
      <c r="AH50" s="1238">
        <f>P285</f>
        <v>0</v>
      </c>
      <c r="AI50" s="1211">
        <f>P285</f>
        <v>0</v>
      </c>
      <c r="AQ50" s="1315" t="s">
        <v>6783</v>
      </c>
      <c r="AR50" s="1030"/>
      <c r="AS50" s="1030"/>
      <c r="AT50" s="1308" t="e">
        <f>#REF!+#REF!-#REF!-#REF!</f>
        <v>#REF!</v>
      </c>
    </row>
    <row r="51" spans="1:46" s="77" customFormat="1" ht="10.5" customHeight="1">
      <c r="A51" s="482" t="s">
        <v>1548</v>
      </c>
      <c r="B51" s="1173" t="s">
        <v>2091</v>
      </c>
      <c r="C51" s="1174"/>
      <c r="D51" s="1175"/>
      <c r="E51" s="1175"/>
      <c r="F51" s="1175"/>
      <c r="G51" s="1176">
        <v>2</v>
      </c>
      <c r="H51" s="1177"/>
      <c r="I51" s="1176"/>
      <c r="J51" s="1237">
        <v>2</v>
      </c>
      <c r="K51" s="1237">
        <v>2</v>
      </c>
      <c r="L51" s="1177">
        <v>2</v>
      </c>
      <c r="Q51" s="93"/>
      <c r="R51" s="482" t="s">
        <v>1548</v>
      </c>
      <c r="S51" s="1173" t="s">
        <v>2091</v>
      </c>
      <c r="T51" s="1173"/>
      <c r="U51" s="1271"/>
      <c r="V51" s="1271"/>
      <c r="W51" s="1271"/>
      <c r="X51" s="1204">
        <f>O310</f>
        <v>0</v>
      </c>
      <c r="Y51" s="1177"/>
      <c r="Z51" s="1176"/>
      <c r="AA51" s="1238">
        <f>O310</f>
        <v>0</v>
      </c>
      <c r="AB51" s="1238">
        <f>O310</f>
        <v>0</v>
      </c>
      <c r="AC51" s="1239">
        <f>O310</f>
        <v>0</v>
      </c>
      <c r="AD51" s="1207">
        <f>P310</f>
        <v>0</v>
      </c>
      <c r="AE51" s="1177"/>
      <c r="AF51" s="1176"/>
      <c r="AG51" s="1238">
        <f>P310</f>
        <v>0</v>
      </c>
      <c r="AH51" s="1238">
        <f>P310</f>
        <v>0</v>
      </c>
      <c r="AI51" s="1211">
        <f>P310</f>
        <v>0</v>
      </c>
    </row>
    <row r="52" spans="1:46" s="77" customFormat="1" ht="10.5" customHeight="1">
      <c r="A52" s="482" t="s">
        <v>1557</v>
      </c>
      <c r="B52" s="1173" t="s">
        <v>6784</v>
      </c>
      <c r="C52" s="1174"/>
      <c r="D52" s="1175"/>
      <c r="E52" s="1175"/>
      <c r="F52" s="1175"/>
      <c r="G52" s="1176">
        <v>2</v>
      </c>
      <c r="H52" s="1177"/>
      <c r="I52" s="1176"/>
      <c r="J52" s="1237">
        <v>2</v>
      </c>
      <c r="K52" s="1237">
        <v>2</v>
      </c>
      <c r="L52" s="1177">
        <v>2</v>
      </c>
      <c r="M52" s="4871" t="s">
        <v>6785</v>
      </c>
      <c r="N52" s="4872"/>
      <c r="O52" s="4872"/>
      <c r="P52" s="4872"/>
      <c r="Q52" s="279"/>
      <c r="R52" s="482" t="s">
        <v>1557</v>
      </c>
      <c r="S52" s="1173" t="s">
        <v>6784</v>
      </c>
      <c r="T52" s="1173"/>
      <c r="U52" s="1271"/>
      <c r="V52" s="1271"/>
      <c r="W52" s="1271"/>
      <c r="X52" s="1209"/>
      <c r="Y52" s="1210"/>
      <c r="Z52" s="1206"/>
      <c r="AA52" s="1244"/>
      <c r="AB52" s="1244"/>
      <c r="AC52" s="1245"/>
      <c r="AD52" s="1207">
        <f>P318</f>
        <v>0</v>
      </c>
      <c r="AE52" s="1177"/>
      <c r="AF52" s="1176"/>
      <c r="AG52" s="1238">
        <f>P318</f>
        <v>0</v>
      </c>
      <c r="AH52" s="1238">
        <f>P318</f>
        <v>0</v>
      </c>
      <c r="AI52" s="1211">
        <f>P318</f>
        <v>0</v>
      </c>
    </row>
    <row r="53" spans="1:46" s="77" customFormat="1" ht="10.5" customHeight="1">
      <c r="A53" s="482" t="s">
        <v>1565</v>
      </c>
      <c r="B53" s="1173" t="s">
        <v>2095</v>
      </c>
      <c r="C53" s="1174"/>
      <c r="D53" s="1175"/>
      <c r="E53" s="1175"/>
      <c r="F53" s="1175"/>
      <c r="G53" s="1176">
        <v>2</v>
      </c>
      <c r="H53" s="1177"/>
      <c r="I53" s="1176"/>
      <c r="J53" s="1237">
        <v>2</v>
      </c>
      <c r="K53" s="1237">
        <v>2</v>
      </c>
      <c r="L53" s="1177">
        <v>2</v>
      </c>
      <c r="M53" s="4871"/>
      <c r="N53" s="4872"/>
      <c r="O53" s="4872"/>
      <c r="P53" s="4872"/>
      <c r="R53" s="482" t="s">
        <v>1565</v>
      </c>
      <c r="S53" s="1173" t="s">
        <v>2095</v>
      </c>
      <c r="T53" s="1173"/>
      <c r="U53" s="1271"/>
      <c r="V53" s="1271"/>
      <c r="W53" s="1271"/>
      <c r="X53" s="1204">
        <f>O334</f>
        <v>0</v>
      </c>
      <c r="Y53" s="1211"/>
      <c r="Z53" s="1204"/>
      <c r="AA53" s="1238">
        <f>O334</f>
        <v>0</v>
      </c>
      <c r="AB53" s="1238">
        <f>O334</f>
        <v>0</v>
      </c>
      <c r="AC53" s="1239">
        <f>O334</f>
        <v>0</v>
      </c>
      <c r="AD53" s="1207">
        <f>P334</f>
        <v>0</v>
      </c>
      <c r="AE53" s="1211"/>
      <c r="AF53" s="1204"/>
      <c r="AG53" s="1238">
        <f>P334</f>
        <v>0</v>
      </c>
      <c r="AH53" s="1238">
        <f>P334</f>
        <v>0</v>
      </c>
      <c r="AI53" s="1211">
        <f>P334</f>
        <v>0</v>
      </c>
    </row>
    <row r="54" spans="1:46" s="77" customFormat="1" ht="10.5" customHeight="1">
      <c r="A54" s="482" t="s">
        <v>1577</v>
      </c>
      <c r="B54" s="1173" t="s">
        <v>2028</v>
      </c>
      <c r="C54" s="1174"/>
      <c r="D54" s="1175"/>
      <c r="E54" s="1175"/>
      <c r="F54" s="1175"/>
      <c r="G54" s="1176">
        <v>4</v>
      </c>
      <c r="H54" s="1177">
        <v>2</v>
      </c>
      <c r="I54" s="1176">
        <v>2</v>
      </c>
      <c r="J54" s="1237">
        <v>4</v>
      </c>
      <c r="K54" s="1237">
        <v>4</v>
      </c>
      <c r="L54" s="1177">
        <v>4</v>
      </c>
      <c r="M54" s="4873"/>
      <c r="N54" s="4874"/>
      <c r="O54" s="4874"/>
      <c r="P54" s="4874"/>
      <c r="R54" s="482" t="s">
        <v>1577</v>
      </c>
      <c r="S54" s="1173" t="s">
        <v>2028</v>
      </c>
      <c r="T54" s="1173"/>
      <c r="U54" s="1271"/>
      <c r="V54" s="1271"/>
      <c r="W54" s="1271"/>
      <c r="X54" s="1204">
        <f>O342</f>
        <v>0</v>
      </c>
      <c r="Y54" s="1211">
        <f>O342</f>
        <v>0</v>
      </c>
      <c r="Z54" s="1204">
        <f>O342</f>
        <v>0</v>
      </c>
      <c r="AA54" s="1238">
        <f>O342</f>
        <v>0</v>
      </c>
      <c r="AB54" s="1238">
        <f>O342</f>
        <v>0</v>
      </c>
      <c r="AC54" s="1239">
        <f>O342</f>
        <v>0</v>
      </c>
      <c r="AD54" s="1207">
        <f>P342</f>
        <v>0</v>
      </c>
      <c r="AE54" s="1211">
        <f>P342</f>
        <v>0</v>
      </c>
      <c r="AF54" s="1204">
        <f>P342</f>
        <v>0</v>
      </c>
      <c r="AG54" s="1238">
        <f>P342</f>
        <v>0</v>
      </c>
      <c r="AH54" s="1238">
        <f>P342</f>
        <v>0</v>
      </c>
      <c r="AI54" s="1211">
        <f>P342</f>
        <v>0</v>
      </c>
    </row>
    <row r="55" spans="1:46" s="77" customFormat="1" ht="10.5" customHeight="1">
      <c r="A55" s="482" t="s">
        <v>1582</v>
      </c>
      <c r="B55" s="1173" t="s">
        <v>2087</v>
      </c>
      <c r="C55" s="1174"/>
      <c r="D55" s="1175"/>
      <c r="E55" s="1175"/>
      <c r="F55" s="1175"/>
      <c r="G55" s="1176">
        <v>2</v>
      </c>
      <c r="H55" s="1177"/>
      <c r="I55" s="1176"/>
      <c r="J55" s="1237"/>
      <c r="K55" s="1237"/>
      <c r="L55" s="1177"/>
      <c r="M55" s="4743" t="s">
        <v>1732</v>
      </c>
      <c r="N55" s="4744"/>
      <c r="O55" s="4744"/>
      <c r="P55" s="4745"/>
      <c r="R55" s="482" t="s">
        <v>1582</v>
      </c>
      <c r="S55" s="1173" t="s">
        <v>2087</v>
      </c>
      <c r="T55" s="1173"/>
      <c r="U55" s="1271"/>
      <c r="V55" s="1271"/>
      <c r="W55" s="1271"/>
      <c r="X55" s="1204">
        <f>O378</f>
        <v>0</v>
      </c>
      <c r="Y55" s="1211"/>
      <c r="Z55" s="1204"/>
      <c r="AA55" s="1238"/>
      <c r="AB55" s="1238"/>
      <c r="AC55" s="1239"/>
      <c r="AD55" s="1207">
        <f>P378</f>
        <v>0</v>
      </c>
      <c r="AE55" s="1211"/>
      <c r="AF55" s="1204"/>
      <c r="AG55" s="1238"/>
      <c r="AH55" s="1238"/>
      <c r="AI55" s="1211"/>
    </row>
    <row r="56" spans="1:46" s="77" customFormat="1" ht="10.5" customHeight="1">
      <c r="A56" s="482" t="s">
        <v>1587</v>
      </c>
      <c r="B56" s="1173" t="s">
        <v>2031</v>
      </c>
      <c r="C56" s="1174"/>
      <c r="D56" s="1175"/>
      <c r="E56" s="1175"/>
      <c r="F56" s="1175"/>
      <c r="G56" s="1176">
        <v>10</v>
      </c>
      <c r="H56" s="1177">
        <v>10</v>
      </c>
      <c r="I56" s="1176">
        <v>10</v>
      </c>
      <c r="J56" s="1237">
        <v>10</v>
      </c>
      <c r="K56" s="1237">
        <v>10</v>
      </c>
      <c r="L56" s="1177">
        <v>10</v>
      </c>
      <c r="M56" s="4746"/>
      <c r="N56" s="4747"/>
      <c r="O56" s="4747"/>
      <c r="P56" s="4748"/>
      <c r="R56" s="482" t="s">
        <v>1587</v>
      </c>
      <c r="S56" s="1173" t="s">
        <v>2031</v>
      </c>
      <c r="T56" s="1173"/>
      <c r="U56" s="1271"/>
      <c r="V56" s="1271"/>
      <c r="W56" s="1271"/>
      <c r="X56" s="1204">
        <f>O397</f>
        <v>10</v>
      </c>
      <c r="Y56" s="1211">
        <f>O397</f>
        <v>10</v>
      </c>
      <c r="Z56" s="1204">
        <f>O397</f>
        <v>10</v>
      </c>
      <c r="AA56" s="1238">
        <f>O397</f>
        <v>10</v>
      </c>
      <c r="AB56" s="1238">
        <f>O397</f>
        <v>10</v>
      </c>
      <c r="AC56" s="1239">
        <f>O397</f>
        <v>10</v>
      </c>
      <c r="AD56" s="1207">
        <f>P397</f>
        <v>10</v>
      </c>
      <c r="AE56" s="1211">
        <f>P397</f>
        <v>10</v>
      </c>
      <c r="AF56" s="1204">
        <f>P397</f>
        <v>10</v>
      </c>
      <c r="AG56" s="1238">
        <f>P397</f>
        <v>10</v>
      </c>
      <c r="AH56" s="1238">
        <f>P397</f>
        <v>10</v>
      </c>
      <c r="AI56" s="1211">
        <f>P397</f>
        <v>10</v>
      </c>
    </row>
    <row r="57" spans="1:46" s="77" customFormat="1" ht="10.5" customHeight="1">
      <c r="A57" s="482" t="s">
        <v>1593</v>
      </c>
      <c r="B57" s="1173" t="s">
        <v>2033</v>
      </c>
      <c r="C57" s="1174"/>
      <c r="D57" s="1175"/>
      <c r="E57" s="1175"/>
      <c r="F57" s="1175"/>
      <c r="G57" s="1176">
        <v>3</v>
      </c>
      <c r="H57" s="1177">
        <v>3</v>
      </c>
      <c r="I57" s="1176">
        <v>3</v>
      </c>
      <c r="J57" s="1237">
        <v>3</v>
      </c>
      <c r="K57" s="1237">
        <v>3</v>
      </c>
      <c r="L57" s="1177">
        <v>3</v>
      </c>
      <c r="R57" s="482" t="s">
        <v>1593</v>
      </c>
      <c r="S57" s="1173" t="s">
        <v>2033</v>
      </c>
      <c r="T57" s="1173"/>
      <c r="U57" s="1271"/>
      <c r="V57" s="1271"/>
      <c r="W57" s="1271"/>
      <c r="X57" s="1204">
        <f>O405</f>
        <v>2</v>
      </c>
      <c r="Y57" s="1211">
        <f>O405</f>
        <v>2</v>
      </c>
      <c r="Z57" s="1204">
        <f>O405</f>
        <v>2</v>
      </c>
      <c r="AA57" s="1238">
        <f>O405</f>
        <v>2</v>
      </c>
      <c r="AB57" s="1238">
        <f t="shared" ref="AB57:AB61" si="1">O398</f>
        <v>0</v>
      </c>
      <c r="AC57" s="1239">
        <f>O405</f>
        <v>2</v>
      </c>
      <c r="AD57" s="1207">
        <f>P405</f>
        <v>2</v>
      </c>
      <c r="AE57" s="1211">
        <f>P405</f>
        <v>2</v>
      </c>
      <c r="AF57" s="1204">
        <f>P405</f>
        <v>2</v>
      </c>
      <c r="AG57" s="1238">
        <f>P405</f>
        <v>2</v>
      </c>
      <c r="AH57" s="1238">
        <f>P405</f>
        <v>2</v>
      </c>
      <c r="AI57" s="1211">
        <f>P405</f>
        <v>2</v>
      </c>
    </row>
    <row r="58" spans="1:46" s="77" customFormat="1" ht="10.5" customHeight="1">
      <c r="A58" s="482" t="s">
        <v>1597</v>
      </c>
      <c r="B58" s="1173" t="s">
        <v>1970</v>
      </c>
      <c r="C58" s="1174"/>
      <c r="D58" s="1175"/>
      <c r="E58" s="1175"/>
      <c r="F58" s="1175"/>
      <c r="G58" s="1176"/>
      <c r="H58" s="1177"/>
      <c r="I58" s="1176">
        <v>6</v>
      </c>
      <c r="J58" s="1237">
        <v>6</v>
      </c>
      <c r="K58" s="1237">
        <v>6</v>
      </c>
      <c r="L58" s="1177">
        <v>6</v>
      </c>
      <c r="M58" s="4741" t="s">
        <v>1733</v>
      </c>
      <c r="N58" s="4742"/>
      <c r="O58" s="4742"/>
      <c r="P58" s="4742"/>
      <c r="Q58" s="93"/>
      <c r="R58" s="482" t="s">
        <v>1597</v>
      </c>
      <c r="S58" s="1173" t="s">
        <v>1970</v>
      </c>
      <c r="T58" s="1173"/>
      <c r="U58" s="1271"/>
      <c r="V58" s="1271"/>
      <c r="W58" s="1271"/>
      <c r="X58" s="1176"/>
      <c r="Y58" s="1177"/>
      <c r="Z58" s="1204">
        <f>O418</f>
        <v>0</v>
      </c>
      <c r="AA58" s="1238">
        <f>O418</f>
        <v>0</v>
      </c>
      <c r="AB58" s="1238">
        <f t="shared" si="1"/>
        <v>10</v>
      </c>
      <c r="AC58" s="1239">
        <f>O418</f>
        <v>0</v>
      </c>
      <c r="AD58" s="1203"/>
      <c r="AE58" s="1177"/>
      <c r="AF58" s="1204">
        <f>P418</f>
        <v>0</v>
      </c>
      <c r="AG58" s="1238">
        <f>P418</f>
        <v>0</v>
      </c>
      <c r="AH58" s="1238">
        <f>P418</f>
        <v>0</v>
      </c>
      <c r="AI58" s="1211">
        <f>P418</f>
        <v>0</v>
      </c>
    </row>
    <row r="59" spans="1:46" s="77" customFormat="1" ht="10.5" customHeight="1">
      <c r="A59" s="482" t="s">
        <v>1603</v>
      </c>
      <c r="B59" s="1173" t="s">
        <v>6786</v>
      </c>
      <c r="C59" s="1174"/>
      <c r="D59" s="1175"/>
      <c r="E59" s="1175"/>
      <c r="F59" s="1175"/>
      <c r="G59" s="1176"/>
      <c r="H59" s="1177"/>
      <c r="I59" s="1176">
        <v>6</v>
      </c>
      <c r="J59" s="1237">
        <v>6</v>
      </c>
      <c r="K59" s="1237">
        <v>6</v>
      </c>
      <c r="L59" s="1177">
        <v>6</v>
      </c>
      <c r="M59" s="4869"/>
      <c r="N59" s="4870"/>
      <c r="O59" s="4870"/>
      <c r="P59" s="4870"/>
      <c r="Q59" s="93"/>
      <c r="R59" s="482" t="s">
        <v>1603</v>
      </c>
      <c r="S59" s="1173" t="s">
        <v>6786</v>
      </c>
      <c r="T59" s="1173"/>
      <c r="U59" s="1271"/>
      <c r="V59" s="1271"/>
      <c r="W59" s="1271"/>
      <c r="X59" s="1176"/>
      <c r="Y59" s="1177"/>
      <c r="Z59" s="1204">
        <f>O424</f>
        <v>0</v>
      </c>
      <c r="AA59" s="1238">
        <f>O424</f>
        <v>0</v>
      </c>
      <c r="AB59" s="1238">
        <f t="shared" si="1"/>
        <v>0</v>
      </c>
      <c r="AC59" s="1239">
        <f>O424</f>
        <v>0</v>
      </c>
      <c r="AD59" s="1203"/>
      <c r="AE59" s="1177"/>
      <c r="AF59" s="1204">
        <f>P424</f>
        <v>0</v>
      </c>
      <c r="AG59" s="1238">
        <f>P424</f>
        <v>0</v>
      </c>
      <c r="AH59" s="1238">
        <f>P424</f>
        <v>0</v>
      </c>
      <c r="AI59" s="1211">
        <f>P424</f>
        <v>0</v>
      </c>
    </row>
    <row r="60" spans="1:46" s="77" customFormat="1" ht="10.5" customHeight="1">
      <c r="A60" s="482" t="s">
        <v>1606</v>
      </c>
      <c r="B60" s="1173" t="s">
        <v>6777</v>
      </c>
      <c r="C60" s="1174"/>
      <c r="D60" s="1175"/>
      <c r="E60" s="1175"/>
      <c r="F60" s="1175"/>
      <c r="G60" s="1176"/>
      <c r="H60" s="1177"/>
      <c r="I60" s="1176">
        <v>4</v>
      </c>
      <c r="J60" s="1237">
        <v>4</v>
      </c>
      <c r="K60" s="1237">
        <v>4</v>
      </c>
      <c r="L60" s="1177">
        <v>4</v>
      </c>
      <c r="M60" s="4605" t="s">
        <v>1734</v>
      </c>
      <c r="N60" s="4606"/>
      <c r="O60" s="4606"/>
      <c r="P60" s="4607"/>
      <c r="R60" s="482" t="s">
        <v>1606</v>
      </c>
      <c r="S60" s="1173" t="s">
        <v>6777</v>
      </c>
      <c r="T60" s="1173"/>
      <c r="U60" s="1271"/>
      <c r="V60" s="1271"/>
      <c r="W60" s="1271"/>
      <c r="X60" s="1176"/>
      <c r="Y60" s="1177"/>
      <c r="Z60" s="1204">
        <f>O428</f>
        <v>0</v>
      </c>
      <c r="AA60" s="1238">
        <f>O428</f>
        <v>0</v>
      </c>
      <c r="AB60" s="1238">
        <f t="shared" si="1"/>
        <v>0</v>
      </c>
      <c r="AC60" s="1239">
        <f>O428</f>
        <v>0</v>
      </c>
      <c r="AD60" s="1203"/>
      <c r="AE60" s="1177"/>
      <c r="AF60" s="1204">
        <f>P428</f>
        <v>0</v>
      </c>
      <c r="AG60" s="1238">
        <f>P428</f>
        <v>0</v>
      </c>
      <c r="AH60" s="1238">
        <f>P428</f>
        <v>0</v>
      </c>
      <c r="AI60" s="1211">
        <f>P428</f>
        <v>0</v>
      </c>
    </row>
    <row r="61" spans="1:46" s="77" customFormat="1" ht="10.5" customHeight="1">
      <c r="A61" s="482" t="s">
        <v>1610</v>
      </c>
      <c r="B61" s="1178" t="s">
        <v>6778</v>
      </c>
      <c r="C61" s="1179"/>
      <c r="D61" s="1180"/>
      <c r="E61" s="1180"/>
      <c r="F61" s="1180"/>
      <c r="G61" s="1181"/>
      <c r="H61" s="1182"/>
      <c r="I61" s="1181">
        <v>6</v>
      </c>
      <c r="J61" s="1373">
        <v>4</v>
      </c>
      <c r="K61" s="1373">
        <v>6</v>
      </c>
      <c r="L61" s="1182">
        <v>4</v>
      </c>
      <c r="M61" s="4608"/>
      <c r="N61" s="4609"/>
      <c r="O61" s="4609"/>
      <c r="P61" s="4610"/>
      <c r="Q61" s="93"/>
      <c r="R61" s="482" t="s">
        <v>1610</v>
      </c>
      <c r="S61" s="1178" t="s">
        <v>6778</v>
      </c>
      <c r="T61" s="1178"/>
      <c r="U61" s="1272"/>
      <c r="V61" s="1272"/>
      <c r="W61" s="1272"/>
      <c r="X61" s="1181"/>
      <c r="Y61" s="1215"/>
      <c r="Z61" s="1273">
        <f>O434</f>
        <v>0</v>
      </c>
      <c r="AA61" s="1289">
        <f>O434</f>
        <v>0</v>
      </c>
      <c r="AB61" s="1289">
        <f t="shared" si="1"/>
        <v>0</v>
      </c>
      <c r="AC61" s="1290">
        <f>O434</f>
        <v>0</v>
      </c>
      <c r="AD61" s="1216"/>
      <c r="AE61" s="1215"/>
      <c r="AF61" s="1273">
        <f>P434</f>
        <v>0</v>
      </c>
      <c r="AG61" s="1289">
        <f>P434</f>
        <v>0</v>
      </c>
      <c r="AH61" s="1289">
        <f>P434</f>
        <v>0</v>
      </c>
      <c r="AI61" s="1215">
        <f>P434</f>
        <v>0</v>
      </c>
    </row>
    <row r="62" spans="1:46" s="19" customFormat="1" ht="2.25" customHeight="1">
      <c r="A62" s="43"/>
      <c r="B62" s="22"/>
      <c r="C62" s="13"/>
      <c r="D62" s="48"/>
      <c r="E62" s="48"/>
      <c r="F62" s="48"/>
      <c r="G62" s="48"/>
      <c r="H62" s="48"/>
      <c r="I62" s="48"/>
      <c r="J62" s="48"/>
      <c r="K62" s="43"/>
      <c r="L62" s="43"/>
      <c r="M62" s="32"/>
      <c r="N62" s="58"/>
      <c r="O62" s="2"/>
      <c r="P62" s="2542"/>
      <c r="R62" s="43"/>
      <c r="S62" s="43"/>
      <c r="T62" s="42"/>
      <c r="U62" s="42"/>
      <c r="V62" s="42"/>
      <c r="W62" s="42"/>
      <c r="X62" s="42"/>
      <c r="Y62" s="42"/>
      <c r="Z62" s="42"/>
      <c r="AA62" s="42"/>
      <c r="AB62" s="42"/>
      <c r="AC62" s="42"/>
      <c r="AD62" s="42"/>
      <c r="AE62" s="42"/>
      <c r="AF62" s="42"/>
      <c r="AG62" s="42"/>
      <c r="AH62" s="42"/>
      <c r="AI62" s="42"/>
    </row>
    <row r="63" spans="1:46" s="19" customFormat="1" ht="12" customHeight="1" thickBot="1">
      <c r="A63" s="43"/>
      <c r="B63" s="22"/>
      <c r="C63" s="13"/>
      <c r="D63" s="1097" t="s">
        <v>2105</v>
      </c>
      <c r="E63" s="1004"/>
      <c r="F63" s="1004"/>
      <c r="G63" s="1374">
        <f t="shared" ref="G63:L63" si="2">SUM(G36:G61)</f>
        <v>114</v>
      </c>
      <c r="H63" s="1374">
        <f t="shared" si="2"/>
        <v>69</v>
      </c>
      <c r="I63" s="1374">
        <f t="shared" si="2"/>
        <v>55</v>
      </c>
      <c r="J63" s="1374">
        <f t="shared" si="2"/>
        <v>61</v>
      </c>
      <c r="K63" s="1374">
        <f t="shared" si="2"/>
        <v>63</v>
      </c>
      <c r="L63" s="1374">
        <f t="shared" si="2"/>
        <v>61</v>
      </c>
      <c r="M63" s="32"/>
      <c r="N63" s="58"/>
      <c r="O63" s="2"/>
      <c r="P63" s="2542"/>
      <c r="R63" s="43"/>
      <c r="S63" s="43"/>
      <c r="T63" s="42"/>
      <c r="U63" s="42"/>
      <c r="V63" s="42"/>
      <c r="W63" s="42"/>
      <c r="X63" s="1214" t="e">
        <f>SUM(X35:X61)</f>
        <v>#REF!</v>
      </c>
      <c r="Y63" s="1214" t="e">
        <f t="shared" ref="Y63:AI63" si="3">SUM(Y35:Y61)</f>
        <v>#REF!</v>
      </c>
      <c r="Z63" s="1214">
        <f t="shared" si="3"/>
        <v>22</v>
      </c>
      <c r="AA63" s="1214">
        <f t="shared" si="3"/>
        <v>22</v>
      </c>
      <c r="AB63" s="1214">
        <f t="shared" si="3"/>
        <v>30</v>
      </c>
      <c r="AC63" s="1214">
        <f t="shared" si="3"/>
        <v>22</v>
      </c>
      <c r="AD63" s="1214" t="e">
        <f t="shared" si="3"/>
        <v>#REF!</v>
      </c>
      <c r="AE63" s="1214" t="e">
        <f t="shared" si="3"/>
        <v>#REF!</v>
      </c>
      <c r="AF63" s="1214">
        <f t="shared" si="3"/>
        <v>22</v>
      </c>
      <c r="AG63" s="1214">
        <f t="shared" si="3"/>
        <v>22</v>
      </c>
      <c r="AH63" s="1214">
        <f t="shared" si="3"/>
        <v>22</v>
      </c>
      <c r="AI63" s="1214">
        <f t="shared" si="3"/>
        <v>22</v>
      </c>
    </row>
    <row r="64" spans="1:46" s="18" customFormat="1" ht="13.5" customHeight="1" thickBot="1">
      <c r="A64" s="79" t="s">
        <v>32</v>
      </c>
      <c r="B64" s="50" t="s">
        <v>6787</v>
      </c>
      <c r="C64" s="3"/>
      <c r="D64" s="3"/>
      <c r="E64" s="3"/>
      <c r="F64" s="13"/>
      <c r="G64" s="13"/>
      <c r="H64" s="98" t="s">
        <v>6788</v>
      </c>
      <c r="I64" s="43"/>
      <c r="J64" s="43"/>
      <c r="K64" s="43"/>
      <c r="L64" s="43"/>
      <c r="M64" s="2542">
        <v>10</v>
      </c>
      <c r="N64" s="51"/>
      <c r="O64" s="630">
        <v>10</v>
      </c>
      <c r="P64" s="630">
        <f>MIN($M64, $M64-P67-P72-P68)</f>
        <v>10</v>
      </c>
      <c r="Q64" s="53" t="s">
        <v>1744</v>
      </c>
      <c r="R64" s="1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row>
    <row r="65" spans="1:20" s="19" customFormat="1" ht="3.6" customHeight="1">
      <c r="A65" s="43"/>
      <c r="B65" s="22"/>
      <c r="C65" s="13"/>
      <c r="D65" s="48"/>
      <c r="E65" s="48"/>
      <c r="F65" s="48"/>
      <c r="G65" s="48"/>
      <c r="H65" s="48"/>
      <c r="I65" s="48"/>
      <c r="J65" s="48"/>
      <c r="K65" s="48"/>
      <c r="L65" s="43"/>
      <c r="M65" s="32"/>
      <c r="N65" s="58"/>
      <c r="O65" s="2"/>
      <c r="P65" s="2542"/>
      <c r="R65" s="43"/>
      <c r="S65" s="43"/>
    </row>
    <row r="66" spans="1:20" s="18" customFormat="1" ht="12.75" customHeight="1">
      <c r="A66" s="72" t="s">
        <v>186</v>
      </c>
      <c r="B66" s="92" t="s">
        <v>6789</v>
      </c>
      <c r="C66" s="43"/>
      <c r="D66" s="48"/>
      <c r="E66" s="48"/>
      <c r="F66" s="2596"/>
      <c r="G66" s="43"/>
      <c r="H66" s="43"/>
      <c r="I66" s="43"/>
      <c r="J66" s="43"/>
      <c r="K66" s="43"/>
      <c r="L66" s="43"/>
      <c r="M66" s="43"/>
      <c r="N66" s="28" t="s">
        <v>186</v>
      </c>
      <c r="O66" s="43"/>
      <c r="P66" s="2948">
        <f>SUM(P67:P69)</f>
        <v>0</v>
      </c>
      <c r="Q66" s="13" t="s">
        <v>6790</v>
      </c>
      <c r="R66" s="43"/>
      <c r="S66" s="43"/>
      <c r="T66" s="43"/>
    </row>
    <row r="67" spans="1:20" s="19" customFormat="1" ht="12.75" customHeight="1">
      <c r="A67" s="72"/>
      <c r="B67" s="1076" t="s">
        <v>201</v>
      </c>
      <c r="C67" s="48" t="s">
        <v>6791</v>
      </c>
      <c r="D67" s="48"/>
      <c r="E67" s="48"/>
      <c r="F67" s="2596"/>
      <c r="H67" s="98" t="s">
        <v>6792</v>
      </c>
      <c r="J67" s="23"/>
      <c r="N67" s="217" t="s">
        <v>201</v>
      </c>
      <c r="P67" s="2949">
        <f>F75</f>
        <v>0</v>
      </c>
    </row>
    <row r="68" spans="1:20" s="19" customFormat="1" ht="12.75" customHeight="1">
      <c r="A68" s="72"/>
      <c r="B68" s="1076" t="s">
        <v>209</v>
      </c>
      <c r="C68" s="48" t="s">
        <v>6793</v>
      </c>
      <c r="D68" s="48"/>
      <c r="E68" s="48"/>
      <c r="F68" s="2596"/>
      <c r="H68" s="98" t="s">
        <v>6794</v>
      </c>
      <c r="J68" s="23"/>
      <c r="N68" s="217" t="s">
        <v>209</v>
      </c>
      <c r="P68" s="809">
        <f>J75</f>
        <v>0</v>
      </c>
    </row>
    <row r="69" spans="1:20" s="19" customFormat="1" ht="12.75" customHeight="1">
      <c r="A69" s="72"/>
      <c r="B69" s="1076" t="s">
        <v>213</v>
      </c>
      <c r="C69" s="48" t="s">
        <v>6795</v>
      </c>
      <c r="D69" s="48"/>
      <c r="E69" s="48"/>
      <c r="F69" s="2596"/>
      <c r="H69" s="98" t="s">
        <v>6796</v>
      </c>
      <c r="J69" s="23"/>
      <c r="N69" s="217" t="s">
        <v>213</v>
      </c>
      <c r="P69" s="810"/>
    </row>
    <row r="70" spans="1:20" s="19" customFormat="1" ht="12.75" customHeight="1">
      <c r="C70" s="4657" t="s">
        <v>6797</v>
      </c>
      <c r="D70" s="4658"/>
      <c r="E70" s="4658"/>
      <c r="F70" s="4658"/>
      <c r="G70" s="4658"/>
      <c r="H70" s="4658"/>
      <c r="I70" s="4658"/>
      <c r="J70" s="4658"/>
      <c r="K70" s="4658"/>
      <c r="L70" s="4658"/>
      <c r="M70" s="4658"/>
      <c r="N70" s="4658"/>
      <c r="O70" s="4658"/>
      <c r="P70" s="4659"/>
      <c r="Q70" s="249"/>
      <c r="R70" s="249"/>
    </row>
    <row r="71" spans="1:20" s="19" customFormat="1" ht="3" customHeight="1">
      <c r="A71" s="328"/>
      <c r="B71" s="325"/>
      <c r="C71" s="326"/>
      <c r="D71" s="73"/>
      <c r="K71" s="502"/>
      <c r="L71" s="502"/>
      <c r="M71" s="2525"/>
      <c r="N71" s="217"/>
      <c r="O71" s="504"/>
      <c r="P71" s="504"/>
    </row>
    <row r="72" spans="1:20" s="18" customFormat="1" ht="12.75" customHeight="1">
      <c r="A72" s="72" t="s">
        <v>198</v>
      </c>
      <c r="B72" s="92" t="s">
        <v>6798</v>
      </c>
      <c r="C72" s="43"/>
      <c r="D72" s="48"/>
      <c r="E72" s="48"/>
      <c r="F72" s="2596"/>
      <c r="G72" s="43"/>
      <c r="H72" s="98" t="s">
        <v>6799</v>
      </c>
      <c r="I72" s="43"/>
      <c r="J72" s="23"/>
      <c r="K72" s="43"/>
      <c r="L72" s="43"/>
      <c r="M72" s="32"/>
      <c r="N72" s="28" t="s">
        <v>198</v>
      </c>
      <c r="O72" s="43"/>
      <c r="P72" s="2950">
        <f>O75</f>
        <v>0</v>
      </c>
      <c r="Q72" s="13" t="s">
        <v>6790</v>
      </c>
      <c r="R72" s="43"/>
      <c r="S72" s="43"/>
      <c r="T72" s="43"/>
    </row>
    <row r="73" spans="1:20" s="19" customFormat="1" ht="3" customHeight="1">
      <c r="A73" s="328"/>
      <c r="B73" s="325"/>
      <c r="C73" s="326"/>
      <c r="D73" s="73"/>
      <c r="K73" s="502"/>
      <c r="L73" s="502"/>
      <c r="M73" s="2525"/>
      <c r="N73" s="217"/>
      <c r="O73" s="504"/>
      <c r="P73" s="504"/>
    </row>
    <row r="74" spans="1:20" s="18" customFormat="1" ht="12.75" customHeight="1">
      <c r="A74" s="4571" t="s">
        <v>6800</v>
      </c>
      <c r="B74" s="4571"/>
      <c r="C74" s="4571"/>
      <c r="D74" s="4571"/>
      <c r="E74" s="4571"/>
      <c r="F74" s="2871" t="s">
        <v>6801</v>
      </c>
      <c r="G74" s="4728" t="s">
        <v>6802</v>
      </c>
      <c r="H74" s="4728"/>
      <c r="I74" s="4728"/>
      <c r="J74" s="2871" t="s">
        <v>6801</v>
      </c>
      <c r="K74" s="4732" t="s">
        <v>6803</v>
      </c>
      <c r="L74" s="4732"/>
      <c r="M74" s="4732"/>
      <c r="N74" s="4732"/>
      <c r="O74" s="4726" t="s">
        <v>6801</v>
      </c>
      <c r="P74" s="4727"/>
      <c r="Q74" s="43"/>
      <c r="R74" s="250"/>
      <c r="S74" s="82"/>
      <c r="T74" s="43"/>
    </row>
    <row r="75" spans="1:20" s="18" customFormat="1" ht="12.75" customHeight="1">
      <c r="A75" s="4725"/>
      <c r="B75" s="4725"/>
      <c r="C75" s="4725"/>
      <c r="D75" s="4725"/>
      <c r="E75" s="4725"/>
      <c r="F75" s="2951">
        <f>SUM(F76:F87)</f>
        <v>0</v>
      </c>
      <c r="G75" s="4729"/>
      <c r="H75" s="4730"/>
      <c r="I75" s="4731"/>
      <c r="J75" s="2951">
        <f>SUM(J76:J87)</f>
        <v>0</v>
      </c>
      <c r="K75" s="4733"/>
      <c r="L75" s="4734"/>
      <c r="M75" s="4734"/>
      <c r="N75" s="4735"/>
      <c r="O75" s="4716">
        <f>SUM(O76:O87)</f>
        <v>0</v>
      </c>
      <c r="P75" s="4717"/>
      <c r="Q75" s="250"/>
      <c r="R75" s="82"/>
      <c r="S75" s="43"/>
      <c r="T75" s="43"/>
    </row>
    <row r="76" spans="1:20" s="18" customFormat="1" ht="24.75" customHeight="1">
      <c r="A76" s="4718">
        <v>1</v>
      </c>
      <c r="B76" s="4719"/>
      <c r="C76" s="4719"/>
      <c r="D76" s="4719"/>
      <c r="E76" s="4720"/>
      <c r="F76" s="2952"/>
      <c r="G76" s="4718">
        <v>1</v>
      </c>
      <c r="H76" s="4719"/>
      <c r="I76" s="4720"/>
      <c r="J76" s="2953" t="s">
        <v>2062</v>
      </c>
      <c r="K76" s="4721">
        <v>1</v>
      </c>
      <c r="L76" s="4722"/>
      <c r="M76" s="4722"/>
      <c r="N76" s="4722"/>
      <c r="O76" s="4723" t="s">
        <v>2062</v>
      </c>
      <c r="P76" s="4724"/>
      <c r="Q76" s="248" t="s">
        <v>6410</v>
      </c>
      <c r="R76" s="82"/>
      <c r="S76" s="43"/>
      <c r="T76" s="43"/>
    </row>
    <row r="77" spans="1:20" s="18" customFormat="1" ht="24.75" customHeight="1">
      <c r="A77" s="4616">
        <v>2</v>
      </c>
      <c r="B77" s="4617"/>
      <c r="C77" s="4617"/>
      <c r="D77" s="4617"/>
      <c r="E77" s="4618"/>
      <c r="F77" s="496"/>
      <c r="G77" s="4616">
        <v>2</v>
      </c>
      <c r="H77" s="4617"/>
      <c r="I77" s="4618"/>
      <c r="J77" s="496"/>
      <c r="K77" s="4650">
        <v>2</v>
      </c>
      <c r="L77" s="4651"/>
      <c r="M77" s="4651"/>
      <c r="N77" s="4651"/>
      <c r="O77" s="4611"/>
      <c r="P77" s="4612"/>
      <c r="Q77" s="249"/>
      <c r="R77" s="82"/>
      <c r="S77" s="43"/>
      <c r="T77" s="43"/>
    </row>
    <row r="78" spans="1:20" s="18" customFormat="1" ht="24.75" customHeight="1">
      <c r="A78" s="4616">
        <v>3</v>
      </c>
      <c r="B78" s="4617"/>
      <c r="C78" s="4617"/>
      <c r="D78" s="4617"/>
      <c r="E78" s="4618"/>
      <c r="F78" s="496"/>
      <c r="G78" s="4616">
        <v>3</v>
      </c>
      <c r="H78" s="4617"/>
      <c r="I78" s="4618"/>
      <c r="J78" s="669" t="s">
        <v>6804</v>
      </c>
      <c r="K78" s="4650">
        <v>3</v>
      </c>
      <c r="L78" s="4651"/>
      <c r="M78" s="4651"/>
      <c r="N78" s="4651"/>
      <c r="O78" s="4832" t="s">
        <v>6804</v>
      </c>
      <c r="P78" s="4833"/>
      <c r="Q78" s="4875" t="s">
        <v>6805</v>
      </c>
      <c r="R78" s="4876"/>
      <c r="S78" s="811"/>
      <c r="T78" s="811"/>
    </row>
    <row r="79" spans="1:20" s="18" customFormat="1" ht="24.75" customHeight="1">
      <c r="A79" s="4616">
        <v>4</v>
      </c>
      <c r="B79" s="4617"/>
      <c r="C79" s="4617"/>
      <c r="D79" s="4617"/>
      <c r="E79" s="4618"/>
      <c r="F79" s="496"/>
      <c r="G79" s="4616">
        <v>4</v>
      </c>
      <c r="H79" s="4617"/>
      <c r="I79" s="4618"/>
      <c r="J79" s="496"/>
      <c r="K79" s="4650">
        <v>4</v>
      </c>
      <c r="L79" s="4651"/>
      <c r="M79" s="4651"/>
      <c r="N79" s="4651"/>
      <c r="O79" s="4832" t="s">
        <v>6804</v>
      </c>
      <c r="P79" s="4833"/>
      <c r="Q79" s="4875"/>
      <c r="R79" s="4876"/>
      <c r="S79" s="811"/>
      <c r="T79" s="811"/>
    </row>
    <row r="80" spans="1:20" s="18" customFormat="1" ht="24.75" customHeight="1">
      <c r="A80" s="4616">
        <v>5</v>
      </c>
      <c r="B80" s="4617"/>
      <c r="C80" s="4617"/>
      <c r="D80" s="4617"/>
      <c r="E80" s="4618"/>
      <c r="F80" s="496"/>
      <c r="G80" s="4616">
        <v>5</v>
      </c>
      <c r="H80" s="4617"/>
      <c r="I80" s="4618"/>
      <c r="J80" s="669" t="s">
        <v>6806</v>
      </c>
      <c r="K80" s="4650">
        <v>5</v>
      </c>
      <c r="L80" s="4651"/>
      <c r="M80" s="4651"/>
      <c r="N80" s="4651"/>
      <c r="O80" s="4611"/>
      <c r="P80" s="4612"/>
      <c r="Q80" s="4875"/>
      <c r="R80" s="4876"/>
      <c r="S80" s="811"/>
      <c r="T80" s="811"/>
    </row>
    <row r="81" spans="1:19" s="18" customFormat="1" ht="24" customHeight="1">
      <c r="A81" s="4616">
        <v>6</v>
      </c>
      <c r="B81" s="4617"/>
      <c r="C81" s="4617"/>
      <c r="D81" s="4617"/>
      <c r="E81" s="4618"/>
      <c r="F81" s="496"/>
      <c r="G81" s="4616">
        <v>6</v>
      </c>
      <c r="H81" s="4617"/>
      <c r="I81" s="4618"/>
      <c r="J81" s="496"/>
      <c r="K81" s="4650">
        <v>6</v>
      </c>
      <c r="L81" s="4651"/>
      <c r="M81" s="4651"/>
      <c r="N81" s="4651"/>
      <c r="O81" s="4611"/>
      <c r="P81" s="4612"/>
      <c r="Q81" s="4875"/>
      <c r="R81" s="4876"/>
      <c r="S81" s="43"/>
    </row>
    <row r="82" spans="1:19" s="18" customFormat="1" ht="24.75" customHeight="1">
      <c r="A82" s="4616">
        <v>7</v>
      </c>
      <c r="B82" s="4617"/>
      <c r="C82" s="4617"/>
      <c r="D82" s="4617"/>
      <c r="E82" s="4618"/>
      <c r="F82" s="496"/>
      <c r="G82" s="4616">
        <v>7</v>
      </c>
      <c r="H82" s="4617"/>
      <c r="I82" s="4618"/>
      <c r="J82" s="669" t="s">
        <v>6807</v>
      </c>
      <c r="K82" s="4650">
        <v>7</v>
      </c>
      <c r="L82" s="4651"/>
      <c r="M82" s="4651"/>
      <c r="N82" s="4651"/>
      <c r="O82" s="4611"/>
      <c r="P82" s="4612"/>
      <c r="Q82" s="82"/>
      <c r="R82" s="82"/>
      <c r="S82" s="43"/>
    </row>
    <row r="83" spans="1:19" s="18" customFormat="1" ht="24.75" customHeight="1">
      <c r="A83" s="4616">
        <v>8</v>
      </c>
      <c r="B83" s="4617"/>
      <c r="C83" s="4617"/>
      <c r="D83" s="4617"/>
      <c r="E83" s="4618"/>
      <c r="F83" s="496"/>
      <c r="G83" s="4616">
        <v>8</v>
      </c>
      <c r="H83" s="4617"/>
      <c r="I83" s="4618"/>
      <c r="J83" s="496"/>
      <c r="K83" s="4650">
        <v>8</v>
      </c>
      <c r="L83" s="4651"/>
      <c r="M83" s="4651"/>
      <c r="N83" s="4651"/>
      <c r="O83" s="4611"/>
      <c r="P83" s="4612"/>
      <c r="Q83" s="82"/>
      <c r="R83" s="82"/>
      <c r="S83" s="43"/>
    </row>
    <row r="84" spans="1:19" s="18" customFormat="1" ht="24.75" customHeight="1">
      <c r="A84" s="4616">
        <v>9</v>
      </c>
      <c r="B84" s="4617"/>
      <c r="C84" s="4617"/>
      <c r="D84" s="4617"/>
      <c r="E84" s="4618"/>
      <c r="F84" s="496"/>
      <c r="G84" s="4616">
        <v>9</v>
      </c>
      <c r="H84" s="4617"/>
      <c r="I84" s="4618"/>
      <c r="J84" s="669" t="s">
        <v>6808</v>
      </c>
      <c r="K84" s="4650">
        <v>9</v>
      </c>
      <c r="L84" s="4651"/>
      <c r="M84" s="4651"/>
      <c r="N84" s="4651"/>
      <c r="O84" s="4611"/>
      <c r="P84" s="4612"/>
      <c r="Q84" s="82"/>
      <c r="R84" s="82"/>
      <c r="S84" s="43"/>
    </row>
    <row r="85" spans="1:19" s="18" customFormat="1" ht="24.75" customHeight="1">
      <c r="A85" s="4616">
        <v>10</v>
      </c>
      <c r="B85" s="4617"/>
      <c r="C85" s="4617"/>
      <c r="D85" s="4617"/>
      <c r="E85" s="4618"/>
      <c r="F85" s="496"/>
      <c r="G85" s="4616">
        <v>10</v>
      </c>
      <c r="H85" s="4617"/>
      <c r="I85" s="4618"/>
      <c r="J85" s="496"/>
      <c r="K85" s="4650">
        <v>10</v>
      </c>
      <c r="L85" s="4651"/>
      <c r="M85" s="4651"/>
      <c r="N85" s="4651"/>
      <c r="O85" s="4611"/>
      <c r="P85" s="4612"/>
      <c r="Q85" s="82"/>
      <c r="R85" s="43"/>
      <c r="S85" s="43"/>
    </row>
    <row r="86" spans="1:19" s="18" customFormat="1" ht="24.75" customHeight="1">
      <c r="A86" s="4616">
        <v>11</v>
      </c>
      <c r="B86" s="4617"/>
      <c r="C86" s="4617"/>
      <c r="D86" s="4617"/>
      <c r="E86" s="4618"/>
      <c r="F86" s="496"/>
      <c r="G86" s="4616">
        <v>11</v>
      </c>
      <c r="H86" s="4617"/>
      <c r="I86" s="4618"/>
      <c r="J86" s="669" t="s">
        <v>6809</v>
      </c>
      <c r="K86" s="4616">
        <v>11</v>
      </c>
      <c r="L86" s="4617"/>
      <c r="M86" s="4617"/>
      <c r="N86" s="4618"/>
      <c r="O86" s="4611"/>
      <c r="P86" s="4612"/>
      <c r="Q86" s="82"/>
      <c r="R86" s="82"/>
      <c r="S86" s="43"/>
    </row>
    <row r="87" spans="1:19" s="18" customFormat="1" ht="24.75" customHeight="1">
      <c r="A87" s="4636">
        <v>12</v>
      </c>
      <c r="B87" s="4637"/>
      <c r="C87" s="4637"/>
      <c r="D87" s="4637"/>
      <c r="E87" s="4638"/>
      <c r="F87" s="497"/>
      <c r="G87" s="4636">
        <v>12</v>
      </c>
      <c r="H87" s="4637"/>
      <c r="I87" s="4638"/>
      <c r="J87" s="497"/>
      <c r="K87" s="4636">
        <v>12</v>
      </c>
      <c r="L87" s="4637"/>
      <c r="M87" s="4637"/>
      <c r="N87" s="4638"/>
      <c r="O87" s="4639"/>
      <c r="P87" s="4640"/>
      <c r="Q87" s="43"/>
      <c r="R87" s="43"/>
      <c r="S87" s="43"/>
    </row>
    <row r="88" spans="1:19" s="19" customFormat="1" ht="3" customHeight="1" thickBot="1">
      <c r="D88" s="13"/>
      <c r="E88" s="13"/>
      <c r="F88" s="2542"/>
      <c r="G88" s="2542"/>
      <c r="H88" s="2542"/>
      <c r="I88" s="2542"/>
      <c r="J88" s="16"/>
      <c r="K88" s="16"/>
      <c r="L88" s="16"/>
      <c r="M88" s="2596"/>
      <c r="N88" s="2542"/>
      <c r="O88" s="9"/>
      <c r="P88" s="2"/>
    </row>
    <row r="89" spans="1:19" s="42" customFormat="1" ht="13.5" customHeight="1" thickBot="1">
      <c r="A89" s="79" t="s">
        <v>44</v>
      </c>
      <c r="B89" s="50" t="s">
        <v>1831</v>
      </c>
      <c r="E89" s="13"/>
      <c r="G89" s="38"/>
      <c r="I89" s="1033" t="s">
        <v>628</v>
      </c>
      <c r="J89" s="1077" t="e">
        <f>IF(OR($M$34="9% Credit Competitive Round only", $M$34="9% Credit &amp; HOME"),"9%",IF(OR($M$34="4% Credit/TE Bond", $M$34="4% Credit/TE Bond &amp; HOME", $M$34="4% Credit/TE Bond &amp; HOME NOFA", $M$34="4% Credit &amp; NHTF", $M$34="4% Credit &amp; NHTF &amp; HOME"),"4%",""))</f>
        <v>#REF!</v>
      </c>
      <c r="K89" s="1036" t="s">
        <v>808</v>
      </c>
      <c r="L89" s="1035" t="str">
        <f>$M$55</f>
        <v>&lt;&lt; Select Activity Type &gt;&gt;</v>
      </c>
      <c r="M89" s="2542">
        <v>3</v>
      </c>
      <c r="N89" s="32"/>
      <c r="O89" s="630" t="e">
        <f>IF(AND(O93&gt;0,O97&gt;0),"AorB?",MIN($M$89,O93+O97))</f>
        <v>#REF!</v>
      </c>
      <c r="P89" s="630" t="e">
        <f>IF(AND(P93&gt;0,P97&gt;0),"AorB?",MIN($M$89,P93+P97))</f>
        <v>#REF!</v>
      </c>
      <c r="Q89" s="53" t="s">
        <v>1744</v>
      </c>
      <c r="S89" s="294"/>
    </row>
    <row r="90" spans="1:19" s="19" customFormat="1" ht="2.25" customHeight="1">
      <c r="A90" s="245"/>
      <c r="B90" s="55"/>
      <c r="E90" s="13"/>
      <c r="F90" s="19" t="s">
        <v>6810</v>
      </c>
      <c r="G90" s="39"/>
      <c r="H90" s="13"/>
      <c r="I90" s="21"/>
      <c r="K90" s="292"/>
      <c r="L90" s="498"/>
      <c r="M90" s="2542"/>
      <c r="N90" s="32"/>
      <c r="O90" s="2"/>
      <c r="P90" s="2"/>
      <c r="Q90" s="53"/>
      <c r="R90" s="209"/>
    </row>
    <row r="91" spans="1:19" s="19" customFormat="1" ht="13.5" customHeight="1">
      <c r="A91" s="72" t="s">
        <v>186</v>
      </c>
      <c r="B91" s="104" t="s">
        <v>6811</v>
      </c>
      <c r="E91" s="13"/>
      <c r="G91" s="39"/>
      <c r="H91" s="25" t="s">
        <v>631</v>
      </c>
      <c r="I91" s="854" t="e">
        <f>#REF!</f>
        <v>#REF!</v>
      </c>
      <c r="M91" s="2542"/>
      <c r="N91" s="32"/>
      <c r="P91" s="1331" t="e">
        <f>IF(AND(O89&gt;0,NOT($M$55="New Supply")), "Ineligible to score in this section, not New Supply!","")</f>
        <v>#REF!</v>
      </c>
      <c r="Q91" s="32"/>
      <c r="R91" s="209"/>
    </row>
    <row r="92" spans="1:19" s="42" customFormat="1" ht="9" customHeight="1">
      <c r="A92" s="72"/>
      <c r="B92" s="4866" t="s">
        <v>6812</v>
      </c>
      <c r="C92" s="4866"/>
      <c r="D92" s="4866"/>
      <c r="E92" s="4866"/>
      <c r="F92" s="4866"/>
      <c r="G92" s="4866"/>
      <c r="H92" s="4866"/>
      <c r="I92" s="4866"/>
      <c r="J92" s="4866"/>
      <c r="K92" s="4866"/>
      <c r="L92" s="4866"/>
      <c r="M92" s="2542"/>
      <c r="N92" s="32"/>
      <c r="Q92" s="32"/>
      <c r="R92" s="209"/>
    </row>
    <row r="93" spans="1:19" s="42" customFormat="1" ht="13.5" customHeight="1">
      <c r="B93" s="4866"/>
      <c r="C93" s="4866"/>
      <c r="D93" s="4866"/>
      <c r="E93" s="4866"/>
      <c r="F93" s="4866"/>
      <c r="G93" s="4866"/>
      <c r="H93" s="4866"/>
      <c r="I93" s="4866"/>
      <c r="J93" s="4866"/>
      <c r="K93" s="4866"/>
      <c r="L93" s="4866"/>
      <c r="M93" s="501">
        <v>2</v>
      </c>
      <c r="N93" s="217" t="s">
        <v>186</v>
      </c>
      <c r="O93" s="2954" t="e">
        <f>IF(AND(OR($J$89="9%",$J$89="4%"),$L$89="New Supply"),MIN($M93,O94+O95),0)</f>
        <v>#REF!</v>
      </c>
      <c r="P93" s="2954" t="e">
        <f>IF(NOT($J$89="9%"),0,MIN($M93, P94+P95))</f>
        <v>#REF!</v>
      </c>
    </row>
    <row r="94" spans="1:19" s="42" customFormat="1" ht="13.5" customHeight="1">
      <c r="A94" s="72"/>
      <c r="B94" s="823" t="s">
        <v>201</v>
      </c>
      <c r="C94" s="814" t="s">
        <v>1833</v>
      </c>
      <c r="D94" s="13"/>
      <c r="H94" s="13" t="s">
        <v>1834</v>
      </c>
      <c r="I94" s="813"/>
      <c r="J94" s="2955" t="e">
        <f>#REF!</f>
        <v>#REF!</v>
      </c>
      <c r="L94" s="4816" t="str">
        <f>IF(AND(O94&gt;0,O95&gt;0), "CHOOSE EITHER A OR B, NOT BOTH!", "")</f>
        <v/>
      </c>
      <c r="M94" s="2525">
        <v>2</v>
      </c>
      <c r="N94" s="101" t="s">
        <v>201</v>
      </c>
      <c r="O94" s="2606"/>
      <c r="P94" s="2616"/>
      <c r="Q94" s="839" t="str">
        <f>IF(OR($O94=$M94,$O94=0,$O94=""),"","*CHECK!*")</f>
        <v/>
      </c>
      <c r="R94" s="585" t="s">
        <v>6813</v>
      </c>
    </row>
    <row r="95" spans="1:19" s="42" customFormat="1" ht="13.5" customHeight="1">
      <c r="A95" s="283" t="s">
        <v>6814</v>
      </c>
      <c r="B95" s="823" t="s">
        <v>209</v>
      </c>
      <c r="C95" s="814" t="s">
        <v>1835</v>
      </c>
      <c r="D95" s="13"/>
      <c r="I95" s="813"/>
      <c r="K95" s="13"/>
      <c r="L95" s="4816"/>
      <c r="M95" s="2525">
        <v>2</v>
      </c>
      <c r="N95" s="101" t="s">
        <v>209</v>
      </c>
      <c r="O95" s="293"/>
      <c r="P95" s="298"/>
      <c r="Q95" s="839" t="str">
        <f>IF(OR($O95=$M95,$O95=0,$O95=""),"","*CHECK!*")</f>
        <v/>
      </c>
      <c r="R95" s="585" t="s">
        <v>6813</v>
      </c>
    </row>
    <row r="96" spans="1:19" s="19" customFormat="1" ht="6.75" customHeight="1">
      <c r="A96" s="328"/>
      <c r="B96" s="325"/>
      <c r="C96" s="326"/>
      <c r="D96" s="73"/>
      <c r="K96" s="502"/>
      <c r="L96" s="502"/>
      <c r="M96" s="2525"/>
      <c r="N96" s="217"/>
      <c r="O96" s="504"/>
      <c r="P96" s="504"/>
    </row>
    <row r="97" spans="1:18" s="19" customFormat="1" ht="13.5" customHeight="1">
      <c r="A97" s="72" t="s">
        <v>198</v>
      </c>
      <c r="B97" s="104" t="s">
        <v>6815</v>
      </c>
      <c r="E97" s="25"/>
      <c r="H97" s="4621" t="s">
        <v>6816</v>
      </c>
      <c r="I97" s="4622"/>
      <c r="J97" s="817" t="s">
        <v>6817</v>
      </c>
      <c r="M97" s="501">
        <v>3</v>
      </c>
      <c r="N97" s="84" t="s">
        <v>198</v>
      </c>
      <c r="O97" s="2954" t="e">
        <f>IF(AND(O98="Yes", O99="Yes"),$M$97,0)</f>
        <v>#REF!</v>
      </c>
      <c r="P97" s="2954" t="e">
        <f>IF(AND(P98="Yes", P99="Yes"),$M$97,0)</f>
        <v>#REF!</v>
      </c>
    </row>
    <row r="98" spans="1:18" s="19" customFormat="1" ht="13.5" customHeight="1">
      <c r="A98" s="240"/>
      <c r="B98" s="823" t="s">
        <v>201</v>
      </c>
      <c r="C98" s="815">
        <v>0.3</v>
      </c>
      <c r="D98" s="548" t="s">
        <v>6818</v>
      </c>
      <c r="E98" s="25"/>
      <c r="F98" s="263"/>
      <c r="H98" s="2956"/>
      <c r="I98" s="2957"/>
      <c r="J98" s="816" t="e">
        <f>#REF!</f>
        <v>#REF!</v>
      </c>
      <c r="K98" s="2958" t="e">
        <f>IF(OR(#REF!="",#REF!= 0),0,H98/#REF!)</f>
        <v>#REF!</v>
      </c>
      <c r="L98" s="2959" t="e">
        <f>IF(OR(#REF!="",#REF!= 0),0,I98/#REF!)</f>
        <v>#REF!</v>
      </c>
      <c r="M98" s="2525"/>
      <c r="N98" s="217" t="s">
        <v>201</v>
      </c>
      <c r="O98" s="2960" t="e">
        <f>IF(AND(K98 &gt;= $C$98,O99="Yes"),"Yes","No")</f>
        <v>#REF!</v>
      </c>
      <c r="P98" s="2960" t="e">
        <f>IF(AND(L98 &gt;= $C$98,P99="Yes"),"Yes","No")</f>
        <v>#REF!</v>
      </c>
    </row>
    <row r="99" spans="1:18" s="19" customFormat="1" ht="13.5" customHeight="1">
      <c r="A99" s="328"/>
      <c r="B99" s="823" t="s">
        <v>209</v>
      </c>
      <c r="C99" s="272" t="s">
        <v>6819</v>
      </c>
      <c r="E99" s="524"/>
      <c r="F99" s="263"/>
      <c r="I99" s="14"/>
      <c r="J99" s="14"/>
      <c r="K99" s="14"/>
      <c r="L99" s="14"/>
      <c r="M99" s="14"/>
      <c r="N99" s="217" t="s">
        <v>209</v>
      </c>
      <c r="O99" s="118"/>
      <c r="P99" s="300"/>
    </row>
    <row r="100" spans="1:18" s="19" customFormat="1" ht="10.5" customHeight="1">
      <c r="A100" s="43"/>
      <c r="B100" s="45" t="s">
        <v>1453</v>
      </c>
      <c r="D100" s="37"/>
      <c r="E100" s="2586"/>
      <c r="F100" s="2586"/>
      <c r="G100" s="2586"/>
      <c r="H100" s="2586"/>
      <c r="I100" s="2586"/>
      <c r="J100" s="2586"/>
      <c r="K100" s="2586"/>
      <c r="L100" s="2586"/>
      <c r="M100" s="2586"/>
      <c r="N100" s="2401"/>
      <c r="O100" s="31"/>
      <c r="P100" s="2542"/>
    </row>
    <row r="101" spans="1:18" s="19" customFormat="1" ht="22.5" customHeight="1">
      <c r="A101" s="4387"/>
      <c r="B101" s="4388"/>
      <c r="C101" s="4388"/>
      <c r="D101" s="4388"/>
      <c r="E101" s="4388"/>
      <c r="F101" s="4388"/>
      <c r="G101" s="4388"/>
      <c r="H101" s="4388"/>
      <c r="I101" s="4388"/>
      <c r="J101" s="4388"/>
      <c r="K101" s="4388"/>
      <c r="L101" s="4388"/>
      <c r="M101" s="4388"/>
      <c r="N101" s="4388"/>
      <c r="O101" s="4388"/>
      <c r="P101" s="4389"/>
      <c r="Q101" s="248"/>
    </row>
    <row r="102" spans="1:18" ht="7.5" customHeight="1" thickBot="1">
      <c r="N102" s="58"/>
    </row>
    <row r="103" spans="1:18" s="19" customFormat="1" ht="13.5" customHeight="1" thickBot="1">
      <c r="A103" s="79" t="s">
        <v>58</v>
      </c>
      <c r="B103" s="50" t="s">
        <v>1840</v>
      </c>
      <c r="D103" s="17"/>
      <c r="K103" s="1036" t="s">
        <v>808</v>
      </c>
      <c r="L103" s="1035" t="str">
        <f>M55</f>
        <v>&lt;&lt; Select Activity Type &gt;&gt;</v>
      </c>
      <c r="M103" s="2542" t="e">
        <f>IF(AND($P$37="4%",$M$55="New Supply"),$H$38,IF(AND($P$37="4%",$M$55="Preservation"),$I$38,$G$38))</f>
        <v>#REF!</v>
      </c>
      <c r="N103" s="28"/>
      <c r="O103" s="630">
        <f>IF(OR($M106-O107&lt;0,O106-O107&lt;0),0,IF(O106&lt;=$M106,O106-O107,IF(O106&gt;$M106,$M106-O107,0)))</f>
        <v>0</v>
      </c>
      <c r="P103" s="630">
        <f>IF(OR($M106-P107&lt;0,P106-P107&lt;0),0,IF(P106&lt;=$M106,P106-P107,IF(P106&gt;$M106,$M106-P107,0)))</f>
        <v>0</v>
      </c>
      <c r="Q103" s="53" t="s">
        <v>1744</v>
      </c>
    </row>
    <row r="104" spans="1:18" s="19" customFormat="1" ht="14.4">
      <c r="A104" s="43"/>
      <c r="B104" s="150" t="s">
        <v>6820</v>
      </c>
      <c r="D104" s="13"/>
      <c r="E104" s="13"/>
      <c r="F104" s="2542"/>
      <c r="G104" s="2542"/>
      <c r="H104" s="142"/>
      <c r="I104" s="142"/>
      <c r="J104" s="142"/>
      <c r="K104" s="142"/>
      <c r="M104" s="2596"/>
      <c r="N104" s="2542"/>
      <c r="O104" s="9"/>
      <c r="P104" s="283" t="str">
        <f>IF(AND(O103&gt;0,NOT($M$55="New Supply")), "Ineligible to score in this section, not New Supply!","")</f>
        <v/>
      </c>
    </row>
    <row r="105" spans="1:18" s="42" customFormat="1" ht="12.75" customHeight="1">
      <c r="A105" s="72"/>
      <c r="B105" s="13" t="s">
        <v>6821</v>
      </c>
      <c r="D105" s="11"/>
      <c r="N105" s="28"/>
      <c r="O105" s="2929"/>
      <c r="P105" s="2961"/>
    </row>
    <row r="106" spans="1:18" s="42" customFormat="1" ht="12.75" customHeight="1">
      <c r="A106" s="72" t="s">
        <v>186</v>
      </c>
      <c r="B106" s="92" t="s">
        <v>1841</v>
      </c>
      <c r="C106" s="3"/>
      <c r="D106" s="3"/>
      <c r="F106" s="151"/>
      <c r="H106" s="482" t="s">
        <v>6822</v>
      </c>
      <c r="I106" s="4641" t="s">
        <v>6823</v>
      </c>
      <c r="J106" s="4642"/>
      <c r="K106" s="4642"/>
      <c r="L106" s="4643"/>
      <c r="M106" s="2525">
        <v>20</v>
      </c>
      <c r="N106" s="101" t="s">
        <v>186</v>
      </c>
      <c r="O106" s="1196"/>
      <c r="P106" s="1197"/>
      <c r="Q106" s="839"/>
      <c r="R106" s="585" t="s">
        <v>6813</v>
      </c>
    </row>
    <row r="107" spans="1:18" s="42" customFormat="1" ht="12.75" customHeight="1">
      <c r="A107" s="72" t="s">
        <v>198</v>
      </c>
      <c r="B107" s="92" t="s">
        <v>1842</v>
      </c>
      <c r="D107" s="640"/>
      <c r="F107" s="855"/>
      <c r="H107" s="482" t="s">
        <v>6824</v>
      </c>
      <c r="I107" s="4644"/>
      <c r="J107" s="4645"/>
      <c r="K107" s="4645"/>
      <c r="L107" s="4646"/>
      <c r="M107" s="2596" t="s">
        <v>1843</v>
      </c>
      <c r="N107" s="28" t="s">
        <v>198</v>
      </c>
      <c r="O107" s="1198"/>
      <c r="P107" s="1199"/>
      <c r="R107" s="585" t="s">
        <v>6813</v>
      </c>
    </row>
    <row r="108" spans="1:18" s="19" customFormat="1" ht="12.75" customHeight="1" thickBot="1">
      <c r="A108" s="43"/>
      <c r="B108" s="672" t="s">
        <v>6825</v>
      </c>
      <c r="C108" s="43"/>
      <c r="D108" s="48"/>
      <c r="E108" s="48"/>
      <c r="F108" s="48"/>
      <c r="G108" s="48"/>
      <c r="H108" s="13"/>
      <c r="I108" s="4647"/>
      <c r="J108" s="4648"/>
      <c r="K108" s="4648"/>
      <c r="L108" s="4649"/>
      <c r="M108" s="32"/>
      <c r="N108" s="58"/>
      <c r="O108" s="2"/>
      <c r="P108" s="9"/>
    </row>
    <row r="109" spans="1:18" s="19" customFormat="1" ht="90" customHeight="1" thickTop="1" thickBot="1">
      <c r="A109" s="4598"/>
      <c r="B109" s="4599"/>
      <c r="C109" s="4599"/>
      <c r="D109" s="4599"/>
      <c r="E109" s="4599"/>
      <c r="F109" s="4599"/>
      <c r="G109" s="4599"/>
      <c r="H109" s="4599"/>
      <c r="I109" s="4599"/>
      <c r="J109" s="4599"/>
      <c r="K109" s="4599"/>
      <c r="L109" s="4599"/>
      <c r="M109" s="4599"/>
      <c r="N109" s="4599"/>
      <c r="O109" s="4599"/>
      <c r="P109" s="4600"/>
      <c r="Q109" s="249" t="s">
        <v>6410</v>
      </c>
      <c r="R109" s="249"/>
    </row>
    <row r="110" spans="1:18" s="19" customFormat="1" ht="11.7" customHeight="1" thickTop="1">
      <c r="A110" s="43"/>
      <c r="B110" s="23" t="s">
        <v>1453</v>
      </c>
      <c r="C110" s="43"/>
      <c r="D110" s="70"/>
      <c r="E110" s="2586"/>
      <c r="F110" s="2586"/>
      <c r="G110" s="2586"/>
      <c r="H110" s="2586"/>
      <c r="I110" s="2586"/>
      <c r="J110" s="2586"/>
      <c r="K110" s="2586"/>
      <c r="L110" s="2586"/>
      <c r="M110" s="2586"/>
      <c r="N110" s="2401"/>
      <c r="O110" s="31"/>
      <c r="P110" s="2542"/>
    </row>
    <row r="111" spans="1:18" s="19" customFormat="1" ht="90" customHeight="1">
      <c r="A111" s="4387"/>
      <c r="B111" s="4388"/>
      <c r="C111" s="4388"/>
      <c r="D111" s="4388"/>
      <c r="E111" s="4388"/>
      <c r="F111" s="4388"/>
      <c r="G111" s="4388"/>
      <c r="H111" s="4388"/>
      <c r="I111" s="4388"/>
      <c r="J111" s="4388"/>
      <c r="K111" s="4388"/>
      <c r="L111" s="4388"/>
      <c r="M111" s="4388"/>
      <c r="N111" s="4388"/>
      <c r="O111" s="4388"/>
      <c r="P111" s="4389"/>
      <c r="Q111" s="248"/>
      <c r="R111" s="249"/>
    </row>
    <row r="112" spans="1:18" ht="7.5" customHeight="1" thickBot="1">
      <c r="M112" s="11"/>
      <c r="N112" s="32"/>
      <c r="O112" s="2542"/>
      <c r="P112" s="2542"/>
    </row>
    <row r="113" spans="1:21" s="19" customFormat="1" ht="13.5" customHeight="1" thickBot="1">
      <c r="A113" s="79" t="s">
        <v>67</v>
      </c>
      <c r="B113" s="50" t="s">
        <v>1844</v>
      </c>
      <c r="D113" s="17"/>
      <c r="H113" s="1034" t="s">
        <v>6826</v>
      </c>
      <c r="I113" s="1087" t="s">
        <v>1733</v>
      </c>
      <c r="J113" s="1035" t="str">
        <f>M60</f>
        <v>&lt;&lt; Select Pool &gt;&gt;</v>
      </c>
      <c r="K113" s="1036" t="s">
        <v>808</v>
      </c>
      <c r="L113" s="1035" t="str">
        <f>M55</f>
        <v>&lt;&lt; Select Activity Type &gt;&gt;</v>
      </c>
      <c r="M113" s="2542">
        <v>6</v>
      </c>
      <c r="N113" s="28"/>
      <c r="O113" s="1080">
        <f>MAX(O131,O138)</f>
        <v>0</v>
      </c>
      <c r="P113" s="1080">
        <f>MAX(P131,P138)</f>
        <v>0</v>
      </c>
      <c r="Q113" s="53" t="s">
        <v>1744</v>
      </c>
      <c r="R113" s="639"/>
      <c r="S113" s="639"/>
      <c r="T113" s="639"/>
      <c r="U113" s="639"/>
    </row>
    <row r="114" spans="1:21" s="19" customFormat="1" ht="17.25" customHeight="1">
      <c r="A114" s="79"/>
      <c r="B114" s="48" t="s">
        <v>6827</v>
      </c>
      <c r="D114" s="17"/>
      <c r="H114" s="92"/>
      <c r="L114" s="1324" t="str">
        <f>IF(AND(O113&gt;0,NOT($M$55="New Supply")), "Ineligible to score in this section, not New Supply!","")</f>
        <v/>
      </c>
      <c r="M114" s="2542"/>
      <c r="N114" s="28"/>
      <c r="O114" s="2543" t="s">
        <v>6828</v>
      </c>
      <c r="P114" s="2543" t="s">
        <v>6829</v>
      </c>
      <c r="Q114" s="53"/>
      <c r="R114" s="639"/>
      <c r="S114" s="639"/>
      <c r="T114" s="639"/>
      <c r="U114" s="639"/>
    </row>
    <row r="115" spans="1:21" s="19" customFormat="1" ht="11.25" customHeight="1">
      <c r="A115" s="79"/>
      <c r="B115" s="208" t="s">
        <v>201</v>
      </c>
      <c r="C115" s="13" t="s">
        <v>6830</v>
      </c>
      <c r="D115" s="640"/>
      <c r="E115" s="42"/>
      <c r="F115" s="42"/>
      <c r="G115" s="42"/>
      <c r="H115" s="21"/>
      <c r="I115" s="23"/>
      <c r="M115" s="2542"/>
      <c r="N115" s="28"/>
      <c r="O115" s="2898"/>
      <c r="P115" s="2899"/>
      <c r="Q115" s="53"/>
      <c r="R115" s="639"/>
      <c r="S115" s="639"/>
      <c r="T115" s="639"/>
      <c r="U115" s="639"/>
    </row>
    <row r="116" spans="1:21" s="19" customFormat="1" ht="11.25" customHeight="1">
      <c r="A116" s="79"/>
      <c r="B116" s="208" t="s">
        <v>209</v>
      </c>
      <c r="C116" s="13" t="s">
        <v>6831</v>
      </c>
      <c r="D116" s="640"/>
      <c r="E116" s="42"/>
      <c r="F116" s="42"/>
      <c r="G116" s="42"/>
      <c r="H116" s="21"/>
      <c r="I116" s="23"/>
      <c r="J116" s="48"/>
      <c r="K116" s="48"/>
      <c r="L116" s="42"/>
      <c r="M116" s="42"/>
      <c r="N116" s="28"/>
      <c r="O116" s="202"/>
      <c r="P116" s="299"/>
      <c r="Q116" s="53"/>
      <c r="R116" s="639"/>
      <c r="S116" s="639"/>
      <c r="T116" s="639"/>
      <c r="U116" s="639"/>
    </row>
    <row r="117" spans="1:21" s="19" customFormat="1" ht="11.25" customHeight="1">
      <c r="A117" s="79"/>
      <c r="B117" s="208" t="s">
        <v>213</v>
      </c>
      <c r="C117" s="13" t="s">
        <v>6832</v>
      </c>
      <c r="D117" s="640"/>
      <c r="E117" s="42"/>
      <c r="F117" s="42"/>
      <c r="G117" s="42"/>
      <c r="H117" s="21"/>
      <c r="I117" s="23"/>
      <c r="J117" s="48"/>
      <c r="K117" s="48"/>
      <c r="L117" s="42"/>
      <c r="M117" s="42"/>
      <c r="N117" s="28"/>
      <c r="O117" s="202"/>
      <c r="P117" s="299"/>
      <c r="Q117" s="53"/>
      <c r="R117" s="639"/>
      <c r="S117" s="639"/>
      <c r="T117" s="639"/>
      <c r="U117" s="639"/>
    </row>
    <row r="118" spans="1:21" s="19" customFormat="1" ht="11.25" customHeight="1">
      <c r="A118" s="79"/>
      <c r="B118" s="208" t="s">
        <v>253</v>
      </c>
      <c r="C118" s="13" t="s">
        <v>6833</v>
      </c>
      <c r="D118" s="640"/>
      <c r="E118" s="42"/>
      <c r="F118" s="42"/>
      <c r="G118" s="42"/>
      <c r="H118" s="21"/>
      <c r="I118" s="23"/>
      <c r="J118" s="48"/>
      <c r="K118" s="48"/>
      <c r="L118" s="42"/>
      <c r="M118" s="42"/>
      <c r="N118" s="28"/>
      <c r="O118" s="202"/>
      <c r="P118" s="299"/>
      <c r="Q118" s="53"/>
      <c r="R118" s="639"/>
      <c r="S118" s="639"/>
      <c r="T118" s="639"/>
      <c r="U118" s="639"/>
    </row>
    <row r="119" spans="1:21" s="19" customFormat="1" ht="11.25" customHeight="1">
      <c r="A119" s="79"/>
      <c r="B119" s="208">
        <v>5</v>
      </c>
      <c r="C119" s="13" t="s">
        <v>6834</v>
      </c>
      <c r="D119" s="640"/>
      <c r="E119" s="42"/>
      <c r="F119" s="42"/>
      <c r="G119" s="42"/>
      <c r="H119" s="21"/>
      <c r="I119" s="23"/>
      <c r="J119" s="48"/>
      <c r="K119" s="48"/>
      <c r="L119" s="42"/>
      <c r="M119" s="42"/>
      <c r="N119" s="28"/>
      <c r="O119" s="118"/>
      <c r="P119" s="300"/>
      <c r="Q119" s="53"/>
      <c r="R119" s="639"/>
      <c r="S119" s="639"/>
      <c r="T119" s="639"/>
      <c r="U119" s="639"/>
    </row>
    <row r="120" spans="1:21" s="19" customFormat="1" ht="3" customHeight="1">
      <c r="A120" s="79"/>
      <c r="C120" s="13"/>
      <c r="D120" s="640"/>
      <c r="E120" s="42"/>
      <c r="F120" s="42"/>
      <c r="G120" s="42"/>
      <c r="H120" s="21"/>
      <c r="I120" s="23"/>
      <c r="J120" s="48"/>
      <c r="K120" s="48"/>
      <c r="L120" s="42"/>
      <c r="M120" s="42"/>
      <c r="N120" s="28"/>
      <c r="O120" s="28"/>
      <c r="P120" s="28"/>
      <c r="Q120" s="53"/>
      <c r="R120" s="639"/>
      <c r="S120" s="639"/>
      <c r="T120" s="639"/>
      <c r="U120" s="639"/>
    </row>
    <row r="121" spans="1:21" s="19" customFormat="1" ht="11.25" customHeight="1">
      <c r="A121" s="79"/>
      <c r="B121" s="1253" t="s">
        <v>6835</v>
      </c>
      <c r="C121" s="13"/>
      <c r="D121" s="640"/>
      <c r="E121" s="42"/>
      <c r="F121" s="42"/>
      <c r="G121" s="42"/>
      <c r="H121" s="21"/>
      <c r="I121" s="23"/>
      <c r="J121" s="48"/>
      <c r="K121" s="48"/>
      <c r="L121" s="42"/>
      <c r="M121" s="42"/>
      <c r="N121" s="28"/>
      <c r="O121" s="28"/>
      <c r="P121" s="28"/>
      <c r="Q121" s="53"/>
      <c r="R121" s="639"/>
      <c r="S121" s="639"/>
      <c r="T121" s="639"/>
      <c r="U121" s="639"/>
    </row>
    <row r="122" spans="1:21" s="19" customFormat="1" ht="1.5" customHeight="1">
      <c r="A122" s="79"/>
      <c r="B122" s="50"/>
      <c r="D122" s="17"/>
      <c r="H122" s="21"/>
      <c r="I122" s="23"/>
      <c r="J122" s="48"/>
      <c r="K122" s="48"/>
      <c r="M122" s="2542"/>
      <c r="N122" s="28"/>
      <c r="O122" s="2"/>
      <c r="P122" s="2"/>
      <c r="Q122" s="53"/>
      <c r="R122" s="639"/>
      <c r="S122" s="639"/>
      <c r="T122" s="639"/>
      <c r="U122" s="639"/>
    </row>
    <row r="123" spans="1:21" s="19" customFormat="1" ht="12.75" customHeight="1">
      <c r="A123" s="79"/>
      <c r="B123" s="48" t="s">
        <v>1845</v>
      </c>
      <c r="D123" s="17"/>
      <c r="F123" s="4702" t="s">
        <v>1846</v>
      </c>
      <c r="G123" s="4702"/>
      <c r="H123" s="4702"/>
      <c r="I123" s="4702"/>
      <c r="J123" s="4702" t="s">
        <v>1847</v>
      </c>
      <c r="K123" s="4702"/>
      <c r="L123" s="4702"/>
      <c r="M123" s="4702"/>
      <c r="N123" s="28"/>
      <c r="O123" s="4703" t="s">
        <v>6836</v>
      </c>
      <c r="P123" s="4704"/>
      <c r="Q123" s="53"/>
      <c r="R123" s="639"/>
      <c r="S123" s="639"/>
      <c r="T123" s="639"/>
      <c r="U123" s="639"/>
    </row>
    <row r="124" spans="1:21" s="19" customFormat="1" ht="12" customHeight="1">
      <c r="B124" s="1253"/>
      <c r="C124" s="813" t="s">
        <v>6837</v>
      </c>
      <c r="E124" s="135"/>
      <c r="F124" s="4654"/>
      <c r="G124" s="4655"/>
      <c r="H124" s="4619"/>
      <c r="I124" s="4620"/>
      <c r="J124" s="4654"/>
      <c r="K124" s="4655"/>
      <c r="L124" s="4619"/>
      <c r="M124" s="4620"/>
      <c r="N124" s="28"/>
      <c r="Q124" s="53"/>
      <c r="R124" s="639"/>
      <c r="S124" s="639"/>
      <c r="T124" s="639"/>
      <c r="U124" s="639"/>
    </row>
    <row r="125" spans="1:21" s="19" customFormat="1" ht="12" customHeight="1">
      <c r="A125" s="1253"/>
      <c r="B125" s="1253"/>
      <c r="C125" s="1253"/>
      <c r="D125" s="146"/>
      <c r="E125" s="1252" t="s">
        <v>6838</v>
      </c>
      <c r="F125" s="4817"/>
      <c r="G125" s="4818"/>
      <c r="H125" s="4823"/>
      <c r="I125" s="4824"/>
      <c r="J125" s="4817"/>
      <c r="K125" s="4818"/>
      <c r="L125" s="4823"/>
      <c r="M125" s="4824"/>
      <c r="N125" s="28"/>
      <c r="O125" s="2962"/>
      <c r="P125" s="2963"/>
      <c r="Q125" s="53"/>
      <c r="R125" s="639"/>
      <c r="S125" s="639"/>
      <c r="T125" s="639"/>
      <c r="U125" s="639"/>
    </row>
    <row r="126" spans="1:21" s="19" customFormat="1" ht="12" customHeight="1">
      <c r="A126" s="4829" t="s">
        <v>6839</v>
      </c>
      <c r="B126" s="4829"/>
      <c r="C126" s="813" t="s">
        <v>6840</v>
      </c>
      <c r="E126" s="135"/>
      <c r="F126" s="3411"/>
      <c r="G126" s="4819"/>
      <c r="H126" s="4834"/>
      <c r="I126" s="4835"/>
      <c r="J126" s="3411"/>
      <c r="K126" s="4819"/>
      <c r="L126" s="4834"/>
      <c r="M126" s="4835"/>
      <c r="N126" s="28"/>
      <c r="O126" s="28"/>
      <c r="P126" s="28"/>
      <c r="Q126" s="53"/>
      <c r="R126" s="639"/>
      <c r="S126" s="639"/>
      <c r="T126" s="639"/>
      <c r="U126" s="639"/>
    </row>
    <row r="127" spans="1:21" s="19" customFormat="1" ht="12" customHeight="1">
      <c r="A127" s="4829"/>
      <c r="B127" s="4829"/>
      <c r="C127" s="146"/>
      <c r="D127" s="146"/>
      <c r="E127" s="1252" t="s">
        <v>6841</v>
      </c>
      <c r="F127" s="3403"/>
      <c r="G127" s="4700"/>
      <c r="H127" s="4821"/>
      <c r="I127" s="4822"/>
      <c r="J127" s="3403"/>
      <c r="K127" s="4700"/>
      <c r="L127" s="4821"/>
      <c r="M127" s="4822"/>
      <c r="N127" s="28"/>
      <c r="O127" s="2962"/>
      <c r="P127" s="2963"/>
      <c r="Q127" s="53"/>
      <c r="R127" s="639"/>
      <c r="S127" s="639"/>
      <c r="T127" s="639"/>
      <c r="U127" s="639"/>
    </row>
    <row r="128" spans="1:21" s="19" customFormat="1" ht="9" customHeight="1">
      <c r="A128" s="79"/>
      <c r="B128" s="50"/>
      <c r="D128" s="17"/>
      <c r="H128" s="21"/>
      <c r="I128" s="23"/>
      <c r="J128" s="48"/>
      <c r="K128" s="48"/>
      <c r="M128" s="2542"/>
      <c r="N128" s="28"/>
      <c r="O128" s="2"/>
      <c r="P128" s="2"/>
      <c r="Q128" s="53"/>
      <c r="R128" s="639"/>
      <c r="S128" s="639"/>
      <c r="T128" s="639"/>
      <c r="U128" s="639"/>
    </row>
    <row r="129" spans="1:21" s="19" customFormat="1" ht="12.6" customHeight="1">
      <c r="A129" s="1320" t="s">
        <v>6842</v>
      </c>
      <c r="B129" s="50"/>
      <c r="D129" s="17"/>
      <c r="I129" s="4825" t="str">
        <f>IF(AND(O131&gt;0,O138&gt;0),"Pick A or B, not both!","")</f>
        <v/>
      </c>
      <c r="J129" s="4825"/>
      <c r="K129" s="4825" t="str">
        <f>IF(AND(P131&gt;0,P138&gt;0),"Pick A or B, not both!","")</f>
        <v/>
      </c>
      <c r="L129" s="4825"/>
      <c r="M129" s="2542"/>
      <c r="N129" s="2542"/>
      <c r="O129" s="2542"/>
      <c r="P129" s="2542"/>
      <c r="Q129" s="53"/>
      <c r="R129" s="639"/>
      <c r="S129" s="639"/>
      <c r="T129" s="639"/>
      <c r="U129" s="639"/>
    </row>
    <row r="130" spans="1:21" s="19" customFormat="1" ht="2.25" customHeight="1">
      <c r="A130" s="286"/>
      <c r="B130" s="50"/>
      <c r="D130" s="17"/>
      <c r="F130" s="27"/>
      <c r="M130" s="2542"/>
      <c r="N130" s="2542"/>
      <c r="O130" s="2542"/>
      <c r="P130" s="2542"/>
      <c r="Q130" s="53"/>
      <c r="R130" s="639"/>
      <c r="S130" s="639"/>
      <c r="T130" s="639"/>
      <c r="U130" s="639"/>
    </row>
    <row r="131" spans="1:21" s="19" customFormat="1" ht="12.6" customHeight="1">
      <c r="A131" s="76" t="s">
        <v>186</v>
      </c>
      <c r="B131" s="92" t="s">
        <v>1855</v>
      </c>
      <c r="D131" s="17"/>
      <c r="F131" s="672" t="s">
        <v>6843</v>
      </c>
      <c r="M131" s="2542">
        <v>6</v>
      </c>
      <c r="N131" s="217" t="s">
        <v>186</v>
      </c>
      <c r="O131" s="2964">
        <f>IF(OR($J$113="Atlanta Metro",$J$113="Other Metro"),MIN($M131,O133+O134),0)</f>
        <v>0</v>
      </c>
      <c r="P131" s="2964">
        <f>IF(OR($J$113="Atlanta Metro",$J$113="Other Metro"),MIN($M131,P133+P134),0)</f>
        <v>0</v>
      </c>
      <c r="Q131" s="53"/>
    </row>
    <row r="132" spans="1:21" s="19" customFormat="1" ht="12.6" customHeight="1">
      <c r="A132" s="76"/>
      <c r="B132" s="13" t="s">
        <v>6844</v>
      </c>
      <c r="D132" s="17"/>
      <c r="F132" s="21"/>
      <c r="M132" s="2542"/>
      <c r="N132" s="217"/>
      <c r="O132" s="118"/>
      <c r="P132" s="300"/>
      <c r="Q132" s="53"/>
    </row>
    <row r="133" spans="1:21" s="228" customFormat="1" ht="25.5" customHeight="1">
      <c r="B133" s="244" t="s">
        <v>201</v>
      </c>
      <c r="C133" s="4701" t="s">
        <v>6845</v>
      </c>
      <c r="D133" s="4701"/>
      <c r="E133" s="4701"/>
      <c r="F133" s="4701"/>
      <c r="G133" s="4701"/>
      <c r="H133" s="4701"/>
      <c r="I133" s="4701"/>
      <c r="J133" s="4701"/>
      <c r="K133" s="4701"/>
      <c r="L133" s="4701"/>
      <c r="M133" s="1260">
        <v>6</v>
      </c>
      <c r="N133" s="266" t="s">
        <v>201</v>
      </c>
      <c r="O133" s="2615"/>
      <c r="P133" s="2965"/>
      <c r="Q133" s="839"/>
      <c r="R133" s="585" t="s">
        <v>6813</v>
      </c>
    </row>
    <row r="134" spans="1:21" s="228" customFormat="1" ht="12" customHeight="1">
      <c r="A134" s="328" t="s">
        <v>327</v>
      </c>
      <c r="B134" s="244" t="s">
        <v>209</v>
      </c>
      <c r="C134" s="3786" t="s">
        <v>6846</v>
      </c>
      <c r="D134" s="3786"/>
      <c r="E134" s="3786"/>
      <c r="F134" s="3786"/>
      <c r="G134" s="628"/>
      <c r="J134" s="4705" t="s">
        <v>6847</v>
      </c>
      <c r="K134" s="4706"/>
      <c r="L134" s="4707"/>
      <c r="M134" s="2525">
        <v>5</v>
      </c>
      <c r="N134" s="242" t="s">
        <v>209</v>
      </c>
      <c r="O134" s="1317"/>
      <c r="P134" s="1318"/>
      <c r="Q134" s="1229" t="s">
        <v>1859</v>
      </c>
      <c r="R134" s="2871" t="s">
        <v>1856</v>
      </c>
      <c r="S134" s="2871" t="s">
        <v>1857</v>
      </c>
    </row>
    <row r="135" spans="1:21" s="228" customFormat="1" ht="12" customHeight="1">
      <c r="B135" s="244"/>
      <c r="C135" s="3786"/>
      <c r="D135" s="3786"/>
      <c r="E135" s="3786"/>
      <c r="F135" s="3786"/>
      <c r="G135" s="628"/>
      <c r="H135" s="4315" t="s">
        <v>6848</v>
      </c>
      <c r="I135" s="4315"/>
      <c r="J135" s="4708"/>
      <c r="K135" s="4709"/>
      <c r="L135" s="4710"/>
      <c r="M135" s="4434" t="str">
        <f>IF(AND(O134&gt;0,O133&gt;0),"Pick A1 or A2!","")</f>
        <v/>
      </c>
      <c r="N135" s="4434"/>
      <c r="O135" s="4434"/>
      <c r="P135" s="4434"/>
      <c r="Q135" s="586"/>
      <c r="R135" s="1037">
        <v>0.25</v>
      </c>
      <c r="S135" s="1037">
        <v>5</v>
      </c>
    </row>
    <row r="136" spans="1:21" s="228" customFormat="1" ht="12" customHeight="1">
      <c r="B136" s="244"/>
      <c r="C136" s="3786"/>
      <c r="D136" s="3786"/>
      <c r="E136" s="3786"/>
      <c r="F136" s="3786"/>
      <c r="G136" s="628"/>
      <c r="H136" s="2966"/>
      <c r="I136" s="2967"/>
      <c r="J136" s="4708"/>
      <c r="K136" s="4709"/>
      <c r="L136" s="4710"/>
      <c r="Q136" s="586"/>
      <c r="R136" s="1037">
        <v>0.5</v>
      </c>
      <c r="S136" s="1037">
        <v>4.5</v>
      </c>
    </row>
    <row r="137" spans="1:21" s="228" customFormat="1" ht="12" customHeight="1">
      <c r="B137" s="244"/>
      <c r="C137" s="3786"/>
      <c r="D137" s="3786"/>
      <c r="E137" s="3786"/>
      <c r="F137" s="3786"/>
      <c r="G137" s="628"/>
      <c r="J137" s="4708"/>
      <c r="K137" s="4709"/>
      <c r="L137" s="4710"/>
      <c r="M137" s="42"/>
      <c r="N137" s="42"/>
      <c r="O137" s="42"/>
      <c r="P137" s="42"/>
      <c r="Q137" s="284"/>
      <c r="R137" s="1038">
        <v>1</v>
      </c>
      <c r="S137" s="1038">
        <v>4</v>
      </c>
    </row>
    <row r="138" spans="1:21" s="228" customFormat="1" ht="12" customHeight="1">
      <c r="A138" s="76" t="s">
        <v>198</v>
      </c>
      <c r="B138" s="646" t="s">
        <v>1861</v>
      </c>
      <c r="C138" s="356"/>
      <c r="D138" s="356"/>
      <c r="F138" s="1302" t="s">
        <v>6849</v>
      </c>
      <c r="J138" s="4631" t="s">
        <v>6850</v>
      </c>
      <c r="K138" s="4632"/>
      <c r="L138" s="2968" t="s">
        <v>6851</v>
      </c>
      <c r="M138" s="501">
        <v>3</v>
      </c>
      <c r="N138" s="28" t="s">
        <v>198</v>
      </c>
      <c r="O138" s="2969">
        <f>IF(OR(AND(O139&gt;0,O141&gt;0,O143&gt;0), AND(O139&gt;0,O141&gt;0), AND(O141&gt;0,O143&gt;0), AND(O139&gt;0,O143&gt;0)),"Choose", IF(OR($J$113="Atlanta Metro",$J$113="Other Metro"), MIN($M138,O139+O141), IF(OR($J$113="Rural"), MIN($M138,O143),0)))</f>
        <v>0</v>
      </c>
      <c r="P138" s="2969">
        <f>IF(OR(AND(P139&gt;0,P141&gt;0,P143&gt;0), AND(P139&gt;0,P141&gt;0), AND(P141&gt;0,P143&gt;0), AND(P139&gt;0,P143&gt;0)),"Choose", IF(OR($J$113="Atlanta Metro",$J$113="Other Metro"), MIN($M138,P139+P141), IF(OR($J$113="Rural"), MIN($M138,P143),0)))</f>
        <v>0</v>
      </c>
      <c r="Q138" s="1229" t="s">
        <v>1863</v>
      </c>
      <c r="R138" s="2970">
        <v>0.25</v>
      </c>
      <c r="S138" s="2970">
        <v>3</v>
      </c>
    </row>
    <row r="139" spans="1:21" s="19" customFormat="1" ht="12" customHeight="1">
      <c r="A139" s="79"/>
      <c r="B139" s="1096" t="s">
        <v>201</v>
      </c>
      <c r="C139" s="3786" t="s">
        <v>6852</v>
      </c>
      <c r="D139" s="3786"/>
      <c r="E139" s="3786"/>
      <c r="F139" s="3786"/>
      <c r="G139" s="628"/>
      <c r="H139" s="4315" t="s">
        <v>6853</v>
      </c>
      <c r="I139" s="4315"/>
      <c r="J139" s="4633" t="s">
        <v>6854</v>
      </c>
      <c r="K139" s="4634"/>
      <c r="L139" s="4635"/>
      <c r="M139" s="2525">
        <v>3</v>
      </c>
      <c r="N139" s="242" t="s">
        <v>201</v>
      </c>
      <c r="O139" s="4864"/>
      <c r="P139" s="4867"/>
      <c r="Q139" s="586" t="str">
        <f>IF(OR($O141=$M141,$O141=0,$O141=""),"","*CHECK!*")</f>
        <v/>
      </c>
      <c r="R139" s="1037">
        <v>0.5</v>
      </c>
      <c r="S139" s="1037">
        <v>2</v>
      </c>
      <c r="U139" s="228"/>
    </row>
    <row r="140" spans="1:21" s="19" customFormat="1" ht="12" customHeight="1">
      <c r="A140" s="79"/>
      <c r="B140" s="2596"/>
      <c r="C140" s="3786"/>
      <c r="D140" s="3786"/>
      <c r="E140" s="3786"/>
      <c r="F140" s="3786"/>
      <c r="G140" s="42"/>
      <c r="H140" s="2966"/>
      <c r="I140" s="2967"/>
      <c r="J140" s="4851" t="s">
        <v>6855</v>
      </c>
      <c r="K140" s="4852"/>
      <c r="L140" s="4853"/>
      <c r="M140" s="42"/>
      <c r="O140" s="4865"/>
      <c r="P140" s="4868"/>
      <c r="Q140" s="53"/>
      <c r="R140" s="1038">
        <v>1</v>
      </c>
      <c r="S140" s="1038">
        <v>1</v>
      </c>
      <c r="U140" s="228"/>
    </row>
    <row r="141" spans="1:21" s="19" customFormat="1" ht="11.25" customHeight="1">
      <c r="A141" s="328" t="s">
        <v>327</v>
      </c>
      <c r="B141" s="1096" t="s">
        <v>209</v>
      </c>
      <c r="C141" s="3786" t="s">
        <v>6856</v>
      </c>
      <c r="D141" s="3786"/>
      <c r="E141" s="3786"/>
      <c r="F141" s="3786"/>
      <c r="G141" s="3786"/>
      <c r="H141" s="3786"/>
      <c r="I141" s="1303"/>
      <c r="J141" s="4854"/>
      <c r="K141" s="4855"/>
      <c r="L141" s="4856"/>
      <c r="M141" s="2525">
        <v>1</v>
      </c>
      <c r="N141" s="242" t="s">
        <v>209</v>
      </c>
      <c r="O141" s="4656"/>
      <c r="P141" s="4828"/>
      <c r="U141" s="228"/>
    </row>
    <row r="142" spans="1:21" s="19" customFormat="1" ht="11.25" customHeight="1">
      <c r="B142" s="1304"/>
      <c r="C142" s="3786"/>
      <c r="D142" s="3786"/>
      <c r="E142" s="3786"/>
      <c r="F142" s="3786"/>
      <c r="G142" s="3786"/>
      <c r="H142" s="3786"/>
      <c r="I142" s="1303"/>
      <c r="J142" s="4857"/>
      <c r="K142" s="4858"/>
      <c r="L142" s="4859"/>
      <c r="O142" s="4656"/>
      <c r="P142" s="4828"/>
      <c r="T142" s="228"/>
      <c r="U142" s="228"/>
    </row>
    <row r="143" spans="1:21" s="228" customFormat="1" ht="12" customHeight="1">
      <c r="A143" s="1095" t="s">
        <v>327</v>
      </c>
      <c r="B143" s="1096" t="s">
        <v>213</v>
      </c>
      <c r="C143" s="3786" t="s">
        <v>6857</v>
      </c>
      <c r="D143" s="3786"/>
      <c r="E143" s="3786"/>
      <c r="F143" s="3786"/>
      <c r="G143" s="3786"/>
      <c r="H143" s="3786"/>
      <c r="I143" s="4863"/>
      <c r="J143" s="4851" t="s">
        <v>6858</v>
      </c>
      <c r="K143" s="4852"/>
      <c r="L143" s="4853"/>
      <c r="M143" s="1260">
        <v>2</v>
      </c>
      <c r="N143" s="266" t="s">
        <v>213</v>
      </c>
      <c r="O143" s="4826"/>
      <c r="P143" s="4652"/>
      <c r="Q143" s="586"/>
      <c r="R143" s="585"/>
    </row>
    <row r="144" spans="1:21" s="19" customFormat="1" ht="36.75" customHeight="1">
      <c r="C144" s="3786"/>
      <c r="D144" s="3786"/>
      <c r="E144" s="3786"/>
      <c r="F144" s="3786"/>
      <c r="G144" s="3786"/>
      <c r="H144" s="3786"/>
      <c r="I144" s="4863"/>
      <c r="J144" s="4860"/>
      <c r="K144" s="4861"/>
      <c r="L144" s="4862"/>
      <c r="O144" s="4827"/>
      <c r="P144" s="4653"/>
    </row>
    <row r="145" spans="1:19" s="19" customFormat="1" ht="12.6" customHeight="1">
      <c r="A145" s="13" t="s">
        <v>6859</v>
      </c>
      <c r="B145" s="92"/>
      <c r="E145" s="17"/>
      <c r="K145" s="48"/>
      <c r="M145" s="32"/>
      <c r="N145" s="32"/>
      <c r="O145" s="32"/>
      <c r="P145" s="32"/>
      <c r="Q145" s="209"/>
      <c r="R145" s="209"/>
    </row>
    <row r="146" spans="1:19" s="19" customFormat="1" ht="11.25" customHeight="1" thickBot="1">
      <c r="A146" s="43"/>
      <c r="B146" s="672" t="s">
        <v>6825</v>
      </c>
      <c r="C146" s="43"/>
      <c r="D146" s="48"/>
      <c r="E146" s="48"/>
      <c r="F146" s="48"/>
      <c r="G146" s="48"/>
      <c r="H146" s="13"/>
      <c r="K146" s="48"/>
      <c r="M146" s="32"/>
      <c r="N146" s="58"/>
      <c r="O146" s="2"/>
      <c r="P146" s="9"/>
    </row>
    <row r="147" spans="1:19" s="19" customFormat="1" ht="29.25" customHeight="1" thickTop="1" thickBot="1">
      <c r="A147" s="4598"/>
      <c r="B147" s="4599"/>
      <c r="C147" s="4599"/>
      <c r="D147" s="4599"/>
      <c r="E147" s="4599"/>
      <c r="F147" s="4599"/>
      <c r="G147" s="4599"/>
      <c r="H147" s="4599"/>
      <c r="I147" s="4599"/>
      <c r="J147" s="4599"/>
      <c r="K147" s="4599"/>
      <c r="L147" s="4599"/>
      <c r="M147" s="4599"/>
      <c r="N147" s="4599"/>
      <c r="O147" s="4599"/>
      <c r="P147" s="4600"/>
      <c r="Q147" s="249" t="s">
        <v>6410</v>
      </c>
      <c r="R147" s="249"/>
    </row>
    <row r="148" spans="1:19" s="42" customFormat="1" ht="11.7" customHeight="1" thickTop="1">
      <c r="A148" s="43"/>
      <c r="B148" s="45" t="s">
        <v>1453</v>
      </c>
      <c r="C148" s="43"/>
      <c r="D148" s="45"/>
      <c r="E148" s="2590"/>
      <c r="F148" s="2590"/>
      <c r="G148" s="2590"/>
      <c r="H148" s="2590"/>
      <c r="I148" s="2590"/>
      <c r="J148" s="2590"/>
      <c r="K148" s="2590"/>
      <c r="L148" s="2590"/>
      <c r="M148" s="2590"/>
      <c r="N148" s="2402"/>
      <c r="O148" s="493"/>
      <c r="P148" s="2542"/>
      <c r="Q148" s="19"/>
    </row>
    <row r="149" spans="1:19" s="19" customFormat="1" ht="11.25" customHeight="1">
      <c r="A149" s="4387"/>
      <c r="B149" s="4388"/>
      <c r="C149" s="4388"/>
      <c r="D149" s="4388"/>
      <c r="E149" s="4388"/>
      <c r="F149" s="4388"/>
      <c r="G149" s="4388"/>
      <c r="H149" s="4388"/>
      <c r="I149" s="4388"/>
      <c r="J149" s="4388"/>
      <c r="K149" s="4388"/>
      <c r="L149" s="4388"/>
      <c r="M149" s="4388"/>
      <c r="N149" s="4388"/>
      <c r="O149" s="4388"/>
      <c r="P149" s="4389"/>
      <c r="Q149" s="248"/>
    </row>
    <row r="150" spans="1:19" ht="3" customHeight="1">
      <c r="N150" s="58"/>
      <c r="R150" s="19"/>
    </row>
    <row r="151" spans="1:19" s="19" customFormat="1" ht="3" customHeight="1" thickBot="1">
      <c r="A151" s="43"/>
      <c r="C151" s="2586"/>
      <c r="D151" s="2586"/>
      <c r="E151" s="2586"/>
      <c r="F151" s="2586"/>
      <c r="G151" s="2586"/>
      <c r="H151" s="2586"/>
      <c r="I151" s="2586"/>
      <c r="J151" s="2586"/>
      <c r="K151" s="2586"/>
      <c r="L151" s="2586"/>
      <c r="M151" s="2586"/>
      <c r="N151" s="2401"/>
      <c r="O151" s="31"/>
      <c r="P151" s="2542"/>
    </row>
    <row r="152" spans="1:19" s="19" customFormat="1" ht="13.5" customHeight="1" thickBot="1">
      <c r="A152" s="79" t="s">
        <v>69</v>
      </c>
      <c r="B152" s="50" t="s">
        <v>1866</v>
      </c>
      <c r="C152" s="2586"/>
      <c r="D152" s="2586"/>
      <c r="E152" s="2586"/>
      <c r="G152" s="1036" t="s">
        <v>6437</v>
      </c>
      <c r="H152" s="629" t="str">
        <f>'Part VII-Threshold Criteria OLD'!$J$35</f>
        <v>&lt;&lt; Select PROPOSED Tenancy &gt;&gt;</v>
      </c>
      <c r="M152" s="2542">
        <v>3</v>
      </c>
      <c r="N152" s="2401"/>
      <c r="O152" s="1081"/>
      <c r="P152" s="1082"/>
      <c r="Q152" s="839" t="str">
        <f>IF(OR($O152&lt;=$M152,$O152=0,$O152=""),"","*CHECK!*")</f>
        <v/>
      </c>
      <c r="R152" s="1084" t="s">
        <v>1744</v>
      </c>
      <c r="S152" s="585" t="s">
        <v>6813</v>
      </c>
    </row>
    <row r="153" spans="1:19" ht="18.75" customHeight="1">
      <c r="C153" s="1030" t="s">
        <v>6860</v>
      </c>
      <c r="F153" s="1030"/>
      <c r="G153" s="1030"/>
      <c r="H153" s="1030"/>
      <c r="I153" s="1108"/>
      <c r="J153" s="1109"/>
      <c r="K153" s="1110"/>
      <c r="M153" s="19"/>
      <c r="N153"/>
      <c r="O153"/>
      <c r="P153" s="1348"/>
    </row>
    <row r="154" spans="1:19" ht="11.25" customHeight="1">
      <c r="C154" s="1030" t="s">
        <v>6861</v>
      </c>
      <c r="F154" s="1030"/>
      <c r="G154" s="1030"/>
      <c r="H154" s="1030"/>
      <c r="I154" s="1108"/>
      <c r="J154" s="4848" t="s">
        <v>6862</v>
      </c>
      <c r="K154" s="4849"/>
      <c r="L154" s="4849"/>
      <c r="M154" s="4850"/>
      <c r="N154"/>
      <c r="O154"/>
      <c r="P154"/>
    </row>
    <row r="155" spans="1:19" ht="12.75" customHeight="1">
      <c r="B155" s="305"/>
      <c r="C155" s="305"/>
      <c r="D155" s="305"/>
      <c r="F155" s="4384" t="s">
        <v>6863</v>
      </c>
      <c r="G155" s="4384"/>
      <c r="H155" s="4384" t="s">
        <v>6864</v>
      </c>
      <c r="I155" s="4384"/>
      <c r="J155" s="4836" t="s">
        <v>6865</v>
      </c>
      <c r="K155" s="4837"/>
      <c r="L155" s="4839" t="s">
        <v>6866</v>
      </c>
      <c r="M155" s="4840"/>
      <c r="N155" s="25"/>
      <c r="O155" s="1277"/>
      <c r="P155" s="1278"/>
    </row>
    <row r="156" spans="1:19" ht="30.75" customHeight="1">
      <c r="B156" s="305"/>
      <c r="C156" s="305"/>
      <c r="D156" s="305"/>
      <c r="F156" s="4384"/>
      <c r="G156" s="4384"/>
      <c r="H156" s="4384"/>
      <c r="I156" s="4384"/>
      <c r="J156" s="4838"/>
      <c r="K156" s="4837"/>
      <c r="L156" s="4384"/>
      <c r="M156" s="4841"/>
      <c r="N156" s="25"/>
      <c r="O156" s="1279"/>
      <c r="P156" s="1278"/>
    </row>
    <row r="157" spans="1:19" ht="12" customHeight="1">
      <c r="B157" s="48" t="s">
        <v>6867</v>
      </c>
      <c r="C157" s="2590"/>
      <c r="D157" s="19"/>
      <c r="F157" s="4498"/>
      <c r="G157" s="4498"/>
      <c r="H157" s="4498"/>
      <c r="I157" s="4498"/>
      <c r="J157" s="4838"/>
      <c r="K157" s="4837"/>
      <c r="L157" s="4498"/>
      <c r="M157" s="4842"/>
      <c r="N157" s="25"/>
      <c r="O157" s="1279"/>
      <c r="P157" s="1278"/>
    </row>
    <row r="158" spans="1:19">
      <c r="B158" s="4843"/>
      <c r="C158" s="4844"/>
      <c r="D158" s="4844"/>
      <c r="E158" s="4845"/>
      <c r="F158" s="4843"/>
      <c r="G158" s="4845"/>
      <c r="H158" s="4843"/>
      <c r="I158" s="4845"/>
      <c r="J158" s="4846"/>
      <c r="K158" s="4847"/>
      <c r="L158" s="4846"/>
      <c r="M158" s="4847"/>
      <c r="N158" s="4885"/>
      <c r="O158" s="4886"/>
    </row>
    <row r="159" spans="1:19">
      <c r="B159" s="4681"/>
      <c r="C159" s="4682"/>
      <c r="D159" s="4682"/>
      <c r="E159" s="4683"/>
      <c r="F159" s="4681"/>
      <c r="G159" s="4683"/>
      <c r="H159" s="4681"/>
      <c r="I159" s="4683"/>
      <c r="J159" s="4830"/>
      <c r="K159" s="4831"/>
      <c r="L159" s="4830"/>
      <c r="M159" s="4831"/>
      <c r="N159" s="4711"/>
      <c r="O159" s="4712"/>
    </row>
    <row r="160" spans="1:19">
      <c r="B160" s="4681"/>
      <c r="C160" s="4682"/>
      <c r="D160" s="4682"/>
      <c r="E160" s="4683"/>
      <c r="F160" s="4681"/>
      <c r="G160" s="4683"/>
      <c r="H160" s="4681"/>
      <c r="I160" s="4683"/>
      <c r="J160" s="4830"/>
      <c r="K160" s="4831"/>
      <c r="L160" s="4830"/>
      <c r="M160" s="4831"/>
      <c r="N160" s="4711"/>
      <c r="O160" s="4712"/>
    </row>
    <row r="161" spans="1:26">
      <c r="B161" s="4681"/>
      <c r="C161" s="4682"/>
      <c r="D161" s="4682"/>
      <c r="E161" s="4683"/>
      <c r="F161" s="4681"/>
      <c r="G161" s="4683"/>
      <c r="H161" s="4681"/>
      <c r="I161" s="4683"/>
      <c r="J161" s="4830"/>
      <c r="K161" s="4831"/>
      <c r="L161" s="4830"/>
      <c r="M161" s="4831"/>
      <c r="N161" s="4711"/>
      <c r="O161" s="4712"/>
    </row>
    <row r="162" spans="1:26">
      <c r="B162" s="4681"/>
      <c r="C162" s="4682"/>
      <c r="D162" s="4682"/>
      <c r="E162" s="4683"/>
      <c r="F162" s="4681"/>
      <c r="G162" s="4683"/>
      <c r="H162" s="4681"/>
      <c r="I162" s="4683"/>
      <c r="J162" s="4830"/>
      <c r="K162" s="4831"/>
      <c r="L162" s="4830"/>
      <c r="M162" s="4831"/>
      <c r="N162" s="4711"/>
      <c r="O162" s="4712"/>
    </row>
    <row r="163" spans="1:26">
      <c r="B163" s="4878"/>
      <c r="C163" s="4879"/>
      <c r="D163" s="4879"/>
      <c r="E163" s="4880"/>
      <c r="F163" s="4878"/>
      <c r="G163" s="4880"/>
      <c r="H163" s="4878"/>
      <c r="I163" s="4880"/>
      <c r="J163" s="4881"/>
      <c r="K163" s="4882"/>
      <c r="L163" s="4881"/>
      <c r="M163" s="4882"/>
      <c r="N163" s="4883"/>
      <c r="O163" s="4884"/>
    </row>
    <row r="164" spans="1:26" s="19" customFormat="1" ht="10.5" customHeight="1" thickBot="1">
      <c r="A164" s="43"/>
      <c r="B164" s="672" t="s">
        <v>6825</v>
      </c>
      <c r="C164" s="43"/>
      <c r="D164" s="48"/>
      <c r="E164" s="48"/>
      <c r="F164" s="48"/>
      <c r="G164" s="48"/>
      <c r="H164" s="13"/>
      <c r="I164" s="13"/>
      <c r="J164" s="13"/>
      <c r="K164" s="13"/>
      <c r="M164" s="32"/>
      <c r="N164" s="58"/>
      <c r="O164" s="2"/>
      <c r="P164" s="9"/>
    </row>
    <row r="165" spans="1:26" s="19" customFormat="1" ht="21.75" customHeight="1" thickTop="1" thickBot="1">
      <c r="A165" s="4598"/>
      <c r="B165" s="4599"/>
      <c r="C165" s="4599"/>
      <c r="D165" s="4599"/>
      <c r="E165" s="4599"/>
      <c r="F165" s="4599"/>
      <c r="G165" s="4599"/>
      <c r="H165" s="4599"/>
      <c r="I165" s="4599"/>
      <c r="J165" s="4599"/>
      <c r="K165" s="4599"/>
      <c r="L165" s="4599"/>
      <c r="M165" s="4599"/>
      <c r="N165" s="4599"/>
      <c r="O165" s="4599"/>
      <c r="P165" s="4600"/>
      <c r="Q165" s="249" t="s">
        <v>6410</v>
      </c>
    </row>
    <row r="166" spans="1:26" s="19" customFormat="1" ht="10.5" customHeight="1" thickTop="1">
      <c r="A166" s="43"/>
      <c r="B166" s="37" t="s">
        <v>1453</v>
      </c>
      <c r="C166" s="723"/>
      <c r="D166" s="37"/>
      <c r="E166" s="46"/>
      <c r="F166" s="2586"/>
      <c r="G166" s="2586"/>
      <c r="H166" s="2586"/>
      <c r="I166" s="2586"/>
      <c r="J166" s="2586"/>
      <c r="K166" s="2586"/>
      <c r="L166" s="2586"/>
      <c r="M166" s="2586"/>
      <c r="N166" s="2401"/>
      <c r="O166" s="31"/>
      <c r="P166" s="2542"/>
    </row>
    <row r="167" spans="1:26" s="19" customFormat="1" ht="11.25" customHeight="1">
      <c r="A167" s="4387"/>
      <c r="B167" s="4388"/>
      <c r="C167" s="4388"/>
      <c r="D167" s="4388"/>
      <c r="E167" s="4388"/>
      <c r="F167" s="4388"/>
      <c r="G167" s="4388"/>
      <c r="H167" s="4388"/>
      <c r="I167" s="4388"/>
      <c r="J167" s="4388"/>
      <c r="K167" s="4388"/>
      <c r="L167" s="4388"/>
      <c r="M167" s="4388"/>
      <c r="N167" s="4388"/>
      <c r="O167" s="4388"/>
      <c r="P167" s="4389"/>
      <c r="Q167" s="248"/>
      <c r="U167" s="819"/>
    </row>
    <row r="168" spans="1:26" s="19" customFormat="1" ht="3" customHeight="1" thickBot="1">
      <c r="A168" s="43"/>
      <c r="C168" s="2586"/>
      <c r="D168" s="2586"/>
      <c r="E168" s="2586"/>
      <c r="F168" s="2586"/>
      <c r="G168" s="2586"/>
      <c r="H168" s="2586"/>
      <c r="I168" s="2586"/>
      <c r="J168" s="2586"/>
      <c r="K168" s="2586"/>
      <c r="L168" s="2586"/>
      <c r="M168" s="2586"/>
      <c r="N168" s="2401"/>
      <c r="O168" s="31"/>
      <c r="P168" s="2542"/>
    </row>
    <row r="169" spans="1:26" s="42" customFormat="1" ht="13.5" customHeight="1" thickBot="1">
      <c r="A169" s="79" t="s">
        <v>1482</v>
      </c>
      <c r="B169" s="50" t="s">
        <v>1880</v>
      </c>
      <c r="D169" s="21"/>
      <c r="E169" s="21"/>
      <c r="L169" s="1111" t="str">
        <f>IF(AND(O169&gt;0,O171="",O184=""),"Indicate subtotal score(s) in A or B below!","")</f>
        <v/>
      </c>
      <c r="M169" s="2542">
        <v>7</v>
      </c>
      <c r="N169" s="32"/>
      <c r="O169" s="1115">
        <f>O171+O184</f>
        <v>0</v>
      </c>
      <c r="P169" s="1115">
        <f>P171+P184</f>
        <v>0</v>
      </c>
      <c r="Q169" s="53" t="s">
        <v>1744</v>
      </c>
      <c r="R169" s="629" t="str">
        <f>IF(AND(O169&gt;0,NOT($M$55="New Supply")), "Ineligible to score in this section, not New Supply!","")</f>
        <v/>
      </c>
      <c r="S169" s="1092"/>
      <c r="T169" s="1092"/>
      <c r="U169" s="1092"/>
    </row>
    <row r="170" spans="1:26" s="19" customFormat="1" ht="2.25" customHeight="1">
      <c r="A170" s="53"/>
      <c r="C170" s="92"/>
      <c r="D170" s="92"/>
      <c r="E170" s="98"/>
      <c r="F170" s="92"/>
      <c r="G170" s="92"/>
      <c r="H170" s="92"/>
      <c r="I170" s="92"/>
      <c r="J170" s="92"/>
      <c r="K170" s="92"/>
      <c r="L170" s="92"/>
      <c r="M170" s="92"/>
      <c r="N170" s="92"/>
      <c r="O170" s="92"/>
      <c r="P170" s="92"/>
      <c r="R170" s="1092"/>
      <c r="S170" s="1092"/>
      <c r="T170" s="1092"/>
      <c r="U170" s="1092"/>
    </row>
    <row r="171" spans="1:26" s="19" customFormat="1" ht="12" customHeight="1">
      <c r="A171" s="72" t="s">
        <v>186</v>
      </c>
      <c r="B171" s="92" t="s">
        <v>1889</v>
      </c>
      <c r="C171" s="92"/>
      <c r="D171" s="92"/>
      <c r="E171" s="92"/>
      <c r="F171" s="92"/>
      <c r="G171" s="92"/>
      <c r="H171" s="92"/>
      <c r="I171" s="92"/>
      <c r="J171" s="92"/>
      <c r="K171" s="92"/>
      <c r="L171" s="1114" t="str">
        <f>IF( O171&gt;M171,"Check score against maximum point value!", IF(AND(O171&gt;M172,O180="",O181="",O182=""),"Indicate Additional Point score(s) in 2a, 2b or 2c below!",IF(O171&gt;2+O180+O181+O182,"Indicate all Additional Point score(s) in 2a, 2b or 2c below!",IF(AND(O171&gt;=M172,O172&lt;M172),"Additional Points cannot be awarded unless Requirements Points are awarded!",""))))</f>
        <v/>
      </c>
      <c r="M171" s="2525">
        <v>5</v>
      </c>
      <c r="N171" s="28" t="s">
        <v>186</v>
      </c>
      <c r="O171" s="2971">
        <f>MIN(M171,O172+O180+O181+O182)</f>
        <v>0</v>
      </c>
      <c r="P171" s="2971">
        <f>P172+P180+P181+P182</f>
        <v>0</v>
      </c>
      <c r="Q171" s="839" t="str">
        <f>IF(OR($O171&lt;=$M171,$O171=""),"","*CHECK!*")</f>
        <v/>
      </c>
      <c r="R171" s="585"/>
      <c r="S171" s="1092"/>
      <c r="T171" s="1092"/>
      <c r="U171" s="1092"/>
    </row>
    <row r="172" spans="1:26" s="19" customFormat="1" ht="12.75" customHeight="1">
      <c r="A172" s="53"/>
      <c r="B172" s="856" t="s">
        <v>201</v>
      </c>
      <c r="C172" s="13" t="s">
        <v>6868</v>
      </c>
      <c r="D172" s="92"/>
      <c r="E172" s="92"/>
      <c r="F172" s="92"/>
      <c r="G172" s="92"/>
      <c r="H172" s="92"/>
      <c r="I172" s="92"/>
      <c r="J172" s="92"/>
      <c r="K172" s="92"/>
      <c r="L172" s="92"/>
      <c r="M172" s="2525">
        <v>2</v>
      </c>
      <c r="N172" s="84" t="s">
        <v>1511</v>
      </c>
      <c r="O172" s="2972"/>
      <c r="P172" s="2973"/>
      <c r="Q172" s="839" t="str">
        <f>IF(OR($O172=$M172,$O172=0,$O172=""),"","*CHECK!*")</f>
        <v/>
      </c>
      <c r="R172" s="585" t="s">
        <v>6813</v>
      </c>
      <c r="S172" s="1092"/>
      <c r="T172" s="1092"/>
      <c r="U172" s="1092"/>
    </row>
    <row r="173" spans="1:26" s="218" customFormat="1" ht="12" customHeight="1">
      <c r="B173" s="84" t="s">
        <v>6477</v>
      </c>
      <c r="C173" s="4379" t="s">
        <v>6869</v>
      </c>
      <c r="D173" s="4379"/>
      <c r="E173" s="4379"/>
      <c r="F173" s="4379"/>
      <c r="G173" s="4379"/>
      <c r="H173" s="4379"/>
      <c r="I173" s="4379"/>
      <c r="J173" s="4379"/>
      <c r="K173" s="4379"/>
      <c r="L173" s="84"/>
      <c r="M173" s="4820" t="s">
        <v>6870</v>
      </c>
      <c r="N173" s="4820"/>
      <c r="O173" s="4820"/>
      <c r="P173" s="4820"/>
      <c r="S173" s="1092"/>
      <c r="T173" s="1092"/>
      <c r="U173" s="1092"/>
      <c r="V173" s="229"/>
      <c r="W173" s="229"/>
      <c r="X173" s="229"/>
      <c r="Y173" s="229"/>
      <c r="Z173" s="229"/>
    </row>
    <row r="174" spans="1:26" s="19" customFormat="1" ht="12.75" customHeight="1">
      <c r="A174" s="207"/>
      <c r="B174" s="28"/>
      <c r="C174" s="4379"/>
      <c r="D174" s="4379"/>
      <c r="E174" s="4379"/>
      <c r="F174" s="4379"/>
      <c r="G174" s="4379"/>
      <c r="H174" s="4379"/>
      <c r="I174" s="4379"/>
      <c r="J174" s="4379"/>
      <c r="K174" s="4379"/>
      <c r="L174" s="84" t="s">
        <v>6477</v>
      </c>
      <c r="M174" s="4813" t="s">
        <v>6871</v>
      </c>
      <c r="N174" s="4814"/>
      <c r="O174" s="4814"/>
      <c r="P174" s="4815"/>
      <c r="S174" s="1092"/>
      <c r="T174" s="1092"/>
      <c r="U174" s="1092"/>
    </row>
    <row r="175" spans="1:26" s="11" customFormat="1" ht="12.75" customHeight="1">
      <c r="B175" s="28" t="s">
        <v>6479</v>
      </c>
      <c r="C175" s="13" t="s">
        <v>6872</v>
      </c>
      <c r="D175" s="13"/>
      <c r="E175" s="13"/>
      <c r="F175" s="13"/>
      <c r="G175" s="13"/>
      <c r="H175" s="13"/>
      <c r="L175" s="28" t="s">
        <v>6479</v>
      </c>
      <c r="M175" s="4633" t="s">
        <v>6871</v>
      </c>
      <c r="N175" s="4634"/>
      <c r="O175" s="4634"/>
      <c r="P175" s="4635"/>
      <c r="S175" s="1092"/>
      <c r="T175" s="1092"/>
      <c r="U175" s="1092"/>
      <c r="V175" s="43"/>
      <c r="W175" s="43"/>
      <c r="X175" s="43"/>
      <c r="Y175" s="43"/>
      <c r="Z175" s="43"/>
    </row>
    <row r="176" spans="1:26" s="11" customFormat="1" ht="12.75" customHeight="1">
      <c r="B176" s="28" t="s">
        <v>6685</v>
      </c>
      <c r="C176" s="13" t="s">
        <v>6873</v>
      </c>
      <c r="D176" s="13"/>
      <c r="E176" s="13"/>
      <c r="F176" s="13"/>
      <c r="G176" s="13"/>
      <c r="H176" s="13"/>
      <c r="L176" s="28" t="s">
        <v>6685</v>
      </c>
      <c r="M176" s="4633" t="s">
        <v>6871</v>
      </c>
      <c r="N176" s="4634"/>
      <c r="O176" s="4634"/>
      <c r="P176" s="4635"/>
      <c r="Q176" s="899">
        <f>IF(K176="Yes",1,0)</f>
        <v>0</v>
      </c>
      <c r="S176" s="1092"/>
      <c r="T176" s="1092"/>
      <c r="U176" s="1092"/>
      <c r="V176" s="899" t="e">
        <f>IF(#REF!="Yes",1,0)</f>
        <v>#REF!</v>
      </c>
      <c r="W176" s="43"/>
      <c r="X176" s="43"/>
      <c r="Y176" s="43"/>
      <c r="Z176" s="43"/>
    </row>
    <row r="177" spans="1:26" s="11" customFormat="1" ht="12.75" customHeight="1">
      <c r="A177" s="28"/>
      <c r="B177" s="28" t="s">
        <v>6874</v>
      </c>
      <c r="C177" s="13" t="s">
        <v>6875</v>
      </c>
      <c r="D177" s="13"/>
      <c r="E177" s="13"/>
      <c r="F177" s="13"/>
      <c r="G177" s="13"/>
      <c r="L177" s="28" t="s">
        <v>6874</v>
      </c>
      <c r="M177" s="4771" t="s">
        <v>6871</v>
      </c>
      <c r="N177" s="4772"/>
      <c r="O177" s="4772"/>
      <c r="P177" s="4773"/>
      <c r="Q177" s="899">
        <f>IF(K177="Yes",1,0)</f>
        <v>0</v>
      </c>
      <c r="S177" s="1092"/>
      <c r="T177" s="1092"/>
      <c r="U177" s="1092"/>
      <c r="V177" s="899" t="e">
        <f>IF(#REF!="Yes",1,0)</f>
        <v>#REF!</v>
      </c>
      <c r="W177" s="43"/>
      <c r="X177" s="43"/>
      <c r="Y177" s="43"/>
      <c r="Z177" s="43"/>
    </row>
    <row r="178" spans="1:26" s="19" customFormat="1" ht="4.5" customHeight="1">
      <c r="A178" s="207"/>
      <c r="C178" s="73"/>
      <c r="D178" s="73"/>
      <c r="E178" s="73"/>
      <c r="F178" s="73"/>
      <c r="G178" s="73"/>
      <c r="H178" s="73"/>
      <c r="I178" s="73"/>
      <c r="K178" s="670"/>
      <c r="L178" s="670"/>
      <c r="R178" s="1092"/>
      <c r="S178" s="1092"/>
      <c r="T178" s="1092"/>
      <c r="U178" s="1092"/>
    </row>
    <row r="179" spans="1:26" s="19" customFormat="1" ht="9.75" customHeight="1">
      <c r="A179" s="207"/>
      <c r="B179" s="208" t="s">
        <v>209</v>
      </c>
      <c r="C179" s="56" t="s">
        <v>6876</v>
      </c>
      <c r="D179" s="73"/>
      <c r="E179" s="73"/>
      <c r="F179" s="73"/>
      <c r="G179" s="73"/>
      <c r="H179" s="73"/>
      <c r="I179" s="73"/>
      <c r="K179" s="670"/>
      <c r="L179" s="670"/>
      <c r="R179" s="1092"/>
      <c r="S179" s="1092"/>
      <c r="T179" s="1092"/>
      <c r="U179" s="1092"/>
    </row>
    <row r="180" spans="1:26" ht="13.8">
      <c r="A180" s="283"/>
      <c r="B180" s="84" t="s">
        <v>6477</v>
      </c>
      <c r="C180" s="4379" t="s">
        <v>6877</v>
      </c>
      <c r="D180" s="4379"/>
      <c r="E180" s="4379"/>
      <c r="F180" s="4379"/>
      <c r="G180" s="4379"/>
      <c r="H180" s="4379"/>
      <c r="I180" s="4379"/>
      <c r="J180" s="4379"/>
      <c r="K180" s="4379"/>
      <c r="L180" s="4379"/>
      <c r="M180" s="1260">
        <v>1</v>
      </c>
      <c r="N180" s="84" t="s">
        <v>6878</v>
      </c>
      <c r="O180" s="2974"/>
      <c r="P180" s="2975"/>
      <c r="Q180" s="839" t="str">
        <f>IF(OR($O180=$M180,$O180=0,$O180=""),"","*CHECK!*")</f>
        <v/>
      </c>
      <c r="R180" s="585" t="s">
        <v>6813</v>
      </c>
    </row>
    <row r="181" spans="1:26" ht="36.75" customHeight="1">
      <c r="A181" s="283"/>
      <c r="B181" s="84" t="s">
        <v>6479</v>
      </c>
      <c r="C181" s="4379" t="s">
        <v>6879</v>
      </c>
      <c r="D181" s="4379"/>
      <c r="E181" s="4379"/>
      <c r="F181" s="4379"/>
      <c r="G181" s="4379"/>
      <c r="H181" s="4379"/>
      <c r="I181" s="4379"/>
      <c r="J181" s="4379"/>
      <c r="K181" s="4379"/>
      <c r="L181" s="4379"/>
      <c r="M181" s="1260">
        <v>1</v>
      </c>
      <c r="N181" s="84" t="s">
        <v>6880</v>
      </c>
      <c r="O181" s="1112"/>
      <c r="P181" s="1113"/>
      <c r="Q181" s="839" t="str">
        <f>IF(OR($O181=$M181,$O181=0,$O181=""),"","*CHECK!*")</f>
        <v/>
      </c>
      <c r="R181" s="585" t="s">
        <v>6813</v>
      </c>
    </row>
    <row r="182" spans="1:26" ht="12" customHeight="1">
      <c r="A182" s="283"/>
      <c r="B182" s="246" t="s">
        <v>6685</v>
      </c>
      <c r="C182" s="25" t="s">
        <v>6881</v>
      </c>
      <c r="D182" s="65"/>
      <c r="E182" s="65"/>
      <c r="F182" s="65"/>
      <c r="G182" s="65"/>
      <c r="H182" s="65"/>
      <c r="I182" s="65"/>
      <c r="J182" s="65"/>
      <c r="K182" s="65"/>
      <c r="L182" s="65"/>
      <c r="M182" s="2525">
        <v>1</v>
      </c>
      <c r="N182" s="28" t="s">
        <v>6882</v>
      </c>
      <c r="O182" s="1099"/>
      <c r="P182" s="1101"/>
      <c r="Q182" s="839" t="str">
        <f>IF(OR($O182=$M182,$O182=0,$O182=""),"","*CHECK!*")</f>
        <v/>
      </c>
      <c r="R182" s="585" t="s">
        <v>6813</v>
      </c>
    </row>
    <row r="183" spans="1:26" ht="4.5" customHeight="1">
      <c r="A183" s="283"/>
      <c r="B183" s="263"/>
      <c r="C183" s="73"/>
      <c r="D183" s="73"/>
      <c r="E183" s="73"/>
      <c r="F183" s="73"/>
      <c r="G183" s="73"/>
      <c r="H183" s="73"/>
      <c r="M183" s="834"/>
      <c r="N183"/>
      <c r="O183"/>
      <c r="P183"/>
      <c r="R183" s="77"/>
    </row>
    <row r="184" spans="1:26" ht="12.75" customHeight="1">
      <c r="A184" s="72" t="s">
        <v>198</v>
      </c>
      <c r="B184" s="92" t="s">
        <v>1906</v>
      </c>
      <c r="D184" s="11"/>
      <c r="F184" s="820"/>
      <c r="K184" s="657"/>
      <c r="L184" s="209" t="str">
        <f>IF(OR($O184=$M184,$O184=0,$O184=1,$O184=""),"","* * Check Score! * *")</f>
        <v/>
      </c>
      <c r="M184" s="2525">
        <v>2</v>
      </c>
      <c r="N184" s="28" t="s">
        <v>198</v>
      </c>
      <c r="O184" s="2976"/>
      <c r="P184" s="2977"/>
      <c r="Q184" s="586" t="str">
        <f>IF(OR($O184=$M184,$O184=0,$O184=""),"","*CHECK!*")</f>
        <v/>
      </c>
      <c r="R184" s="585" t="s">
        <v>6813</v>
      </c>
    </row>
    <row r="185" spans="1:26" s="42" customFormat="1" ht="10.5" customHeight="1" thickBot="1">
      <c r="A185" s="43"/>
      <c r="B185" s="672" t="s">
        <v>6825</v>
      </c>
      <c r="C185" s="43"/>
      <c r="D185" s="48"/>
      <c r="E185" s="48"/>
      <c r="F185" s="48"/>
      <c r="G185" s="48"/>
      <c r="H185" s="13"/>
      <c r="I185" s="13"/>
      <c r="J185" s="13"/>
      <c r="K185" s="13"/>
      <c r="M185" s="32"/>
      <c r="N185" s="32"/>
      <c r="O185" s="2"/>
      <c r="P185" s="2542"/>
    </row>
    <row r="186" spans="1:26" s="19" customFormat="1" ht="21.75" customHeight="1" thickTop="1" thickBot="1">
      <c r="A186" s="4598"/>
      <c r="B186" s="4599"/>
      <c r="C186" s="4599"/>
      <c r="D186" s="4599"/>
      <c r="E186" s="4599"/>
      <c r="F186" s="4599"/>
      <c r="G186" s="4599"/>
      <c r="H186" s="4599"/>
      <c r="I186" s="4599"/>
      <c r="J186" s="4599"/>
      <c r="K186" s="4599"/>
      <c r="L186" s="4599"/>
      <c r="M186" s="4599"/>
      <c r="N186" s="4599"/>
      <c r="O186" s="4599"/>
      <c r="P186" s="4600"/>
      <c r="Q186" s="249" t="s">
        <v>6410</v>
      </c>
    </row>
    <row r="187" spans="1:26" s="42" customFormat="1" ht="11.7" customHeight="1" thickTop="1">
      <c r="A187" s="43"/>
      <c r="B187" s="45" t="s">
        <v>1453</v>
      </c>
      <c r="C187" s="43"/>
      <c r="D187" s="45"/>
      <c r="E187" s="2590"/>
      <c r="F187" s="2590"/>
      <c r="G187" s="2590"/>
      <c r="H187" s="2590"/>
      <c r="I187" s="2590"/>
      <c r="J187" s="2590"/>
      <c r="K187" s="2590"/>
      <c r="L187" s="2590"/>
      <c r="M187" s="2590"/>
      <c r="N187" s="2402"/>
      <c r="O187" s="493"/>
      <c r="P187" s="2542"/>
      <c r="Q187" s="19"/>
    </row>
    <row r="188" spans="1:26" s="19" customFormat="1" ht="11.25" customHeight="1">
      <c r="A188" s="4387"/>
      <c r="B188" s="4388"/>
      <c r="C188" s="4388"/>
      <c r="D188" s="4388"/>
      <c r="E188" s="4388"/>
      <c r="F188" s="4388"/>
      <c r="G188" s="4388"/>
      <c r="H188" s="4388"/>
      <c r="I188" s="4388"/>
      <c r="J188" s="4388"/>
      <c r="K188" s="4388"/>
      <c r="L188" s="4388"/>
      <c r="M188" s="4388"/>
      <c r="N188" s="4388"/>
      <c r="O188" s="4388"/>
      <c r="P188" s="4389"/>
      <c r="Q188" s="248"/>
    </row>
    <row r="189" spans="1:26" s="19" customFormat="1" ht="3" customHeight="1" thickBot="1">
      <c r="A189" s="43"/>
      <c r="C189" s="2586"/>
      <c r="D189" s="2586"/>
      <c r="E189" s="2586"/>
      <c r="F189" s="2586"/>
      <c r="G189" s="2586"/>
      <c r="H189" s="2586"/>
      <c r="I189" s="2586"/>
      <c r="J189" s="2586"/>
      <c r="K189" s="2586"/>
      <c r="L189" s="2586"/>
      <c r="M189" s="2586"/>
      <c r="N189" s="2401"/>
      <c r="O189" s="31"/>
      <c r="P189" s="2542"/>
    </row>
    <row r="190" spans="1:26" s="19" customFormat="1" ht="13.5" customHeight="1" thickBot="1">
      <c r="A190" s="79" t="s">
        <v>1486</v>
      </c>
      <c r="B190" s="50" t="s">
        <v>6883</v>
      </c>
      <c r="C190" s="2586"/>
      <c r="D190" s="2586"/>
      <c r="E190" s="2586"/>
      <c r="F190" s="2586"/>
      <c r="G190" s="2586"/>
      <c r="H190" s="2586"/>
      <c r="I190" s="2586"/>
      <c r="J190" s="2586"/>
      <c r="K190" s="2586"/>
      <c r="L190" s="2586"/>
      <c r="M190" s="2542">
        <v>3</v>
      </c>
      <c r="N190" s="2401"/>
      <c r="O190" s="31"/>
      <c r="P190" s="642"/>
      <c r="Q190" s="53" t="s">
        <v>1744</v>
      </c>
      <c r="R190" s="585" t="s">
        <v>6884</v>
      </c>
    </row>
    <row r="191" spans="1:26" s="19" customFormat="1" ht="13.5" customHeight="1">
      <c r="A191" s="79"/>
      <c r="B191" s="48" t="s">
        <v>6885</v>
      </c>
      <c r="C191" s="2586"/>
      <c r="D191" s="2586"/>
      <c r="E191" s="2586"/>
      <c r="F191" s="2586"/>
      <c r="G191" s="2586"/>
      <c r="H191" s="2586"/>
      <c r="L191" s="1305" t="str">
        <f>IF(OR(O$233&gt;0,O$205&gt;0),"Applicant is ineligible for points in this section!  Points claimed in Stable Communities or Community Designations.","")</f>
        <v/>
      </c>
      <c r="M191" s="2542"/>
      <c r="N191" s="2401"/>
      <c r="O191" s="2900"/>
      <c r="P191" s="753"/>
      <c r="Q191" s="53"/>
      <c r="R191" s="1093"/>
      <c r="S191" s="1093"/>
      <c r="T191" s="1093"/>
      <c r="U191" s="1093"/>
    </row>
    <row r="192" spans="1:26" s="19" customFormat="1" ht="13.5" customHeight="1">
      <c r="A192" s="79"/>
      <c r="B192" s="972" t="s">
        <v>6886</v>
      </c>
      <c r="C192" s="2586"/>
      <c r="D192" s="2586"/>
      <c r="E192" s="2586"/>
      <c r="F192" s="2586"/>
      <c r="G192" s="2586"/>
      <c r="H192" s="2586"/>
      <c r="L192" s="821"/>
      <c r="M192" s="2542"/>
      <c r="N192" s="2542"/>
      <c r="O192" s="2542"/>
      <c r="P192" s="2542"/>
      <c r="Q192" s="53"/>
      <c r="R192" s="1093"/>
      <c r="S192" s="1093"/>
      <c r="T192" s="1093"/>
      <c r="U192" s="1093"/>
    </row>
    <row r="193" spans="1:24" ht="11.7" customHeight="1">
      <c r="A193" s="72" t="s">
        <v>219</v>
      </c>
      <c r="B193" s="92" t="s">
        <v>6887</v>
      </c>
      <c r="D193" s="11"/>
      <c r="G193" s="263"/>
      <c r="N193"/>
      <c r="O193" s="2596"/>
      <c r="P193" s="2596"/>
      <c r="Q193" s="150"/>
    </row>
    <row r="194" spans="1:24" s="902" customFormat="1" ht="12.75" customHeight="1">
      <c r="B194" s="244" t="s">
        <v>201</v>
      </c>
      <c r="C194" s="4379" t="s">
        <v>6888</v>
      </c>
      <c r="D194" s="4379"/>
      <c r="E194" s="4379"/>
      <c r="F194" s="4379"/>
      <c r="G194" s="4379"/>
      <c r="H194" s="4379"/>
      <c r="I194" s="4379"/>
      <c r="J194" s="4379"/>
      <c r="K194" s="4379"/>
      <c r="L194" s="4379"/>
      <c r="M194" s="643" t="s">
        <v>219</v>
      </c>
      <c r="N194" s="217" t="s">
        <v>201</v>
      </c>
      <c r="O194" s="2913"/>
      <c r="P194" s="2914"/>
      <c r="Q194" s="678"/>
      <c r="V194" s="1070"/>
      <c r="W194" s="1070"/>
    </row>
    <row r="195" spans="1:24" s="11" customFormat="1" ht="12.75" customHeight="1">
      <c r="A195" s="283"/>
      <c r="B195" s="244" t="s">
        <v>209</v>
      </c>
      <c r="C195" s="16" t="s">
        <v>6889</v>
      </c>
      <c r="D195" s="68"/>
      <c r="E195" s="68"/>
      <c r="F195" s="68"/>
      <c r="G195" s="68"/>
      <c r="H195" s="68"/>
      <c r="I195" s="68"/>
      <c r="J195" s="68"/>
      <c r="K195" s="68"/>
      <c r="L195" s="68"/>
      <c r="M195" s="68"/>
      <c r="N195" s="217" t="s">
        <v>209</v>
      </c>
      <c r="O195" s="202"/>
      <c r="P195" s="299"/>
      <c r="Q195" s="588"/>
      <c r="V195" s="673"/>
      <c r="W195" s="673"/>
    </row>
    <row r="196" spans="1:24" s="11" customFormat="1" ht="22.5" customHeight="1">
      <c r="A196" s="283"/>
      <c r="B196" s="244" t="s">
        <v>213</v>
      </c>
      <c r="C196" s="4379" t="s">
        <v>6890</v>
      </c>
      <c r="D196" s="4379"/>
      <c r="E196" s="4379"/>
      <c r="F196" s="4379"/>
      <c r="G196" s="4379"/>
      <c r="H196" s="4379"/>
      <c r="I196" s="4379"/>
      <c r="J196" s="4379"/>
      <c r="K196" s="4379"/>
      <c r="L196" s="4379"/>
      <c r="M196" s="329"/>
      <c r="N196" s="217" t="s">
        <v>213</v>
      </c>
      <c r="O196" s="2595"/>
      <c r="P196" s="2593"/>
      <c r="Q196" s="588"/>
      <c r="V196" s="673"/>
      <c r="W196" s="673"/>
    </row>
    <row r="197" spans="1:24" ht="11.7" customHeight="1">
      <c r="A197" s="72" t="s">
        <v>221</v>
      </c>
      <c r="B197" s="92" t="s">
        <v>6891</v>
      </c>
      <c r="D197" s="11"/>
      <c r="G197" s="263"/>
      <c r="N197"/>
      <c r="O197" s="2596"/>
      <c r="P197" s="2596"/>
      <c r="Q197" s="150"/>
    </row>
    <row r="198" spans="1:24" s="902" customFormat="1" ht="23.25" customHeight="1">
      <c r="B198" s="244" t="s">
        <v>201</v>
      </c>
      <c r="C198" s="4379" t="s">
        <v>6892</v>
      </c>
      <c r="D198" s="4379"/>
      <c r="E198" s="4379"/>
      <c r="F198" s="4379"/>
      <c r="G198" s="4379"/>
      <c r="H198" s="4379"/>
      <c r="I198" s="4379"/>
      <c r="J198" s="4379"/>
      <c r="K198" s="4379"/>
      <c r="L198" s="4379"/>
      <c r="M198" s="643" t="s">
        <v>221</v>
      </c>
      <c r="N198" s="217" t="s">
        <v>201</v>
      </c>
      <c r="O198" s="2913"/>
      <c r="P198" s="2914"/>
      <c r="Q198" s="678"/>
      <c r="V198" s="1070"/>
      <c r="W198" s="1070"/>
    </row>
    <row r="199" spans="1:24" s="11" customFormat="1" ht="23.25" customHeight="1">
      <c r="A199" s="283"/>
      <c r="B199" s="244" t="s">
        <v>209</v>
      </c>
      <c r="C199" s="4379" t="s">
        <v>6893</v>
      </c>
      <c r="D199" s="4379"/>
      <c r="E199" s="4379"/>
      <c r="F199" s="4379"/>
      <c r="G199" s="4379"/>
      <c r="H199" s="4379"/>
      <c r="I199" s="4379"/>
      <c r="J199" s="4379"/>
      <c r="K199" s="4379"/>
      <c r="L199" s="4379"/>
      <c r="M199" s="68"/>
      <c r="N199" s="217" t="s">
        <v>209</v>
      </c>
      <c r="O199" s="2595"/>
      <c r="P199" s="2593"/>
      <c r="Q199" s="588"/>
      <c r="V199" s="673"/>
      <c r="W199" s="673"/>
    </row>
    <row r="200" spans="1:24" s="19" customFormat="1" ht="12" customHeight="1" thickBot="1">
      <c r="A200" s="43"/>
      <c r="B200" s="672" t="s">
        <v>6825</v>
      </c>
      <c r="C200" s="43"/>
      <c r="D200" s="48"/>
      <c r="E200" s="48"/>
      <c r="F200" s="48"/>
      <c r="G200" s="48"/>
      <c r="H200" s="13"/>
      <c r="I200" s="13"/>
      <c r="M200" s="32"/>
      <c r="N200" s="58"/>
      <c r="O200" s="2"/>
      <c r="P200" s="9"/>
    </row>
    <row r="201" spans="1:24" s="19" customFormat="1" ht="45.6" customHeight="1" thickTop="1" thickBot="1">
      <c r="A201" s="4750"/>
      <c r="B201" s="4751"/>
      <c r="C201" s="4751"/>
      <c r="D201" s="4751"/>
      <c r="E201" s="4751"/>
      <c r="F201" s="4751"/>
      <c r="G201" s="4751"/>
      <c r="H201" s="4751"/>
      <c r="I201" s="4751"/>
      <c r="J201" s="4751"/>
      <c r="K201" s="4751"/>
      <c r="L201" s="4751"/>
      <c r="M201" s="4751"/>
      <c r="N201" s="4751"/>
      <c r="O201" s="4751"/>
      <c r="P201" s="4752"/>
      <c r="Q201" s="249" t="s">
        <v>6410</v>
      </c>
    </row>
    <row r="202" spans="1:24" s="19" customFormat="1" ht="10.5" customHeight="1" thickTop="1">
      <c r="A202" s="43"/>
      <c r="B202" s="37" t="s">
        <v>1453</v>
      </c>
      <c r="C202" s="43"/>
      <c r="D202" s="37"/>
      <c r="E202" s="2586"/>
      <c r="F202" s="2586"/>
      <c r="G202" s="2586"/>
      <c r="H202" s="2586"/>
      <c r="I202" s="2586"/>
      <c r="J202" s="2586"/>
      <c r="K202" s="2586"/>
      <c r="L202" s="2586"/>
      <c r="M202" s="2586"/>
      <c r="N202" s="2401"/>
      <c r="O202" s="31"/>
      <c r="P202" s="2542"/>
    </row>
    <row r="203" spans="1:24" s="19" customFormat="1" ht="22.2" customHeight="1">
      <c r="A203" s="4657"/>
      <c r="B203" s="4658"/>
      <c r="C203" s="4658"/>
      <c r="D203" s="4658"/>
      <c r="E203" s="4658"/>
      <c r="F203" s="4658"/>
      <c r="G203" s="4658"/>
      <c r="H203" s="4658"/>
      <c r="I203" s="4658"/>
      <c r="J203" s="4658"/>
      <c r="K203" s="4658"/>
      <c r="L203" s="4658"/>
      <c r="M203" s="4658"/>
      <c r="N203" s="4658"/>
      <c r="O203" s="4658"/>
      <c r="P203" s="4659"/>
      <c r="Q203" s="248"/>
    </row>
    <row r="204" spans="1:24" ht="6.75" customHeight="1" thickBot="1">
      <c r="N204" s="58"/>
      <c r="V204" s="19"/>
      <c r="W204" s="19"/>
      <c r="X204" s="19"/>
    </row>
    <row r="205" spans="1:24" s="42" customFormat="1" ht="13.5" customHeight="1" thickBot="1">
      <c r="A205" s="79" t="s">
        <v>1488</v>
      </c>
      <c r="B205" s="50" t="s">
        <v>1908</v>
      </c>
      <c r="D205" s="21"/>
      <c r="E205" s="21"/>
      <c r="L205" s="283" t="str">
        <f>IF(AND(O205&gt;0,NOT($M$55="New Supply")), "Ineligible to score in this section, not New Supply!","")</f>
        <v/>
      </c>
      <c r="M205" s="2542">
        <v>10</v>
      </c>
      <c r="N205" s="32"/>
      <c r="O205" s="630">
        <f>MIN($M$205,O207+O211)</f>
        <v>0</v>
      </c>
      <c r="P205" s="630">
        <f>MIN($M$205,P207+P211)</f>
        <v>0</v>
      </c>
      <c r="Q205" s="53" t="s">
        <v>1744</v>
      </c>
      <c r="R205" s="585"/>
      <c r="S205" s="1094"/>
      <c r="T205" s="1094"/>
      <c r="U205" s="1094"/>
      <c r="V205" s="19"/>
      <c r="W205" s="19"/>
      <c r="X205" s="19"/>
    </row>
    <row r="206" spans="1:24" s="42" customFormat="1" ht="3" customHeight="1">
      <c r="A206" s="79"/>
      <c r="B206" s="50"/>
      <c r="D206" s="21"/>
      <c r="E206" s="21"/>
      <c r="G206" s="98"/>
      <c r="M206" s="328"/>
      <c r="Q206" s="53"/>
      <c r="S206" s="1094"/>
      <c r="T206" s="1094"/>
      <c r="U206" s="1094"/>
      <c r="V206" s="19"/>
      <c r="W206" s="19"/>
      <c r="X206" s="19"/>
    </row>
    <row r="207" spans="1:24" s="42" customFormat="1" ht="12.75" customHeight="1">
      <c r="A207" s="1071" t="s">
        <v>186</v>
      </c>
      <c r="B207" s="92" t="s">
        <v>6894</v>
      </c>
      <c r="D207" s="21"/>
      <c r="E207" s="21"/>
      <c r="K207" s="900"/>
      <c r="M207" s="2525">
        <v>5</v>
      </c>
      <c r="N207" s="28" t="s">
        <v>186</v>
      </c>
      <c r="O207" s="2976"/>
      <c r="P207" s="2977"/>
      <c r="Q207" s="839" t="str">
        <f>IF(O207&lt;=M207,"","*CHECK!*")</f>
        <v/>
      </c>
      <c r="R207" s="585" t="s">
        <v>6813</v>
      </c>
      <c r="S207" s="1094"/>
      <c r="T207" s="1094"/>
      <c r="U207" s="1094"/>
    </row>
    <row r="208" spans="1:24" ht="12.75" customHeight="1">
      <c r="B208" s="1071"/>
      <c r="C208" s="13" t="s">
        <v>6895</v>
      </c>
      <c r="D208" s="42"/>
      <c r="E208" s="21"/>
      <c r="F208" s="21"/>
      <c r="G208" s="42"/>
      <c r="H208" s="42"/>
      <c r="I208" s="42"/>
      <c r="J208" s="4792" t="s">
        <v>1211</v>
      </c>
      <c r="K208" s="4793"/>
      <c r="L208" s="4794"/>
      <c r="M208" s="4795"/>
      <c r="N208" s="32"/>
      <c r="R208" s="53"/>
      <c r="S208" s="42"/>
    </row>
    <row r="209" spans="1:27" ht="12.75" customHeight="1">
      <c r="C209" s="500" t="s">
        <v>6896</v>
      </c>
      <c r="D209" s="25"/>
      <c r="J209" s="4768"/>
      <c r="K209" s="4769"/>
      <c r="L209" s="4769"/>
      <c r="M209" s="4770"/>
      <c r="N209" s="32"/>
      <c r="O209" s="32"/>
      <c r="P209" s="32"/>
      <c r="R209" s="42"/>
      <c r="S209" s="1094"/>
    </row>
    <row r="210" spans="1:27" ht="6" customHeight="1">
      <c r="A210" s="287"/>
      <c r="B210" s="499"/>
      <c r="C210" s="25"/>
      <c r="M210" s="32"/>
      <c r="N210" s="2607"/>
      <c r="O210" s="2542"/>
      <c r="P210" s="2542"/>
      <c r="S210" s="1094"/>
      <c r="T210" s="1094"/>
      <c r="U210" s="1094"/>
    </row>
    <row r="211" spans="1:27" s="11" customFormat="1" ht="12.75" customHeight="1">
      <c r="A211" s="501" t="s">
        <v>198</v>
      </c>
      <c r="B211" s="823" t="s">
        <v>6897</v>
      </c>
      <c r="C211" s="13"/>
      <c r="K211" s="28"/>
      <c r="L211" s="28"/>
      <c r="M211" s="2525">
        <v>5</v>
      </c>
      <c r="N211" s="28" t="s">
        <v>198</v>
      </c>
      <c r="O211" s="2976"/>
      <c r="P211" s="2977"/>
      <c r="Q211" s="839" t="str">
        <f>IF(O211&lt;=M211,"","*CHECK!*")</f>
        <v/>
      </c>
      <c r="R211" s="585" t="s">
        <v>6813</v>
      </c>
      <c r="S211" s="1094"/>
      <c r="T211" s="1094"/>
      <c r="U211" s="1094"/>
    </row>
    <row r="212" spans="1:27">
      <c r="C212" s="1100" t="s">
        <v>6898</v>
      </c>
      <c r="E212" s="4601" t="s">
        <v>6899</v>
      </c>
      <c r="F212" s="4601"/>
      <c r="G212" s="4601"/>
      <c r="H212" s="4601"/>
      <c r="I212" s="2612" t="s">
        <v>6900</v>
      </c>
      <c r="J212" s="4601" t="s">
        <v>6899</v>
      </c>
      <c r="K212" s="4601"/>
      <c r="L212" s="4601"/>
      <c r="M212" s="4601"/>
      <c r="N212"/>
      <c r="O212"/>
      <c r="P212"/>
    </row>
    <row r="213" spans="1:27" ht="13.5" customHeight="1">
      <c r="B213" s="287"/>
      <c r="C213" s="13" t="s">
        <v>6901</v>
      </c>
      <c r="E213" s="4602"/>
      <c r="F213" s="4603"/>
      <c r="G213" s="4603"/>
      <c r="H213" s="4604"/>
      <c r="I213" s="2978" t="s">
        <v>671</v>
      </c>
      <c r="J213" s="4765"/>
      <c r="K213" s="4766"/>
      <c r="L213" s="4766"/>
      <c r="M213" s="4767"/>
      <c r="N213"/>
      <c r="Q213" s="9"/>
      <c r="R213" s="9"/>
      <c r="S213" s="9"/>
      <c r="T213" s="9"/>
      <c r="U213" s="9"/>
      <c r="V213" s="9"/>
      <c r="W213" s="9"/>
      <c r="X213" s="9"/>
      <c r="Y213" s="9"/>
      <c r="Z213" s="9"/>
      <c r="AA213" s="1280"/>
    </row>
    <row r="214" spans="1:27" ht="13.5" customHeight="1">
      <c r="C214" s="13" t="s">
        <v>6902</v>
      </c>
      <c r="E214" s="4713"/>
      <c r="F214" s="4714"/>
      <c r="G214" s="4714"/>
      <c r="H214" s="4715"/>
      <c r="I214" s="1306"/>
      <c r="J214" s="4595"/>
      <c r="K214" s="4596"/>
      <c r="L214" s="4596"/>
      <c r="M214" s="4597"/>
      <c r="N214" s="839" t="str">
        <f>IF(P211&lt;=N211,"","*CHECK!*")</f>
        <v/>
      </c>
      <c r="Q214" s="9"/>
      <c r="R214" s="9"/>
      <c r="S214" s="9"/>
      <c r="T214" s="9"/>
      <c r="U214" s="9"/>
      <c r="V214" s="9"/>
      <c r="W214" s="9"/>
      <c r="X214" s="9"/>
      <c r="Y214" s="9"/>
      <c r="Z214" s="9"/>
      <c r="AA214" s="1280"/>
    </row>
    <row r="215" spans="1:27" ht="13.5" customHeight="1">
      <c r="B215" s="287"/>
      <c r="C215" s="13" t="s">
        <v>6903</v>
      </c>
      <c r="E215" s="4713"/>
      <c r="F215" s="4714"/>
      <c r="G215" s="4714"/>
      <c r="H215" s="4715"/>
      <c r="I215" s="1306"/>
      <c r="J215" s="4595"/>
      <c r="K215" s="4596"/>
      <c r="L215" s="4596"/>
      <c r="M215" s="4597"/>
      <c r="N215"/>
      <c r="Q215" s="9"/>
      <c r="R215" s="9"/>
      <c r="S215" s="9"/>
      <c r="T215" s="9"/>
      <c r="U215" s="9"/>
      <c r="V215" s="9"/>
      <c r="W215" s="9"/>
      <c r="X215" s="9"/>
      <c r="Y215" s="9"/>
      <c r="Z215" s="9"/>
      <c r="AA215" s="1280"/>
    </row>
    <row r="216" spans="1:27" ht="13.5" customHeight="1">
      <c r="B216" s="25"/>
      <c r="C216" s="13" t="s">
        <v>1922</v>
      </c>
      <c r="E216" s="4756"/>
      <c r="F216" s="4757"/>
      <c r="G216" s="4757"/>
      <c r="H216" s="4758"/>
      <c r="I216" s="1307"/>
      <c r="J216" s="4762"/>
      <c r="K216" s="4763"/>
      <c r="L216" s="4763"/>
      <c r="M216" s="4764"/>
      <c r="N216" s="25"/>
      <c r="Q216" s="9"/>
      <c r="R216" s="9"/>
      <c r="S216" s="9"/>
      <c r="T216" s="9"/>
      <c r="U216" s="9"/>
      <c r="V216" s="9"/>
      <c r="W216" s="9"/>
      <c r="X216" s="9"/>
      <c r="Y216" s="9"/>
      <c r="Z216" s="9"/>
      <c r="AA216" s="1280"/>
    </row>
    <row r="217" spans="1:27" ht="6" customHeight="1">
      <c r="B217" s="25"/>
      <c r="C217" s="499"/>
      <c r="D217" s="25"/>
      <c r="N217" s="32"/>
      <c r="O217" s="2607"/>
      <c r="P217" s="2542"/>
      <c r="Q217" s="2542"/>
      <c r="R217" s="2542"/>
      <c r="S217" s="2542"/>
      <c r="T217" s="2542"/>
      <c r="U217" s="2542"/>
      <c r="V217" s="2542"/>
      <c r="W217" s="2542"/>
      <c r="X217" s="2542"/>
      <c r="Y217" s="2542"/>
      <c r="Z217" s="2542"/>
    </row>
    <row r="218" spans="1:27" ht="3" customHeight="1">
      <c r="A218" s="287"/>
      <c r="B218" s="499"/>
      <c r="C218" s="25"/>
      <c r="M218" s="32"/>
      <c r="N218" s="2607"/>
      <c r="O218" s="2542"/>
      <c r="P218" s="2542"/>
      <c r="S218" s="1250"/>
      <c r="T218" s="1250"/>
      <c r="U218" s="1250"/>
      <c r="V218" s="1250"/>
      <c r="W218" s="1250"/>
    </row>
    <row r="219" spans="1:27" s="19" customFormat="1" ht="10.5" customHeight="1" thickBot="1">
      <c r="A219" s="43"/>
      <c r="B219" s="672" t="s">
        <v>6825</v>
      </c>
      <c r="C219" s="43"/>
      <c r="D219" s="48"/>
      <c r="E219" s="48"/>
      <c r="F219" s="48"/>
      <c r="G219" s="48"/>
      <c r="H219" s="13"/>
      <c r="I219" s="13"/>
      <c r="J219" s="13"/>
      <c r="K219" s="13"/>
      <c r="M219" s="32"/>
      <c r="N219" s="58"/>
      <c r="O219" s="2"/>
      <c r="P219" s="9"/>
    </row>
    <row r="220" spans="1:27" s="19" customFormat="1" ht="34.950000000000003" customHeight="1" thickTop="1" thickBot="1">
      <c r="A220" s="4598"/>
      <c r="B220" s="4599"/>
      <c r="C220" s="4599"/>
      <c r="D220" s="4599"/>
      <c r="E220" s="4599"/>
      <c r="F220" s="4599"/>
      <c r="G220" s="4599"/>
      <c r="H220" s="4599"/>
      <c r="I220" s="4599"/>
      <c r="J220" s="4599"/>
      <c r="K220" s="4599"/>
      <c r="L220" s="4599"/>
      <c r="M220" s="4599"/>
      <c r="N220" s="4599"/>
      <c r="O220" s="4599"/>
      <c r="P220" s="4600"/>
      <c r="Q220" s="249" t="s">
        <v>6410</v>
      </c>
    </row>
    <row r="221" spans="1:27" ht="2.25" customHeight="1" thickTop="1">
      <c r="A221" s="287"/>
      <c r="B221" s="499"/>
      <c r="C221" s="25"/>
      <c r="M221" s="32"/>
      <c r="N221" s="2607"/>
      <c r="O221" s="2542"/>
      <c r="P221" s="2542"/>
    </row>
    <row r="222" spans="1:27" s="19" customFormat="1" ht="10.5" customHeight="1">
      <c r="A222" s="43"/>
      <c r="B222" s="37" t="s">
        <v>1453</v>
      </c>
      <c r="C222" s="43"/>
      <c r="D222" s="37"/>
      <c r="E222" s="2586"/>
      <c r="F222" s="2586"/>
      <c r="G222" s="2586"/>
      <c r="H222" s="2586"/>
      <c r="I222" s="2586"/>
      <c r="J222" s="2586"/>
      <c r="K222" s="2586"/>
      <c r="L222" s="2586"/>
      <c r="M222" s="2586"/>
      <c r="N222" s="2401"/>
      <c r="O222" s="31"/>
      <c r="P222" s="2542"/>
    </row>
    <row r="223" spans="1:27" s="19" customFormat="1" ht="11.25" customHeight="1">
      <c r="A223" s="4657"/>
      <c r="B223" s="4658"/>
      <c r="C223" s="4658"/>
      <c r="D223" s="4658"/>
      <c r="E223" s="4658"/>
      <c r="F223" s="4658"/>
      <c r="G223" s="4658"/>
      <c r="H223" s="4658"/>
      <c r="I223" s="4658"/>
      <c r="J223" s="4658"/>
      <c r="K223" s="4658"/>
      <c r="L223" s="4658"/>
      <c r="M223" s="4658"/>
      <c r="N223" s="4658"/>
      <c r="O223" s="4658"/>
      <c r="P223" s="4659"/>
      <c r="Q223" s="248"/>
    </row>
    <row r="224" spans="1:27" s="19" customFormat="1" ht="5.25" customHeight="1" thickBot="1">
      <c r="A224" s="43"/>
      <c r="D224" s="13"/>
      <c r="E224" s="13"/>
      <c r="F224" s="2542"/>
      <c r="G224" s="2542"/>
      <c r="H224" s="2542"/>
      <c r="I224" s="2542"/>
      <c r="J224" s="16"/>
      <c r="K224" s="16"/>
      <c r="L224" s="16"/>
      <c r="M224" s="2596"/>
      <c r="N224" s="2542"/>
      <c r="O224" s="9"/>
      <c r="P224" s="2"/>
    </row>
    <row r="225" spans="1:24" ht="13.5" customHeight="1" thickBot="1">
      <c r="A225" s="79" t="s">
        <v>1490</v>
      </c>
      <c r="B225" s="80" t="s">
        <v>1952</v>
      </c>
      <c r="C225" s="25"/>
      <c r="G225" s="1087" t="s">
        <v>6904</v>
      </c>
      <c r="H225" s="1035" t="e">
        <f>IF(OR($M$34="9% Credit Competitive Round only", $M$34="9% Credit &amp; HOME"),"9%",IF(OR($M$34="4% Credit/TE Bond", $M$34="4% Credit/TE Bond &amp; HOME", $M$34="4% Credit/TE Bond &amp; HOME NOFA", $M$34="4% Credit &amp; NHTF", $M$34="4% Credit &amp; NHTF &amp; HOME"),"4%",""))</f>
        <v>#REF!</v>
      </c>
      <c r="J225" s="1087" t="s">
        <v>808</v>
      </c>
      <c r="K225" s="4787" t="str">
        <f>M55</f>
        <v>&lt;&lt; Select Activity Type &gt;&gt;</v>
      </c>
      <c r="L225" s="4788"/>
      <c r="M225" s="2542">
        <v>1</v>
      </c>
      <c r="N225" s="2607"/>
      <c r="O225" s="630">
        <f>IF(O227+O228&gt;$M$225,"Choose",MIN($M$225,SUM(O227:O228)))</f>
        <v>0</v>
      </c>
      <c r="P225" s="630">
        <f>IF(P227+P228&gt;$M$225,"Choose",MIN($M$225,SUM(P227:P228)))</f>
        <v>0</v>
      </c>
      <c r="Q225" s="53" t="s">
        <v>1744</v>
      </c>
      <c r="R225" s="629" t="str">
        <f>IF(AND(O225&gt;0,NOT($M$55="New Supply")), "Ineligible to score in this section, not New Supply!","")</f>
        <v/>
      </c>
    </row>
    <row r="226" spans="1:24" s="19" customFormat="1" ht="12" customHeight="1">
      <c r="A226" s="43"/>
      <c r="B226" s="1089" t="s">
        <v>6905</v>
      </c>
      <c r="D226" s="13"/>
      <c r="E226" s="13"/>
      <c r="F226" s="2542"/>
      <c r="G226" s="2596" t="s">
        <v>1954</v>
      </c>
      <c r="H226" s="2979" t="e">
        <f>IF(#REF!=0,0,#REF!/#REF!)</f>
        <v>#REF!</v>
      </c>
      <c r="J226" s="263" t="s">
        <v>6906</v>
      </c>
      <c r="K226" s="4760" t="e">
        <f>#REF!</f>
        <v>#REF!</v>
      </c>
      <c r="L226" s="4761"/>
      <c r="M226" s="2596"/>
      <c r="N226" s="2542"/>
      <c r="O226" s="9"/>
      <c r="P226" s="2"/>
    </row>
    <row r="227" spans="1:24" ht="12" customHeight="1">
      <c r="A227" s="501" t="s">
        <v>186</v>
      </c>
      <c r="B227" s="39" t="s">
        <v>6907</v>
      </c>
      <c r="C227" s="25"/>
      <c r="E227" s="146" t="s">
        <v>6908</v>
      </c>
      <c r="M227" s="2525">
        <v>1</v>
      </c>
      <c r="N227" s="28" t="s">
        <v>186</v>
      </c>
      <c r="O227" s="2980"/>
      <c r="P227" s="2981"/>
      <c r="Q227" s="586" t="str">
        <f>IF(OR($O227=$M227,$O227=0,$O227=""),"","*CHECK!*")</f>
        <v/>
      </c>
      <c r="R227" s="585" t="s">
        <v>6813</v>
      </c>
    </row>
    <row r="228" spans="1:24" ht="12" customHeight="1">
      <c r="A228" s="501" t="s">
        <v>198</v>
      </c>
      <c r="B228" s="39" t="s">
        <v>1833</v>
      </c>
      <c r="C228" s="25"/>
      <c r="E228" s="146" t="s">
        <v>6909</v>
      </c>
      <c r="M228" s="2607">
        <v>1</v>
      </c>
      <c r="N228" s="28" t="s">
        <v>198</v>
      </c>
      <c r="O228" s="293"/>
      <c r="P228" s="298"/>
      <c r="Q228" s="586" t="str">
        <f>IF(OR($O228=$M228,$O228=0,$O228=""),"","*CHECK!*")</f>
        <v/>
      </c>
      <c r="R228" s="585" t="s">
        <v>6813</v>
      </c>
    </row>
    <row r="229" spans="1:24" ht="2.25" customHeight="1">
      <c r="A229" s="287"/>
      <c r="B229" s="499"/>
      <c r="C229" s="25"/>
      <c r="M229" s="32"/>
      <c r="N229" s="2607"/>
      <c r="O229" s="2542"/>
      <c r="P229" s="2542"/>
    </row>
    <row r="230" spans="1:24" s="19" customFormat="1" ht="11.25" customHeight="1">
      <c r="A230" s="43"/>
      <c r="B230" s="37" t="s">
        <v>1453</v>
      </c>
      <c r="C230" s="43"/>
      <c r="D230" s="37"/>
      <c r="E230" s="2586"/>
      <c r="F230" s="2586"/>
      <c r="G230" s="2586"/>
      <c r="H230" s="2586"/>
      <c r="I230" s="2586"/>
      <c r="J230" s="2586"/>
      <c r="K230" s="2586"/>
      <c r="L230" s="2586"/>
      <c r="M230" s="2586"/>
      <c r="N230" s="2401"/>
      <c r="O230" s="31"/>
      <c r="P230" s="2542"/>
    </row>
    <row r="231" spans="1:24" s="19" customFormat="1" ht="11.25" customHeight="1">
      <c r="A231" s="4657"/>
      <c r="B231" s="4658"/>
      <c r="C231" s="4658"/>
      <c r="D231" s="4658"/>
      <c r="E231" s="4658"/>
      <c r="F231" s="4658"/>
      <c r="G231" s="4658"/>
      <c r="H231" s="4658"/>
      <c r="I231" s="4658"/>
      <c r="J231" s="4658"/>
      <c r="K231" s="4658"/>
      <c r="L231" s="4658"/>
      <c r="M231" s="4658"/>
      <c r="N231" s="4658"/>
      <c r="O231" s="4658"/>
      <c r="P231" s="4659"/>
      <c r="Q231" s="248"/>
    </row>
    <row r="232" spans="1:24" s="19" customFormat="1" ht="5.25" customHeight="1" thickBot="1">
      <c r="A232" s="43"/>
      <c r="D232" s="13"/>
      <c r="E232" s="13"/>
      <c r="F232" s="2542"/>
      <c r="G232" s="2542"/>
      <c r="H232" s="2542"/>
      <c r="I232" s="2542"/>
      <c r="J232" s="16"/>
      <c r="K232" s="16"/>
      <c r="L232" s="16"/>
      <c r="M232" s="2596"/>
      <c r="N232" s="2542"/>
      <c r="O232" s="9"/>
      <c r="P232" s="2"/>
    </row>
    <row r="233" spans="1:24" s="42" customFormat="1" ht="13.5" customHeight="1" thickBot="1">
      <c r="A233" s="79" t="s">
        <v>1496</v>
      </c>
      <c r="B233" s="50" t="s">
        <v>1929</v>
      </c>
      <c r="D233" s="21"/>
      <c r="E233" s="21"/>
      <c r="G233" s="1089"/>
      <c r="H233" s="98"/>
      <c r="I233" s="98"/>
      <c r="J233" s="98"/>
      <c r="K233" s="98"/>
      <c r="L233" s="283" t="str">
        <f>IF(AND(O233&gt;0,NOT($M$55="New Supply")), "Ineligible to score in this section, not New Supply!","")</f>
        <v/>
      </c>
      <c r="M233" s="2542">
        <v>10</v>
      </c>
      <c r="N233" s="32"/>
      <c r="O233" s="630">
        <f>IF(OR(O169&gt;0,O191&gt;0,O205&gt;0),0,IF(OR(O235="Yes",O236="Yes"),$M$233,0))</f>
        <v>0</v>
      </c>
      <c r="P233" s="630">
        <f>IF(OR(P169&gt;0,P191&gt;0,P205&gt;0),0,IF(OR(P235="Yes",P236="Yes"),$M$233,0))</f>
        <v>0</v>
      </c>
      <c r="Q233" s="53" t="s">
        <v>1744</v>
      </c>
      <c r="R233" s="1094"/>
      <c r="S233" s="1094"/>
      <c r="T233" s="1094"/>
      <c r="U233" s="1094"/>
      <c r="V233" s="1094"/>
    </row>
    <row r="234" spans="1:24" s="42" customFormat="1" ht="3" customHeight="1">
      <c r="A234" s="79"/>
      <c r="B234" s="50"/>
      <c r="D234" s="21"/>
      <c r="E234" s="21"/>
      <c r="G234" s="98"/>
      <c r="M234" s="328"/>
      <c r="Q234" s="53"/>
      <c r="R234" s="1094"/>
      <c r="S234" s="1094"/>
      <c r="T234" s="1094"/>
      <c r="U234" s="1094"/>
      <c r="V234" s="1094"/>
      <c r="W234" s="19"/>
      <c r="X234" s="19"/>
    </row>
    <row r="235" spans="1:24" ht="11.25" customHeight="1">
      <c r="A235" s="501" t="s">
        <v>186</v>
      </c>
      <c r="B235" s="644" t="s">
        <v>1930</v>
      </c>
      <c r="D235" s="265"/>
      <c r="E235" s="265"/>
      <c r="F235" s="265"/>
      <c r="G235" s="265"/>
      <c r="H235" s="265"/>
      <c r="L235" s="265"/>
      <c r="M235" s="4754" t="str">
        <f>IF(AND(O235="Yes",O236="Yes"),"Only one category can be selected!","")</f>
        <v/>
      </c>
      <c r="N235" s="28" t="s">
        <v>186</v>
      </c>
      <c r="O235" s="2898"/>
      <c r="P235" s="2899"/>
      <c r="Q235" s="591"/>
      <c r="R235" s="1094"/>
      <c r="S235" s="1094"/>
      <c r="T235" s="1094"/>
      <c r="U235" s="1094"/>
      <c r="V235" s="1094"/>
    </row>
    <row r="236" spans="1:24" ht="11.25" customHeight="1">
      <c r="A236" s="501" t="s">
        <v>198</v>
      </c>
      <c r="B236" s="644" t="s">
        <v>1931</v>
      </c>
      <c r="D236" s="265"/>
      <c r="L236" s="265"/>
      <c r="M236" s="4754"/>
      <c r="N236" s="28" t="s">
        <v>198</v>
      </c>
      <c r="O236" s="118"/>
      <c r="P236" s="300"/>
      <c r="Q236" s="591"/>
      <c r="R236" s="1094"/>
      <c r="S236" s="1094"/>
      <c r="T236" s="1094"/>
      <c r="U236" s="1094"/>
      <c r="V236" s="1094"/>
    </row>
    <row r="237" spans="1:24" s="19" customFormat="1" ht="10.5" customHeight="1" thickBot="1">
      <c r="A237" s="43"/>
      <c r="B237" s="672" t="s">
        <v>6825</v>
      </c>
      <c r="C237" s="43"/>
      <c r="D237" s="48"/>
      <c r="E237" s="48"/>
      <c r="F237" s="48"/>
      <c r="G237" s="48"/>
      <c r="H237" s="13"/>
      <c r="I237" s="13"/>
      <c r="J237" s="13"/>
      <c r="K237" s="13"/>
      <c r="M237" s="32"/>
      <c r="N237" s="58"/>
      <c r="O237" s="2"/>
      <c r="P237" s="9"/>
      <c r="R237" s="1094"/>
      <c r="S237" s="1094"/>
      <c r="T237" s="1094"/>
      <c r="U237" s="1094"/>
      <c r="V237" s="1094"/>
    </row>
    <row r="238" spans="1:24" s="19" customFormat="1" ht="34.950000000000003" customHeight="1" thickTop="1" thickBot="1">
      <c r="A238" s="4598"/>
      <c r="B238" s="4599"/>
      <c r="C238" s="4599"/>
      <c r="D238" s="4599"/>
      <c r="E238" s="4599"/>
      <c r="F238" s="4599"/>
      <c r="G238" s="4599"/>
      <c r="H238" s="4599"/>
      <c r="I238" s="4599"/>
      <c r="J238" s="4599"/>
      <c r="K238" s="4599"/>
      <c r="L238" s="4599"/>
      <c r="M238" s="4599"/>
      <c r="N238" s="4599"/>
      <c r="O238" s="4599"/>
      <c r="P238" s="4600"/>
      <c r="Q238" s="249" t="s">
        <v>6410</v>
      </c>
    </row>
    <row r="239" spans="1:24" s="19" customFormat="1" ht="10.5" customHeight="1" thickTop="1">
      <c r="A239" s="43"/>
      <c r="B239" s="37" t="s">
        <v>1453</v>
      </c>
      <c r="C239" s="43"/>
      <c r="D239" s="37"/>
      <c r="E239" s="2586"/>
      <c r="F239" s="2586"/>
      <c r="G239" s="2586"/>
      <c r="H239" s="2586"/>
      <c r="I239" s="2586"/>
      <c r="J239" s="2586"/>
      <c r="K239" s="2586"/>
      <c r="L239" s="2586"/>
      <c r="M239" s="2586"/>
      <c r="N239" s="2401"/>
      <c r="O239" s="31"/>
      <c r="P239" s="2542"/>
    </row>
    <row r="240" spans="1:24" s="19" customFormat="1" ht="11.25" customHeight="1">
      <c r="A240" s="4657"/>
      <c r="B240" s="4658"/>
      <c r="C240" s="4658"/>
      <c r="D240" s="4658"/>
      <c r="E240" s="4658"/>
      <c r="F240" s="4658"/>
      <c r="G240" s="4658"/>
      <c r="H240" s="4658"/>
      <c r="I240" s="4658"/>
      <c r="J240" s="4658"/>
      <c r="K240" s="4658"/>
      <c r="L240" s="4658"/>
      <c r="M240" s="4658"/>
      <c r="N240" s="4658"/>
      <c r="O240" s="4658"/>
      <c r="P240" s="4659"/>
      <c r="Q240" s="248"/>
    </row>
    <row r="241" spans="1:27" s="19" customFormat="1" ht="5.25" customHeight="1" thickBot="1">
      <c r="A241" s="43"/>
      <c r="D241" s="13"/>
      <c r="E241" s="13"/>
      <c r="F241" s="2542"/>
      <c r="G241" s="2542"/>
      <c r="H241" s="2542"/>
      <c r="I241" s="2542"/>
      <c r="J241" s="16"/>
      <c r="K241" s="16"/>
      <c r="L241" s="16"/>
      <c r="M241" s="2596"/>
      <c r="N241" s="2542"/>
      <c r="O241" s="9"/>
      <c r="P241" s="2"/>
    </row>
    <row r="242" spans="1:27" s="19" customFormat="1" ht="13.5" customHeight="1" thickBot="1">
      <c r="A242" s="79" t="s">
        <v>1501</v>
      </c>
      <c r="B242" s="50" t="s">
        <v>1932</v>
      </c>
      <c r="D242" s="17"/>
      <c r="E242" s="1332" t="str">
        <f>IF(AND(O242&gt;0,NOT($M$55="New Supply")), "Ineligible to score in this section, not New Supply!","")</f>
        <v/>
      </c>
      <c r="F242" s="17"/>
      <c r="G242" s="17"/>
      <c r="H242" s="17"/>
      <c r="I242" s="17"/>
      <c r="J242" s="17"/>
      <c r="K242" s="17"/>
      <c r="L242" s="1301" t="str">
        <f>IF(AND(O242&gt;0, NOT(O243="Yes")), "These points are only available to Phased Developments!", "")</f>
        <v/>
      </c>
      <c r="M242" s="2542">
        <v>3</v>
      </c>
      <c r="N242" s="32"/>
      <c r="O242" s="1118"/>
      <c r="P242" s="642"/>
      <c r="Q242" s="53" t="s">
        <v>1744</v>
      </c>
      <c r="R242" s="585" t="s">
        <v>6813</v>
      </c>
      <c r="S242" s="604"/>
      <c r="T242" s="604"/>
      <c r="U242" s="604"/>
      <c r="V242" s="604"/>
      <c r="W242" s="623"/>
      <c r="X242" s="623"/>
    </row>
    <row r="243" spans="1:27" s="47" customFormat="1" ht="10.199999999999999">
      <c r="A243" s="244"/>
      <c r="B243" s="73" t="s">
        <v>1933</v>
      </c>
      <c r="C243" s="73"/>
      <c r="D243" s="73"/>
      <c r="E243" s="73"/>
      <c r="F243" s="73"/>
      <c r="G243" s="73"/>
      <c r="H243" s="73"/>
      <c r="I243" s="73"/>
      <c r="J243" s="73"/>
      <c r="K243" s="73"/>
      <c r="L243" s="73"/>
      <c r="M243" s="73"/>
      <c r="N243" s="84"/>
      <c r="O243" s="2919"/>
      <c r="P243" s="2920"/>
      <c r="Q243" s="1102"/>
      <c r="R243" s="329"/>
      <c r="S243" s="329"/>
      <c r="T243" s="329"/>
      <c r="U243" s="329"/>
      <c r="V243" s="329"/>
      <c r="W243" s="329"/>
      <c r="X243" s="329"/>
      <c r="Y243" s="329"/>
      <c r="Z243" s="329"/>
      <c r="AA243" s="329"/>
    </row>
    <row r="244" spans="1:27" s="15" customFormat="1" ht="11.25" customHeight="1">
      <c r="A244" s="208"/>
      <c r="B244" s="244" t="s">
        <v>201</v>
      </c>
      <c r="C244" s="13" t="s">
        <v>1936</v>
      </c>
      <c r="D244" s="13"/>
      <c r="E244" s="16" t="s">
        <v>6910</v>
      </c>
      <c r="F244" s="13"/>
      <c r="G244" s="2982"/>
      <c r="H244" s="28" t="s">
        <v>46</v>
      </c>
      <c r="I244" s="4626"/>
      <c r="J244" s="4626"/>
      <c r="K244" s="13"/>
      <c r="L244" s="1117" t="s">
        <v>6911</v>
      </c>
      <c r="M244" s="4627"/>
      <c r="N244" s="4627"/>
      <c r="O244" s="13"/>
      <c r="P244" s="13"/>
      <c r="Q244" s="13"/>
      <c r="R244" s="13"/>
      <c r="S244" s="13"/>
      <c r="T244" s="13"/>
      <c r="U244" s="13"/>
      <c r="V244" s="13"/>
      <c r="W244" s="13"/>
      <c r="X244" s="13"/>
      <c r="Y244" s="13"/>
      <c r="Z244" s="13"/>
      <c r="AA244" s="13"/>
    </row>
    <row r="245" spans="1:27" s="15" customFormat="1" ht="11.25" customHeight="1">
      <c r="A245" s="208"/>
      <c r="B245" s="244" t="s">
        <v>209</v>
      </c>
      <c r="C245" s="13" t="s">
        <v>1937</v>
      </c>
      <c r="D245" s="13"/>
      <c r="E245" s="16" t="s">
        <v>6910</v>
      </c>
      <c r="F245" s="13"/>
      <c r="G245" s="1103"/>
      <c r="H245" s="28" t="s">
        <v>46</v>
      </c>
      <c r="I245" s="4755"/>
      <c r="J245" s="4755"/>
      <c r="K245" s="13"/>
      <c r="L245" s="1117" t="s">
        <v>6911</v>
      </c>
      <c r="M245" s="4759"/>
      <c r="N245" s="4759"/>
      <c r="O245" s="13"/>
      <c r="P245" s="13"/>
      <c r="Q245" s="13"/>
      <c r="R245" s="13"/>
      <c r="S245" s="13"/>
      <c r="T245" s="13"/>
      <c r="U245" s="13"/>
      <c r="V245" s="13"/>
      <c r="W245" s="13"/>
      <c r="X245" s="13"/>
      <c r="Y245" s="13"/>
      <c r="Z245" s="13"/>
      <c r="AA245" s="13"/>
    </row>
    <row r="246" spans="1:27" s="19" customFormat="1" ht="5.25" customHeight="1">
      <c r="A246" s="43"/>
      <c r="D246" s="13"/>
      <c r="E246" s="13"/>
      <c r="F246" s="2542"/>
      <c r="G246" s="2542"/>
      <c r="H246" s="2542"/>
      <c r="I246" s="2542"/>
      <c r="J246" s="16"/>
      <c r="K246" s="16"/>
      <c r="L246" s="16"/>
      <c r="M246" s="2596"/>
      <c r="N246" s="2542"/>
      <c r="O246" s="9"/>
      <c r="P246" s="2"/>
    </row>
    <row r="247" spans="1:27" s="19" customFormat="1" ht="10.5" customHeight="1" thickBot="1">
      <c r="A247" s="43"/>
      <c r="B247" s="672" t="s">
        <v>6825</v>
      </c>
      <c r="C247" s="43"/>
      <c r="D247" s="48"/>
      <c r="E247" s="48"/>
      <c r="F247" s="48"/>
      <c r="G247" s="48"/>
      <c r="H247" s="13"/>
      <c r="I247" s="13"/>
      <c r="J247" s="13"/>
      <c r="K247" s="13"/>
      <c r="M247" s="32"/>
      <c r="N247" s="58"/>
      <c r="O247" s="2"/>
      <c r="P247" s="9"/>
    </row>
    <row r="248" spans="1:27" s="19" customFormat="1" ht="21.75" customHeight="1" thickTop="1" thickBot="1">
      <c r="A248" s="4598"/>
      <c r="B248" s="4599"/>
      <c r="C248" s="4599"/>
      <c r="D248" s="4599"/>
      <c r="E248" s="4599"/>
      <c r="F248" s="4599"/>
      <c r="G248" s="4599"/>
      <c r="H248" s="4599"/>
      <c r="I248" s="4599"/>
      <c r="J248" s="4599"/>
      <c r="K248" s="4599"/>
      <c r="L248" s="4599"/>
      <c r="M248" s="4599"/>
      <c r="N248" s="4599"/>
      <c r="O248" s="4599"/>
      <c r="P248" s="4600"/>
      <c r="Q248" s="249" t="s">
        <v>6410</v>
      </c>
    </row>
    <row r="249" spans="1:27" s="19" customFormat="1" ht="10.5" customHeight="1" thickTop="1">
      <c r="B249" s="37" t="s">
        <v>1453</v>
      </c>
      <c r="C249" s="723"/>
      <c r="D249" s="37"/>
      <c r="E249" s="46"/>
      <c r="F249" s="2586"/>
      <c r="G249" s="2586"/>
      <c r="H249" s="2586"/>
      <c r="I249" s="2586"/>
      <c r="J249" s="2586"/>
      <c r="K249" s="2586"/>
      <c r="L249" s="2586"/>
      <c r="M249" s="2586"/>
      <c r="N249" s="2401"/>
      <c r="O249" s="31"/>
      <c r="P249" s="2542"/>
    </row>
    <row r="250" spans="1:27" s="19" customFormat="1" ht="11.25" customHeight="1">
      <c r="A250" s="4387"/>
      <c r="B250" s="4388"/>
      <c r="C250" s="4388"/>
      <c r="D250" s="4388"/>
      <c r="E250" s="4388"/>
      <c r="F250" s="4388"/>
      <c r="G250" s="4388"/>
      <c r="H250" s="4388"/>
      <c r="I250" s="4388"/>
      <c r="J250" s="4388"/>
      <c r="K250" s="4388"/>
      <c r="L250" s="4388"/>
      <c r="M250" s="4388"/>
      <c r="N250" s="4388"/>
      <c r="O250" s="4388"/>
      <c r="P250" s="4389"/>
      <c r="Q250" s="248"/>
    </row>
    <row r="251" spans="1:27" s="19" customFormat="1" ht="5.25" customHeight="1" thickBot="1">
      <c r="A251" s="43"/>
      <c r="D251" s="13"/>
      <c r="E251" s="13"/>
      <c r="F251" s="2542"/>
      <c r="G251" s="2542"/>
      <c r="H251" s="2542"/>
      <c r="I251" s="2542"/>
      <c r="J251" s="16"/>
      <c r="K251" s="16"/>
      <c r="L251" s="16"/>
      <c r="M251" s="2596"/>
      <c r="N251" s="2542"/>
      <c r="O251" s="9"/>
      <c r="P251" s="2"/>
    </row>
    <row r="252" spans="1:27" s="19" customFormat="1" ht="13.5" customHeight="1" thickBot="1">
      <c r="A252" s="79" t="s">
        <v>1516</v>
      </c>
      <c r="B252" s="50" t="s">
        <v>1938</v>
      </c>
      <c r="D252" s="17"/>
      <c r="E252" s="25" t="s">
        <v>6912</v>
      </c>
      <c r="G252" s="27"/>
      <c r="L252" s="283" t="str">
        <f>IF(AND(O252&gt;0,NOT($M$55="New Supply")), "Ineligible to score in this section, not New Supply!","")</f>
        <v/>
      </c>
      <c r="M252" s="2542">
        <v>5</v>
      </c>
      <c r="N252" s="32"/>
      <c r="O252" s="630">
        <f>MIN($M252,MAX(O253,O254,O255))</f>
        <v>0</v>
      </c>
      <c r="P252" s="630">
        <f>MIN($M252,MAX(P253,P254,P255))</f>
        <v>0</v>
      </c>
      <c r="Q252" s="53" t="s">
        <v>1744</v>
      </c>
      <c r="R252" s="585" t="s">
        <v>6813</v>
      </c>
      <c r="S252" s="1104"/>
      <c r="T252" s="1104"/>
      <c r="U252" s="1104"/>
      <c r="V252" s="1104"/>
      <c r="W252" s="623"/>
      <c r="X252" s="623"/>
    </row>
    <row r="253" spans="1:27" s="11" customFormat="1" ht="11.25" customHeight="1">
      <c r="A253" s="72" t="s">
        <v>186</v>
      </c>
      <c r="B253" s="92" t="s">
        <v>6913</v>
      </c>
      <c r="M253" s="2525">
        <v>5</v>
      </c>
      <c r="N253" s="28" t="s">
        <v>186</v>
      </c>
      <c r="O253" s="2617"/>
      <c r="P253" s="2618"/>
      <c r="Q253" s="586" t="str">
        <f>IF(OR($O253=$M253,$O253=$M253-1,$O253=0,$O253=""),"","*CHECK!*")</f>
        <v/>
      </c>
      <c r="R253" s="585" t="s">
        <v>6813</v>
      </c>
      <c r="S253" s="1104"/>
      <c r="T253" s="1104"/>
      <c r="U253" s="1104"/>
      <c r="V253" s="1104"/>
    </row>
    <row r="254" spans="1:27" s="11" customFormat="1" ht="11.25" customHeight="1">
      <c r="A254" s="72" t="s">
        <v>198</v>
      </c>
      <c r="B254" s="92" t="s">
        <v>6914</v>
      </c>
      <c r="M254" s="2525">
        <v>3</v>
      </c>
      <c r="N254" s="28" t="s">
        <v>198</v>
      </c>
      <c r="O254" s="2606"/>
      <c r="P254" s="2616"/>
      <c r="Q254" s="586" t="str">
        <f>IF(OR($O254=$M254,$O254=$M254-1,$O254=0,$O254=""),"","*CHECK!*")</f>
        <v/>
      </c>
      <c r="R254" s="585" t="s">
        <v>6813</v>
      </c>
    </row>
    <row r="255" spans="1:27" ht="13.8">
      <c r="A255" s="72" t="s">
        <v>219</v>
      </c>
      <c r="B255" s="92" t="s">
        <v>6915</v>
      </c>
      <c r="E255" s="16" t="s">
        <v>6916</v>
      </c>
      <c r="I255" s="901"/>
      <c r="L255" s="1072"/>
      <c r="M255" s="2525">
        <v>3</v>
      </c>
      <c r="N255" s="28" t="s">
        <v>219</v>
      </c>
      <c r="O255" s="293"/>
      <c r="P255" s="298"/>
      <c r="Q255" s="586" t="str">
        <f>IF(OR($O255=$M255,$O255=$M255-1,$O255=0,$O255=""),"","*CHECK!*")</f>
        <v/>
      </c>
      <c r="R255" s="585" t="s">
        <v>6813</v>
      </c>
    </row>
    <row r="256" spans="1:27" s="19" customFormat="1" ht="10.5" customHeight="1" thickBot="1">
      <c r="A256" s="43"/>
      <c r="B256" s="672" t="s">
        <v>6825</v>
      </c>
      <c r="C256" s="43"/>
      <c r="D256" s="48"/>
      <c r="E256" s="48"/>
      <c r="F256" s="48"/>
      <c r="G256" s="48"/>
      <c r="H256" s="13"/>
      <c r="I256" s="13"/>
      <c r="J256" s="13"/>
      <c r="K256" s="13"/>
      <c r="M256" s="32"/>
      <c r="N256" s="58"/>
      <c r="O256" s="2"/>
      <c r="P256" s="9"/>
    </row>
    <row r="257" spans="1:21" s="19" customFormat="1" ht="21.75" customHeight="1" thickTop="1" thickBot="1">
      <c r="A257" s="4598"/>
      <c r="B257" s="4599"/>
      <c r="C257" s="4599"/>
      <c r="D257" s="4599"/>
      <c r="E257" s="4599"/>
      <c r="F257" s="4599"/>
      <c r="G257" s="4599"/>
      <c r="H257" s="4599"/>
      <c r="I257" s="4599"/>
      <c r="J257" s="4599"/>
      <c r="K257" s="4599"/>
      <c r="L257" s="4599"/>
      <c r="M257" s="4599"/>
      <c r="N257" s="4599"/>
      <c r="O257" s="4599"/>
      <c r="P257" s="4600"/>
      <c r="Q257" s="249" t="s">
        <v>6410</v>
      </c>
    </row>
    <row r="258" spans="1:21" s="19" customFormat="1" ht="10.5" customHeight="1" thickTop="1">
      <c r="B258" s="37" t="s">
        <v>1453</v>
      </c>
      <c r="C258" s="723"/>
      <c r="D258" s="37"/>
      <c r="E258" s="46"/>
      <c r="F258" s="2586"/>
      <c r="G258" s="2586"/>
      <c r="H258" s="2586"/>
      <c r="I258" s="2586"/>
      <c r="J258" s="2586"/>
      <c r="K258" s="2586"/>
      <c r="L258" s="2586"/>
      <c r="M258" s="2586"/>
      <c r="N258" s="2401"/>
      <c r="O258" s="31"/>
      <c r="P258" s="2542"/>
    </row>
    <row r="259" spans="1:21" s="19" customFormat="1" ht="11.25" customHeight="1">
      <c r="A259" s="4387"/>
      <c r="B259" s="4388"/>
      <c r="C259" s="4388"/>
      <c r="D259" s="4388"/>
      <c r="E259" s="4388"/>
      <c r="F259" s="4388"/>
      <c r="G259" s="4388"/>
      <c r="H259" s="4388"/>
      <c r="I259" s="4388"/>
      <c r="J259" s="4388"/>
      <c r="K259" s="4388"/>
      <c r="L259" s="4388"/>
      <c r="M259" s="4388"/>
      <c r="N259" s="4388"/>
      <c r="O259" s="4388"/>
      <c r="P259" s="4389"/>
      <c r="Q259" s="248"/>
    </row>
    <row r="260" spans="1:21" ht="6" customHeight="1" thickBot="1">
      <c r="N260" s="58"/>
      <c r="T260" s="610"/>
      <c r="U260" s="610"/>
    </row>
    <row r="261" spans="1:21" s="19" customFormat="1" ht="13.5" customHeight="1" thickBot="1">
      <c r="A261" s="80" t="s">
        <v>1520</v>
      </c>
      <c r="B261" s="50" t="s">
        <v>1742</v>
      </c>
      <c r="D261" s="17"/>
      <c r="E261" s="17"/>
      <c r="F261" s="17"/>
      <c r="H261" s="16"/>
      <c r="J261" s="2596"/>
      <c r="K261" s="48"/>
      <c r="L261" s="28" t="s">
        <v>6917</v>
      </c>
      <c r="M261" s="2542">
        <v>4</v>
      </c>
      <c r="N261" s="32"/>
      <c r="O261" s="630">
        <f>IF(AND(O262&gt;0,O266&gt;0),"AorB?",MIN($M261,SUM(O262,O266,O268)))</f>
        <v>0</v>
      </c>
      <c r="P261" s="630">
        <f>IF(AND(P262&gt;0,P266&gt;0),"AorB?",MIN($M261,SUM(P262,P266,P268)))</f>
        <v>0</v>
      </c>
      <c r="Q261" s="53" t="s">
        <v>1744</v>
      </c>
      <c r="T261" s="610"/>
      <c r="U261" s="610"/>
    </row>
    <row r="262" spans="1:21" s="42" customFormat="1" ht="11.25" customHeight="1">
      <c r="A262" s="72" t="s">
        <v>186</v>
      </c>
      <c r="B262" s="92" t="s">
        <v>6918</v>
      </c>
      <c r="D262" s="27"/>
      <c r="E262" s="27"/>
      <c r="F262" s="20"/>
      <c r="G262"/>
      <c r="L262" s="209"/>
      <c r="M262" s="2525">
        <v>3</v>
      </c>
      <c r="N262" s="28" t="s">
        <v>186</v>
      </c>
      <c r="O262" s="822">
        <f>IF(OR(AND(O263="Yes",O264="Yes",O265="Yes"),AND(O263="Yes",O265="Yes"),AND(O264="Yes",O265="Yes"),AND(O263="Yes",O264="Yes")),"choose",IF(O263="Yes",$M$263,IF(O264="Yes",$M$264, IF(O265="Yes",$M$265,0))))</f>
        <v>0</v>
      </c>
      <c r="P262" s="822">
        <f>IF(OR(AND(P263="Yes",P264="Yes",P265="Yes"),AND(P263="Yes",P265="Yes"),AND(P264="Yes",P265="Yes"),AND(P263="Yes",P264="Yes")),"choose",IF(P263="Yes",$M$263,IF(P264="Yes",$M$264, IF(P265="Yes",$M$265,0))))</f>
        <v>0</v>
      </c>
      <c r="Q262" s="586"/>
      <c r="R262" s="629"/>
      <c r="T262" s="610"/>
      <c r="U262" s="610"/>
    </row>
    <row r="263" spans="1:21" s="42" customFormat="1" ht="11.25" customHeight="1">
      <c r="A263" s="72"/>
      <c r="B263" s="208" t="s">
        <v>201</v>
      </c>
      <c r="C263" s="16" t="s">
        <v>6919</v>
      </c>
      <c r="D263" s="27"/>
      <c r="E263" s="27"/>
      <c r="F263" s="20"/>
      <c r="G263"/>
      <c r="L263" s="209"/>
      <c r="M263" s="2525">
        <v>3</v>
      </c>
      <c r="N263" s="101" t="s">
        <v>201</v>
      </c>
      <c r="O263" s="2898"/>
      <c r="P263" s="2899"/>
      <c r="Q263" s="586"/>
      <c r="R263" s="629"/>
      <c r="T263" s="610"/>
      <c r="U263" s="610"/>
    </row>
    <row r="264" spans="1:21" s="42" customFormat="1" ht="11.25" customHeight="1">
      <c r="A264" s="72"/>
      <c r="B264" s="244" t="s">
        <v>209</v>
      </c>
      <c r="C264" s="16" t="s">
        <v>6920</v>
      </c>
      <c r="D264" s="27"/>
      <c r="E264" s="27"/>
      <c r="F264" s="20"/>
      <c r="G264"/>
      <c r="L264" s="209"/>
      <c r="M264" s="2525">
        <v>2</v>
      </c>
      <c r="N264" s="101" t="s">
        <v>209</v>
      </c>
      <c r="O264" s="202"/>
      <c r="P264" s="299"/>
      <c r="Q264" s="586"/>
      <c r="R264" s="629"/>
      <c r="T264" s="610"/>
      <c r="U264" s="610"/>
    </row>
    <row r="265" spans="1:21" s="42" customFormat="1" ht="10.5" customHeight="1">
      <c r="A265" s="72"/>
      <c r="B265" s="244" t="s">
        <v>213</v>
      </c>
      <c r="C265" s="16" t="s">
        <v>6921</v>
      </c>
      <c r="D265" s="27"/>
      <c r="E265" s="27"/>
      <c r="F265" s="20"/>
      <c r="G265"/>
      <c r="K265" s="28"/>
      <c r="M265" s="2525">
        <v>1</v>
      </c>
      <c r="N265" s="101" t="s">
        <v>213</v>
      </c>
      <c r="O265" s="118"/>
      <c r="P265" s="300"/>
      <c r="R265" s="146"/>
      <c r="T265" s="610"/>
      <c r="U265" s="610"/>
    </row>
    <row r="266" spans="1:21" s="19" customFormat="1" ht="11.25" customHeight="1">
      <c r="A266" s="72" t="s">
        <v>198</v>
      </c>
      <c r="B266" s="92" t="s">
        <v>1747</v>
      </c>
      <c r="D266" s="13"/>
      <c r="K266" s="13"/>
      <c r="L266" s="209" t="str">
        <f>IF(OR($O266=$M266,$O266=0,$O266=""),"","* * Check Score! * *")</f>
        <v/>
      </c>
      <c r="M266" s="2525">
        <v>1</v>
      </c>
      <c r="N266" s="28" t="s">
        <v>198</v>
      </c>
      <c r="O266" s="2983">
        <f>IF(O267="Yes",$M$266,0)</f>
        <v>0</v>
      </c>
      <c r="P266" s="2983">
        <f>IF(P267="Yes",$M$266,0)</f>
        <v>0</v>
      </c>
      <c r="Q266" s="586" t="str">
        <f>IF(OR($O266=$M266,$O266=0,$O266=""),"","*CHECK!*")</f>
        <v/>
      </c>
      <c r="R266" s="629"/>
      <c r="T266" s="610"/>
      <c r="U266" s="610"/>
    </row>
    <row r="267" spans="1:21" s="19" customFormat="1" ht="12" customHeight="1">
      <c r="A267" s="80"/>
      <c r="B267" s="4396" t="s">
        <v>6922</v>
      </c>
      <c r="C267" s="4396"/>
      <c r="D267" s="4396"/>
      <c r="E267" s="4396"/>
      <c r="F267" s="4396"/>
      <c r="G267" s="4396"/>
      <c r="H267" s="4396"/>
      <c r="I267" s="4396"/>
      <c r="J267" s="4396"/>
      <c r="K267" s="4396"/>
      <c r="L267" s="4396"/>
      <c r="M267" s="32"/>
      <c r="N267" s="28"/>
      <c r="O267" s="2601"/>
      <c r="P267" s="2602"/>
      <c r="Q267" s="146"/>
      <c r="R267" s="209"/>
      <c r="T267" s="610"/>
      <c r="U267" s="610"/>
    </row>
    <row r="268" spans="1:21" s="19" customFormat="1" ht="11.25" customHeight="1">
      <c r="A268" s="72" t="s">
        <v>219</v>
      </c>
      <c r="B268" s="92" t="s">
        <v>6923</v>
      </c>
      <c r="D268" s="13"/>
      <c r="H268" s="98"/>
      <c r="K268" s="13"/>
      <c r="L268" s="209"/>
      <c r="M268" s="2525">
        <v>1</v>
      </c>
      <c r="N268" s="28" t="s">
        <v>219</v>
      </c>
      <c r="O268" s="2983">
        <f>IF(O262=0,0,IF(O269="Yes",$M$268,0))</f>
        <v>0</v>
      </c>
      <c r="P268" s="2983">
        <f>IF(P262=0,0,IF(P269="Yes",$M$268,0))</f>
        <v>0</v>
      </c>
      <c r="Q268" s="586" t="str">
        <f>IF(OR($O268=$M268,$O268=0,$O268=""),"","*CHECK!*")</f>
        <v/>
      </c>
      <c r="R268" s="629"/>
      <c r="T268" s="610"/>
      <c r="U268" s="610"/>
    </row>
    <row r="269" spans="1:21" s="19" customFormat="1" ht="33.75" customHeight="1">
      <c r="B269" s="4379" t="s">
        <v>6924</v>
      </c>
      <c r="C269" s="4379"/>
      <c r="D269" s="4379"/>
      <c r="E269" s="4379"/>
      <c r="F269" s="4379"/>
      <c r="G269" s="4379"/>
      <c r="H269" s="4379"/>
      <c r="I269" s="4379"/>
      <c r="J269" s="4379"/>
      <c r="K269" s="4379"/>
      <c r="L269" s="4379"/>
      <c r="M269" s="32"/>
      <c r="N269" s="28"/>
      <c r="O269" s="2595"/>
      <c r="P269" s="2593"/>
      <c r="Q269" s="146"/>
      <c r="R269" s="209"/>
      <c r="T269" s="610"/>
      <c r="U269" s="610"/>
    </row>
    <row r="270" spans="1:21" s="19" customFormat="1" ht="22.5" customHeight="1">
      <c r="B270" s="4379" t="s">
        <v>6925</v>
      </c>
      <c r="C270" s="4379"/>
      <c r="D270" s="4379"/>
      <c r="E270" s="4379"/>
      <c r="F270" s="4379"/>
      <c r="G270" s="4379"/>
      <c r="H270" s="4379"/>
      <c r="I270" s="4379"/>
      <c r="J270" s="4379"/>
      <c r="K270" s="4379"/>
      <c r="L270" s="4379"/>
      <c r="M270" s="32"/>
      <c r="N270" s="32"/>
      <c r="O270" s="32"/>
      <c r="P270" s="32"/>
      <c r="Q270" s="146"/>
      <c r="R270" s="209"/>
      <c r="T270" s="610"/>
      <c r="U270" s="610"/>
    </row>
    <row r="271" spans="1:21" s="19" customFormat="1" ht="10.5" customHeight="1">
      <c r="A271" s="43"/>
      <c r="B271" s="37" t="s">
        <v>1453</v>
      </c>
      <c r="C271" s="723"/>
      <c r="D271" s="37"/>
      <c r="E271" s="46"/>
      <c r="F271" s="2586"/>
      <c r="G271" s="2586"/>
      <c r="H271" s="2586"/>
      <c r="I271" s="2586"/>
      <c r="J271" s="2586"/>
      <c r="K271" s="2586"/>
      <c r="L271" s="2586"/>
      <c r="M271" s="2586"/>
      <c r="N271" s="2401"/>
      <c r="O271" s="31"/>
      <c r="P271" s="2542"/>
    </row>
    <row r="272" spans="1:21" s="19" customFormat="1" ht="11.25" customHeight="1">
      <c r="A272" s="4387"/>
      <c r="B272" s="4388"/>
      <c r="C272" s="4388"/>
      <c r="D272" s="4388"/>
      <c r="E272" s="4388"/>
      <c r="F272" s="4388"/>
      <c r="G272" s="4388"/>
      <c r="H272" s="4388"/>
      <c r="I272" s="4388"/>
      <c r="J272" s="4388"/>
      <c r="K272" s="4388"/>
      <c r="L272" s="4388"/>
      <c r="M272" s="4388"/>
      <c r="N272" s="4388"/>
      <c r="O272" s="4388"/>
      <c r="P272" s="4389"/>
      <c r="Q272" s="248"/>
    </row>
    <row r="273" spans="1:24" s="19" customFormat="1" ht="5.25" customHeight="1" thickBot="1">
      <c r="A273" s="43"/>
      <c r="D273" s="13"/>
      <c r="E273" s="13"/>
      <c r="F273" s="2542"/>
      <c r="G273" s="2542"/>
      <c r="H273" s="2542"/>
      <c r="I273" s="2542"/>
      <c r="J273" s="16"/>
      <c r="K273" s="16"/>
      <c r="L273" s="16"/>
      <c r="M273" s="2596"/>
      <c r="N273" s="2542"/>
      <c r="O273" s="9"/>
      <c r="P273" s="9"/>
    </row>
    <row r="274" spans="1:24" s="42" customFormat="1" ht="13.5" customHeight="1" thickBot="1">
      <c r="A274" s="79" t="s">
        <v>1522</v>
      </c>
      <c r="B274" s="50" t="s">
        <v>6926</v>
      </c>
      <c r="D274" s="21"/>
      <c r="E274" s="21"/>
      <c r="G274" s="1089"/>
      <c r="H274" s="98"/>
      <c r="I274" s="1087" t="s">
        <v>1733</v>
      </c>
      <c r="J274" s="1324" t="str">
        <f>M60</f>
        <v>&lt;&lt; Select Pool &gt;&gt;</v>
      </c>
      <c r="K274" s="98"/>
      <c r="L274" s="283" t="str">
        <f>IF(NOT(J274="Atlanta Metro"),"Atlanta Metro Pool not selected!",IF(AND(O276="Yes",O277="Yes"),"Choose A or B!",""))</f>
        <v>Atlanta Metro Pool not selected!</v>
      </c>
      <c r="M274" s="2542">
        <v>2</v>
      </c>
      <c r="N274" s="32"/>
      <c r="O274" s="630">
        <f>IF(AND($J$274="Atlanta Metro",O276="Yes"),$M$276,IF(AND($J$274="Atlanta Metro",O277="Yes"),$M$277,0))</f>
        <v>0</v>
      </c>
      <c r="P274" s="630">
        <f>IF(AND($J$274="Atlanta Metro",P276="Yes"),$M$276,IF(AND($J$274="Atlanta Metro",P277="Yes"),$M$277,0))</f>
        <v>0</v>
      </c>
      <c r="Q274" s="53" t="s">
        <v>1744</v>
      </c>
      <c r="R274" s="1094"/>
      <c r="S274" s="1094"/>
      <c r="T274" s="1094"/>
      <c r="U274" s="1094"/>
      <c r="V274" s="1094"/>
    </row>
    <row r="275" spans="1:24" s="42" customFormat="1" ht="3" customHeight="1">
      <c r="A275" s="79"/>
      <c r="B275" s="50"/>
      <c r="D275" s="21"/>
      <c r="E275" s="21"/>
      <c r="G275" s="98"/>
      <c r="M275" s="328"/>
      <c r="Q275" s="53"/>
      <c r="R275" s="1094"/>
      <c r="S275" s="1094"/>
      <c r="T275" s="1094"/>
      <c r="U275" s="1094"/>
      <c r="V275" s="1094"/>
      <c r="W275" s="19"/>
      <c r="X275" s="19"/>
    </row>
    <row r="276" spans="1:24" ht="11.25" customHeight="1">
      <c r="A276" s="501" t="s">
        <v>186</v>
      </c>
      <c r="B276" s="644" t="s">
        <v>6927</v>
      </c>
      <c r="D276" s="265"/>
      <c r="E276" s="265"/>
      <c r="F276" s="265"/>
      <c r="G276" s="265"/>
      <c r="H276" s="265"/>
      <c r="L276" s="265"/>
      <c r="M276" s="2607">
        <v>1</v>
      </c>
      <c r="N276" s="28" t="s">
        <v>186</v>
      </c>
      <c r="O276" s="2898"/>
      <c r="P276" s="2899"/>
      <c r="Q276" s="591">
        <f>IF(L276="Yes",1,0)</f>
        <v>0</v>
      </c>
      <c r="R276" s="1094"/>
      <c r="S276" s="1094"/>
      <c r="T276" s="1094"/>
      <c r="U276" s="1094"/>
      <c r="V276" s="1094"/>
    </row>
    <row r="277" spans="1:24" ht="11.25" customHeight="1">
      <c r="A277" s="501" t="s">
        <v>198</v>
      </c>
      <c r="B277" s="644" t="s">
        <v>6928</v>
      </c>
      <c r="D277" s="265"/>
      <c r="L277" s="265"/>
      <c r="M277" s="2607">
        <v>2</v>
      </c>
      <c r="N277" s="28" t="s">
        <v>198</v>
      </c>
      <c r="O277" s="118"/>
      <c r="P277" s="300"/>
      <c r="Q277" s="591">
        <f>IF(L277="Yes",1,0)</f>
        <v>0</v>
      </c>
      <c r="R277" s="1094"/>
      <c r="S277" s="1094"/>
      <c r="T277" s="1094"/>
      <c r="U277" s="1094"/>
      <c r="V277" s="1094"/>
    </row>
    <row r="278" spans="1:24" ht="11.25" customHeight="1">
      <c r="B278" s="150" t="s">
        <v>6929</v>
      </c>
      <c r="D278" s="265"/>
      <c r="L278" s="265"/>
      <c r="M278" s="2607"/>
      <c r="N278" s="2607"/>
      <c r="O278" s="2607"/>
      <c r="P278" s="2607"/>
      <c r="Q278" s="591"/>
      <c r="R278" s="1094"/>
      <c r="S278" s="1094"/>
      <c r="T278" s="1094"/>
      <c r="U278" s="1094"/>
      <c r="V278" s="1094"/>
    </row>
    <row r="279" spans="1:24" ht="38.25" customHeight="1">
      <c r="B279" s="4390"/>
      <c r="C279" s="4391"/>
      <c r="D279" s="4391"/>
      <c r="E279" s="4391"/>
      <c r="F279" s="4391"/>
      <c r="G279" s="4391"/>
      <c r="H279" s="4391"/>
      <c r="I279" s="4391"/>
      <c r="J279" s="4391"/>
      <c r="K279" s="4391"/>
      <c r="L279" s="4391"/>
      <c r="M279" s="4391"/>
      <c r="N279" s="4391"/>
      <c r="O279" s="4391"/>
      <c r="P279" s="4392"/>
      <c r="Q279" s="591"/>
      <c r="R279" s="1094"/>
      <c r="S279" s="1094"/>
      <c r="T279" s="1094"/>
      <c r="U279" s="1094"/>
      <c r="V279" s="1094"/>
    </row>
    <row r="280" spans="1:24" s="19" customFormat="1" ht="10.5" customHeight="1" thickBot="1">
      <c r="A280" s="43"/>
      <c r="B280" s="672" t="s">
        <v>6825</v>
      </c>
      <c r="C280" s="43"/>
      <c r="D280" s="48"/>
      <c r="E280" s="48"/>
      <c r="F280" s="48"/>
      <c r="G280" s="48"/>
      <c r="H280" s="13"/>
      <c r="I280" s="13"/>
      <c r="J280" s="13"/>
      <c r="K280" s="13"/>
      <c r="M280" s="32"/>
      <c r="N280" s="58"/>
      <c r="O280" s="2"/>
      <c r="P280" s="9"/>
      <c r="R280" s="1094"/>
      <c r="S280" s="1094"/>
      <c r="T280" s="1094"/>
      <c r="U280" s="1094"/>
      <c r="V280" s="1094"/>
    </row>
    <row r="281" spans="1:24" s="19" customFormat="1" ht="34.950000000000003" customHeight="1" thickTop="1" thickBot="1">
      <c r="A281" s="4598"/>
      <c r="B281" s="4599"/>
      <c r="C281" s="4599"/>
      <c r="D281" s="4599"/>
      <c r="E281" s="4599"/>
      <c r="F281" s="4599"/>
      <c r="G281" s="4599"/>
      <c r="H281" s="4599"/>
      <c r="I281" s="4599"/>
      <c r="J281" s="4599"/>
      <c r="K281" s="4599"/>
      <c r="L281" s="4599"/>
      <c r="M281" s="4599"/>
      <c r="N281" s="4599"/>
      <c r="O281" s="4599"/>
      <c r="P281" s="4600"/>
      <c r="Q281" s="249" t="s">
        <v>6410</v>
      </c>
    </row>
    <row r="282" spans="1:24" s="19" customFormat="1" ht="10.5" customHeight="1" thickTop="1">
      <c r="A282" s="43"/>
      <c r="B282" s="37" t="s">
        <v>1453</v>
      </c>
      <c r="C282" s="43"/>
      <c r="D282" s="37"/>
      <c r="E282" s="2586"/>
      <c r="F282" s="2586"/>
      <c r="G282" s="2586"/>
      <c r="H282" s="2586"/>
      <c r="I282" s="2586"/>
      <c r="J282" s="2586"/>
      <c r="K282" s="2586"/>
      <c r="L282" s="2586"/>
      <c r="M282" s="2586"/>
      <c r="N282" s="2401"/>
      <c r="O282" s="31"/>
      <c r="P282" s="2542"/>
    </row>
    <row r="283" spans="1:24" s="19" customFormat="1" ht="11.25" customHeight="1">
      <c r="A283" s="4657"/>
      <c r="B283" s="4658"/>
      <c r="C283" s="4658"/>
      <c r="D283" s="4658"/>
      <c r="E283" s="4658"/>
      <c r="F283" s="4658"/>
      <c r="G283" s="4658"/>
      <c r="H283" s="4658"/>
      <c r="I283" s="4658"/>
      <c r="J283" s="4658"/>
      <c r="K283" s="4658"/>
      <c r="L283" s="4658"/>
      <c r="M283" s="4658"/>
      <c r="N283" s="4658"/>
      <c r="O283" s="4658"/>
      <c r="P283" s="4659"/>
      <c r="Q283" s="248"/>
    </row>
    <row r="284" spans="1:24" s="19" customFormat="1" ht="5.25" customHeight="1" thickBot="1">
      <c r="A284" s="43"/>
      <c r="D284" s="13"/>
      <c r="E284" s="13"/>
      <c r="F284" s="2542"/>
      <c r="G284" s="2542"/>
      <c r="H284" s="2542"/>
      <c r="I284" s="2542"/>
      <c r="J284" s="16"/>
      <c r="K284" s="16"/>
      <c r="L284" s="16"/>
      <c r="M284" s="2596"/>
      <c r="N284" s="2542"/>
      <c r="O284" s="9"/>
      <c r="P284" s="2"/>
    </row>
    <row r="285" spans="1:24" s="42" customFormat="1" ht="13.5" customHeight="1" thickBot="1">
      <c r="A285" s="79" t="s">
        <v>1528</v>
      </c>
      <c r="B285" s="50" t="s">
        <v>6930</v>
      </c>
      <c r="D285" s="21"/>
      <c r="E285" s="21"/>
      <c r="G285" s="1089"/>
      <c r="H285" s="98"/>
      <c r="I285" s="98" t="s">
        <v>6931</v>
      </c>
      <c r="J285" s="98"/>
      <c r="K285" s="98"/>
      <c r="L285" s="1319" t="str">
        <f>IF(AND(O295&gt;0,O298&gt;0), "Choose only one option!","")</f>
        <v/>
      </c>
      <c r="M285" s="2542">
        <v>2</v>
      </c>
      <c r="N285" s="32"/>
      <c r="O285" s="630">
        <f>IF(O295=$M$295,$M$295,IF(O298=$M$298,$M$298,0))</f>
        <v>0</v>
      </c>
      <c r="P285" s="630">
        <f>IF(P295=$M$295,$M$295,IF(P298=$M$298,$M$298,0))</f>
        <v>0</v>
      </c>
      <c r="Q285" s="53" t="s">
        <v>1744</v>
      </c>
      <c r="R285" s="1094"/>
      <c r="S285" s="1094"/>
      <c r="T285" s="1094"/>
      <c r="U285" s="1094"/>
      <c r="V285" s="1094"/>
    </row>
    <row r="286" spans="1:24" s="42" customFormat="1" ht="11.25" customHeight="1">
      <c r="A286" s="79"/>
      <c r="B286" s="13" t="s">
        <v>6932</v>
      </c>
      <c r="D286" s="21"/>
      <c r="E286" s="21"/>
      <c r="G286" s="98"/>
      <c r="J286" s="896"/>
      <c r="M286" s="328"/>
      <c r="Q286" s="53"/>
      <c r="R286" s="1094"/>
      <c r="S286" s="1094"/>
      <c r="T286" s="1094"/>
      <c r="U286" s="1094"/>
      <c r="V286" s="1094"/>
      <c r="W286" s="19"/>
      <c r="X286" s="19"/>
    </row>
    <row r="287" spans="1:24" s="42" customFormat="1" ht="11.25" customHeight="1">
      <c r="A287" s="79"/>
      <c r="C287" s="13" t="s">
        <v>6933</v>
      </c>
      <c r="G287" s="98"/>
      <c r="I287" s="4801"/>
      <c r="J287" s="4802"/>
      <c r="K287" s="4803"/>
      <c r="L287" s="4804"/>
      <c r="M287" s="328"/>
      <c r="O287" s="1313"/>
      <c r="P287" s="1314"/>
      <c r="Q287" s="53"/>
      <c r="R287" s="1094"/>
      <c r="S287" s="1094"/>
      <c r="T287" s="1094"/>
      <c r="U287" s="1094"/>
      <c r="V287" s="1094"/>
      <c r="W287" s="19"/>
      <c r="X287" s="19"/>
    </row>
    <row r="288" spans="1:24" s="42" customFormat="1" ht="11.25" customHeight="1">
      <c r="A288" s="79"/>
      <c r="C288" s="13" t="s">
        <v>6934</v>
      </c>
      <c r="G288" s="98"/>
      <c r="I288" s="4805"/>
      <c r="J288" s="4806"/>
      <c r="M288" s="328"/>
      <c r="O288" s="1313"/>
      <c r="P288" s="1314"/>
      <c r="Q288" s="53"/>
      <c r="R288" s="1094"/>
      <c r="S288" s="1094"/>
      <c r="T288" s="1094"/>
      <c r="U288" s="1094"/>
      <c r="V288" s="1094"/>
      <c r="W288" s="19"/>
      <c r="X288" s="19"/>
    </row>
    <row r="289" spans="1:24" s="42" customFormat="1" ht="11.25" customHeight="1">
      <c r="A289" s="79"/>
      <c r="C289" s="13" t="s">
        <v>6935</v>
      </c>
      <c r="G289" s="98"/>
      <c r="I289" s="4807" t="s">
        <v>6936</v>
      </c>
      <c r="J289" s="4808"/>
      <c r="K289" s="4809"/>
      <c r="L289" s="4810"/>
      <c r="M289" s="328"/>
      <c r="O289" s="4811" t="s">
        <v>6828</v>
      </c>
      <c r="P289" s="4811" t="s">
        <v>6829</v>
      </c>
      <c r="Q289" s="53"/>
      <c r="R289" s="1094"/>
      <c r="S289" s="1094"/>
      <c r="T289" s="1094"/>
      <c r="U289" s="1094"/>
      <c r="V289" s="1094"/>
      <c r="W289" s="19"/>
      <c r="X289" s="19"/>
    </row>
    <row r="290" spans="1:24" s="19" customFormat="1" ht="11.25" customHeight="1">
      <c r="A290" s="79"/>
      <c r="B290" s="13" t="s">
        <v>6937</v>
      </c>
      <c r="D290" s="17"/>
      <c r="H290" s="92"/>
      <c r="M290" s="2542"/>
      <c r="N290" s="28"/>
      <c r="O290" s="4812"/>
      <c r="P290" s="4812"/>
      <c r="Q290" s="53"/>
      <c r="R290" s="639"/>
      <c r="S290" s="639"/>
      <c r="T290" s="639"/>
      <c r="U290" s="639"/>
    </row>
    <row r="291" spans="1:24" s="19" customFormat="1" ht="11.25" customHeight="1">
      <c r="A291" s="1312"/>
      <c r="B291" s="84" t="s">
        <v>6477</v>
      </c>
      <c r="C291" s="13" t="s">
        <v>6938</v>
      </c>
      <c r="D291" s="640"/>
      <c r="E291" s="42"/>
      <c r="F291" s="42"/>
      <c r="G291" s="42"/>
      <c r="H291" s="21"/>
      <c r="N291" s="84" t="s">
        <v>6477</v>
      </c>
      <c r="O291" s="2898"/>
      <c r="P291" s="2899"/>
      <c r="Q291" s="53"/>
      <c r="R291" s="639"/>
      <c r="S291" s="639"/>
      <c r="T291" s="639"/>
      <c r="U291" s="639"/>
    </row>
    <row r="292" spans="1:24" s="19" customFormat="1" ht="11.25" customHeight="1">
      <c r="A292" s="1312"/>
      <c r="B292" s="28" t="s">
        <v>6479</v>
      </c>
      <c r="C292" s="25" t="s">
        <v>6939</v>
      </c>
      <c r="D292" s="640"/>
      <c r="E292" s="42"/>
      <c r="F292" s="42"/>
      <c r="G292" s="42"/>
      <c r="H292" s="21"/>
      <c r="M292" s="42"/>
      <c r="N292" s="28" t="s">
        <v>6479</v>
      </c>
      <c r="O292" s="202"/>
      <c r="P292" s="299"/>
      <c r="Q292" s="53"/>
      <c r="R292" s="639"/>
      <c r="S292" s="639"/>
      <c r="T292" s="639"/>
      <c r="U292" s="639"/>
    </row>
    <row r="293" spans="1:24" s="19" customFormat="1" ht="11.25" customHeight="1">
      <c r="A293" s="1312"/>
      <c r="B293" s="28" t="s">
        <v>6685</v>
      </c>
      <c r="C293" s="13" t="s">
        <v>6940</v>
      </c>
      <c r="D293" s="640"/>
      <c r="E293" s="42"/>
      <c r="F293" s="42"/>
      <c r="G293" s="42"/>
      <c r="H293" s="21"/>
      <c r="I293" s="23"/>
      <c r="J293" s="48"/>
      <c r="K293" s="48"/>
      <c r="L293" s="42"/>
      <c r="M293" s="42"/>
      <c r="N293" s="28" t="s">
        <v>6685</v>
      </c>
      <c r="O293" s="118"/>
      <c r="P293" s="300"/>
      <c r="Q293" s="53"/>
      <c r="R293" s="639"/>
      <c r="S293" s="639"/>
      <c r="T293" s="639"/>
      <c r="U293" s="639"/>
    </row>
    <row r="294" spans="1:24" s="19" customFormat="1" ht="3" customHeight="1" thickBot="1">
      <c r="A294" s="43"/>
      <c r="D294" s="13"/>
      <c r="E294" s="13"/>
      <c r="F294" s="2542"/>
      <c r="G294" s="2542"/>
      <c r="H294" s="2542"/>
      <c r="I294" s="2542"/>
      <c r="J294" s="16"/>
      <c r="K294" s="16"/>
      <c r="L294" s="16"/>
      <c r="M294" s="2596"/>
      <c r="N294" s="2542"/>
      <c r="O294" s="9"/>
      <c r="P294" s="2"/>
    </row>
    <row r="295" spans="1:24" ht="11.25" customHeight="1" thickBot="1">
      <c r="A295" s="501" t="s">
        <v>186</v>
      </c>
      <c r="B295" s="644" t="s">
        <v>6941</v>
      </c>
      <c r="D295" s="265"/>
      <c r="E295" s="265"/>
      <c r="G295" s="265" t="s">
        <v>6942</v>
      </c>
      <c r="H295" s="265"/>
      <c r="L295" s="265"/>
      <c r="M295" s="2607">
        <v>2</v>
      </c>
      <c r="N295" s="28" t="s">
        <v>186</v>
      </c>
      <c r="O295" s="648"/>
      <c r="P295" s="642"/>
      <c r="Q295" s="1255" t="str">
        <f>IF(OR(O295=0,O295="",O295=$M295),"","Check!")</f>
        <v/>
      </c>
      <c r="R295" s="629" t="s">
        <v>6884</v>
      </c>
      <c r="S295" s="1094"/>
      <c r="T295" s="1094"/>
      <c r="U295" s="1094"/>
      <c r="V295" s="1094"/>
    </row>
    <row r="296" spans="1:24" s="228" customFormat="1" ht="21.75" customHeight="1">
      <c r="A296" s="1075"/>
      <c r="B296" s="244" t="s">
        <v>201</v>
      </c>
      <c r="C296" s="4379" t="s">
        <v>6943</v>
      </c>
      <c r="D296" s="4379"/>
      <c r="E296" s="4379"/>
      <c r="F296" s="4379"/>
      <c r="G296" s="4379"/>
      <c r="H296" s="4379"/>
      <c r="I296" s="4379"/>
      <c r="J296" s="4379"/>
      <c r="K296" s="4379"/>
      <c r="L296" s="4379"/>
      <c r="M296" s="4379"/>
      <c r="N296" s="101" t="s">
        <v>201</v>
      </c>
      <c r="O296" s="2898"/>
      <c r="P296" s="2899"/>
      <c r="Q296" s="227"/>
      <c r="R296" s="1254"/>
      <c r="S296" s="1254"/>
      <c r="T296" s="1254"/>
      <c r="U296" s="1254"/>
    </row>
    <row r="297" spans="1:24" s="228" customFormat="1" ht="21.75" customHeight="1" thickBot="1">
      <c r="A297" s="1075"/>
      <c r="B297" s="244" t="s">
        <v>209</v>
      </c>
      <c r="C297" s="4379" t="s">
        <v>6944</v>
      </c>
      <c r="D297" s="4379"/>
      <c r="E297" s="4379"/>
      <c r="F297" s="4379"/>
      <c r="G297" s="4379"/>
      <c r="H297" s="4379"/>
      <c r="I297" s="4379"/>
      <c r="J297" s="4379"/>
      <c r="K297" s="4379"/>
      <c r="L297" s="4379"/>
      <c r="M297" s="4379"/>
      <c r="N297" s="101" t="s">
        <v>209</v>
      </c>
      <c r="O297" s="2595"/>
      <c r="P297" s="2593"/>
      <c r="Q297" s="227"/>
      <c r="R297" s="1254"/>
      <c r="S297" s="1254"/>
      <c r="T297" s="1254"/>
      <c r="U297" s="1254"/>
    </row>
    <row r="298" spans="1:24" ht="11.25" customHeight="1" thickBot="1">
      <c r="A298" s="501" t="s">
        <v>198</v>
      </c>
      <c r="B298" s="644" t="s">
        <v>6945</v>
      </c>
      <c r="D298" s="265"/>
      <c r="G298" s="25" t="s">
        <v>6946</v>
      </c>
      <c r="L298" s="265"/>
      <c r="M298" s="2607">
        <v>2</v>
      </c>
      <c r="N298" s="28" t="s">
        <v>198</v>
      </c>
      <c r="O298" s="648"/>
      <c r="P298" s="642"/>
      <c r="Q298" s="1255" t="str">
        <f>IF(OR(O298=0,O298="",O298=$M298),"","Check!")</f>
        <v/>
      </c>
      <c r="R298" s="629" t="s">
        <v>6884</v>
      </c>
      <c r="S298" s="1094"/>
      <c r="T298" s="1094"/>
      <c r="U298" s="1094"/>
      <c r="V298" s="1094"/>
    </row>
    <row r="299" spans="1:24" s="228" customFormat="1" ht="10.5" customHeight="1">
      <c r="A299" s="1075"/>
      <c r="B299" s="244" t="s">
        <v>201</v>
      </c>
      <c r="C299" s="4379" t="s">
        <v>6947</v>
      </c>
      <c r="D299" s="4379"/>
      <c r="E299" s="4379"/>
      <c r="F299" s="4379"/>
      <c r="G299" s="4379"/>
      <c r="H299" s="4379"/>
      <c r="I299" s="4379"/>
      <c r="J299" s="4379"/>
      <c r="K299" s="4379"/>
      <c r="L299" s="4379"/>
      <c r="M299" s="4379"/>
      <c r="N299" s="101" t="s">
        <v>201</v>
      </c>
      <c r="O299" s="2898"/>
      <c r="P299" s="2899"/>
      <c r="Q299" s="227"/>
      <c r="R299" s="1254"/>
      <c r="S299" s="1254"/>
      <c r="T299" s="1254"/>
      <c r="U299" s="1254"/>
    </row>
    <row r="300" spans="1:24" s="228" customFormat="1" ht="10.5" customHeight="1">
      <c r="A300" s="1075"/>
      <c r="B300" s="244" t="s">
        <v>209</v>
      </c>
      <c r="C300" s="4379" t="s">
        <v>6948</v>
      </c>
      <c r="D300" s="4379"/>
      <c r="E300" s="4379"/>
      <c r="F300" s="4379"/>
      <c r="G300" s="4379"/>
      <c r="H300" s="4379"/>
      <c r="I300" s="4379"/>
      <c r="J300" s="4379"/>
      <c r="K300" s="4379"/>
      <c r="L300" s="4379"/>
      <c r="M300" s="4379"/>
      <c r="N300" s="101" t="s">
        <v>209</v>
      </c>
      <c r="O300" s="2595"/>
      <c r="P300" s="2593"/>
      <c r="Q300" s="227"/>
      <c r="R300" s="1254"/>
      <c r="S300" s="1254"/>
      <c r="T300" s="1254"/>
      <c r="U300" s="1254"/>
    </row>
    <row r="301" spans="1:24" s="228" customFormat="1" ht="10.5" customHeight="1">
      <c r="A301" s="1075"/>
      <c r="B301" s="244" t="s">
        <v>213</v>
      </c>
      <c r="C301" s="500" t="s">
        <v>6949</v>
      </c>
      <c r="D301" s="2586"/>
      <c r="E301" s="2586"/>
      <c r="F301" s="2586"/>
      <c r="G301" s="2586"/>
      <c r="H301" s="2586"/>
      <c r="I301" s="2586"/>
      <c r="J301" s="2586"/>
      <c r="K301" s="2586"/>
      <c r="L301" s="2586"/>
      <c r="M301" s="2586"/>
      <c r="N301" s="101" t="s">
        <v>213</v>
      </c>
      <c r="O301" s="2586"/>
      <c r="P301" s="2586"/>
      <c r="Q301" s="227"/>
      <c r="R301" s="1254"/>
      <c r="S301" s="1254"/>
      <c r="T301" s="1254"/>
      <c r="U301" s="1254"/>
    </row>
    <row r="302" spans="1:24" s="19" customFormat="1" ht="11.25" customHeight="1">
      <c r="A302" s="79"/>
      <c r="B302" s="84" t="s">
        <v>6477</v>
      </c>
      <c r="C302" s="13" t="s">
        <v>6950</v>
      </c>
      <c r="D302" s="640"/>
      <c r="E302" s="42"/>
      <c r="F302" s="42"/>
      <c r="G302" s="42"/>
      <c r="H302" s="21"/>
      <c r="I302" s="23"/>
      <c r="M302" s="2542"/>
      <c r="N302" s="84" t="s">
        <v>6477</v>
      </c>
      <c r="O302" s="2898"/>
      <c r="P302" s="2899"/>
      <c r="Q302" s="53"/>
      <c r="R302" s="639"/>
      <c r="S302" s="639"/>
      <c r="T302" s="639"/>
      <c r="U302" s="639"/>
    </row>
    <row r="303" spans="1:24" s="19" customFormat="1" ht="11.25" customHeight="1">
      <c r="A303" s="79"/>
      <c r="B303" s="28" t="s">
        <v>6479</v>
      </c>
      <c r="C303" s="13" t="s">
        <v>6951</v>
      </c>
      <c r="D303" s="640"/>
      <c r="E303" s="42"/>
      <c r="F303" s="42"/>
      <c r="G303" s="42"/>
      <c r="H303" s="21"/>
      <c r="I303" s="23"/>
      <c r="J303" s="48"/>
      <c r="K303" s="48"/>
      <c r="L303" s="42"/>
      <c r="M303" s="42"/>
      <c r="N303" s="28" t="s">
        <v>6479</v>
      </c>
      <c r="O303" s="202"/>
      <c r="P303" s="299"/>
      <c r="Q303" s="53"/>
      <c r="R303" s="639"/>
      <c r="S303" s="639"/>
      <c r="T303" s="639"/>
      <c r="U303" s="639"/>
    </row>
    <row r="304" spans="1:24" s="228" customFormat="1" ht="21.75" customHeight="1">
      <c r="A304" s="1075"/>
      <c r="B304" s="244" t="s">
        <v>253</v>
      </c>
      <c r="C304" s="4379" t="s">
        <v>6952</v>
      </c>
      <c r="D304" s="4379"/>
      <c r="E304" s="4379"/>
      <c r="F304" s="4379"/>
      <c r="G304" s="4379"/>
      <c r="H304" s="4379"/>
      <c r="I304" s="4379"/>
      <c r="J304" s="4379"/>
      <c r="K304" s="4379"/>
      <c r="L304" s="4379"/>
      <c r="M304" s="4379"/>
      <c r="N304" s="101" t="s">
        <v>253</v>
      </c>
      <c r="O304" s="2595"/>
      <c r="P304" s="2593"/>
      <c r="Q304" s="227"/>
      <c r="R304" s="1254"/>
      <c r="S304" s="1254"/>
      <c r="T304" s="1254"/>
      <c r="U304" s="1254"/>
    </row>
    <row r="305" spans="1:22" s="19" customFormat="1" ht="10.5" customHeight="1" thickBot="1">
      <c r="A305" s="43"/>
      <c r="B305" s="672" t="s">
        <v>6825</v>
      </c>
      <c r="C305" s="43"/>
      <c r="D305" s="48"/>
      <c r="E305" s="48"/>
      <c r="F305" s="48"/>
      <c r="G305" s="48"/>
      <c r="H305" s="13"/>
      <c r="I305" s="13"/>
      <c r="J305" s="13"/>
      <c r="K305" s="13"/>
      <c r="M305" s="32"/>
      <c r="N305" s="58"/>
      <c r="O305" s="2"/>
      <c r="P305" s="9"/>
      <c r="R305" s="1094"/>
      <c r="S305" s="1094"/>
      <c r="T305" s="1094"/>
      <c r="U305" s="1094"/>
      <c r="V305" s="1094"/>
    </row>
    <row r="306" spans="1:22" s="19" customFormat="1" ht="34.950000000000003" customHeight="1" thickTop="1" thickBot="1">
      <c r="A306" s="4598"/>
      <c r="B306" s="4599"/>
      <c r="C306" s="4599"/>
      <c r="D306" s="4599"/>
      <c r="E306" s="4599"/>
      <c r="F306" s="4599"/>
      <c r="G306" s="4599"/>
      <c r="H306" s="4599"/>
      <c r="I306" s="4599"/>
      <c r="J306" s="4599"/>
      <c r="K306" s="4599"/>
      <c r="L306" s="4599"/>
      <c r="M306" s="4599"/>
      <c r="N306" s="4599"/>
      <c r="O306" s="4599"/>
      <c r="P306" s="4600"/>
      <c r="Q306" s="249" t="s">
        <v>6410</v>
      </c>
    </row>
    <row r="307" spans="1:22" s="19" customFormat="1" ht="10.5" customHeight="1" thickTop="1">
      <c r="A307" s="43"/>
      <c r="B307" s="37" t="s">
        <v>1453</v>
      </c>
      <c r="C307" s="43"/>
      <c r="D307" s="37"/>
      <c r="E307" s="2586"/>
      <c r="F307" s="2586"/>
      <c r="G307" s="2586"/>
      <c r="H307" s="2586"/>
      <c r="I307" s="2586"/>
      <c r="J307" s="2586"/>
      <c r="K307" s="2586"/>
      <c r="L307" s="2586"/>
      <c r="M307" s="2586"/>
      <c r="N307" s="2401"/>
      <c r="O307" s="31"/>
      <c r="P307" s="2542"/>
    </row>
    <row r="308" spans="1:22" s="19" customFormat="1" ht="11.25" customHeight="1">
      <c r="A308" s="4657"/>
      <c r="B308" s="4658"/>
      <c r="C308" s="4658"/>
      <c r="D308" s="4658"/>
      <c r="E308" s="4658"/>
      <c r="F308" s="4658"/>
      <c r="G308" s="4658"/>
      <c r="H308" s="4658"/>
      <c r="I308" s="4658"/>
      <c r="J308" s="4658"/>
      <c r="K308" s="4658"/>
      <c r="L308" s="4658"/>
      <c r="M308" s="4658"/>
      <c r="N308" s="4658"/>
      <c r="O308" s="4658"/>
      <c r="P308" s="4659"/>
      <c r="Q308" s="248"/>
    </row>
    <row r="309" spans="1:22" s="19" customFormat="1" ht="2.25" customHeight="1" thickBot="1">
      <c r="A309" s="43"/>
      <c r="D309" s="13"/>
      <c r="E309" s="13"/>
      <c r="F309" s="2542"/>
      <c r="G309" s="2542"/>
      <c r="H309" s="2542"/>
      <c r="I309" s="2542"/>
      <c r="J309" s="16"/>
      <c r="K309" s="16"/>
      <c r="L309" s="16"/>
      <c r="M309" s="2596"/>
      <c r="N309" s="2542"/>
      <c r="O309" s="9"/>
      <c r="P309" s="2"/>
    </row>
    <row r="310" spans="1:22" s="42" customFormat="1" ht="13.5" customHeight="1" thickBot="1">
      <c r="A310" s="79" t="s">
        <v>1548</v>
      </c>
      <c r="B310" s="50" t="s">
        <v>1961</v>
      </c>
      <c r="D310" s="21"/>
      <c r="E310" s="21"/>
      <c r="G310" s="1089"/>
      <c r="H310" s="98"/>
      <c r="I310" s="98"/>
      <c r="J310" s="98"/>
      <c r="K310" s="98"/>
      <c r="L310" s="98"/>
      <c r="M310" s="2542">
        <v>2</v>
      </c>
      <c r="N310" s="32"/>
      <c r="O310" s="630">
        <f>IF(OR(O311=$M311,O312=$M312),$M$310,0)</f>
        <v>0</v>
      </c>
      <c r="P310" s="630">
        <f>IF(OR(P311=$M311,P312=$M312),$M$310,0)</f>
        <v>0</v>
      </c>
      <c r="Q310" s="53" t="s">
        <v>1744</v>
      </c>
      <c r="R310" s="1094"/>
      <c r="S310" s="1094"/>
      <c r="T310" s="1094"/>
      <c r="U310" s="1094"/>
      <c r="V310" s="1094"/>
    </row>
    <row r="311" spans="1:22" ht="11.25" customHeight="1">
      <c r="A311" s="501" t="s">
        <v>186</v>
      </c>
      <c r="B311" s="644" t="s">
        <v>1962</v>
      </c>
      <c r="D311" s="265"/>
      <c r="E311" s="265" t="s">
        <v>1963</v>
      </c>
      <c r="F311" s="265"/>
      <c r="G311" s="265"/>
      <c r="H311" s="265"/>
      <c r="I311" s="4623"/>
      <c r="J311" s="4624"/>
      <c r="K311" s="4624"/>
      <c r="L311" s="4625"/>
      <c r="M311" s="2607">
        <v>2</v>
      </c>
      <c r="N311" s="28" t="s">
        <v>186</v>
      </c>
      <c r="O311" s="2980"/>
      <c r="P311" s="2981"/>
      <c r="Q311" s="1255" t="str">
        <f>IF(OR(O311=0,O311="",O311=$M311),"","Check!")</f>
        <v/>
      </c>
      <c r="R311" s="629" t="s">
        <v>6884</v>
      </c>
      <c r="S311" s="1094"/>
      <c r="T311" s="1094"/>
      <c r="U311" s="1094"/>
      <c r="V311" s="1094"/>
    </row>
    <row r="312" spans="1:22" ht="11.25" customHeight="1">
      <c r="A312" s="501" t="s">
        <v>198</v>
      </c>
      <c r="B312" s="644" t="s">
        <v>1964</v>
      </c>
      <c r="D312" s="265"/>
      <c r="L312" s="265"/>
      <c r="M312" s="2607">
        <v>2</v>
      </c>
      <c r="N312" s="28" t="s">
        <v>198</v>
      </c>
      <c r="O312" s="293"/>
      <c r="P312" s="298"/>
      <c r="Q312" s="1255" t="str">
        <f>IF(OR(O312=0,O312="",O312=$M312),"","Check!")</f>
        <v/>
      </c>
      <c r="R312" s="629" t="s">
        <v>6884</v>
      </c>
      <c r="S312" s="1094"/>
      <c r="T312" s="1094"/>
      <c r="U312" s="1094"/>
      <c r="V312" s="1094"/>
    </row>
    <row r="313" spans="1:22" s="19" customFormat="1" ht="10.5" customHeight="1" thickBot="1">
      <c r="A313" s="43"/>
      <c r="B313" s="672" t="s">
        <v>6825</v>
      </c>
      <c r="C313" s="43"/>
      <c r="D313" s="48"/>
      <c r="E313" s="48"/>
      <c r="F313" s="48"/>
      <c r="G313" s="48"/>
      <c r="H313" s="13"/>
      <c r="I313" s="13"/>
      <c r="J313" s="13"/>
      <c r="K313" s="13"/>
      <c r="M313" s="32"/>
      <c r="N313" s="58"/>
      <c r="O313" s="2"/>
      <c r="P313" s="9"/>
      <c r="R313" s="1094"/>
      <c r="S313" s="1094"/>
      <c r="T313" s="1094"/>
      <c r="U313" s="1094"/>
      <c r="V313" s="1094"/>
    </row>
    <row r="314" spans="1:22" s="19" customFormat="1" ht="34.950000000000003" customHeight="1" thickTop="1" thickBot="1">
      <c r="A314" s="4598"/>
      <c r="B314" s="4599"/>
      <c r="C314" s="4599"/>
      <c r="D314" s="4599"/>
      <c r="E314" s="4599"/>
      <c r="F314" s="4599"/>
      <c r="G314" s="4599"/>
      <c r="H314" s="4599"/>
      <c r="I314" s="4599"/>
      <c r="J314" s="4599"/>
      <c r="K314" s="4599"/>
      <c r="L314" s="4599"/>
      <c r="M314" s="4599"/>
      <c r="N314" s="4599"/>
      <c r="O314" s="4599"/>
      <c r="P314" s="4600"/>
      <c r="Q314" s="249" t="s">
        <v>6410</v>
      </c>
    </row>
    <row r="315" spans="1:22" s="19" customFormat="1" ht="10.5" customHeight="1" thickTop="1">
      <c r="A315" s="43"/>
      <c r="B315" s="37" t="s">
        <v>1453</v>
      </c>
      <c r="C315" s="43"/>
      <c r="D315" s="37"/>
      <c r="E315" s="2586"/>
      <c r="F315" s="2586"/>
      <c r="G315" s="2586"/>
      <c r="H315" s="2586"/>
      <c r="I315" s="2586"/>
      <c r="J315" s="2586"/>
      <c r="K315" s="2586"/>
      <c r="L315" s="2586"/>
      <c r="M315" s="2586"/>
      <c r="N315" s="2401"/>
      <c r="O315" s="31"/>
      <c r="P315" s="2542"/>
    </row>
    <row r="316" spans="1:22" s="19" customFormat="1" ht="11.25" customHeight="1">
      <c r="A316" s="4657"/>
      <c r="B316" s="4658"/>
      <c r="C316" s="4658"/>
      <c r="D316" s="4658"/>
      <c r="E316" s="4658"/>
      <c r="F316" s="4658"/>
      <c r="G316" s="4658"/>
      <c r="H316" s="4658"/>
      <c r="I316" s="4658"/>
      <c r="J316" s="4658"/>
      <c r="K316" s="4658"/>
      <c r="L316" s="4658"/>
      <c r="M316" s="4658"/>
      <c r="N316" s="4658"/>
      <c r="O316" s="4658"/>
      <c r="P316" s="4659"/>
      <c r="Q316" s="248"/>
    </row>
    <row r="317" spans="1:22" s="19" customFormat="1" ht="2.25" customHeight="1" thickBot="1">
      <c r="A317" s="43"/>
      <c r="D317" s="13"/>
      <c r="E317" s="13"/>
      <c r="F317" s="2542"/>
      <c r="G317" s="2542"/>
      <c r="H317" s="2542"/>
      <c r="I317" s="2542"/>
      <c r="J317" s="16"/>
      <c r="K317" s="16"/>
      <c r="L317" s="16"/>
      <c r="M317" s="2596"/>
      <c r="N317" s="2542"/>
      <c r="O317" s="9"/>
      <c r="P317" s="2"/>
    </row>
    <row r="318" spans="1:22" s="19" customFormat="1" ht="12" customHeight="1" thickBot="1">
      <c r="A318" s="943" t="s">
        <v>1557</v>
      </c>
      <c r="B318" s="50" t="s">
        <v>6953</v>
      </c>
      <c r="C318" s="39"/>
      <c r="D318" s="25"/>
      <c r="E318" s="13"/>
      <c r="G318" s="25"/>
      <c r="I318" s="1087" t="s">
        <v>6904</v>
      </c>
      <c r="J318" s="1035" t="e">
        <f>IF(OR($M$34="9% Credit Competitive Round only", $M$34="9% Credit &amp; HOME"),"9%",IF(OR($M$34="4% Credit/TE Bond", $M$34="4% Credit/TE Bond &amp; HOME", $M$34="4% Credit/TE Bond &amp; HOME NOFA", $M$34="4% Credit &amp; NHTF", $M$34="4% Credit &amp; NHTF &amp; HOME"),"4%",""))</f>
        <v>#REF!</v>
      </c>
      <c r="K318" s="42"/>
      <c r="L318" s="42"/>
      <c r="M318" s="2542">
        <v>2</v>
      </c>
      <c r="N318" s="32"/>
      <c r="O318" s="32"/>
      <c r="P318" s="647">
        <f>P320+P326</f>
        <v>0</v>
      </c>
      <c r="Q318" s="53" t="s">
        <v>1744</v>
      </c>
    </row>
    <row r="319" spans="1:22" s="19" customFormat="1" ht="13.5" customHeight="1">
      <c r="A319" s="79"/>
      <c r="B319" s="13" t="s">
        <v>6954</v>
      </c>
      <c r="C319" s="2586"/>
      <c r="D319" s="2586"/>
      <c r="E319" s="2586"/>
      <c r="F319" s="2586"/>
      <c r="G319" s="2586"/>
      <c r="H319" s="2586"/>
      <c r="I319" s="2586"/>
      <c r="J319" s="2586"/>
      <c r="K319" s="2586"/>
      <c r="L319" s="821"/>
      <c r="M319" s="2542"/>
      <c r="N319" s="2401"/>
      <c r="O319" s="2900"/>
      <c r="P319" s="753"/>
      <c r="Q319" s="53"/>
      <c r="T319" s="610"/>
      <c r="U319" s="610"/>
    </row>
    <row r="320" spans="1:22" s="19" customFormat="1" ht="12" customHeight="1">
      <c r="A320" s="501" t="s">
        <v>186</v>
      </c>
      <c r="B320" s="92" t="s">
        <v>6955</v>
      </c>
      <c r="C320" s="39"/>
      <c r="D320" s="25"/>
      <c r="E320" s="13"/>
      <c r="G320" s="979"/>
      <c r="I320" s="16" t="s">
        <v>6956</v>
      </c>
      <c r="K320" s="1073">
        <f>'Part VIII Scoring Criteria OLD'!P42</f>
        <v>0</v>
      </c>
      <c r="M320" s="2525">
        <v>2</v>
      </c>
      <c r="N320" s="28" t="s">
        <v>186</v>
      </c>
      <c r="P320" s="2984"/>
      <c r="Q320" s="53"/>
      <c r="R320" s="629" t="s">
        <v>6884</v>
      </c>
    </row>
    <row r="321" spans="1:19" s="42" customFormat="1" ht="10.5" customHeight="1">
      <c r="A321" s="501"/>
      <c r="B321" s="208" t="s">
        <v>201</v>
      </c>
      <c r="C321" s="13" t="s">
        <v>6957</v>
      </c>
      <c r="D321" s="11"/>
      <c r="N321" s="242" t="s">
        <v>6958</v>
      </c>
      <c r="O321" s="2898"/>
      <c r="P321" s="2899"/>
      <c r="R321" s="209"/>
    </row>
    <row r="322" spans="1:19" s="42" customFormat="1" ht="10.5" customHeight="1">
      <c r="A322" s="501"/>
      <c r="B322" s="208"/>
      <c r="C322" s="13" t="s">
        <v>6959</v>
      </c>
      <c r="D322" s="11"/>
      <c r="N322" s="242" t="s">
        <v>6960</v>
      </c>
      <c r="O322" s="202"/>
      <c r="P322" s="299"/>
      <c r="R322" s="209"/>
    </row>
    <row r="323" spans="1:19" s="42" customFormat="1" ht="10.5" customHeight="1">
      <c r="A323" s="501"/>
      <c r="B323" s="208" t="s">
        <v>209</v>
      </c>
      <c r="C323" s="13" t="s">
        <v>6961</v>
      </c>
      <c r="D323" s="11"/>
      <c r="N323" s="242" t="s">
        <v>209</v>
      </c>
      <c r="O323" s="202"/>
      <c r="P323" s="299"/>
      <c r="R323" s="209"/>
    </row>
    <row r="324" spans="1:19" s="42" customFormat="1" ht="10.5" customHeight="1">
      <c r="A324" s="501"/>
      <c r="B324" s="208" t="s">
        <v>213</v>
      </c>
      <c r="C324" s="13" t="s">
        <v>6962</v>
      </c>
      <c r="D324" s="11"/>
      <c r="N324" s="242" t="s">
        <v>213</v>
      </c>
      <c r="O324" s="202"/>
      <c r="P324" s="299"/>
      <c r="R324" s="209"/>
    </row>
    <row r="325" spans="1:19" s="42" customFormat="1" ht="10.5" customHeight="1">
      <c r="A325" s="670"/>
      <c r="B325" s="208" t="s">
        <v>253</v>
      </c>
      <c r="C325" s="13" t="s">
        <v>6963</v>
      </c>
      <c r="D325" s="11"/>
      <c r="N325" s="242" t="s">
        <v>253</v>
      </c>
      <c r="O325" s="118"/>
      <c r="P325" s="299"/>
      <c r="R325" s="209"/>
    </row>
    <row r="326" spans="1:19" s="19" customFormat="1" ht="12" customHeight="1">
      <c r="A326" s="501" t="s">
        <v>198</v>
      </c>
      <c r="B326" s="92" t="s">
        <v>6964</v>
      </c>
      <c r="C326" s="39"/>
      <c r="D326" s="25"/>
      <c r="E326" s="13"/>
      <c r="G326" s="979"/>
      <c r="I326" s="272"/>
      <c r="L326" s="2591"/>
      <c r="M326" s="2525">
        <v>2</v>
      </c>
      <c r="N326" s="28" t="s">
        <v>198</v>
      </c>
      <c r="P326" s="2984"/>
      <c r="Q326" s="53"/>
      <c r="R326" s="629" t="s">
        <v>6884</v>
      </c>
    </row>
    <row r="327" spans="1:19" s="42" customFormat="1" ht="10.5" customHeight="1">
      <c r="A327" s="80"/>
      <c r="B327" s="208" t="s">
        <v>201</v>
      </c>
      <c r="C327" s="13" t="s">
        <v>6957</v>
      </c>
      <c r="D327" s="13"/>
      <c r="E327" s="13"/>
      <c r="M327" s="2542"/>
      <c r="N327" s="242" t="s">
        <v>6958</v>
      </c>
      <c r="O327" s="2898"/>
      <c r="P327" s="2899"/>
      <c r="Q327" s="53"/>
    </row>
    <row r="328" spans="1:19" s="42" customFormat="1" ht="10.5" customHeight="1">
      <c r="A328" s="72"/>
      <c r="B328" s="208"/>
      <c r="C328" s="13" t="s">
        <v>6965</v>
      </c>
      <c r="D328" s="11"/>
      <c r="N328" s="242" t="s">
        <v>6960</v>
      </c>
      <c r="O328" s="202"/>
      <c r="P328" s="299"/>
      <c r="R328" s="209"/>
    </row>
    <row r="329" spans="1:19" s="42" customFormat="1" ht="10.5" customHeight="1">
      <c r="A329" s="72"/>
      <c r="B329" s="208" t="s">
        <v>209</v>
      </c>
      <c r="C329" s="13" t="s">
        <v>6966</v>
      </c>
      <c r="D329" s="11"/>
      <c r="N329" s="242" t="s">
        <v>209</v>
      </c>
      <c r="O329" s="202"/>
      <c r="P329" s="299"/>
      <c r="R329" s="209"/>
    </row>
    <row r="330" spans="1:19" s="42" customFormat="1" ht="10.5" customHeight="1">
      <c r="B330" s="208" t="s">
        <v>213</v>
      </c>
      <c r="C330" s="13" t="s">
        <v>6963</v>
      </c>
      <c r="D330" s="11"/>
      <c r="N330" s="242" t="s">
        <v>213</v>
      </c>
      <c r="O330" s="118"/>
      <c r="P330" s="300"/>
      <c r="R330" s="209"/>
    </row>
    <row r="331" spans="1:19" s="19" customFormat="1" ht="10.5" customHeight="1">
      <c r="B331" s="37" t="s">
        <v>1453</v>
      </c>
      <c r="C331" s="723"/>
      <c r="D331" s="37"/>
      <c r="E331" s="46"/>
      <c r="F331" s="2586"/>
      <c r="G331" s="2586"/>
      <c r="H331" s="2586"/>
      <c r="I331" s="2586"/>
      <c r="J331" s="2586"/>
      <c r="K331" s="2586"/>
      <c r="L331" s="2586"/>
      <c r="M331" s="2586"/>
      <c r="N331" s="2401"/>
      <c r="O331" s="31"/>
      <c r="P331" s="2542"/>
    </row>
    <row r="332" spans="1:19" s="19" customFormat="1" ht="11.25" customHeight="1">
      <c r="A332" s="4387"/>
      <c r="B332" s="4388"/>
      <c r="C332" s="4388"/>
      <c r="D332" s="4388"/>
      <c r="E332" s="4388"/>
      <c r="F332" s="4388"/>
      <c r="G332" s="4388"/>
      <c r="H332" s="4388"/>
      <c r="I332" s="4388"/>
      <c r="J332" s="4388"/>
      <c r="K332" s="4388"/>
      <c r="L332" s="4388"/>
      <c r="M332" s="4388"/>
      <c r="N332" s="4388"/>
      <c r="O332" s="4388"/>
      <c r="P332" s="4389"/>
      <c r="Q332" s="248"/>
    </row>
    <row r="333" spans="1:19" ht="2.25" customHeight="1" thickBot="1">
      <c r="N333" s="58"/>
    </row>
    <row r="334" spans="1:19" s="19" customFormat="1" ht="13.5" customHeight="1" thickBot="1">
      <c r="A334" s="80" t="s">
        <v>1565</v>
      </c>
      <c r="B334" s="50" t="s">
        <v>1966</v>
      </c>
      <c r="D334" s="39"/>
      <c r="E334" s="39"/>
      <c r="G334" s="13"/>
      <c r="M334" s="2542">
        <v>2</v>
      </c>
      <c r="N334" s="221"/>
      <c r="O334" s="648"/>
      <c r="P334" s="642"/>
      <c r="Q334" s="53" t="s">
        <v>1744</v>
      </c>
      <c r="R334" s="1105" t="s">
        <v>6813</v>
      </c>
      <c r="S334" s="1105"/>
    </row>
    <row r="335" spans="1:19" s="19" customFormat="1" ht="11.25" customHeight="1">
      <c r="A335" s="72"/>
      <c r="B335" s="56" t="s">
        <v>1967</v>
      </c>
      <c r="D335" s="39"/>
      <c r="E335" s="39"/>
      <c r="G335" s="13"/>
      <c r="I335" s="3688" t="s">
        <v>6967</v>
      </c>
      <c r="J335" s="3689"/>
      <c r="K335" s="3689"/>
      <c r="L335" s="3690"/>
      <c r="M335" s="32"/>
      <c r="N335" s="2596"/>
      <c r="O335" s="2591"/>
      <c r="P335" s="2591"/>
      <c r="Q335" s="586"/>
      <c r="R335" s="1105"/>
      <c r="S335" s="1105"/>
    </row>
    <row r="336" spans="1:19" s="47" customFormat="1" ht="2.25" customHeight="1">
      <c r="A336" s="25"/>
      <c r="B336" s="104"/>
      <c r="C336" s="25"/>
      <c r="D336" s="13"/>
      <c r="E336" s="13"/>
      <c r="F336" s="13"/>
      <c r="G336" s="13"/>
      <c r="H336" s="13"/>
      <c r="I336" s="13"/>
      <c r="J336" s="13"/>
      <c r="K336" s="13"/>
      <c r="L336" s="13"/>
      <c r="M336" s="13"/>
      <c r="N336" s="28"/>
      <c r="O336" s="28"/>
      <c r="P336" s="28"/>
      <c r="Q336" s="25"/>
      <c r="R336" s="25"/>
      <c r="S336" s="25"/>
    </row>
    <row r="337" spans="1:20" s="42" customFormat="1" ht="10.5" customHeight="1" thickBot="1">
      <c r="A337" s="43"/>
      <c r="B337" s="672" t="s">
        <v>6825</v>
      </c>
      <c r="C337" s="43"/>
      <c r="D337" s="48"/>
      <c r="E337" s="48"/>
      <c r="F337" s="48"/>
      <c r="G337" s="48"/>
      <c r="H337" s="13"/>
      <c r="I337" s="13"/>
      <c r="J337" s="13"/>
      <c r="K337" s="13"/>
      <c r="M337" s="32"/>
      <c r="N337" s="32"/>
      <c r="O337" s="2"/>
      <c r="P337" s="2542"/>
    </row>
    <row r="338" spans="1:20" s="19" customFormat="1" ht="10.95" customHeight="1" thickTop="1" thickBot="1">
      <c r="A338" s="4598"/>
      <c r="B338" s="4599"/>
      <c r="C338" s="4599"/>
      <c r="D338" s="4599"/>
      <c r="E338" s="4599"/>
      <c r="F338" s="4599"/>
      <c r="G338" s="4599"/>
      <c r="H338" s="4599"/>
      <c r="I338" s="4599"/>
      <c r="J338" s="4599"/>
      <c r="K338" s="4599"/>
      <c r="L338" s="4599"/>
      <c r="M338" s="4599"/>
      <c r="N338" s="4599"/>
      <c r="O338" s="4599"/>
      <c r="P338" s="4600"/>
      <c r="Q338" s="249" t="s">
        <v>6410</v>
      </c>
    </row>
    <row r="339" spans="1:20" s="42" customFormat="1" ht="10.5" customHeight="1" thickTop="1">
      <c r="A339" s="43"/>
      <c r="B339" s="45" t="s">
        <v>1453</v>
      </c>
      <c r="C339" s="43"/>
      <c r="D339" s="45"/>
      <c r="E339" s="2590"/>
      <c r="F339" s="2590"/>
      <c r="G339" s="2590"/>
      <c r="H339" s="2590"/>
      <c r="I339" s="2590"/>
      <c r="J339" s="2590"/>
      <c r="K339" s="2590"/>
      <c r="L339" s="2590"/>
      <c r="M339" s="2590"/>
      <c r="N339" s="2402"/>
      <c r="O339" s="493"/>
      <c r="P339" s="2542"/>
      <c r="Q339" s="19"/>
    </row>
    <row r="340" spans="1:20" s="19" customFormat="1" ht="11.25" customHeight="1">
      <c r="A340" s="4387"/>
      <c r="B340" s="4388"/>
      <c r="C340" s="4388"/>
      <c r="D340" s="4388"/>
      <c r="E340" s="4388"/>
      <c r="F340" s="4388"/>
      <c r="G340" s="4388"/>
      <c r="H340" s="4388"/>
      <c r="I340" s="4388"/>
      <c r="J340" s="4388"/>
      <c r="K340" s="4388"/>
      <c r="L340" s="4388"/>
      <c r="M340" s="4388"/>
      <c r="N340" s="4388"/>
      <c r="O340" s="4388"/>
      <c r="P340" s="4389"/>
      <c r="Q340" s="248"/>
    </row>
    <row r="341" spans="1:20" ht="3" customHeight="1" thickBot="1">
      <c r="N341" s="58"/>
    </row>
    <row r="342" spans="1:20" s="19" customFormat="1" ht="13.5" customHeight="1" thickBot="1">
      <c r="A342" s="79" t="s">
        <v>1577</v>
      </c>
      <c r="B342" s="50" t="s">
        <v>1755</v>
      </c>
      <c r="D342" s="39"/>
      <c r="E342" s="39"/>
      <c r="F342" s="13"/>
      <c r="G342" s="13"/>
      <c r="H342" s="13"/>
      <c r="J342" s="1351" t="s">
        <v>2027</v>
      </c>
      <c r="K342" s="2985" t="e">
        <f>IF(OR($M$34="9% Credit Competitive Round only", $M$34="9% Credit &amp; HOME"),"9%",IF(OR($M$34="4% Credit/TE Bond", $M$34="4% Credit/TE Bond &amp; HOME", $M$34="4% Credit/TE Bond &amp; HOME NOFA", $M$34="4% Credit &amp; NHTF", $M$34="4% Credit &amp; NHTF &amp; HOME"),"4%",""))</f>
        <v>#REF!</v>
      </c>
      <c r="M342" s="2">
        <v>4</v>
      </c>
      <c r="N342" s="32"/>
      <c r="O342" s="649">
        <f>O349+O369</f>
        <v>0</v>
      </c>
      <c r="P342" s="649">
        <f>P349+P369</f>
        <v>0</v>
      </c>
      <c r="Q342" s="53" t="s">
        <v>1744</v>
      </c>
    </row>
    <row r="343" spans="1:20" s="19" customFormat="1" ht="10.5" customHeight="1">
      <c r="A343" s="43"/>
      <c r="B343" s="56" t="s">
        <v>6968</v>
      </c>
      <c r="E343" s="39"/>
      <c r="F343" s="13"/>
      <c r="G343" s="13"/>
      <c r="H343" s="13"/>
      <c r="I343" s="13"/>
      <c r="K343" s="2596"/>
      <c r="L343" s="26"/>
      <c r="O343" s="2596" t="s">
        <v>246</v>
      </c>
      <c r="P343" s="2596" t="s">
        <v>246</v>
      </c>
    </row>
    <row r="344" spans="1:20" s="47" customFormat="1" ht="12.75" customHeight="1">
      <c r="A344" s="25"/>
      <c r="B344" s="28" t="s">
        <v>6477</v>
      </c>
      <c r="C344" s="13" t="s">
        <v>6969</v>
      </c>
      <c r="D344" s="25"/>
      <c r="E344" s="39"/>
      <c r="F344" s="13"/>
      <c r="G344" s="13"/>
      <c r="H344" s="13"/>
      <c r="I344" s="13"/>
      <c r="J344" s="19"/>
      <c r="K344" s="2596"/>
      <c r="L344" s="4753" t="str">
        <f>IF(OR(O344="No",O344="",O345="No",O345="",O346="No",O346="",O347="No",O347=""),"Unmet criterion results in no points!","")</f>
        <v>Unmet criterion results in no points!</v>
      </c>
      <c r="M344" s="4753"/>
      <c r="N344" s="28" t="s">
        <v>6477</v>
      </c>
      <c r="O344" s="2898"/>
      <c r="P344" s="2899"/>
      <c r="Q344" s="25"/>
      <c r="R344" s="4749" t="str">
        <f>IF(OR(P344="No",P344="",P345="No",P345="",P346="No",P346="",P347="No",P347=""),"Unmet criterion results in no points!","")</f>
        <v>Unmet criterion results in no points!</v>
      </c>
      <c r="S344" s="4749" t="e">
        <f>IF(OR(V344="No",V344="",V345="No",V345="",V346="No",V346="",V347="No",V347="",#REF!="No",#REF!="",#REF!="No",#REF!=""),"Unmet criterion results in no points!","")</f>
        <v>#REF!</v>
      </c>
      <c r="T344" s="25"/>
    </row>
    <row r="345" spans="1:20" s="47" customFormat="1" ht="12.75" customHeight="1">
      <c r="A345" s="25"/>
      <c r="B345" s="28" t="s">
        <v>6479</v>
      </c>
      <c r="C345" s="13" t="s">
        <v>6970</v>
      </c>
      <c r="D345" s="25"/>
      <c r="E345" s="25"/>
      <c r="F345" s="25"/>
      <c r="G345" s="25"/>
      <c r="H345" s="25"/>
      <c r="I345" s="25"/>
      <c r="J345" s="25"/>
      <c r="K345" s="25"/>
      <c r="L345" s="4753"/>
      <c r="M345" s="4753"/>
      <c r="N345" s="28" t="s">
        <v>6479</v>
      </c>
      <c r="O345" s="202"/>
      <c r="P345" s="299"/>
      <c r="Q345" s="25"/>
      <c r="R345" s="4749"/>
      <c r="S345" s="4749"/>
      <c r="T345" s="25"/>
    </row>
    <row r="346" spans="1:20" s="47" customFormat="1" ht="12.75" customHeight="1">
      <c r="A346" s="25"/>
      <c r="B346" s="28" t="s">
        <v>6685</v>
      </c>
      <c r="C346" s="13" t="s">
        <v>6971</v>
      </c>
      <c r="D346" s="25"/>
      <c r="E346" s="25"/>
      <c r="F346" s="25"/>
      <c r="G346" s="25"/>
      <c r="H346" s="25"/>
      <c r="I346" s="25"/>
      <c r="J346" s="25"/>
      <c r="K346" s="25"/>
      <c r="L346" s="4753"/>
      <c r="M346" s="4753"/>
      <c r="N346" s="28" t="s">
        <v>6685</v>
      </c>
      <c r="O346" s="202"/>
      <c r="P346" s="299"/>
      <c r="Q346" s="25"/>
      <c r="R346" s="4749"/>
      <c r="S346" s="4749"/>
      <c r="T346" s="25"/>
    </row>
    <row r="347" spans="1:20" s="47" customFormat="1" ht="33.75" customHeight="1">
      <c r="A347" s="25"/>
      <c r="B347" s="84" t="s">
        <v>6874</v>
      </c>
      <c r="C347" s="4379" t="s">
        <v>6972</v>
      </c>
      <c r="D347" s="4379"/>
      <c r="E347" s="4379"/>
      <c r="F347" s="4379"/>
      <c r="G347" s="4379"/>
      <c r="H347" s="4379"/>
      <c r="I347" s="4379"/>
      <c r="J347" s="4379"/>
      <c r="K347" s="4379"/>
      <c r="L347" s="4379"/>
      <c r="M347" s="4379"/>
      <c r="N347" s="84" t="s">
        <v>6874</v>
      </c>
      <c r="O347" s="2595"/>
      <c r="P347" s="2593"/>
      <c r="Q347" s="25"/>
      <c r="R347" s="25"/>
      <c r="S347" s="25"/>
      <c r="T347" s="25"/>
    </row>
    <row r="348" spans="1:20" ht="3" customHeight="1" thickBot="1">
      <c r="C348" s="4379"/>
      <c r="D348" s="4379"/>
      <c r="E348" s="4379"/>
      <c r="F348" s="4379"/>
      <c r="G348" s="4379"/>
      <c r="H348" s="4379"/>
      <c r="I348" s="4379"/>
      <c r="J348" s="4379"/>
      <c r="K348" s="4379"/>
      <c r="L348" s="4379"/>
      <c r="M348" s="4379"/>
      <c r="N348" s="58"/>
    </row>
    <row r="349" spans="1:20" ht="12.75" customHeight="1" thickBot="1">
      <c r="A349" s="589" t="s">
        <v>186</v>
      </c>
      <c r="B349" s="92" t="s">
        <v>1756</v>
      </c>
      <c r="L349" s="209" t="str">
        <f>IF(O349&lt;=M349,"","* * Check Score! * *")</f>
        <v/>
      </c>
      <c r="M349" s="2525">
        <v>3</v>
      </c>
      <c r="N349" s="28" t="s">
        <v>186</v>
      </c>
      <c r="O349" s="1090"/>
      <c r="P349" s="1091"/>
      <c r="Q349" s="586" t="str">
        <f>IF(O349&lt;=M349,"","*CHECK!*")</f>
        <v/>
      </c>
      <c r="R349" s="280" t="s">
        <v>6813</v>
      </c>
      <c r="S349" s="280"/>
      <c r="T349" s="965"/>
    </row>
    <row r="350" spans="1:20" ht="12.75" customHeight="1">
      <c r="A350" s="589"/>
      <c r="B350" s="500" t="s">
        <v>6973</v>
      </c>
      <c r="C350" s="73"/>
      <c r="D350" s="73"/>
      <c r="E350" s="73"/>
      <c r="F350" s="73"/>
      <c r="G350" s="73"/>
      <c r="H350" s="73"/>
      <c r="I350" s="73"/>
      <c r="N350"/>
      <c r="O350" s="942"/>
      <c r="P350" s="941"/>
      <c r="R350" s="280"/>
      <c r="S350" s="280"/>
      <c r="T350" s="965"/>
    </row>
    <row r="351" spans="1:20" ht="12.75" customHeight="1">
      <c r="A351" s="589"/>
      <c r="B351" s="1330" t="s">
        <v>6974</v>
      </c>
      <c r="C351" s="73"/>
      <c r="D351" s="73"/>
      <c r="E351" s="73"/>
      <c r="F351" s="73"/>
      <c r="G351" s="73"/>
      <c r="H351" s="73"/>
      <c r="I351" s="73"/>
      <c r="J351" s="4699" t="s">
        <v>1758</v>
      </c>
      <c r="K351" s="4699"/>
      <c r="M351" s="4699" t="s">
        <v>1758</v>
      </c>
      <c r="N351" s="4699"/>
      <c r="O351" s="4699"/>
      <c r="P351" s="4699"/>
      <c r="R351" s="1251"/>
      <c r="S351" s="1251"/>
      <c r="T351" s="965"/>
    </row>
    <row r="352" spans="1:20" s="19" customFormat="1" ht="12.75" customHeight="1">
      <c r="A352" s="102"/>
      <c r="B352" s="101" t="s">
        <v>6975</v>
      </c>
      <c r="C352" s="13" t="s">
        <v>1759</v>
      </c>
      <c r="I352" s="28" t="s">
        <v>6477</v>
      </c>
      <c r="J352" s="4689"/>
      <c r="K352" s="4690"/>
      <c r="L352" s="28" t="s">
        <v>6477</v>
      </c>
      <c r="M352" s="4789"/>
      <c r="N352" s="4790"/>
      <c r="O352" s="4790"/>
      <c r="P352" s="4791"/>
      <c r="R352" s="209"/>
    </row>
    <row r="353" spans="1:18" ht="12.75" customHeight="1">
      <c r="A353" s="103"/>
      <c r="B353" s="84" t="s">
        <v>6479</v>
      </c>
      <c r="C353" s="13" t="s">
        <v>1760</v>
      </c>
      <c r="I353" s="84" t="s">
        <v>6479</v>
      </c>
      <c r="J353" s="4694"/>
      <c r="K353" s="4695"/>
      <c r="L353" s="84" t="s">
        <v>6479</v>
      </c>
      <c r="M353" s="4696"/>
      <c r="N353" s="4697"/>
      <c r="O353" s="4697"/>
      <c r="P353" s="4698"/>
      <c r="R353" s="209"/>
    </row>
    <row r="354" spans="1:18" ht="12.75" customHeight="1">
      <c r="B354" s="28" t="s">
        <v>6685</v>
      </c>
      <c r="C354" s="13" t="s">
        <v>6976</v>
      </c>
      <c r="I354" s="28" t="s">
        <v>6685</v>
      </c>
      <c r="J354" s="4694"/>
      <c r="K354" s="4695"/>
      <c r="L354" s="28" t="s">
        <v>6685</v>
      </c>
      <c r="M354" s="4696"/>
      <c r="N354" s="4697"/>
      <c r="O354" s="4697"/>
      <c r="P354" s="4698"/>
      <c r="R354" s="209"/>
    </row>
    <row r="355" spans="1:18" ht="12.75" customHeight="1">
      <c r="A355" s="103"/>
      <c r="B355" s="28" t="s">
        <v>6874</v>
      </c>
      <c r="C355" s="13" t="s">
        <v>1763</v>
      </c>
      <c r="I355" s="28" t="s">
        <v>6874</v>
      </c>
      <c r="J355" s="4694"/>
      <c r="K355" s="4695"/>
      <c r="L355" s="28" t="s">
        <v>6874</v>
      </c>
      <c r="M355" s="4696"/>
      <c r="N355" s="4697"/>
      <c r="O355" s="4697"/>
      <c r="P355" s="4698"/>
      <c r="R355" s="209"/>
    </row>
    <row r="356" spans="1:18" s="19" customFormat="1" ht="12.75" customHeight="1">
      <c r="A356" s="102"/>
      <c r="B356" s="84" t="s">
        <v>6698</v>
      </c>
      <c r="C356" s="13" t="s">
        <v>1764</v>
      </c>
      <c r="I356" s="84" t="s">
        <v>6698</v>
      </c>
      <c r="J356" s="4694"/>
      <c r="K356" s="4695"/>
      <c r="L356" s="84" t="s">
        <v>6698</v>
      </c>
      <c r="M356" s="4696"/>
      <c r="N356" s="4697"/>
      <c r="O356" s="4697"/>
      <c r="P356" s="4698"/>
      <c r="R356" s="209"/>
    </row>
    <row r="357" spans="1:18" ht="12.75" customHeight="1">
      <c r="B357" s="28" t="s">
        <v>6701</v>
      </c>
      <c r="C357" s="13" t="s">
        <v>1765</v>
      </c>
      <c r="I357" s="28" t="s">
        <v>6701</v>
      </c>
      <c r="J357" s="4694"/>
      <c r="K357" s="4695"/>
      <c r="L357" s="28" t="s">
        <v>6701</v>
      </c>
      <c r="M357" s="4696"/>
      <c r="N357" s="4697"/>
      <c r="O357" s="4697"/>
      <c r="P357" s="4698"/>
      <c r="R357" s="209"/>
    </row>
    <row r="358" spans="1:18" ht="12.75" customHeight="1">
      <c r="B358" s="28" t="s">
        <v>6977</v>
      </c>
      <c r="C358" s="13" t="s">
        <v>1766</v>
      </c>
      <c r="I358" s="28" t="s">
        <v>6977</v>
      </c>
      <c r="J358" s="4694"/>
      <c r="K358" s="4695"/>
      <c r="L358" s="28" t="s">
        <v>6977</v>
      </c>
      <c r="M358" s="2608"/>
      <c r="N358" s="2609"/>
      <c r="O358" s="2609"/>
      <c r="P358" s="2610"/>
      <c r="R358" s="209"/>
    </row>
    <row r="359" spans="1:18" ht="12.75" customHeight="1">
      <c r="A359" s="103"/>
      <c r="B359" s="28" t="s">
        <v>6978</v>
      </c>
      <c r="C359" s="13" t="s">
        <v>1767</v>
      </c>
      <c r="I359" s="28" t="s">
        <v>6978</v>
      </c>
      <c r="J359" s="4694"/>
      <c r="K359" s="4695"/>
      <c r="L359" s="28" t="s">
        <v>6978</v>
      </c>
      <c r="M359" s="4696"/>
      <c r="N359" s="4697"/>
      <c r="O359" s="4697"/>
      <c r="P359" s="4698"/>
      <c r="R359" s="209"/>
    </row>
    <row r="360" spans="1:18" ht="12.75" customHeight="1">
      <c r="B360" s="28" t="s">
        <v>6705</v>
      </c>
      <c r="C360" s="13" t="s">
        <v>6979</v>
      </c>
      <c r="I360" s="28" t="s">
        <v>6705</v>
      </c>
      <c r="J360" s="4694"/>
      <c r="K360" s="4695"/>
      <c r="L360" s="28" t="s">
        <v>6705</v>
      </c>
      <c r="M360" s="4696"/>
      <c r="N360" s="4697"/>
      <c r="O360" s="4697"/>
      <c r="P360" s="4698"/>
      <c r="R360" s="209"/>
    </row>
    <row r="361" spans="1:18" ht="12.75" customHeight="1">
      <c r="B361" s="28" t="s">
        <v>6980</v>
      </c>
      <c r="C361" s="13" t="s">
        <v>6981</v>
      </c>
      <c r="I361" s="28" t="s">
        <v>6980</v>
      </c>
      <c r="J361" s="4694"/>
      <c r="K361" s="4695"/>
      <c r="L361" s="28" t="s">
        <v>6980</v>
      </c>
      <c r="M361" s="4696"/>
      <c r="N361" s="4697"/>
      <c r="O361" s="4697"/>
      <c r="P361" s="4698"/>
      <c r="R361" s="209"/>
    </row>
    <row r="362" spans="1:18" ht="12.75" customHeight="1" thickBot="1">
      <c r="B362" s="28" t="s">
        <v>6982</v>
      </c>
      <c r="C362" s="13" t="s">
        <v>6983</v>
      </c>
      <c r="I362" s="28" t="s">
        <v>6982</v>
      </c>
      <c r="J362" s="4694"/>
      <c r="K362" s="4695"/>
      <c r="L362" s="28" t="s">
        <v>6982</v>
      </c>
      <c r="M362" s="4780"/>
      <c r="N362" s="4781"/>
      <c r="O362" s="4781"/>
      <c r="P362" s="4782"/>
      <c r="R362" s="209"/>
    </row>
    <row r="363" spans="1:18" ht="12.75" customHeight="1" thickBot="1">
      <c r="B363" s="658" t="s">
        <v>6984</v>
      </c>
      <c r="H363" s="56" t="s">
        <v>1772</v>
      </c>
      <c r="J363" s="4685">
        <f>SUM(J352:K362)</f>
        <v>0</v>
      </c>
      <c r="K363" s="4686"/>
      <c r="M363" s="4685">
        <f>SUM($M352:$M362)</f>
        <v>0</v>
      </c>
      <c r="N363" s="4688"/>
      <c r="O363" s="4688"/>
      <c r="P363" s="4686"/>
      <c r="R363" s="209"/>
    </row>
    <row r="364" spans="1:18" ht="6" customHeight="1">
      <c r="M364" s="280"/>
      <c r="N364" s="280"/>
      <c r="O364" s="77"/>
      <c r="P364" s="280"/>
    </row>
    <row r="365" spans="1:18" s="19" customFormat="1" ht="12" customHeight="1">
      <c r="A365" s="43"/>
      <c r="B365" s="823" t="s">
        <v>209</v>
      </c>
      <c r="C365" s="287" t="s">
        <v>1775</v>
      </c>
      <c r="D365" s="142"/>
      <c r="E365" s="142"/>
      <c r="F365" s="16" t="s">
        <v>1776</v>
      </c>
      <c r="H365"/>
      <c r="I365"/>
      <c r="J365" s="4799" t="e">
        <f>#REF!</f>
        <v>#REF!</v>
      </c>
      <c r="K365" s="4800"/>
      <c r="L365" s="305"/>
      <c r="M365" s="280"/>
      <c r="N365" s="280"/>
      <c r="O365" s="641"/>
      <c r="P365" s="280"/>
    </row>
    <row r="366" spans="1:18" ht="13.5" customHeight="1">
      <c r="C366" s="142"/>
      <c r="D366" s="142"/>
      <c r="E366" s="142"/>
      <c r="F366" s="243" t="s">
        <v>1778</v>
      </c>
      <c r="J366" s="4797" t="e">
        <f>IF(J365=0,0,J363/J365)</f>
        <v>#REF!</v>
      </c>
      <c r="K366" s="4798"/>
      <c r="M366" s="4691" t="e">
        <f>IF($J365=0,0,$M363/$J365)</f>
        <v>#REF!</v>
      </c>
      <c r="N366" s="4692"/>
      <c r="O366" s="4692"/>
      <c r="P366" s="4693"/>
    </row>
    <row r="367" spans="1:18" s="19" customFormat="1" ht="12.75" customHeight="1">
      <c r="C367" s="142"/>
      <c r="D367" s="142"/>
      <c r="E367" s="142"/>
      <c r="F367" s="25" t="s">
        <v>1782</v>
      </c>
      <c r="I367"/>
      <c r="J367" s="4774">
        <f>IF(L344="", IF($J366&gt;=30000, 3,IF($J366&gt;=20000, 2,IF($J366&gt;=10000,1,0))),0)</f>
        <v>0</v>
      </c>
      <c r="K367" s="4775"/>
      <c r="L367" s="285"/>
      <c r="M367" s="4774">
        <f>IF(R344="", IF($M366&gt;=30000, 3,IF($M366&gt;=20000, 2,IF($M366&gt;=10000,1,0))),0)</f>
        <v>0</v>
      </c>
      <c r="N367" s="4796"/>
      <c r="O367" s="4796"/>
      <c r="P367" s="4775"/>
    </row>
    <row r="368" spans="1:18" ht="9" customHeight="1" thickBot="1">
      <c r="N368" s="58"/>
    </row>
    <row r="369" spans="1:22" s="42" customFormat="1" ht="12.75" customHeight="1" thickBot="1">
      <c r="A369" s="501" t="s">
        <v>198</v>
      </c>
      <c r="B369" s="104" t="s">
        <v>6985</v>
      </c>
      <c r="D369" s="13"/>
      <c r="E369" s="13"/>
      <c r="F369" s="2542"/>
      <c r="H369" s="13"/>
      <c r="I369" s="2542"/>
      <c r="J369" s="16"/>
      <c r="K369" s="16"/>
      <c r="L369" s="209" t="str">
        <f>IF(OR($O369=$M369,$O369=0,$O369=""),"","* * Check Score! * *")</f>
        <v/>
      </c>
      <c r="M369" s="2525">
        <v>1</v>
      </c>
      <c r="N369" s="28" t="s">
        <v>198</v>
      </c>
      <c r="O369" s="648"/>
      <c r="P369" s="642"/>
      <c r="Q369" s="585" t="s">
        <v>6813</v>
      </c>
      <c r="V369" s="610"/>
    </row>
    <row r="370" spans="1:22" s="19" customFormat="1" ht="22.5" customHeight="1">
      <c r="A370" s="72"/>
      <c r="B370" s="244" t="s">
        <v>201</v>
      </c>
      <c r="C370" s="4379" t="s">
        <v>6986</v>
      </c>
      <c r="D370" s="4379"/>
      <c r="E370" s="4379"/>
      <c r="F370" s="4379"/>
      <c r="G370" s="4379"/>
      <c r="H370" s="4379"/>
      <c r="I370" s="4379"/>
      <c r="J370" s="4379"/>
      <c r="K370" s="4379"/>
      <c r="L370" s="4379"/>
      <c r="M370" s="4379"/>
      <c r="N370" s="266" t="s">
        <v>201</v>
      </c>
      <c r="O370" s="2600"/>
      <c r="P370" s="2598"/>
      <c r="V370" s="610"/>
    </row>
    <row r="371" spans="1:22" s="19" customFormat="1" ht="12.75" customHeight="1">
      <c r="A371" s="72"/>
      <c r="B371" s="208" t="s">
        <v>209</v>
      </c>
      <c r="C371" s="13" t="s">
        <v>6987</v>
      </c>
      <c r="D371" s="13"/>
      <c r="E371" s="13"/>
      <c r="F371" s="13"/>
      <c r="G371" s="13"/>
      <c r="H371" s="13"/>
      <c r="I371" s="13"/>
      <c r="J371" s="13"/>
      <c r="K371" s="13"/>
      <c r="M371" s="13"/>
      <c r="N371" s="242" t="s">
        <v>209</v>
      </c>
      <c r="O371" s="202"/>
      <c r="P371" s="299"/>
      <c r="V371" s="610"/>
    </row>
    <row r="372" spans="1:22" ht="12.75" customHeight="1">
      <c r="B372" s="208" t="s">
        <v>213</v>
      </c>
      <c r="C372" s="25" t="s">
        <v>6988</v>
      </c>
      <c r="N372" s="242" t="s">
        <v>213</v>
      </c>
      <c r="O372" s="118"/>
      <c r="P372" s="300"/>
    </row>
    <row r="373" spans="1:22" ht="12" customHeight="1" thickBot="1">
      <c r="B373" s="672" t="s">
        <v>6825</v>
      </c>
      <c r="N373" s="58"/>
    </row>
    <row r="374" spans="1:22" s="19" customFormat="1" ht="21.75" customHeight="1" thickTop="1" thickBot="1">
      <c r="A374" s="4598"/>
      <c r="B374" s="4599"/>
      <c r="C374" s="4599"/>
      <c r="D374" s="4599"/>
      <c r="E374" s="4599"/>
      <c r="F374" s="4599"/>
      <c r="G374" s="4599"/>
      <c r="H374" s="4599"/>
      <c r="I374" s="4599"/>
      <c r="J374" s="4599"/>
      <c r="K374" s="4599"/>
      <c r="L374" s="4599"/>
      <c r="M374" s="4599"/>
      <c r="N374" s="4599"/>
      <c r="O374" s="4599"/>
      <c r="P374" s="4600"/>
      <c r="Q374" s="249" t="s">
        <v>6410</v>
      </c>
    </row>
    <row r="375" spans="1:22" s="42" customFormat="1" ht="11.25" customHeight="1" thickTop="1">
      <c r="A375" s="43"/>
      <c r="B375" s="282" t="s">
        <v>1453</v>
      </c>
      <c r="C375" s="723"/>
      <c r="D375" s="45"/>
      <c r="E375" s="2613"/>
      <c r="F375" s="2590"/>
      <c r="G375" s="2590"/>
      <c r="H375" s="2590"/>
      <c r="I375" s="2590"/>
      <c r="J375" s="2590"/>
      <c r="K375" s="2590"/>
      <c r="L375" s="2590"/>
      <c r="M375" s="2590"/>
      <c r="N375" s="2402"/>
      <c r="O375" s="493"/>
      <c r="P375" s="2542"/>
      <c r="Q375" s="19"/>
    </row>
    <row r="376" spans="1:22" s="19" customFormat="1" ht="11.25" customHeight="1">
      <c r="A376" s="4387"/>
      <c r="B376" s="4388"/>
      <c r="C376" s="4388"/>
      <c r="D376" s="4388"/>
      <c r="E376" s="4388"/>
      <c r="F376" s="4388"/>
      <c r="G376" s="4388"/>
      <c r="H376" s="4388"/>
      <c r="I376" s="4388"/>
      <c r="J376" s="4388"/>
      <c r="K376" s="4388"/>
      <c r="L376" s="4388"/>
      <c r="M376" s="4388"/>
      <c r="N376" s="4388"/>
      <c r="O376" s="4388"/>
      <c r="P376" s="4389"/>
      <c r="Q376" s="248"/>
    </row>
    <row r="377" spans="1:22" s="19" customFormat="1" ht="3" customHeight="1" thickBot="1">
      <c r="A377" s="43"/>
      <c r="B377" s="43"/>
      <c r="C377" s="2586"/>
      <c r="D377" s="2586"/>
      <c r="E377" s="2586"/>
      <c r="F377" s="2586"/>
      <c r="G377" s="2586"/>
      <c r="H377" s="2586"/>
      <c r="I377" s="2586"/>
      <c r="J377" s="2586"/>
      <c r="K377" s="2586"/>
      <c r="L377" s="2586"/>
      <c r="M377" s="2586"/>
      <c r="N377" s="2401"/>
      <c r="O377" s="31"/>
      <c r="P377" s="2542"/>
    </row>
    <row r="378" spans="1:22" s="19" customFormat="1" ht="13.5" customHeight="1" thickBot="1">
      <c r="A378" s="79" t="s">
        <v>1582</v>
      </c>
      <c r="B378" s="50" t="s">
        <v>1955</v>
      </c>
      <c r="D378" s="16"/>
      <c r="G378" s="27" t="s">
        <v>6989</v>
      </c>
      <c r="I378" s="1036" t="s">
        <v>6904</v>
      </c>
      <c r="J378" s="1035" t="e">
        <f>IF(OR($M$34="9% Credit Competitive Round only", $M$34="9% Credit &amp; HOME"),"9%",IF(OR($M$34="4% Credit/TE Bond", $M$34="4% Credit/TE Bond &amp; HOME", $M$34="4% Credit/TE Bond &amp; HOME NOFA", $M$34="4% Credit &amp; NHTF", $M$34="4% Credit &amp; NHTF &amp; HOME"),"4%",""))</f>
        <v>#REF!</v>
      </c>
      <c r="K378" s="1036" t="s">
        <v>808</v>
      </c>
      <c r="L378" s="1035" t="str">
        <f>M55</f>
        <v>&lt;&lt; Select Activity Type &gt;&gt;</v>
      </c>
      <c r="M378" s="2542">
        <v>2</v>
      </c>
      <c r="N378" s="28"/>
      <c r="O378" s="630">
        <f>MIN($M378,O382+O389)</f>
        <v>0</v>
      </c>
      <c r="P378" s="647">
        <f>MIN($M378,P382+P389)</f>
        <v>0</v>
      </c>
      <c r="Q378" s="53" t="s">
        <v>1744</v>
      </c>
      <c r="R378" s="1333" t="str">
        <f>IF(AND(O378&gt;0,NOT($M$55="New Supply")), "Ineligible to score in this section, not New Supply!","")</f>
        <v/>
      </c>
    </row>
    <row r="379" spans="1:22" s="228" customFormat="1" ht="1.5" customHeight="1">
      <c r="B379" s="244"/>
      <c r="F379" s="241"/>
      <c r="G379" s="501"/>
      <c r="M379" s="2403"/>
      <c r="N379" s="2403"/>
      <c r="O379" s="2403"/>
      <c r="P379" s="2403"/>
      <c r="Q379" s="98"/>
    </row>
    <row r="380" spans="1:22" s="228" customFormat="1" ht="12.75" customHeight="1">
      <c r="A380" s="80"/>
      <c r="B380" s="500" t="s">
        <v>1956</v>
      </c>
      <c r="D380" s="3688" t="s">
        <v>1957</v>
      </c>
      <c r="E380" s="3689"/>
      <c r="F380" s="3689"/>
      <c r="G380" s="3689"/>
      <c r="H380" s="3689"/>
      <c r="I380" s="3690"/>
      <c r="J380" s="73" t="s">
        <v>6990</v>
      </c>
      <c r="L380" s="2986" t="e">
        <f>#REF!</f>
        <v>#REF!</v>
      </c>
      <c r="M380" s="2403"/>
      <c r="N380" s="2403"/>
      <c r="O380" s="2403"/>
      <c r="P380" s="2403"/>
      <c r="Q380" s="98"/>
    </row>
    <row r="381" spans="1:22" s="228" customFormat="1" ht="1.5" customHeight="1">
      <c r="B381" s="244"/>
      <c r="M381" s="2403"/>
      <c r="N381" s="2403"/>
      <c r="O381" s="2403"/>
      <c r="P381" s="2403"/>
      <c r="Q381" s="98"/>
    </row>
    <row r="382" spans="1:22" s="228" customFormat="1" ht="12.75" customHeight="1">
      <c r="A382" s="679" t="s">
        <v>186</v>
      </c>
      <c r="B382" s="38" t="s">
        <v>1958</v>
      </c>
      <c r="C382" s="73"/>
      <c r="D382" s="73"/>
      <c r="E382" s="73"/>
      <c r="F382" s="73"/>
      <c r="G382" s="73"/>
      <c r="H382" s="73"/>
      <c r="I382" s="73"/>
      <c r="M382" s="1260">
        <v>2</v>
      </c>
      <c r="N382" s="84" t="s">
        <v>186</v>
      </c>
      <c r="O382" s="2976"/>
      <c r="P382" s="2987"/>
      <c r="Q382" s="586" t="str">
        <f>IF(OR($O382=$M382,$O382=0,$O382=""),"","*CHECK!*")</f>
        <v/>
      </c>
      <c r="R382" s="585" t="s">
        <v>6813</v>
      </c>
    </row>
    <row r="383" spans="1:22" s="228" customFormat="1" ht="12" customHeight="1">
      <c r="A383" s="227"/>
      <c r="B383" s="4396" t="s">
        <v>6991</v>
      </c>
      <c r="C383" s="4396"/>
      <c r="D383" s="4396"/>
      <c r="E383" s="4396"/>
      <c r="F383" s="4396"/>
      <c r="G383" s="4396"/>
      <c r="H383" s="4396"/>
      <c r="I383" s="4396"/>
      <c r="J383" s="4396"/>
      <c r="K383" s="4396"/>
      <c r="L383" s="4396"/>
      <c r="M383" s="4779" t="s">
        <v>6992</v>
      </c>
      <c r="N383" s="4779"/>
      <c r="Q383" s="98"/>
    </row>
    <row r="384" spans="1:22" s="228" customFormat="1" ht="12" customHeight="1">
      <c r="B384" s="4396"/>
      <c r="C384" s="4396"/>
      <c r="D384" s="4396"/>
      <c r="E384" s="4396"/>
      <c r="F384" s="4396"/>
      <c r="G384" s="4396"/>
      <c r="H384" s="4396"/>
      <c r="I384" s="4396"/>
      <c r="J384" s="4396"/>
      <c r="K384" s="4396"/>
      <c r="L384" s="4396"/>
      <c r="M384" s="4779"/>
      <c r="N384" s="4779"/>
      <c r="O384" s="4785" t="e">
        <f>#REF!</f>
        <v>#REF!</v>
      </c>
      <c r="P384" s="4786"/>
      <c r="Q384" s="98"/>
    </row>
    <row r="385" spans="1:19" s="228" customFormat="1" ht="12" customHeight="1">
      <c r="B385" s="4396"/>
      <c r="C385" s="4396"/>
      <c r="D385" s="4396"/>
      <c r="E385" s="4396"/>
      <c r="F385" s="4396"/>
      <c r="G385" s="4396"/>
      <c r="H385" s="4396"/>
      <c r="I385" s="4396"/>
      <c r="J385" s="4396"/>
      <c r="K385" s="4396"/>
      <c r="L385" s="4396"/>
      <c r="M385" s="150" t="s">
        <v>6993</v>
      </c>
      <c r="N385" s="2403"/>
      <c r="O385" s="4783" t="e">
        <f>#REF!</f>
        <v>#REF!</v>
      </c>
      <c r="P385" s="4784"/>
      <c r="Q385" s="98"/>
    </row>
    <row r="386" spans="1:19" s="228" customFormat="1" ht="12" customHeight="1">
      <c r="B386" s="4776"/>
      <c r="C386" s="4776"/>
      <c r="D386" s="4776"/>
      <c r="E386" s="4776"/>
      <c r="F386" s="4776"/>
      <c r="G386" s="4776"/>
      <c r="H386" s="4776"/>
      <c r="I386" s="4776"/>
      <c r="J386" s="4776"/>
      <c r="K386" s="4776"/>
      <c r="L386" s="4776"/>
      <c r="M386" s="824" t="s">
        <v>6994</v>
      </c>
      <c r="N386" s="2403"/>
      <c r="O386" s="4777" t="e">
        <f>IF(O385=0,0,O384/O385)</f>
        <v>#REF!</v>
      </c>
      <c r="P386" s="4778"/>
      <c r="Q386" s="98"/>
    </row>
    <row r="387" spans="1:19" s="19" customFormat="1" ht="105.75" customHeight="1">
      <c r="A387" s="295"/>
      <c r="B387" s="4422" t="s">
        <v>1959</v>
      </c>
      <c r="C387" s="4423"/>
      <c r="D387" s="4423"/>
      <c r="E387" s="4423"/>
      <c r="F387" s="4423"/>
      <c r="G387" s="4423"/>
      <c r="H387" s="4423"/>
      <c r="I387" s="4423"/>
      <c r="J387" s="4423"/>
      <c r="K387" s="4423"/>
      <c r="L387" s="4423"/>
      <c r="M387" s="4423"/>
      <c r="N387" s="4423"/>
      <c r="O387" s="4423"/>
      <c r="P387" s="4424"/>
      <c r="Q387" s="248" t="s">
        <v>6410</v>
      </c>
      <c r="R387" s="249"/>
      <c r="S387" s="249"/>
    </row>
    <row r="388" spans="1:19" s="228" customFormat="1" ht="1.5" customHeight="1">
      <c r="A388" s="328"/>
      <c r="B388" s="244"/>
      <c r="F388" s="241"/>
      <c r="G388" s="501"/>
      <c r="M388" s="2403"/>
      <c r="N388" s="2403"/>
      <c r="O388" s="2403"/>
      <c r="P388" s="2403"/>
      <c r="Q388" s="98"/>
    </row>
    <row r="389" spans="1:19" s="228" customFormat="1" ht="12" customHeight="1">
      <c r="A389" s="296" t="s">
        <v>6995</v>
      </c>
      <c r="B389" s="65" t="s">
        <v>1960</v>
      </c>
      <c r="C389" s="73"/>
      <c r="H389" s="73"/>
      <c r="M389" s="2403">
        <v>2</v>
      </c>
      <c r="N389" s="84" t="s">
        <v>198</v>
      </c>
      <c r="O389" s="2976"/>
      <c r="P389" s="2987"/>
      <c r="Q389" s="586" t="str">
        <f>IF(OR($O389=$M389,$O389=0,$O389=""),"","*CHECK!*")</f>
        <v/>
      </c>
      <c r="R389" s="585" t="s">
        <v>6813</v>
      </c>
    </row>
    <row r="390" spans="1:19" s="228" customFormat="1" ht="11.25" customHeight="1">
      <c r="A390" s="296"/>
      <c r="B390" s="73" t="s">
        <v>6996</v>
      </c>
      <c r="C390" s="73"/>
      <c r="D390" s="73"/>
      <c r="E390" s="73"/>
      <c r="F390" s="73"/>
      <c r="G390" s="73"/>
      <c r="H390" s="73"/>
      <c r="I390" s="73"/>
      <c r="J390" s="73"/>
      <c r="K390" s="73"/>
      <c r="L390" s="73"/>
      <c r="Q390" s="98"/>
    </row>
    <row r="391" spans="1:19" s="228" customFormat="1" ht="11.25" customHeight="1">
      <c r="A391" s="296"/>
      <c r="E391" s="1256"/>
      <c r="G391" s="857" t="s">
        <v>6997</v>
      </c>
      <c r="H391" s="2988" t="e">
        <f>#REF!</f>
        <v>#REF!</v>
      </c>
      <c r="I391" s="678" t="s">
        <v>6993</v>
      </c>
      <c r="J391" s="2986" t="e">
        <f>#REF!</f>
        <v>#REF!</v>
      </c>
      <c r="K391" s="1258" t="s">
        <v>6994</v>
      </c>
      <c r="L391" s="2989" t="e">
        <f>IF(J391=0,0,H391/J391)</f>
        <v>#REF!</v>
      </c>
      <c r="N391" s="1257"/>
      <c r="Q391" s="98"/>
    </row>
    <row r="392" spans="1:19" s="19" customFormat="1" ht="11.25" customHeight="1" thickBot="1">
      <c r="A392" s="43"/>
      <c r="B392" s="672" t="s">
        <v>6825</v>
      </c>
      <c r="C392" s="43"/>
      <c r="D392" s="48"/>
      <c r="E392" s="48"/>
      <c r="F392" s="48"/>
      <c r="G392" s="48"/>
      <c r="H392" s="13"/>
      <c r="I392" s="13"/>
      <c r="J392" s="13"/>
      <c r="K392" s="13"/>
      <c r="M392" s="32"/>
      <c r="N392" s="58"/>
      <c r="O392" s="2"/>
      <c r="P392" s="9"/>
    </row>
    <row r="393" spans="1:19" s="19" customFormat="1" ht="73.5" customHeight="1" thickTop="1" thickBot="1">
      <c r="A393" s="4598"/>
      <c r="B393" s="4599"/>
      <c r="C393" s="4599"/>
      <c r="D393" s="4599"/>
      <c r="E393" s="4599"/>
      <c r="F393" s="4599"/>
      <c r="G393" s="4599"/>
      <c r="H393" s="4599"/>
      <c r="I393" s="4599"/>
      <c r="J393" s="4599"/>
      <c r="K393" s="4599"/>
      <c r="L393" s="4599"/>
      <c r="M393" s="4599"/>
      <c r="N393" s="4599"/>
      <c r="O393" s="4599"/>
      <c r="P393" s="4600"/>
      <c r="Q393" s="249" t="s">
        <v>6410</v>
      </c>
      <c r="R393" s="249"/>
    </row>
    <row r="394" spans="1:19" s="19" customFormat="1" ht="10.5" customHeight="1" thickTop="1">
      <c r="B394" s="37" t="s">
        <v>1453</v>
      </c>
      <c r="C394" s="723"/>
      <c r="D394" s="37"/>
      <c r="E394" s="46"/>
      <c r="F394" s="2586"/>
      <c r="G394" s="2586"/>
      <c r="H394" s="2586"/>
      <c r="I394" s="2586"/>
      <c r="J394" s="2586"/>
      <c r="K394" s="2586"/>
      <c r="L394" s="2586"/>
      <c r="M394" s="2586"/>
      <c r="N394" s="2401"/>
      <c r="O394" s="31"/>
      <c r="P394" s="2542"/>
    </row>
    <row r="395" spans="1:19" s="19" customFormat="1" ht="22.2" customHeight="1">
      <c r="A395" s="4387"/>
      <c r="B395" s="4388"/>
      <c r="C395" s="4388"/>
      <c r="D395" s="4388"/>
      <c r="E395" s="4388"/>
      <c r="F395" s="4388"/>
      <c r="G395" s="4388"/>
      <c r="H395" s="4388"/>
      <c r="I395" s="4388"/>
      <c r="J395" s="4388"/>
      <c r="K395" s="4388"/>
      <c r="L395" s="4388"/>
      <c r="M395" s="4388"/>
      <c r="N395" s="4388"/>
      <c r="O395" s="4388"/>
      <c r="P395" s="4389"/>
      <c r="Q395" s="248"/>
    </row>
    <row r="396" spans="1:19" s="19" customFormat="1" ht="6" customHeight="1" thickBot="1">
      <c r="A396" s="43"/>
      <c r="B396" s="43"/>
      <c r="C396" s="2586"/>
      <c r="D396" s="2586"/>
      <c r="E396" s="2586"/>
      <c r="F396" s="2586"/>
      <c r="G396" s="2586"/>
      <c r="H396" s="2586"/>
      <c r="I396" s="2586"/>
      <c r="J396" s="2586"/>
      <c r="K396" s="2586"/>
      <c r="L396" s="2586"/>
      <c r="M396" s="2586"/>
      <c r="N396" s="2401"/>
      <c r="O396" s="31"/>
      <c r="P396" s="2542"/>
    </row>
    <row r="397" spans="1:19" s="42" customFormat="1" ht="14.25" customHeight="1" thickBot="1">
      <c r="A397" s="80" t="s">
        <v>1587</v>
      </c>
      <c r="B397" s="50" t="s">
        <v>1793</v>
      </c>
      <c r="D397" s="21"/>
      <c r="E397" s="21"/>
      <c r="F397" s="13"/>
      <c r="G397" s="13"/>
      <c r="I397" s="13"/>
      <c r="J397" s="13"/>
      <c r="K397" s="13"/>
      <c r="L397" s="209" t="str">
        <f>IF(OR($O397=$M397,$O397&lt;=0,$O397=""),"","* * Check Score! * *")</f>
        <v/>
      </c>
      <c r="M397" s="2542">
        <v>10</v>
      </c>
      <c r="N397" s="32"/>
      <c r="O397" s="630">
        <f>MIN($M$397,O399-O400+O401)</f>
        <v>10</v>
      </c>
      <c r="P397" s="630">
        <f>MIN($M$397,P399-P400+P401)</f>
        <v>10</v>
      </c>
      <c r="Q397" s="53" t="s">
        <v>1744</v>
      </c>
    </row>
    <row r="398" spans="1:19" s="42" customFormat="1" ht="1.5" customHeight="1">
      <c r="A398" s="80"/>
      <c r="B398" s="50"/>
      <c r="D398" s="21"/>
      <c r="E398" s="21"/>
      <c r="F398" s="13"/>
      <c r="G398" s="13"/>
      <c r="I398" s="13"/>
      <c r="J398" s="13"/>
      <c r="K398" s="13"/>
      <c r="L398" s="209"/>
      <c r="M398" s="2542"/>
      <c r="N398" s="32"/>
      <c r="O398" s="32"/>
      <c r="P398" s="32"/>
      <c r="Q398" s="53"/>
    </row>
    <row r="399" spans="1:19" s="42" customFormat="1" ht="12.75" customHeight="1">
      <c r="A399" s="80"/>
      <c r="B399" s="38" t="s">
        <v>1794</v>
      </c>
      <c r="D399" s="21"/>
      <c r="E399" s="21"/>
      <c r="F399" s="13"/>
      <c r="G399" s="13"/>
      <c r="I399" s="13"/>
      <c r="J399" s="13"/>
      <c r="K399" s="13"/>
      <c r="L399" s="209"/>
      <c r="M399" s="2542"/>
      <c r="N399" s="32"/>
      <c r="O399" s="1281">
        <v>10</v>
      </c>
      <c r="P399" s="1281">
        <v>10</v>
      </c>
      <c r="Q399" s="53"/>
    </row>
    <row r="400" spans="1:19" s="42" customFormat="1" ht="12.75" customHeight="1">
      <c r="A400" s="80"/>
      <c r="B400" s="38" t="s">
        <v>1813</v>
      </c>
      <c r="D400" s="21"/>
      <c r="E400" s="21"/>
      <c r="F400" s="13"/>
      <c r="G400" s="13"/>
      <c r="I400" s="13"/>
      <c r="J400" s="13"/>
      <c r="K400" s="13"/>
      <c r="L400" s="209"/>
      <c r="M400" s="2542"/>
      <c r="N400" s="32"/>
      <c r="O400" s="650"/>
      <c r="P400" s="2618"/>
      <c r="Q400" s="53"/>
    </row>
    <row r="401" spans="1:21" s="42" customFormat="1" ht="12.75" customHeight="1">
      <c r="A401" s="80"/>
      <c r="B401" s="38" t="s">
        <v>6998</v>
      </c>
      <c r="D401" s="21"/>
      <c r="E401" s="21"/>
      <c r="F401" s="13"/>
      <c r="G401" s="13"/>
      <c r="I401" s="13"/>
      <c r="J401" s="13"/>
      <c r="K401" s="13"/>
      <c r="L401" s="209"/>
      <c r="M401" s="2542"/>
      <c r="N401" s="32"/>
      <c r="O401" s="505"/>
      <c r="P401" s="298"/>
      <c r="Q401" s="53"/>
    </row>
    <row r="402" spans="1:21" s="42" customFormat="1" ht="12.75" customHeight="1">
      <c r="A402" s="23"/>
      <c r="B402" s="23" t="s">
        <v>1453</v>
      </c>
      <c r="C402" s="43"/>
      <c r="D402" s="23"/>
      <c r="E402" s="2590"/>
      <c r="F402" s="2590"/>
      <c r="G402" s="2590"/>
      <c r="H402" s="2590"/>
      <c r="I402" s="2590"/>
      <c r="J402" s="2590"/>
      <c r="K402" s="2590"/>
      <c r="L402" s="2590"/>
      <c r="M402" s="2590"/>
      <c r="N402" s="2402"/>
      <c r="O402" s="493"/>
      <c r="P402" s="2542"/>
    </row>
    <row r="403" spans="1:21" s="19" customFormat="1" ht="12.75" customHeight="1">
      <c r="A403" s="4387"/>
      <c r="B403" s="4388"/>
      <c r="C403" s="4388"/>
      <c r="D403" s="4388"/>
      <c r="E403" s="4388"/>
      <c r="F403" s="4388"/>
      <c r="G403" s="4388"/>
      <c r="H403" s="4388"/>
      <c r="I403" s="4388"/>
      <c r="J403" s="4388"/>
      <c r="K403" s="4388"/>
      <c r="L403" s="4388"/>
      <c r="M403" s="4388"/>
      <c r="N403" s="4388"/>
      <c r="O403" s="4388"/>
      <c r="P403" s="4389"/>
      <c r="Q403" s="249" t="s">
        <v>6410</v>
      </c>
      <c r="R403" s="249"/>
    </row>
    <row r="404" spans="1:21" s="19" customFormat="1" ht="6" customHeight="1" thickBot="1">
      <c r="A404" s="80"/>
      <c r="B404" s="43"/>
      <c r="C404" s="2586"/>
      <c r="D404" s="2586"/>
      <c r="E404" s="2586"/>
      <c r="F404" s="2586"/>
      <c r="G404" s="2586"/>
      <c r="H404" s="2586"/>
      <c r="I404" s="2586"/>
      <c r="J404" s="2586"/>
      <c r="K404" s="2586"/>
      <c r="L404" s="2586"/>
      <c r="M404" s="2586"/>
      <c r="N404" s="2401"/>
      <c r="O404" s="31"/>
      <c r="P404" s="2542"/>
    </row>
    <row r="405" spans="1:21" s="19" customFormat="1" ht="13.5" customHeight="1" thickBot="1">
      <c r="A405" s="80" t="s">
        <v>1593</v>
      </c>
      <c r="B405" s="50" t="s">
        <v>1800</v>
      </c>
      <c r="C405" s="2586"/>
      <c r="D405" s="2586"/>
      <c r="E405" s="2586"/>
      <c r="F405" s="2586"/>
      <c r="G405" s="27"/>
      <c r="H405" s="2586"/>
      <c r="K405" s="2586"/>
      <c r="L405" s="2586"/>
      <c r="M405" s="2542">
        <v>3</v>
      </c>
      <c r="N405" s="2401"/>
      <c r="O405" s="630">
        <f>IF(OR((O407+O408+O409+O410)&gt;3,(O407+O408+O409)&gt;1,O410&gt;$M$410),"Check",IF((O407+O408+O409+O410)&lt;=$M$405,(O407+O408+O409+O410),""))</f>
        <v>2</v>
      </c>
      <c r="P405" s="630">
        <f>IF(OR((P407+P408+P409+P410)&gt;3,(P407+P408+P409)&gt;1,P410&gt;$M$410),"Check",IF((P407+P408+P409+P410)&lt;=$M$405,(P407+P408+P409+P410),""))</f>
        <v>2</v>
      </c>
      <c r="Q405" s="53" t="s">
        <v>1744</v>
      </c>
      <c r="R405" s="585"/>
    </row>
    <row r="406" spans="1:21" s="19" customFormat="1" ht="9" customHeight="1">
      <c r="A406" s="80"/>
      <c r="B406" s="13" t="s">
        <v>6999</v>
      </c>
      <c r="C406" s="2586"/>
      <c r="D406" s="2586"/>
      <c r="E406" s="2586"/>
      <c r="F406" s="2586"/>
      <c r="G406" s="2586"/>
      <c r="H406" s="2586"/>
      <c r="I406" s="2586"/>
      <c r="J406" s="2586"/>
      <c r="K406" s="2586"/>
      <c r="L406" s="2586"/>
      <c r="M406" s="2586"/>
      <c r="N406" s="2401"/>
      <c r="O406" s="31"/>
      <c r="P406" s="2542"/>
    </row>
    <row r="407" spans="1:21" s="19" customFormat="1" ht="12" customHeight="1">
      <c r="A407" s="501" t="s">
        <v>186</v>
      </c>
      <c r="B407" s="92" t="s">
        <v>7000</v>
      </c>
      <c r="C407" s="11"/>
      <c r="D407" s="42"/>
      <c r="E407" s="38"/>
      <c r="F407" s="13"/>
      <c r="G407" s="13"/>
      <c r="H407" s="13"/>
      <c r="I407" s="42"/>
      <c r="J407" s="42"/>
      <c r="K407" s="2596"/>
      <c r="L407" s="1354"/>
      <c r="M407" s="2525">
        <v>1</v>
      </c>
      <c r="N407" s="1116" t="s">
        <v>186</v>
      </c>
      <c r="O407" s="2980"/>
      <c r="P407" s="2981"/>
      <c r="Q407" s="586" t="str">
        <f>IF(OR($O407=$M407,$O407=0,$O407=""),"","*CHECK!*")</f>
        <v/>
      </c>
      <c r="R407" s="585" t="s">
        <v>6884</v>
      </c>
    </row>
    <row r="408" spans="1:21" s="73" customFormat="1" ht="12" customHeight="1">
      <c r="A408" s="501" t="s">
        <v>198</v>
      </c>
      <c r="B408" s="92" t="s">
        <v>7001</v>
      </c>
      <c r="C408" s="68"/>
      <c r="D408" s="68"/>
      <c r="E408" s="68"/>
      <c r="F408" s="68"/>
      <c r="G408" s="13"/>
      <c r="H408" s="68"/>
      <c r="I408" s="68"/>
      <c r="J408" s="68"/>
      <c r="K408" s="68"/>
      <c r="L408" s="68"/>
      <c r="M408" s="2525">
        <v>1</v>
      </c>
      <c r="N408" s="1116" t="s">
        <v>198</v>
      </c>
      <c r="O408" s="2606"/>
      <c r="P408" s="2616"/>
      <c r="Q408" s="586" t="str">
        <f>IF(OR($O408=$M408,$O408=0,$O408=""),"","*CHECK!*")</f>
        <v/>
      </c>
      <c r="R408" s="585" t="s">
        <v>6884</v>
      </c>
    </row>
    <row r="409" spans="1:21" ht="12" customHeight="1">
      <c r="A409" s="501" t="s">
        <v>219</v>
      </c>
      <c r="B409" s="92" t="s">
        <v>1810</v>
      </c>
      <c r="C409" s="11"/>
      <c r="D409" s="11"/>
      <c r="E409" s="11"/>
      <c r="F409" s="11"/>
      <c r="G409" s="11"/>
      <c r="H409" s="11"/>
      <c r="I409" s="11"/>
      <c r="J409" s="11"/>
      <c r="K409" s="11"/>
      <c r="L409" s="11"/>
      <c r="M409" s="2525">
        <v>1</v>
      </c>
      <c r="N409" s="1116" t="s">
        <v>219</v>
      </c>
      <c r="O409" s="1282"/>
      <c r="P409" s="1283"/>
      <c r="Q409" s="586" t="str">
        <f>IF(OR($O409=$M409,$O409=0,$O409=""),"","*CHECK!*")</f>
        <v/>
      </c>
      <c r="R409" s="585" t="s">
        <v>6884</v>
      </c>
      <c r="S409" s="19"/>
      <c r="T409" s="19"/>
      <c r="U409" s="19"/>
    </row>
    <row r="410" spans="1:21" s="43" customFormat="1" ht="12" customHeight="1">
      <c r="A410" s="501" t="s">
        <v>221</v>
      </c>
      <c r="B410" s="92" t="s">
        <v>7002</v>
      </c>
      <c r="H410" s="13"/>
      <c r="M410" s="2525">
        <v>2</v>
      </c>
      <c r="N410" s="1116" t="s">
        <v>221</v>
      </c>
      <c r="O410" s="2983">
        <f>O411-O412</f>
        <v>2</v>
      </c>
      <c r="P410" s="2983">
        <f>P411-P412</f>
        <v>2</v>
      </c>
      <c r="Q410" s="586" t="str">
        <f>IF(OR($O410=$M410,$O410=0,$O410=""),"","*CHECK!*")</f>
        <v/>
      </c>
    </row>
    <row r="411" spans="1:21" s="42" customFormat="1" ht="12" customHeight="1">
      <c r="A411" s="80"/>
      <c r="C411" s="38" t="s">
        <v>1794</v>
      </c>
      <c r="D411" s="21"/>
      <c r="E411" s="21"/>
      <c r="I411" s="13"/>
      <c r="J411" s="13"/>
      <c r="K411" s="13"/>
      <c r="L411" s="209"/>
      <c r="M411" s="2542"/>
      <c r="N411" s="32"/>
      <c r="O411" s="2990">
        <v>2</v>
      </c>
      <c r="P411" s="2990">
        <v>2</v>
      </c>
      <c r="Q411" s="53"/>
    </row>
    <row r="412" spans="1:21" s="42" customFormat="1" ht="12" customHeight="1">
      <c r="A412" s="80"/>
      <c r="C412" s="38" t="s">
        <v>1813</v>
      </c>
      <c r="D412" s="21"/>
      <c r="E412" s="21"/>
      <c r="F412" s="13"/>
      <c r="G412" s="13"/>
      <c r="I412" s="13"/>
      <c r="J412" s="13"/>
      <c r="K412" s="13"/>
      <c r="L412" s="209"/>
      <c r="M412" s="2542"/>
      <c r="N412" s="32"/>
      <c r="O412" s="2991"/>
      <c r="P412" s="2977"/>
      <c r="Q412" s="53"/>
      <c r="R412" s="585" t="s">
        <v>6884</v>
      </c>
    </row>
    <row r="413" spans="1:21" s="19" customFormat="1" ht="10.5" customHeight="1" thickBot="1">
      <c r="A413" s="43"/>
      <c r="B413" s="672" t="s">
        <v>6825</v>
      </c>
      <c r="C413" s="43"/>
      <c r="D413" s="48"/>
      <c r="E413" s="48"/>
      <c r="F413" s="48"/>
      <c r="G413" s="48"/>
      <c r="H413" s="13"/>
      <c r="I413" s="13"/>
      <c r="J413" s="13"/>
      <c r="K413" s="13"/>
      <c r="M413" s="32"/>
      <c r="N413" s="58"/>
      <c r="O413" s="2"/>
      <c r="P413" s="9"/>
    </row>
    <row r="414" spans="1:21" s="19" customFormat="1" ht="45.75" customHeight="1" thickTop="1" thickBot="1">
      <c r="A414" s="4598"/>
      <c r="B414" s="4599"/>
      <c r="C414" s="4599"/>
      <c r="D414" s="4599"/>
      <c r="E414" s="4599"/>
      <c r="F414" s="4599"/>
      <c r="G414" s="4599"/>
      <c r="H414" s="4599"/>
      <c r="I414" s="4599"/>
      <c r="J414" s="4599"/>
      <c r="K414" s="4599"/>
      <c r="L414" s="4599"/>
      <c r="M414" s="4599"/>
      <c r="N414" s="4599"/>
      <c r="O414" s="4599"/>
      <c r="P414" s="4600"/>
      <c r="Q414" s="249" t="s">
        <v>6410</v>
      </c>
      <c r="R414" s="249"/>
    </row>
    <row r="415" spans="1:21" s="19" customFormat="1" ht="10.5" customHeight="1" thickTop="1">
      <c r="B415" s="37" t="s">
        <v>1453</v>
      </c>
      <c r="C415" s="723"/>
      <c r="D415" s="37"/>
      <c r="E415" s="46"/>
      <c r="F415" s="2586"/>
      <c r="G415" s="2586"/>
      <c r="H415" s="2586"/>
      <c r="I415" s="2586"/>
      <c r="J415" s="2586"/>
      <c r="K415" s="2586"/>
      <c r="L415" s="2586"/>
      <c r="M415" s="2586"/>
      <c r="N415" s="2401"/>
      <c r="O415" s="31"/>
      <c r="P415" s="2542"/>
    </row>
    <row r="416" spans="1:21" s="19" customFormat="1" ht="9.75" customHeight="1">
      <c r="A416" s="4387"/>
      <c r="B416" s="4388"/>
      <c r="C416" s="4388"/>
      <c r="D416" s="4388"/>
      <c r="E416" s="4388"/>
      <c r="F416" s="4388"/>
      <c r="G416" s="4388"/>
      <c r="H416" s="4388"/>
      <c r="I416" s="4388"/>
      <c r="J416" s="4388"/>
      <c r="K416" s="4388"/>
      <c r="L416" s="4388"/>
      <c r="M416" s="4388"/>
      <c r="N416" s="4388"/>
      <c r="O416" s="4388"/>
      <c r="P416" s="4389"/>
      <c r="Q416" s="248"/>
    </row>
    <row r="417" spans="1:18" s="19" customFormat="1" ht="2.25" customHeight="1" thickBot="1">
      <c r="A417" s="80"/>
      <c r="B417" s="43"/>
      <c r="C417" s="2586"/>
      <c r="D417" s="2586"/>
      <c r="E417" s="2586"/>
      <c r="F417" s="2586"/>
      <c r="G417" s="2586"/>
      <c r="H417" s="2586"/>
      <c r="I417" s="2586"/>
      <c r="J417" s="2586"/>
      <c r="K417" s="2586"/>
      <c r="L417" s="2586"/>
      <c r="M417" s="2586"/>
      <c r="N417" s="2401"/>
      <c r="O417" s="31"/>
      <c r="P417" s="2542"/>
    </row>
    <row r="418" spans="1:18" s="42" customFormat="1" ht="11.25" customHeight="1" thickBot="1">
      <c r="A418" s="80" t="s">
        <v>1597</v>
      </c>
      <c r="B418" s="50" t="s">
        <v>7003</v>
      </c>
      <c r="D418" s="21"/>
      <c r="E418" s="21"/>
      <c r="F418" s="13"/>
      <c r="L418" s="586"/>
      <c r="M418" s="2542">
        <v>6</v>
      </c>
      <c r="N418" s="32"/>
      <c r="O418" s="648"/>
      <c r="P418" s="642"/>
      <c r="Q418" s="53" t="s">
        <v>1744</v>
      </c>
      <c r="R418" s="585" t="s">
        <v>6884</v>
      </c>
    </row>
    <row r="419" spans="1:18" s="19" customFormat="1" ht="10.5" customHeight="1" thickBot="1">
      <c r="A419" s="43"/>
      <c r="B419" s="672" t="s">
        <v>6825</v>
      </c>
      <c r="C419" s="43"/>
      <c r="D419" s="48"/>
      <c r="E419" s="48"/>
      <c r="F419" s="48"/>
      <c r="G419" s="48"/>
      <c r="H419" s="13"/>
      <c r="I419" s="13"/>
      <c r="J419" s="13"/>
      <c r="K419" s="13"/>
      <c r="M419" s="32"/>
      <c r="N419" s="58"/>
      <c r="O419" s="2"/>
      <c r="P419" s="9"/>
    </row>
    <row r="420" spans="1:18" s="19" customFormat="1" ht="45.75" customHeight="1" thickTop="1" thickBot="1">
      <c r="A420" s="4598"/>
      <c r="B420" s="4599"/>
      <c r="C420" s="4599"/>
      <c r="D420" s="4599"/>
      <c r="E420" s="4599"/>
      <c r="F420" s="4599"/>
      <c r="G420" s="4599"/>
      <c r="H420" s="4599"/>
      <c r="I420" s="4599"/>
      <c r="J420" s="4599"/>
      <c r="K420" s="4599"/>
      <c r="L420" s="4599"/>
      <c r="M420" s="4599"/>
      <c r="N420" s="4599"/>
      <c r="O420" s="4599"/>
      <c r="P420" s="4600"/>
      <c r="Q420" s="249" t="s">
        <v>6410</v>
      </c>
      <c r="R420" s="249"/>
    </row>
    <row r="421" spans="1:18" s="42" customFormat="1" ht="10.5" customHeight="1" thickTop="1">
      <c r="A421" s="23"/>
      <c r="B421" s="23" t="s">
        <v>1453</v>
      </c>
      <c r="C421" s="43"/>
      <c r="D421" s="23"/>
      <c r="E421" s="2590"/>
      <c r="F421" s="2590"/>
      <c r="G421" s="2590"/>
      <c r="H421" s="2590"/>
      <c r="I421" s="2590"/>
      <c r="J421" s="2590"/>
      <c r="K421" s="2590"/>
      <c r="L421" s="2590"/>
      <c r="M421" s="2590"/>
      <c r="N421" s="2402"/>
      <c r="O421" s="493"/>
      <c r="P421" s="2542"/>
    </row>
    <row r="422" spans="1:18" s="19" customFormat="1" ht="10.95" customHeight="1">
      <c r="A422" s="4387"/>
      <c r="B422" s="4388"/>
      <c r="C422" s="4388"/>
      <c r="D422" s="4388"/>
      <c r="E422" s="4388"/>
      <c r="F422" s="4388"/>
      <c r="G422" s="4388"/>
      <c r="H422" s="4388"/>
      <c r="I422" s="4388"/>
      <c r="J422" s="4388"/>
      <c r="K422" s="4388"/>
      <c r="L422" s="4388"/>
      <c r="M422" s="4388"/>
      <c r="N422" s="4388"/>
      <c r="O422" s="4388"/>
      <c r="P422" s="4389"/>
      <c r="Q422" s="249"/>
      <c r="R422" s="249"/>
    </row>
    <row r="423" spans="1:18" s="19" customFormat="1" ht="2.25" customHeight="1" thickBot="1">
      <c r="A423" s="80"/>
      <c r="B423" s="43"/>
      <c r="C423" s="2586"/>
      <c r="D423" s="2586"/>
      <c r="E423" s="2586"/>
      <c r="F423" s="2586"/>
      <c r="G423" s="2586"/>
      <c r="H423" s="2586"/>
      <c r="I423" s="2586"/>
      <c r="J423" s="2586"/>
      <c r="K423" s="2586"/>
      <c r="L423" s="2586"/>
      <c r="M423" s="2586"/>
      <c r="N423" s="2401"/>
      <c r="O423" s="31"/>
      <c r="P423" s="2542"/>
    </row>
    <row r="424" spans="1:18" s="42" customFormat="1" ht="11.25" customHeight="1" thickBot="1">
      <c r="A424" s="80" t="s">
        <v>1603</v>
      </c>
      <c r="B424" s="50" t="s">
        <v>7004</v>
      </c>
      <c r="D424" s="21"/>
      <c r="E424" s="21"/>
      <c r="F424" s="346"/>
      <c r="G424" s="13"/>
      <c r="L424" s="586" t="str">
        <f>IF(OR($O424=$M424,$O424=0,$O424=""),"","*CHECK!*")</f>
        <v/>
      </c>
      <c r="M424" s="2542">
        <v>6</v>
      </c>
      <c r="N424" s="32"/>
      <c r="O424" s="32"/>
      <c r="P424" s="642"/>
      <c r="Q424" s="53" t="s">
        <v>1744</v>
      </c>
      <c r="R424" s="585" t="s">
        <v>6884</v>
      </c>
    </row>
    <row r="425" spans="1:18" s="42" customFormat="1" ht="10.5" customHeight="1">
      <c r="A425" s="23"/>
      <c r="B425" s="23" t="s">
        <v>1453</v>
      </c>
      <c r="C425" s="43"/>
      <c r="D425" s="23"/>
      <c r="E425" s="2590"/>
      <c r="F425" s="2590"/>
      <c r="G425" s="2590"/>
      <c r="H425" s="2590"/>
      <c r="I425" s="2590"/>
      <c r="J425" s="2590"/>
      <c r="K425" s="2590"/>
      <c r="L425" s="2590"/>
      <c r="M425" s="2590"/>
      <c r="N425" s="2402"/>
      <c r="O425" s="493"/>
      <c r="P425" s="2542"/>
    </row>
    <row r="426" spans="1:18" s="19" customFormat="1" ht="10.95" customHeight="1">
      <c r="A426" s="4387"/>
      <c r="B426" s="4388"/>
      <c r="C426" s="4388"/>
      <c r="D426" s="4388"/>
      <c r="E426" s="4388"/>
      <c r="F426" s="4388"/>
      <c r="G426" s="4388"/>
      <c r="H426" s="4388"/>
      <c r="I426" s="4388"/>
      <c r="J426" s="4388"/>
      <c r="K426" s="4388"/>
      <c r="L426" s="4388"/>
      <c r="M426" s="4388"/>
      <c r="N426" s="4388"/>
      <c r="O426" s="4388"/>
      <c r="P426" s="4389"/>
      <c r="Q426" s="249"/>
      <c r="R426" s="249"/>
    </row>
    <row r="427" spans="1:18" s="19" customFormat="1" ht="2.25" customHeight="1" thickBot="1">
      <c r="A427" s="80"/>
      <c r="B427" s="43"/>
      <c r="C427" s="2586"/>
      <c r="D427" s="2586"/>
      <c r="E427" s="2586"/>
      <c r="F427" s="2586"/>
      <c r="G427" s="2586"/>
      <c r="H427" s="2586"/>
      <c r="I427" s="2586"/>
      <c r="J427" s="2586"/>
      <c r="K427" s="2586"/>
      <c r="L427" s="2586"/>
      <c r="M427" s="2586"/>
      <c r="N427" s="2401"/>
      <c r="O427" s="31"/>
      <c r="P427" s="2542"/>
    </row>
    <row r="428" spans="1:18" s="42" customFormat="1" ht="11.25" customHeight="1" thickBot="1">
      <c r="A428" s="80" t="s">
        <v>1606</v>
      </c>
      <c r="B428" s="50" t="s">
        <v>7005</v>
      </c>
      <c r="D428" s="21"/>
      <c r="L428" s="586"/>
      <c r="M428" s="2542">
        <v>4</v>
      </c>
      <c r="N428" s="32"/>
      <c r="O428" s="648"/>
      <c r="P428" s="642"/>
      <c r="Q428" s="53" t="s">
        <v>1744</v>
      </c>
      <c r="R428" s="585" t="s">
        <v>6884</v>
      </c>
    </row>
    <row r="429" spans="1:18" s="19" customFormat="1" ht="10.5" customHeight="1" thickBot="1">
      <c r="A429" s="43"/>
      <c r="B429" s="672" t="s">
        <v>6825</v>
      </c>
      <c r="C429" s="43"/>
      <c r="D429" s="48"/>
      <c r="E429" s="48"/>
      <c r="F429" s="48"/>
      <c r="G429" s="48"/>
      <c r="H429" s="13"/>
      <c r="I429" s="13"/>
      <c r="J429" s="13"/>
      <c r="K429" s="13"/>
      <c r="M429" s="32"/>
      <c r="N429" s="58"/>
      <c r="O429" s="2"/>
      <c r="P429" s="9"/>
    </row>
    <row r="430" spans="1:18" s="19" customFormat="1" ht="45.75" customHeight="1" thickTop="1" thickBot="1">
      <c r="A430" s="4598"/>
      <c r="B430" s="4599"/>
      <c r="C430" s="4599"/>
      <c r="D430" s="4599"/>
      <c r="E430" s="4599"/>
      <c r="F430" s="4599"/>
      <c r="G430" s="4599"/>
      <c r="H430" s="4599"/>
      <c r="I430" s="4599"/>
      <c r="J430" s="4599"/>
      <c r="K430" s="4599"/>
      <c r="L430" s="4599"/>
      <c r="M430" s="4599"/>
      <c r="N430" s="4599"/>
      <c r="O430" s="4599"/>
      <c r="P430" s="4600"/>
      <c r="Q430" s="249" t="s">
        <v>6410</v>
      </c>
      <c r="R430" s="249"/>
    </row>
    <row r="431" spans="1:18" s="42" customFormat="1" ht="10.5" customHeight="1" thickTop="1">
      <c r="A431" s="23"/>
      <c r="B431" s="23" t="s">
        <v>1453</v>
      </c>
      <c r="C431" s="43"/>
      <c r="D431" s="23"/>
      <c r="E431" s="2590"/>
      <c r="F431" s="2590"/>
      <c r="G431" s="2590"/>
      <c r="H431" s="2590"/>
      <c r="I431" s="2590"/>
      <c r="J431" s="2590"/>
      <c r="K431" s="2590"/>
      <c r="L431" s="2590"/>
      <c r="M431" s="2590"/>
      <c r="N431" s="2402"/>
      <c r="O431" s="493"/>
      <c r="P431" s="2542"/>
    </row>
    <row r="432" spans="1:18" s="19" customFormat="1" ht="10.95" customHeight="1">
      <c r="A432" s="4387"/>
      <c r="B432" s="4388"/>
      <c r="C432" s="4388"/>
      <c r="D432" s="4388"/>
      <c r="E432" s="4388"/>
      <c r="F432" s="4388"/>
      <c r="G432" s="4388"/>
      <c r="H432" s="4388"/>
      <c r="I432" s="4388"/>
      <c r="J432" s="4388"/>
      <c r="K432" s="4388"/>
      <c r="L432" s="4388"/>
      <c r="M432" s="4388"/>
      <c r="N432" s="4388"/>
      <c r="O432" s="4388"/>
      <c r="P432" s="4389"/>
      <c r="Q432" s="249"/>
      <c r="R432" s="249"/>
    </row>
    <row r="433" spans="1:27" s="19" customFormat="1" ht="2.25" customHeight="1" thickBot="1">
      <c r="A433" s="80"/>
      <c r="B433" s="43"/>
      <c r="C433" s="2586"/>
      <c r="D433" s="2586"/>
      <c r="E433" s="2586"/>
      <c r="F433" s="2586"/>
      <c r="G433" s="2586"/>
      <c r="H433" s="2586"/>
      <c r="I433" s="2586"/>
      <c r="J433" s="2586"/>
      <c r="K433" s="2586"/>
      <c r="L433" s="2586"/>
      <c r="M433" s="2586"/>
      <c r="N433" s="2401"/>
      <c r="O433" s="31"/>
      <c r="P433" s="2542"/>
    </row>
    <row r="434" spans="1:27" s="42" customFormat="1" ht="11.25" customHeight="1" thickBot="1">
      <c r="A434" s="80" t="s">
        <v>1610</v>
      </c>
      <c r="B434" s="50" t="s">
        <v>7006</v>
      </c>
      <c r="D434" s="21"/>
      <c r="G434" s="27" t="s">
        <v>6989</v>
      </c>
      <c r="L434" s="586" t="str">
        <f>IF(OR($O434&lt;=$M434,$O434=0,$O434=""),"","*CHECK!*")</f>
        <v/>
      </c>
      <c r="M434" s="2542">
        <v>6</v>
      </c>
      <c r="N434" s="32"/>
      <c r="O434" s="630">
        <f>IF(SUM(O435:O436)&gt;$M$434,"Check",SUM(O435:O436))</f>
        <v>0</v>
      </c>
      <c r="P434" s="630">
        <f>IF(SUM(P435:P436)&gt;$M$434,"Check",SUM(P435:P436))</f>
        <v>0</v>
      </c>
      <c r="Q434" s="53" t="s">
        <v>1744</v>
      </c>
      <c r="R434" s="585" t="s">
        <v>6884</v>
      </c>
    </row>
    <row r="435" spans="1:27" s="19" customFormat="1" ht="12" customHeight="1">
      <c r="A435" s="501" t="s">
        <v>186</v>
      </c>
      <c r="B435" s="92" t="s">
        <v>1976</v>
      </c>
      <c r="C435"/>
      <c r="E435" s="39"/>
      <c r="F435" s="13"/>
      <c r="G435" s="13"/>
      <c r="H435" s="13"/>
      <c r="K435" s="2596"/>
      <c r="L435" s="26"/>
      <c r="M435" s="2525">
        <v>6</v>
      </c>
      <c r="N435" s="1116" t="s">
        <v>186</v>
      </c>
      <c r="O435" s="1261"/>
      <c r="P435" s="1262"/>
      <c r="Q435" s="586" t="str">
        <f>IF(OR($O435&lt;=$M435,$O435=0,$O435=""),"","*CHECK!*")</f>
        <v/>
      </c>
      <c r="R435" s="585" t="s">
        <v>6884</v>
      </c>
    </row>
    <row r="436" spans="1:27" s="73" customFormat="1" ht="12" customHeight="1">
      <c r="A436" s="1259" t="s">
        <v>198</v>
      </c>
      <c r="B436" s="646" t="s">
        <v>1974</v>
      </c>
      <c r="C436" s="329"/>
      <c r="D436" s="329"/>
      <c r="E436" s="329"/>
      <c r="F436" s="329"/>
      <c r="H436" s="329"/>
      <c r="I436" s="329"/>
      <c r="J436" s="68"/>
      <c r="K436" s="68"/>
      <c r="L436" s="68"/>
      <c r="M436" s="2525">
        <v>4</v>
      </c>
      <c r="N436" s="1116" t="s">
        <v>198</v>
      </c>
      <c r="O436" s="293"/>
      <c r="P436" s="298"/>
      <c r="Q436" s="586" t="str">
        <f>IF(OR($O436&lt;=$M436,$O436=0,$O436=""),"","*CHECK!*")</f>
        <v/>
      </c>
      <c r="R436" s="585" t="s">
        <v>6884</v>
      </c>
    </row>
    <row r="437" spans="1:27" s="19" customFormat="1" ht="10.5" customHeight="1" thickBot="1">
      <c r="A437" s="43"/>
      <c r="B437" s="672" t="s">
        <v>6825</v>
      </c>
      <c r="C437" s="43"/>
      <c r="D437" s="48"/>
      <c r="E437" s="48"/>
      <c r="F437" s="48"/>
      <c r="G437" s="48"/>
      <c r="H437" s="13"/>
      <c r="I437" s="13"/>
      <c r="J437" s="13"/>
      <c r="K437" s="13"/>
      <c r="M437" s="32"/>
      <c r="N437" s="58"/>
      <c r="O437" s="2"/>
      <c r="P437" s="9"/>
    </row>
    <row r="438" spans="1:27" s="19" customFormat="1" ht="45.75" customHeight="1" thickTop="1" thickBot="1">
      <c r="A438" s="4598"/>
      <c r="B438" s="4599"/>
      <c r="C438" s="4599"/>
      <c r="D438" s="4599"/>
      <c r="E438" s="4599"/>
      <c r="F438" s="4599"/>
      <c r="G438" s="4599"/>
      <c r="H438" s="4599"/>
      <c r="I438" s="4599"/>
      <c r="J438" s="4599"/>
      <c r="K438" s="4599"/>
      <c r="L438" s="4599"/>
      <c r="M438" s="4599"/>
      <c r="N438" s="4599"/>
      <c r="O438" s="4599"/>
      <c r="P438" s="4600"/>
      <c r="Q438" s="249" t="s">
        <v>6410</v>
      </c>
      <c r="R438" s="249"/>
    </row>
    <row r="439" spans="1:27" s="42" customFormat="1" ht="10.5" customHeight="1" thickTop="1">
      <c r="A439" s="23"/>
      <c r="B439" s="23" t="s">
        <v>1453</v>
      </c>
      <c r="C439" s="43"/>
      <c r="D439" s="23"/>
      <c r="E439" s="2590"/>
      <c r="F439" s="2590"/>
      <c r="G439" s="2590"/>
      <c r="H439" s="2590"/>
      <c r="I439" s="2590"/>
      <c r="J439" s="2590"/>
      <c r="K439" s="2590"/>
      <c r="L439" s="2590"/>
      <c r="M439" s="2590"/>
      <c r="N439" s="2402"/>
      <c r="O439" s="493"/>
      <c r="P439" s="2542"/>
    </row>
    <row r="440" spans="1:27" s="19" customFormat="1" ht="10.5" customHeight="1">
      <c r="A440" s="4387"/>
      <c r="B440" s="4388"/>
      <c r="C440" s="4388"/>
      <c r="D440" s="4388"/>
      <c r="E440" s="4388"/>
      <c r="F440" s="4388"/>
      <c r="G440" s="4388"/>
      <c r="H440" s="4388"/>
      <c r="I440" s="4388"/>
      <c r="J440" s="4388"/>
      <c r="K440" s="4388"/>
      <c r="L440" s="4388"/>
      <c r="M440" s="4388"/>
      <c r="N440" s="4388"/>
      <c r="O440" s="4388"/>
      <c r="P440" s="4389"/>
      <c r="Q440" s="249"/>
      <c r="R440" s="249"/>
    </row>
    <row r="441" spans="1:27" ht="13.5" customHeight="1" thickBot="1">
      <c r="N441" s="58"/>
      <c r="Q441" s="4877" t="s">
        <v>7007</v>
      </c>
      <c r="R441" s="4877"/>
      <c r="S441" s="4877"/>
      <c r="T441" s="4877"/>
      <c r="U441" s="4877"/>
      <c r="V441" s="4877"/>
      <c r="W441" s="4877"/>
      <c r="X441" s="4877"/>
      <c r="Y441" s="4877"/>
      <c r="Z441" s="4877"/>
      <c r="AA441" s="4877"/>
    </row>
    <row r="442" spans="1:27" s="18" customFormat="1" ht="12.75" customHeight="1" thickTop="1" thickBot="1">
      <c r="A442" s="81" t="s">
        <v>2007</v>
      </c>
      <c r="B442" s="29"/>
      <c r="C442" s="43"/>
      <c r="D442" s="77"/>
      <c r="E442" s="77"/>
      <c r="F442" s="19"/>
      <c r="G442" s="43"/>
      <c r="H442" s="43"/>
      <c r="I442" s="20"/>
      <c r="J442" s="20"/>
      <c r="K442" s="20"/>
      <c r="L442" s="42"/>
      <c r="M442" s="1098" t="e">
        <f>IF(AND(P37="9%",M55="New Supply"),G63,IF(AND(P37="4%",M55="New Supply"),H63,IF(AND(P37="9%",M55="Rehabilitation"),J63,IF(AND(P37="4%",M55="Rehabilitation"),I63,K63))))</f>
        <v>#REF!</v>
      </c>
      <c r="N442" s="2404"/>
      <c r="O442" s="1083" t="e">
        <f>O64+O89+O103+O113+O152+O169+O205+O225+O233+O242+O252+O261+O274+O285+O310+O334+O342+O378+O397+O405+O418+O428+O434</f>
        <v>#REF!</v>
      </c>
      <c r="P442" s="1083" t="e">
        <f>-P10+P64+P89+P103+P113+P152+P169+P190+P205+P225+P233+P242+P252+P261+P274+P285+P310+P318+P334+P342+P378+P397+P405+P418+P424+P428+P434</f>
        <v>#REF!</v>
      </c>
      <c r="Q442" s="4877"/>
      <c r="R442" s="4877"/>
      <c r="S442" s="4877"/>
      <c r="T442" s="4877"/>
      <c r="U442" s="4877"/>
      <c r="V442" s="4877"/>
      <c r="W442" s="4877"/>
      <c r="X442" s="4877"/>
      <c r="Y442" s="4877"/>
      <c r="Z442" s="4877"/>
      <c r="AA442" s="4877"/>
    </row>
    <row r="443" spans="1:27" s="19" customFormat="1" ht="15" thickTop="1">
      <c r="A443" s="43"/>
      <c r="C443" s="2586"/>
      <c r="D443" s="2586"/>
      <c r="E443" s="2586"/>
      <c r="F443" s="2586"/>
      <c r="G443" s="2586"/>
      <c r="H443" s="2586"/>
      <c r="I443" s="2586"/>
      <c r="J443" s="2586"/>
      <c r="K443" s="2586"/>
      <c r="L443" s="2586"/>
      <c r="M443" s="2586"/>
      <c r="N443" s="2586"/>
      <c r="O443" s="2586"/>
      <c r="P443" s="2586"/>
      <c r="Q443" s="4877"/>
      <c r="R443" s="4877"/>
      <c r="S443" s="4877"/>
      <c r="T443" s="4877"/>
      <c r="U443" s="4877"/>
      <c r="V443" s="4877"/>
      <c r="W443" s="4877"/>
      <c r="X443" s="4877"/>
      <c r="Y443" s="4877"/>
      <c r="Z443" s="4877"/>
      <c r="AA443" s="4877"/>
    </row>
    <row r="444" spans="1:27" s="77" customFormat="1" ht="6.75" customHeight="1">
      <c r="A444" s="19"/>
      <c r="B444" s="29"/>
      <c r="C444" s="19"/>
      <c r="F444" s="16"/>
      <c r="G444" s="16"/>
      <c r="H444" s="30"/>
      <c r="I444" s="30"/>
      <c r="L444" s="19"/>
      <c r="N444" s="2542"/>
      <c r="O444" s="2542"/>
      <c r="P444" s="2"/>
      <c r="Q444" s="4877"/>
      <c r="R444" s="4877"/>
      <c r="S444" s="4877"/>
      <c r="T444" s="4877"/>
      <c r="U444" s="4877"/>
      <c r="V444" s="4877"/>
      <c r="W444" s="4877"/>
      <c r="X444" s="4877"/>
      <c r="Y444" s="4877"/>
      <c r="Z444" s="4877"/>
      <c r="AA444" s="4877"/>
    </row>
    <row r="445" spans="1:27" s="19" customFormat="1" ht="22.5" customHeight="1">
      <c r="A445" s="4687" t="s">
        <v>7008</v>
      </c>
      <c r="B445" s="4687"/>
      <c r="C445" s="4687"/>
      <c r="D445" s="4687"/>
      <c r="E445" s="4687"/>
      <c r="F445" s="4687"/>
      <c r="G445" s="4687"/>
      <c r="H445" s="4687"/>
      <c r="I445" s="4687"/>
      <c r="J445" s="4687"/>
      <c r="K445" s="4687"/>
      <c r="L445" s="4687"/>
      <c r="M445" s="4687"/>
      <c r="N445" s="4687"/>
      <c r="O445" s="4687"/>
      <c r="P445" s="4687"/>
      <c r="Q445" s="4877"/>
      <c r="R445" s="4877"/>
      <c r="S445" s="4877"/>
      <c r="T445" s="4877"/>
      <c r="U445" s="4877"/>
      <c r="V445" s="4877"/>
      <c r="W445" s="4877"/>
      <c r="X445" s="4877"/>
      <c r="Y445" s="4877"/>
      <c r="Z445" s="4877"/>
      <c r="AA445" s="4877"/>
    </row>
    <row r="446" spans="1:27" s="19" customFormat="1" ht="409.2" customHeight="1">
      <c r="A446" s="4390"/>
      <c r="B446" s="4391"/>
      <c r="C446" s="4391"/>
      <c r="D446" s="4391"/>
      <c r="E446" s="4391"/>
      <c r="F446" s="4391"/>
      <c r="G446" s="4391"/>
      <c r="H446" s="4391"/>
      <c r="I446" s="4391"/>
      <c r="J446" s="4391"/>
      <c r="K446" s="4391"/>
      <c r="L446" s="4391"/>
      <c r="M446" s="4391"/>
      <c r="N446" s="4391"/>
      <c r="O446" s="4391"/>
      <c r="P446" s="4392"/>
      <c r="Q446" s="1350"/>
      <c r="R446" s="1350"/>
      <c r="S446" s="1350"/>
      <c r="T446" s="1350"/>
      <c r="U446" s="1350"/>
      <c r="V446" s="1350"/>
      <c r="W446" s="1350"/>
      <c r="X446" s="1350"/>
      <c r="Y446" s="1350"/>
    </row>
    <row r="447" spans="1:27" s="77" customFormat="1">
      <c r="C447" s="40" t="s">
        <v>1698</v>
      </c>
      <c r="D447" s="40"/>
      <c r="E447" s="40"/>
      <c r="F447" s="40"/>
      <c r="G447" s="40"/>
      <c r="H447" s="40"/>
      <c r="I447" s="40"/>
      <c r="J447" s="272" t="s">
        <v>1621</v>
      </c>
      <c r="K447" s="40"/>
      <c r="L447" s="40"/>
      <c r="M447" s="40"/>
      <c r="N447" s="2607"/>
      <c r="O447" s="1472"/>
      <c r="P447" s="1472"/>
      <c r="Q447" s="142"/>
      <c r="R447" s="142"/>
      <c r="S447" s="142"/>
      <c r="T447" s="1350"/>
      <c r="U447" s="1350"/>
      <c r="V447" s="1350"/>
      <c r="W447" s="1350"/>
      <c r="X447" s="1350"/>
      <c r="Y447" s="1350"/>
    </row>
    <row r="448" spans="1:27" s="77" customFormat="1">
      <c r="C448" s="40" t="s">
        <v>2009</v>
      </c>
      <c r="D448" s="40"/>
      <c r="E448" s="40"/>
      <c r="F448" s="40"/>
      <c r="G448" s="40"/>
      <c r="H448" s="40"/>
      <c r="I448" s="40"/>
      <c r="J448" s="272" t="s">
        <v>1644</v>
      </c>
      <c r="K448" s="40"/>
      <c r="L448" s="40"/>
      <c r="M448" s="40"/>
      <c r="N448" s="2607"/>
      <c r="O448" s="1472"/>
      <c r="P448" s="1472"/>
      <c r="Q448" s="40"/>
    </row>
    <row r="449" spans="3:17" s="77" customFormat="1">
      <c r="C449" s="40" t="s">
        <v>2010</v>
      </c>
      <c r="D449" s="40"/>
      <c r="E449" s="40"/>
      <c r="F449" s="40"/>
      <c r="G449" s="40"/>
      <c r="H449" s="40"/>
      <c r="I449" s="40"/>
      <c r="J449" s="272" t="s">
        <v>2011</v>
      </c>
      <c r="K449" s="40"/>
      <c r="L449" s="40"/>
      <c r="M449" s="40"/>
      <c r="N449" s="2607"/>
      <c r="O449" s="1472"/>
      <c r="P449" s="1472"/>
      <c r="Q449" s="40"/>
    </row>
    <row r="450" spans="3:17" s="77" customFormat="1">
      <c r="C450" s="40" t="s">
        <v>2012</v>
      </c>
      <c r="D450" s="40"/>
      <c r="E450" s="40"/>
      <c r="F450" s="40"/>
      <c r="G450" s="40"/>
      <c r="H450" s="40"/>
      <c r="I450" s="40"/>
      <c r="J450" s="272" t="s">
        <v>2013</v>
      </c>
      <c r="K450" s="40"/>
      <c r="L450" s="40"/>
      <c r="M450" s="40"/>
      <c r="N450" s="2607"/>
      <c r="O450" s="1472"/>
      <c r="P450" s="1472"/>
      <c r="Q450" s="40"/>
    </row>
    <row r="451" spans="3:17" s="77" customFormat="1">
      <c r="C451" s="40"/>
      <c r="D451" s="40"/>
      <c r="E451" s="40"/>
      <c r="F451" s="40"/>
      <c r="G451" s="40"/>
      <c r="H451" s="40"/>
      <c r="I451" s="40"/>
      <c r="J451" s="272" t="s">
        <v>1699</v>
      </c>
      <c r="K451" s="40"/>
      <c r="L451" s="40"/>
      <c r="M451" s="40"/>
      <c r="N451" s="2607"/>
      <c r="O451" s="1472"/>
      <c r="P451" s="1472"/>
      <c r="Q451" s="40"/>
    </row>
    <row r="452" spans="3:17" s="77" customFormat="1">
      <c r="C452" s="40" t="s">
        <v>721</v>
      </c>
      <c r="D452" s="40"/>
      <c r="E452" s="40"/>
      <c r="F452" s="40"/>
      <c r="G452" s="40"/>
      <c r="H452" s="40"/>
      <c r="I452" s="40"/>
      <c r="J452" s="272" t="s">
        <v>2014</v>
      </c>
      <c r="K452" s="40"/>
      <c r="L452" s="40"/>
      <c r="M452" s="40"/>
      <c r="N452" s="2607"/>
      <c r="O452" s="1472"/>
      <c r="P452" s="1472"/>
      <c r="Q452" s="40"/>
    </row>
    <row r="453" spans="3:17" s="77" customFormat="1">
      <c r="C453" s="947" t="s">
        <v>1617</v>
      </c>
      <c r="D453" s="40"/>
      <c r="E453" s="40"/>
      <c r="F453" s="40"/>
      <c r="G453" s="40"/>
      <c r="H453" s="40"/>
      <c r="I453" s="40"/>
      <c r="J453" s="272" t="s">
        <v>2015</v>
      </c>
      <c r="K453" s="40"/>
      <c r="L453" s="40"/>
      <c r="M453" s="40"/>
      <c r="N453" s="2607"/>
      <c r="O453" s="1472"/>
      <c r="P453" s="1472"/>
      <c r="Q453" s="40"/>
    </row>
    <row r="454" spans="3:17" s="77" customFormat="1">
      <c r="C454" s="947" t="s">
        <v>1620</v>
      </c>
      <c r="D454" s="40"/>
      <c r="E454" s="40"/>
      <c r="F454" s="40"/>
      <c r="G454" s="40"/>
      <c r="H454" s="40"/>
      <c r="I454" s="40"/>
      <c r="J454" s="272" t="s">
        <v>1630</v>
      </c>
      <c r="K454" s="40"/>
      <c r="L454" s="40"/>
      <c r="M454" s="40"/>
      <c r="N454" s="2607"/>
      <c r="O454" s="1472"/>
      <c r="P454" s="1472"/>
      <c r="Q454" s="40"/>
    </row>
    <row r="455" spans="3:17" s="77" customFormat="1">
      <c r="C455" s="947" t="s">
        <v>1623</v>
      </c>
      <c r="D455" s="40"/>
      <c r="E455" s="40"/>
      <c r="F455" s="40"/>
      <c r="G455" s="40"/>
      <c r="H455" s="40"/>
      <c r="I455" s="40"/>
      <c r="J455" s="272" t="s">
        <v>1615</v>
      </c>
      <c r="K455" s="40"/>
      <c r="L455" s="40"/>
      <c r="M455" s="40"/>
      <c r="N455" s="2607"/>
      <c r="O455" s="1472"/>
      <c r="P455" s="1472"/>
      <c r="Q455" s="40"/>
    </row>
    <row r="456" spans="3:17" s="77" customFormat="1">
      <c r="C456" s="947" t="s">
        <v>1626</v>
      </c>
      <c r="D456" s="40"/>
      <c r="E456" s="40"/>
      <c r="F456" s="40"/>
      <c r="G456" s="40"/>
      <c r="H456" s="40"/>
      <c r="I456" s="40"/>
      <c r="J456" s="272" t="s">
        <v>1627</v>
      </c>
      <c r="K456" s="40"/>
      <c r="L456" s="40"/>
      <c r="M456" s="40"/>
      <c r="N456" s="2607"/>
      <c r="O456" s="1472"/>
      <c r="P456" s="1472"/>
      <c r="Q456" s="40"/>
    </row>
    <row r="457" spans="3:17" s="77" customFormat="1">
      <c r="C457" s="947" t="s">
        <v>1629</v>
      </c>
      <c r="D457" s="40"/>
      <c r="E457" s="40"/>
      <c r="F457" s="40"/>
      <c r="G457" s="40"/>
      <c r="H457" s="40"/>
      <c r="I457" s="40"/>
      <c r="J457" s="272" t="s">
        <v>2021</v>
      </c>
      <c r="K457" s="40"/>
      <c r="L457" s="40"/>
      <c r="M457" s="40"/>
      <c r="N457" s="2607"/>
      <c r="O457" s="1472"/>
      <c r="P457" s="1472"/>
      <c r="Q457" s="40"/>
    </row>
    <row r="458" spans="3:17" s="77" customFormat="1">
      <c r="C458" s="947" t="s">
        <v>1632</v>
      </c>
      <c r="D458" s="40"/>
      <c r="E458" s="40"/>
      <c r="F458" s="40"/>
      <c r="G458" s="40"/>
      <c r="H458" s="40"/>
      <c r="I458" s="40"/>
      <c r="J458" s="272" t="s">
        <v>1642</v>
      </c>
      <c r="K458" s="40"/>
      <c r="L458" s="40"/>
      <c r="M458" s="40"/>
      <c r="N458" s="2607"/>
      <c r="O458" s="1472"/>
      <c r="P458" s="1472"/>
      <c r="Q458" s="40"/>
    </row>
    <row r="459" spans="3:17" s="77" customFormat="1">
      <c r="C459" s="947" t="s">
        <v>1635</v>
      </c>
      <c r="D459" s="40"/>
      <c r="E459" s="40"/>
      <c r="F459" s="40"/>
      <c r="G459" s="40"/>
      <c r="H459" s="40"/>
      <c r="I459" s="40"/>
      <c r="J459" s="272" t="s">
        <v>2023</v>
      </c>
      <c r="K459" s="40"/>
      <c r="L459" s="40"/>
      <c r="M459" s="40"/>
      <c r="N459" s="2607"/>
      <c r="O459" s="1472"/>
      <c r="P459" s="1472"/>
      <c r="Q459" s="40"/>
    </row>
    <row r="460" spans="3:17" s="77" customFormat="1">
      <c r="C460" s="947" t="s">
        <v>1638</v>
      </c>
      <c r="D460" s="40"/>
      <c r="E460" s="40"/>
      <c r="F460" s="40"/>
      <c r="G460" s="40"/>
      <c r="H460" s="40"/>
      <c r="I460" s="40"/>
      <c r="J460" s="272" t="s">
        <v>2025</v>
      </c>
      <c r="K460" s="40"/>
      <c r="L460" s="40"/>
      <c r="M460" s="40"/>
      <c r="N460" s="2607"/>
      <c r="O460" s="1472"/>
      <c r="P460" s="1472"/>
      <c r="Q460" s="40"/>
    </row>
    <row r="461" spans="3:17" s="77" customFormat="1">
      <c r="C461" s="947" t="s">
        <v>1641</v>
      </c>
      <c r="D461" s="40"/>
      <c r="E461" s="40"/>
      <c r="F461" s="40"/>
      <c r="G461" s="40"/>
      <c r="H461" s="40"/>
      <c r="I461" s="40"/>
      <c r="J461" s="40"/>
      <c r="K461" s="40"/>
      <c r="L461" s="40"/>
      <c r="M461" s="40"/>
      <c r="N461" s="2607"/>
      <c r="O461" s="1472"/>
      <c r="P461" s="1472"/>
      <c r="Q461" s="40"/>
    </row>
    <row r="462" spans="3:17" s="77" customFormat="1">
      <c r="C462" s="947" t="s">
        <v>1643</v>
      </c>
      <c r="D462" s="40"/>
      <c r="E462" s="40"/>
      <c r="F462" s="40"/>
      <c r="G462" s="40"/>
      <c r="H462" s="40"/>
      <c r="I462" s="40"/>
      <c r="J462" s="1473" t="s">
        <v>2029</v>
      </c>
      <c r="K462" s="40"/>
      <c r="L462" s="40"/>
      <c r="M462" s="40"/>
      <c r="N462" s="2607"/>
      <c r="O462" s="1473" t="s">
        <v>2030</v>
      </c>
      <c r="P462" s="1472"/>
      <c r="Q462" s="40"/>
    </row>
    <row r="463" spans="3:17" s="77" customFormat="1">
      <c r="C463" s="947" t="s">
        <v>1645</v>
      </c>
      <c r="D463" s="40"/>
      <c r="E463" s="40"/>
      <c r="F463" s="40"/>
      <c r="G463" s="40"/>
      <c r="H463" s="40"/>
      <c r="I463" s="40"/>
      <c r="J463" s="272" t="s">
        <v>2032</v>
      </c>
      <c r="K463" s="40"/>
      <c r="L463" s="40"/>
      <c r="M463" s="40"/>
      <c r="N463" s="2607"/>
      <c r="O463" s="1472"/>
      <c r="P463" s="1472"/>
      <c r="Q463" s="40"/>
    </row>
    <row r="464" spans="3:17" s="77" customFormat="1">
      <c r="C464" s="947" t="s">
        <v>1648</v>
      </c>
      <c r="D464" s="40"/>
      <c r="E464" s="40"/>
      <c r="F464" s="40"/>
      <c r="G464" s="40"/>
      <c r="H464" s="40"/>
      <c r="I464" s="40"/>
      <c r="J464" s="40" t="s">
        <v>2035</v>
      </c>
      <c r="K464" s="40"/>
      <c r="L464" s="40"/>
      <c r="M464" s="40"/>
      <c r="N464" s="2607"/>
      <c r="O464" s="1472">
        <v>2</v>
      </c>
      <c r="P464" s="1472"/>
      <c r="Q464" s="40"/>
    </row>
    <row r="465" spans="1:17" s="77" customFormat="1">
      <c r="C465" s="40"/>
      <c r="D465" s="40"/>
      <c r="E465" s="40"/>
      <c r="F465" s="40"/>
      <c r="G465" s="40"/>
      <c r="H465" s="40"/>
      <c r="I465" s="40"/>
      <c r="J465" s="40" t="s">
        <v>2037</v>
      </c>
      <c r="K465" s="40"/>
      <c r="L465" s="40"/>
      <c r="M465" s="40"/>
      <c r="N465" s="2607"/>
      <c r="O465" s="1472">
        <v>2</v>
      </c>
      <c r="P465" s="1472"/>
      <c r="Q465" s="40"/>
    </row>
    <row r="466" spans="1:17" s="77" customFormat="1">
      <c r="C466" s="40"/>
      <c r="D466" s="40"/>
      <c r="E466" s="40"/>
      <c r="F466" s="40"/>
      <c r="G466" s="4684" t="s">
        <v>2040</v>
      </c>
      <c r="H466" s="4684"/>
      <c r="I466" s="4684"/>
      <c r="J466" s="40" t="s">
        <v>2041</v>
      </c>
      <c r="K466" s="40"/>
      <c r="L466" s="40"/>
      <c r="M466" s="40"/>
      <c r="N466" s="2607"/>
      <c r="O466" s="1472">
        <v>2</v>
      </c>
      <c r="P466" s="1472"/>
      <c r="Q466" s="40"/>
    </row>
    <row r="467" spans="1:17" s="77" customFormat="1">
      <c r="C467" s="40"/>
      <c r="D467" s="40"/>
      <c r="E467" s="40"/>
      <c r="F467" s="40"/>
      <c r="G467" s="1260" t="s">
        <v>2044</v>
      </c>
      <c r="H467" s="40" t="s">
        <v>2045</v>
      </c>
      <c r="I467" s="1260" t="s">
        <v>2046</v>
      </c>
      <c r="J467" s="40" t="s">
        <v>2047</v>
      </c>
      <c r="K467" s="40"/>
      <c r="L467" s="1260"/>
      <c r="M467" s="40"/>
      <c r="N467" s="2607"/>
      <c r="O467" s="1472">
        <v>2</v>
      </c>
      <c r="P467" s="1472"/>
      <c r="Q467" s="40"/>
    </row>
    <row r="468" spans="1:17" s="77" customFormat="1">
      <c r="C468" s="356"/>
      <c r="D468" s="40"/>
      <c r="E468" s="40"/>
      <c r="F468" s="40"/>
      <c r="G468" s="1009" t="s">
        <v>2049</v>
      </c>
      <c r="H468" s="40"/>
      <c r="I468" s="1009"/>
      <c r="J468" s="40" t="s">
        <v>2050</v>
      </c>
      <c r="K468" s="40"/>
      <c r="L468" s="1009"/>
      <c r="M468" s="40"/>
      <c r="N468" s="2607"/>
      <c r="O468" s="1472">
        <v>2</v>
      </c>
      <c r="P468" s="1472"/>
      <c r="Q468" s="40"/>
    </row>
    <row r="469" spans="1:17" s="77" customFormat="1">
      <c r="C469" s="356"/>
      <c r="D469" s="40"/>
      <c r="E469" s="40"/>
      <c r="F469" s="40"/>
      <c r="G469" s="1009" t="s">
        <v>2053</v>
      </c>
      <c r="H469" s="2607" t="s">
        <v>2054</v>
      </c>
      <c r="I469" s="1260" t="s">
        <v>1129</v>
      </c>
      <c r="J469" s="40" t="s">
        <v>2055</v>
      </c>
      <c r="K469" s="40"/>
      <c r="L469" s="356"/>
      <c r="M469" s="40"/>
      <c r="N469" s="2607"/>
      <c r="O469" s="1472">
        <v>1</v>
      </c>
      <c r="P469" s="1472"/>
      <c r="Q469" s="40"/>
    </row>
    <row r="470" spans="1:17" s="77" customFormat="1">
      <c r="C470" s="356"/>
      <c r="D470" s="40"/>
      <c r="E470" s="40"/>
      <c r="F470" s="40"/>
      <c r="G470" s="1009" t="s">
        <v>2057</v>
      </c>
      <c r="H470" s="2607">
        <v>2020</v>
      </c>
      <c r="I470" s="2607" t="s">
        <v>2058</v>
      </c>
      <c r="J470" s="40" t="s">
        <v>2059</v>
      </c>
      <c r="K470" s="40"/>
      <c r="L470" s="356"/>
      <c r="M470" s="40"/>
      <c r="N470" s="2607"/>
      <c r="O470" s="1472">
        <v>1</v>
      </c>
      <c r="P470" s="1472"/>
      <c r="Q470" s="40"/>
    </row>
    <row r="471" spans="1:17" s="77" customFormat="1">
      <c r="C471" s="356"/>
      <c r="D471" s="40"/>
      <c r="E471" s="40"/>
      <c r="F471" s="40"/>
      <c r="G471" s="1009" t="s">
        <v>2061</v>
      </c>
      <c r="H471" s="2607" t="s">
        <v>2062</v>
      </c>
      <c r="I471" s="1260" t="s">
        <v>1129</v>
      </c>
      <c r="J471" s="40" t="s">
        <v>2063</v>
      </c>
      <c r="K471" s="40"/>
      <c r="L471" s="356"/>
      <c r="M471" s="40"/>
      <c r="N471" s="2607"/>
      <c r="O471" s="1472">
        <v>1</v>
      </c>
      <c r="P471" s="1472"/>
      <c r="Q471" s="40"/>
    </row>
    <row r="472" spans="1:17" s="77" customFormat="1">
      <c r="C472" s="356"/>
      <c r="D472" s="40"/>
      <c r="E472" s="40"/>
      <c r="F472" s="40"/>
      <c r="G472" s="1009" t="s">
        <v>2065</v>
      </c>
      <c r="H472" s="2607">
        <v>2020</v>
      </c>
      <c r="I472" s="2607" t="s">
        <v>2058</v>
      </c>
      <c r="J472" s="40" t="s">
        <v>2066</v>
      </c>
      <c r="K472" s="40"/>
      <c r="L472" s="356"/>
      <c r="M472" s="40"/>
      <c r="N472" s="2607"/>
      <c r="O472" s="1472">
        <v>1</v>
      </c>
      <c r="P472" s="1472"/>
      <c r="Q472" s="40"/>
    </row>
    <row r="473" spans="1:17" s="77" customFormat="1">
      <c r="C473" s="356"/>
      <c r="D473" s="40"/>
      <c r="E473" s="40"/>
      <c r="F473" s="40"/>
      <c r="G473" s="1009" t="s">
        <v>2068</v>
      </c>
      <c r="H473" s="2607">
        <v>2019</v>
      </c>
      <c r="I473" s="2607" t="s">
        <v>2058</v>
      </c>
      <c r="J473" s="40" t="s">
        <v>2069</v>
      </c>
      <c r="K473" s="40"/>
      <c r="L473" s="356"/>
      <c r="M473" s="40"/>
      <c r="N473" s="2607"/>
      <c r="O473" s="1472">
        <v>1</v>
      </c>
      <c r="P473" s="1472"/>
      <c r="Q473" s="40"/>
    </row>
    <row r="474" spans="1:17" s="77" customFormat="1">
      <c r="C474" s="356"/>
      <c r="D474" s="40"/>
      <c r="E474" s="40"/>
      <c r="F474" s="40"/>
      <c r="G474" s="1009" t="s">
        <v>2072</v>
      </c>
      <c r="H474" s="2607" t="s">
        <v>2062</v>
      </c>
      <c r="I474" s="1260" t="s">
        <v>1129</v>
      </c>
      <c r="J474" s="40" t="s">
        <v>2073</v>
      </c>
      <c r="K474" s="40"/>
      <c r="L474" s="356"/>
      <c r="M474" s="40"/>
      <c r="N474" s="2607"/>
      <c r="O474" s="1472">
        <v>1</v>
      </c>
      <c r="P474" s="1472"/>
      <c r="Q474" s="40"/>
    </row>
    <row r="475" spans="1:17" s="77" customFormat="1">
      <c r="C475" s="356"/>
      <c r="D475" s="40"/>
      <c r="E475" s="40"/>
      <c r="F475" s="40"/>
      <c r="G475" s="1009" t="s">
        <v>2076</v>
      </c>
      <c r="H475" s="2607">
        <v>2020</v>
      </c>
      <c r="I475" s="2607" t="s">
        <v>2058</v>
      </c>
      <c r="J475" s="40" t="s">
        <v>2077</v>
      </c>
      <c r="K475" s="40"/>
      <c r="L475" s="356"/>
      <c r="M475" s="40"/>
      <c r="N475" s="2607"/>
      <c r="O475" s="1472">
        <v>1</v>
      </c>
      <c r="P475" s="1472"/>
      <c r="Q475" s="40"/>
    </row>
    <row r="476" spans="1:17" s="77" customFormat="1">
      <c r="C476" s="356"/>
      <c r="D476" s="40"/>
      <c r="E476" s="40"/>
      <c r="F476" s="40"/>
      <c r="G476" s="1009" t="s">
        <v>2079</v>
      </c>
      <c r="H476" s="2607" t="s">
        <v>2054</v>
      </c>
      <c r="I476" s="1260" t="s">
        <v>1129</v>
      </c>
      <c r="J476" s="40" t="s">
        <v>2080</v>
      </c>
      <c r="K476" s="40"/>
      <c r="L476" s="356"/>
      <c r="M476" s="40"/>
      <c r="N476" s="2607"/>
      <c r="O476" s="1472">
        <v>1</v>
      </c>
      <c r="P476" s="1472"/>
      <c r="Q476" s="40"/>
    </row>
    <row r="477" spans="1:17" s="77" customFormat="1">
      <c r="C477" s="40"/>
      <c r="D477" s="40"/>
      <c r="E477" s="40"/>
      <c r="F477" s="40"/>
      <c r="G477" s="1009" t="s">
        <v>2082</v>
      </c>
      <c r="H477" s="2607" t="s">
        <v>2054</v>
      </c>
      <c r="I477" s="1260" t="s">
        <v>1129</v>
      </c>
      <c r="J477" s="40" t="s">
        <v>2083</v>
      </c>
      <c r="K477" s="40"/>
      <c r="L477" s="356"/>
      <c r="M477" s="40"/>
      <c r="N477" s="2607"/>
      <c r="O477" s="1472">
        <v>1</v>
      </c>
      <c r="P477" s="1472"/>
      <c r="Q477" s="40"/>
    </row>
    <row r="478" spans="1:17" s="77" customFormat="1">
      <c r="C478" s="40"/>
      <c r="D478" s="40"/>
      <c r="E478" s="40"/>
      <c r="F478" s="40"/>
      <c r="G478" s="1009" t="s">
        <v>2085</v>
      </c>
      <c r="H478" s="2607">
        <v>2019</v>
      </c>
      <c r="I478" s="2607" t="s">
        <v>2058</v>
      </c>
      <c r="J478" s="40" t="s">
        <v>2086</v>
      </c>
      <c r="K478" s="40"/>
      <c r="L478" s="356"/>
      <c r="M478" s="40"/>
      <c r="N478" s="2607"/>
      <c r="O478" s="1472">
        <v>1</v>
      </c>
      <c r="P478" s="1472"/>
      <c r="Q478" s="40"/>
    </row>
    <row r="479" spans="1:17" s="77" customFormat="1">
      <c r="A479" s="25" t="s">
        <v>2088</v>
      </c>
      <c r="C479" s="40"/>
      <c r="D479" s="40"/>
      <c r="E479" s="40"/>
      <c r="F479" s="40"/>
      <c r="G479" s="1009" t="s">
        <v>2089</v>
      </c>
      <c r="H479" s="2607" t="s">
        <v>2054</v>
      </c>
      <c r="I479" s="1260" t="s">
        <v>1129</v>
      </c>
      <c r="J479" s="40" t="s">
        <v>2090</v>
      </c>
      <c r="K479" s="40"/>
      <c r="L479" s="356"/>
      <c r="M479" s="40"/>
      <c r="N479" s="2607"/>
      <c r="O479" s="1472">
        <v>1</v>
      </c>
      <c r="P479" s="1472"/>
      <c r="Q479" s="40"/>
    </row>
    <row r="480" spans="1:17" s="77" customFormat="1">
      <c r="A480" s="25" t="s">
        <v>2092</v>
      </c>
      <c r="C480" s="40"/>
      <c r="D480" s="40"/>
      <c r="E480" s="40"/>
      <c r="F480" s="40"/>
      <c r="G480" s="1009" t="s">
        <v>2093</v>
      </c>
      <c r="H480" s="2607">
        <v>2019</v>
      </c>
      <c r="I480" s="2607" t="s">
        <v>2058</v>
      </c>
      <c r="J480" s="40" t="s">
        <v>2094</v>
      </c>
      <c r="K480" s="40"/>
      <c r="L480" s="356"/>
      <c r="M480" s="40"/>
      <c r="N480" s="2607"/>
      <c r="O480" s="1472">
        <v>1</v>
      </c>
      <c r="P480" s="1472"/>
      <c r="Q480" s="40"/>
    </row>
    <row r="481" spans="1:17" s="77" customFormat="1">
      <c r="A481" s="73" t="s">
        <v>2096</v>
      </c>
      <c r="C481" s="40"/>
      <c r="D481" s="356"/>
      <c r="E481" s="356">
        <v>3</v>
      </c>
      <c r="F481" s="40"/>
      <c r="G481" s="1009" t="s">
        <v>2097</v>
      </c>
      <c r="H481" s="2607">
        <v>2019</v>
      </c>
      <c r="I481" s="2607" t="s">
        <v>2058</v>
      </c>
      <c r="J481" s="40"/>
      <c r="K481" s="40"/>
      <c r="L481" s="356"/>
      <c r="M481" s="40"/>
      <c r="N481" s="2607"/>
      <c r="O481" s="1472"/>
      <c r="P481" s="1472"/>
      <c r="Q481" s="40"/>
    </row>
    <row r="482" spans="1:17" s="77" customFormat="1">
      <c r="A482" s="73" t="s">
        <v>2099</v>
      </c>
      <c r="C482" s="40"/>
      <c r="D482" s="356"/>
      <c r="E482" s="356">
        <v>2</v>
      </c>
      <c r="F482" s="40"/>
      <c r="G482" s="1009" t="s">
        <v>135</v>
      </c>
      <c r="H482" s="2607">
        <v>2019</v>
      </c>
      <c r="I482" s="2607" t="s">
        <v>2058</v>
      </c>
      <c r="J482" s="40"/>
      <c r="K482" s="40"/>
      <c r="L482" s="356"/>
      <c r="M482" s="40"/>
      <c r="N482" s="2607"/>
      <c r="O482" s="1472"/>
      <c r="P482" s="1472"/>
      <c r="Q482" s="40"/>
    </row>
    <row r="483" spans="1:17" s="77" customFormat="1">
      <c r="A483" s="73" t="s">
        <v>2100</v>
      </c>
      <c r="C483" s="40"/>
      <c r="D483" s="356"/>
      <c r="E483" s="356">
        <v>10</v>
      </c>
      <c r="F483" s="40"/>
      <c r="G483" s="1009" t="s">
        <v>2101</v>
      </c>
      <c r="H483" s="2607">
        <v>2019</v>
      </c>
      <c r="I483" s="2607" t="s">
        <v>2058</v>
      </c>
      <c r="J483" s="287" t="s">
        <v>2102</v>
      </c>
      <c r="K483" s="40"/>
      <c r="L483" s="356"/>
      <c r="M483" s="40"/>
      <c r="N483" s="2607"/>
      <c r="O483" s="1472"/>
      <c r="P483" s="1472"/>
      <c r="Q483" s="40"/>
    </row>
    <row r="484" spans="1:17" s="77" customFormat="1">
      <c r="A484" s="73" t="s">
        <v>2103</v>
      </c>
      <c r="C484" s="40"/>
      <c r="D484" s="356"/>
      <c r="E484" s="356"/>
      <c r="F484" s="40"/>
      <c r="G484" s="1009" t="s">
        <v>2104</v>
      </c>
      <c r="H484" s="2607">
        <v>2019</v>
      </c>
      <c r="I484" s="2607" t="s">
        <v>2058</v>
      </c>
      <c r="J484" s="40" t="s">
        <v>1527</v>
      </c>
      <c r="K484" s="40"/>
      <c r="L484" s="356"/>
      <c r="M484" s="40"/>
      <c r="N484" s="2607"/>
      <c r="O484" s="1472"/>
      <c r="P484" s="1472"/>
      <c r="Q484" s="40"/>
    </row>
    <row r="485" spans="1:17" s="77" customFormat="1">
      <c r="C485" s="356"/>
      <c r="D485" s="40"/>
      <c r="E485" s="40"/>
      <c r="F485" s="40"/>
      <c r="G485" s="1009" t="s">
        <v>2106</v>
      </c>
      <c r="H485" s="2607">
        <v>2020</v>
      </c>
      <c r="I485" s="2607" t="s">
        <v>2058</v>
      </c>
      <c r="J485" s="40" t="s">
        <v>2107</v>
      </c>
      <c r="K485" s="40"/>
      <c r="L485" s="356"/>
      <c r="M485" s="40"/>
      <c r="N485" s="2607"/>
      <c r="O485" s="1472"/>
      <c r="P485" s="1472"/>
      <c r="Q485" s="40"/>
    </row>
    <row r="486" spans="1:17" s="77" customFormat="1">
      <c r="C486" s="356"/>
      <c r="D486" s="40"/>
      <c r="E486" s="40"/>
      <c r="F486" s="40"/>
      <c r="G486" s="1009" t="s">
        <v>2108</v>
      </c>
      <c r="H486" s="2607">
        <v>2020</v>
      </c>
      <c r="I486" s="2607" t="s">
        <v>2058</v>
      </c>
      <c r="J486" s="40" t="s">
        <v>1709</v>
      </c>
      <c r="K486" s="40"/>
      <c r="L486" s="356"/>
      <c r="M486" s="40"/>
      <c r="N486" s="2607"/>
      <c r="O486" s="1472"/>
      <c r="P486" s="1472"/>
      <c r="Q486" s="40"/>
    </row>
    <row r="487" spans="1:17" s="77" customFormat="1">
      <c r="C487" s="356"/>
      <c r="D487" s="40"/>
      <c r="E487" s="40"/>
      <c r="F487" s="40"/>
      <c r="G487" s="1009" t="s">
        <v>2109</v>
      </c>
      <c r="H487" s="2607" t="s">
        <v>2054</v>
      </c>
      <c r="I487" s="1260" t="s">
        <v>1129</v>
      </c>
      <c r="J487" s="40" t="s">
        <v>2110</v>
      </c>
      <c r="K487" s="40"/>
      <c r="L487" s="356"/>
      <c r="M487" s="40"/>
      <c r="N487" s="2607"/>
      <c r="O487" s="1472"/>
      <c r="P487" s="1472"/>
      <c r="Q487" s="40"/>
    </row>
    <row r="488" spans="1:17" s="77" customFormat="1">
      <c r="C488" s="356"/>
      <c r="D488" s="40"/>
      <c r="E488" s="40"/>
      <c r="F488" s="40"/>
      <c r="G488" s="1009" t="s">
        <v>2111</v>
      </c>
      <c r="H488" s="2607">
        <v>2019</v>
      </c>
      <c r="I488" s="2607" t="s">
        <v>2058</v>
      </c>
      <c r="J488" s="40" t="s">
        <v>1711</v>
      </c>
      <c r="K488" s="40"/>
      <c r="L488" s="356"/>
      <c r="M488" s="40"/>
      <c r="N488" s="2607"/>
      <c r="O488" s="1472"/>
      <c r="P488" s="1472"/>
      <c r="Q488" s="40"/>
    </row>
    <row r="489" spans="1:17" s="77" customFormat="1">
      <c r="C489" s="40"/>
      <c r="D489" s="40"/>
      <c r="E489" s="40"/>
      <c r="F489" s="40"/>
      <c r="G489" s="1009" t="s">
        <v>2112</v>
      </c>
      <c r="H489" s="2607">
        <v>2019</v>
      </c>
      <c r="I489" s="2607" t="s">
        <v>2058</v>
      </c>
      <c r="J489" s="40" t="s">
        <v>2113</v>
      </c>
      <c r="K489" s="40"/>
      <c r="L489" s="356"/>
      <c r="M489" s="40"/>
      <c r="N489" s="2607"/>
      <c r="O489" s="1472"/>
      <c r="P489" s="1472"/>
      <c r="Q489" s="40"/>
    </row>
    <row r="490" spans="1:17" s="77" customFormat="1">
      <c r="C490" s="40"/>
      <c r="D490" s="40"/>
      <c r="E490" s="40"/>
      <c r="F490" s="40"/>
      <c r="G490" s="1009" t="s">
        <v>2114</v>
      </c>
      <c r="H490" s="2607">
        <v>2019</v>
      </c>
      <c r="I490" s="2607" t="s">
        <v>2058</v>
      </c>
      <c r="J490" s="40" t="s">
        <v>1713</v>
      </c>
      <c r="K490" s="40"/>
      <c r="L490" s="40"/>
      <c r="M490" s="40"/>
      <c r="N490" s="2607"/>
      <c r="O490" s="1472"/>
      <c r="P490" s="1472"/>
      <c r="Q490" s="40"/>
    </row>
    <row r="491" spans="1:17" s="77" customFormat="1">
      <c r="C491" s="40"/>
      <c r="D491" s="40"/>
      <c r="E491" s="40"/>
      <c r="F491" s="40"/>
      <c r="G491" s="1009" t="s">
        <v>2115</v>
      </c>
      <c r="H491" s="2607" t="s">
        <v>2054</v>
      </c>
      <c r="I491" s="1260" t="s">
        <v>1129</v>
      </c>
      <c r="J491" s="40" t="s">
        <v>2116</v>
      </c>
      <c r="K491" s="40"/>
      <c r="L491" s="356"/>
      <c r="M491" s="40"/>
      <c r="N491" s="2607"/>
      <c r="O491" s="1472"/>
      <c r="P491" s="1472"/>
      <c r="Q491" s="40"/>
    </row>
    <row r="492" spans="1:17" s="77" customFormat="1">
      <c r="C492" s="40"/>
      <c r="D492" s="40"/>
      <c r="E492" s="40"/>
      <c r="F492" s="40"/>
      <c r="G492" s="1009" t="s">
        <v>2117</v>
      </c>
      <c r="H492" s="2607">
        <v>2020</v>
      </c>
      <c r="I492" s="2607" t="s">
        <v>2058</v>
      </c>
      <c r="J492" s="40" t="s">
        <v>1715</v>
      </c>
      <c r="K492" s="40"/>
      <c r="L492" s="356"/>
      <c r="M492" s="40"/>
      <c r="N492" s="2607"/>
      <c r="O492" s="1472"/>
      <c r="P492" s="1472"/>
      <c r="Q492" s="40"/>
    </row>
    <row r="493" spans="1:17" s="77" customFormat="1">
      <c r="C493" s="40"/>
      <c r="D493" s="40"/>
      <c r="E493" s="40"/>
      <c r="F493" s="40"/>
      <c r="G493" s="1009" t="s">
        <v>2118</v>
      </c>
      <c r="H493" s="2607">
        <v>2020</v>
      </c>
      <c r="I493" s="2607" t="s">
        <v>2058</v>
      </c>
      <c r="J493" s="40" t="s">
        <v>2119</v>
      </c>
      <c r="K493" s="40"/>
      <c r="L493" s="40"/>
      <c r="M493" s="40"/>
      <c r="N493" s="2607"/>
      <c r="O493" s="1472"/>
      <c r="P493" s="1472"/>
      <c r="Q493" s="40"/>
    </row>
    <row r="494" spans="1:17" s="77" customFormat="1">
      <c r="C494" s="40"/>
      <c r="D494" s="508"/>
      <c r="E494" s="40"/>
      <c r="F494" s="40"/>
      <c r="G494" s="1009" t="s">
        <v>2120</v>
      </c>
      <c r="H494" s="2607" t="s">
        <v>2054</v>
      </c>
      <c r="I494" s="1260" t="s">
        <v>1129</v>
      </c>
      <c r="J494" s="40" t="s">
        <v>2121</v>
      </c>
      <c r="K494" s="40"/>
      <c r="L494" s="356"/>
      <c r="M494" s="40"/>
      <c r="N494" s="2607"/>
      <c r="O494" s="1472"/>
      <c r="P494" s="1472"/>
      <c r="Q494" s="40"/>
    </row>
    <row r="495" spans="1:17" s="77" customFormat="1">
      <c r="C495" s="40"/>
      <c r="D495" s="508"/>
      <c r="E495" s="40"/>
      <c r="F495" s="40"/>
      <c r="G495" s="1009" t="s">
        <v>2122</v>
      </c>
      <c r="H495" s="2607" t="s">
        <v>2054</v>
      </c>
      <c r="I495" s="1260" t="s">
        <v>1129</v>
      </c>
      <c r="J495" s="40" t="s">
        <v>2123</v>
      </c>
      <c r="K495" s="40"/>
      <c r="L495" s="356"/>
      <c r="M495" s="40"/>
      <c r="N495" s="2607"/>
      <c r="O495" s="1472"/>
      <c r="P495" s="1472"/>
      <c r="Q495" s="40"/>
    </row>
    <row r="496" spans="1:17" s="77" customFormat="1">
      <c r="C496" s="40"/>
      <c r="D496" s="40"/>
      <c r="E496" s="40"/>
      <c r="F496" s="40"/>
      <c r="G496" s="1009" t="s">
        <v>2124</v>
      </c>
      <c r="H496" s="2607">
        <v>2020</v>
      </c>
      <c r="I496" s="2607" t="s">
        <v>2058</v>
      </c>
      <c r="J496" s="40" t="s">
        <v>2125</v>
      </c>
      <c r="K496" s="40"/>
      <c r="L496" s="356"/>
      <c r="M496" s="40"/>
      <c r="N496" s="2607"/>
      <c r="O496" s="1472"/>
      <c r="P496" s="1472"/>
      <c r="Q496" s="40"/>
    </row>
    <row r="497" spans="3:17" s="77" customFormat="1">
      <c r="C497" s="40"/>
      <c r="D497" s="40"/>
      <c r="E497" s="40"/>
      <c r="F497" s="40"/>
      <c r="G497" s="1009" t="s">
        <v>2126</v>
      </c>
      <c r="H497" s="2607">
        <v>2019</v>
      </c>
      <c r="I497" s="2607" t="s">
        <v>2058</v>
      </c>
      <c r="J497" s="40" t="s">
        <v>2127</v>
      </c>
      <c r="K497" s="40"/>
      <c r="L497" s="40"/>
      <c r="M497" s="40"/>
      <c r="N497" s="2607"/>
      <c r="O497" s="1472"/>
      <c r="P497" s="1472"/>
      <c r="Q497" s="40"/>
    </row>
    <row r="498" spans="3:17" s="77" customFormat="1">
      <c r="C498" s="40"/>
      <c r="D498" s="40"/>
      <c r="E498" s="40"/>
      <c r="F498" s="40"/>
      <c r="G498" s="1009" t="s">
        <v>2128</v>
      </c>
      <c r="H498" s="2607">
        <v>2019</v>
      </c>
      <c r="I498" s="2607" t="s">
        <v>2058</v>
      </c>
      <c r="J498" s="40" t="s">
        <v>2129</v>
      </c>
      <c r="K498" s="40"/>
      <c r="L498" s="356"/>
      <c r="M498" s="40"/>
      <c r="N498" s="2607"/>
      <c r="O498" s="1472"/>
      <c r="P498" s="1472"/>
      <c r="Q498" s="40"/>
    </row>
    <row r="499" spans="3:17" s="77" customFormat="1">
      <c r="C499" s="40"/>
      <c r="D499" s="40"/>
      <c r="E499" s="40"/>
      <c r="F499" s="40"/>
      <c r="G499" s="1009" t="s">
        <v>2130</v>
      </c>
      <c r="H499" s="2607">
        <v>2020</v>
      </c>
      <c r="I499" s="2607" t="s">
        <v>2058</v>
      </c>
      <c r="J499" s="40" t="s">
        <v>2131</v>
      </c>
      <c r="K499" s="40"/>
      <c r="L499" s="356"/>
      <c r="M499" s="40"/>
      <c r="N499" s="2607"/>
      <c r="O499" s="1472"/>
      <c r="P499" s="1472"/>
      <c r="Q499" s="40"/>
    </row>
    <row r="500" spans="3:17" s="77" customFormat="1">
      <c r="C500" s="508"/>
      <c r="D500" s="40"/>
      <c r="E500" s="40"/>
      <c r="F500" s="40"/>
      <c r="G500" s="1009" t="s">
        <v>2132</v>
      </c>
      <c r="H500" s="2607">
        <v>2020</v>
      </c>
      <c r="I500" s="2607" t="s">
        <v>2058</v>
      </c>
      <c r="J500" s="40" t="s">
        <v>2133</v>
      </c>
      <c r="K500" s="40"/>
      <c r="L500" s="356"/>
      <c r="M500" s="40"/>
      <c r="N500" s="2607"/>
      <c r="O500" s="1472"/>
      <c r="P500" s="1472"/>
      <c r="Q500" s="40"/>
    </row>
    <row r="501" spans="3:17" s="77" customFormat="1">
      <c r="C501" s="508"/>
      <c r="D501" s="40"/>
      <c r="E501" s="40"/>
      <c r="F501" s="40"/>
      <c r="G501" s="1009" t="s">
        <v>2134</v>
      </c>
      <c r="H501" s="2607" t="s">
        <v>2054</v>
      </c>
      <c r="I501" s="1260" t="s">
        <v>1129</v>
      </c>
      <c r="J501" s="40"/>
      <c r="K501" s="40"/>
      <c r="L501" s="356"/>
      <c r="M501" s="40"/>
      <c r="N501" s="2607"/>
      <c r="O501" s="1472"/>
      <c r="P501" s="1472"/>
      <c r="Q501" s="40"/>
    </row>
    <row r="502" spans="3:17" s="77" customFormat="1">
      <c r="C502" s="508"/>
      <c r="D502" s="40"/>
      <c r="E502" s="40"/>
      <c r="F502" s="40"/>
      <c r="G502" s="1009" t="s">
        <v>2135</v>
      </c>
      <c r="H502" s="2607" t="s">
        <v>2054</v>
      </c>
      <c r="I502" s="1260" t="s">
        <v>1129</v>
      </c>
      <c r="J502" s="40"/>
      <c r="K502" s="40"/>
      <c r="L502" s="356"/>
      <c r="M502" s="40"/>
      <c r="N502" s="2607"/>
      <c r="O502" s="1472"/>
      <c r="P502" s="1472"/>
      <c r="Q502" s="40"/>
    </row>
    <row r="503" spans="3:17" s="77" customFormat="1">
      <c r="C503" s="508"/>
      <c r="D503" s="40"/>
      <c r="E503" s="40"/>
      <c r="F503" s="40"/>
      <c r="G503" s="1009" t="s">
        <v>2136</v>
      </c>
      <c r="H503" s="2607" t="s">
        <v>2054</v>
      </c>
      <c r="I503" s="1260" t="s">
        <v>1129</v>
      </c>
      <c r="J503" s="40"/>
      <c r="K503" s="40"/>
      <c r="L503" s="356"/>
      <c r="M503" s="40"/>
      <c r="N503" s="2607"/>
      <c r="O503" s="1472"/>
      <c r="P503" s="1472"/>
      <c r="Q503" s="40"/>
    </row>
    <row r="504" spans="3:17" s="77" customFormat="1">
      <c r="C504" s="508"/>
      <c r="D504" s="40"/>
      <c r="E504" s="40"/>
      <c r="F504" s="40"/>
      <c r="G504" s="1009" t="s">
        <v>2137</v>
      </c>
      <c r="H504" s="2607" t="s">
        <v>2054</v>
      </c>
      <c r="I504" s="1260" t="s">
        <v>1129</v>
      </c>
      <c r="J504" s="40"/>
      <c r="K504" s="40"/>
      <c r="L504" s="356"/>
      <c r="M504" s="40"/>
      <c r="N504" s="2607"/>
      <c r="O504" s="1472"/>
      <c r="P504" s="1472"/>
      <c r="Q504" s="40"/>
    </row>
    <row r="505" spans="3:17" s="77" customFormat="1">
      <c r="C505" s="508"/>
      <c r="D505" s="40"/>
      <c r="E505" s="40"/>
      <c r="F505" s="40"/>
      <c r="G505" s="1009" t="s">
        <v>2138</v>
      </c>
      <c r="H505" s="2607">
        <v>2020</v>
      </c>
      <c r="I505" s="2607" t="s">
        <v>2058</v>
      </c>
      <c r="J505" s="40"/>
      <c r="K505" s="40"/>
      <c r="L505" s="356"/>
      <c r="M505" s="40"/>
      <c r="N505" s="2607"/>
      <c r="O505" s="1472"/>
      <c r="P505" s="1472"/>
      <c r="Q505" s="40"/>
    </row>
    <row r="506" spans="3:17" s="77" customFormat="1">
      <c r="C506" s="508"/>
      <c r="D506" s="40"/>
      <c r="E506" s="40"/>
      <c r="F506" s="40"/>
      <c r="G506" s="1009" t="s">
        <v>2139</v>
      </c>
      <c r="H506" s="2607">
        <v>2020</v>
      </c>
      <c r="I506" s="2607" t="s">
        <v>2058</v>
      </c>
      <c r="J506" s="40"/>
      <c r="K506" s="40"/>
      <c r="L506" s="40"/>
      <c r="M506" s="40"/>
      <c r="N506" s="2607"/>
      <c r="O506" s="1472"/>
      <c r="P506" s="1472"/>
      <c r="Q506" s="40"/>
    </row>
    <row r="507" spans="3:17" s="77" customFormat="1">
      <c r="C507" s="40"/>
      <c r="D507" s="40"/>
      <c r="E507" s="40"/>
      <c r="F507" s="40"/>
      <c r="G507" s="1009" t="s">
        <v>2140</v>
      </c>
      <c r="H507" s="2607">
        <v>2019</v>
      </c>
      <c r="I507" s="2607" t="s">
        <v>2058</v>
      </c>
      <c r="J507" s="40"/>
      <c r="K507" s="40"/>
      <c r="L507" s="40"/>
      <c r="M507" s="40"/>
      <c r="N507" s="2607"/>
      <c r="O507" s="1472"/>
      <c r="P507" s="1472"/>
      <c r="Q507" s="40"/>
    </row>
    <row r="508" spans="3:17" s="77" customFormat="1">
      <c r="C508" s="40"/>
      <c r="D508" s="40"/>
      <c r="E508" s="40"/>
      <c r="F508" s="40"/>
      <c r="G508" s="1009" t="s">
        <v>2141</v>
      </c>
      <c r="H508" s="40"/>
      <c r="I508" s="40"/>
      <c r="J508" s="40"/>
      <c r="K508" s="40"/>
      <c r="L508" s="40"/>
      <c r="M508" s="40"/>
      <c r="N508" s="2607"/>
      <c r="O508" s="1472"/>
      <c r="P508" s="1472"/>
      <c r="Q508" s="40"/>
    </row>
    <row r="509" spans="3:17" s="77" customFormat="1">
      <c r="C509" s="40"/>
      <c r="D509" s="40"/>
      <c r="E509" s="40"/>
      <c r="F509" s="40"/>
      <c r="G509" s="1009" t="s">
        <v>2142</v>
      </c>
      <c r="H509" s="2607">
        <v>2019</v>
      </c>
      <c r="I509" s="2607" t="s">
        <v>2058</v>
      </c>
      <c r="J509" s="40"/>
      <c r="K509" s="40"/>
      <c r="L509" s="40"/>
      <c r="M509" s="40"/>
      <c r="N509" s="2607"/>
      <c r="O509" s="1472"/>
      <c r="P509" s="1472"/>
      <c r="Q509" s="40"/>
    </row>
    <row r="510" spans="3:17" s="77" customFormat="1">
      <c r="C510" s="40"/>
      <c r="D510" s="40"/>
      <c r="E510" s="40"/>
      <c r="F510" s="40"/>
      <c r="G510" s="1009" t="s">
        <v>2143</v>
      </c>
      <c r="H510" s="2607">
        <v>2020</v>
      </c>
      <c r="I510" s="2607" t="s">
        <v>2058</v>
      </c>
      <c r="J510" s="40"/>
      <c r="K510" s="40"/>
      <c r="L510" s="40"/>
      <c r="M510" s="40"/>
      <c r="N510" s="2607"/>
      <c r="O510" s="1472"/>
      <c r="P510" s="1472"/>
      <c r="Q510" s="40"/>
    </row>
    <row r="511" spans="3:17" s="77" customFormat="1">
      <c r="C511" s="40"/>
      <c r="D511" s="40"/>
      <c r="E511" s="40"/>
      <c r="F511" s="40"/>
      <c r="G511" s="1009" t="s">
        <v>2144</v>
      </c>
      <c r="H511" s="2607">
        <v>2020</v>
      </c>
      <c r="I511" s="2607" t="s">
        <v>2058</v>
      </c>
      <c r="J511" s="40"/>
      <c r="K511" s="40"/>
      <c r="L511" s="40"/>
      <c r="M511" s="40"/>
      <c r="N511" s="2607"/>
      <c r="O511" s="1472"/>
      <c r="P511" s="1472"/>
      <c r="Q511" s="40"/>
    </row>
    <row r="512" spans="3:17" s="77" customFormat="1">
      <c r="C512" s="40"/>
      <c r="D512" s="40"/>
      <c r="E512" s="40"/>
      <c r="F512" s="40"/>
      <c r="G512" s="1009" t="s">
        <v>2145</v>
      </c>
      <c r="H512" s="2607">
        <v>2020</v>
      </c>
      <c r="I512" s="2607" t="s">
        <v>2058</v>
      </c>
      <c r="J512" s="40"/>
      <c r="K512" s="40"/>
      <c r="L512" s="40"/>
      <c r="M512" s="40"/>
      <c r="N512" s="2607"/>
      <c r="O512" s="1472"/>
      <c r="P512" s="1472"/>
      <c r="Q512" s="40"/>
    </row>
    <row r="513" spans="3:17" s="77" customFormat="1">
      <c r="C513" s="40"/>
      <c r="D513" s="40"/>
      <c r="E513" s="40"/>
      <c r="F513" s="40"/>
      <c r="G513" s="1009" t="s">
        <v>2146</v>
      </c>
      <c r="H513" s="2607">
        <v>2019</v>
      </c>
      <c r="I513" s="2607" t="s">
        <v>2058</v>
      </c>
      <c r="J513" s="40"/>
      <c r="K513" s="40"/>
      <c r="L513" s="40"/>
      <c r="M513" s="40"/>
      <c r="N513" s="2607"/>
      <c r="O513" s="1472"/>
      <c r="P513" s="1472"/>
      <c r="Q513" s="40"/>
    </row>
    <row r="514" spans="3:17" s="77" customFormat="1">
      <c r="C514" s="40"/>
      <c r="D514" s="40"/>
      <c r="E514" s="40"/>
      <c r="F514" s="40"/>
      <c r="G514" s="1009" t="s">
        <v>2147</v>
      </c>
      <c r="H514" s="2607">
        <v>2020</v>
      </c>
      <c r="I514" s="2607" t="s">
        <v>2058</v>
      </c>
      <c r="J514" s="40"/>
      <c r="K514" s="40"/>
      <c r="L514" s="40"/>
      <c r="M514" s="40"/>
      <c r="N514" s="2607"/>
      <c r="O514" s="1472"/>
      <c r="P514" s="1472"/>
      <c r="Q514" s="40"/>
    </row>
    <row r="515" spans="3:17" s="77" customFormat="1">
      <c r="C515" s="40"/>
      <c r="D515" s="40"/>
      <c r="E515" s="40"/>
      <c r="F515" s="40"/>
      <c r="G515" s="1009" t="s">
        <v>2148</v>
      </c>
      <c r="H515" s="2607">
        <v>2020</v>
      </c>
      <c r="I515" s="2607" t="s">
        <v>2058</v>
      </c>
      <c r="J515" s="40"/>
      <c r="K515" s="40"/>
      <c r="L515" s="40"/>
      <c r="M515" s="40"/>
      <c r="N515" s="2607"/>
      <c r="O515" s="1472"/>
      <c r="P515" s="1472"/>
      <c r="Q515" s="40"/>
    </row>
    <row r="516" spans="3:17" s="77" customFormat="1">
      <c r="C516" s="40"/>
      <c r="D516" s="40"/>
      <c r="E516" s="40"/>
      <c r="F516" s="40"/>
      <c r="G516" s="1009" t="s">
        <v>2149</v>
      </c>
      <c r="H516" s="2607" t="s">
        <v>2054</v>
      </c>
      <c r="I516" s="1260" t="s">
        <v>1129</v>
      </c>
      <c r="J516" s="40"/>
      <c r="K516" s="40"/>
      <c r="L516" s="40"/>
      <c r="M516" s="40"/>
      <c r="N516" s="2607"/>
      <c r="O516" s="1472"/>
      <c r="P516" s="1472"/>
      <c r="Q516" s="40"/>
    </row>
    <row r="517" spans="3:17" s="77" customFormat="1" ht="30" customHeight="1">
      <c r="C517" s="40"/>
      <c r="D517" s="40"/>
      <c r="E517" s="40"/>
      <c r="F517" s="40"/>
      <c r="G517" s="1009"/>
      <c r="H517" s="40"/>
      <c r="I517" s="40"/>
      <c r="J517" s="40"/>
      <c r="K517" s="40"/>
    </row>
    <row r="518" spans="3:17" s="77" customFormat="1">
      <c r="N518" s="58"/>
      <c r="O518" s="9"/>
      <c r="P518" s="9"/>
    </row>
    <row r="519" spans="3:17" s="77" customFormat="1">
      <c r="N519" s="58"/>
      <c r="O519" s="9"/>
      <c r="P519" s="9"/>
    </row>
    <row r="520" spans="3:17" s="77" customFormat="1">
      <c r="N520" s="58"/>
      <c r="O520" s="9"/>
      <c r="P520" s="9"/>
    </row>
    <row r="521" spans="3:17" s="77" customFormat="1">
      <c r="N521" s="58"/>
      <c r="O521" s="9"/>
      <c r="P521" s="9"/>
    </row>
    <row r="522" spans="3:17" s="77" customFormat="1">
      <c r="N522" s="58"/>
      <c r="O522" s="9"/>
      <c r="P522" s="9"/>
    </row>
    <row r="523" spans="3:17" s="77" customFormat="1">
      <c r="N523" s="58"/>
      <c r="O523" s="9"/>
      <c r="P523" s="9"/>
    </row>
    <row r="524" spans="3:17" s="77" customFormat="1">
      <c r="N524" s="58"/>
      <c r="O524" s="9"/>
      <c r="P524" s="9"/>
    </row>
    <row r="525" spans="3:17" s="77" customFormat="1">
      <c r="N525" s="58"/>
      <c r="O525" s="9"/>
      <c r="P525" s="9"/>
    </row>
    <row r="526" spans="3:17" s="77" customFormat="1">
      <c r="N526" s="58"/>
      <c r="O526" s="9"/>
      <c r="P526" s="9"/>
    </row>
    <row r="527" spans="3:17" s="77" customFormat="1">
      <c r="N527" s="58"/>
      <c r="O527" s="9"/>
      <c r="P527" s="9"/>
    </row>
    <row r="528" spans="3:17" s="77" customFormat="1">
      <c r="N528" s="58"/>
      <c r="O528" s="9"/>
      <c r="P528" s="9"/>
    </row>
    <row r="529" spans="1:21" s="77" customFormat="1">
      <c r="N529" s="58"/>
      <c r="O529" s="9"/>
      <c r="P529" s="9"/>
    </row>
    <row r="530" spans="1:21" s="77" customFormat="1">
      <c r="N530" s="58"/>
      <c r="O530" s="9"/>
      <c r="P530" s="9"/>
    </row>
    <row r="531" spans="1:21" s="77" customFormat="1">
      <c r="N531" s="58"/>
      <c r="O531" s="9"/>
      <c r="P531" s="9"/>
    </row>
    <row r="532" spans="1:21">
      <c r="A532" s="77"/>
      <c r="B532" s="77"/>
      <c r="C532" s="77"/>
      <c r="D532" s="77"/>
      <c r="E532" s="77"/>
      <c r="F532" s="77"/>
      <c r="G532" s="77"/>
      <c r="H532" s="77"/>
      <c r="I532" s="77"/>
      <c r="J532" s="77"/>
      <c r="K532" s="77"/>
      <c r="L532" s="77"/>
      <c r="M532" s="77"/>
      <c r="N532" s="58"/>
      <c r="Q532" s="77"/>
      <c r="R532" s="77"/>
      <c r="S532" s="77"/>
      <c r="T532" s="77"/>
      <c r="U532" s="77"/>
    </row>
    <row r="533" spans="1:21">
      <c r="A533" s="77"/>
      <c r="B533" s="77"/>
      <c r="C533" s="77"/>
      <c r="D533" s="77"/>
      <c r="E533" s="77"/>
      <c r="F533" s="77"/>
      <c r="G533" s="77"/>
      <c r="H533" s="77"/>
      <c r="I533" s="77"/>
      <c r="J533" s="77"/>
      <c r="K533" s="77"/>
      <c r="L533" s="77"/>
      <c r="M533" s="77"/>
      <c r="N533" s="58"/>
      <c r="Q533" s="77"/>
      <c r="R533" s="77"/>
      <c r="S533" s="77"/>
      <c r="T533" s="77"/>
      <c r="U533" s="77"/>
    </row>
    <row r="534" spans="1:21">
      <c r="A534" s="77"/>
      <c r="B534" s="77"/>
      <c r="C534" s="77"/>
      <c r="D534" s="77"/>
      <c r="E534" s="77"/>
      <c r="F534" s="77"/>
      <c r="G534" s="77"/>
      <c r="H534" s="77"/>
      <c r="I534" s="77"/>
      <c r="J534" s="77"/>
      <c r="K534" s="77"/>
      <c r="L534" s="77"/>
      <c r="M534" s="77"/>
      <c r="N534" s="58"/>
      <c r="Q534" s="77"/>
      <c r="R534" s="77"/>
      <c r="S534" s="77"/>
      <c r="T534" s="77"/>
      <c r="U534" s="77"/>
    </row>
    <row r="535" spans="1:21">
      <c r="A535" s="77"/>
      <c r="B535" s="77"/>
      <c r="C535" s="77"/>
      <c r="D535" s="77"/>
      <c r="E535" s="77"/>
      <c r="F535" s="77"/>
      <c r="G535" s="77"/>
      <c r="H535" s="77"/>
      <c r="I535" s="77"/>
      <c r="J535" s="77"/>
      <c r="K535" s="77"/>
      <c r="L535" s="77"/>
      <c r="M535" s="77"/>
      <c r="N535" s="58"/>
      <c r="Q535" s="77"/>
      <c r="R535" s="77"/>
      <c r="S535" s="77"/>
      <c r="T535" s="77"/>
      <c r="U535" s="77"/>
    </row>
    <row r="536" spans="1:21">
      <c r="A536" s="77"/>
      <c r="B536" s="77"/>
      <c r="C536" s="77"/>
      <c r="D536" s="77"/>
      <c r="E536" s="77"/>
      <c r="F536" s="77"/>
      <c r="G536" s="77"/>
      <c r="H536" s="77"/>
      <c r="I536" s="77"/>
      <c r="J536" s="77"/>
      <c r="K536" s="77"/>
      <c r="L536" s="77"/>
      <c r="M536" s="77"/>
      <c r="N536" s="58"/>
      <c r="Q536" s="77"/>
      <c r="R536" s="77"/>
      <c r="S536" s="77"/>
      <c r="T536" s="77"/>
      <c r="U536" s="77"/>
    </row>
    <row r="537" spans="1:21">
      <c r="A537" s="77"/>
      <c r="B537" s="77"/>
      <c r="C537" s="77"/>
      <c r="D537" s="77"/>
      <c r="E537" s="77"/>
      <c r="F537" s="77"/>
      <c r="G537" s="77"/>
      <c r="H537" s="77"/>
      <c r="I537" s="77"/>
      <c r="J537" s="77"/>
      <c r="K537" s="77"/>
      <c r="L537" s="77"/>
      <c r="M537" s="77"/>
      <c r="N537" s="58"/>
      <c r="Q537" s="77"/>
      <c r="R537" s="77"/>
      <c r="S537" s="77"/>
      <c r="T537" s="77"/>
      <c r="U537" s="77"/>
    </row>
    <row r="538" spans="1:21">
      <c r="A538" s="77"/>
      <c r="B538" s="77"/>
      <c r="C538" s="77"/>
      <c r="D538" s="77"/>
      <c r="E538" s="77"/>
      <c r="F538" s="77"/>
      <c r="G538" s="77"/>
      <c r="H538" s="77"/>
      <c r="I538" s="77"/>
      <c r="J538" s="77"/>
      <c r="K538" s="77"/>
      <c r="L538" s="77"/>
      <c r="M538" s="77"/>
      <c r="N538" s="58"/>
      <c r="Q538" s="77"/>
      <c r="R538" s="77"/>
      <c r="S538" s="77"/>
      <c r="T538" s="77"/>
      <c r="U538" s="77"/>
    </row>
    <row r="539" spans="1:21">
      <c r="A539" s="77"/>
      <c r="B539" s="77"/>
      <c r="C539" s="77"/>
      <c r="D539" s="77"/>
      <c r="E539" s="77"/>
      <c r="F539" s="77"/>
      <c r="G539" s="77"/>
      <c r="H539" s="77"/>
      <c r="I539" s="77"/>
      <c r="J539" s="77"/>
      <c r="K539" s="77"/>
      <c r="L539" s="77"/>
      <c r="M539" s="77"/>
      <c r="N539" s="58"/>
      <c r="Q539" s="77"/>
      <c r="R539" s="77"/>
      <c r="S539" s="77"/>
      <c r="T539" s="77"/>
      <c r="U539" s="77"/>
    </row>
    <row r="540" spans="1:21">
      <c r="A540" s="77"/>
      <c r="B540" s="77"/>
      <c r="C540" s="77"/>
      <c r="D540" s="77"/>
      <c r="E540" s="77"/>
      <c r="F540" s="77"/>
      <c r="G540" s="77"/>
      <c r="H540" s="77"/>
      <c r="I540" s="77"/>
      <c r="J540" s="77"/>
      <c r="K540" s="77"/>
      <c r="L540" s="77"/>
      <c r="M540" s="77"/>
      <c r="N540" s="58"/>
      <c r="Q540" s="77"/>
      <c r="R540" s="77"/>
      <c r="S540" s="77"/>
      <c r="T540" s="77"/>
      <c r="U540" s="77"/>
    </row>
    <row r="541" spans="1:21">
      <c r="A541" s="77"/>
      <c r="B541" s="77"/>
      <c r="C541" s="77"/>
      <c r="D541" s="77"/>
      <c r="E541" s="77"/>
      <c r="F541" s="77"/>
      <c r="G541" s="77"/>
      <c r="H541" s="77"/>
      <c r="I541" s="77"/>
      <c r="J541" s="77"/>
      <c r="K541" s="77"/>
      <c r="L541" s="77"/>
      <c r="M541" s="77"/>
      <c r="N541" s="58"/>
      <c r="Q541" s="77"/>
      <c r="R541" s="77"/>
      <c r="S541" s="77"/>
      <c r="T541" s="77"/>
      <c r="U541" s="77"/>
    </row>
    <row r="542" spans="1:21">
      <c r="A542" s="77"/>
      <c r="B542" s="77"/>
      <c r="C542" s="77"/>
      <c r="D542" s="77"/>
      <c r="E542" s="77"/>
      <c r="F542" s="77"/>
      <c r="G542" s="77"/>
      <c r="H542" s="77"/>
      <c r="I542" s="77"/>
      <c r="J542" s="77"/>
      <c r="K542" s="77"/>
      <c r="L542" s="77"/>
      <c r="M542" s="77"/>
      <c r="N542" s="58"/>
      <c r="Q542" s="77"/>
      <c r="R542" s="77"/>
      <c r="S542" s="77"/>
      <c r="T542" s="77"/>
      <c r="U542" s="77"/>
    </row>
    <row r="543" spans="1:21">
      <c r="A543" s="77"/>
      <c r="B543" s="77"/>
      <c r="C543" s="77"/>
      <c r="D543" s="77"/>
      <c r="E543" s="77"/>
      <c r="F543" s="77"/>
      <c r="G543" s="77"/>
      <c r="H543" s="77"/>
      <c r="I543" s="77"/>
      <c r="J543" s="77"/>
      <c r="K543" s="77"/>
      <c r="L543" s="77"/>
      <c r="M543" s="77"/>
      <c r="N543" s="58"/>
      <c r="Q543" s="77"/>
      <c r="R543" s="77"/>
      <c r="S543" s="77"/>
      <c r="T543" s="77"/>
      <c r="U543" s="77"/>
    </row>
    <row r="544" spans="1:21">
      <c r="A544" s="77"/>
      <c r="B544" s="77"/>
      <c r="C544" s="77"/>
      <c r="D544" s="77"/>
      <c r="E544" s="77"/>
      <c r="F544" s="77"/>
      <c r="G544" s="77"/>
      <c r="H544" s="77"/>
      <c r="I544" s="77"/>
      <c r="J544" s="77"/>
      <c r="K544" s="77"/>
      <c r="L544" s="77"/>
      <c r="M544" s="77"/>
      <c r="N544" s="58"/>
      <c r="Q544" s="77"/>
      <c r="R544" s="77"/>
      <c r="S544" s="77"/>
    </row>
    <row r="545" spans="1:19">
      <c r="A545" s="77"/>
      <c r="B545" s="77"/>
      <c r="C545" s="77"/>
      <c r="D545" s="77"/>
      <c r="E545" s="77"/>
      <c r="F545" s="77"/>
      <c r="G545" s="77"/>
      <c r="H545" s="77"/>
      <c r="I545" s="77"/>
      <c r="J545" s="77"/>
      <c r="K545" s="77"/>
      <c r="L545" s="77"/>
      <c r="M545" s="77"/>
      <c r="N545" s="58"/>
      <c r="Q545" s="77"/>
      <c r="R545" s="77"/>
      <c r="S545" s="77"/>
    </row>
    <row r="546" spans="1:19">
      <c r="A546" s="77"/>
      <c r="B546" s="77"/>
      <c r="C546" s="77"/>
      <c r="D546" s="77"/>
      <c r="E546" s="77"/>
      <c r="F546" s="77"/>
      <c r="G546" s="77"/>
      <c r="H546" s="77"/>
      <c r="I546" s="77"/>
      <c r="J546" s="77"/>
      <c r="K546" s="77"/>
      <c r="L546" s="77"/>
      <c r="M546" s="77"/>
      <c r="N546" s="58"/>
      <c r="Q546" s="77"/>
      <c r="R546" s="77"/>
      <c r="S546" s="77"/>
    </row>
    <row r="547" spans="1:19">
      <c r="A547" s="77"/>
      <c r="B547" s="77"/>
      <c r="C547" s="77"/>
      <c r="D547" s="77"/>
      <c r="E547" s="77"/>
      <c r="F547" s="77"/>
      <c r="G547" s="77"/>
      <c r="H547" s="77"/>
      <c r="I547" s="77"/>
      <c r="J547" s="77"/>
      <c r="K547" s="77"/>
      <c r="L547" s="77"/>
      <c r="M547" s="77"/>
      <c r="N547" s="58"/>
      <c r="Q547" s="77"/>
      <c r="R547" s="77"/>
      <c r="S547" s="77"/>
    </row>
    <row r="548" spans="1:19">
      <c r="A548" s="77"/>
      <c r="B548" s="77"/>
      <c r="C548" s="77"/>
      <c r="D548" s="77"/>
      <c r="E548" s="77"/>
      <c r="F548" s="77"/>
      <c r="G548" s="77"/>
      <c r="H548" s="77"/>
      <c r="I548" s="77"/>
      <c r="J548" s="77"/>
      <c r="K548" s="77"/>
      <c r="L548" s="77"/>
      <c r="M548" s="77"/>
      <c r="N548" s="58"/>
      <c r="Q548" s="77"/>
      <c r="R548" s="77"/>
      <c r="S548" s="77"/>
    </row>
    <row r="549" spans="1:19">
      <c r="A549" s="77"/>
      <c r="B549" s="77"/>
      <c r="C549" s="77"/>
      <c r="D549" s="77"/>
      <c r="E549" s="77"/>
      <c r="F549" s="77"/>
      <c r="G549" s="77"/>
      <c r="H549" s="77"/>
      <c r="I549" s="77"/>
      <c r="J549" s="77"/>
      <c r="K549" s="77"/>
      <c r="L549" s="77"/>
      <c r="M549" s="77"/>
      <c r="N549" s="58"/>
      <c r="Q549" s="77"/>
      <c r="R549" s="77"/>
      <c r="S549" s="77"/>
    </row>
    <row r="550" spans="1:19">
      <c r="A550" s="77"/>
      <c r="B550" s="77"/>
      <c r="C550" s="77"/>
      <c r="D550" s="77"/>
      <c r="E550" s="77"/>
      <c r="F550" s="77"/>
      <c r="G550" s="77"/>
      <c r="H550" s="77"/>
      <c r="I550" s="77"/>
      <c r="J550" s="77"/>
      <c r="K550" s="77"/>
      <c r="L550" s="77"/>
      <c r="M550" s="77"/>
      <c r="N550" s="58"/>
      <c r="Q550" s="77"/>
      <c r="R550" s="77"/>
      <c r="S550" s="77"/>
    </row>
    <row r="551" spans="1:19">
      <c r="A551" s="77"/>
      <c r="B551" s="77"/>
      <c r="C551" s="77"/>
      <c r="D551" s="77"/>
      <c r="E551" s="77"/>
      <c r="F551" s="77"/>
      <c r="G551" s="77"/>
      <c r="H551" s="77"/>
      <c r="I551" s="77"/>
      <c r="J551" s="77"/>
      <c r="K551" s="77"/>
      <c r="L551" s="77"/>
      <c r="M551" s="77"/>
      <c r="N551" s="58"/>
      <c r="Q551" s="77"/>
      <c r="R551" s="77"/>
      <c r="S551" s="77"/>
    </row>
    <row r="552" spans="1:19">
      <c r="A552" s="77"/>
      <c r="B552" s="77"/>
      <c r="C552" s="77"/>
      <c r="D552" s="77"/>
      <c r="E552" s="77"/>
      <c r="F552" s="77"/>
      <c r="G552" s="77"/>
      <c r="H552" s="77"/>
      <c r="I552" s="77"/>
      <c r="J552" s="77"/>
      <c r="K552" s="77"/>
      <c r="L552" s="77"/>
      <c r="M552" s="77"/>
      <c r="N552" s="58"/>
      <c r="Q552" s="77"/>
      <c r="R552" s="77"/>
      <c r="S552" s="77"/>
    </row>
    <row r="553" spans="1:19">
      <c r="A553" s="77"/>
      <c r="B553" s="77"/>
      <c r="C553" s="77"/>
      <c r="D553" s="77"/>
      <c r="E553" s="77"/>
      <c r="F553" s="77"/>
      <c r="G553" s="77"/>
      <c r="H553" s="77"/>
      <c r="I553" s="77"/>
      <c r="J553" s="77"/>
      <c r="K553" s="77"/>
      <c r="L553" s="77"/>
      <c r="M553" s="77"/>
      <c r="N553" s="58"/>
      <c r="Q553" s="77"/>
      <c r="R553" s="77"/>
      <c r="S553" s="77"/>
    </row>
    <row r="554" spans="1:19">
      <c r="A554" s="77"/>
      <c r="B554" s="77"/>
      <c r="C554" s="77"/>
      <c r="D554" s="77"/>
      <c r="E554" s="77"/>
      <c r="F554" s="77"/>
      <c r="G554" s="77"/>
      <c r="H554" s="77"/>
      <c r="I554" s="77"/>
      <c r="J554" s="77"/>
      <c r="K554" s="77"/>
      <c r="L554" s="77"/>
      <c r="M554" s="77"/>
      <c r="N554" s="58"/>
      <c r="Q554" s="77"/>
      <c r="R554" s="77"/>
      <c r="S554" s="77"/>
    </row>
    <row r="555" spans="1:19">
      <c r="A555" s="77"/>
      <c r="B555" s="77"/>
      <c r="C555" s="77"/>
      <c r="D555" s="77"/>
      <c r="E555" s="77"/>
      <c r="F555" s="77"/>
      <c r="G555" s="77"/>
      <c r="H555" s="77"/>
      <c r="I555" s="77"/>
      <c r="J555" s="77"/>
      <c r="K555" s="77"/>
      <c r="L555" s="77"/>
      <c r="M555" s="77"/>
      <c r="N555" s="58"/>
      <c r="Q555" s="77"/>
      <c r="R555" s="77"/>
      <c r="S555" s="77"/>
    </row>
    <row r="556" spans="1:19">
      <c r="A556" s="77"/>
      <c r="B556" s="77"/>
      <c r="C556" s="77"/>
      <c r="D556" s="77"/>
      <c r="E556" s="77"/>
      <c r="F556" s="77"/>
      <c r="G556" s="77"/>
      <c r="H556" s="77"/>
      <c r="I556" s="77"/>
      <c r="J556" s="77"/>
      <c r="K556" s="77"/>
      <c r="L556" s="77"/>
      <c r="M556" s="77"/>
      <c r="N556" s="58"/>
      <c r="Q556" s="77"/>
      <c r="R556" s="77"/>
      <c r="S556" s="77"/>
    </row>
    <row r="557" spans="1:19">
      <c r="A557" s="77"/>
      <c r="B557" s="77"/>
      <c r="C557" s="77"/>
      <c r="D557" s="77"/>
      <c r="E557" s="77"/>
      <c r="F557" s="77"/>
      <c r="G557" s="77"/>
      <c r="H557" s="77"/>
      <c r="I557" s="77"/>
      <c r="J557" s="77"/>
      <c r="K557" s="77"/>
      <c r="L557" s="77"/>
      <c r="M557" s="77"/>
      <c r="N557" s="58"/>
      <c r="Q557" s="77"/>
      <c r="R557" s="77"/>
      <c r="S557" s="77"/>
    </row>
    <row r="558" spans="1:19">
      <c r="A558" s="77"/>
      <c r="B558" s="77"/>
      <c r="C558" s="77"/>
      <c r="D558" s="77"/>
      <c r="E558" s="77"/>
      <c r="F558" s="77"/>
      <c r="G558" s="77"/>
      <c r="H558" s="77"/>
      <c r="I558" s="77"/>
      <c r="J558" s="77"/>
      <c r="K558" s="77"/>
      <c r="L558" s="77"/>
      <c r="M558" s="77"/>
      <c r="N558" s="58"/>
      <c r="Q558" s="77"/>
      <c r="R558" s="77"/>
      <c r="S558" s="77"/>
    </row>
    <row r="559" spans="1:19">
      <c r="A559" s="77"/>
      <c r="B559" s="77"/>
      <c r="C559" s="77"/>
      <c r="D559" s="77"/>
      <c r="E559" s="77"/>
      <c r="F559" s="77"/>
      <c r="G559" s="77"/>
      <c r="H559" s="77"/>
      <c r="I559" s="77"/>
      <c r="J559" s="77"/>
      <c r="K559" s="77"/>
      <c r="L559" s="77"/>
      <c r="M559" s="77"/>
      <c r="N559" s="58"/>
      <c r="Q559" s="77"/>
      <c r="R559" s="77"/>
      <c r="S559" s="77"/>
    </row>
    <row r="560" spans="1:19">
      <c r="A560" s="77"/>
      <c r="B560" s="77"/>
      <c r="C560" s="77"/>
      <c r="D560" s="77"/>
      <c r="E560" s="77"/>
      <c r="F560" s="77"/>
      <c r="G560" s="77"/>
      <c r="H560" s="77"/>
      <c r="I560" s="77"/>
      <c r="J560" s="77"/>
      <c r="K560" s="77"/>
      <c r="L560" s="77"/>
      <c r="M560" s="77"/>
      <c r="N560" s="58"/>
      <c r="Q560" s="77"/>
      <c r="R560" s="77"/>
      <c r="S560" s="77"/>
    </row>
    <row r="561" spans="1:19">
      <c r="A561" s="77"/>
      <c r="B561" s="77"/>
      <c r="C561" s="77"/>
      <c r="D561" s="77"/>
      <c r="E561" s="77"/>
      <c r="F561" s="77"/>
      <c r="G561" s="77"/>
      <c r="H561" s="77"/>
      <c r="I561" s="77"/>
      <c r="J561" s="77"/>
      <c r="K561" s="77"/>
      <c r="L561" s="77"/>
      <c r="M561" s="77"/>
      <c r="N561" s="58"/>
      <c r="Q561" s="77"/>
      <c r="R561" s="77"/>
      <c r="S561" s="77"/>
    </row>
    <row r="562" spans="1:19">
      <c r="A562" s="77"/>
      <c r="B562" s="77"/>
      <c r="C562" s="77"/>
      <c r="D562" s="77"/>
      <c r="E562" s="77"/>
      <c r="F562" s="77"/>
      <c r="G562" s="77"/>
      <c r="H562" s="77"/>
      <c r="I562" s="77"/>
      <c r="J562" s="77"/>
      <c r="K562" s="77"/>
      <c r="L562" s="77"/>
      <c r="M562" s="77"/>
      <c r="N562" s="58"/>
      <c r="Q562" s="77"/>
      <c r="R562" s="77"/>
      <c r="S562" s="77"/>
    </row>
    <row r="563" spans="1:19">
      <c r="A563" s="77"/>
      <c r="B563" s="77"/>
      <c r="C563" s="77"/>
      <c r="D563" s="77"/>
      <c r="E563" s="77"/>
      <c r="F563" s="77"/>
      <c r="G563" s="77"/>
      <c r="H563" s="77"/>
      <c r="I563" s="77"/>
      <c r="J563" s="77"/>
      <c r="K563" s="77"/>
      <c r="L563" s="77"/>
      <c r="M563" s="77"/>
      <c r="N563" s="58"/>
      <c r="Q563" s="77"/>
      <c r="R563" s="77"/>
      <c r="S563" s="77"/>
    </row>
    <row r="564" spans="1:19">
      <c r="A564" s="77"/>
      <c r="B564" s="77"/>
      <c r="C564" s="77"/>
      <c r="D564" s="77"/>
      <c r="E564" s="77"/>
      <c r="F564" s="77"/>
      <c r="G564" s="77"/>
      <c r="H564" s="77"/>
      <c r="I564" s="77"/>
      <c r="J564" s="77"/>
      <c r="K564" s="77"/>
      <c r="L564" s="77"/>
      <c r="M564" s="77"/>
      <c r="N564" s="58"/>
      <c r="Q564" s="77"/>
      <c r="R564" s="77"/>
      <c r="S564" s="77"/>
    </row>
    <row r="565" spans="1:19">
      <c r="A565" s="77"/>
      <c r="B565" s="77"/>
      <c r="C565" s="77"/>
      <c r="D565" s="77"/>
      <c r="E565" s="77"/>
      <c r="F565" s="77"/>
      <c r="G565" s="77"/>
      <c r="H565" s="77"/>
      <c r="I565" s="77"/>
      <c r="J565" s="77"/>
      <c r="K565" s="77"/>
      <c r="L565" s="77"/>
      <c r="M565" s="77"/>
      <c r="N565" s="58"/>
      <c r="Q565" s="77"/>
      <c r="R565" s="77"/>
      <c r="S565" s="77"/>
    </row>
    <row r="566" spans="1:19">
      <c r="A566" s="77"/>
      <c r="B566" s="77"/>
      <c r="C566" s="77"/>
      <c r="D566" s="77"/>
      <c r="E566" s="77"/>
      <c r="F566" s="77"/>
      <c r="G566" s="77"/>
      <c r="H566" s="77"/>
      <c r="I566" s="77"/>
      <c r="J566" s="77"/>
      <c r="K566" s="77"/>
      <c r="L566" s="77"/>
      <c r="M566" s="77"/>
      <c r="N566" s="58"/>
      <c r="Q566" s="77"/>
      <c r="R566" s="77"/>
      <c r="S566" s="77"/>
    </row>
    <row r="567" spans="1:19">
      <c r="A567" s="77"/>
      <c r="B567" s="77"/>
      <c r="C567" s="77"/>
      <c r="D567" s="77"/>
      <c r="E567" s="77"/>
      <c r="F567" s="77"/>
      <c r="G567" s="77"/>
      <c r="H567" s="77"/>
      <c r="I567" s="77"/>
      <c r="J567" s="77"/>
      <c r="K567" s="77"/>
      <c r="L567" s="77"/>
      <c r="M567" s="77"/>
      <c r="N567" s="58"/>
      <c r="Q567" s="77"/>
      <c r="R567" s="77"/>
      <c r="S567" s="77"/>
    </row>
    <row r="568" spans="1:19">
      <c r="A568" s="77"/>
      <c r="B568" s="77"/>
      <c r="C568" s="77"/>
      <c r="D568" s="77"/>
      <c r="E568" s="77"/>
      <c r="F568" s="77"/>
      <c r="G568" s="77"/>
      <c r="H568" s="77"/>
      <c r="I568" s="77"/>
      <c r="J568" s="77"/>
      <c r="K568" s="77"/>
      <c r="L568" s="77"/>
      <c r="M568" s="77"/>
      <c r="N568" s="58"/>
      <c r="Q568" s="77"/>
      <c r="R568" s="77"/>
      <c r="S568" s="77"/>
    </row>
    <row r="569" spans="1:19">
      <c r="A569" s="77"/>
      <c r="B569" s="77"/>
      <c r="C569" s="77"/>
      <c r="D569" s="77"/>
      <c r="E569" s="77"/>
      <c r="F569" s="77"/>
      <c r="G569" s="77"/>
      <c r="H569" s="77"/>
      <c r="I569" s="77"/>
      <c r="J569" s="77"/>
      <c r="K569" s="77"/>
      <c r="L569" s="77"/>
      <c r="M569" s="77"/>
      <c r="N569" s="58"/>
      <c r="Q569" s="77"/>
      <c r="R569" s="77"/>
      <c r="S569" s="77"/>
    </row>
    <row r="570" spans="1:19">
      <c r="A570" s="77"/>
      <c r="B570" s="77"/>
      <c r="C570" s="77"/>
      <c r="D570" s="77"/>
      <c r="E570" s="77"/>
      <c r="F570" s="77"/>
      <c r="G570" s="77"/>
      <c r="H570" s="77"/>
      <c r="I570" s="77"/>
      <c r="J570" s="77"/>
      <c r="K570" s="77"/>
      <c r="L570" s="77"/>
      <c r="M570" s="77"/>
      <c r="N570" s="58"/>
      <c r="Q570" s="77"/>
      <c r="R570" s="77"/>
      <c r="S570" s="77"/>
    </row>
    <row r="571" spans="1:19">
      <c r="A571" s="77"/>
      <c r="B571" s="77"/>
      <c r="C571" s="77"/>
      <c r="D571" s="77"/>
      <c r="E571" s="77"/>
      <c r="F571" s="77"/>
      <c r="G571" s="77"/>
      <c r="H571" s="77"/>
      <c r="I571" s="77"/>
      <c r="J571" s="77"/>
      <c r="K571" s="77"/>
      <c r="L571" s="77"/>
      <c r="M571" s="77"/>
      <c r="N571" s="58"/>
      <c r="Q571" s="77"/>
      <c r="R571" s="77"/>
      <c r="S571" s="77"/>
    </row>
    <row r="572" spans="1:19">
      <c r="A572" s="77"/>
      <c r="B572" s="77"/>
      <c r="C572" s="77"/>
      <c r="D572" s="77"/>
      <c r="E572" s="77"/>
      <c r="F572" s="77"/>
      <c r="G572" s="77"/>
      <c r="H572" s="77"/>
      <c r="I572" s="77"/>
      <c r="J572" s="77"/>
      <c r="K572" s="77"/>
      <c r="L572" s="77"/>
      <c r="M572" s="77"/>
      <c r="N572" s="58"/>
      <c r="Q572" s="77"/>
      <c r="R572" s="77"/>
      <c r="S572" s="77"/>
    </row>
    <row r="573" spans="1:19">
      <c r="A573" s="77"/>
      <c r="B573" s="77"/>
      <c r="C573" s="77"/>
      <c r="D573" s="77"/>
      <c r="E573" s="77"/>
      <c r="F573" s="77"/>
      <c r="G573" s="77"/>
      <c r="H573" s="77"/>
      <c r="I573" s="77"/>
      <c r="J573" s="77"/>
      <c r="K573" s="77"/>
      <c r="L573" s="77"/>
      <c r="M573" s="77"/>
      <c r="N573" s="58"/>
      <c r="Q573" s="77"/>
      <c r="R573" s="77"/>
      <c r="S573" s="77"/>
    </row>
    <row r="574" spans="1:19">
      <c r="A574" s="77"/>
      <c r="B574" s="77"/>
      <c r="C574" s="77"/>
      <c r="D574" s="77"/>
      <c r="E574" s="77"/>
      <c r="F574" s="77"/>
      <c r="G574" s="77"/>
      <c r="H574" s="77"/>
      <c r="I574" s="77"/>
      <c r="J574" s="77"/>
      <c r="K574" s="77"/>
      <c r="L574" s="77"/>
      <c r="M574" s="77"/>
      <c r="N574" s="58"/>
      <c r="Q574" s="77"/>
      <c r="R574" s="77"/>
      <c r="S574" s="77"/>
    </row>
    <row r="575" spans="1:19">
      <c r="A575" s="77"/>
      <c r="B575" s="77"/>
      <c r="C575" s="77"/>
      <c r="D575" s="77"/>
      <c r="E575" s="77"/>
      <c r="F575" s="77"/>
      <c r="G575" s="77"/>
      <c r="H575" s="77"/>
      <c r="I575" s="77"/>
      <c r="J575" s="77"/>
      <c r="K575" s="77"/>
      <c r="L575" s="77"/>
      <c r="M575" s="77"/>
      <c r="N575" s="58"/>
      <c r="Q575" s="77"/>
      <c r="R575" s="77"/>
      <c r="S575" s="77"/>
    </row>
    <row r="576" spans="1:19">
      <c r="A576" s="77"/>
      <c r="B576" s="77"/>
      <c r="C576" s="77"/>
      <c r="D576" s="77"/>
      <c r="E576" s="77"/>
      <c r="F576" s="77"/>
      <c r="G576" s="77"/>
      <c r="H576" s="77"/>
      <c r="I576" s="77"/>
      <c r="J576" s="77"/>
      <c r="K576" s="77"/>
      <c r="L576" s="77"/>
      <c r="M576" s="77"/>
      <c r="N576" s="58"/>
      <c r="Q576" s="77"/>
      <c r="R576" s="77"/>
      <c r="S576" s="77"/>
    </row>
    <row r="577" spans="1:19">
      <c r="A577" s="77"/>
      <c r="B577" s="77"/>
      <c r="C577" s="77"/>
      <c r="D577" s="77"/>
      <c r="E577" s="77"/>
      <c r="F577" s="77"/>
      <c r="G577" s="77"/>
      <c r="H577" s="77"/>
      <c r="I577" s="77"/>
      <c r="J577" s="77"/>
      <c r="K577" s="77"/>
      <c r="L577" s="77"/>
      <c r="M577" s="77"/>
      <c r="N577" s="58"/>
      <c r="Q577" s="77"/>
      <c r="R577" s="77"/>
      <c r="S577" s="77"/>
    </row>
    <row r="578" spans="1:19">
      <c r="A578" s="77"/>
      <c r="B578" s="77"/>
      <c r="C578" s="77"/>
      <c r="D578" s="77"/>
      <c r="E578" s="77"/>
      <c r="F578" s="77"/>
      <c r="G578" s="77"/>
      <c r="H578" s="77"/>
      <c r="I578" s="77"/>
      <c r="J578" s="77"/>
      <c r="K578" s="77"/>
      <c r="L578" s="77"/>
      <c r="M578" s="77"/>
      <c r="N578" s="58"/>
      <c r="Q578" s="77"/>
      <c r="R578" s="77"/>
      <c r="S578" s="77"/>
    </row>
    <row r="579" spans="1:19">
      <c r="A579" s="77"/>
      <c r="B579" s="77"/>
      <c r="C579" s="77"/>
      <c r="D579" s="77"/>
      <c r="E579" s="77"/>
      <c r="F579" s="77"/>
      <c r="G579" s="77"/>
      <c r="H579" s="77"/>
      <c r="I579" s="77"/>
      <c r="J579" s="77"/>
      <c r="K579" s="77"/>
      <c r="L579" s="77"/>
      <c r="M579" s="77"/>
      <c r="N579" s="58"/>
      <c r="Q579" s="77"/>
      <c r="R579" s="77"/>
      <c r="S579" s="77"/>
    </row>
    <row r="580" spans="1:19">
      <c r="A580" s="77"/>
      <c r="B580" s="77"/>
      <c r="C580" s="77"/>
      <c r="D580" s="77"/>
      <c r="E580" s="77"/>
      <c r="F580" s="77"/>
      <c r="G580" s="77"/>
      <c r="H580" s="77"/>
      <c r="I580" s="77"/>
      <c r="J580" s="77"/>
      <c r="K580" s="77"/>
      <c r="L580" s="77"/>
      <c r="M580" s="77"/>
      <c r="N580" s="58"/>
      <c r="Q580" s="77"/>
      <c r="R580" s="77"/>
      <c r="S580" s="77"/>
    </row>
    <row r="581" spans="1:19">
      <c r="A581" s="77"/>
      <c r="B581" s="77"/>
      <c r="C581" s="77"/>
      <c r="D581" s="77"/>
      <c r="E581" s="77"/>
      <c r="F581" s="77"/>
      <c r="G581" s="77"/>
      <c r="H581" s="77"/>
      <c r="I581" s="77"/>
      <c r="J581" s="77"/>
      <c r="K581" s="77"/>
      <c r="L581" s="77"/>
      <c r="M581" s="77"/>
      <c r="N581" s="58"/>
      <c r="Q581" s="77"/>
      <c r="R581" s="77"/>
      <c r="S581" s="77"/>
    </row>
    <row r="582" spans="1:19">
      <c r="A582" s="77"/>
      <c r="B582" s="77"/>
      <c r="C582" s="77"/>
      <c r="D582" s="77"/>
      <c r="E582" s="77"/>
      <c r="F582" s="77"/>
      <c r="G582" s="77"/>
      <c r="H582" s="77"/>
      <c r="I582" s="77"/>
      <c r="J582" s="77"/>
      <c r="K582" s="77"/>
      <c r="L582" s="77"/>
      <c r="M582" s="77"/>
      <c r="N582" s="58"/>
      <c r="Q582" s="77"/>
      <c r="R582" s="77"/>
      <c r="S582" s="77"/>
    </row>
    <row r="583" spans="1:19">
      <c r="A583" s="77"/>
      <c r="B583" s="77"/>
      <c r="C583" s="77"/>
      <c r="D583" s="77"/>
      <c r="E583" s="77"/>
      <c r="F583" s="77"/>
      <c r="G583" s="77"/>
      <c r="H583" s="77"/>
      <c r="I583" s="77"/>
      <c r="J583" s="77"/>
      <c r="K583" s="77"/>
      <c r="L583" s="77"/>
      <c r="M583" s="77"/>
      <c r="N583" s="58"/>
      <c r="Q583" s="77"/>
      <c r="R583" s="77"/>
      <c r="S583" s="77"/>
    </row>
    <row r="584" spans="1:19">
      <c r="A584" s="77"/>
      <c r="B584" s="77"/>
      <c r="C584" s="77"/>
      <c r="D584" s="77"/>
      <c r="E584" s="77"/>
      <c r="F584" s="77"/>
      <c r="G584" s="77"/>
      <c r="H584" s="77"/>
      <c r="I584" s="77"/>
      <c r="J584" s="77"/>
      <c r="K584" s="77"/>
      <c r="L584" s="77"/>
      <c r="M584" s="77"/>
      <c r="N584" s="58"/>
      <c r="Q584" s="77"/>
      <c r="R584" s="77"/>
      <c r="S584" s="77"/>
    </row>
    <row r="585" spans="1:19">
      <c r="A585" s="77"/>
      <c r="B585" s="77"/>
      <c r="C585" s="77"/>
      <c r="D585" s="77"/>
      <c r="E585" s="77"/>
      <c r="F585" s="77"/>
      <c r="G585" s="77"/>
      <c r="H585" s="77"/>
      <c r="I585" s="77"/>
      <c r="J585" s="77"/>
      <c r="K585" s="77"/>
      <c r="L585" s="77"/>
      <c r="M585" s="77"/>
      <c r="N585" s="58"/>
      <c r="Q585" s="77"/>
      <c r="R585" s="77"/>
      <c r="S585" s="77"/>
    </row>
    <row r="586" spans="1:19">
      <c r="A586" s="77"/>
      <c r="B586" s="77"/>
      <c r="C586" s="77"/>
      <c r="D586" s="77"/>
      <c r="E586" s="77"/>
      <c r="F586" s="77"/>
      <c r="G586" s="77"/>
      <c r="H586" s="77"/>
      <c r="I586" s="77"/>
      <c r="J586" s="77"/>
      <c r="K586" s="77"/>
      <c r="L586" s="77"/>
      <c r="M586" s="77"/>
      <c r="N586" s="58"/>
      <c r="Q586" s="77"/>
      <c r="R586" s="77"/>
      <c r="S586" s="77"/>
    </row>
    <row r="587" spans="1:19">
      <c r="A587" s="77"/>
      <c r="B587" s="77"/>
      <c r="C587" s="77"/>
      <c r="D587" s="77"/>
      <c r="E587" s="77"/>
      <c r="F587" s="77"/>
      <c r="G587" s="77"/>
      <c r="H587" s="77"/>
      <c r="I587" s="77"/>
      <c r="J587" s="77"/>
      <c r="K587" s="77"/>
      <c r="L587" s="77"/>
      <c r="M587" s="77"/>
      <c r="N587" s="58"/>
      <c r="Q587" s="77"/>
      <c r="R587" s="77"/>
      <c r="S587" s="77"/>
    </row>
    <row r="588" spans="1:19">
      <c r="A588" s="77"/>
      <c r="B588" s="77"/>
      <c r="C588" s="77"/>
      <c r="D588" s="77"/>
      <c r="E588" s="77"/>
      <c r="F588" s="77"/>
      <c r="G588" s="77"/>
      <c r="H588" s="77"/>
      <c r="I588" s="77"/>
      <c r="J588" s="77"/>
      <c r="K588" s="77"/>
      <c r="L588" s="77"/>
      <c r="M588" s="77"/>
      <c r="N588" s="58"/>
      <c r="Q588" s="77"/>
      <c r="R588" s="77"/>
      <c r="S588" s="77"/>
    </row>
    <row r="589" spans="1:19">
      <c r="A589" s="77"/>
      <c r="B589" s="77"/>
      <c r="C589" s="77"/>
      <c r="D589" s="77"/>
      <c r="E589" s="77"/>
      <c r="F589" s="77"/>
      <c r="G589" s="77"/>
      <c r="H589" s="77"/>
      <c r="I589" s="77"/>
      <c r="J589" s="77"/>
      <c r="K589" s="77"/>
      <c r="L589" s="77"/>
      <c r="M589" s="77"/>
      <c r="N589" s="58"/>
      <c r="Q589" s="77"/>
      <c r="R589" s="77"/>
      <c r="S589" s="77"/>
    </row>
    <row r="590" spans="1:19">
      <c r="A590" s="77"/>
      <c r="B590" s="77"/>
      <c r="C590" s="77"/>
      <c r="D590" s="77"/>
      <c r="E590" s="77"/>
      <c r="F590" s="77"/>
      <c r="G590" s="77"/>
      <c r="H590" s="77"/>
      <c r="I590" s="77"/>
      <c r="J590" s="77"/>
      <c r="K590" s="77"/>
      <c r="L590" s="77"/>
      <c r="M590" s="77"/>
      <c r="N590" s="58"/>
      <c r="Q590" s="77"/>
      <c r="R590" s="77"/>
      <c r="S590" s="77"/>
    </row>
    <row r="591" spans="1:19">
      <c r="A591" s="77"/>
      <c r="B591" s="77"/>
      <c r="C591" s="77"/>
      <c r="D591" s="77"/>
      <c r="E591" s="77"/>
      <c r="F591" s="77"/>
      <c r="G591" s="77"/>
      <c r="H591" s="77"/>
      <c r="I591" s="77"/>
      <c r="J591" s="77"/>
      <c r="K591" s="77"/>
      <c r="L591" s="77"/>
      <c r="M591" s="77"/>
      <c r="N591" s="58"/>
      <c r="Q591" s="77"/>
      <c r="R591" s="77"/>
      <c r="S591" s="77"/>
    </row>
    <row r="592" spans="1:19">
      <c r="A592" s="77"/>
      <c r="B592" s="77"/>
      <c r="C592" s="77"/>
      <c r="D592" s="77"/>
      <c r="E592" s="77"/>
      <c r="F592" s="77"/>
      <c r="G592" s="77"/>
      <c r="H592" s="77"/>
      <c r="I592" s="77"/>
      <c r="J592" s="77"/>
      <c r="K592" s="77"/>
      <c r="L592" s="77"/>
      <c r="M592" s="77"/>
      <c r="N592" s="58"/>
      <c r="Q592" s="77"/>
      <c r="R592" s="77"/>
      <c r="S592" s="77"/>
    </row>
    <row r="593" spans="1:19">
      <c r="A593" s="77"/>
      <c r="B593" s="77"/>
      <c r="C593" s="77"/>
      <c r="D593" s="77"/>
      <c r="E593" s="77"/>
      <c r="F593" s="77"/>
      <c r="G593" s="77"/>
      <c r="H593" s="77"/>
      <c r="I593" s="77"/>
      <c r="J593" s="77"/>
      <c r="K593" s="77"/>
      <c r="L593" s="77"/>
      <c r="M593" s="77"/>
      <c r="N593" s="58"/>
      <c r="Q593" s="77"/>
      <c r="R593" s="77"/>
      <c r="S593" s="77"/>
    </row>
    <row r="594" spans="1:19">
      <c r="A594" s="77"/>
      <c r="B594" s="77"/>
      <c r="C594" s="77"/>
      <c r="D594" s="77"/>
      <c r="E594" s="77"/>
      <c r="F594" s="77"/>
      <c r="G594" s="77"/>
      <c r="H594" s="77"/>
      <c r="I594" s="77"/>
      <c r="J594" s="77"/>
      <c r="K594" s="77"/>
      <c r="L594" s="77"/>
      <c r="M594" s="77"/>
      <c r="N594" s="58"/>
      <c r="Q594" s="77"/>
      <c r="R594" s="77"/>
      <c r="S594" s="77"/>
    </row>
    <row r="595" spans="1:19">
      <c r="A595" s="77"/>
      <c r="B595" s="77"/>
      <c r="C595" s="77"/>
      <c r="D595" s="77"/>
      <c r="E595" s="77"/>
      <c r="F595" s="77"/>
      <c r="G595" s="77"/>
      <c r="H595" s="77"/>
      <c r="I595" s="77"/>
      <c r="J595" s="77"/>
      <c r="K595" s="77"/>
      <c r="L595" s="77"/>
      <c r="M595" s="77"/>
      <c r="N595" s="58"/>
      <c r="Q595" s="77"/>
      <c r="R595" s="77"/>
      <c r="S595" s="77"/>
    </row>
    <row r="596" spans="1:19">
      <c r="A596" s="77"/>
      <c r="B596" s="77"/>
      <c r="C596" s="77"/>
      <c r="D596" s="77"/>
      <c r="E596" s="77"/>
      <c r="F596" s="77"/>
      <c r="G596" s="77"/>
      <c r="H596" s="77"/>
      <c r="I596" s="77"/>
      <c r="J596" s="77"/>
      <c r="K596" s="77"/>
      <c r="L596" s="77"/>
      <c r="M596" s="77"/>
      <c r="N596" s="58"/>
      <c r="Q596" s="77"/>
      <c r="R596" s="77"/>
      <c r="S596" s="77"/>
    </row>
    <row r="597" spans="1:19">
      <c r="A597" s="77"/>
      <c r="B597" s="77"/>
      <c r="C597" s="77"/>
      <c r="D597" s="77"/>
      <c r="E597" s="77"/>
      <c r="F597" s="77"/>
      <c r="G597" s="77"/>
      <c r="H597" s="77"/>
      <c r="I597" s="77"/>
      <c r="J597" s="77"/>
      <c r="K597" s="77"/>
      <c r="L597" s="77"/>
      <c r="M597" s="77"/>
      <c r="N597" s="58"/>
      <c r="Q597" s="77"/>
      <c r="R597" s="77"/>
      <c r="S597" s="77"/>
    </row>
    <row r="598" spans="1:19">
      <c r="A598" s="77"/>
      <c r="B598" s="77"/>
      <c r="C598" s="77"/>
      <c r="D598" s="77"/>
      <c r="E598" s="77"/>
      <c r="F598" s="77"/>
      <c r="G598" s="77"/>
      <c r="H598" s="77"/>
      <c r="I598" s="77"/>
      <c r="J598" s="77"/>
      <c r="K598" s="77"/>
      <c r="L598" s="77"/>
      <c r="M598" s="77"/>
      <c r="N598" s="58"/>
      <c r="Q598" s="77"/>
      <c r="R598" s="77"/>
      <c r="S598" s="77"/>
    </row>
    <row r="599" spans="1:19">
      <c r="A599" s="77"/>
      <c r="B599" s="77"/>
      <c r="C599" s="77"/>
      <c r="D599" s="77"/>
      <c r="E599" s="77"/>
      <c r="F599" s="77"/>
      <c r="G599" s="77"/>
      <c r="H599" s="77"/>
      <c r="I599" s="77"/>
      <c r="J599" s="77"/>
      <c r="K599" s="77"/>
      <c r="L599" s="77"/>
      <c r="M599" s="77"/>
      <c r="N599" s="58"/>
      <c r="Q599" s="77"/>
      <c r="R599" s="77"/>
      <c r="S599" s="77"/>
    </row>
    <row r="600" spans="1:19">
      <c r="A600" s="77"/>
      <c r="B600" s="77"/>
      <c r="C600" s="77"/>
      <c r="D600" s="77"/>
      <c r="E600" s="77"/>
      <c r="F600" s="77"/>
      <c r="G600" s="77"/>
      <c r="H600" s="77"/>
      <c r="I600" s="77"/>
      <c r="J600" s="77"/>
      <c r="K600" s="77"/>
      <c r="L600" s="77"/>
      <c r="M600" s="77"/>
      <c r="N600" s="58"/>
      <c r="Q600" s="77"/>
      <c r="R600" s="77"/>
      <c r="S600" s="77"/>
    </row>
    <row r="601" spans="1:19">
      <c r="A601" s="77"/>
      <c r="B601" s="77"/>
      <c r="C601" s="77"/>
      <c r="D601" s="77"/>
      <c r="E601" s="77"/>
      <c r="F601" s="77"/>
      <c r="G601" s="77"/>
      <c r="H601" s="77"/>
      <c r="I601" s="77"/>
      <c r="J601" s="77"/>
      <c r="K601" s="77"/>
      <c r="L601" s="77"/>
      <c r="M601" s="77"/>
      <c r="N601" s="58"/>
      <c r="Q601" s="77"/>
      <c r="R601" s="77"/>
      <c r="S601" s="77"/>
    </row>
    <row r="602" spans="1:19">
      <c r="A602" s="77"/>
      <c r="B602" s="77"/>
      <c r="C602" s="77"/>
      <c r="D602" s="77"/>
      <c r="E602" s="77"/>
      <c r="F602" s="77"/>
      <c r="G602" s="77"/>
      <c r="H602" s="77"/>
      <c r="I602" s="77"/>
      <c r="J602" s="77"/>
      <c r="K602" s="77"/>
      <c r="L602" s="77"/>
      <c r="M602" s="77"/>
      <c r="N602" s="58"/>
      <c r="Q602" s="77"/>
      <c r="R602" s="77"/>
      <c r="S602" s="77"/>
    </row>
    <row r="603" spans="1:19">
      <c r="A603" s="77"/>
      <c r="B603" s="77"/>
      <c r="C603" s="77"/>
      <c r="D603" s="77"/>
      <c r="E603" s="77"/>
      <c r="F603" s="77"/>
      <c r="G603" s="77"/>
      <c r="H603" s="77"/>
      <c r="I603" s="77"/>
      <c r="J603" s="77"/>
      <c r="K603" s="77"/>
      <c r="L603" s="77"/>
      <c r="M603" s="77"/>
      <c r="N603" s="58"/>
      <c r="Q603" s="77"/>
      <c r="R603" s="77"/>
      <c r="S603" s="77"/>
    </row>
    <row r="604" spans="1:19">
      <c r="A604" s="77"/>
      <c r="B604" s="77"/>
      <c r="C604" s="77"/>
      <c r="D604" s="77"/>
      <c r="E604" s="77"/>
      <c r="F604" s="77"/>
      <c r="G604" s="77"/>
      <c r="H604" s="77"/>
      <c r="I604" s="77"/>
      <c r="J604" s="77"/>
      <c r="K604" s="77"/>
      <c r="L604" s="77"/>
      <c r="M604" s="77"/>
      <c r="N604" s="58"/>
      <c r="Q604" s="77"/>
      <c r="R604" s="77"/>
      <c r="S604" s="77"/>
    </row>
    <row r="605" spans="1:19">
      <c r="A605" s="77"/>
      <c r="B605" s="77"/>
      <c r="C605" s="77"/>
      <c r="D605" s="77"/>
      <c r="E605" s="77"/>
      <c r="F605" s="77"/>
      <c r="G605" s="77"/>
      <c r="H605" s="77"/>
      <c r="I605" s="77"/>
      <c r="J605" s="77"/>
      <c r="K605" s="77"/>
      <c r="L605" s="77"/>
      <c r="M605" s="77"/>
      <c r="N605" s="58"/>
      <c r="Q605" s="77"/>
      <c r="R605" s="77"/>
      <c r="S605" s="77"/>
    </row>
    <row r="606" spans="1:19">
      <c r="A606" s="77"/>
      <c r="B606" s="77"/>
      <c r="C606" s="77"/>
      <c r="D606" s="77"/>
      <c r="E606" s="77"/>
      <c r="F606" s="77"/>
      <c r="G606" s="77"/>
      <c r="H606" s="77"/>
      <c r="I606" s="77"/>
      <c r="J606" s="77"/>
      <c r="K606" s="77"/>
      <c r="L606" s="77"/>
      <c r="M606" s="77"/>
      <c r="N606" s="58"/>
      <c r="Q606" s="77"/>
      <c r="R606" s="77"/>
      <c r="S606" s="77"/>
    </row>
    <row r="607" spans="1:19">
      <c r="A607" s="77"/>
      <c r="B607" s="77"/>
      <c r="C607" s="77"/>
      <c r="D607" s="77"/>
      <c r="E607" s="77"/>
      <c r="F607" s="77"/>
      <c r="G607" s="77"/>
      <c r="H607" s="77"/>
      <c r="I607" s="77"/>
      <c r="J607" s="77"/>
      <c r="K607" s="77"/>
      <c r="L607" s="77"/>
      <c r="M607" s="77"/>
      <c r="N607" s="58"/>
      <c r="Q607" s="77"/>
      <c r="R607" s="77"/>
      <c r="S607" s="77"/>
    </row>
    <row r="608" spans="1:19">
      <c r="A608" s="77"/>
      <c r="B608" s="77"/>
      <c r="C608" s="77"/>
      <c r="D608" s="77"/>
      <c r="E608" s="77"/>
      <c r="F608" s="77"/>
      <c r="G608" s="77"/>
      <c r="H608" s="77"/>
      <c r="I608" s="77"/>
      <c r="J608" s="77"/>
      <c r="K608" s="77"/>
      <c r="L608" s="77"/>
      <c r="M608" s="77"/>
      <c r="N608" s="58"/>
      <c r="Q608" s="77"/>
      <c r="R608" s="77"/>
      <c r="S608" s="77"/>
    </row>
    <row r="609" spans="1:19">
      <c r="A609" s="77"/>
      <c r="B609" s="77"/>
      <c r="C609" s="77"/>
      <c r="D609" s="77"/>
      <c r="E609" s="77"/>
      <c r="F609" s="77"/>
      <c r="G609" s="77"/>
      <c r="H609" s="77"/>
      <c r="I609" s="77"/>
      <c r="J609" s="77"/>
      <c r="K609" s="77"/>
      <c r="L609" s="77"/>
      <c r="M609" s="77"/>
      <c r="N609" s="58"/>
      <c r="Q609" s="77"/>
      <c r="R609" s="77"/>
      <c r="S609" s="77"/>
    </row>
    <row r="610" spans="1:19">
      <c r="A610" s="77"/>
      <c r="B610" s="77"/>
      <c r="C610" s="77"/>
      <c r="D610" s="77"/>
      <c r="E610" s="77"/>
      <c r="F610" s="77"/>
      <c r="G610" s="77"/>
      <c r="H610" s="77"/>
      <c r="I610" s="77"/>
      <c r="J610" s="77"/>
      <c r="K610" s="77"/>
      <c r="L610" s="77"/>
      <c r="M610" s="77"/>
      <c r="N610" s="58"/>
      <c r="Q610" s="77"/>
      <c r="R610" s="77"/>
      <c r="S610" s="77"/>
    </row>
    <row r="611" spans="1:19">
      <c r="A611" s="77"/>
      <c r="B611" s="77"/>
      <c r="C611" s="77"/>
      <c r="D611" s="77"/>
      <c r="E611" s="77"/>
      <c r="F611" s="77"/>
      <c r="G611" s="77"/>
      <c r="H611" s="77"/>
      <c r="I611" s="77"/>
      <c r="J611" s="77"/>
      <c r="K611" s="77"/>
      <c r="L611" s="77"/>
      <c r="M611" s="77"/>
      <c r="N611" s="58"/>
      <c r="Q611" s="77"/>
      <c r="R611" s="77"/>
      <c r="S611" s="77"/>
    </row>
    <row r="612" spans="1:19">
      <c r="A612" s="77"/>
      <c r="B612" s="77"/>
      <c r="C612" s="77"/>
      <c r="D612" s="77"/>
      <c r="E612" s="77"/>
      <c r="F612" s="77"/>
      <c r="G612" s="77"/>
      <c r="H612" s="77"/>
      <c r="I612" s="77"/>
      <c r="J612" s="77"/>
      <c r="K612" s="77"/>
      <c r="L612" s="77"/>
      <c r="M612" s="77"/>
      <c r="N612" s="58"/>
      <c r="Q612" s="77"/>
      <c r="R612" s="77"/>
      <c r="S612" s="77"/>
    </row>
    <row r="613" spans="1:19">
      <c r="A613" s="77"/>
      <c r="B613" s="77"/>
      <c r="C613" s="77"/>
      <c r="D613" s="77"/>
      <c r="E613" s="77"/>
      <c r="F613" s="77"/>
      <c r="G613" s="77"/>
      <c r="H613" s="77"/>
      <c r="I613" s="77"/>
      <c r="J613" s="77"/>
      <c r="K613" s="77"/>
      <c r="L613" s="77"/>
      <c r="M613" s="77"/>
      <c r="N613" s="58"/>
      <c r="Q613" s="77"/>
      <c r="R613" s="77"/>
      <c r="S613" s="77"/>
    </row>
    <row r="614" spans="1:19">
      <c r="A614" s="77"/>
      <c r="B614" s="77"/>
      <c r="C614" s="77"/>
      <c r="D614" s="77"/>
      <c r="E614" s="77"/>
      <c r="F614" s="77"/>
      <c r="G614" s="77"/>
      <c r="H614" s="77"/>
      <c r="I614" s="77"/>
      <c r="J614" s="77"/>
      <c r="K614" s="77"/>
      <c r="L614" s="77"/>
      <c r="M614" s="77"/>
      <c r="N614" s="58"/>
      <c r="Q614" s="77"/>
      <c r="R614" s="77"/>
      <c r="S614" s="77"/>
    </row>
    <row r="615" spans="1:19">
      <c r="A615" s="77"/>
      <c r="B615" s="77"/>
      <c r="C615" s="77"/>
      <c r="D615" s="77"/>
      <c r="E615" s="77"/>
      <c r="F615" s="77"/>
      <c r="G615" s="77"/>
      <c r="H615" s="77"/>
      <c r="I615" s="77"/>
      <c r="J615" s="77"/>
      <c r="K615" s="77"/>
      <c r="L615" s="77"/>
      <c r="M615" s="77"/>
      <c r="N615" s="58"/>
      <c r="Q615" s="77"/>
      <c r="R615" s="77"/>
      <c r="S615" s="77"/>
    </row>
    <row r="616" spans="1:19">
      <c r="A616" s="77"/>
      <c r="B616" s="77"/>
      <c r="C616" s="77"/>
      <c r="D616" s="77"/>
      <c r="E616" s="77"/>
      <c r="F616" s="77"/>
      <c r="G616" s="77"/>
      <c r="H616" s="77"/>
      <c r="I616" s="77"/>
      <c r="J616" s="77"/>
      <c r="K616" s="77"/>
      <c r="L616" s="77"/>
      <c r="M616" s="77"/>
      <c r="N616" s="58"/>
      <c r="Q616" s="77"/>
      <c r="R616" s="77"/>
      <c r="S616" s="77"/>
    </row>
    <row r="617" spans="1:19">
      <c r="A617" s="77"/>
      <c r="B617" s="77"/>
      <c r="C617" s="77"/>
      <c r="D617" s="77"/>
      <c r="E617" s="77"/>
      <c r="F617" s="77"/>
      <c r="G617" s="77"/>
      <c r="H617" s="77"/>
      <c r="I617" s="77"/>
      <c r="J617" s="77"/>
      <c r="K617" s="77"/>
      <c r="L617" s="77"/>
      <c r="M617" s="77"/>
      <c r="N617" s="58"/>
      <c r="Q617" s="77"/>
      <c r="R617" s="77"/>
      <c r="S617" s="77"/>
    </row>
    <row r="618" spans="1:19">
      <c r="A618" s="77"/>
      <c r="B618" s="77"/>
      <c r="C618" s="77"/>
      <c r="D618" s="77"/>
      <c r="E618" s="77"/>
      <c r="F618" s="77"/>
      <c r="G618" s="77"/>
      <c r="H618" s="77"/>
      <c r="I618" s="77"/>
      <c r="J618" s="77"/>
      <c r="K618" s="77"/>
      <c r="L618" s="77"/>
      <c r="M618" s="77"/>
      <c r="N618" s="58"/>
      <c r="Q618" s="77"/>
      <c r="R618" s="77"/>
      <c r="S618" s="77"/>
    </row>
    <row r="619" spans="1:19">
      <c r="A619" s="77"/>
      <c r="B619" s="77"/>
      <c r="C619" s="77"/>
      <c r="D619" s="77"/>
      <c r="E619" s="77"/>
      <c r="F619" s="77"/>
      <c r="G619" s="77"/>
      <c r="H619" s="77"/>
      <c r="I619" s="77"/>
      <c r="J619" s="77"/>
      <c r="K619" s="77"/>
      <c r="L619" s="77"/>
      <c r="M619" s="77"/>
      <c r="N619" s="58"/>
      <c r="Q619" s="77"/>
      <c r="R619" s="77"/>
      <c r="S619" s="77"/>
    </row>
    <row r="620" spans="1:19">
      <c r="A620" s="77"/>
      <c r="B620" s="77"/>
      <c r="C620" s="77"/>
      <c r="D620" s="77"/>
      <c r="E620" s="77"/>
      <c r="F620" s="77"/>
      <c r="G620" s="77"/>
      <c r="H620" s="77"/>
      <c r="I620" s="77"/>
      <c r="J620" s="77"/>
      <c r="K620" s="77"/>
      <c r="L620" s="77"/>
      <c r="M620" s="77"/>
      <c r="N620" s="58"/>
      <c r="Q620" s="77"/>
      <c r="R620" s="77"/>
      <c r="S620" s="77"/>
    </row>
    <row r="621" spans="1:19">
      <c r="A621" s="77"/>
      <c r="B621" s="77"/>
      <c r="C621" s="77"/>
      <c r="D621" s="77"/>
      <c r="E621" s="77"/>
      <c r="F621" s="77"/>
      <c r="G621" s="77"/>
      <c r="H621" s="77"/>
      <c r="I621" s="77"/>
      <c r="J621" s="77"/>
      <c r="K621" s="77"/>
      <c r="L621" s="77"/>
      <c r="M621" s="77"/>
      <c r="N621" s="58"/>
      <c r="Q621" s="77"/>
      <c r="R621" s="77"/>
      <c r="S621" s="77"/>
    </row>
    <row r="622" spans="1:19">
      <c r="A622" s="77"/>
      <c r="B622" s="77"/>
      <c r="C622" s="77"/>
      <c r="D622" s="77"/>
      <c r="E622" s="77"/>
      <c r="F622" s="77"/>
      <c r="G622" s="77"/>
      <c r="H622" s="77"/>
      <c r="I622" s="77"/>
      <c r="J622" s="77"/>
      <c r="K622" s="77"/>
      <c r="L622" s="77"/>
      <c r="M622" s="77"/>
      <c r="N622" s="58"/>
      <c r="Q622" s="77"/>
      <c r="R622" s="77"/>
      <c r="S622" s="77"/>
    </row>
    <row r="623" spans="1:19">
      <c r="A623" s="77"/>
      <c r="B623" s="77"/>
      <c r="C623" s="77"/>
      <c r="D623" s="77"/>
      <c r="E623" s="77"/>
      <c r="F623" s="77"/>
      <c r="G623" s="77"/>
      <c r="H623" s="77"/>
      <c r="I623" s="77"/>
      <c r="J623" s="77"/>
      <c r="K623" s="77"/>
      <c r="L623" s="77"/>
      <c r="M623" s="77"/>
      <c r="N623" s="58"/>
      <c r="Q623" s="77"/>
      <c r="R623" s="77"/>
      <c r="S623" s="77"/>
    </row>
    <row r="624" spans="1:19">
      <c r="A624" s="77"/>
      <c r="B624" s="77"/>
      <c r="C624" s="77"/>
      <c r="D624" s="77"/>
      <c r="E624" s="77"/>
      <c r="F624" s="77"/>
      <c r="G624" s="77"/>
      <c r="H624" s="77"/>
      <c r="I624" s="77"/>
      <c r="J624" s="77"/>
      <c r="K624" s="77"/>
      <c r="L624" s="77"/>
      <c r="M624" s="77"/>
      <c r="N624" s="58"/>
      <c r="Q624" s="77"/>
      <c r="R624" s="77"/>
      <c r="S624" s="77"/>
    </row>
    <row r="625" spans="1:19">
      <c r="A625" s="77"/>
      <c r="B625" s="77"/>
      <c r="C625" s="77"/>
      <c r="D625" s="77"/>
      <c r="E625" s="77"/>
      <c r="F625" s="77"/>
      <c r="G625" s="77"/>
      <c r="H625" s="77"/>
      <c r="I625" s="77"/>
      <c r="J625" s="77"/>
      <c r="K625" s="77"/>
      <c r="L625" s="77"/>
      <c r="M625" s="77"/>
      <c r="N625" s="58"/>
      <c r="Q625" s="77"/>
      <c r="R625" s="77"/>
      <c r="S625" s="77"/>
    </row>
    <row r="626" spans="1:19">
      <c r="A626" s="77"/>
      <c r="B626" s="77"/>
      <c r="C626" s="77"/>
      <c r="D626" s="77"/>
      <c r="E626" s="77"/>
      <c r="F626" s="77"/>
      <c r="G626" s="77"/>
      <c r="H626" s="77"/>
      <c r="I626" s="77"/>
      <c r="J626" s="77"/>
      <c r="K626" s="77"/>
      <c r="L626" s="77"/>
      <c r="M626" s="77"/>
      <c r="N626" s="58"/>
      <c r="Q626" s="77"/>
      <c r="R626" s="77"/>
      <c r="S626" s="77"/>
    </row>
    <row r="627" spans="1:19">
      <c r="A627" s="77"/>
      <c r="B627" s="77"/>
      <c r="C627" s="77"/>
      <c r="D627" s="77"/>
      <c r="E627" s="77"/>
      <c r="F627" s="77"/>
      <c r="G627" s="77"/>
      <c r="H627" s="77"/>
      <c r="I627" s="77"/>
      <c r="J627" s="77"/>
      <c r="K627" s="77"/>
      <c r="L627" s="77"/>
      <c r="M627" s="77"/>
      <c r="N627" s="58"/>
      <c r="Q627" s="77"/>
      <c r="R627" s="77"/>
      <c r="S627" s="77"/>
    </row>
    <row r="628" spans="1:19">
      <c r="A628" s="77"/>
      <c r="B628" s="77"/>
      <c r="C628" s="77"/>
      <c r="D628" s="77"/>
      <c r="E628" s="77"/>
      <c r="F628" s="77"/>
      <c r="G628" s="77"/>
      <c r="H628" s="77"/>
      <c r="I628" s="77"/>
      <c r="J628" s="77"/>
      <c r="K628" s="77"/>
      <c r="L628" s="77"/>
      <c r="M628" s="77"/>
      <c r="N628" s="58"/>
      <c r="Q628" s="77"/>
      <c r="R628" s="77"/>
      <c r="S628" s="77"/>
    </row>
    <row r="629" spans="1:19">
      <c r="A629" s="77"/>
      <c r="B629" s="77"/>
      <c r="C629" s="77"/>
      <c r="D629" s="77"/>
      <c r="E629" s="77"/>
      <c r="F629" s="77"/>
      <c r="G629" s="77"/>
      <c r="H629" s="77"/>
      <c r="I629" s="77"/>
      <c r="J629" s="77"/>
      <c r="K629" s="77"/>
      <c r="L629" s="77"/>
      <c r="M629" s="77"/>
      <c r="N629" s="58"/>
      <c r="Q629" s="77"/>
      <c r="R629" s="77"/>
      <c r="S629" s="77"/>
    </row>
    <row r="630" spans="1:19">
      <c r="A630" s="77"/>
      <c r="B630" s="77"/>
      <c r="C630" s="77"/>
      <c r="D630" s="77"/>
      <c r="E630" s="77"/>
      <c r="F630" s="77"/>
      <c r="G630" s="77"/>
      <c r="H630" s="77"/>
      <c r="I630" s="77"/>
      <c r="J630" s="77"/>
      <c r="K630" s="77"/>
      <c r="L630" s="77"/>
      <c r="M630" s="77"/>
      <c r="N630" s="58"/>
      <c r="Q630" s="77"/>
      <c r="R630" s="77"/>
      <c r="S630" s="77"/>
    </row>
    <row r="631" spans="1:19">
      <c r="A631" s="77"/>
      <c r="B631" s="77"/>
      <c r="C631" s="77"/>
      <c r="D631" s="77"/>
      <c r="E631" s="77"/>
      <c r="F631" s="77"/>
      <c r="G631" s="77"/>
      <c r="H631" s="77"/>
      <c r="I631" s="77"/>
      <c r="J631" s="77"/>
      <c r="K631" s="77"/>
      <c r="L631" s="77"/>
      <c r="M631" s="77"/>
      <c r="N631" s="58"/>
      <c r="Q631" s="77"/>
      <c r="R631" s="77"/>
      <c r="S631" s="77"/>
    </row>
    <row r="632" spans="1:19">
      <c r="A632" s="77"/>
      <c r="B632" s="77"/>
      <c r="C632" s="77"/>
      <c r="D632" s="77"/>
      <c r="E632" s="77"/>
      <c r="F632" s="77"/>
      <c r="G632" s="77"/>
      <c r="H632" s="77"/>
      <c r="I632" s="77"/>
      <c r="J632" s="77"/>
      <c r="K632" s="77"/>
      <c r="L632" s="77"/>
      <c r="M632" s="77"/>
      <c r="N632" s="58"/>
      <c r="Q632" s="77"/>
      <c r="R632" s="77"/>
      <c r="S632" s="77"/>
    </row>
    <row r="633" spans="1:19">
      <c r="A633" s="77"/>
      <c r="B633" s="77"/>
      <c r="C633" s="77"/>
      <c r="D633" s="77"/>
      <c r="E633" s="77"/>
      <c r="F633" s="77"/>
      <c r="G633" s="77"/>
      <c r="H633" s="77"/>
      <c r="I633" s="77"/>
      <c r="J633" s="77"/>
      <c r="K633" s="77"/>
      <c r="L633" s="77"/>
      <c r="M633" s="77"/>
      <c r="N633" s="58"/>
      <c r="Q633" s="77"/>
      <c r="R633" s="77"/>
      <c r="S633" s="77"/>
    </row>
    <row r="634" spans="1:19">
      <c r="A634" s="77"/>
      <c r="B634" s="77"/>
      <c r="C634" s="77"/>
      <c r="D634" s="77"/>
      <c r="E634" s="77"/>
      <c r="F634" s="77"/>
      <c r="G634" s="77"/>
      <c r="H634" s="77"/>
      <c r="I634" s="77"/>
      <c r="J634" s="77"/>
      <c r="K634" s="77"/>
      <c r="L634" s="77"/>
      <c r="M634" s="77"/>
      <c r="N634" s="58"/>
      <c r="Q634" s="77"/>
      <c r="R634" s="77"/>
      <c r="S634" s="77"/>
    </row>
    <row r="635" spans="1:19">
      <c r="A635" s="77"/>
      <c r="B635" s="77"/>
      <c r="C635" s="77"/>
      <c r="D635" s="77"/>
      <c r="E635" s="77"/>
      <c r="F635" s="77"/>
      <c r="G635" s="77"/>
      <c r="H635" s="77"/>
      <c r="I635" s="77"/>
      <c r="J635" s="77"/>
      <c r="K635" s="77"/>
      <c r="L635" s="77"/>
      <c r="M635" s="77"/>
      <c r="N635" s="58"/>
      <c r="Q635" s="77"/>
      <c r="R635" s="77"/>
      <c r="S635" s="77"/>
    </row>
    <row r="636" spans="1:19">
      <c r="A636" s="77"/>
      <c r="B636" s="77"/>
      <c r="C636" s="77"/>
      <c r="D636" s="77"/>
      <c r="E636" s="77"/>
      <c r="F636" s="77"/>
      <c r="G636" s="77"/>
      <c r="H636" s="77"/>
      <c r="I636" s="77"/>
      <c r="J636" s="77"/>
      <c r="K636" s="77"/>
      <c r="L636" s="77"/>
      <c r="M636" s="77"/>
      <c r="N636" s="58"/>
      <c r="Q636" s="77"/>
      <c r="R636" s="77"/>
      <c r="S636" s="77"/>
    </row>
    <row r="637" spans="1:19">
      <c r="A637" s="77"/>
      <c r="B637" s="77"/>
      <c r="C637" s="77"/>
      <c r="D637" s="77"/>
      <c r="E637" s="77"/>
      <c r="F637" s="77"/>
      <c r="G637" s="77"/>
      <c r="H637" s="77"/>
      <c r="I637" s="77"/>
      <c r="J637" s="77"/>
      <c r="K637" s="77"/>
      <c r="L637" s="77"/>
      <c r="M637" s="77"/>
      <c r="N637" s="58"/>
      <c r="Q637" s="77"/>
      <c r="R637" s="77"/>
      <c r="S637" s="77"/>
    </row>
    <row r="638" spans="1:19">
      <c r="A638" s="77"/>
      <c r="B638" s="77"/>
      <c r="C638" s="77"/>
      <c r="D638" s="77"/>
      <c r="E638" s="77"/>
      <c r="F638" s="77"/>
      <c r="G638" s="77"/>
      <c r="H638" s="77"/>
      <c r="I638" s="77"/>
      <c r="J638" s="77"/>
      <c r="K638" s="77"/>
      <c r="L638" s="77"/>
      <c r="M638" s="77"/>
      <c r="N638" s="58"/>
      <c r="Q638" s="77"/>
      <c r="R638" s="77"/>
      <c r="S638" s="77"/>
    </row>
    <row r="639" spans="1:19">
      <c r="A639" s="77"/>
      <c r="B639" s="77"/>
      <c r="C639" s="77"/>
      <c r="D639" s="77"/>
      <c r="E639" s="77"/>
      <c r="F639" s="77"/>
      <c r="G639" s="77"/>
      <c r="H639" s="77"/>
      <c r="I639" s="77"/>
      <c r="J639" s="77"/>
      <c r="K639" s="77"/>
      <c r="L639" s="77"/>
      <c r="M639" s="77"/>
      <c r="N639" s="58"/>
      <c r="Q639" s="77"/>
      <c r="R639" s="77"/>
      <c r="S639" s="77"/>
    </row>
    <row r="640" spans="1:19">
      <c r="A640" s="77"/>
      <c r="B640" s="77"/>
      <c r="C640" s="77"/>
      <c r="D640" s="77"/>
      <c r="E640" s="77"/>
      <c r="F640" s="77"/>
      <c r="G640" s="77"/>
      <c r="H640" s="77"/>
      <c r="I640" s="77"/>
      <c r="J640" s="77"/>
      <c r="K640" s="77"/>
      <c r="L640" s="77"/>
      <c r="M640" s="77"/>
      <c r="N640" s="58"/>
      <c r="Q640" s="77"/>
      <c r="R640" s="77"/>
      <c r="S640" s="77"/>
    </row>
    <row r="641" spans="1:19">
      <c r="A641" s="77"/>
      <c r="B641" s="77"/>
      <c r="C641" s="77"/>
      <c r="D641" s="77"/>
      <c r="E641" s="77"/>
      <c r="F641" s="77"/>
      <c r="G641" s="77"/>
      <c r="H641" s="77"/>
      <c r="I641" s="77"/>
      <c r="J641" s="77"/>
      <c r="K641" s="77"/>
      <c r="L641" s="77"/>
      <c r="M641" s="77"/>
      <c r="N641" s="58"/>
      <c r="Q641" s="77"/>
      <c r="R641" s="77"/>
      <c r="S641" s="77"/>
    </row>
    <row r="642" spans="1:19">
      <c r="A642" s="77"/>
      <c r="B642" s="77"/>
      <c r="C642" s="77"/>
      <c r="D642" s="77"/>
      <c r="E642" s="77"/>
      <c r="F642" s="77"/>
      <c r="G642" s="77"/>
      <c r="H642" s="77"/>
      <c r="I642" s="77"/>
      <c r="J642" s="77"/>
      <c r="K642" s="77"/>
      <c r="L642" s="77"/>
      <c r="M642" s="77"/>
      <c r="N642" s="58"/>
      <c r="Q642" s="77"/>
      <c r="R642" s="77"/>
      <c r="S642" s="77"/>
    </row>
    <row r="643" spans="1:19">
      <c r="A643" s="77"/>
      <c r="B643" s="77"/>
      <c r="C643" s="77"/>
      <c r="D643" s="77"/>
      <c r="E643" s="77"/>
      <c r="F643" s="77"/>
      <c r="G643" s="77"/>
      <c r="H643" s="77"/>
      <c r="I643" s="77"/>
      <c r="J643" s="77"/>
      <c r="K643" s="77"/>
      <c r="L643" s="77"/>
      <c r="M643" s="77"/>
      <c r="N643" s="58"/>
      <c r="Q643" s="77"/>
      <c r="R643" s="77"/>
      <c r="S643" s="77"/>
    </row>
    <row r="644" spans="1:19">
      <c r="A644" s="77"/>
      <c r="B644" s="77"/>
      <c r="C644" s="77"/>
      <c r="D644" s="77"/>
      <c r="E644" s="77"/>
      <c r="F644" s="77"/>
      <c r="G644" s="77"/>
      <c r="H644" s="77"/>
      <c r="I644" s="77"/>
      <c r="J644" s="77"/>
      <c r="K644" s="77"/>
      <c r="L644" s="77"/>
      <c r="M644" s="77"/>
      <c r="N644" s="58"/>
      <c r="Q644" s="77"/>
      <c r="R644" s="77"/>
      <c r="S644" s="77"/>
    </row>
    <row r="645" spans="1:19">
      <c r="A645" s="77"/>
      <c r="B645" s="77"/>
      <c r="C645" s="77"/>
      <c r="D645" s="77"/>
      <c r="E645" s="77"/>
      <c r="F645" s="77"/>
      <c r="G645" s="77"/>
      <c r="H645" s="77"/>
      <c r="I645" s="77"/>
      <c r="J645" s="77"/>
      <c r="K645" s="77"/>
      <c r="L645" s="77"/>
      <c r="M645" s="77"/>
      <c r="N645" s="58"/>
      <c r="Q645" s="77"/>
      <c r="R645" s="77"/>
      <c r="S645" s="77"/>
    </row>
    <row r="646" spans="1:19">
      <c r="A646" s="77"/>
      <c r="B646" s="77"/>
      <c r="C646" s="77"/>
      <c r="D646" s="77"/>
      <c r="E646" s="77"/>
      <c r="F646" s="77"/>
      <c r="G646" s="77"/>
      <c r="H646" s="77"/>
      <c r="I646" s="77"/>
      <c r="J646" s="77"/>
      <c r="K646" s="77"/>
      <c r="L646" s="77"/>
      <c r="M646" s="77"/>
      <c r="N646" s="58"/>
      <c r="Q646" s="77"/>
      <c r="R646" s="77"/>
      <c r="S646" s="77"/>
    </row>
    <row r="647" spans="1:19">
      <c r="A647" s="77"/>
      <c r="B647" s="77"/>
      <c r="C647" s="77"/>
      <c r="D647" s="77"/>
      <c r="E647" s="77"/>
      <c r="F647" s="77"/>
      <c r="G647" s="77"/>
      <c r="H647" s="77"/>
      <c r="I647" s="77"/>
      <c r="J647" s="77"/>
      <c r="K647" s="77"/>
      <c r="L647" s="77"/>
      <c r="M647" s="77"/>
      <c r="N647" s="58"/>
      <c r="Q647" s="77"/>
      <c r="R647" s="77"/>
      <c r="S647" s="77"/>
    </row>
    <row r="648" spans="1:19">
      <c r="A648" s="77"/>
      <c r="B648" s="77"/>
      <c r="C648" s="77"/>
      <c r="D648" s="77"/>
      <c r="E648" s="77"/>
      <c r="F648" s="77"/>
      <c r="G648" s="77"/>
      <c r="H648" s="77"/>
      <c r="I648" s="77"/>
      <c r="J648" s="77"/>
      <c r="K648" s="77"/>
      <c r="L648" s="77"/>
      <c r="M648" s="77"/>
      <c r="N648" s="58"/>
      <c r="Q648" s="77"/>
      <c r="R648" s="77"/>
      <c r="S648" s="77"/>
    </row>
    <row r="649" spans="1:19">
      <c r="A649" s="77"/>
      <c r="B649" s="77"/>
      <c r="C649" s="77"/>
      <c r="D649" s="77"/>
      <c r="E649" s="77"/>
      <c r="F649" s="77"/>
      <c r="G649" s="77"/>
      <c r="H649" s="77"/>
      <c r="I649" s="77"/>
      <c r="J649" s="77"/>
      <c r="K649" s="77"/>
      <c r="L649" s="77"/>
      <c r="M649" s="77"/>
      <c r="N649" s="58"/>
      <c r="Q649" s="77"/>
      <c r="R649" s="77"/>
      <c r="S649" s="77"/>
    </row>
    <row r="650" spans="1:19">
      <c r="A650" s="77"/>
      <c r="B650" s="77"/>
      <c r="C650" s="77"/>
      <c r="D650" s="77"/>
      <c r="E650" s="77"/>
      <c r="F650" s="77"/>
      <c r="G650" s="77"/>
      <c r="H650" s="77"/>
      <c r="I650" s="77"/>
      <c r="J650" s="77"/>
      <c r="K650" s="77"/>
      <c r="L650" s="77"/>
      <c r="M650" s="77"/>
      <c r="N650" s="58"/>
      <c r="P650" s="77"/>
      <c r="Q650" s="77"/>
      <c r="R650" s="77"/>
      <c r="S650" s="77"/>
    </row>
    <row r="651" spans="1:19">
      <c r="A651" s="77"/>
      <c r="B651" s="77"/>
      <c r="C651" s="77"/>
      <c r="D651" s="77"/>
      <c r="E651" s="77"/>
      <c r="F651" s="77"/>
      <c r="G651" s="77"/>
      <c r="H651" s="77"/>
      <c r="I651" s="77"/>
      <c r="J651" s="77"/>
      <c r="K651" s="77"/>
      <c r="L651" s="77"/>
      <c r="M651" s="77"/>
      <c r="N651" s="58"/>
      <c r="P651" s="77"/>
      <c r="Q651" s="77"/>
      <c r="R651" s="77"/>
      <c r="S651" s="77"/>
    </row>
    <row r="652" spans="1:19">
      <c r="A652" s="77"/>
      <c r="B652" s="77"/>
      <c r="C652" s="77"/>
      <c r="D652" s="77"/>
      <c r="E652" s="77"/>
      <c r="F652" s="77"/>
      <c r="G652" s="77"/>
      <c r="H652" s="77"/>
      <c r="I652" s="77"/>
      <c r="J652" s="77"/>
      <c r="K652" s="77"/>
      <c r="L652" s="77"/>
      <c r="M652" s="77"/>
      <c r="N652" s="58"/>
      <c r="P652" s="77"/>
      <c r="Q652" s="77"/>
      <c r="R652" s="77"/>
      <c r="S652" s="77"/>
    </row>
    <row r="653" spans="1:19">
      <c r="A653" s="77"/>
      <c r="B653" s="77"/>
      <c r="C653" s="77"/>
      <c r="D653" s="77"/>
      <c r="E653" s="77"/>
      <c r="F653" s="77"/>
      <c r="G653" s="77"/>
      <c r="H653" s="77"/>
      <c r="I653" s="77"/>
      <c r="J653" s="77"/>
      <c r="K653" s="77"/>
      <c r="L653" s="77"/>
      <c r="M653" s="77"/>
      <c r="N653" s="58"/>
      <c r="P653" s="77"/>
      <c r="Q653" s="77"/>
      <c r="R653" s="77"/>
      <c r="S653" s="77"/>
    </row>
    <row r="654" spans="1:19">
      <c r="A654" s="77"/>
      <c r="B654" s="77"/>
      <c r="C654" s="77"/>
      <c r="D654" s="77"/>
      <c r="E654" s="77"/>
      <c r="F654" s="77"/>
      <c r="G654" s="77"/>
      <c r="H654" s="77"/>
      <c r="I654" s="77"/>
      <c r="J654" s="77"/>
      <c r="K654" s="77"/>
      <c r="L654" s="77"/>
      <c r="M654" s="77"/>
      <c r="N654" s="58"/>
      <c r="P654" s="77"/>
      <c r="Q654" s="77"/>
      <c r="R654" s="77"/>
      <c r="S654" s="77"/>
    </row>
    <row r="655" spans="1:19">
      <c r="A655" s="77"/>
      <c r="B655" s="77"/>
      <c r="C655" s="77"/>
      <c r="D655" s="77"/>
      <c r="E655" s="77"/>
      <c r="F655" s="77"/>
      <c r="G655" s="77"/>
      <c r="H655" s="77"/>
      <c r="I655" s="77"/>
      <c r="J655" s="77"/>
      <c r="K655" s="77"/>
      <c r="L655" s="77"/>
      <c r="M655" s="77"/>
      <c r="N655" s="58"/>
      <c r="P655" s="77"/>
      <c r="Q655" s="77"/>
      <c r="R655" s="77"/>
      <c r="S655" s="77"/>
    </row>
    <row r="656" spans="1:19">
      <c r="A656" s="77"/>
      <c r="B656" s="77"/>
      <c r="C656" s="77"/>
      <c r="D656" s="77"/>
      <c r="E656" s="77"/>
      <c r="F656" s="77"/>
      <c r="G656" s="77"/>
      <c r="H656" s="77"/>
      <c r="I656" s="77"/>
      <c r="J656" s="77"/>
      <c r="K656" s="77"/>
      <c r="L656" s="77"/>
      <c r="M656" s="77"/>
      <c r="N656" s="58"/>
      <c r="P656" s="77"/>
      <c r="Q656" s="77"/>
      <c r="R656" s="77"/>
      <c r="S656" s="77"/>
    </row>
    <row r="657" spans="1:19">
      <c r="A657" s="77"/>
      <c r="B657" s="77"/>
      <c r="C657" s="77"/>
      <c r="D657" s="77"/>
      <c r="E657" s="77"/>
      <c r="F657" s="77"/>
      <c r="G657" s="77"/>
      <c r="H657" s="77"/>
      <c r="I657" s="77"/>
      <c r="J657" s="77"/>
      <c r="K657" s="77"/>
      <c r="L657" s="77"/>
      <c r="M657" s="77"/>
      <c r="N657" s="58"/>
      <c r="P657" s="77"/>
      <c r="Q657" s="77"/>
      <c r="R657" s="77"/>
      <c r="S657" s="77"/>
    </row>
    <row r="658" spans="1:19">
      <c r="A658" s="77"/>
      <c r="B658" s="77"/>
      <c r="C658" s="77"/>
      <c r="D658" s="77"/>
      <c r="E658" s="77"/>
      <c r="F658" s="77"/>
      <c r="G658" s="77"/>
      <c r="H658" s="77"/>
      <c r="I658" s="77"/>
      <c r="J658" s="77"/>
      <c r="K658" s="77"/>
      <c r="L658" s="77"/>
      <c r="M658" s="77"/>
      <c r="N658" s="58"/>
      <c r="P658" s="77"/>
      <c r="Q658" s="77"/>
      <c r="R658" s="77"/>
      <c r="S658" s="77"/>
    </row>
    <row r="659" spans="1:19">
      <c r="A659" s="77"/>
      <c r="B659" s="77"/>
      <c r="C659" s="77"/>
      <c r="D659" s="77"/>
      <c r="E659" s="77"/>
      <c r="F659" s="77"/>
      <c r="G659" s="77"/>
      <c r="H659" s="77"/>
      <c r="I659" s="77"/>
      <c r="J659" s="77"/>
      <c r="K659" s="77"/>
      <c r="L659" s="77"/>
      <c r="M659" s="77"/>
      <c r="N659" s="58"/>
      <c r="P659" s="77"/>
      <c r="Q659" s="77"/>
      <c r="R659" s="77"/>
      <c r="S659" s="77"/>
    </row>
    <row r="660" spans="1:19">
      <c r="A660" s="77"/>
      <c r="B660" s="77"/>
      <c r="C660" s="77"/>
      <c r="D660" s="77"/>
      <c r="E660" s="77"/>
      <c r="F660" s="77"/>
      <c r="G660" s="77"/>
      <c r="H660" s="77"/>
      <c r="I660" s="77"/>
      <c r="J660" s="77"/>
      <c r="K660" s="77"/>
      <c r="L660" s="77"/>
      <c r="M660" s="77"/>
      <c r="N660" s="58"/>
      <c r="P660" s="77"/>
      <c r="Q660" s="77"/>
      <c r="R660" s="77"/>
      <c r="S660" s="77"/>
    </row>
    <row r="661" spans="1:19">
      <c r="A661" s="77"/>
      <c r="B661" s="77"/>
      <c r="C661" s="77"/>
      <c r="D661" s="77"/>
      <c r="E661" s="77"/>
      <c r="F661" s="77"/>
      <c r="G661" s="77"/>
      <c r="H661" s="77"/>
      <c r="I661" s="77"/>
      <c r="J661" s="77"/>
      <c r="K661" s="77"/>
      <c r="L661" s="77"/>
      <c r="M661" s="77"/>
      <c r="N661" s="58"/>
      <c r="P661" s="77"/>
      <c r="Q661" s="77"/>
      <c r="R661" s="77"/>
      <c r="S661" s="77"/>
    </row>
    <row r="662" spans="1:19">
      <c r="A662" s="77"/>
      <c r="B662" s="77"/>
      <c r="C662" s="77"/>
      <c r="D662" s="77"/>
      <c r="E662" s="77"/>
      <c r="F662" s="77"/>
      <c r="G662" s="77"/>
      <c r="H662" s="77"/>
      <c r="I662" s="77"/>
      <c r="J662" s="77"/>
      <c r="K662" s="77"/>
      <c r="L662" s="77"/>
      <c r="M662" s="77"/>
      <c r="N662" s="58"/>
      <c r="P662" s="77"/>
      <c r="Q662" s="77"/>
      <c r="R662" s="77"/>
      <c r="S662" s="77"/>
    </row>
    <row r="663" spans="1:19">
      <c r="A663" s="77"/>
      <c r="B663" s="77"/>
      <c r="C663" s="77"/>
      <c r="D663" s="77"/>
      <c r="E663" s="77"/>
      <c r="F663" s="77"/>
      <c r="G663" s="77"/>
      <c r="H663" s="77"/>
      <c r="I663" s="77"/>
      <c r="J663" s="77"/>
      <c r="K663" s="77"/>
      <c r="L663" s="77"/>
      <c r="M663" s="77"/>
      <c r="N663" s="58"/>
      <c r="P663" s="77"/>
      <c r="Q663" s="77"/>
      <c r="R663" s="77"/>
      <c r="S663" s="77"/>
    </row>
    <row r="664" spans="1:19">
      <c r="A664" s="77"/>
      <c r="B664" s="77"/>
      <c r="C664" s="77"/>
      <c r="D664" s="77"/>
      <c r="E664" s="77"/>
      <c r="F664" s="77"/>
      <c r="G664" s="77"/>
      <c r="H664" s="77"/>
      <c r="I664" s="77"/>
      <c r="J664" s="77"/>
      <c r="K664" s="77"/>
      <c r="L664" s="77"/>
      <c r="M664" s="77"/>
      <c r="N664" s="58"/>
      <c r="P664" s="77"/>
      <c r="Q664" s="77"/>
      <c r="R664" s="77"/>
      <c r="S664" s="77"/>
    </row>
    <row r="665" spans="1:19">
      <c r="A665" s="77"/>
      <c r="B665" s="77"/>
      <c r="C665" s="77"/>
      <c r="D665" s="77"/>
      <c r="E665" s="77"/>
      <c r="F665" s="77"/>
      <c r="G665" s="77"/>
      <c r="H665" s="77"/>
      <c r="I665" s="77"/>
      <c r="J665" s="77"/>
      <c r="K665" s="77"/>
      <c r="L665" s="77"/>
      <c r="M665" s="77"/>
      <c r="N665" s="58"/>
      <c r="P665"/>
    </row>
    <row r="666" spans="1:19">
      <c r="A666" s="77"/>
      <c r="B666" s="77"/>
      <c r="C666" s="77"/>
      <c r="D666" s="77"/>
      <c r="E666" s="77"/>
      <c r="F666" s="77"/>
      <c r="G666" s="77"/>
      <c r="H666" s="77"/>
      <c r="I666" s="77"/>
      <c r="J666" s="77"/>
      <c r="K666" s="77"/>
      <c r="L666" s="77"/>
      <c r="M666" s="77"/>
      <c r="N666" s="58"/>
      <c r="P666"/>
    </row>
    <row r="667" spans="1:19">
      <c r="A667" s="77"/>
      <c r="B667" s="77"/>
      <c r="C667" s="77"/>
      <c r="D667" s="77"/>
      <c r="E667" s="77"/>
      <c r="F667" s="77"/>
      <c r="G667" s="77"/>
      <c r="H667" s="77"/>
      <c r="I667" s="77"/>
      <c r="J667" s="77"/>
      <c r="K667" s="77"/>
      <c r="L667" s="77"/>
      <c r="M667" s="77"/>
      <c r="N667" s="58"/>
      <c r="P667"/>
    </row>
    <row r="668" spans="1:19">
      <c r="A668" s="77"/>
      <c r="B668" s="77"/>
      <c r="C668" s="77"/>
      <c r="D668" s="77"/>
      <c r="E668" s="77"/>
      <c r="F668" s="77"/>
      <c r="G668" s="77"/>
      <c r="H668" s="77"/>
      <c r="I668" s="77"/>
      <c r="J668" s="77"/>
      <c r="K668" s="77"/>
      <c r="L668" s="77"/>
      <c r="M668" s="77"/>
      <c r="N668" s="58"/>
      <c r="P668"/>
    </row>
    <row r="669" spans="1:19">
      <c r="A669" s="77"/>
      <c r="B669" s="77"/>
      <c r="C669" s="77"/>
      <c r="D669" s="77"/>
      <c r="E669" s="77"/>
      <c r="F669" s="77"/>
      <c r="G669" s="77"/>
      <c r="H669" s="77"/>
      <c r="I669" s="77"/>
      <c r="J669" s="77"/>
      <c r="K669" s="77"/>
      <c r="L669" s="77"/>
      <c r="M669" s="77"/>
      <c r="N669" s="58"/>
      <c r="P669"/>
    </row>
    <row r="670" spans="1:19">
      <c r="A670" s="77"/>
      <c r="B670" s="77"/>
      <c r="C670" s="77"/>
      <c r="D670" s="77"/>
      <c r="E670" s="77"/>
      <c r="F670" s="77"/>
      <c r="G670" s="77"/>
      <c r="H670" s="77"/>
      <c r="I670" s="77"/>
      <c r="J670" s="77"/>
      <c r="K670" s="77"/>
      <c r="L670" s="77"/>
      <c r="M670" s="77"/>
      <c r="N670" s="58"/>
      <c r="P670"/>
    </row>
    <row r="671" spans="1:19">
      <c r="A671" s="77"/>
      <c r="B671" s="77"/>
      <c r="C671" s="77"/>
      <c r="D671" s="77"/>
      <c r="E671" s="77"/>
      <c r="F671" s="77"/>
      <c r="G671" s="77"/>
      <c r="H671" s="77"/>
      <c r="I671" s="77"/>
      <c r="J671" s="77"/>
      <c r="K671" s="77"/>
      <c r="L671" s="77"/>
      <c r="M671" s="77"/>
      <c r="N671" s="58"/>
      <c r="P671"/>
    </row>
    <row r="672" spans="1:19">
      <c r="A672" s="77"/>
      <c r="B672" s="77"/>
      <c r="C672" s="77"/>
      <c r="D672" s="77"/>
      <c r="E672" s="77"/>
      <c r="F672" s="77"/>
      <c r="G672" s="77"/>
      <c r="H672" s="77"/>
      <c r="I672" s="77"/>
      <c r="J672" s="77"/>
      <c r="K672" s="77"/>
      <c r="L672" s="77"/>
      <c r="M672" s="77"/>
      <c r="N672" s="58"/>
      <c r="P672"/>
    </row>
    <row r="673" spans="1:16">
      <c r="A673" s="77"/>
      <c r="B673" s="77"/>
      <c r="C673" s="77"/>
      <c r="D673" s="77"/>
      <c r="E673" s="77"/>
      <c r="F673" s="77"/>
      <c r="G673" s="77"/>
      <c r="H673" s="77"/>
      <c r="I673" s="77"/>
      <c r="J673" s="77"/>
      <c r="K673" s="77"/>
      <c r="L673" s="77"/>
      <c r="M673" s="77"/>
      <c r="N673" s="58"/>
      <c r="P673"/>
    </row>
    <row r="674" spans="1:16">
      <c r="A674" s="77"/>
      <c r="B674" s="77"/>
      <c r="C674" s="77"/>
      <c r="D674" s="77"/>
      <c r="E674" s="77"/>
      <c r="F674" s="77"/>
      <c r="G674" s="77"/>
      <c r="H674" s="77"/>
      <c r="I674" s="77"/>
      <c r="J674" s="77"/>
      <c r="K674" s="77"/>
      <c r="L674" s="77"/>
      <c r="M674" s="77"/>
      <c r="N674" s="58"/>
      <c r="P674"/>
    </row>
    <row r="675" spans="1:16">
      <c r="A675" s="77"/>
      <c r="B675" s="77"/>
      <c r="C675" s="77"/>
      <c r="D675" s="77"/>
      <c r="E675" s="77"/>
      <c r="F675" s="77"/>
      <c r="G675" s="77"/>
      <c r="H675" s="77"/>
      <c r="I675" s="77"/>
      <c r="J675" s="77"/>
      <c r="K675" s="77"/>
      <c r="L675" s="77"/>
      <c r="M675" s="77"/>
      <c r="N675" s="58"/>
      <c r="P675"/>
    </row>
    <row r="676" spans="1:16">
      <c r="A676" s="77"/>
      <c r="B676" s="77"/>
      <c r="C676" s="77"/>
      <c r="D676" s="77"/>
      <c r="E676" s="77"/>
      <c r="F676" s="77"/>
      <c r="G676" s="77"/>
      <c r="H676" s="77"/>
      <c r="I676" s="77"/>
      <c r="J676" s="77"/>
      <c r="K676" s="77"/>
      <c r="L676" s="77"/>
      <c r="M676" s="77"/>
      <c r="N676" s="58"/>
      <c r="P676"/>
    </row>
    <row r="677" spans="1:16">
      <c r="A677" s="77"/>
      <c r="B677" s="77"/>
      <c r="C677" s="77"/>
      <c r="D677" s="77"/>
      <c r="E677" s="77"/>
      <c r="F677" s="77"/>
      <c r="G677" s="77"/>
      <c r="H677" s="77"/>
      <c r="I677" s="77"/>
      <c r="J677" s="77"/>
      <c r="K677" s="77"/>
      <c r="L677" s="77"/>
      <c r="M677" s="77"/>
      <c r="N677" s="58"/>
      <c r="P677"/>
    </row>
    <row r="678" spans="1:16">
      <c r="A678" s="77"/>
      <c r="B678" s="77"/>
      <c r="C678" s="77"/>
      <c r="D678" s="77"/>
      <c r="E678" s="77"/>
      <c r="F678" s="77"/>
      <c r="G678" s="77"/>
      <c r="H678" s="77"/>
      <c r="I678" s="77"/>
      <c r="J678" s="77"/>
      <c r="K678" s="77"/>
      <c r="L678" s="77"/>
      <c r="M678" s="77"/>
      <c r="N678" s="58"/>
      <c r="P678"/>
    </row>
    <row r="679" spans="1:16">
      <c r="A679" s="77"/>
      <c r="B679" s="77"/>
      <c r="C679" s="77"/>
      <c r="D679" s="77"/>
      <c r="E679" s="77"/>
      <c r="F679" s="77"/>
      <c r="G679" s="77"/>
      <c r="H679" s="77"/>
      <c r="I679" s="77"/>
      <c r="J679" s="77"/>
      <c r="K679" s="77"/>
      <c r="L679" s="77"/>
      <c r="M679" s="77"/>
      <c r="N679" s="58"/>
      <c r="P679"/>
    </row>
    <row r="680" spans="1:16">
      <c r="A680" s="77"/>
      <c r="B680" s="77"/>
      <c r="C680" s="77"/>
      <c r="D680" s="77"/>
      <c r="E680" s="77"/>
      <c r="F680" s="77"/>
      <c r="G680" s="77"/>
      <c r="H680" s="77"/>
      <c r="I680" s="77"/>
      <c r="J680" s="77"/>
      <c r="K680" s="77"/>
      <c r="L680" s="77"/>
      <c r="M680" s="77"/>
      <c r="N680" s="58"/>
      <c r="P680"/>
    </row>
    <row r="681" spans="1:16">
      <c r="A681" s="77"/>
      <c r="B681" s="77"/>
      <c r="C681" s="77"/>
      <c r="D681" s="77"/>
      <c r="E681" s="77"/>
      <c r="F681" s="77"/>
      <c r="G681" s="77"/>
      <c r="H681" s="77"/>
      <c r="I681" s="77"/>
      <c r="J681" s="77"/>
      <c r="K681" s="77"/>
      <c r="L681" s="77"/>
      <c r="M681" s="77"/>
      <c r="N681" s="58"/>
      <c r="P681"/>
    </row>
    <row r="682" spans="1:16">
      <c r="A682" s="77"/>
      <c r="B682" s="77"/>
      <c r="C682" s="77"/>
      <c r="D682" s="77"/>
      <c r="E682" s="77"/>
      <c r="F682" s="77"/>
      <c r="G682" s="77"/>
      <c r="H682" s="77"/>
      <c r="I682" s="77"/>
      <c r="J682" s="77"/>
      <c r="K682" s="77"/>
      <c r="L682" s="77"/>
      <c r="M682" s="77"/>
      <c r="N682" s="58"/>
      <c r="P682"/>
    </row>
    <row r="683" spans="1:16">
      <c r="A683" s="77"/>
      <c r="B683" s="77"/>
      <c r="C683" s="77"/>
      <c r="D683" s="77"/>
      <c r="E683" s="77"/>
      <c r="F683" s="77"/>
      <c r="G683" s="77"/>
      <c r="H683" s="77"/>
      <c r="I683" s="77"/>
      <c r="J683" s="77"/>
      <c r="K683" s="77"/>
      <c r="L683" s="77"/>
      <c r="M683" s="77"/>
      <c r="N683" s="58"/>
      <c r="P683"/>
    </row>
    <row r="684" spans="1:16">
      <c r="A684" s="77"/>
      <c r="B684" s="77"/>
      <c r="C684" s="77"/>
      <c r="D684" s="77"/>
      <c r="E684" s="77"/>
      <c r="F684" s="77"/>
      <c r="G684" s="77"/>
      <c r="H684" s="77"/>
      <c r="I684" s="77"/>
      <c r="J684" s="77"/>
      <c r="K684" s="77"/>
      <c r="L684" s="77"/>
      <c r="M684" s="77"/>
      <c r="N684" s="58"/>
      <c r="P684"/>
    </row>
    <row r="685" spans="1:16">
      <c r="A685" s="77"/>
      <c r="B685" s="77"/>
      <c r="C685" s="77"/>
      <c r="D685" s="77"/>
      <c r="E685" s="77"/>
      <c r="F685" s="77"/>
      <c r="G685" s="77"/>
      <c r="H685" s="77"/>
      <c r="I685" s="77"/>
      <c r="J685" s="77"/>
      <c r="K685" s="77"/>
      <c r="L685" s="77"/>
      <c r="M685" s="77"/>
      <c r="N685" s="58"/>
      <c r="P685"/>
    </row>
    <row r="686" spans="1:16">
      <c r="A686" s="77"/>
      <c r="B686" s="77"/>
      <c r="C686" s="77"/>
      <c r="D686" s="77"/>
      <c r="E686" s="77"/>
      <c r="F686" s="77"/>
      <c r="G686" s="77"/>
      <c r="H686" s="77"/>
      <c r="I686" s="77"/>
      <c r="J686" s="77"/>
      <c r="K686" s="77"/>
      <c r="L686" s="77"/>
      <c r="M686" s="77"/>
      <c r="N686" s="58"/>
      <c r="P686"/>
    </row>
    <row r="687" spans="1:16">
      <c r="A687" s="77"/>
      <c r="B687" s="77"/>
      <c r="C687" s="77"/>
      <c r="D687" s="77"/>
      <c r="E687" s="77"/>
      <c r="F687" s="77"/>
      <c r="G687" s="77"/>
      <c r="H687" s="77"/>
      <c r="I687" s="77"/>
      <c r="J687" s="77"/>
      <c r="K687" s="77"/>
      <c r="L687" s="77"/>
      <c r="M687" s="77"/>
      <c r="N687" s="58"/>
      <c r="P687"/>
    </row>
    <row r="688" spans="1:16">
      <c r="A688" s="77"/>
      <c r="B688" s="77"/>
      <c r="C688" s="77"/>
      <c r="D688" s="77"/>
      <c r="E688" s="77"/>
      <c r="F688" s="77"/>
      <c r="G688" s="77"/>
      <c r="H688" s="77"/>
      <c r="I688" s="77"/>
      <c r="J688" s="77"/>
      <c r="K688" s="77"/>
      <c r="L688" s="77"/>
      <c r="M688" s="77"/>
      <c r="N688" s="58"/>
      <c r="P688"/>
    </row>
    <row r="689" spans="1:16">
      <c r="A689" s="77"/>
      <c r="B689" s="77"/>
      <c r="C689" s="77"/>
      <c r="D689" s="77"/>
      <c r="E689" s="77"/>
      <c r="F689" s="77"/>
      <c r="G689" s="77"/>
      <c r="H689" s="77"/>
      <c r="I689" s="77"/>
      <c r="J689" s="77"/>
      <c r="K689" s="77"/>
      <c r="L689" s="77"/>
      <c r="M689" s="77"/>
      <c r="N689" s="58"/>
      <c r="P689"/>
    </row>
    <row r="690" spans="1:16">
      <c r="A690" s="77"/>
      <c r="B690" s="77"/>
      <c r="C690" s="77"/>
      <c r="D690" s="77"/>
      <c r="E690" s="77"/>
      <c r="F690" s="77"/>
      <c r="G690" s="77"/>
      <c r="H690" s="77"/>
      <c r="I690" s="77"/>
      <c r="J690" s="77"/>
      <c r="K690" s="77"/>
      <c r="L690" s="77"/>
      <c r="M690" s="77"/>
      <c r="N690" s="58"/>
      <c r="P690"/>
    </row>
    <row r="691" spans="1:16">
      <c r="A691" s="77"/>
      <c r="B691" s="77"/>
      <c r="C691" s="77"/>
      <c r="D691" s="77"/>
      <c r="E691" s="77"/>
      <c r="F691" s="77"/>
      <c r="G691" s="77"/>
      <c r="H691" s="77"/>
      <c r="I691" s="77"/>
      <c r="J691" s="77"/>
      <c r="K691" s="77"/>
      <c r="L691" s="77"/>
      <c r="M691" s="77"/>
      <c r="N691" s="58"/>
      <c r="P691"/>
    </row>
    <row r="692" spans="1:16">
      <c r="A692" s="77"/>
      <c r="B692" s="77"/>
      <c r="C692" s="77"/>
      <c r="D692" s="77"/>
      <c r="E692" s="77"/>
      <c r="F692" s="77"/>
      <c r="G692" s="77"/>
      <c r="H692" s="77"/>
      <c r="I692" s="77"/>
      <c r="J692" s="77"/>
      <c r="K692" s="77"/>
      <c r="L692" s="77"/>
      <c r="M692" s="77"/>
      <c r="N692" s="58"/>
      <c r="P692"/>
    </row>
    <row r="693" spans="1:16">
      <c r="A693" s="77"/>
      <c r="B693" s="77"/>
      <c r="C693" s="77"/>
      <c r="D693" s="77"/>
      <c r="E693" s="77"/>
      <c r="F693" s="77"/>
      <c r="G693" s="77"/>
      <c r="H693" s="77"/>
      <c r="I693" s="77"/>
      <c r="J693" s="77"/>
      <c r="K693" s="77"/>
      <c r="L693" s="77"/>
      <c r="M693" s="77"/>
      <c r="N693" s="58"/>
      <c r="P693"/>
    </row>
    <row r="694" spans="1:16">
      <c r="A694" s="77"/>
      <c r="B694" s="77"/>
      <c r="C694" s="77"/>
      <c r="D694" s="77"/>
      <c r="E694" s="77"/>
      <c r="F694" s="77"/>
      <c r="G694" s="77"/>
      <c r="H694" s="77"/>
      <c r="I694" s="77"/>
      <c r="J694" s="77"/>
      <c r="K694" s="77"/>
      <c r="L694" s="77"/>
      <c r="M694" s="77"/>
      <c r="N694" s="58"/>
      <c r="P694"/>
    </row>
    <row r="695" spans="1:16">
      <c r="A695" s="77"/>
      <c r="B695" s="77"/>
      <c r="C695" s="77"/>
      <c r="D695" s="77"/>
      <c r="E695" s="77"/>
      <c r="F695" s="77"/>
      <c r="G695" s="77"/>
      <c r="H695" s="77"/>
      <c r="I695" s="77"/>
      <c r="J695" s="77"/>
      <c r="K695" s="77"/>
      <c r="L695" s="77"/>
      <c r="M695" s="77"/>
      <c r="N695" s="58"/>
      <c r="P695"/>
    </row>
    <row r="696" spans="1:16">
      <c r="A696" s="77"/>
      <c r="B696" s="77"/>
      <c r="C696" s="77"/>
      <c r="D696" s="77"/>
      <c r="E696" s="77"/>
      <c r="F696" s="77"/>
      <c r="G696" s="77"/>
      <c r="H696" s="77"/>
      <c r="I696" s="77"/>
      <c r="J696" s="77"/>
      <c r="K696" s="77"/>
      <c r="L696" s="77"/>
      <c r="M696" s="77"/>
      <c r="N696" s="58"/>
      <c r="P696"/>
    </row>
    <row r="697" spans="1:16">
      <c r="A697" s="77"/>
      <c r="B697" s="77"/>
      <c r="C697" s="77"/>
      <c r="D697" s="77"/>
      <c r="E697" s="77"/>
      <c r="F697" s="77"/>
      <c r="G697" s="77"/>
      <c r="H697" s="77"/>
      <c r="I697" s="77"/>
      <c r="J697" s="77"/>
      <c r="K697" s="77"/>
      <c r="L697" s="77"/>
      <c r="M697" s="77"/>
      <c r="N697" s="58"/>
      <c r="P697"/>
    </row>
    <row r="698" spans="1:16">
      <c r="A698" s="77"/>
      <c r="B698" s="77"/>
      <c r="C698" s="77"/>
      <c r="D698" s="77"/>
      <c r="E698" s="77"/>
      <c r="F698" s="77"/>
      <c r="G698" s="77"/>
      <c r="H698" s="77"/>
      <c r="I698" s="77"/>
      <c r="J698" s="77"/>
      <c r="K698" s="77"/>
      <c r="L698" s="77"/>
      <c r="M698" s="77"/>
      <c r="N698" s="58"/>
      <c r="P698"/>
    </row>
    <row r="699" spans="1:16">
      <c r="A699" s="77"/>
      <c r="B699" s="77"/>
      <c r="C699" s="77"/>
      <c r="D699" s="77"/>
      <c r="E699" s="77"/>
      <c r="F699" s="77"/>
      <c r="G699" s="77"/>
      <c r="H699" s="77"/>
      <c r="I699" s="77"/>
      <c r="J699" s="77"/>
      <c r="K699" s="77"/>
      <c r="L699" s="77"/>
      <c r="M699" s="77"/>
      <c r="N699" s="58"/>
      <c r="P699"/>
    </row>
    <row r="700" spans="1:16">
      <c r="A700" s="77"/>
      <c r="B700" s="77"/>
      <c r="C700" s="77"/>
      <c r="D700" s="77"/>
      <c r="E700" s="77"/>
      <c r="F700" s="77"/>
      <c r="G700" s="77"/>
      <c r="H700" s="77"/>
      <c r="I700" s="77"/>
      <c r="J700" s="77"/>
      <c r="K700" s="77"/>
      <c r="L700" s="77"/>
      <c r="M700" s="77"/>
      <c r="N700" s="58"/>
      <c r="P700"/>
    </row>
    <row r="701" spans="1:16">
      <c r="A701" s="77"/>
      <c r="B701" s="77"/>
      <c r="C701" s="77"/>
      <c r="D701" s="77"/>
      <c r="E701" s="77"/>
      <c r="F701" s="77"/>
      <c r="G701" s="77"/>
      <c r="H701" s="77"/>
      <c r="I701" s="77"/>
      <c r="J701" s="77"/>
      <c r="K701" s="77"/>
      <c r="L701" s="77"/>
      <c r="M701" s="77"/>
      <c r="N701" s="58"/>
      <c r="P701"/>
    </row>
    <row r="702" spans="1:16">
      <c r="A702" s="77"/>
      <c r="B702" s="77"/>
      <c r="C702" s="77"/>
      <c r="D702" s="77"/>
      <c r="E702" s="77"/>
      <c r="F702" s="77"/>
      <c r="G702" s="77"/>
      <c r="H702" s="77"/>
      <c r="I702" s="77"/>
      <c r="J702" s="77"/>
      <c r="K702" s="77"/>
      <c r="L702" s="77"/>
      <c r="M702" s="77"/>
      <c r="N702" s="58"/>
      <c r="P702"/>
    </row>
    <row r="703" spans="1:16">
      <c r="A703" s="77"/>
      <c r="B703" s="77"/>
      <c r="C703" s="77"/>
      <c r="D703" s="77"/>
      <c r="E703" s="77"/>
      <c r="F703" s="77"/>
      <c r="G703" s="77"/>
      <c r="H703" s="77"/>
      <c r="I703" s="77"/>
      <c r="J703" s="77"/>
      <c r="K703" s="77"/>
      <c r="L703" s="77"/>
      <c r="M703" s="77"/>
      <c r="N703" s="58"/>
      <c r="P703"/>
    </row>
    <row r="704" spans="1:16">
      <c r="A704" s="77"/>
      <c r="B704" s="77"/>
      <c r="C704" s="77"/>
      <c r="D704" s="77"/>
      <c r="E704" s="77"/>
      <c r="F704" s="77"/>
      <c r="G704" s="77"/>
      <c r="H704" s="77"/>
      <c r="I704" s="77"/>
      <c r="J704" s="77"/>
      <c r="K704" s="77"/>
      <c r="L704" s="77"/>
      <c r="M704" s="77"/>
      <c r="N704" s="58"/>
      <c r="P704"/>
    </row>
    <row r="705" spans="1:16">
      <c r="A705" s="77"/>
      <c r="B705" s="77"/>
      <c r="C705" s="77"/>
      <c r="D705" s="77"/>
      <c r="E705" s="77"/>
      <c r="F705" s="77"/>
      <c r="G705" s="77"/>
      <c r="H705" s="77"/>
      <c r="I705" s="77"/>
      <c r="J705" s="77"/>
      <c r="K705" s="77"/>
      <c r="L705" s="77"/>
      <c r="M705" s="77"/>
      <c r="N705" s="58"/>
      <c r="P705"/>
    </row>
    <row r="706" spans="1:16">
      <c r="A706" s="77"/>
      <c r="B706" s="77"/>
      <c r="C706" s="77"/>
      <c r="D706" s="77"/>
      <c r="E706" s="77"/>
      <c r="F706" s="77"/>
      <c r="G706" s="77"/>
      <c r="H706" s="77"/>
      <c r="I706" s="77"/>
      <c r="J706" s="77"/>
      <c r="K706" s="77"/>
      <c r="L706" s="77"/>
      <c r="M706" s="77"/>
      <c r="N706" s="58"/>
      <c r="P706"/>
    </row>
    <row r="707" spans="1:16">
      <c r="A707" s="77"/>
      <c r="B707" s="77"/>
      <c r="C707" s="77"/>
      <c r="D707" s="77"/>
      <c r="E707" s="77"/>
      <c r="F707" s="77"/>
      <c r="G707" s="77"/>
      <c r="H707" s="77"/>
      <c r="I707" s="77"/>
      <c r="J707" s="77"/>
      <c r="K707" s="77"/>
      <c r="L707" s="77"/>
      <c r="M707" s="77"/>
      <c r="N707" s="58"/>
      <c r="P707"/>
    </row>
    <row r="708" spans="1:16">
      <c r="A708" s="77"/>
      <c r="B708" s="77"/>
      <c r="C708" s="77"/>
      <c r="D708" s="77"/>
      <c r="E708" s="77"/>
      <c r="F708" s="77"/>
      <c r="G708" s="77"/>
      <c r="H708" s="77"/>
      <c r="I708" s="77"/>
      <c r="J708" s="77"/>
      <c r="K708" s="77"/>
      <c r="L708" s="77"/>
      <c r="M708" s="77"/>
      <c r="N708" s="58"/>
      <c r="P708"/>
    </row>
    <row r="709" spans="1:16">
      <c r="A709" s="77"/>
      <c r="B709" s="77"/>
      <c r="C709" s="77"/>
      <c r="D709" s="77"/>
      <c r="E709" s="77"/>
      <c r="F709" s="77"/>
      <c r="G709" s="77"/>
      <c r="H709" s="77"/>
      <c r="I709" s="77"/>
      <c r="J709" s="77"/>
      <c r="K709" s="77"/>
      <c r="L709" s="77"/>
      <c r="M709" s="77"/>
      <c r="N709" s="58"/>
      <c r="P709"/>
    </row>
    <row r="710" spans="1:16">
      <c r="A710" s="77"/>
      <c r="B710" s="77"/>
      <c r="C710" s="77"/>
      <c r="D710" s="77"/>
      <c r="E710" s="77"/>
      <c r="F710" s="77"/>
      <c r="G710" s="77"/>
      <c r="H710" s="77"/>
      <c r="I710" s="77"/>
      <c r="J710" s="77"/>
      <c r="K710" s="77"/>
      <c r="L710" s="77"/>
      <c r="M710" s="77"/>
      <c r="N710" s="58"/>
      <c r="P710"/>
    </row>
    <row r="711" spans="1:16">
      <c r="A711" s="77"/>
      <c r="B711" s="77"/>
      <c r="C711" s="77"/>
      <c r="D711" s="77"/>
      <c r="E711" s="77"/>
      <c r="F711" s="77"/>
      <c r="G711" s="77"/>
      <c r="H711" s="77"/>
      <c r="I711" s="77"/>
      <c r="J711" s="77"/>
      <c r="K711" s="77"/>
      <c r="L711" s="77"/>
      <c r="M711" s="77"/>
      <c r="N711" s="58"/>
      <c r="P711"/>
    </row>
    <row r="712" spans="1:16">
      <c r="A712" s="77"/>
      <c r="B712" s="77"/>
      <c r="C712" s="77"/>
      <c r="D712" s="77"/>
      <c r="E712" s="77"/>
      <c r="F712" s="77"/>
      <c r="G712" s="77"/>
      <c r="H712" s="77"/>
      <c r="I712" s="77"/>
      <c r="J712" s="77"/>
      <c r="K712" s="77"/>
      <c r="L712" s="77"/>
      <c r="M712" s="77"/>
      <c r="N712" s="58"/>
      <c r="P712"/>
    </row>
    <row r="713" spans="1:16">
      <c r="A713" s="77"/>
      <c r="B713" s="77"/>
      <c r="C713" s="77"/>
      <c r="D713" s="77"/>
      <c r="E713" s="77"/>
      <c r="F713" s="77"/>
      <c r="G713" s="77"/>
      <c r="H713" s="77"/>
      <c r="I713" s="77"/>
      <c r="J713" s="77"/>
      <c r="K713" s="77"/>
      <c r="L713" s="77"/>
      <c r="M713" s="77"/>
      <c r="N713" s="58"/>
      <c r="P713"/>
    </row>
    <row r="714" spans="1:16">
      <c r="A714" s="77"/>
      <c r="B714" s="77"/>
      <c r="C714" s="77"/>
      <c r="D714" s="77"/>
      <c r="E714" s="77"/>
      <c r="F714" s="77"/>
      <c r="G714" s="77"/>
      <c r="H714" s="77"/>
      <c r="I714" s="77"/>
      <c r="J714" s="77"/>
      <c r="K714" s="77"/>
      <c r="L714" s="77"/>
      <c r="M714" s="77"/>
      <c r="N714" s="58"/>
      <c r="P714"/>
    </row>
    <row r="715" spans="1:16">
      <c r="A715" s="77"/>
      <c r="B715" s="77"/>
      <c r="C715" s="77"/>
      <c r="D715" s="77"/>
      <c r="E715" s="77"/>
      <c r="F715" s="77"/>
      <c r="G715" s="77"/>
      <c r="H715" s="77"/>
      <c r="I715" s="77"/>
      <c r="J715" s="77"/>
      <c r="K715" s="77"/>
      <c r="L715" s="77"/>
      <c r="M715" s="77"/>
      <c r="N715" s="58"/>
      <c r="P715"/>
    </row>
    <row r="716" spans="1:16">
      <c r="A716" s="77"/>
      <c r="B716" s="77"/>
      <c r="C716" s="77"/>
      <c r="D716" s="77"/>
      <c r="E716" s="77"/>
      <c r="F716" s="77"/>
      <c r="G716" s="77"/>
      <c r="H716" s="77"/>
      <c r="I716" s="77"/>
      <c r="J716" s="77"/>
      <c r="K716" s="77"/>
      <c r="L716" s="77"/>
      <c r="M716" s="77"/>
      <c r="N716" s="58"/>
      <c r="P716"/>
    </row>
    <row r="717" spans="1:16">
      <c r="A717" s="77"/>
      <c r="B717" s="77"/>
      <c r="C717" s="77"/>
      <c r="D717" s="77"/>
      <c r="E717" s="77"/>
      <c r="F717" s="77"/>
      <c r="G717" s="77"/>
      <c r="H717" s="77"/>
      <c r="I717" s="77"/>
      <c r="J717" s="77"/>
      <c r="K717" s="77"/>
      <c r="L717" s="77"/>
      <c r="M717" s="77"/>
      <c r="N717" s="58"/>
      <c r="P717"/>
    </row>
    <row r="718" spans="1:16">
      <c r="A718" s="77"/>
      <c r="B718" s="77"/>
      <c r="C718" s="77"/>
      <c r="D718" s="77"/>
      <c r="E718" s="77"/>
      <c r="F718" s="77"/>
      <c r="G718" s="77"/>
      <c r="H718" s="77"/>
      <c r="I718" s="77"/>
      <c r="J718" s="77"/>
      <c r="K718" s="77"/>
      <c r="L718" s="77"/>
      <c r="M718" s="77"/>
      <c r="N718" s="58"/>
      <c r="P718"/>
    </row>
    <row r="719" spans="1:16">
      <c r="A719" s="77"/>
      <c r="B719" s="77"/>
      <c r="C719" s="77"/>
      <c r="D719" s="77"/>
      <c r="E719" s="77"/>
      <c r="F719" s="77"/>
      <c r="G719" s="77"/>
      <c r="H719" s="77"/>
      <c r="I719" s="77"/>
      <c r="J719" s="77"/>
      <c r="K719" s="77"/>
      <c r="L719" s="77"/>
      <c r="M719" s="77"/>
      <c r="N719" s="58"/>
      <c r="P719"/>
    </row>
    <row r="720" spans="1:16">
      <c r="A720" s="77"/>
      <c r="B720" s="77"/>
      <c r="C720" s="77"/>
      <c r="D720" s="77"/>
      <c r="E720" s="77"/>
      <c r="F720" s="77"/>
      <c r="G720" s="77"/>
      <c r="H720" s="77"/>
      <c r="I720" s="77"/>
      <c r="J720" s="77"/>
      <c r="K720" s="77"/>
      <c r="L720" s="77"/>
      <c r="M720" s="77"/>
      <c r="N720" s="58"/>
      <c r="P720"/>
    </row>
    <row r="721" spans="1:16">
      <c r="A721" s="77"/>
      <c r="B721" s="77"/>
      <c r="C721" s="77"/>
      <c r="D721" s="77"/>
      <c r="E721" s="77"/>
      <c r="F721" s="77"/>
      <c r="G721" s="77"/>
      <c r="H721" s="77"/>
      <c r="I721" s="77"/>
      <c r="J721" s="77"/>
      <c r="K721" s="77"/>
      <c r="L721" s="77"/>
      <c r="M721" s="77"/>
      <c r="N721" s="58"/>
      <c r="P721"/>
    </row>
    <row r="722" spans="1:16">
      <c r="A722" s="77"/>
      <c r="B722" s="77"/>
      <c r="C722" s="77"/>
      <c r="D722" s="77"/>
      <c r="E722" s="77"/>
      <c r="F722" s="77"/>
      <c r="G722" s="77"/>
      <c r="H722" s="77"/>
      <c r="I722" s="77"/>
      <c r="J722" s="77"/>
      <c r="K722" s="77"/>
      <c r="L722" s="77"/>
      <c r="M722" s="77"/>
      <c r="N722" s="58"/>
      <c r="P722"/>
    </row>
    <row r="723" spans="1:16">
      <c r="A723" s="77"/>
      <c r="B723" s="77"/>
      <c r="C723" s="77"/>
      <c r="D723" s="77"/>
      <c r="E723" s="77"/>
      <c r="F723" s="77"/>
      <c r="G723" s="77"/>
      <c r="H723" s="77"/>
      <c r="I723" s="77"/>
      <c r="J723" s="77"/>
      <c r="K723" s="77"/>
      <c r="L723" s="77"/>
      <c r="M723" s="77"/>
      <c r="N723" s="58"/>
      <c r="P723"/>
    </row>
    <row r="724" spans="1:16">
      <c r="A724" s="77"/>
      <c r="B724" s="77"/>
      <c r="C724" s="77"/>
      <c r="D724" s="77"/>
      <c r="E724" s="77"/>
      <c r="F724" s="77"/>
      <c r="G724" s="77"/>
      <c r="H724" s="77"/>
      <c r="I724" s="77"/>
      <c r="J724" s="77"/>
      <c r="K724" s="77"/>
      <c r="L724" s="77"/>
      <c r="M724" s="77"/>
      <c r="N724" s="58"/>
      <c r="P724"/>
    </row>
    <row r="725" spans="1:16">
      <c r="A725" s="77"/>
      <c r="B725" s="77"/>
      <c r="C725" s="77"/>
      <c r="D725" s="77"/>
      <c r="E725" s="77"/>
      <c r="F725" s="77"/>
      <c r="G725" s="77"/>
      <c r="H725" s="77"/>
      <c r="I725" s="77"/>
      <c r="J725" s="77"/>
      <c r="K725" s="77"/>
      <c r="L725" s="77"/>
      <c r="M725" s="77"/>
      <c r="N725" s="58"/>
      <c r="P725"/>
    </row>
    <row r="726" spans="1:16">
      <c r="A726" s="77"/>
      <c r="B726" s="77"/>
      <c r="C726" s="77"/>
      <c r="D726" s="77"/>
      <c r="E726" s="77"/>
      <c r="F726" s="77"/>
      <c r="G726" s="77"/>
      <c r="H726" s="77"/>
      <c r="I726" s="77"/>
      <c r="J726" s="77"/>
      <c r="K726" s="77"/>
      <c r="L726" s="77"/>
      <c r="M726" s="77"/>
      <c r="N726" s="58"/>
      <c r="P726"/>
    </row>
    <row r="727" spans="1:16">
      <c r="A727" s="77"/>
      <c r="B727" s="77"/>
      <c r="C727" s="77"/>
      <c r="D727" s="77"/>
      <c r="E727" s="77"/>
      <c r="F727" s="77"/>
      <c r="G727" s="77"/>
      <c r="H727" s="77"/>
      <c r="I727" s="77"/>
      <c r="J727" s="77"/>
      <c r="K727" s="77"/>
      <c r="L727" s="77"/>
      <c r="M727" s="77"/>
      <c r="N727" s="58"/>
      <c r="P727"/>
    </row>
    <row r="728" spans="1:16">
      <c r="A728" s="77"/>
      <c r="B728" s="77"/>
      <c r="C728" s="77"/>
      <c r="D728" s="77"/>
      <c r="E728" s="77"/>
      <c r="F728" s="77"/>
      <c r="G728" s="77"/>
      <c r="H728" s="77"/>
      <c r="I728" s="77"/>
      <c r="J728" s="77"/>
      <c r="K728" s="77"/>
      <c r="L728" s="77"/>
      <c r="M728" s="77"/>
      <c r="N728" s="58"/>
      <c r="P728"/>
    </row>
    <row r="729" spans="1:16">
      <c r="A729" s="77"/>
      <c r="B729" s="77"/>
      <c r="C729" s="77"/>
      <c r="D729" s="77"/>
      <c r="E729" s="77"/>
      <c r="F729" s="77"/>
      <c r="G729" s="77"/>
      <c r="H729" s="77"/>
      <c r="I729" s="77"/>
      <c r="J729" s="77"/>
      <c r="K729" s="77"/>
      <c r="L729" s="77"/>
      <c r="M729" s="77"/>
      <c r="N729" s="58"/>
      <c r="P729"/>
    </row>
    <row r="730" spans="1:16">
      <c r="A730" s="77"/>
      <c r="B730" s="77"/>
      <c r="C730" s="77"/>
      <c r="D730" s="77"/>
      <c r="E730" s="77"/>
      <c r="F730" s="77"/>
      <c r="G730" s="77"/>
      <c r="H730" s="77"/>
      <c r="I730" s="77"/>
      <c r="J730" s="77"/>
      <c r="K730" s="77"/>
      <c r="L730" s="77"/>
      <c r="M730" s="77"/>
      <c r="N730" s="58"/>
      <c r="P730"/>
    </row>
    <row r="731" spans="1:16">
      <c r="A731" s="77"/>
      <c r="B731" s="77"/>
      <c r="C731" s="77"/>
      <c r="D731" s="77"/>
      <c r="E731" s="77"/>
      <c r="F731" s="77"/>
      <c r="G731" s="77"/>
      <c r="H731" s="77"/>
      <c r="I731" s="77"/>
      <c r="J731" s="77"/>
      <c r="K731" s="77"/>
      <c r="L731" s="77"/>
      <c r="M731" s="77"/>
      <c r="N731" s="58"/>
      <c r="P731"/>
    </row>
    <row r="732" spans="1:16">
      <c r="A732" s="77"/>
      <c r="B732" s="77"/>
      <c r="C732" s="77"/>
      <c r="D732" s="77"/>
      <c r="E732" s="77"/>
      <c r="F732" s="77"/>
      <c r="G732" s="77"/>
      <c r="H732" s="77"/>
      <c r="I732" s="77"/>
      <c r="J732" s="77"/>
      <c r="K732" s="77"/>
      <c r="L732" s="77"/>
      <c r="M732" s="77"/>
      <c r="N732" s="58"/>
      <c r="P732"/>
    </row>
    <row r="733" spans="1:16">
      <c r="A733" s="77"/>
      <c r="B733" s="77"/>
      <c r="C733" s="77"/>
      <c r="D733" s="77"/>
      <c r="E733" s="77"/>
      <c r="F733" s="77"/>
      <c r="G733" s="77"/>
      <c r="H733" s="77"/>
      <c r="I733" s="77"/>
      <c r="J733" s="77"/>
      <c r="K733" s="77"/>
      <c r="L733" s="77"/>
      <c r="M733" s="77"/>
      <c r="N733" s="58"/>
      <c r="P733"/>
    </row>
    <row r="734" spans="1:16">
      <c r="A734" s="77"/>
      <c r="B734" s="77"/>
      <c r="C734" s="77"/>
      <c r="D734" s="77"/>
      <c r="E734" s="77"/>
      <c r="F734" s="77"/>
      <c r="G734" s="77"/>
      <c r="H734" s="77"/>
      <c r="I734" s="77"/>
      <c r="J734" s="77"/>
      <c r="K734" s="77"/>
      <c r="L734" s="77"/>
      <c r="M734" s="77"/>
      <c r="N734" s="58"/>
      <c r="P734"/>
    </row>
    <row r="735" spans="1:16">
      <c r="A735" s="77"/>
      <c r="B735" s="77"/>
      <c r="C735" s="77"/>
      <c r="D735" s="77"/>
      <c r="E735" s="77"/>
      <c r="F735" s="77"/>
      <c r="G735" s="77"/>
      <c r="H735" s="77"/>
      <c r="I735" s="77"/>
      <c r="J735" s="77"/>
      <c r="K735" s="77"/>
      <c r="L735" s="77"/>
      <c r="M735" s="77"/>
      <c r="N735" s="58"/>
      <c r="P735"/>
    </row>
    <row r="736" spans="1:16">
      <c r="A736" s="77"/>
      <c r="B736" s="77"/>
      <c r="C736" s="77"/>
      <c r="D736" s="77"/>
      <c r="E736" s="77"/>
      <c r="F736" s="77"/>
      <c r="G736" s="77"/>
      <c r="H736" s="77"/>
      <c r="I736" s="77"/>
      <c r="J736" s="77"/>
      <c r="K736" s="77"/>
      <c r="L736" s="77"/>
      <c r="M736" s="77"/>
      <c r="N736" s="58"/>
      <c r="P736"/>
    </row>
    <row r="737" spans="1:16">
      <c r="A737" s="77"/>
      <c r="B737" s="77"/>
      <c r="C737" s="77"/>
      <c r="D737" s="77"/>
      <c r="E737" s="77"/>
      <c r="F737" s="77"/>
      <c r="G737" s="77"/>
      <c r="H737" s="77"/>
      <c r="I737" s="77"/>
      <c r="J737" s="77"/>
      <c r="K737" s="77"/>
      <c r="L737" s="77"/>
      <c r="M737" s="77"/>
      <c r="N737" s="58"/>
      <c r="P737"/>
    </row>
    <row r="738" spans="1:16">
      <c r="A738" s="77"/>
      <c r="B738" s="77"/>
      <c r="C738" s="77"/>
      <c r="D738" s="77"/>
      <c r="E738" s="77"/>
      <c r="F738" s="77"/>
      <c r="G738" s="77"/>
      <c r="H738" s="77"/>
      <c r="I738" s="77"/>
      <c r="J738" s="77"/>
      <c r="K738" s="77"/>
      <c r="L738" s="77"/>
      <c r="M738" s="77"/>
      <c r="N738" s="58"/>
      <c r="P738"/>
    </row>
    <row r="739" spans="1:16">
      <c r="A739" s="77"/>
      <c r="B739" s="77"/>
      <c r="C739" s="77"/>
      <c r="D739" s="77"/>
      <c r="E739" s="77"/>
      <c r="F739" s="77"/>
      <c r="G739" s="77"/>
      <c r="H739" s="77"/>
      <c r="I739" s="77"/>
      <c r="J739" s="77"/>
      <c r="K739" s="77"/>
      <c r="L739" s="77"/>
      <c r="M739" s="77"/>
      <c r="N739" s="58"/>
      <c r="P739"/>
    </row>
    <row r="740" spans="1:16">
      <c r="A740" s="77"/>
      <c r="B740" s="77"/>
      <c r="C740" s="77"/>
      <c r="D740" s="77"/>
      <c r="E740" s="77"/>
      <c r="F740" s="77"/>
      <c r="G740" s="77"/>
      <c r="H740" s="77"/>
      <c r="I740" s="77"/>
      <c r="J740" s="77"/>
      <c r="K740" s="77"/>
      <c r="L740" s="77"/>
      <c r="M740" s="77"/>
      <c r="N740" s="58"/>
      <c r="P740"/>
    </row>
    <row r="741" spans="1:16">
      <c r="A741" s="77"/>
      <c r="B741" s="77"/>
      <c r="C741" s="77"/>
      <c r="D741" s="77"/>
      <c r="E741" s="77"/>
      <c r="F741" s="77"/>
      <c r="G741" s="77"/>
      <c r="H741" s="77"/>
      <c r="I741" s="77"/>
      <c r="J741" s="77"/>
      <c r="K741" s="77"/>
      <c r="L741" s="77"/>
      <c r="M741" s="77"/>
      <c r="N741" s="58"/>
      <c r="P741"/>
    </row>
    <row r="742" spans="1:16">
      <c r="A742" s="77"/>
      <c r="B742" s="77"/>
      <c r="C742" s="77"/>
      <c r="D742" s="77"/>
      <c r="E742" s="77"/>
      <c r="F742" s="77"/>
      <c r="G742" s="77"/>
      <c r="H742" s="77"/>
      <c r="I742" s="77"/>
      <c r="J742" s="77"/>
      <c r="K742" s="77"/>
      <c r="L742" s="77"/>
      <c r="M742" s="77"/>
      <c r="N742" s="58"/>
      <c r="P742"/>
    </row>
    <row r="743" spans="1:16">
      <c r="A743" s="77"/>
      <c r="B743" s="77"/>
      <c r="C743" s="77"/>
      <c r="D743" s="77"/>
      <c r="E743" s="77"/>
      <c r="F743" s="77"/>
      <c r="G743" s="77"/>
      <c r="H743" s="77"/>
      <c r="I743" s="77"/>
      <c r="J743" s="77"/>
      <c r="K743" s="77"/>
      <c r="L743" s="77"/>
      <c r="M743" s="77"/>
      <c r="N743" s="58"/>
      <c r="P743"/>
    </row>
    <row r="744" spans="1:16">
      <c r="A744" s="77"/>
      <c r="B744" s="77"/>
      <c r="C744" s="77"/>
      <c r="D744" s="77"/>
      <c r="E744" s="77"/>
      <c r="F744" s="77"/>
      <c r="G744" s="77"/>
      <c r="H744" s="77"/>
      <c r="I744" s="77"/>
      <c r="J744" s="77"/>
      <c r="K744" s="77"/>
      <c r="L744" s="77"/>
      <c r="M744" s="77"/>
      <c r="N744" s="58"/>
      <c r="P744"/>
    </row>
    <row r="745" spans="1:16">
      <c r="A745" s="77"/>
      <c r="B745" s="77"/>
      <c r="C745" s="77"/>
      <c r="D745" s="77"/>
      <c r="E745" s="77"/>
      <c r="F745" s="77"/>
      <c r="G745" s="77"/>
      <c r="H745" s="77"/>
      <c r="I745" s="77"/>
      <c r="J745" s="77"/>
      <c r="K745" s="77"/>
      <c r="L745" s="77"/>
      <c r="M745" s="77"/>
      <c r="N745" s="58"/>
      <c r="P745"/>
    </row>
    <row r="746" spans="1:16">
      <c r="A746" s="77"/>
      <c r="B746" s="77"/>
      <c r="C746" s="77"/>
      <c r="D746" s="77"/>
      <c r="E746" s="77"/>
      <c r="F746" s="77"/>
      <c r="G746" s="77"/>
      <c r="H746" s="77"/>
      <c r="I746" s="77"/>
      <c r="J746" s="77"/>
      <c r="K746" s="77"/>
      <c r="L746" s="77"/>
      <c r="M746" s="77"/>
      <c r="N746" s="58"/>
      <c r="P746"/>
    </row>
    <row r="747" spans="1:16">
      <c r="A747" s="77"/>
      <c r="B747" s="77"/>
      <c r="C747" s="77"/>
      <c r="D747" s="77"/>
      <c r="E747" s="77"/>
      <c r="F747" s="77"/>
      <c r="G747" s="77"/>
      <c r="H747" s="77"/>
      <c r="I747" s="77"/>
      <c r="J747" s="77"/>
      <c r="K747" s="77"/>
      <c r="L747" s="77"/>
      <c r="M747" s="77"/>
      <c r="N747" s="58"/>
      <c r="P747"/>
    </row>
    <row r="748" spans="1:16">
      <c r="A748" s="77"/>
      <c r="B748" s="77"/>
      <c r="C748" s="77"/>
      <c r="D748" s="77"/>
      <c r="E748" s="77"/>
      <c r="F748" s="77"/>
      <c r="G748" s="77"/>
      <c r="H748" s="77"/>
      <c r="I748" s="77"/>
      <c r="J748" s="77"/>
      <c r="K748" s="77"/>
      <c r="L748" s="77"/>
      <c r="M748" s="77"/>
      <c r="N748" s="58"/>
      <c r="P748"/>
    </row>
    <row r="749" spans="1:16">
      <c r="A749" s="77"/>
      <c r="B749" s="77"/>
      <c r="C749" s="77"/>
      <c r="D749" s="77"/>
      <c r="E749" s="77"/>
      <c r="F749" s="77"/>
      <c r="G749" s="77"/>
      <c r="H749" s="77"/>
      <c r="I749" s="77"/>
      <c r="J749" s="77"/>
      <c r="K749" s="77"/>
      <c r="L749" s="77"/>
      <c r="M749" s="77"/>
      <c r="N749" s="58"/>
      <c r="P749"/>
    </row>
    <row r="750" spans="1:16">
      <c r="A750" s="77"/>
      <c r="B750" s="77"/>
      <c r="C750" s="77"/>
      <c r="D750" s="77"/>
      <c r="E750" s="77"/>
      <c r="F750" s="77"/>
      <c r="G750" s="77"/>
      <c r="H750" s="77"/>
      <c r="I750" s="77"/>
      <c r="J750" s="77"/>
      <c r="K750" s="77"/>
      <c r="L750" s="77"/>
      <c r="M750" s="77"/>
      <c r="N750" s="58"/>
      <c r="P750"/>
    </row>
    <row r="751" spans="1:16">
      <c r="A751" s="77"/>
      <c r="B751" s="77"/>
      <c r="C751" s="77"/>
      <c r="D751" s="77"/>
      <c r="E751" s="77"/>
      <c r="F751" s="77"/>
      <c r="G751" s="77"/>
      <c r="H751" s="77"/>
      <c r="I751" s="77"/>
      <c r="J751" s="77"/>
      <c r="K751" s="77"/>
      <c r="L751" s="77"/>
      <c r="M751" s="77"/>
      <c r="N751" s="58"/>
      <c r="P751"/>
    </row>
    <row r="752" spans="1:16">
      <c r="A752" s="77"/>
      <c r="B752" s="77"/>
      <c r="C752" s="77"/>
      <c r="D752" s="77"/>
      <c r="E752" s="77"/>
      <c r="F752" s="77"/>
      <c r="G752" s="77"/>
      <c r="H752" s="77"/>
      <c r="I752" s="77"/>
      <c r="J752" s="77"/>
      <c r="K752" s="77"/>
      <c r="L752" s="77"/>
      <c r="M752" s="77"/>
      <c r="N752" s="58"/>
      <c r="P752"/>
    </row>
    <row r="753" spans="1:16">
      <c r="A753" s="77"/>
      <c r="B753" s="77"/>
      <c r="C753" s="77"/>
      <c r="D753" s="77"/>
      <c r="E753" s="77"/>
      <c r="F753" s="77"/>
      <c r="G753" s="77"/>
      <c r="H753" s="77"/>
      <c r="I753" s="77"/>
      <c r="J753" s="77"/>
      <c r="K753" s="77"/>
      <c r="L753" s="77"/>
      <c r="M753" s="77"/>
      <c r="N753" s="58"/>
      <c r="P753"/>
    </row>
    <row r="754" spans="1:16">
      <c r="A754" s="77"/>
      <c r="B754" s="77"/>
      <c r="C754" s="77"/>
      <c r="D754" s="77"/>
      <c r="E754" s="77"/>
      <c r="F754" s="77"/>
      <c r="G754" s="77"/>
      <c r="H754" s="77"/>
      <c r="I754" s="77"/>
      <c r="J754" s="77"/>
      <c r="K754" s="77"/>
      <c r="L754" s="77"/>
      <c r="M754" s="77"/>
      <c r="N754" s="58"/>
      <c r="P754"/>
    </row>
    <row r="755" spans="1:16">
      <c r="A755" s="77"/>
      <c r="B755" s="77"/>
      <c r="C755" s="77"/>
      <c r="D755" s="77"/>
      <c r="E755" s="77"/>
      <c r="F755" s="77"/>
      <c r="G755" s="77"/>
      <c r="H755" s="77"/>
      <c r="I755" s="77"/>
      <c r="J755" s="77"/>
      <c r="K755" s="77"/>
      <c r="L755" s="77"/>
      <c r="M755" s="77"/>
      <c r="N755" s="58"/>
      <c r="P755"/>
    </row>
    <row r="756" spans="1:16">
      <c r="A756" s="77"/>
      <c r="B756" s="77"/>
      <c r="C756" s="77"/>
      <c r="D756" s="77"/>
      <c r="E756" s="77"/>
      <c r="F756" s="77"/>
      <c r="G756" s="77"/>
      <c r="H756" s="77"/>
      <c r="I756" s="77"/>
      <c r="J756" s="77"/>
      <c r="K756" s="77"/>
      <c r="L756" s="77"/>
      <c r="M756" s="77"/>
      <c r="N756" s="58"/>
      <c r="P756"/>
    </row>
    <row r="757" spans="1:16">
      <c r="A757" s="77"/>
      <c r="B757" s="77"/>
      <c r="C757" s="77"/>
      <c r="D757" s="77"/>
      <c r="E757" s="77"/>
      <c r="F757" s="77"/>
      <c r="G757" s="77"/>
      <c r="H757" s="77"/>
      <c r="I757" s="77"/>
      <c r="J757" s="77"/>
      <c r="K757" s="77"/>
      <c r="L757" s="77"/>
      <c r="M757" s="77"/>
      <c r="N757" s="58"/>
      <c r="P757"/>
    </row>
    <row r="758" spans="1:16">
      <c r="A758" s="77"/>
      <c r="B758" s="77"/>
      <c r="C758" s="77"/>
      <c r="D758" s="77"/>
      <c r="E758" s="77"/>
      <c r="F758" s="77"/>
      <c r="G758" s="77"/>
      <c r="H758" s="77"/>
      <c r="I758" s="77"/>
      <c r="J758" s="77"/>
      <c r="K758" s="77"/>
      <c r="L758" s="77"/>
      <c r="M758" s="77"/>
      <c r="N758" s="58"/>
      <c r="P758"/>
    </row>
    <row r="759" spans="1:16">
      <c r="A759" s="77"/>
      <c r="B759" s="77"/>
      <c r="C759" s="77"/>
      <c r="D759" s="77"/>
      <c r="E759" s="77"/>
      <c r="F759" s="77"/>
      <c r="G759" s="77"/>
      <c r="H759" s="77"/>
      <c r="I759" s="77"/>
      <c r="J759" s="77"/>
      <c r="K759" s="77"/>
      <c r="L759" s="77"/>
      <c r="M759" s="77"/>
      <c r="N759" s="58"/>
      <c r="P759"/>
    </row>
    <row r="760" spans="1:16">
      <c r="A760" s="77"/>
      <c r="B760" s="77"/>
      <c r="C760" s="77"/>
      <c r="D760" s="77"/>
      <c r="E760" s="77"/>
      <c r="F760" s="77"/>
      <c r="G760" s="77"/>
      <c r="H760" s="77"/>
      <c r="I760" s="77"/>
      <c r="J760" s="77"/>
      <c r="K760" s="77"/>
      <c r="L760" s="77"/>
      <c r="M760" s="77"/>
      <c r="N760" s="58"/>
      <c r="P760"/>
    </row>
    <row r="761" spans="1:16">
      <c r="A761" s="77"/>
      <c r="B761" s="77"/>
      <c r="C761" s="77"/>
      <c r="D761" s="77"/>
      <c r="E761" s="77"/>
      <c r="F761" s="77"/>
      <c r="G761" s="77"/>
      <c r="H761" s="77"/>
      <c r="I761" s="77"/>
      <c r="J761" s="77"/>
      <c r="K761" s="77"/>
      <c r="L761" s="77"/>
      <c r="M761" s="77"/>
      <c r="N761" s="58"/>
      <c r="P761"/>
    </row>
    <row r="762" spans="1:16">
      <c r="A762" s="77"/>
      <c r="B762" s="77"/>
      <c r="C762" s="77"/>
      <c r="D762" s="77"/>
      <c r="E762" s="77"/>
      <c r="F762" s="77"/>
      <c r="G762" s="77"/>
      <c r="H762" s="77"/>
      <c r="I762" s="77"/>
      <c r="J762" s="77"/>
      <c r="K762" s="77"/>
      <c r="L762" s="77"/>
      <c r="M762" s="77"/>
      <c r="N762" s="58"/>
      <c r="P762"/>
    </row>
    <row r="763" spans="1:16">
      <c r="A763" s="77"/>
      <c r="B763" s="77"/>
      <c r="C763" s="77"/>
      <c r="D763" s="77"/>
      <c r="E763" s="77"/>
      <c r="F763" s="77"/>
      <c r="G763" s="77"/>
      <c r="H763" s="77"/>
      <c r="I763" s="77"/>
      <c r="J763" s="77"/>
      <c r="K763" s="77"/>
      <c r="L763" s="77"/>
      <c r="M763" s="77"/>
      <c r="N763" s="58"/>
      <c r="P763"/>
    </row>
    <row r="764" spans="1:16">
      <c r="A764" s="77"/>
      <c r="B764" s="77"/>
      <c r="C764" s="77"/>
      <c r="D764" s="77"/>
      <c r="E764" s="77"/>
      <c r="F764" s="77"/>
      <c r="G764" s="77"/>
      <c r="H764" s="77"/>
      <c r="I764" s="77"/>
      <c r="J764" s="77"/>
      <c r="K764" s="77"/>
      <c r="L764" s="77"/>
      <c r="M764" s="77"/>
      <c r="N764" s="58"/>
      <c r="P764"/>
    </row>
    <row r="765" spans="1:16">
      <c r="A765" s="77"/>
      <c r="B765" s="77"/>
      <c r="C765" s="77"/>
      <c r="D765" s="77"/>
      <c r="E765" s="77"/>
      <c r="F765" s="77"/>
      <c r="G765" s="77"/>
      <c r="H765" s="77"/>
      <c r="I765" s="77"/>
      <c r="J765" s="77"/>
      <c r="K765" s="77"/>
      <c r="L765" s="77"/>
      <c r="M765" s="77"/>
      <c r="N765" s="58"/>
      <c r="P765"/>
    </row>
    <row r="766" spans="1:16">
      <c r="A766" s="77"/>
      <c r="B766" s="77"/>
      <c r="C766" s="77"/>
      <c r="D766" s="77"/>
      <c r="E766" s="77"/>
      <c r="F766" s="77"/>
      <c r="G766" s="77"/>
      <c r="H766" s="77"/>
      <c r="I766" s="77"/>
      <c r="J766" s="77"/>
      <c r="K766" s="77"/>
      <c r="L766" s="77"/>
      <c r="M766" s="77"/>
      <c r="N766" s="58"/>
      <c r="P766"/>
    </row>
    <row r="767" spans="1:16">
      <c r="A767" s="77"/>
      <c r="B767" s="77"/>
      <c r="C767" s="77"/>
      <c r="D767" s="77"/>
      <c r="E767" s="77"/>
      <c r="F767" s="77"/>
      <c r="G767" s="77"/>
      <c r="H767" s="77"/>
      <c r="I767" s="77"/>
      <c r="J767" s="77"/>
      <c r="K767" s="77"/>
      <c r="L767" s="77"/>
      <c r="M767" s="77"/>
      <c r="N767" s="58"/>
      <c r="P767"/>
    </row>
    <row r="768" spans="1:16">
      <c r="A768" s="77"/>
      <c r="B768" s="77"/>
      <c r="C768" s="77"/>
      <c r="D768" s="77"/>
      <c r="E768" s="77"/>
      <c r="F768" s="77"/>
      <c r="G768" s="77"/>
      <c r="H768" s="77"/>
      <c r="I768" s="77"/>
      <c r="J768" s="77"/>
      <c r="K768" s="77"/>
      <c r="L768" s="77"/>
      <c r="M768" s="77"/>
      <c r="N768" s="58"/>
      <c r="P768"/>
    </row>
    <row r="769" spans="1:16">
      <c r="A769" s="77"/>
      <c r="B769" s="77"/>
      <c r="C769" s="77"/>
      <c r="D769" s="77"/>
      <c r="E769" s="77"/>
      <c r="F769" s="77"/>
      <c r="G769" s="77"/>
      <c r="H769" s="77"/>
      <c r="I769" s="77"/>
      <c r="J769" s="77"/>
      <c r="K769" s="77"/>
      <c r="L769" s="77"/>
      <c r="M769" s="77"/>
      <c r="N769" s="58"/>
      <c r="P769"/>
    </row>
    <row r="770" spans="1:16">
      <c r="A770" s="77"/>
      <c r="B770" s="77"/>
      <c r="C770" s="77"/>
      <c r="D770" s="77"/>
      <c r="E770" s="77"/>
      <c r="F770" s="77"/>
      <c r="G770" s="77"/>
      <c r="H770" s="77"/>
      <c r="I770" s="77"/>
      <c r="J770" s="77"/>
      <c r="K770" s="77"/>
      <c r="L770" s="77"/>
      <c r="M770" s="77"/>
      <c r="N770" s="58"/>
      <c r="P770"/>
    </row>
    <row r="771" spans="1:16">
      <c r="A771" s="77"/>
      <c r="B771" s="77"/>
      <c r="C771" s="77"/>
      <c r="D771" s="77"/>
      <c r="E771" s="77"/>
      <c r="F771" s="77"/>
      <c r="G771" s="77"/>
      <c r="H771" s="77"/>
      <c r="I771" s="77"/>
      <c r="J771" s="77"/>
      <c r="K771" s="77"/>
      <c r="L771" s="77"/>
      <c r="M771" s="77"/>
      <c r="N771" s="58"/>
      <c r="P771"/>
    </row>
    <row r="772" spans="1:16">
      <c r="A772" s="77"/>
      <c r="B772" s="77"/>
      <c r="C772" s="77"/>
      <c r="D772" s="77"/>
      <c r="E772" s="77"/>
      <c r="F772" s="77"/>
      <c r="G772" s="77"/>
      <c r="H772" s="77"/>
      <c r="I772" s="77"/>
      <c r="J772" s="77"/>
      <c r="K772" s="77"/>
      <c r="L772" s="77"/>
      <c r="M772" s="77"/>
      <c r="N772" s="58"/>
      <c r="P772"/>
    </row>
    <row r="773" spans="1:16">
      <c r="A773" s="77"/>
      <c r="B773" s="77"/>
      <c r="C773" s="77"/>
      <c r="D773" s="77"/>
      <c r="E773" s="77"/>
      <c r="F773" s="77"/>
      <c r="G773" s="77"/>
      <c r="H773" s="77"/>
      <c r="I773" s="77"/>
      <c r="J773" s="77"/>
      <c r="K773" s="77"/>
      <c r="L773" s="77"/>
      <c r="M773" s="77"/>
      <c r="N773" s="58"/>
      <c r="P773"/>
    </row>
    <row r="774" spans="1:16">
      <c r="A774" s="77"/>
      <c r="B774" s="77"/>
      <c r="C774" s="77"/>
      <c r="D774" s="77"/>
      <c r="E774" s="77"/>
      <c r="F774" s="77"/>
      <c r="G774" s="77"/>
      <c r="H774" s="77"/>
      <c r="I774" s="77"/>
      <c r="J774" s="77"/>
      <c r="K774" s="77"/>
      <c r="L774" s="77"/>
      <c r="M774" s="77"/>
      <c r="N774" s="58"/>
      <c r="P774"/>
    </row>
    <row r="775" spans="1:16">
      <c r="A775" s="77"/>
      <c r="B775" s="77"/>
      <c r="C775" s="77"/>
      <c r="D775" s="77"/>
      <c r="E775" s="77"/>
      <c r="F775" s="77"/>
      <c r="G775" s="77"/>
      <c r="H775" s="77"/>
      <c r="I775" s="77"/>
      <c r="J775" s="77"/>
      <c r="K775" s="77"/>
      <c r="L775" s="77"/>
      <c r="M775" s="77"/>
      <c r="N775" s="58"/>
      <c r="P775"/>
    </row>
    <row r="776" spans="1:16">
      <c r="A776" s="77"/>
      <c r="B776" s="77"/>
      <c r="C776" s="77"/>
      <c r="D776" s="77"/>
      <c r="E776" s="77"/>
      <c r="F776" s="77"/>
      <c r="G776" s="77"/>
      <c r="H776" s="77"/>
      <c r="I776" s="77"/>
      <c r="J776" s="77"/>
      <c r="K776" s="77"/>
      <c r="L776" s="77"/>
      <c r="M776" s="77"/>
      <c r="N776" s="58"/>
      <c r="P776"/>
    </row>
    <row r="777" spans="1:16">
      <c r="A777" s="77"/>
      <c r="B777" s="77"/>
      <c r="C777" s="77"/>
      <c r="D777" s="77"/>
      <c r="E777" s="77"/>
      <c r="F777" s="77"/>
      <c r="G777" s="77"/>
      <c r="H777" s="77"/>
      <c r="I777" s="77"/>
      <c r="J777" s="77"/>
      <c r="K777" s="77"/>
      <c r="L777" s="77"/>
      <c r="M777" s="77"/>
      <c r="N777" s="58"/>
      <c r="P777"/>
    </row>
    <row r="778" spans="1:16">
      <c r="A778" s="77"/>
      <c r="B778" s="77"/>
      <c r="C778" s="77"/>
      <c r="D778" s="77"/>
      <c r="E778" s="77"/>
      <c r="F778" s="77"/>
      <c r="G778" s="77"/>
      <c r="H778" s="77"/>
      <c r="I778" s="77"/>
      <c r="J778" s="77"/>
      <c r="K778" s="77"/>
      <c r="L778" s="77"/>
      <c r="M778" s="77"/>
      <c r="N778" s="58"/>
      <c r="P778"/>
    </row>
    <row r="779" spans="1:16">
      <c r="A779" s="77"/>
      <c r="B779" s="77"/>
      <c r="C779" s="77"/>
      <c r="D779" s="77"/>
      <c r="E779" s="77"/>
      <c r="F779" s="77"/>
      <c r="G779" s="77"/>
      <c r="H779" s="77"/>
      <c r="I779" s="77"/>
      <c r="J779" s="77"/>
      <c r="K779" s="77"/>
      <c r="L779" s="77"/>
      <c r="M779" s="77"/>
      <c r="N779" s="58"/>
      <c r="P779"/>
    </row>
    <row r="780" spans="1:16">
      <c r="A780" s="77"/>
      <c r="B780" s="77"/>
      <c r="C780" s="77"/>
      <c r="D780" s="77"/>
      <c r="E780" s="77"/>
      <c r="F780" s="77"/>
      <c r="G780" s="77"/>
      <c r="H780" s="77"/>
      <c r="I780" s="77"/>
      <c r="J780" s="77"/>
      <c r="K780" s="77"/>
      <c r="L780" s="77"/>
      <c r="M780" s="77"/>
      <c r="N780" s="58"/>
      <c r="P780"/>
    </row>
    <row r="781" spans="1:16">
      <c r="A781" s="77"/>
      <c r="B781" s="77"/>
      <c r="C781" s="77"/>
      <c r="D781" s="77"/>
      <c r="E781" s="77"/>
      <c r="F781" s="77"/>
      <c r="G781" s="77"/>
      <c r="H781" s="77"/>
      <c r="I781" s="77"/>
      <c r="J781" s="77"/>
      <c r="K781" s="77"/>
      <c r="L781" s="77"/>
      <c r="M781" s="77"/>
      <c r="N781" s="58"/>
      <c r="P781"/>
    </row>
    <row r="782" spans="1:16">
      <c r="A782" s="77"/>
      <c r="B782" s="77"/>
      <c r="C782" s="77"/>
      <c r="D782" s="77"/>
      <c r="E782" s="77"/>
      <c r="F782" s="77"/>
      <c r="G782" s="77"/>
      <c r="H782" s="77"/>
      <c r="I782" s="77"/>
      <c r="J782" s="77"/>
      <c r="K782" s="77"/>
      <c r="L782" s="77"/>
      <c r="M782" s="77"/>
      <c r="N782" s="58"/>
      <c r="P782"/>
    </row>
    <row r="783" spans="1:16">
      <c r="A783" s="77"/>
      <c r="B783" s="77"/>
      <c r="C783" s="77"/>
      <c r="D783" s="77"/>
      <c r="E783" s="77"/>
      <c r="F783" s="77"/>
      <c r="G783" s="77"/>
      <c r="H783" s="77"/>
      <c r="I783" s="77"/>
      <c r="J783" s="77"/>
      <c r="K783" s="77"/>
      <c r="L783" s="77"/>
      <c r="M783" s="77"/>
      <c r="N783" s="58"/>
      <c r="P783"/>
    </row>
    <row r="784" spans="1:16">
      <c r="A784" s="77"/>
      <c r="B784" s="77"/>
      <c r="C784" s="77"/>
      <c r="D784" s="77"/>
      <c r="E784" s="77"/>
      <c r="F784" s="77"/>
      <c r="G784" s="77"/>
      <c r="H784" s="77"/>
      <c r="I784" s="77"/>
      <c r="J784" s="77"/>
      <c r="K784" s="77"/>
      <c r="L784" s="77"/>
      <c r="M784" s="77"/>
      <c r="N784" s="58"/>
      <c r="P784"/>
    </row>
    <row r="785" spans="1:16">
      <c r="A785" s="77"/>
      <c r="B785" s="77"/>
      <c r="C785" s="77"/>
      <c r="D785" s="77"/>
      <c r="E785" s="77"/>
      <c r="F785" s="77"/>
      <c r="G785" s="77"/>
      <c r="H785" s="77"/>
      <c r="I785" s="77"/>
      <c r="J785" s="77"/>
      <c r="K785" s="77"/>
      <c r="L785" s="77"/>
      <c r="M785" s="77"/>
      <c r="N785" s="58"/>
      <c r="P785"/>
    </row>
    <row r="786" spans="1:16">
      <c r="A786" s="77"/>
      <c r="B786" s="77"/>
      <c r="C786" s="77"/>
      <c r="D786" s="77"/>
      <c r="E786" s="77"/>
      <c r="F786" s="77"/>
      <c r="G786" s="77"/>
      <c r="H786" s="77"/>
      <c r="I786" s="77"/>
      <c r="J786" s="77"/>
      <c r="K786" s="77"/>
      <c r="L786" s="77"/>
      <c r="M786" s="77"/>
      <c r="N786" s="58"/>
      <c r="P786"/>
    </row>
    <row r="787" spans="1:16">
      <c r="A787" s="77"/>
      <c r="B787" s="77"/>
      <c r="C787" s="77"/>
      <c r="D787" s="77"/>
      <c r="E787" s="77"/>
      <c r="F787" s="77"/>
      <c r="G787" s="77"/>
      <c r="H787" s="77"/>
      <c r="I787" s="77"/>
      <c r="J787" s="77"/>
      <c r="K787" s="77"/>
      <c r="L787" s="77"/>
      <c r="M787" s="77"/>
      <c r="N787" s="58"/>
      <c r="P787"/>
    </row>
    <row r="788" spans="1:16">
      <c r="A788" s="77"/>
      <c r="B788" s="77"/>
      <c r="C788" s="77"/>
      <c r="D788" s="77"/>
      <c r="E788" s="77"/>
      <c r="F788" s="77"/>
      <c r="G788" s="77"/>
      <c r="H788" s="77"/>
      <c r="I788" s="77"/>
      <c r="J788" s="77"/>
      <c r="K788" s="77"/>
      <c r="L788" s="77"/>
      <c r="M788" s="77"/>
      <c r="N788" s="58"/>
      <c r="P788"/>
    </row>
    <row r="789" spans="1:16">
      <c r="A789" s="77"/>
      <c r="B789" s="77"/>
      <c r="C789" s="77"/>
      <c r="D789" s="77"/>
      <c r="E789" s="77"/>
      <c r="F789" s="77"/>
      <c r="G789" s="77"/>
      <c r="H789" s="77"/>
      <c r="I789" s="77"/>
      <c r="J789" s="77"/>
      <c r="K789" s="77"/>
      <c r="L789" s="77"/>
      <c r="M789" s="77"/>
      <c r="N789" s="58"/>
      <c r="P789"/>
    </row>
    <row r="790" spans="1:16">
      <c r="A790" s="77"/>
      <c r="B790" s="77"/>
      <c r="C790" s="77"/>
      <c r="D790" s="77"/>
      <c r="E790" s="77"/>
      <c r="F790" s="77"/>
      <c r="G790" s="77"/>
      <c r="H790" s="77"/>
      <c r="I790" s="77"/>
      <c r="J790" s="77"/>
      <c r="K790" s="77"/>
      <c r="L790" s="77"/>
      <c r="M790" s="77"/>
      <c r="N790" s="58"/>
      <c r="P790"/>
    </row>
    <row r="791" spans="1:16">
      <c r="A791" s="77"/>
      <c r="B791" s="77"/>
      <c r="C791" s="77"/>
      <c r="D791" s="77"/>
      <c r="E791" s="77"/>
      <c r="F791" s="77"/>
      <c r="G791" s="77"/>
      <c r="H791" s="77"/>
      <c r="I791" s="77"/>
      <c r="J791" s="77"/>
      <c r="K791" s="77"/>
      <c r="L791" s="77"/>
      <c r="M791" s="77"/>
      <c r="N791" s="58"/>
      <c r="P791"/>
    </row>
    <row r="792" spans="1:16">
      <c r="A792" s="77"/>
      <c r="B792" s="77"/>
      <c r="C792" s="77"/>
      <c r="D792" s="77"/>
      <c r="E792" s="77"/>
      <c r="F792" s="77"/>
      <c r="G792" s="77"/>
      <c r="H792" s="77"/>
      <c r="I792" s="77"/>
      <c r="J792" s="77"/>
      <c r="K792" s="77"/>
      <c r="L792" s="77"/>
      <c r="M792" s="77"/>
      <c r="N792" s="58"/>
      <c r="P792"/>
    </row>
    <row r="793" spans="1:16">
      <c r="A793" s="77"/>
      <c r="B793" s="77"/>
      <c r="C793" s="77"/>
      <c r="D793" s="77"/>
      <c r="E793" s="77"/>
      <c r="F793" s="77"/>
      <c r="G793" s="77"/>
      <c r="H793" s="77"/>
      <c r="I793" s="77"/>
      <c r="J793" s="77"/>
      <c r="K793" s="77"/>
      <c r="L793" s="77"/>
      <c r="M793" s="77"/>
      <c r="N793" s="58"/>
      <c r="P793"/>
    </row>
    <row r="794" spans="1:16">
      <c r="A794" s="77"/>
      <c r="B794" s="77"/>
      <c r="C794" s="77"/>
      <c r="D794" s="77"/>
      <c r="E794" s="77"/>
      <c r="F794" s="77"/>
      <c r="G794" s="77"/>
      <c r="H794" s="77"/>
      <c r="I794" s="77"/>
      <c r="J794" s="77"/>
      <c r="K794" s="77"/>
      <c r="L794" s="77"/>
      <c r="M794" s="77"/>
      <c r="N794" s="58"/>
      <c r="P794"/>
    </row>
    <row r="795" spans="1:16">
      <c r="A795" s="77"/>
      <c r="B795" s="77"/>
      <c r="C795" s="77"/>
      <c r="D795" s="77"/>
      <c r="E795" s="77"/>
      <c r="F795" s="77"/>
      <c r="G795" s="77"/>
      <c r="H795" s="77"/>
      <c r="I795" s="77"/>
      <c r="J795" s="77"/>
      <c r="K795" s="77"/>
      <c r="L795" s="77"/>
      <c r="M795" s="77"/>
      <c r="N795" s="58"/>
      <c r="P795"/>
    </row>
    <row r="796" spans="1:16">
      <c r="A796" s="77"/>
      <c r="B796" s="77"/>
      <c r="C796" s="77"/>
      <c r="D796" s="77"/>
      <c r="E796" s="77"/>
      <c r="F796" s="77"/>
      <c r="G796" s="77"/>
      <c r="H796" s="77"/>
      <c r="I796" s="77"/>
      <c r="J796" s="77"/>
      <c r="K796" s="77"/>
      <c r="L796" s="77"/>
      <c r="M796" s="77"/>
      <c r="N796" s="58"/>
      <c r="P796"/>
    </row>
    <row r="797" spans="1:16">
      <c r="A797" s="77"/>
      <c r="B797" s="77"/>
      <c r="C797" s="77"/>
      <c r="D797" s="77"/>
      <c r="E797" s="77"/>
      <c r="F797" s="77"/>
      <c r="G797" s="77"/>
      <c r="H797" s="77"/>
      <c r="I797" s="77"/>
      <c r="J797" s="77"/>
      <c r="K797" s="77"/>
      <c r="L797" s="77"/>
      <c r="M797" s="77"/>
      <c r="N797" s="58"/>
      <c r="P797"/>
    </row>
    <row r="798" spans="1:16">
      <c r="A798" s="77"/>
      <c r="B798" s="77"/>
      <c r="C798" s="77"/>
      <c r="D798" s="77"/>
      <c r="E798" s="77"/>
      <c r="F798" s="77"/>
      <c r="G798" s="77"/>
      <c r="H798" s="77"/>
      <c r="I798" s="77"/>
      <c r="J798" s="77"/>
      <c r="K798" s="77"/>
      <c r="L798" s="77"/>
      <c r="M798" s="77"/>
      <c r="N798" s="58"/>
      <c r="P798"/>
    </row>
    <row r="799" spans="1:16">
      <c r="A799" s="77"/>
      <c r="B799" s="77"/>
      <c r="C799" s="77"/>
      <c r="D799" s="77"/>
      <c r="E799" s="77"/>
      <c r="F799" s="77"/>
      <c r="G799" s="77"/>
      <c r="H799" s="77"/>
      <c r="I799" s="77"/>
      <c r="J799" s="77"/>
      <c r="K799" s="77"/>
      <c r="L799" s="77"/>
      <c r="M799" s="77"/>
      <c r="N799" s="58"/>
      <c r="P799"/>
    </row>
    <row r="800" spans="1:16">
      <c r="A800" s="77"/>
      <c r="B800" s="77"/>
      <c r="C800" s="77"/>
      <c r="D800" s="77"/>
      <c r="E800" s="77"/>
      <c r="F800" s="77"/>
      <c r="G800" s="77"/>
      <c r="H800" s="77"/>
      <c r="I800" s="77"/>
      <c r="J800" s="77"/>
      <c r="K800" s="77"/>
      <c r="L800" s="77"/>
      <c r="M800" s="77"/>
      <c r="N800" s="58"/>
      <c r="P800"/>
    </row>
    <row r="801" spans="1:16">
      <c r="A801" s="77"/>
      <c r="B801" s="77"/>
      <c r="C801" s="77"/>
      <c r="D801" s="77"/>
      <c r="E801" s="77"/>
      <c r="F801" s="77"/>
      <c r="G801" s="77"/>
      <c r="H801" s="77"/>
      <c r="I801" s="77"/>
      <c r="J801" s="77"/>
      <c r="K801" s="77"/>
      <c r="L801" s="77"/>
      <c r="M801" s="77"/>
      <c r="N801" s="58"/>
      <c r="P801"/>
    </row>
    <row r="802" spans="1:16">
      <c r="A802" s="77"/>
      <c r="B802" s="77"/>
      <c r="C802" s="77"/>
      <c r="D802" s="77"/>
      <c r="E802" s="77"/>
      <c r="F802" s="77"/>
      <c r="G802" s="77"/>
      <c r="H802" s="77"/>
      <c r="I802" s="77"/>
      <c r="J802" s="77"/>
      <c r="K802" s="77"/>
      <c r="L802" s="77"/>
      <c r="M802" s="77"/>
      <c r="N802" s="58"/>
      <c r="P802"/>
    </row>
    <row r="803" spans="1:16">
      <c r="A803" s="77"/>
      <c r="B803" s="77"/>
      <c r="C803" s="77"/>
      <c r="D803" s="77"/>
      <c r="E803" s="77"/>
      <c r="F803" s="77"/>
      <c r="G803" s="77"/>
      <c r="H803" s="77"/>
      <c r="I803" s="77"/>
      <c r="J803" s="77"/>
      <c r="K803" s="77"/>
      <c r="L803" s="77"/>
      <c r="M803" s="77"/>
      <c r="N803" s="58"/>
      <c r="P803"/>
    </row>
    <row r="804" spans="1:16">
      <c r="A804" s="77"/>
      <c r="B804" s="77"/>
      <c r="C804" s="77"/>
      <c r="D804" s="77"/>
      <c r="E804" s="77"/>
      <c r="F804" s="77"/>
      <c r="G804" s="77"/>
      <c r="H804" s="77"/>
      <c r="I804" s="77"/>
      <c r="J804" s="77"/>
      <c r="K804" s="77"/>
      <c r="L804" s="77"/>
      <c r="M804" s="77"/>
      <c r="N804" s="58"/>
      <c r="P804"/>
    </row>
    <row r="805" spans="1:16">
      <c r="A805" s="77"/>
      <c r="B805" s="77"/>
      <c r="C805" s="77"/>
      <c r="D805" s="77"/>
      <c r="E805" s="77"/>
      <c r="F805" s="77"/>
      <c r="G805" s="77"/>
      <c r="H805" s="77"/>
      <c r="I805" s="77"/>
      <c r="J805" s="77"/>
      <c r="K805" s="77"/>
      <c r="L805" s="77"/>
      <c r="M805" s="77"/>
      <c r="N805" s="58"/>
      <c r="P805"/>
    </row>
    <row r="806" spans="1:16">
      <c r="A806" s="77"/>
      <c r="B806" s="77"/>
      <c r="C806" s="77"/>
      <c r="D806" s="77"/>
      <c r="E806" s="77"/>
      <c r="F806" s="77"/>
      <c r="G806" s="77"/>
      <c r="H806" s="77"/>
      <c r="I806" s="77"/>
      <c r="J806" s="77"/>
      <c r="K806" s="77"/>
      <c r="L806" s="77"/>
      <c r="M806" s="77"/>
      <c r="N806" s="58"/>
      <c r="P806"/>
    </row>
    <row r="807" spans="1:16">
      <c r="A807" s="77"/>
      <c r="B807" s="77"/>
      <c r="C807" s="77"/>
      <c r="D807" s="77"/>
      <c r="E807" s="77"/>
      <c r="F807" s="77"/>
      <c r="G807" s="77"/>
      <c r="H807" s="77"/>
      <c r="I807" s="77"/>
      <c r="J807" s="77"/>
      <c r="K807" s="77"/>
      <c r="L807" s="77"/>
      <c r="M807" s="77"/>
      <c r="N807" s="58"/>
      <c r="P807"/>
    </row>
    <row r="808" spans="1:16">
      <c r="A808" s="77"/>
      <c r="B808" s="77"/>
      <c r="C808" s="77"/>
      <c r="D808" s="77"/>
      <c r="E808" s="77"/>
      <c r="F808" s="77"/>
      <c r="G808" s="77"/>
      <c r="H808" s="77"/>
      <c r="I808" s="77"/>
      <c r="J808" s="77"/>
      <c r="K808" s="77"/>
      <c r="L808" s="77"/>
      <c r="M808" s="77"/>
      <c r="N808" s="58"/>
      <c r="P808"/>
    </row>
    <row r="809" spans="1:16">
      <c r="A809" s="77"/>
      <c r="B809" s="77"/>
      <c r="C809" s="77"/>
      <c r="D809" s="77"/>
      <c r="E809" s="77"/>
      <c r="F809" s="77"/>
      <c r="G809" s="77"/>
      <c r="H809" s="77"/>
      <c r="I809" s="77"/>
      <c r="J809" s="77"/>
      <c r="K809" s="77"/>
      <c r="L809" s="77"/>
      <c r="M809" s="77"/>
      <c r="N809" s="58"/>
      <c r="P809"/>
    </row>
    <row r="810" spans="1:16">
      <c r="A810" s="77"/>
      <c r="B810" s="77"/>
      <c r="C810" s="77"/>
      <c r="D810" s="77"/>
      <c r="E810" s="77"/>
      <c r="F810" s="77"/>
      <c r="G810" s="77"/>
      <c r="H810" s="77"/>
      <c r="I810" s="77"/>
      <c r="J810" s="77"/>
      <c r="K810" s="77"/>
      <c r="L810" s="77"/>
      <c r="M810" s="77"/>
      <c r="N810" s="58"/>
      <c r="P810"/>
    </row>
    <row r="811" spans="1:16">
      <c r="A811" s="77"/>
      <c r="B811" s="77"/>
      <c r="C811" s="77"/>
      <c r="D811" s="77"/>
      <c r="E811" s="77"/>
      <c r="F811" s="77"/>
      <c r="G811" s="77"/>
      <c r="H811" s="77"/>
      <c r="I811" s="77"/>
      <c r="J811" s="77"/>
      <c r="K811" s="77"/>
      <c r="L811" s="77"/>
      <c r="M811" s="77"/>
      <c r="N811" s="58"/>
      <c r="P811"/>
    </row>
    <row r="812" spans="1:16">
      <c r="A812" s="77"/>
      <c r="B812" s="77"/>
      <c r="C812" s="77"/>
      <c r="D812" s="77"/>
      <c r="E812" s="77"/>
      <c r="F812" s="77"/>
      <c r="G812" s="77"/>
      <c r="H812" s="77"/>
      <c r="I812" s="77"/>
      <c r="J812" s="77"/>
      <c r="K812" s="77"/>
      <c r="L812" s="77"/>
      <c r="M812" s="77"/>
      <c r="N812" s="58"/>
      <c r="P812"/>
    </row>
    <row r="813" spans="1:16">
      <c r="A813" s="77"/>
      <c r="B813" s="77"/>
      <c r="C813" s="77"/>
      <c r="D813" s="77"/>
      <c r="E813" s="77"/>
      <c r="F813" s="77"/>
      <c r="G813" s="77"/>
      <c r="H813" s="77"/>
      <c r="I813" s="77"/>
      <c r="J813" s="77"/>
      <c r="K813" s="77"/>
      <c r="L813" s="77"/>
      <c r="M813" s="77"/>
      <c r="N813" s="58"/>
      <c r="P813"/>
    </row>
    <row r="814" spans="1:16">
      <c r="A814" s="77"/>
      <c r="B814" s="77"/>
      <c r="C814" s="77"/>
      <c r="D814" s="77"/>
      <c r="E814" s="77"/>
      <c r="F814" s="77"/>
      <c r="G814" s="77"/>
      <c r="H814" s="77"/>
      <c r="I814" s="77"/>
      <c r="J814" s="77"/>
      <c r="K814" s="77"/>
      <c r="L814" s="77"/>
      <c r="M814" s="77"/>
      <c r="N814" s="58"/>
      <c r="P814"/>
    </row>
    <row r="815" spans="1:16">
      <c r="A815" s="77"/>
      <c r="B815" s="77"/>
      <c r="C815" s="77"/>
      <c r="D815" s="77"/>
      <c r="E815" s="77"/>
      <c r="F815" s="77"/>
      <c r="G815" s="77"/>
      <c r="H815" s="77"/>
      <c r="I815" s="77"/>
      <c r="J815" s="77"/>
      <c r="K815" s="77"/>
      <c r="L815" s="77"/>
      <c r="M815" s="77"/>
      <c r="N815" s="58"/>
      <c r="P815"/>
    </row>
    <row r="816" spans="1:16">
      <c r="A816" s="77"/>
      <c r="B816" s="77"/>
      <c r="C816" s="77"/>
      <c r="D816" s="77"/>
      <c r="E816" s="77"/>
      <c r="F816" s="77"/>
      <c r="G816" s="77"/>
      <c r="H816" s="77"/>
      <c r="I816" s="77"/>
      <c r="J816" s="77"/>
      <c r="K816" s="77"/>
      <c r="L816" s="77"/>
      <c r="M816" s="77"/>
      <c r="N816" s="58"/>
      <c r="P816"/>
    </row>
    <row r="817" spans="1:16">
      <c r="A817" s="77"/>
      <c r="B817" s="77"/>
      <c r="C817" s="77"/>
      <c r="D817" s="77"/>
      <c r="E817" s="77"/>
      <c r="F817" s="77"/>
      <c r="G817" s="77"/>
      <c r="H817" s="77"/>
      <c r="I817" s="77"/>
      <c r="J817" s="77"/>
      <c r="K817" s="77"/>
      <c r="L817" s="77"/>
      <c r="M817" s="77"/>
      <c r="N817" s="58"/>
      <c r="P817"/>
    </row>
    <row r="818" spans="1:16">
      <c r="A818" s="77"/>
      <c r="B818" s="77"/>
      <c r="C818" s="77"/>
      <c r="D818" s="77"/>
      <c r="E818" s="77"/>
      <c r="F818" s="77"/>
      <c r="G818" s="77"/>
      <c r="H818" s="77"/>
      <c r="I818" s="77"/>
      <c r="J818" s="77"/>
      <c r="K818" s="77"/>
      <c r="L818" s="77"/>
      <c r="M818" s="77"/>
      <c r="N818" s="58"/>
      <c r="P818"/>
    </row>
    <row r="819" spans="1:16">
      <c r="A819" s="77"/>
      <c r="B819" s="77"/>
      <c r="C819" s="77"/>
      <c r="D819" s="77"/>
      <c r="E819" s="77"/>
      <c r="F819" s="77"/>
      <c r="G819" s="77"/>
      <c r="H819" s="77"/>
      <c r="I819" s="77"/>
      <c r="J819" s="77"/>
      <c r="K819" s="77"/>
      <c r="L819" s="77"/>
      <c r="M819" s="77"/>
      <c r="N819" s="58"/>
      <c r="P819"/>
    </row>
    <row r="820" spans="1:16">
      <c r="A820" s="77"/>
      <c r="B820" s="77"/>
      <c r="C820" s="77"/>
      <c r="D820" s="77"/>
      <c r="E820" s="77"/>
      <c r="F820" s="77"/>
      <c r="G820" s="77"/>
      <c r="H820" s="77"/>
      <c r="I820" s="77"/>
      <c r="J820" s="77"/>
      <c r="K820" s="77"/>
      <c r="L820" s="77"/>
      <c r="M820" s="77"/>
      <c r="N820" s="58"/>
      <c r="P820"/>
    </row>
    <row r="821" spans="1:16">
      <c r="A821" s="77"/>
      <c r="B821" s="77"/>
      <c r="C821" s="77"/>
      <c r="D821" s="77"/>
      <c r="E821" s="77"/>
      <c r="F821" s="77"/>
      <c r="G821" s="77"/>
      <c r="H821" s="77"/>
      <c r="I821" s="77"/>
      <c r="J821" s="77"/>
      <c r="K821" s="77"/>
      <c r="L821" s="77"/>
      <c r="M821" s="77"/>
      <c r="N821" s="58"/>
      <c r="P821"/>
    </row>
    <row r="822" spans="1:16">
      <c r="A822" s="77"/>
      <c r="B822" s="77"/>
      <c r="C822" s="77"/>
      <c r="D822" s="77"/>
      <c r="E822" s="77"/>
      <c r="F822" s="77"/>
      <c r="G822" s="77"/>
      <c r="H822" s="77"/>
      <c r="I822" s="77"/>
      <c r="J822" s="77"/>
      <c r="K822" s="77"/>
      <c r="L822" s="77"/>
      <c r="M822" s="77"/>
      <c r="N822" s="58"/>
      <c r="P822"/>
    </row>
    <row r="823" spans="1:16">
      <c r="A823" s="77"/>
      <c r="B823" s="77"/>
      <c r="C823" s="77"/>
      <c r="D823" s="77"/>
      <c r="E823" s="77"/>
      <c r="F823" s="77"/>
      <c r="G823" s="77"/>
      <c r="H823" s="77"/>
      <c r="I823" s="77"/>
      <c r="J823" s="77"/>
      <c r="K823" s="77"/>
      <c r="L823" s="77"/>
      <c r="M823" s="77"/>
      <c r="N823" s="58"/>
      <c r="P823"/>
    </row>
    <row r="824" spans="1:16">
      <c r="A824" s="77"/>
      <c r="B824" s="77"/>
      <c r="C824" s="77"/>
      <c r="D824" s="77"/>
      <c r="E824" s="77"/>
      <c r="F824" s="77"/>
      <c r="G824" s="77"/>
      <c r="H824" s="77"/>
      <c r="I824" s="77"/>
      <c r="J824" s="77"/>
      <c r="K824" s="77"/>
      <c r="L824" s="77"/>
      <c r="M824" s="77"/>
      <c r="N824" s="58"/>
      <c r="P824"/>
    </row>
    <row r="825" spans="1:16">
      <c r="A825" s="77"/>
      <c r="B825" s="77"/>
      <c r="C825" s="77"/>
      <c r="D825" s="77"/>
      <c r="E825" s="77"/>
      <c r="F825" s="77"/>
      <c r="G825" s="77"/>
      <c r="H825" s="77"/>
      <c r="I825" s="77"/>
      <c r="J825" s="77"/>
      <c r="K825" s="77"/>
      <c r="L825" s="77"/>
      <c r="M825" s="77"/>
      <c r="N825" s="58"/>
      <c r="P825"/>
    </row>
    <row r="826" spans="1:16">
      <c r="A826" s="77"/>
      <c r="B826" s="77"/>
      <c r="C826" s="77"/>
      <c r="D826" s="77"/>
      <c r="E826" s="77"/>
      <c r="F826" s="77"/>
      <c r="G826" s="77"/>
      <c r="H826" s="77"/>
      <c r="I826" s="77"/>
      <c r="J826" s="77"/>
      <c r="K826" s="77"/>
      <c r="L826" s="77"/>
      <c r="M826" s="77"/>
      <c r="N826" s="58"/>
      <c r="P826"/>
    </row>
    <row r="827" spans="1:16">
      <c r="A827" s="77"/>
      <c r="B827" s="77"/>
      <c r="C827" s="77"/>
      <c r="D827" s="77"/>
      <c r="E827" s="77"/>
      <c r="F827" s="77"/>
      <c r="G827" s="77"/>
      <c r="H827" s="77"/>
      <c r="I827" s="77"/>
      <c r="J827" s="77"/>
      <c r="K827" s="77"/>
      <c r="L827" s="77"/>
      <c r="M827" s="77"/>
      <c r="N827" s="58"/>
      <c r="P827"/>
    </row>
    <row r="828" spans="1:16">
      <c r="A828" s="77"/>
      <c r="B828" s="77"/>
      <c r="C828" s="77"/>
      <c r="D828" s="77"/>
      <c r="E828" s="77"/>
      <c r="F828" s="77"/>
      <c r="G828" s="77"/>
      <c r="H828" s="77"/>
      <c r="I828" s="77"/>
      <c r="J828" s="77"/>
      <c r="K828" s="77"/>
      <c r="L828" s="77"/>
      <c r="M828" s="77"/>
      <c r="N828" s="58"/>
      <c r="P828"/>
    </row>
    <row r="829" spans="1:16">
      <c r="A829" s="77"/>
      <c r="B829" s="77"/>
      <c r="C829" s="77"/>
      <c r="D829" s="77"/>
      <c r="E829" s="77"/>
      <c r="F829" s="77"/>
      <c r="G829" s="77"/>
      <c r="H829" s="77"/>
      <c r="I829" s="77"/>
      <c r="J829" s="77"/>
      <c r="K829" s="77"/>
      <c r="L829" s="77"/>
      <c r="M829" s="77"/>
      <c r="N829" s="58"/>
      <c r="P829"/>
    </row>
    <row r="830" spans="1:16">
      <c r="A830" s="77"/>
      <c r="B830" s="77"/>
      <c r="C830" s="77"/>
      <c r="D830" s="77"/>
      <c r="E830" s="77"/>
      <c r="F830" s="77"/>
      <c r="G830" s="77"/>
      <c r="H830" s="77"/>
      <c r="I830" s="77"/>
      <c r="J830" s="77"/>
      <c r="K830" s="77"/>
      <c r="L830" s="77"/>
      <c r="M830" s="77"/>
      <c r="N830" s="58"/>
      <c r="P830"/>
    </row>
    <row r="831" spans="1:16">
      <c r="A831" s="77"/>
      <c r="B831" s="77"/>
      <c r="C831" s="77"/>
      <c r="D831" s="77"/>
      <c r="E831" s="77"/>
      <c r="F831" s="77"/>
      <c r="G831" s="77"/>
      <c r="H831" s="77"/>
      <c r="I831" s="77"/>
      <c r="J831" s="77"/>
      <c r="K831" s="77"/>
      <c r="L831" s="77"/>
      <c r="M831" s="77"/>
      <c r="N831" s="58"/>
      <c r="P831"/>
    </row>
    <row r="832" spans="1:16">
      <c r="A832" s="77"/>
      <c r="B832" s="77"/>
      <c r="C832" s="77"/>
      <c r="D832" s="77"/>
      <c r="E832" s="77"/>
      <c r="F832" s="77"/>
      <c r="G832" s="77"/>
      <c r="H832" s="77"/>
      <c r="I832" s="77"/>
      <c r="J832" s="77"/>
      <c r="K832" s="77"/>
      <c r="L832" s="77"/>
      <c r="M832" s="77"/>
      <c r="N832" s="58"/>
      <c r="P832"/>
    </row>
    <row r="833" spans="1:16">
      <c r="A833" s="77"/>
      <c r="B833" s="77"/>
      <c r="C833" s="77"/>
      <c r="D833" s="77"/>
      <c r="E833" s="77"/>
      <c r="F833" s="77"/>
      <c r="G833" s="77"/>
      <c r="H833" s="77"/>
      <c r="I833" s="77"/>
      <c r="J833" s="77"/>
      <c r="K833" s="77"/>
      <c r="L833" s="77"/>
      <c r="M833" s="77"/>
      <c r="N833" s="58"/>
      <c r="P833"/>
    </row>
    <row r="834" spans="1:16">
      <c r="A834" s="77"/>
      <c r="B834" s="77"/>
      <c r="C834" s="77"/>
      <c r="D834" s="77"/>
      <c r="E834" s="77"/>
      <c r="F834" s="77"/>
      <c r="G834" s="77"/>
      <c r="H834" s="77"/>
      <c r="I834" s="77"/>
      <c r="J834" s="77"/>
      <c r="K834" s="77"/>
      <c r="L834" s="77"/>
      <c r="M834" s="77"/>
      <c r="N834" s="58"/>
      <c r="P834"/>
    </row>
    <row r="835" spans="1:16">
      <c r="A835" s="77"/>
      <c r="B835" s="77"/>
      <c r="C835" s="77"/>
      <c r="D835" s="77"/>
      <c r="E835" s="77"/>
      <c r="F835" s="77"/>
      <c r="G835" s="77"/>
      <c r="H835" s="77"/>
      <c r="I835" s="77"/>
      <c r="J835" s="77"/>
      <c r="K835" s="77"/>
      <c r="L835" s="77"/>
      <c r="M835" s="77"/>
      <c r="N835" s="58"/>
      <c r="P835"/>
    </row>
    <row r="836" spans="1:16">
      <c r="A836" s="77"/>
      <c r="B836" s="77"/>
      <c r="C836" s="77"/>
      <c r="D836" s="77"/>
      <c r="E836" s="77"/>
      <c r="F836" s="77"/>
      <c r="G836" s="77"/>
      <c r="H836" s="77"/>
      <c r="I836" s="77"/>
      <c r="J836" s="77"/>
      <c r="K836" s="77"/>
      <c r="L836" s="77"/>
      <c r="M836" s="77"/>
      <c r="N836" s="58"/>
      <c r="P836"/>
    </row>
    <row r="837" spans="1:16">
      <c r="A837" s="77"/>
      <c r="B837" s="77"/>
      <c r="C837" s="77"/>
      <c r="D837" s="77"/>
      <c r="E837" s="77"/>
      <c r="F837" s="77"/>
      <c r="G837" s="77"/>
      <c r="H837" s="77"/>
      <c r="I837" s="77"/>
      <c r="J837" s="77"/>
      <c r="K837" s="77"/>
      <c r="L837" s="77"/>
      <c r="M837" s="77"/>
      <c r="N837" s="58"/>
      <c r="P837"/>
    </row>
    <row r="838" spans="1:16">
      <c r="A838" s="77"/>
      <c r="B838" s="77"/>
      <c r="C838" s="77"/>
      <c r="D838" s="77"/>
      <c r="E838" s="77"/>
      <c r="F838" s="77"/>
      <c r="G838" s="77"/>
      <c r="H838" s="77"/>
      <c r="I838" s="77"/>
      <c r="J838" s="77"/>
      <c r="K838" s="77"/>
      <c r="L838" s="77"/>
      <c r="M838" s="77"/>
      <c r="N838" s="58"/>
      <c r="P838"/>
    </row>
  </sheetData>
  <sheetProtection formatRows="0"/>
  <mergeCells count="320">
    <mergeCell ref="M58:P59"/>
    <mergeCell ref="M52:P54"/>
    <mergeCell ref="Q78:R81"/>
    <mergeCell ref="O79:P79"/>
    <mergeCell ref="H126:I126"/>
    <mergeCell ref="N161:O161"/>
    <mergeCell ref="Q441:AA445"/>
    <mergeCell ref="B163:E163"/>
    <mergeCell ref="F163:G163"/>
    <mergeCell ref="H163:I163"/>
    <mergeCell ref="J163:K163"/>
    <mergeCell ref="L163:M163"/>
    <mergeCell ref="N163:O163"/>
    <mergeCell ref="N158:O158"/>
    <mergeCell ref="B159:E159"/>
    <mergeCell ref="F159:G159"/>
    <mergeCell ref="H159:I159"/>
    <mergeCell ref="J159:K159"/>
    <mergeCell ref="L159:M159"/>
    <mergeCell ref="N159:O159"/>
    <mergeCell ref="B160:E160"/>
    <mergeCell ref="F160:G160"/>
    <mergeCell ref="H160:I160"/>
    <mergeCell ref="G79:I79"/>
    <mergeCell ref="K84:N84"/>
    <mergeCell ref="G83:I83"/>
    <mergeCell ref="K81:N81"/>
    <mergeCell ref="O77:P77"/>
    <mergeCell ref="K77:N77"/>
    <mergeCell ref="C70:P70"/>
    <mergeCell ref="J140:L142"/>
    <mergeCell ref="J143:L144"/>
    <mergeCell ref="C143:I144"/>
    <mergeCell ref="A82:E82"/>
    <mergeCell ref="K86:N86"/>
    <mergeCell ref="O86:P86"/>
    <mergeCell ref="O139:O140"/>
    <mergeCell ref="G80:I80"/>
    <mergeCell ref="K82:N82"/>
    <mergeCell ref="B92:L93"/>
    <mergeCell ref="P139:P140"/>
    <mergeCell ref="A81:E81"/>
    <mergeCell ref="H155:I157"/>
    <mergeCell ref="J155:K157"/>
    <mergeCell ref="L155:M157"/>
    <mergeCell ref="B158:E158"/>
    <mergeCell ref="F158:G158"/>
    <mergeCell ref="H158:I158"/>
    <mergeCell ref="J158:K158"/>
    <mergeCell ref="L158:M158"/>
    <mergeCell ref="L127:M127"/>
    <mergeCell ref="J154:M154"/>
    <mergeCell ref="F155:G157"/>
    <mergeCell ref="L162:M162"/>
    <mergeCell ref="N162:O162"/>
    <mergeCell ref="K78:N78"/>
    <mergeCell ref="O78:P78"/>
    <mergeCell ref="A101:P101"/>
    <mergeCell ref="A149:P149"/>
    <mergeCell ref="H125:I125"/>
    <mergeCell ref="O80:P80"/>
    <mergeCell ref="K80:N80"/>
    <mergeCell ref="A84:E84"/>
    <mergeCell ref="A83:E83"/>
    <mergeCell ref="G86:I86"/>
    <mergeCell ref="G84:I84"/>
    <mergeCell ref="K85:N85"/>
    <mergeCell ref="L126:M126"/>
    <mergeCell ref="M135:P135"/>
    <mergeCell ref="K79:N79"/>
    <mergeCell ref="A80:E80"/>
    <mergeCell ref="O84:P84"/>
    <mergeCell ref="O85:P85"/>
    <mergeCell ref="J160:K160"/>
    <mergeCell ref="L160:M160"/>
    <mergeCell ref="J161:K161"/>
    <mergeCell ref="L161:M161"/>
    <mergeCell ref="C173:K174"/>
    <mergeCell ref="M176:P176"/>
    <mergeCell ref="M174:P174"/>
    <mergeCell ref="A167:P167"/>
    <mergeCell ref="A111:P111"/>
    <mergeCell ref="L94:L95"/>
    <mergeCell ref="J127:K127"/>
    <mergeCell ref="J125:K125"/>
    <mergeCell ref="F125:G125"/>
    <mergeCell ref="A147:P147"/>
    <mergeCell ref="F126:G126"/>
    <mergeCell ref="J126:K126"/>
    <mergeCell ref="M173:P173"/>
    <mergeCell ref="H127:I127"/>
    <mergeCell ref="L125:M125"/>
    <mergeCell ref="I129:J129"/>
    <mergeCell ref="K129:L129"/>
    <mergeCell ref="O143:O144"/>
    <mergeCell ref="P141:P142"/>
    <mergeCell ref="A126:B127"/>
    <mergeCell ref="B162:E162"/>
    <mergeCell ref="F162:G162"/>
    <mergeCell ref="H162:I162"/>
    <mergeCell ref="J162:K162"/>
    <mergeCell ref="A426:P426"/>
    <mergeCell ref="J353:K353"/>
    <mergeCell ref="M356:P356"/>
    <mergeCell ref="M352:P352"/>
    <mergeCell ref="J358:K358"/>
    <mergeCell ref="J359:K359"/>
    <mergeCell ref="M361:P361"/>
    <mergeCell ref="J208:K208"/>
    <mergeCell ref="L208:M208"/>
    <mergeCell ref="M367:P367"/>
    <mergeCell ref="J366:K366"/>
    <mergeCell ref="J356:K356"/>
    <mergeCell ref="M359:P359"/>
    <mergeCell ref="J360:K360"/>
    <mergeCell ref="M360:P360"/>
    <mergeCell ref="J365:K365"/>
    <mergeCell ref="I287:L287"/>
    <mergeCell ref="I288:J288"/>
    <mergeCell ref="I289:L289"/>
    <mergeCell ref="P289:P290"/>
    <mergeCell ref="O289:O290"/>
    <mergeCell ref="M353:P353"/>
    <mergeCell ref="J354:K354"/>
    <mergeCell ref="M354:P354"/>
    <mergeCell ref="M177:P177"/>
    <mergeCell ref="A393:P393"/>
    <mergeCell ref="J367:K367"/>
    <mergeCell ref="B270:L270"/>
    <mergeCell ref="J362:K362"/>
    <mergeCell ref="A374:P374"/>
    <mergeCell ref="A376:P376"/>
    <mergeCell ref="B279:P279"/>
    <mergeCell ref="B383:L386"/>
    <mergeCell ref="O386:P386"/>
    <mergeCell ref="D380:I380"/>
    <mergeCell ref="M383:N384"/>
    <mergeCell ref="M362:P362"/>
    <mergeCell ref="O385:P385"/>
    <mergeCell ref="O384:P384"/>
    <mergeCell ref="C370:M370"/>
    <mergeCell ref="M351:P351"/>
    <mergeCell ref="C347:M348"/>
    <mergeCell ref="C199:L199"/>
    <mergeCell ref="C196:L196"/>
    <mergeCell ref="K225:L225"/>
    <mergeCell ref="A308:P308"/>
    <mergeCell ref="C198:L198"/>
    <mergeCell ref="A186:P186"/>
    <mergeCell ref="R344:S346"/>
    <mergeCell ref="A203:P203"/>
    <mergeCell ref="A223:P223"/>
    <mergeCell ref="A240:P240"/>
    <mergeCell ref="A201:P201"/>
    <mergeCell ref="A257:P257"/>
    <mergeCell ref="A259:P259"/>
    <mergeCell ref="I335:L335"/>
    <mergeCell ref="L344:M346"/>
    <mergeCell ref="A272:P272"/>
    <mergeCell ref="A231:P231"/>
    <mergeCell ref="M235:M236"/>
    <mergeCell ref="B267:L267"/>
    <mergeCell ref="A250:P250"/>
    <mergeCell ref="I245:J245"/>
    <mergeCell ref="E216:H216"/>
    <mergeCell ref="E215:H215"/>
    <mergeCell ref="M245:N245"/>
    <mergeCell ref="A238:P238"/>
    <mergeCell ref="K226:L226"/>
    <mergeCell ref="J216:M216"/>
    <mergeCell ref="J213:M213"/>
    <mergeCell ref="J209:M209"/>
    <mergeCell ref="J215:M215"/>
    <mergeCell ref="A1:P1"/>
    <mergeCell ref="A3:L4"/>
    <mergeCell ref="O75:P75"/>
    <mergeCell ref="A76:E76"/>
    <mergeCell ref="G76:I76"/>
    <mergeCell ref="K76:N76"/>
    <mergeCell ref="O76:P76"/>
    <mergeCell ref="A74:E75"/>
    <mergeCell ref="O74:P74"/>
    <mergeCell ref="G74:I75"/>
    <mergeCell ref="K74:N75"/>
    <mergeCell ref="F29:O29"/>
    <mergeCell ref="F31:O31"/>
    <mergeCell ref="F12:N12"/>
    <mergeCell ref="F13:O13"/>
    <mergeCell ref="F14:O14"/>
    <mergeCell ref="B6:F6"/>
    <mergeCell ref="F15:O15"/>
    <mergeCell ref="F17:O17"/>
    <mergeCell ref="M33:P33"/>
    <mergeCell ref="F22:O22"/>
    <mergeCell ref="F23:O23"/>
    <mergeCell ref="M40:P41"/>
    <mergeCell ref="M55:P56"/>
    <mergeCell ref="A422:P422"/>
    <mergeCell ref="A403:P403"/>
    <mergeCell ref="A432:P432"/>
    <mergeCell ref="A440:P440"/>
    <mergeCell ref="J351:K351"/>
    <mergeCell ref="J357:K357"/>
    <mergeCell ref="A395:P395"/>
    <mergeCell ref="M357:P357"/>
    <mergeCell ref="A109:P109"/>
    <mergeCell ref="F127:G127"/>
    <mergeCell ref="H135:I135"/>
    <mergeCell ref="C133:L133"/>
    <mergeCell ref="J123:M123"/>
    <mergeCell ref="F123:I123"/>
    <mergeCell ref="O123:P123"/>
    <mergeCell ref="L124:M124"/>
    <mergeCell ref="F124:G124"/>
    <mergeCell ref="J134:L137"/>
    <mergeCell ref="C181:L181"/>
    <mergeCell ref="C180:L180"/>
    <mergeCell ref="M175:P175"/>
    <mergeCell ref="N160:O160"/>
    <mergeCell ref="E214:H214"/>
    <mergeCell ref="A165:P165"/>
    <mergeCell ref="B161:E161"/>
    <mergeCell ref="F161:G161"/>
    <mergeCell ref="H161:I161"/>
    <mergeCell ref="G466:I466"/>
    <mergeCell ref="J363:K363"/>
    <mergeCell ref="A248:P248"/>
    <mergeCell ref="A332:P332"/>
    <mergeCell ref="B269:L269"/>
    <mergeCell ref="A338:P338"/>
    <mergeCell ref="A340:P340"/>
    <mergeCell ref="A446:P446"/>
    <mergeCell ref="A445:P445"/>
    <mergeCell ref="B387:P387"/>
    <mergeCell ref="M363:P363"/>
    <mergeCell ref="J352:K352"/>
    <mergeCell ref="M366:P366"/>
    <mergeCell ref="J355:K355"/>
    <mergeCell ref="A414:P414"/>
    <mergeCell ref="A416:P416"/>
    <mergeCell ref="J361:K361"/>
    <mergeCell ref="M355:P355"/>
    <mergeCell ref="A430:P430"/>
    <mergeCell ref="A283:P283"/>
    <mergeCell ref="A420:P420"/>
    <mergeCell ref="AA30:AF30"/>
    <mergeCell ref="X31:AC31"/>
    <mergeCell ref="AD31:AI31"/>
    <mergeCell ref="Z33:AC33"/>
    <mergeCell ref="F30:O30"/>
    <mergeCell ref="M34:P34"/>
    <mergeCell ref="F24:O24"/>
    <mergeCell ref="X33:Y33"/>
    <mergeCell ref="AD33:AE33"/>
    <mergeCell ref="AF33:AI33"/>
    <mergeCell ref="Q18:S26"/>
    <mergeCell ref="I33:L33"/>
    <mergeCell ref="F18:O18"/>
    <mergeCell ref="F21:O21"/>
    <mergeCell ref="F19:O19"/>
    <mergeCell ref="G33:H33"/>
    <mergeCell ref="F20:O20"/>
    <mergeCell ref="F25:O25"/>
    <mergeCell ref="A438:P438"/>
    <mergeCell ref="F26:O26"/>
    <mergeCell ref="F27:O27"/>
    <mergeCell ref="F28:O28"/>
    <mergeCell ref="J138:K138"/>
    <mergeCell ref="J139:L139"/>
    <mergeCell ref="H139:I139"/>
    <mergeCell ref="K87:N87"/>
    <mergeCell ref="O87:P87"/>
    <mergeCell ref="G82:I82"/>
    <mergeCell ref="O82:P82"/>
    <mergeCell ref="I106:L108"/>
    <mergeCell ref="K83:N83"/>
    <mergeCell ref="O83:P83"/>
    <mergeCell ref="A87:E87"/>
    <mergeCell ref="G87:I87"/>
    <mergeCell ref="G85:I85"/>
    <mergeCell ref="C139:F140"/>
    <mergeCell ref="C141:H142"/>
    <mergeCell ref="P143:P144"/>
    <mergeCell ref="J124:K124"/>
    <mergeCell ref="O141:O142"/>
    <mergeCell ref="A281:P281"/>
    <mergeCell ref="A316:P316"/>
    <mergeCell ref="C297:M297"/>
    <mergeCell ref="C296:M296"/>
    <mergeCell ref="C299:M299"/>
    <mergeCell ref="C300:M300"/>
    <mergeCell ref="C304:M304"/>
    <mergeCell ref="I311:L311"/>
    <mergeCell ref="I244:J244"/>
    <mergeCell ref="M244:N244"/>
    <mergeCell ref="A306:P306"/>
    <mergeCell ref="Q12:U14"/>
    <mergeCell ref="Q1:V5"/>
    <mergeCell ref="J214:M214"/>
    <mergeCell ref="A220:P220"/>
    <mergeCell ref="A188:P188"/>
    <mergeCell ref="E212:H212"/>
    <mergeCell ref="J212:M212"/>
    <mergeCell ref="E213:H213"/>
    <mergeCell ref="A314:P314"/>
    <mergeCell ref="M60:P61"/>
    <mergeCell ref="O81:P81"/>
    <mergeCell ref="F16:O16"/>
    <mergeCell ref="G77:I77"/>
    <mergeCell ref="A78:E78"/>
    <mergeCell ref="A77:E77"/>
    <mergeCell ref="A79:E79"/>
    <mergeCell ref="G81:I81"/>
    <mergeCell ref="G78:I78"/>
    <mergeCell ref="C194:L194"/>
    <mergeCell ref="H124:I124"/>
    <mergeCell ref="A85:E85"/>
    <mergeCell ref="A86:E86"/>
    <mergeCell ref="C134:F137"/>
    <mergeCell ref="H97:I97"/>
  </mergeCells>
  <conditionalFormatting sqref="F105">
    <cfRule type="expression" dxfId="33" priority="168">
      <formula>AND($O$205&gt;0,$O$205&lt;4,OR($I$205="Statutory Redevelopment Plan",$I$205="Redevelopment Zone",$I$205="Local Redevelopment Plan"))</formula>
    </cfRule>
  </conditionalFormatting>
  <conditionalFormatting sqref="I91">
    <cfRule type="containsText" dxfId="32" priority="56" operator="containsText" text="&lt;&lt; Select Election or Income Averaging &gt;&gt;">
      <formula>NOT(ISERROR(SEARCH("&lt;&lt; Select Election or Income Averaging &gt;&gt;",I91)))</formula>
    </cfRule>
  </conditionalFormatting>
  <conditionalFormatting sqref="I129">
    <cfRule type="containsText" dxfId="31" priority="48" operator="containsText" text="Pick A1 or A2!">
      <formula>NOT(ISERROR(SEARCH("Pick A1 or A2!",I129)))</formula>
    </cfRule>
  </conditionalFormatting>
  <conditionalFormatting sqref="K129">
    <cfRule type="containsText" dxfId="30" priority="47" operator="containsText" text="Pick A1 or A2!">
      <formula>NOT(ISERROR(SEARCH("Pick A1 or A2!",K129)))</formula>
    </cfRule>
  </conditionalFormatting>
  <conditionalFormatting sqref="L94:L95">
    <cfRule type="containsText" dxfId="29" priority="73" operator="containsText" text="CHOOSE EITHER A OR B, NOT BOTH!">
      <formula>NOT(ISERROR(SEARCH("CHOOSE EITHER A OR B, NOT BOTH!",L94)))</formula>
    </cfRule>
  </conditionalFormatting>
  <conditionalFormatting sqref="L184">
    <cfRule type="cellIs" dxfId="28" priority="91" stopIfTrue="1" operator="equal">
      <formula>"* * Check Score! * *"</formula>
    </cfRule>
  </conditionalFormatting>
  <conditionalFormatting sqref="L255">
    <cfRule type="cellIs" dxfId="27" priority="49" operator="equal">
      <formula>"Choose option 1 or 2 or 3 or 4!!!"</formula>
    </cfRule>
  </conditionalFormatting>
  <conditionalFormatting sqref="L263:L264">
    <cfRule type="cellIs" dxfId="26" priority="94" stopIfTrue="1" operator="equal">
      <formula>"* * Check Score! * *"</formula>
    </cfRule>
  </conditionalFormatting>
  <conditionalFormatting sqref="L266">
    <cfRule type="cellIs" dxfId="25" priority="95" stopIfTrue="1" operator="equal">
      <formula>"* * Check Score! * *"</formula>
    </cfRule>
  </conditionalFormatting>
  <conditionalFormatting sqref="L268">
    <cfRule type="cellIs" dxfId="24" priority="76" stopIfTrue="1" operator="equal">
      <formula>"* * Check Score! * *"</formula>
    </cfRule>
  </conditionalFormatting>
  <conditionalFormatting sqref="L349">
    <cfRule type="cellIs" dxfId="23" priority="87" stopIfTrue="1" operator="equal">
      <formula>"* * Check Score! * *"</formula>
    </cfRule>
  </conditionalFormatting>
  <conditionalFormatting sqref="L369">
    <cfRule type="cellIs" dxfId="22" priority="86" stopIfTrue="1" operator="equal">
      <formula>"* * Check Score! * *"</formula>
    </cfRule>
  </conditionalFormatting>
  <conditionalFormatting sqref="M135">
    <cfRule type="containsText" dxfId="21" priority="54" operator="containsText" text="Pick A1 or A2!">
      <formula>NOT(ISERROR(SEARCH("Pick A1 or A2!",M135)))</formula>
    </cfRule>
  </conditionalFormatting>
  <conditionalFormatting sqref="N334:N335">
    <cfRule type="cellIs" dxfId="20" priority="128" stopIfTrue="1" operator="equal">
      <formula>"* * Check Score! * *"</formula>
    </cfRule>
  </conditionalFormatting>
  <conditionalFormatting sqref="O89">
    <cfRule type="containsText" dxfId="19" priority="55" operator="containsText" text="AorB?">
      <formula>NOT(ISERROR(SEARCH("AorB?",O89)))</formula>
    </cfRule>
  </conditionalFormatting>
  <conditionalFormatting sqref="O94:O95">
    <cfRule type="cellIs" dxfId="18" priority="59" operator="notEqual">
      <formula>$M94</formula>
    </cfRule>
  </conditionalFormatting>
  <conditionalFormatting sqref="O106:O107">
    <cfRule type="cellIs" priority="105" operator="notEqual">
      <formula>$M106</formula>
    </cfRule>
  </conditionalFormatting>
  <conditionalFormatting sqref="O133">
    <cfRule type="cellIs" dxfId="17" priority="72" operator="notEqual">
      <formula>$M133</formula>
    </cfRule>
  </conditionalFormatting>
  <conditionalFormatting sqref="O139">
    <cfRule type="cellIs" dxfId="16" priority="171" operator="notEqual">
      <formula>$M139</formula>
    </cfRule>
  </conditionalFormatting>
  <conditionalFormatting sqref="O141 O143">
    <cfRule type="cellIs" dxfId="15" priority="71" operator="notEqual">
      <formula>$M141</formula>
    </cfRule>
  </conditionalFormatting>
  <conditionalFormatting sqref="O172">
    <cfRule type="cellIs" dxfId="14" priority="3" operator="notEqual">
      <formula>$M172</formula>
    </cfRule>
  </conditionalFormatting>
  <conditionalFormatting sqref="O180:O182">
    <cfRule type="cellIs" dxfId="13" priority="42" operator="notEqual">
      <formula>$M180</formula>
    </cfRule>
  </conditionalFormatting>
  <conditionalFormatting sqref="O184">
    <cfRule type="cellIs" dxfId="12" priority="60" operator="notEqual">
      <formula>$M184</formula>
    </cfRule>
  </conditionalFormatting>
  <conditionalFormatting sqref="O207">
    <cfRule type="cellIs" dxfId="11" priority="7" operator="greaterThan">
      <formula>$M207</formula>
    </cfRule>
  </conditionalFormatting>
  <conditionalFormatting sqref="O211">
    <cfRule type="cellIs" dxfId="10" priority="6" operator="greaterThan">
      <formula>$M211</formula>
    </cfRule>
  </conditionalFormatting>
  <conditionalFormatting sqref="O242">
    <cfRule type="cellIs" dxfId="9" priority="5" operator="notEqual">
      <formula>$M242</formula>
    </cfRule>
  </conditionalFormatting>
  <conditionalFormatting sqref="O152:P152">
    <cfRule type="cellIs" dxfId="8" priority="131" operator="greaterThan">
      <formula>M152</formula>
    </cfRule>
  </conditionalFormatting>
  <conditionalFormatting sqref="P172">
    <cfRule type="cellIs" dxfId="7" priority="2" operator="notEqual">
      <formula>$M172</formula>
    </cfRule>
  </conditionalFormatting>
  <conditionalFormatting sqref="P180:P182">
    <cfRule type="cellIs" dxfId="6" priority="41" operator="notEqual">
      <formula>$M180</formula>
    </cfRule>
  </conditionalFormatting>
  <conditionalFormatting sqref="Q137">
    <cfRule type="cellIs" dxfId="5" priority="129" stopIfTrue="1" operator="equal">
      <formula>"* * Check Score! * *"</formula>
    </cfRule>
  </conditionalFormatting>
  <conditionalFormatting sqref="R322:R325">
    <cfRule type="cellIs" dxfId="4" priority="57" stopIfTrue="1" operator="equal">
      <formula>"* * Check Score! * *"</formula>
    </cfRule>
  </conditionalFormatting>
  <dataValidations count="25">
    <dataValidation type="list" allowBlank="1" showInputMessage="1" showErrorMessage="1" sqref="D380:I380" xr:uid="{AAE94FB1-41C3-4C2E-828E-775127AD411A}">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allowBlank="1" showInputMessage="1" showErrorMessage="1" sqref="O243:P243 O344:P347 O263:P265 O99:P99 O370:P372 O269:P269 O105:P105 O235:P236 O321:P325 O327:P330 O132:P132 O267:P267 O319:P319 O191:P191 O194:P196 O198:P199 O115:P119 O350:P350 O302:P304 O276:P277 O296:P297 O299:P300 F158:O163" xr:uid="{6FED61D3-0CE4-4A78-82BD-AD627D2120B1}">
      <formula1>"Yes, No, N/a"</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58:C463 C453:C454" xr:uid="{7D3F1407-8B1B-4165-AEA2-EF35F443B643}"/>
    <dataValidation type="list" allowBlank="1" showInputMessage="1" showErrorMessage="1" sqref="P168 P433 P396 P189 P151 P377 P404 P417 P406 P423 P427 P42:P44 P48:P49" xr:uid="{FAE5D780-259C-4970-BFAF-64354BB8B6A3}">
      <formula1>"Yes, No"</formula1>
    </dataValidation>
    <dataValidation type="whole" operator="lessThanOrEqual" allowBlank="1" showInputMessage="1" showErrorMessage="1" sqref="P94" xr:uid="{EB2862BB-22BE-4AB9-A462-A7CC96E43A1D}">
      <formula1>$M94</formula1>
    </dataValidation>
    <dataValidation type="list" allowBlank="1" showInputMessage="1" showErrorMessage="1" sqref="F76:F87 J77 J79 J81 J83 J85 J87 O77:P77 O80:P87 P69 P13:P32" xr:uid="{FBD3E4CE-BE4F-414C-A738-8849D236A7BC}">
      <formula1>"0,1"</formula1>
    </dataValidation>
    <dataValidation type="whole" operator="equal" allowBlank="1" showErrorMessage="1" errorTitle="Incorrect Point Value Entered" error="Please re-check the point value for this criterion." sqref="O94:O95" xr:uid="{78AB13E6-4160-4792-8E1C-17D1E2107F02}">
      <formula1>$M94</formula1>
    </dataValidation>
    <dataValidation type="decimal" operator="lessThanOrEqual" allowBlank="1" showInputMessage="1" showErrorMessage="1" sqref="O106:P106 O152:P152 O133:P133" xr:uid="{63256E38-AF48-4FB7-83E4-D48D58677739}">
      <formula1>$M106</formula1>
    </dataValidation>
    <dataValidation type="list" allowBlank="1" showInputMessage="1" showErrorMessage="1" sqref="L208" xr:uid="{58523550-8AE6-4C7E-AB71-96432B7B77DA}">
      <formula1>"Site Census Tract, Other Census Tract"</formula1>
    </dataValidation>
    <dataValidation type="list" allowBlank="1" showInputMessage="1" showErrorMessage="1" sqref="E216 J216" xr:uid="{33F2D980-05B5-4550-B117-3E071CAD82D6}">
      <formula1>"Above 60th Percentile/Below 80th Percentile, At or Above 80th Percentile, At or Below 60th Percentile"</formula1>
    </dataValidation>
    <dataValidation type="list" allowBlank="1" showInputMessage="1" showErrorMessage="1" sqref="J213:J215 E213:E215" xr:uid="{F2E465AD-5B33-4FC4-822C-FBB1DADEF8FF}">
      <formula1>"Above 60th Percentile, At or Below 60th Percentile"</formula1>
    </dataValidation>
    <dataValidation type="list" allowBlank="1" showInputMessage="1" showErrorMessage="1" sqref="I214:I216" xr:uid="{8434226C-8124-4ABB-BF7D-A0524163D26C}">
      <formula1>"2018,2019,2020"</formula1>
    </dataValidation>
    <dataValidation type="whole" operator="equal" allowBlank="1" showInputMessage="1" showErrorMessage="1" sqref="P143 P141" xr:uid="{F88D3DB6-8F9D-4AC9-BB8B-F86E1E6B0D7E}">
      <formula1>$M141</formula1>
    </dataValidation>
    <dataValidation type="list" allowBlank="1" showInputMessage="1" showErrorMessage="1" sqref="P424 O418" xr:uid="{6786D9B5-534C-4B20-B0A9-F423BC46A006}">
      <formula1>"2, 4, 6"</formula1>
    </dataValidation>
    <dataValidation type="list" allowBlank="1" showInputMessage="1" showErrorMessage="1" sqref="O428:P428" xr:uid="{8504D7D8-CF97-481A-BD47-66B8CE94F6C8}">
      <formula1>"2, 3, 4"</formula1>
    </dataValidation>
    <dataValidation type="list" allowBlank="1" showInputMessage="1" showErrorMessage="1" sqref="O435:P435" xr:uid="{668697D5-4330-4A72-8232-6E9600CFBE52}">
      <formula1>"4, 6"</formula1>
    </dataValidation>
    <dataValidation type="list" allowBlank="1" showInputMessage="1" showErrorMessage="1" sqref="O436:P436" xr:uid="{3109AB72-AEC0-4479-A03E-9F4B0D755580}">
      <formula1>"2, 4"</formula1>
    </dataValidation>
    <dataValidation type="list" allowBlank="1" showInputMessage="1" showErrorMessage="1" sqref="O134:P134" xr:uid="{D283B339-410A-4BC5-90C8-CB6165FFA85D}">
      <formula1>"4, 4.5, 5"</formula1>
    </dataValidation>
    <dataValidation type="list" allowBlank="1" showInputMessage="1" showErrorMessage="1" sqref="O139:P140" xr:uid="{32321529-894D-438B-9A38-9085429464C1}">
      <formula1>"1,2,3"</formula1>
    </dataValidation>
    <dataValidation type="list" allowBlank="1" showInputMessage="1" showErrorMessage="1" sqref="O291:P293" xr:uid="{642C1937-EE51-4BE3-A00C-F00BA57149E4}">
      <formula1>"Yes, No, N/a, TBD"</formula1>
    </dataValidation>
    <dataValidation type="list" allowBlank="1" showInputMessage="1" showErrorMessage="1" sqref="I289:L289" xr:uid="{4BBA5AB1-38CF-4F1E-BC93-8AA6B1B107B4}">
      <formula1>"Select Certification, GDOAS Minority Business Enterprise Certification, GDOT Disadvantaged Business Enterprise, NMSDC, TBD (only if Option A)"</formula1>
    </dataValidation>
    <dataValidation type="list" allowBlank="1" showInputMessage="1" showErrorMessage="1" sqref="M55:P56" xr:uid="{E9DF99FC-752B-4AAF-86E8-210EC57423C0}">
      <formula1>"&lt;&lt; Select Activity Type &gt;&gt;, New Supply, Preservation"</formula1>
    </dataValidation>
    <dataValidation type="list" allowBlank="1" showInputMessage="1" showErrorMessage="1" sqref="M60:P61" xr:uid="{C2D53AFA-70E4-4E9F-A3A1-D6759FAEB9E5}">
      <formula1>"&lt;&lt; Select Pool &gt;&gt;, Rural, Other Metro, Atlanta Metro, N/A-4%"</formula1>
    </dataValidation>
    <dataValidation type="list" allowBlank="1" showInputMessage="1" showErrorMessage="1" sqref="J208:K208" xr:uid="{F2AEA5FD-5FA9-4C9E-AC1D-15628B1C7424}">
      <formula1>"&lt;&lt; Select &gt;&gt;,Site Census Tract, Other Census Tract"</formula1>
    </dataValidation>
    <dataValidation type="list" allowBlank="1" showInputMessage="1" showErrorMessage="1" sqref="P418" xr:uid="{0286D075-A88C-4186-8D49-486152E5FF82}">
      <formula1>"0, 2, 4, 6"</formula1>
    </dataValidation>
  </dataValidations>
  <printOptions horizontalCentered="1"/>
  <pageMargins left="0.25" right="0.25" top="0.7" bottom="0.4" header="0.5" footer="0.25"/>
  <pageSetup scale="98" fitToHeight="0" orientation="landscape" horizontalDpi="1200" verticalDpi="1200" r:id="rId1"/>
  <headerFooter>
    <oddHeader>&amp;LGeorgia Department of Community Affairs&amp;C2022 Funding Application&amp;RHousing Finance and Development Division</oddHeader>
    <oddFooter>&amp;L&amp;G &amp;F&amp;C&amp;A&amp;R&amp;P of &amp;N</oddFooter>
  </headerFooter>
  <rowBreaks count="9" manualBreakCount="9">
    <brk id="87" max="16383" man="1"/>
    <brk id="112" max="16383" man="1"/>
    <brk id="150" max="16383" man="1"/>
    <brk id="188" max="16383" man="1"/>
    <brk id="223" max="16383" man="1"/>
    <brk id="260" max="16383" man="1"/>
    <brk id="340" max="16383" man="1"/>
    <brk id="376" max="16383" man="1"/>
    <brk id="404" max="16383" man="1"/>
  </rowBreaks>
  <ignoredErrors>
    <ignoredError sqref="B67:B69 B94:B95 B98:B99 B133:B134 B330 B115:B116 B323:B324 B321 B327" numberStoredAsText="1"/>
    <ignoredError sqref="G63:I63" formulaRange="1"/>
  </ignoredError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P30"/>
  <sheetViews>
    <sheetView showGridLines="0" zoomScaleNormal="100" workbookViewId="0">
      <selection activeCell="A8" sqref="A8:J8"/>
    </sheetView>
  </sheetViews>
  <sheetFormatPr defaultColWidth="9.21875" defaultRowHeight="15"/>
  <cols>
    <col min="1" max="3" width="12.77734375" style="358" customWidth="1"/>
    <col min="4" max="4" width="15.44140625" style="358" customWidth="1"/>
    <col min="5" max="5" width="4.77734375" style="358" customWidth="1"/>
    <col min="6" max="9" width="12.77734375" style="358" customWidth="1"/>
    <col min="10" max="10" width="5.21875" style="358" customWidth="1"/>
    <col min="11" max="16384" width="9.21875" style="358"/>
  </cols>
  <sheetData>
    <row r="1" spans="1:16" ht="15.6">
      <c r="A1" s="4887" t="s">
        <v>7009</v>
      </c>
      <c r="B1" s="4887"/>
      <c r="C1" s="4887"/>
      <c r="D1" s="4887"/>
      <c r="E1" s="4887"/>
      <c r="F1" s="4887"/>
      <c r="G1" s="4887"/>
      <c r="H1" s="4887"/>
      <c r="I1" s="4887"/>
      <c r="J1" s="4887"/>
    </row>
    <row r="2" spans="1:16" ht="15.6">
      <c r="A2" s="4887" t="str">
        <f>'Sensitivity Analysis'!C8</f>
        <v>The Groves</v>
      </c>
      <c r="B2" s="4887"/>
      <c r="C2" s="4887"/>
      <c r="D2" s="4887"/>
      <c r="E2" s="4887"/>
      <c r="F2" s="4887"/>
      <c r="G2" s="4887"/>
      <c r="H2" s="4887"/>
      <c r="I2" s="4887"/>
      <c r="J2" s="4887"/>
    </row>
    <row r="3" spans="1:16" ht="15.6">
      <c r="A3" s="4887" t="str">
        <f>'Subsidy Layering Memo'!F14</f>
        <v>Tifton, Tift</v>
      </c>
      <c r="B3" s="4887"/>
      <c r="C3" s="4887"/>
      <c r="D3" s="4887"/>
      <c r="E3" s="4887"/>
      <c r="F3" s="4887"/>
      <c r="G3" s="4887"/>
      <c r="H3" s="4887"/>
      <c r="I3" s="4887"/>
      <c r="J3" s="4887"/>
    </row>
    <row r="4" spans="1:16" ht="15.6">
      <c r="A4" s="4888" t="s">
        <v>7010</v>
      </c>
      <c r="B4" s="4887"/>
      <c r="C4" s="4887"/>
      <c r="D4" s="4887"/>
      <c r="E4" s="4887"/>
      <c r="F4" s="4887"/>
      <c r="G4" s="4887"/>
      <c r="H4" s="4887"/>
      <c r="I4" s="4887"/>
      <c r="J4" s="4887"/>
    </row>
    <row r="5" spans="1:16" ht="5.25" customHeight="1"/>
    <row r="6" spans="1:16" ht="5.25" customHeight="1"/>
    <row r="7" spans="1:16" ht="15.6">
      <c r="A7" s="4889" t="s">
        <v>7011</v>
      </c>
      <c r="B7" s="4889"/>
      <c r="C7" s="4890"/>
      <c r="M7" s="4891"/>
      <c r="N7" s="4891"/>
      <c r="O7" s="4891"/>
      <c r="P7" s="4891"/>
    </row>
    <row r="8" spans="1:16" ht="57" customHeight="1">
      <c r="A8" s="4892" t="s">
        <v>7012</v>
      </c>
      <c r="B8" s="4892"/>
      <c r="C8" s="4892"/>
      <c r="D8" s="4892"/>
      <c r="E8" s="4892"/>
      <c r="F8" s="4892"/>
      <c r="G8" s="4892"/>
      <c r="H8" s="4892"/>
      <c r="I8" s="4892"/>
      <c r="J8" s="4892"/>
      <c r="K8" s="359"/>
    </row>
    <row r="9" spans="1:16" ht="45.75" customHeight="1">
      <c r="A9" s="4892" t="str">
        <f>_xlfn.CONCAT("In accordance with these plans, and their mandate, the proposed project involves the (New Construction/Substantial Rehabilitation) of affordable rental housing in the City of ", A3, " County, Georgia, with the development of ", 'Sensitivity Analysis'!$C$13, " units set aside for ", 'Sensitivity Analysis'!$C$14, ".")</f>
        <v>In accordance with these plans, and their mandate, the proposed project involves the (New Construction/Substantial Rehabilitation) of affordable rental housing in the City of Tifton, Tift County, Georgia, with the development of 96 units set aside for &lt;&lt; Select PROPOSED Tenancy &gt;&gt;.</v>
      </c>
      <c r="B9" s="4892"/>
      <c r="C9" s="4892"/>
      <c r="D9" s="4892"/>
      <c r="E9" s="4892"/>
      <c r="F9" s="4892"/>
      <c r="G9" s="4892"/>
      <c r="H9" s="4892"/>
      <c r="I9" s="4892"/>
      <c r="J9" s="4892"/>
      <c r="K9" s="359"/>
    </row>
    <row r="10" spans="1:16" ht="15.6">
      <c r="A10" s="2511" t="s">
        <v>7013</v>
      </c>
    </row>
    <row r="11" spans="1:16" ht="16.5" customHeight="1">
      <c r="A11" s="4892" t="str">
        <f>'Subsidy Layering Memo'!A50</f>
        <v xml:space="preserve">Ownership entity:  (NAME) LP, a Georgia Limited Partnership, will be the ownership entity for the proposed project. </v>
      </c>
      <c r="B11" s="4894"/>
      <c r="C11" s="4894"/>
      <c r="D11" s="4894"/>
      <c r="E11" s="4894"/>
      <c r="F11" s="4894"/>
      <c r="G11" s="4894"/>
      <c r="H11" s="4894"/>
      <c r="I11" s="4894"/>
      <c r="J11" s="4892"/>
    </row>
    <row r="12" spans="1:16" ht="63.75" customHeight="1">
      <c r="A12" s="4892" t="str">
        <f>'Subsidy Layering Memo'!A52</f>
        <v xml:space="preserve">General Partner: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v>
      </c>
      <c r="B12" s="4892"/>
      <c r="C12" s="4892"/>
      <c r="D12" s="4892"/>
      <c r="E12" s="4892"/>
      <c r="F12" s="4892"/>
      <c r="G12" s="4892"/>
      <c r="H12" s="4892"/>
      <c r="I12" s="4892"/>
      <c r="J12" s="4892"/>
    </row>
    <row r="13" spans="1:16" ht="48.75" customHeight="1">
      <c r="A13" s="4892" t="str">
        <f>'Subsidy Layering Memo'!A54</f>
        <v>Limited Partner: The Limited Partner entity for the proposed development is (NAME). (NAME) will have a (X%) ownership in Profits and Losses in addition to a (X%)% interest in the ownership entity.   [Detail the state equity partner if it is different from the federal partner]</v>
      </c>
      <c r="B13" s="4892"/>
      <c r="C13" s="4892"/>
      <c r="D13" s="4892"/>
      <c r="E13" s="4892"/>
      <c r="F13" s="4892"/>
      <c r="G13" s="4892"/>
      <c r="H13" s="4892"/>
      <c r="I13" s="4892"/>
      <c r="J13" s="4892"/>
    </row>
    <row r="14" spans="1:16" ht="15.6">
      <c r="A14" s="2511" t="s">
        <v>7014</v>
      </c>
      <c r="B14" s="360"/>
    </row>
    <row r="15" spans="1:16">
      <c r="A15" s="358" t="s">
        <v>7015</v>
      </c>
      <c r="D15" s="739" t="s">
        <v>7016</v>
      </c>
    </row>
    <row r="16" spans="1:16">
      <c r="A16" s="358" t="s">
        <v>7017</v>
      </c>
      <c r="D16" s="863">
        <f>'Sensitivity Analysis'!C25</f>
        <v>1810132</v>
      </c>
    </row>
    <row r="17" spans="1:11">
      <c r="A17" s="361" t="s">
        <v>7018</v>
      </c>
      <c r="D17" s="864">
        <f>'Sensitivity Analysis'!C13</f>
        <v>96</v>
      </c>
    </row>
    <row r="18" spans="1:11" ht="14.25" customHeight="1"/>
    <row r="19" spans="1:11" ht="15.6">
      <c r="A19" s="2511" t="s">
        <v>7019</v>
      </c>
      <c r="B19" s="360"/>
      <c r="C19" s="360"/>
    </row>
    <row r="20" spans="1:11" ht="48.75" customHeight="1">
      <c r="A20" s="4895" t="str">
        <f>'Subsidy Layering Memo'!A65</f>
        <v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v>
      </c>
      <c r="B20" s="4895"/>
      <c r="C20" s="4895"/>
      <c r="D20" s="4895"/>
      <c r="E20" s="4895"/>
      <c r="F20" s="4895"/>
      <c r="G20" s="4895"/>
      <c r="H20" s="4895"/>
      <c r="I20" s="4895"/>
      <c r="J20" s="4895"/>
    </row>
    <row r="21" spans="1:11" ht="72.75" customHeight="1">
      <c r="A21" s="4892" t="str">
        <f>'Subsidy Layering Memo'!A67</f>
        <v xml:space="preserve"> will make a capital contribution totaling 9160000 via the syndication of the 2024 Federal LIHTC allocation of 1145000 per annum. will make a capital contribution totaling 5725000 via the syndication of the 2024 State LIHTC allocation of 1145000 per annum.</v>
      </c>
      <c r="B21" s="4892"/>
      <c r="C21" s="4892"/>
      <c r="D21" s="4892"/>
      <c r="E21" s="4892"/>
      <c r="F21" s="4892"/>
      <c r="G21" s="4892"/>
      <c r="H21" s="4892"/>
      <c r="I21" s="4892"/>
      <c r="J21" s="4892"/>
    </row>
    <row r="22" spans="1:11" ht="43.5" customHeight="1">
      <c r="A22" s="4896" t="str">
        <f>'Subsidy Layering Memo'!A68</f>
        <v xml:space="preserve">The total equity price per credit will be 1.3 (0.8 Federal tax credit and 0.5 State tax credit) for a (X%) ownership interest of the Federal Credits and a (X%) ownership interest of the State Credits. </v>
      </c>
      <c r="B22" s="4896"/>
      <c r="C22" s="4896"/>
      <c r="D22" s="4896"/>
      <c r="E22" s="4896"/>
      <c r="F22" s="4896"/>
      <c r="G22" s="4896"/>
      <c r="H22" s="4896"/>
      <c r="I22" s="4896"/>
      <c r="J22" s="4896"/>
    </row>
    <row r="23" spans="1:11" ht="15.6">
      <c r="A23" s="2511" t="s">
        <v>7020</v>
      </c>
      <c r="B23" s="360"/>
      <c r="C23" s="360"/>
      <c r="D23" s="360"/>
      <c r="E23" s="360"/>
      <c r="F23" s="360"/>
    </row>
    <row r="24" spans="1:11" ht="102.75" customHeight="1">
      <c r="A24" s="4892"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4" s="4892"/>
      <c r="C24" s="4892"/>
      <c r="D24" s="4892"/>
      <c r="E24" s="4892"/>
      <c r="F24" s="4892"/>
      <c r="G24" s="4892"/>
      <c r="H24" s="4892"/>
      <c r="I24" s="4892"/>
      <c r="J24" s="4892"/>
    </row>
    <row r="25" spans="1:11" ht="15" customHeight="1">
      <c r="A25" s="4893"/>
      <c r="B25" s="4893"/>
      <c r="C25" s="4893"/>
      <c r="D25" s="4893"/>
      <c r="E25" s="4893"/>
      <c r="F25" s="4893"/>
      <c r="G25" s="4893"/>
      <c r="H25" s="4893"/>
      <c r="I25" s="4893"/>
      <c r="J25" s="4893"/>
      <c r="K25" s="358" t="s">
        <v>7021</v>
      </c>
    </row>
    <row r="26" spans="1:11" ht="15" customHeight="1">
      <c r="B26" s="2622"/>
      <c r="C26" s="2622"/>
      <c r="D26" s="2622"/>
      <c r="E26" s="2622"/>
      <c r="F26" s="2622"/>
      <c r="G26" s="2622"/>
      <c r="H26" s="2622"/>
      <c r="I26" s="2622" t="s">
        <v>7021</v>
      </c>
      <c r="J26" s="2622"/>
    </row>
    <row r="27" spans="1:11" ht="15.6">
      <c r="A27" s="360" t="s">
        <v>7022</v>
      </c>
    </row>
    <row r="29" spans="1:11" ht="15.6" thickBot="1">
      <c r="A29" s="362"/>
      <c r="B29" s="362"/>
      <c r="C29" s="362"/>
      <c r="D29" s="362"/>
      <c r="F29" s="362"/>
      <c r="G29" s="362"/>
      <c r="H29" s="362"/>
      <c r="I29" s="362"/>
    </row>
    <row r="30" spans="1:11">
      <c r="A30" s="358" t="s">
        <v>7023</v>
      </c>
      <c r="D30" s="358" t="s">
        <v>4582</v>
      </c>
      <c r="F30" s="358" t="s">
        <v>7024</v>
      </c>
      <c r="I30" s="358" t="s">
        <v>4582</v>
      </c>
      <c r="J30" s="358" t="s">
        <v>7021</v>
      </c>
    </row>
  </sheetData>
  <sheetProtection algorithmName="SHA-512" hashValue="r2Uh+D7JOQp16iO2/dVKcaPsBJZYix7TGWGAEl5y8yMEBsh0nS76gGTW/4CIFVlfRYiibO7Dv8XiHxQ2/rmFPQ==" saltValue="+UNKC4wcZksiH8yPr9/mIQ==" spinCount="100000" sheet="1" objects="1" scenarios="1" formatColumns="0" formatRows="0"/>
  <mergeCells count="16">
    <mergeCell ref="M7:P7"/>
    <mergeCell ref="A9:J9"/>
    <mergeCell ref="A25:J25"/>
    <mergeCell ref="A11:J11"/>
    <mergeCell ref="A12:J12"/>
    <mergeCell ref="A13:J13"/>
    <mergeCell ref="A20:J20"/>
    <mergeCell ref="A21:J21"/>
    <mergeCell ref="A24:J24"/>
    <mergeCell ref="A8:J8"/>
    <mergeCell ref="A22:J22"/>
    <mergeCell ref="A1:J1"/>
    <mergeCell ref="A2:J2"/>
    <mergeCell ref="A3:J3"/>
    <mergeCell ref="A4:J4"/>
    <mergeCell ref="A7:C7"/>
  </mergeCells>
  <printOptions horizontalCentered="1"/>
  <pageMargins left="0.5" right="0.5" top="0.5" bottom="0.5" header="0.3" footer="0.3"/>
  <pageSetup scale="85" fitToHeight="0"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2:R210"/>
  <sheetViews>
    <sheetView showGridLines="0" zoomScaleNormal="100" workbookViewId="0">
      <selection activeCell="F14" sqref="F14"/>
    </sheetView>
  </sheetViews>
  <sheetFormatPr defaultColWidth="9.21875" defaultRowHeight="13.8"/>
  <cols>
    <col min="1" max="1" width="9.21875" style="366"/>
    <col min="2" max="2" width="7.77734375" style="366" customWidth="1"/>
    <col min="3" max="3" width="14.77734375" style="366" customWidth="1"/>
    <col min="4" max="4" width="20.21875" style="366" customWidth="1"/>
    <col min="5" max="5" width="8" style="366" customWidth="1"/>
    <col min="6" max="6" width="5.21875" style="366" customWidth="1"/>
    <col min="7" max="7" width="5.44140625" style="366" customWidth="1"/>
    <col min="8" max="8" width="8.5546875" style="366" customWidth="1"/>
    <col min="9" max="9" width="28.5546875" style="366" customWidth="1"/>
    <col min="10" max="10" width="4.21875" style="366" hidden="1" customWidth="1"/>
    <col min="11" max="11" width="9.21875" style="366"/>
    <col min="12" max="12" width="16.21875" style="366" customWidth="1"/>
    <col min="13" max="13" width="11.21875" style="366" customWidth="1"/>
    <col min="14" max="14" width="10.77734375" style="366" bestFit="1" customWidth="1"/>
    <col min="15" max="15" width="28.5546875" style="366" customWidth="1"/>
    <col min="16" max="16384" width="9.21875" style="366"/>
  </cols>
  <sheetData>
    <row r="2" spans="1:10">
      <c r="A2" s="363" t="s">
        <v>7025</v>
      </c>
      <c r="B2" s="364"/>
      <c r="C2" s="364"/>
      <c r="D2" s="364"/>
      <c r="E2" s="365"/>
      <c r="F2" s="364"/>
      <c r="G2" s="364"/>
      <c r="H2" s="364"/>
      <c r="I2" s="364"/>
      <c r="J2" s="364"/>
    </row>
    <row r="3" spans="1:10">
      <c r="A3" s="367"/>
    </row>
    <row r="4" spans="1:10">
      <c r="A4" s="367" t="s">
        <v>7026</v>
      </c>
      <c r="D4" s="366" t="s">
        <v>7027</v>
      </c>
    </row>
    <row r="5" spans="1:10">
      <c r="A5" s="367"/>
    </row>
    <row r="6" spans="1:10">
      <c r="A6" s="367" t="s">
        <v>7028</v>
      </c>
      <c r="D6" s="366" t="s">
        <v>7029</v>
      </c>
    </row>
    <row r="7" spans="1:10">
      <c r="A7" s="367"/>
    </row>
    <row r="8" spans="1:10">
      <c r="A8" s="367" t="s">
        <v>7030</v>
      </c>
      <c r="D8" s="368" t="s">
        <v>7031</v>
      </c>
    </row>
    <row r="9" spans="1:10">
      <c r="A9" s="367"/>
    </row>
    <row r="10" spans="1:10">
      <c r="A10" s="367" t="s">
        <v>7032</v>
      </c>
      <c r="D10" s="368" t="s">
        <v>7033</v>
      </c>
    </row>
    <row r="11" spans="1:10">
      <c r="A11" s="367"/>
      <c r="D11" s="2626"/>
    </row>
    <row r="12" spans="1:10">
      <c r="A12" s="367" t="s">
        <v>7034</v>
      </c>
      <c r="D12" s="366" t="s">
        <v>46</v>
      </c>
      <c r="F12" s="2626" t="str">
        <f>'Sensitivity Analysis'!$C$8</f>
        <v>The Groves</v>
      </c>
    </row>
    <row r="13" spans="1:10">
      <c r="A13" s="367"/>
      <c r="D13" s="366" t="s">
        <v>7035</v>
      </c>
      <c r="F13" s="2626" t="str">
        <f>'Sensitivity Analysis'!E8</f>
        <v>2026-0xx</v>
      </c>
    </row>
    <row r="14" spans="1:10">
      <c r="A14" s="367"/>
      <c r="D14" s="366" t="s">
        <v>7036</v>
      </c>
      <c r="F14" s="2626" t="str">
        <f>'Sensitivity Analysis'!H8</f>
        <v>Tifton, Tift</v>
      </c>
    </row>
    <row r="15" spans="1:10">
      <c r="A15" s="367"/>
      <c r="D15" s="366" t="s">
        <v>7037</v>
      </c>
      <c r="F15" s="4906">
        <f>'Sensitivity Analysis'!$C$25</f>
        <v>1810132</v>
      </c>
      <c r="G15" s="4906"/>
      <c r="H15" s="4906"/>
    </row>
    <row r="16" spans="1:10">
      <c r="D16" s="369" t="s">
        <v>7038</v>
      </c>
      <c r="F16" s="1720">
        <f>'Sensitivity Analysis'!C13</f>
        <v>96</v>
      </c>
      <c r="G16" s="1718">
        <f>'Sensitivity Analysis'!E13</f>
        <v>96</v>
      </c>
      <c r="H16" s="1719">
        <f>ProrationMethodCostAllocatnDCA!$D$64</f>
        <v>0</v>
      </c>
    </row>
    <row r="17" spans="1:18">
      <c r="A17" s="369"/>
      <c r="D17" s="369" t="s">
        <v>7039</v>
      </c>
      <c r="F17" s="370" t="str">
        <f>'Sensitivity Analysis'!C14</f>
        <v>&lt;&lt; Select PROPOSED Tenancy &gt;&gt;</v>
      </c>
    </row>
    <row r="18" spans="1:18">
      <c r="A18" s="367"/>
      <c r="D18" s="369" t="s">
        <v>7040</v>
      </c>
      <c r="F18" s="2626" t="str">
        <f>'Sensitivity Analysis'!H15</f>
        <v>Rural</v>
      </c>
    </row>
    <row r="19" spans="1:18">
      <c r="A19" s="367"/>
      <c r="D19" s="369" t="s">
        <v>7041</v>
      </c>
      <c r="F19" s="2626">
        <f>'Sensitivity Analysis'!E16</f>
        <v>0</v>
      </c>
    </row>
    <row r="20" spans="1:18">
      <c r="A20" s="367"/>
      <c r="D20" s="369"/>
    </row>
    <row r="21" spans="1:18">
      <c r="A21" s="2512" t="s">
        <v>7042</v>
      </c>
    </row>
    <row r="22" spans="1:18" ht="111.75" customHeight="1">
      <c r="A22" s="4898" t="s">
        <v>7043</v>
      </c>
      <c r="B22" s="4898"/>
      <c r="C22" s="4898"/>
      <c r="D22" s="4898"/>
      <c r="E22" s="4898"/>
      <c r="F22" s="4898"/>
      <c r="G22" s="4898"/>
      <c r="H22" s="4898"/>
      <c r="I22" s="4898"/>
      <c r="J22" s="4898"/>
      <c r="K22" s="4897" t="s">
        <v>7044</v>
      </c>
      <c r="L22" s="4897"/>
      <c r="M22" s="4897"/>
      <c r="N22" s="4897"/>
      <c r="O22" s="865"/>
      <c r="P22" s="865"/>
      <c r="Q22" s="865"/>
      <c r="R22" s="865"/>
    </row>
    <row r="23" spans="1:18" ht="0.75" hidden="1" customHeight="1">
      <c r="A23" s="2621"/>
      <c r="B23" s="2621"/>
      <c r="C23" s="2621"/>
      <c r="D23" s="2621"/>
      <c r="E23" s="2621"/>
      <c r="F23" s="2621"/>
      <c r="G23" s="2621"/>
      <c r="H23" s="2621"/>
      <c r="I23" s="2621"/>
      <c r="J23" s="2621"/>
    </row>
    <row r="24" spans="1:18" ht="9.75" hidden="1" customHeight="1">
      <c r="A24" s="4899"/>
      <c r="B24" s="4899"/>
      <c r="C24" s="4899"/>
      <c r="D24" s="4899"/>
      <c r="E24" s="4899"/>
      <c r="F24" s="4899"/>
      <c r="G24" s="4899"/>
      <c r="H24" s="4899"/>
      <c r="I24" s="4899"/>
      <c r="J24" s="4899"/>
    </row>
    <row r="25" spans="1:18" ht="10.5" hidden="1" customHeight="1">
      <c r="A25" s="4896"/>
      <c r="B25" s="4896"/>
      <c r="C25" s="4896"/>
      <c r="D25" s="4896"/>
      <c r="E25" s="4896"/>
      <c r="F25" s="4896"/>
      <c r="G25" s="4896"/>
      <c r="H25" s="4896"/>
      <c r="I25" s="4896"/>
      <c r="J25" s="4896"/>
    </row>
    <row r="26" spans="1:18">
      <c r="A26" s="2512" t="s">
        <v>7045</v>
      </c>
    </row>
    <row r="27" spans="1:18" ht="14.25" customHeight="1">
      <c r="A27" s="4900" t="s">
        <v>7046</v>
      </c>
      <c r="B27" s="4900"/>
      <c r="C27" s="4900"/>
      <c r="D27" s="4900"/>
      <c r="E27" s="4900"/>
      <c r="F27" s="4900"/>
      <c r="G27" s="4900"/>
      <c r="H27" s="4900"/>
      <c r="I27" s="4900"/>
      <c r="J27" s="4900"/>
    </row>
    <row r="28" spans="1:18" ht="14.25" customHeight="1">
      <c r="A28" s="4900"/>
      <c r="B28" s="4900"/>
      <c r="C28" s="4900"/>
      <c r="D28" s="4900"/>
      <c r="E28" s="4900"/>
      <c r="F28" s="4900"/>
      <c r="G28" s="4900"/>
      <c r="H28" s="4900"/>
      <c r="I28" s="4900"/>
      <c r="J28" s="4900"/>
    </row>
    <row r="29" spans="1:18" ht="6.75" customHeight="1">
      <c r="A29" s="4900"/>
      <c r="B29" s="4900"/>
      <c r="C29" s="4900"/>
      <c r="D29" s="4900"/>
      <c r="E29" s="4900"/>
      <c r="F29" s="4900"/>
      <c r="G29" s="4900"/>
      <c r="H29" s="4900"/>
      <c r="I29" s="4900"/>
      <c r="J29" s="4900"/>
    </row>
    <row r="30" spans="1:18" ht="21.75" customHeight="1">
      <c r="A30" s="4900"/>
      <c r="B30" s="4900"/>
      <c r="C30" s="4900"/>
      <c r="D30" s="4900"/>
      <c r="E30" s="4900"/>
      <c r="F30" s="4900"/>
      <c r="G30" s="4900"/>
      <c r="H30" s="4900"/>
      <c r="I30" s="4900"/>
      <c r="J30" s="4900"/>
    </row>
    <row r="31" spans="1:18" ht="20.25" customHeight="1">
      <c r="A31" s="4900"/>
      <c r="B31" s="4900"/>
      <c r="C31" s="4900"/>
      <c r="D31" s="4900"/>
      <c r="E31" s="4900"/>
      <c r="F31" s="4900"/>
      <c r="G31" s="4900"/>
      <c r="H31" s="4900"/>
      <c r="I31" s="4900"/>
      <c r="J31" s="4900"/>
    </row>
    <row r="32" spans="1:18" ht="54.75" customHeight="1">
      <c r="A32" s="4900"/>
      <c r="B32" s="4900"/>
      <c r="C32" s="4900"/>
      <c r="D32" s="4900"/>
      <c r="E32" s="4900"/>
      <c r="F32" s="4900"/>
      <c r="G32" s="4900"/>
      <c r="H32" s="4900"/>
      <c r="I32" s="4900"/>
      <c r="J32" s="4900"/>
    </row>
    <row r="33" spans="1:10" ht="0.75" hidden="1" customHeight="1">
      <c r="A33" s="4900"/>
      <c r="B33" s="4900"/>
      <c r="C33" s="4900"/>
      <c r="D33" s="4900"/>
      <c r="E33" s="4900"/>
      <c r="F33" s="4900"/>
      <c r="G33" s="4900"/>
      <c r="H33" s="4900"/>
      <c r="I33" s="4900"/>
      <c r="J33" s="4900"/>
    </row>
    <row r="34" spans="1:10" ht="3.75" hidden="1" customHeight="1">
      <c r="A34" s="4900"/>
      <c r="B34" s="4900"/>
      <c r="C34" s="4900"/>
      <c r="D34" s="4900"/>
      <c r="E34" s="4900"/>
      <c r="F34" s="4900"/>
      <c r="G34" s="4900"/>
      <c r="H34" s="4900"/>
      <c r="I34" s="4900"/>
      <c r="J34" s="4900"/>
    </row>
    <row r="35" spans="1:10" ht="5.25" customHeight="1">
      <c r="A35" s="862"/>
      <c r="B35" s="862"/>
      <c r="C35" s="862"/>
      <c r="D35" s="862"/>
      <c r="E35" s="862"/>
      <c r="F35" s="862"/>
      <c r="G35" s="862"/>
      <c r="H35" s="862"/>
      <c r="I35" s="862"/>
      <c r="J35" s="862"/>
    </row>
    <row r="36" spans="1:10" ht="19.5" customHeight="1">
      <c r="A36" s="4899" t="s">
        <v>7047</v>
      </c>
      <c r="B36" s="4899"/>
      <c r="C36" s="4899"/>
      <c r="D36" s="2621"/>
      <c r="E36" s="2621"/>
      <c r="F36" s="2621"/>
      <c r="G36" s="2621"/>
      <c r="H36" s="2621"/>
      <c r="I36" s="2621"/>
      <c r="J36" s="2621"/>
    </row>
    <row r="37" spans="1:10" ht="22.5" customHeight="1">
      <c r="A37" s="4896" t="s">
        <v>1511</v>
      </c>
      <c r="B37" s="4896"/>
      <c r="C37" s="4896"/>
      <c r="D37" s="4896"/>
      <c r="E37" s="4896"/>
      <c r="F37" s="4896"/>
      <c r="G37" s="4896"/>
      <c r="H37" s="4896"/>
      <c r="I37" s="4896"/>
      <c r="J37" s="4896"/>
    </row>
    <row r="38" spans="1:10" ht="22.5" customHeight="1">
      <c r="A38" s="4896" t="s">
        <v>1513</v>
      </c>
      <c r="B38" s="4896"/>
      <c r="C38" s="4896"/>
      <c r="D38" s="4896"/>
      <c r="E38" s="4896"/>
      <c r="F38" s="4896"/>
      <c r="G38" s="4896"/>
      <c r="H38" s="4896"/>
      <c r="I38" s="4896"/>
      <c r="J38" s="4896"/>
    </row>
    <row r="39" spans="1:10" ht="22.5" customHeight="1">
      <c r="A39" s="4896" t="s">
        <v>1514</v>
      </c>
      <c r="B39" s="4896"/>
      <c r="C39" s="4896"/>
      <c r="D39" s="4896"/>
      <c r="E39" s="4896"/>
      <c r="F39" s="4896"/>
      <c r="G39" s="4896"/>
      <c r="H39" s="4896"/>
      <c r="I39" s="4896"/>
      <c r="J39" s="4896"/>
    </row>
    <row r="40" spans="1:10" ht="22.5" customHeight="1">
      <c r="A40" s="4896" t="s">
        <v>1515</v>
      </c>
      <c r="B40" s="4896"/>
      <c r="C40" s="4896"/>
      <c r="D40" s="4896"/>
      <c r="E40" s="4896"/>
      <c r="F40" s="4896"/>
      <c r="G40" s="4896"/>
      <c r="H40" s="4896"/>
      <c r="I40" s="4896"/>
      <c r="J40" s="4896"/>
    </row>
    <row r="41" spans="1:10" ht="22.5" customHeight="1">
      <c r="A41" s="4896" t="s">
        <v>4562</v>
      </c>
      <c r="B41" s="4896"/>
      <c r="C41" s="4896"/>
      <c r="D41" s="4896"/>
      <c r="E41" s="4896"/>
      <c r="F41" s="4896"/>
      <c r="G41" s="4896"/>
      <c r="H41" s="4896"/>
      <c r="I41" s="4896"/>
      <c r="J41" s="4896"/>
    </row>
    <row r="42" spans="1:10" ht="22.5" customHeight="1">
      <c r="A42" s="4896" t="s">
        <v>4564</v>
      </c>
      <c r="B42" s="4896"/>
      <c r="C42" s="4896"/>
      <c r="D42" s="4896"/>
      <c r="E42" s="4896"/>
      <c r="F42" s="4896"/>
      <c r="G42" s="4896"/>
      <c r="H42" s="4896"/>
      <c r="I42" s="4896"/>
      <c r="J42" s="4896"/>
    </row>
    <row r="43" spans="1:10" ht="22.5" customHeight="1">
      <c r="A43" s="4896" t="s">
        <v>4566</v>
      </c>
      <c r="B43" s="4896"/>
      <c r="C43" s="4896"/>
      <c r="D43" s="4896"/>
      <c r="E43" s="4896"/>
      <c r="F43" s="4896"/>
      <c r="G43" s="4896"/>
      <c r="H43" s="4896"/>
      <c r="I43" s="4896"/>
      <c r="J43" s="4896"/>
    </row>
    <row r="44" spans="1:10" ht="22.5" customHeight="1">
      <c r="A44" s="4896" t="s">
        <v>4568</v>
      </c>
      <c r="B44" s="4896"/>
      <c r="C44" s="4896"/>
      <c r="D44" s="4896"/>
      <c r="E44" s="4896"/>
      <c r="F44" s="4896"/>
      <c r="G44" s="4896"/>
      <c r="H44" s="4896"/>
      <c r="I44" s="4896"/>
      <c r="J44" s="4896"/>
    </row>
    <row r="45" spans="1:10" ht="2.25" customHeight="1">
      <c r="A45" s="2621"/>
      <c r="B45" s="2621"/>
      <c r="C45" s="2621"/>
      <c r="D45" s="2621"/>
      <c r="E45" s="2621"/>
      <c r="F45" s="2621"/>
      <c r="G45" s="2621"/>
      <c r="H45" s="2621"/>
      <c r="I45" s="2621"/>
      <c r="J45" s="2621"/>
    </row>
    <row r="46" spans="1:10">
      <c r="A46" s="2512" t="s">
        <v>7048</v>
      </c>
    </row>
    <row r="47" spans="1:10" ht="135" customHeight="1">
      <c r="A47" s="4896" t="s">
        <v>7049</v>
      </c>
      <c r="B47" s="4896"/>
      <c r="C47" s="4896"/>
      <c r="D47" s="4896"/>
      <c r="E47" s="4896"/>
      <c r="F47" s="4896"/>
      <c r="G47" s="4896"/>
      <c r="H47" s="4896"/>
      <c r="I47" s="4896"/>
      <c r="J47" s="4896"/>
    </row>
    <row r="48" spans="1:10" ht="6" customHeight="1">
      <c r="A48" s="2623"/>
      <c r="B48" s="2623"/>
      <c r="C48" s="2623"/>
      <c r="D48" s="2623"/>
      <c r="E48" s="2623"/>
      <c r="F48" s="2623"/>
      <c r="G48" s="2623"/>
      <c r="H48" s="2623"/>
      <c r="I48" s="2623"/>
      <c r="J48" s="2623"/>
    </row>
    <row r="49" spans="1:12">
      <c r="A49" s="2512" t="s">
        <v>7050</v>
      </c>
    </row>
    <row r="50" spans="1:12" ht="33" customHeight="1">
      <c r="A50" s="4892" t="s">
        <v>7051</v>
      </c>
      <c r="B50" s="4894"/>
      <c r="C50" s="4894"/>
      <c r="D50" s="4894"/>
      <c r="E50" s="4894"/>
      <c r="F50" s="4894"/>
      <c r="G50" s="4894"/>
      <c r="H50" s="4894"/>
      <c r="I50" s="4894"/>
      <c r="J50" s="4892"/>
    </row>
    <row r="51" spans="1:12" ht="3" customHeight="1"/>
    <row r="52" spans="1:12" ht="72.75" customHeight="1">
      <c r="A52" s="4892" t="s">
        <v>7052</v>
      </c>
      <c r="B52" s="4892"/>
      <c r="C52" s="4892"/>
      <c r="D52" s="4892"/>
      <c r="E52" s="4892"/>
      <c r="F52" s="4892"/>
      <c r="G52" s="4892"/>
      <c r="H52" s="4892"/>
      <c r="I52" s="4892"/>
      <c r="J52" s="4892"/>
    </row>
    <row r="53" spans="1:12" ht="3" customHeight="1">
      <c r="A53" s="2621"/>
      <c r="B53" s="2621"/>
      <c r="C53" s="2621"/>
      <c r="D53" s="2621"/>
      <c r="E53" s="2621"/>
      <c r="F53" s="2621"/>
      <c r="G53" s="2621"/>
      <c r="H53" s="2621"/>
      <c r="I53" s="2621"/>
      <c r="J53" s="2621"/>
    </row>
    <row r="54" spans="1:12" ht="56.25" customHeight="1">
      <c r="A54" s="4892" t="s">
        <v>7053</v>
      </c>
      <c r="B54" s="4892"/>
      <c r="C54" s="4892"/>
      <c r="D54" s="4892"/>
      <c r="E54" s="4892"/>
      <c r="F54" s="4892"/>
      <c r="G54" s="4892"/>
      <c r="H54" s="4892"/>
      <c r="I54" s="4892"/>
      <c r="J54" s="4892"/>
    </row>
    <row r="55" spans="1:12" ht="3" customHeight="1">
      <c r="A55" s="2621"/>
      <c r="B55" s="2621"/>
      <c r="C55" s="2621"/>
      <c r="D55" s="2621"/>
      <c r="E55" s="2621"/>
      <c r="F55" s="2621"/>
      <c r="G55" s="2621"/>
      <c r="H55" s="2621"/>
      <c r="I55" s="2621"/>
      <c r="J55" s="2621"/>
    </row>
    <row r="56" spans="1:12" ht="49.5" customHeight="1">
      <c r="A56" s="4892" t="s">
        <v>7054</v>
      </c>
      <c r="B56" s="4892"/>
      <c r="C56" s="4892"/>
      <c r="D56" s="4892"/>
      <c r="E56" s="4892"/>
      <c r="F56" s="4892"/>
      <c r="G56" s="4892"/>
      <c r="H56" s="4892"/>
      <c r="I56" s="4892"/>
      <c r="J56" s="2621"/>
    </row>
    <row r="57" spans="1:12" ht="3" customHeight="1">
      <c r="A57" s="2621"/>
      <c r="B57" s="2621"/>
      <c r="C57" s="2621"/>
      <c r="D57" s="2621"/>
      <c r="E57" s="2621"/>
      <c r="F57" s="2621"/>
      <c r="G57" s="2621"/>
      <c r="H57" s="2621"/>
      <c r="I57" s="2621"/>
      <c r="J57" s="2621"/>
    </row>
    <row r="58" spans="1:12" ht="54.75" customHeight="1">
      <c r="A58" s="4911" t="s">
        <v>7055</v>
      </c>
      <c r="B58" s="4892"/>
      <c r="C58" s="4892"/>
      <c r="D58" s="4892"/>
      <c r="E58" s="4892"/>
      <c r="F58" s="4892"/>
      <c r="G58" s="4892"/>
      <c r="H58" s="4892"/>
      <c r="I58" s="4892"/>
      <c r="J58" s="2621"/>
    </row>
    <row r="59" spans="1:12" ht="3" customHeight="1">
      <c r="A59" s="2621"/>
      <c r="B59" s="2621"/>
      <c r="C59" s="2621"/>
      <c r="D59" s="2621"/>
      <c r="E59" s="2621"/>
      <c r="F59" s="2621"/>
      <c r="G59" s="2621"/>
      <c r="H59" s="2621"/>
      <c r="I59" s="2621"/>
      <c r="J59" s="2621"/>
    </row>
    <row r="60" spans="1:12" ht="62.25" customHeight="1">
      <c r="A60" s="4892" t="s">
        <v>7056</v>
      </c>
      <c r="B60" s="4892"/>
      <c r="C60" s="4892"/>
      <c r="D60" s="4892"/>
      <c r="E60" s="4892"/>
      <c r="F60" s="4892"/>
      <c r="G60" s="4892"/>
      <c r="H60" s="4892"/>
      <c r="I60" s="4892"/>
      <c r="J60" s="4892"/>
    </row>
    <row r="61" spans="1:12" ht="3" customHeight="1"/>
    <row r="62" spans="1:12" ht="73.5" customHeight="1">
      <c r="A62" s="4892" t="s">
        <v>7057</v>
      </c>
      <c r="B62" s="4892"/>
      <c r="C62" s="4892"/>
      <c r="D62" s="4892"/>
      <c r="E62" s="4892"/>
      <c r="F62" s="4892"/>
      <c r="G62" s="4892"/>
      <c r="H62" s="4892"/>
      <c r="I62" s="4892"/>
      <c r="J62" s="4892"/>
    </row>
    <row r="63" spans="1:12" ht="6" customHeight="1">
      <c r="A63" s="2621" t="s">
        <v>7021</v>
      </c>
      <c r="B63" s="2621"/>
      <c r="C63" s="2621"/>
      <c r="D63" s="2621"/>
      <c r="E63" s="2621"/>
      <c r="F63" s="2621"/>
      <c r="G63" s="2621"/>
      <c r="H63" s="2621"/>
      <c r="I63" s="2621"/>
      <c r="J63" s="2621"/>
    </row>
    <row r="64" spans="1:12">
      <c r="A64" s="2512" t="s">
        <v>7058</v>
      </c>
      <c r="L64" s="372" t="s">
        <v>7059</v>
      </c>
    </row>
    <row r="65" spans="1:17" ht="46.5" customHeight="1">
      <c r="A65" s="4898" t="s">
        <v>7060</v>
      </c>
      <c r="B65" s="4898"/>
      <c r="C65" s="4898"/>
      <c r="D65" s="4898"/>
      <c r="E65" s="4898"/>
      <c r="F65" s="4898"/>
      <c r="G65" s="4898"/>
      <c r="H65" s="4898"/>
      <c r="I65" s="4898"/>
      <c r="J65" s="4898"/>
      <c r="L65" s="373">
        <f>'Closing term sheet'!C135</f>
        <v>1065797.2</v>
      </c>
      <c r="M65" s="374"/>
      <c r="N65" s="374"/>
      <c r="O65" s="374"/>
    </row>
    <row r="66" spans="1:17" ht="7.5" customHeight="1">
      <c r="A66" s="2621"/>
      <c r="B66" s="2621"/>
      <c r="C66" s="2621"/>
      <c r="D66" s="2621"/>
      <c r="E66" s="2621"/>
      <c r="F66" s="2621"/>
      <c r="G66" s="2621"/>
      <c r="H66" s="2621"/>
      <c r="I66" s="2621"/>
      <c r="J66" s="2621"/>
      <c r="L66" s="375" t="s">
        <v>7061</v>
      </c>
      <c r="M66" s="376" t="s">
        <v>7062</v>
      </c>
      <c r="N66" s="377" t="s">
        <v>7063</v>
      </c>
      <c r="O66" s="375" t="s">
        <v>7064</v>
      </c>
      <c r="P66" s="376" t="s">
        <v>7065</v>
      </c>
      <c r="Q66" s="377" t="s">
        <v>7066</v>
      </c>
    </row>
    <row r="67" spans="1:17" ht="78.75" customHeight="1">
      <c r="A67" s="4892" t="str">
        <f>_xlfn.CONCAT('Part II-Development Team'!H34," will make a capital contribution totaling ",'Subsidy Layering Memo'!L67," via the syndication of the 2024 Federal LIHTC allocation of ",M67," per annum.",'Part II-Development Team'!H40," will make a capital contribution totaling ",'Subsidy Layering Memo'!O67," via the syndication of the 2024 State LIHTC allocation of ",'Subsidy Layering Memo'!P67," per annum.")</f>
        <v xml:space="preserve"> will make a capital contribution totaling 9160000 via the syndication of the 2024 Federal LIHTC allocation of 1145000 per annum. will make a capital contribution totaling 5725000 via the syndication of the 2024 State LIHTC allocation of 1145000 per annum.</v>
      </c>
      <c r="B67" s="4892"/>
      <c r="C67" s="4892"/>
      <c r="D67" s="4892"/>
      <c r="E67" s="4892"/>
      <c r="F67" s="4892"/>
      <c r="G67" s="4892"/>
      <c r="H67" s="4892"/>
      <c r="I67" s="4892"/>
      <c r="J67" s="378"/>
      <c r="L67" s="1721">
        <f>'Part II-Sources of Funds'!I53</f>
        <v>9160000</v>
      </c>
      <c r="M67" s="1722">
        <f>'Part III-A-Uses of Funds'!$J$192</f>
        <v>1145000</v>
      </c>
      <c r="N67" s="1723">
        <f>'Part III-A-Uses of Funds'!N183</f>
        <v>0.8</v>
      </c>
      <c r="O67" s="1721">
        <f>'Part II-Sources of Funds'!I54</f>
        <v>5725000</v>
      </c>
      <c r="P67" s="1722">
        <f>M67</f>
        <v>1145000</v>
      </c>
      <c r="Q67" s="1723">
        <f>'Part III-A-Uses of Funds'!Q183</f>
        <v>0.5</v>
      </c>
    </row>
    <row r="68" spans="1:17" ht="39.75" customHeight="1">
      <c r="A68" s="4896" t="str">
        <f>_xlfn.CONCAT("The total equity price per credit will be ",SUM(N67,Q67)," (",N67," Federal tax credit and ",Q67," State tax credit) for a (X%) ownership interest of the Federal Credits and a (X%) ownership interest of the State Credits. ")</f>
        <v xml:space="preserve">The total equity price per credit will be 1.3 (0.8 Federal tax credit and 0.5 State tax credit) for a (X%) ownership interest of the Federal Credits and a (X%) ownership interest of the State Credits. </v>
      </c>
      <c r="B68" s="4896"/>
      <c r="C68" s="4896"/>
      <c r="D68" s="4896"/>
      <c r="E68" s="4896"/>
      <c r="F68" s="4896"/>
      <c r="G68" s="4896"/>
      <c r="H68" s="4896"/>
      <c r="I68" s="4896"/>
      <c r="J68" s="378"/>
      <c r="L68" s="1040"/>
      <c r="M68" s="1040"/>
      <c r="N68" s="465"/>
      <c r="O68" s="1040"/>
      <c r="P68" s="1040"/>
      <c r="Q68" s="465"/>
    </row>
    <row r="69" spans="1:17" ht="18.75" customHeight="1">
      <c r="A69" s="379" t="s">
        <v>7067</v>
      </c>
    </row>
    <row r="70" spans="1:17" ht="177" customHeight="1">
      <c r="A70" s="4892" t="s">
        <v>7068</v>
      </c>
      <c r="B70" s="4892"/>
      <c r="C70" s="4892"/>
      <c r="D70" s="4892"/>
      <c r="E70" s="4892"/>
      <c r="F70" s="4892"/>
      <c r="G70" s="4892"/>
      <c r="H70" s="4892"/>
      <c r="I70" s="4892"/>
      <c r="J70" s="4892"/>
      <c r="L70" s="380">
        <f>'Part VI-Pro Forma'!K72</f>
        <v>3.2444565656105198</v>
      </c>
      <c r="M70" s="4905" t="s">
        <v>7069</v>
      </c>
      <c r="N70" s="4897"/>
    </row>
    <row r="71" spans="1:17" ht="6" customHeight="1">
      <c r="A71" s="2512"/>
    </row>
    <row r="72" spans="1:17">
      <c r="A72" s="2512" t="s">
        <v>7070</v>
      </c>
    </row>
    <row r="73" spans="1:17" ht="72.599999999999994" customHeight="1">
      <c r="A73" s="4892" t="s">
        <v>7071</v>
      </c>
      <c r="B73" s="4892"/>
      <c r="C73" s="4892"/>
      <c r="D73" s="4892"/>
      <c r="E73" s="4892"/>
      <c r="F73" s="4892"/>
      <c r="G73" s="4892"/>
      <c r="H73" s="4892"/>
      <c r="I73" s="4892"/>
      <c r="J73" s="4892"/>
    </row>
    <row r="74" spans="1:17" ht="36" customHeight="1">
      <c r="A74" s="4892" t="s">
        <v>7072</v>
      </c>
      <c r="B74" s="4892"/>
      <c r="C74" s="4892"/>
      <c r="D74" s="4892"/>
      <c r="E74" s="4892"/>
      <c r="F74" s="4892"/>
      <c r="G74" s="4892"/>
      <c r="H74" s="4892"/>
      <c r="I74" s="4892"/>
      <c r="J74" s="4892"/>
    </row>
    <row r="75" spans="1:17" ht="6" customHeight="1">
      <c r="A75" s="2512"/>
    </row>
    <row r="76" spans="1:17">
      <c r="A76" s="2512" t="s">
        <v>7073</v>
      </c>
    </row>
    <row r="77" spans="1:17" ht="105.75" customHeight="1">
      <c r="A77" s="4892" t="s">
        <v>7074</v>
      </c>
      <c r="B77" s="4892"/>
      <c r="C77" s="4892"/>
      <c r="D77" s="4892"/>
      <c r="E77" s="4892"/>
      <c r="F77" s="4892"/>
      <c r="G77" s="4892"/>
      <c r="H77" s="4892"/>
      <c r="I77" s="4892"/>
      <c r="J77" s="4892"/>
    </row>
    <row r="78" spans="1:17" ht="6" customHeight="1">
      <c r="A78" s="2512"/>
    </row>
    <row r="79" spans="1:17">
      <c r="A79" s="2512" t="s">
        <v>7075</v>
      </c>
    </row>
    <row r="80" spans="1:17" ht="66" customHeight="1">
      <c r="A80" s="4892" t="s">
        <v>7076</v>
      </c>
      <c r="B80" s="4892"/>
      <c r="C80" s="4892"/>
      <c r="D80" s="4892"/>
      <c r="E80" s="4892"/>
      <c r="F80" s="4892"/>
      <c r="G80" s="4892"/>
      <c r="H80" s="4892"/>
      <c r="I80" s="4892"/>
      <c r="J80" s="4892"/>
    </row>
    <row r="81" spans="1:15" s="862" customFormat="1" ht="6" customHeight="1">
      <c r="A81" s="4892"/>
      <c r="B81" s="4892"/>
      <c r="C81" s="4892"/>
      <c r="D81" s="4892"/>
      <c r="E81" s="4892"/>
      <c r="F81" s="4892"/>
      <c r="G81" s="4892"/>
      <c r="H81" s="4892"/>
      <c r="I81" s="4892"/>
      <c r="J81" s="4892"/>
    </row>
    <row r="82" spans="1:15" ht="16.5" customHeight="1">
      <c r="A82" s="2625" t="s">
        <v>7077</v>
      </c>
      <c r="B82" s="371"/>
      <c r="C82" s="371"/>
      <c r="D82" s="2626"/>
      <c r="E82" s="371"/>
      <c r="F82" s="371"/>
      <c r="G82" s="371"/>
      <c r="H82" s="371"/>
      <c r="I82" s="371"/>
      <c r="J82" s="381"/>
    </row>
    <row r="83" spans="1:15" s="862" customFormat="1" ht="63" customHeight="1">
      <c r="A83" s="4892" t="s">
        <v>7078</v>
      </c>
      <c r="B83" s="4892"/>
      <c r="C83" s="4892"/>
      <c r="D83" s="4892"/>
      <c r="E83" s="4892"/>
      <c r="F83" s="4892"/>
      <c r="G83" s="4892"/>
      <c r="H83" s="4892"/>
      <c r="I83" s="4892"/>
      <c r="J83" s="4892"/>
    </row>
    <row r="84" spans="1:15" s="862" customFormat="1" ht="6" customHeight="1">
      <c r="A84" s="2621"/>
      <c r="B84" s="2621"/>
      <c r="C84" s="2621"/>
      <c r="D84" s="2621"/>
      <c r="E84" s="2621"/>
      <c r="F84" s="2621"/>
      <c r="G84" s="2621"/>
      <c r="H84" s="2621"/>
      <c r="I84" s="2621"/>
      <c r="J84" s="2621"/>
    </row>
    <row r="85" spans="1:15" ht="16.5" customHeight="1">
      <c r="A85" s="4902" t="s">
        <v>7079</v>
      </c>
      <c r="B85" s="4903"/>
      <c r="C85" s="4903"/>
      <c r="D85" s="371"/>
      <c r="E85" s="371"/>
      <c r="F85" s="371"/>
      <c r="G85" s="371"/>
      <c r="H85" s="371"/>
      <c r="I85" s="371"/>
      <c r="J85" s="381"/>
    </row>
    <row r="86" spans="1:15" ht="41.25" customHeight="1">
      <c r="A86" s="4892" t="s">
        <v>7080</v>
      </c>
      <c r="B86" s="4904"/>
      <c r="C86" s="4904"/>
      <c r="D86" s="4904"/>
      <c r="E86" s="4904"/>
      <c r="F86" s="4904"/>
      <c r="G86" s="4904"/>
      <c r="H86" s="4904"/>
      <c r="I86" s="4904"/>
      <c r="J86" s="4904"/>
    </row>
    <row r="87" spans="1:15" ht="6" customHeight="1">
      <c r="A87" s="382"/>
      <c r="B87" s="371"/>
      <c r="C87" s="371"/>
      <c r="D87" s="371"/>
      <c r="E87" s="371"/>
      <c r="F87" s="371"/>
      <c r="G87" s="371"/>
      <c r="H87" s="371"/>
      <c r="I87" s="371"/>
      <c r="J87" s="381"/>
    </row>
    <row r="88" spans="1:15">
      <c r="A88" s="2512" t="s">
        <v>7081</v>
      </c>
    </row>
    <row r="89" spans="1:15" ht="124.2" customHeight="1">
      <c r="A89" s="4892" t="s">
        <v>7082</v>
      </c>
      <c r="B89" s="4892"/>
      <c r="C89" s="4892"/>
      <c r="D89" s="4892"/>
      <c r="E89" s="4892"/>
      <c r="F89" s="4892"/>
      <c r="G89" s="4892"/>
      <c r="H89" s="4892"/>
      <c r="I89" s="4892"/>
      <c r="J89" s="4892"/>
      <c r="L89" s="4897" t="s">
        <v>7083</v>
      </c>
      <c r="M89" s="4897"/>
      <c r="N89" s="4897"/>
    </row>
    <row r="90" spans="1:15" ht="6" customHeight="1">
      <c r="A90" s="2621"/>
      <c r="B90" s="2621"/>
      <c r="C90" s="2621"/>
      <c r="D90" s="2621"/>
      <c r="E90" s="2621"/>
      <c r="F90" s="2621"/>
      <c r="G90" s="2621"/>
      <c r="H90" s="2621"/>
      <c r="I90" s="2621"/>
      <c r="J90" s="2621"/>
      <c r="L90" s="2624"/>
      <c r="M90" s="2624"/>
      <c r="N90" s="2624"/>
    </row>
    <row r="91" spans="1:15" ht="17.25" customHeight="1">
      <c r="A91" s="2512" t="s">
        <v>7084</v>
      </c>
    </row>
    <row r="92" spans="1:15" ht="105" customHeight="1">
      <c r="A92" s="4892" t="s">
        <v>7085</v>
      </c>
      <c r="B92" s="4892"/>
      <c r="C92" s="4892"/>
      <c r="D92" s="4892"/>
      <c r="E92" s="4892"/>
      <c r="F92" s="4892"/>
      <c r="G92" s="4892"/>
      <c r="H92" s="4892"/>
      <c r="I92" s="4892"/>
      <c r="J92" s="4892"/>
      <c r="L92" s="4897" t="s">
        <v>7086</v>
      </c>
      <c r="M92" s="4897"/>
      <c r="N92" s="383" t="e">
        <f>'After-Tax Analysis'!G66</f>
        <v>#VALUE!</v>
      </c>
      <c r="O92" s="384" t="s">
        <v>7087</v>
      </c>
    </row>
    <row r="93" spans="1:15" ht="6" customHeight="1">
      <c r="A93" s="2512"/>
    </row>
    <row r="94" spans="1:15">
      <c r="A94" s="2512" t="s">
        <v>7088</v>
      </c>
    </row>
    <row r="95" spans="1:15" ht="118.5" customHeight="1">
      <c r="A95" s="4892" t="s">
        <v>7089</v>
      </c>
      <c r="B95" s="4892"/>
      <c r="C95" s="4892"/>
      <c r="D95" s="4892"/>
      <c r="E95" s="4892"/>
      <c r="F95" s="4892"/>
      <c r="G95" s="4892"/>
      <c r="H95" s="4892"/>
      <c r="I95" s="4892"/>
      <c r="J95" s="4892"/>
    </row>
    <row r="96" spans="1:15" ht="20.25" customHeight="1">
      <c r="A96" s="4894" t="s">
        <v>7090</v>
      </c>
      <c r="B96" s="4894"/>
      <c r="C96" s="4894"/>
      <c r="D96" s="4892"/>
      <c r="E96" s="2621"/>
      <c r="F96" s="2621"/>
      <c r="G96" s="2621"/>
      <c r="H96" s="2621"/>
      <c r="I96" s="2621"/>
      <c r="J96" s="2621"/>
    </row>
    <row r="97" spans="1:14" ht="109.5" customHeight="1">
      <c r="A97" s="4909" t="s">
        <v>7091</v>
      </c>
      <c r="B97" s="4910"/>
      <c r="C97" s="4910"/>
      <c r="D97" s="4910"/>
      <c r="E97" s="4910"/>
      <c r="F97" s="4910"/>
      <c r="G97" s="4910"/>
      <c r="H97" s="4910"/>
      <c r="I97" s="4910"/>
      <c r="J97" s="4910"/>
    </row>
    <row r="98" spans="1:14" ht="11.25" customHeight="1">
      <c r="A98" s="2512"/>
    </row>
    <row r="99" spans="1:14">
      <c r="A99" s="2512" t="s">
        <v>7092</v>
      </c>
    </row>
    <row r="100" spans="1:14" ht="110.7" customHeight="1">
      <c r="A100" s="4898" t="s">
        <v>7093</v>
      </c>
      <c r="B100" s="4898"/>
      <c r="C100" s="4898"/>
      <c r="D100" s="4898"/>
      <c r="E100" s="4898"/>
      <c r="F100" s="4898"/>
      <c r="G100" s="4898"/>
      <c r="H100" s="4898"/>
      <c r="I100" s="4898"/>
      <c r="J100" s="4898"/>
      <c r="L100" s="701">
        <f>'Part VI-Pro Forma'!K72</f>
        <v>3.2444565656105198</v>
      </c>
      <c r="M100" s="4901" t="s">
        <v>7094</v>
      </c>
      <c r="N100" s="4901"/>
    </row>
    <row r="101" spans="1:14" ht="11.25" hidden="1" customHeight="1">
      <c r="A101" s="2621"/>
      <c r="B101" s="2621"/>
      <c r="C101" s="2621"/>
      <c r="D101" s="2621"/>
      <c r="E101" s="2621"/>
      <c r="F101" s="2621"/>
      <c r="G101" s="2621"/>
      <c r="H101" s="2621"/>
      <c r="I101" s="2621"/>
      <c r="J101" s="2621"/>
    </row>
    <row r="102" spans="1:14" ht="12" hidden="1" customHeight="1">
      <c r="A102" s="2621"/>
      <c r="B102" s="2621"/>
      <c r="C102" s="2621"/>
      <c r="D102" s="2621"/>
      <c r="E102" s="2621"/>
      <c r="F102" s="2621"/>
      <c r="G102" s="2621"/>
      <c r="H102" s="2621"/>
      <c r="I102" s="2621"/>
      <c r="J102" s="381"/>
    </row>
    <row r="103" spans="1:14" ht="6" customHeight="1">
      <c r="A103" s="2621"/>
      <c r="B103" s="2621"/>
      <c r="C103" s="2621"/>
      <c r="D103" s="2621"/>
      <c r="E103" s="2621"/>
      <c r="F103" s="2621"/>
      <c r="G103" s="2621"/>
      <c r="H103" s="2621"/>
      <c r="I103" s="2621"/>
      <c r="J103" s="381"/>
    </row>
    <row r="104" spans="1:14" ht="17.25" customHeight="1">
      <c r="A104" s="4894" t="s">
        <v>7095</v>
      </c>
      <c r="B104" s="4894"/>
      <c r="C104" s="4894"/>
      <c r="D104" s="2621"/>
      <c r="E104" s="2621"/>
      <c r="F104" s="2621"/>
      <c r="G104" s="2621"/>
      <c r="H104" s="2621"/>
      <c r="I104" s="2621"/>
      <c r="J104" s="381"/>
    </row>
    <row r="105" spans="1:14" ht="37.5" customHeight="1">
      <c r="A105" s="4892" t="s">
        <v>7096</v>
      </c>
      <c r="B105" s="4892"/>
      <c r="C105" s="4892"/>
      <c r="D105" s="4892"/>
      <c r="E105" s="4892"/>
      <c r="F105" s="4892"/>
      <c r="G105" s="4892"/>
      <c r="H105" s="4892"/>
      <c r="I105" s="4892"/>
      <c r="J105" s="4892"/>
    </row>
    <row r="106" spans="1:14" ht="6" customHeight="1">
      <c r="A106" s="2512"/>
    </row>
    <row r="107" spans="1:14">
      <c r="A107" s="2512" t="s">
        <v>7097</v>
      </c>
    </row>
    <row r="108" spans="1:14" ht="43.5" customHeight="1">
      <c r="A108" s="4892" t="s">
        <v>7098</v>
      </c>
      <c r="B108" s="4892"/>
      <c r="C108" s="4892"/>
      <c r="D108" s="4892"/>
      <c r="E108" s="4892"/>
      <c r="F108" s="4892"/>
      <c r="G108" s="4892"/>
      <c r="H108" s="4892"/>
      <c r="I108" s="4892"/>
      <c r="J108" s="4892"/>
    </row>
    <row r="109" spans="1:14" ht="6" customHeight="1">
      <c r="A109" s="2621"/>
      <c r="B109" s="2621"/>
      <c r="C109" s="2621"/>
      <c r="D109" s="2621"/>
      <c r="E109" s="2621"/>
      <c r="F109" s="2621"/>
      <c r="G109" s="2621"/>
      <c r="H109" s="2621"/>
      <c r="I109" s="2621"/>
      <c r="J109" s="2621"/>
    </row>
    <row r="110" spans="1:14">
      <c r="A110" s="2512" t="s">
        <v>7099</v>
      </c>
    </row>
    <row r="112" spans="1:14" ht="18" thickBot="1">
      <c r="A112" s="366" t="s">
        <v>7100</v>
      </c>
      <c r="G112" s="994"/>
      <c r="H112" s="366" t="s">
        <v>7101</v>
      </c>
    </row>
    <row r="115" spans="1:10" ht="13.95" customHeight="1" thickBot="1">
      <c r="G115" s="994"/>
      <c r="H115" s="366" t="s">
        <v>7102</v>
      </c>
    </row>
    <row r="116" spans="1:10">
      <c r="A116" s="366" t="s">
        <v>7103</v>
      </c>
    </row>
    <row r="119" spans="1:10" ht="14.4" thickBot="1">
      <c r="A119" s="385"/>
      <c r="B119" s="385"/>
      <c r="C119" s="385"/>
      <c r="D119" s="385"/>
      <c r="F119" s="385"/>
      <c r="G119" s="385"/>
      <c r="H119" s="385"/>
      <c r="I119" s="385"/>
      <c r="J119" s="385"/>
    </row>
    <row r="120" spans="1:10">
      <c r="A120" s="4907" t="s">
        <v>7104</v>
      </c>
      <c r="B120" s="4907"/>
      <c r="C120" s="4907"/>
      <c r="D120" s="4907"/>
      <c r="E120" s="4908"/>
      <c r="F120" s="992" t="s">
        <v>7105</v>
      </c>
      <c r="G120" s="992"/>
      <c r="H120" s="992"/>
      <c r="I120" s="992"/>
      <c r="J120" s="992"/>
    </row>
    <row r="122" spans="1:10" ht="14.4" thickBot="1">
      <c r="A122" s="366" t="s">
        <v>7106</v>
      </c>
      <c r="B122" s="385"/>
      <c r="C122" s="385"/>
      <c r="H122" s="366" t="s">
        <v>7106</v>
      </c>
      <c r="I122" s="993"/>
    </row>
    <row r="210" spans="1:1">
      <c r="A210" s="366" t="str">
        <f>'Subsidy Layering Memo'!A37&amp;".  "</f>
        <v xml:space="preserve">1).  </v>
      </c>
    </row>
  </sheetData>
  <sheetProtection algorithmName="SHA-512" hashValue="ZOkJRkDguSUtj1GStWvO1oHt4mBsuIXcWIKBQSjKEintyML3F4xXgzTzmPEUxXp1wDlEzvUS8Zwd1unS1U4sMA==" saltValue="XLq5bPMmMy3gmbPgh3oz/A==" spinCount="100000" sheet="1" objects="1" scenarios="1" formatColumns="0" formatRows="0"/>
  <mergeCells count="49">
    <mergeCell ref="F15:H15"/>
    <mergeCell ref="A120:E120"/>
    <mergeCell ref="A97:J97"/>
    <mergeCell ref="A104:C104"/>
    <mergeCell ref="A105:J105"/>
    <mergeCell ref="A108:J108"/>
    <mergeCell ref="A80:J80"/>
    <mergeCell ref="A56:I56"/>
    <mergeCell ref="A58:I58"/>
    <mergeCell ref="A60:J60"/>
    <mergeCell ref="A62:J62"/>
    <mergeCell ref="A65:J65"/>
    <mergeCell ref="A67:I67"/>
    <mergeCell ref="A70:J70"/>
    <mergeCell ref="A68:I68"/>
    <mergeCell ref="A39:J39"/>
    <mergeCell ref="M70:N70"/>
    <mergeCell ref="A73:J73"/>
    <mergeCell ref="A74:J74"/>
    <mergeCell ref="A77:J77"/>
    <mergeCell ref="A44:J44"/>
    <mergeCell ref="A100:J100"/>
    <mergeCell ref="M100:N100"/>
    <mergeCell ref="A81:J81"/>
    <mergeCell ref="A83:J83"/>
    <mergeCell ref="A85:C85"/>
    <mergeCell ref="A86:J86"/>
    <mergeCell ref="A89:J89"/>
    <mergeCell ref="L89:N89"/>
    <mergeCell ref="A92:J92"/>
    <mergeCell ref="L92:M92"/>
    <mergeCell ref="A95:J95"/>
    <mergeCell ref="A96:D96"/>
    <mergeCell ref="K22:N22"/>
    <mergeCell ref="A54:J54"/>
    <mergeCell ref="A22:J22"/>
    <mergeCell ref="A24:J24"/>
    <mergeCell ref="A25:J25"/>
    <mergeCell ref="A27:J34"/>
    <mergeCell ref="A36:C36"/>
    <mergeCell ref="A37:J37"/>
    <mergeCell ref="A38:J38"/>
    <mergeCell ref="A47:J47"/>
    <mergeCell ref="A50:J50"/>
    <mergeCell ref="A52:J52"/>
    <mergeCell ref="A40:J40"/>
    <mergeCell ref="A41:J41"/>
    <mergeCell ref="A42:J42"/>
    <mergeCell ref="A43:J43"/>
  </mergeCells>
  <printOptions horizontalCentered="1"/>
  <pageMargins left="0.7" right="0.7" top="0.75" bottom="0.75" header="0.3" footer="0.3"/>
  <pageSetup scale="85" fitToHeight="0" orientation="portrait" r:id="rId1"/>
  <headerFooter>
    <oddFooter>&amp;Cpage &amp;P of &amp;N</oddFooter>
  </headerFooter>
  <rowBreaks count="2" manualBreakCount="2">
    <brk id="45" max="9" man="1"/>
    <brk id="68" max="9" man="1"/>
  </rowBreaks>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4A98-C215-49D4-8E34-126BFA605578}">
  <sheetPr codeName="Sheet18">
    <pageSetUpPr fitToPage="1"/>
  </sheetPr>
  <dimension ref="A1:N84"/>
  <sheetViews>
    <sheetView showGridLines="0" topLeftCell="A11" zoomScaleNormal="100" workbookViewId="0">
      <selection activeCell="K37" activeCellId="1" sqref="K35 K37"/>
    </sheetView>
  </sheetViews>
  <sheetFormatPr defaultColWidth="9.21875" defaultRowHeight="13.2"/>
  <cols>
    <col min="1" max="1" width="16.77734375" customWidth="1"/>
    <col min="2" max="3" width="26.21875" customWidth="1"/>
    <col min="4" max="4" width="9.44140625" customWidth="1"/>
    <col min="5" max="5" width="25.5546875" customWidth="1"/>
    <col min="6" max="6" width="8.5546875" customWidth="1"/>
    <col min="7" max="7" width="21.77734375" customWidth="1"/>
    <col min="8" max="8" width="6.5546875" customWidth="1"/>
    <col min="9" max="9" width="19.21875" customWidth="1"/>
    <col min="10" max="10" width="6.5546875" customWidth="1"/>
    <col min="11" max="11" width="18.77734375" customWidth="1"/>
    <col min="12" max="12" width="7.5546875" customWidth="1"/>
    <col min="13" max="17" width="10.77734375" customWidth="1"/>
  </cols>
  <sheetData>
    <row r="1" spans="1:14" s="6" customFormat="1" ht="17.399999999999999">
      <c r="A1" s="696" t="s">
        <v>7107</v>
      </c>
      <c r="B1" s="392"/>
      <c r="C1" s="392"/>
      <c r="D1" s="392"/>
      <c r="E1" s="392"/>
      <c r="F1" s="392"/>
      <c r="G1" s="392"/>
      <c r="H1" s="392"/>
      <c r="I1" s="392"/>
      <c r="J1" s="392"/>
      <c r="K1" s="392"/>
      <c r="L1" s="360"/>
      <c r="M1" s="360"/>
    </row>
    <row r="2" spans="1:14" s="6" customFormat="1" ht="17.399999999999999">
      <c r="A2" s="696" t="str">
        <f>+"Financial Analysis for:  "&amp;E8&amp;"  "&amp;C8</f>
        <v>Financial Analysis for:  2026-0xx  The Groves</v>
      </c>
      <c r="B2" s="392"/>
      <c r="C2" s="392"/>
      <c r="D2" s="392"/>
      <c r="E2" s="392"/>
      <c r="F2" s="392"/>
      <c r="G2" s="392"/>
      <c r="H2" s="392"/>
      <c r="I2" s="392"/>
      <c r="J2" s="392"/>
      <c r="K2" s="392"/>
      <c r="L2" s="360"/>
      <c r="M2" s="360"/>
    </row>
    <row r="5" spans="1:14" ht="15.6">
      <c r="A5" s="387"/>
      <c r="B5" s="388"/>
      <c r="C5" s="389"/>
      <c r="D5" s="388"/>
      <c r="E5" s="388"/>
      <c r="F5" s="387"/>
      <c r="G5" s="388"/>
      <c r="H5" s="389"/>
      <c r="I5" s="388"/>
      <c r="J5" s="388"/>
      <c r="K5" s="388"/>
      <c r="L5" s="388"/>
      <c r="M5" s="358"/>
    </row>
    <row r="7" spans="1:14" ht="15.6">
      <c r="A7" s="414" t="s">
        <v>7108</v>
      </c>
      <c r="B7" s="407"/>
      <c r="C7" s="1358"/>
      <c r="D7" s="407"/>
      <c r="E7" s="407"/>
      <c r="F7" s="414" t="s">
        <v>7109</v>
      </c>
      <c r="G7" s="407"/>
      <c r="H7" s="4913" t="str">
        <f>IF('Part V-Revenues &amp; Expenses'!$P$133+'Part V-Revenues &amp; Expenses'!$P$136+'Part V-Revenues &amp; Expenses'!$P$139=0,"",IF('Part V-Revenues &amp; Expenses'!$P$133+'Part V-Revenues &amp; Expenses'!$P$136+'Part V-Revenues &amp; Expenses'!$P$139='Part V-Revenues &amp; Expenses'!$P$133,"New Construction", IF('Part V-Revenues &amp; Expenses'!$P$133+'Part V-Revenues &amp; Expenses'!$P$136+'Part V-Revenues &amp; Expenses'!$P$139='Part V-Revenues &amp; Expenses'!$P$136,"Acquisition/Rehabilitation", IF('Part V-Revenues &amp; Expenses'!$P$133+'Part V-Revenues &amp; Expenses'!$P$136+'Part V-Revenues &amp; Expenses'!$P$139='Part V-Revenues &amp; Expenses'!$P$139,"Substantial Rehabilitation","Check core app"))))</f>
        <v>Acquisition/Rehabilitation</v>
      </c>
      <c r="I7" s="4913"/>
      <c r="J7" s="4913"/>
      <c r="K7" s="4913"/>
      <c r="L7" s="407"/>
      <c r="M7" s="358"/>
    </row>
    <row r="8" spans="1:14" ht="15.6">
      <c r="A8" s="414" t="s">
        <v>7110</v>
      </c>
      <c r="B8" s="414"/>
      <c r="C8" s="4913" t="str">
        <f>'Part I-Project Identification'!$F$27</f>
        <v>The Groves</v>
      </c>
      <c r="D8" s="4913"/>
      <c r="E8" s="2627" t="str">
        <f>'Part I-Project Identification'!$O$7</f>
        <v>2026-0xx</v>
      </c>
      <c r="F8" s="414" t="s">
        <v>7111</v>
      </c>
      <c r="G8" s="407"/>
      <c r="H8" s="4913" t="str">
        <f>CONCATENATE('Part I-Project Identification'!$F$28,", ",'Part I-Project Identification'!$J$28)</f>
        <v>Tifton, Tift</v>
      </c>
      <c r="I8" s="4913"/>
      <c r="J8" s="4913"/>
      <c r="K8" s="4913"/>
      <c r="L8" s="407"/>
      <c r="M8" s="390"/>
    </row>
    <row r="9" spans="1:14" ht="15.6">
      <c r="A9" s="414" t="s">
        <v>7112</v>
      </c>
      <c r="B9" s="414"/>
      <c r="C9" s="4913" t="s">
        <v>721</v>
      </c>
      <c r="D9" s="4913"/>
      <c r="E9" s="407"/>
      <c r="F9" s="414" t="s">
        <v>7113</v>
      </c>
      <c r="G9" s="407"/>
      <c r="H9" s="4914"/>
      <c r="I9" s="4914"/>
      <c r="J9" s="4914"/>
      <c r="K9" s="4914"/>
      <c r="L9" s="4914"/>
      <c r="M9" s="390"/>
    </row>
    <row r="10" spans="1:14" ht="15.6">
      <c r="A10" s="414" t="s">
        <v>7114</v>
      </c>
      <c r="B10" s="407"/>
      <c r="C10" s="4915"/>
      <c r="D10" s="4915"/>
      <c r="E10" s="407"/>
      <c r="F10" s="414" t="s">
        <v>7115</v>
      </c>
      <c r="G10" s="407"/>
      <c r="H10" s="4912"/>
      <c r="I10" s="4912"/>
      <c r="J10" s="4912"/>
      <c r="K10" s="4912"/>
      <c r="L10" s="4912"/>
    </row>
    <row r="11" spans="1:14" ht="15.6">
      <c r="A11" s="414" t="s">
        <v>7116</v>
      </c>
      <c r="B11" s="407"/>
      <c r="C11" s="4916"/>
      <c r="D11" s="4916"/>
      <c r="E11" s="1369"/>
      <c r="F11" s="414" t="s">
        <v>216</v>
      </c>
      <c r="G11" s="407"/>
      <c r="H11" s="4912"/>
      <c r="I11" s="4912"/>
      <c r="J11" s="4912"/>
      <c r="K11" s="4912"/>
      <c r="L11" s="4912"/>
      <c r="M11" s="4917"/>
      <c r="N11" s="4918"/>
    </row>
    <row r="12" spans="1:14" ht="15.6">
      <c r="A12" s="414" t="s">
        <v>7117</v>
      </c>
      <c r="B12" s="407"/>
      <c r="C12" s="4916"/>
      <c r="D12" s="4916"/>
      <c r="E12" s="407"/>
      <c r="F12" s="414" t="s">
        <v>7118</v>
      </c>
      <c r="G12" s="407"/>
      <c r="H12" s="4916"/>
      <c r="I12" s="4916"/>
      <c r="J12" s="4916"/>
      <c r="K12" s="4916"/>
      <c r="L12" s="4916"/>
      <c r="M12" s="358"/>
    </row>
    <row r="13" spans="1:14" ht="15.6">
      <c r="A13" s="414" t="s">
        <v>7119</v>
      </c>
      <c r="B13" s="414"/>
      <c r="C13" s="1359">
        <f>'Part V-Revenues &amp; Expenses'!$P$76</f>
        <v>96</v>
      </c>
      <c r="D13" s="11"/>
      <c r="E13" s="1360">
        <f>'Part V-Revenues &amp; Expenses'!$P$72</f>
        <v>96</v>
      </c>
      <c r="F13" s="414" t="s">
        <v>7120</v>
      </c>
      <c r="G13" s="407"/>
      <c r="H13" s="1368"/>
      <c r="I13" s="1362"/>
      <c r="J13" s="1362"/>
      <c r="K13" s="1361">
        <f>'Part V-Revenues &amp; Expenses'!$K$197</f>
        <v>99504</v>
      </c>
      <c r="L13" s="407"/>
      <c r="M13" s="358"/>
    </row>
    <row r="14" spans="1:14" ht="15.6">
      <c r="A14" s="414" t="s">
        <v>7121</v>
      </c>
      <c r="B14" s="407"/>
      <c r="C14" s="1361" t="str">
        <f>'Part VII-Threshold Criteria OLD'!J35</f>
        <v>&lt;&lt; Select PROPOSED Tenancy &gt;&gt;</v>
      </c>
      <c r="D14" s="4913" t="str">
        <f>IF('Part VII-Threshold Criteria OLD'!$N$35=0,"",'Part VII-Threshold Criteria OLD'!$N$35)</f>
        <v/>
      </c>
      <c r="E14" s="4913"/>
      <c r="F14" s="414" t="s">
        <v>7122</v>
      </c>
      <c r="G14" s="407"/>
      <c r="H14" s="4919" t="s">
        <v>7123</v>
      </c>
      <c r="I14" s="4919"/>
      <c r="J14" s="4919"/>
      <c r="K14" s="4919" t="s">
        <v>7123</v>
      </c>
      <c r="L14" s="4919"/>
      <c r="M14" s="358"/>
    </row>
    <row r="15" spans="1:14" ht="15.6">
      <c r="A15" s="414" t="s">
        <v>7124</v>
      </c>
      <c r="B15" s="407"/>
      <c r="C15" s="1363" t="s">
        <v>721</v>
      </c>
      <c r="D15" s="407"/>
      <c r="E15" s="407"/>
      <c r="F15" s="414" t="s">
        <v>7125</v>
      </c>
      <c r="G15" s="407"/>
      <c r="H15" s="2627" t="str">
        <f>'Part I-Project Identification'!K30</f>
        <v>Rural</v>
      </c>
      <c r="I15" s="407"/>
      <c r="J15" s="407"/>
      <c r="K15" s="407"/>
      <c r="L15" s="407"/>
      <c r="M15" s="358"/>
    </row>
    <row r="16" spans="1:14" ht="15.6">
      <c r="A16" s="414" t="s">
        <v>7126</v>
      </c>
      <c r="B16" s="407"/>
      <c r="C16" s="2627">
        <f>'Part VIII Scoring Criteria OLD'!$P$42</f>
        <v>0</v>
      </c>
      <c r="D16" s="1364" t="s">
        <v>2067</v>
      </c>
      <c r="E16" s="2627">
        <f>'Part VIII Scoring Criteria OLD'!$P$48</f>
        <v>0</v>
      </c>
      <c r="F16" s="414"/>
      <c r="G16" s="407"/>
      <c r="H16" s="407"/>
      <c r="I16" s="407"/>
      <c r="J16" s="407"/>
      <c r="K16" s="407"/>
      <c r="L16" s="407"/>
      <c r="M16" s="358"/>
    </row>
    <row r="17" spans="1:13" ht="15">
      <c r="A17" s="407"/>
      <c r="B17" s="407"/>
      <c r="C17" s="407"/>
      <c r="D17" s="407"/>
      <c r="E17" s="407"/>
      <c r="F17" s="407"/>
      <c r="G17" s="407"/>
      <c r="H17" s="407"/>
      <c r="I17" s="407"/>
      <c r="J17" s="407"/>
      <c r="K17" s="407"/>
      <c r="L17" s="407"/>
      <c r="M17" s="358"/>
    </row>
    <row r="18" spans="1:13" ht="15.6">
      <c r="A18" s="414" t="s">
        <v>7127</v>
      </c>
      <c r="B18" s="407"/>
      <c r="C18" s="2628">
        <f>'Part III-A-Uses of Funds'!$G$147</f>
        <v>18027860.545297466</v>
      </c>
      <c r="D18" s="1365">
        <f>IF(C18=0,"",$C$29/C18)</f>
        <v>0.10040747738489521</v>
      </c>
      <c r="E18" s="407" t="s">
        <v>7128</v>
      </c>
      <c r="F18" s="414" t="s">
        <v>7129</v>
      </c>
      <c r="G18" s="407"/>
      <c r="H18" s="4920">
        <f>'Part III-A-Uses of Funds'!$C$49</f>
        <v>7105318</v>
      </c>
      <c r="I18" s="4920"/>
      <c r="J18" s="1366">
        <f>IF(H18=0,"",$C$29/H18)</f>
        <v>0.25475735216917805</v>
      </c>
      <c r="K18" s="4913" t="s">
        <v>7130</v>
      </c>
      <c r="L18" s="4913"/>
      <c r="M18" s="358"/>
    </row>
    <row r="19" spans="1:13" ht="15.6">
      <c r="A19" s="414" t="s">
        <v>7131</v>
      </c>
      <c r="B19" s="407"/>
      <c r="C19" s="2629">
        <f>C18/C13</f>
        <v>187790.21401351527</v>
      </c>
      <c r="D19" s="407"/>
      <c r="E19" s="407"/>
      <c r="F19" s="414" t="s">
        <v>7131</v>
      </c>
      <c r="G19" s="407"/>
      <c r="H19" s="4921">
        <f>H18/C13</f>
        <v>74013.729166666672</v>
      </c>
      <c r="I19" s="4921"/>
      <c r="J19" s="407"/>
      <c r="K19" s="407"/>
      <c r="L19" s="407"/>
      <c r="M19" s="358"/>
    </row>
    <row r="20" spans="1:13" ht="15.6">
      <c r="A20" s="414" t="s">
        <v>7132</v>
      </c>
      <c r="B20" s="407"/>
      <c r="C20" s="2627">
        <f>C18/K13</f>
        <v>181.17724458612182</v>
      </c>
      <c r="D20" s="1367"/>
      <c r="E20" s="1367"/>
      <c r="F20" s="414" t="s">
        <v>7132</v>
      </c>
      <c r="G20" s="407"/>
      <c r="H20" s="4913">
        <f>H18/K13</f>
        <v>71.407360508120277</v>
      </c>
      <c r="I20" s="4921"/>
      <c r="J20" s="407"/>
      <c r="K20" s="407"/>
      <c r="L20" s="407"/>
      <c r="M20" s="358"/>
    </row>
    <row r="21" spans="1:13" ht="15.6">
      <c r="A21" s="360"/>
      <c r="B21" s="358"/>
      <c r="C21" s="391"/>
      <c r="D21" s="358"/>
      <c r="E21" s="358"/>
      <c r="F21" s="360"/>
      <c r="G21" s="358"/>
      <c r="H21" s="391"/>
      <c r="I21" s="358"/>
      <c r="J21" s="358"/>
      <c r="K21" s="358"/>
      <c r="L21" s="358"/>
      <c r="M21" s="358"/>
    </row>
    <row r="22" spans="1:13" ht="15">
      <c r="A22" s="388"/>
      <c r="B22" s="388"/>
      <c r="C22" s="388"/>
      <c r="D22" s="388"/>
      <c r="E22" s="388"/>
      <c r="F22" s="388"/>
      <c r="G22" s="388"/>
      <c r="H22" s="388"/>
      <c r="I22" s="388"/>
      <c r="J22" s="388"/>
      <c r="K22" s="388"/>
      <c r="L22" s="388"/>
      <c r="M22" s="390"/>
    </row>
    <row r="23" spans="1:13" ht="15.6">
      <c r="A23" s="392" t="s">
        <v>7133</v>
      </c>
      <c r="B23" s="386"/>
      <c r="C23" s="386"/>
      <c r="D23" s="386"/>
      <c r="E23" s="358"/>
      <c r="F23" s="358"/>
      <c r="G23" s="358"/>
      <c r="H23" s="358"/>
      <c r="I23" s="358"/>
      <c r="J23" s="358"/>
      <c r="K23" s="358"/>
      <c r="L23" s="358"/>
      <c r="M23" s="390"/>
    </row>
    <row r="24" spans="1:13" ht="27" customHeight="1">
      <c r="A24" s="358"/>
      <c r="B24" s="358"/>
      <c r="C24" s="358"/>
      <c r="D24" s="393" t="s">
        <v>7134</v>
      </c>
      <c r="E24" s="358"/>
      <c r="F24" s="358"/>
      <c r="G24" s="358"/>
      <c r="H24" s="358"/>
      <c r="I24" s="358"/>
      <c r="J24" s="358"/>
      <c r="K24" s="358"/>
      <c r="L24" s="358"/>
      <c r="M24" s="390"/>
    </row>
    <row r="25" spans="1:13" ht="15.6">
      <c r="A25" s="360" t="s">
        <v>7135</v>
      </c>
      <c r="B25" s="394" t="str">
        <f>'Part II-Sources of Funds'!E42</f>
        <v>Seller Loan</v>
      </c>
      <c r="C25" s="395">
        <f>'Part II-Sources of Funds'!I42</f>
        <v>1810132</v>
      </c>
      <c r="D25" s="396" t="s">
        <v>7136</v>
      </c>
      <c r="E25" s="358"/>
      <c r="F25" s="358"/>
      <c r="G25" s="358" t="s">
        <v>7137</v>
      </c>
      <c r="H25" s="358"/>
      <c r="I25" s="358"/>
      <c r="K25" s="395"/>
      <c r="L25" s="358"/>
      <c r="M25" s="390"/>
    </row>
    <row r="26" spans="1:13" ht="15">
      <c r="A26" s="358"/>
      <c r="B26" s="394"/>
      <c r="C26" s="395"/>
      <c r="D26" s="396"/>
      <c r="E26" s="358"/>
      <c r="F26" s="358"/>
      <c r="G26" s="358" t="s">
        <v>7138</v>
      </c>
      <c r="H26" s="358"/>
      <c r="I26" s="358"/>
      <c r="K26" s="397" t="e">
        <f>C29/K25</f>
        <v>#DIV/0!</v>
      </c>
      <c r="L26" s="358"/>
      <c r="M26" s="358"/>
    </row>
    <row r="27" spans="1:13" ht="15">
      <c r="A27" s="358"/>
      <c r="B27" s="394"/>
      <c r="C27" s="395"/>
      <c r="D27" s="396"/>
      <c r="E27" s="358"/>
      <c r="F27" s="358"/>
      <c r="G27" s="358"/>
      <c r="H27" s="358"/>
      <c r="I27" s="358"/>
      <c r="K27" s="358"/>
      <c r="L27" s="358"/>
      <c r="M27" s="358"/>
    </row>
    <row r="28" spans="1:13" ht="15">
      <c r="A28" s="358"/>
      <c r="B28" s="358"/>
      <c r="C28" s="358"/>
      <c r="D28" s="358"/>
      <c r="E28" s="358"/>
      <c r="F28" s="358"/>
      <c r="G28" s="358" t="s">
        <v>7139</v>
      </c>
      <c r="H28" s="358"/>
      <c r="I28" s="358"/>
      <c r="K28" s="395"/>
      <c r="L28" s="358"/>
      <c r="M28" s="358"/>
    </row>
    <row r="29" spans="1:13" ht="16.2" thickBot="1">
      <c r="A29" s="358"/>
      <c r="B29" s="398" t="s">
        <v>7140</v>
      </c>
      <c r="C29" s="2992">
        <f>SUM(C25:C27)</f>
        <v>1810132</v>
      </c>
      <c r="D29" s="358"/>
      <c r="E29" s="358"/>
      <c r="F29" s="358"/>
      <c r="G29" s="358" t="s">
        <v>7141</v>
      </c>
      <c r="H29" s="358"/>
      <c r="I29" s="358"/>
      <c r="K29" s="397" t="e">
        <f>C29/K28</f>
        <v>#DIV/0!</v>
      </c>
      <c r="L29" s="358"/>
      <c r="M29" s="358"/>
    </row>
    <row r="30" spans="1:13" ht="16.2" thickTop="1">
      <c r="A30" s="360" t="s">
        <v>7142</v>
      </c>
      <c r="B30" s="398"/>
      <c r="C30" s="399">
        <f>'Part II-Sources of Funds'!$I$53+'Part II-Sources of Funds'!$I$54</f>
        <v>14885000</v>
      </c>
      <c r="D30" s="358"/>
      <c r="E30" s="358"/>
      <c r="F30" s="358"/>
      <c r="G30" s="358"/>
      <c r="H30" s="358"/>
      <c r="I30" s="358"/>
      <c r="K30" s="400"/>
      <c r="L30" s="358"/>
      <c r="M30" s="358"/>
    </row>
    <row r="31" spans="1:13" ht="15">
      <c r="A31" s="401" t="s">
        <v>7143</v>
      </c>
      <c r="B31" s="394" t="str">
        <f>'Part II-Sources of Funds'!E43</f>
        <v>DCA HOME Loan (Existing)</v>
      </c>
      <c r="C31" s="395">
        <f>'Part II-Sources of Funds'!I43</f>
        <v>1000000</v>
      </c>
      <c r="D31" s="396"/>
      <c r="E31" s="358"/>
      <c r="F31" s="358"/>
      <c r="G31" s="358"/>
      <c r="H31" s="358"/>
      <c r="I31" s="358"/>
      <c r="K31" s="358"/>
      <c r="L31" s="358"/>
      <c r="M31" s="358"/>
    </row>
    <row r="32" spans="1:13" ht="15">
      <c r="A32" s="401" t="s">
        <v>7143</v>
      </c>
      <c r="B32" s="394">
        <f>'Part II-Sources of Funds'!E44</f>
        <v>0</v>
      </c>
      <c r="C32" s="395">
        <f>'Part II-Sources of Funds'!I44</f>
        <v>0</v>
      </c>
      <c r="D32" s="396"/>
      <c r="E32" s="358" t="s">
        <v>7021</v>
      </c>
      <c r="F32" s="358"/>
      <c r="G32" s="358" t="s">
        <v>7144</v>
      </c>
      <c r="H32" s="358"/>
      <c r="I32" s="358"/>
      <c r="K32" s="395"/>
      <c r="L32" s="358"/>
      <c r="M32" s="358"/>
    </row>
    <row r="33" spans="1:13" ht="15.6">
      <c r="A33" s="401" t="s">
        <v>7143</v>
      </c>
      <c r="B33" s="394">
        <f>'Part II-Sources of Funds'!E45</f>
        <v>0</v>
      </c>
      <c r="C33" s="395">
        <f>'Part II-Sources of Funds'!I45</f>
        <v>0</v>
      </c>
      <c r="D33" s="396"/>
      <c r="E33" s="358"/>
      <c r="F33" s="358"/>
      <c r="G33" s="700" t="s">
        <v>7145</v>
      </c>
      <c r="H33" s="700"/>
      <c r="I33" s="700"/>
      <c r="K33" s="397" t="e">
        <f>$C$29/K32</f>
        <v>#DIV/0!</v>
      </c>
      <c r="L33" s="358"/>
      <c r="M33" s="402"/>
    </row>
    <row r="34" spans="1:13" ht="15.6">
      <c r="A34" s="358"/>
      <c r="B34" s="398" t="s">
        <v>7146</v>
      </c>
      <c r="C34" s="399">
        <f>SUM(C31:C33)</f>
        <v>1000000</v>
      </c>
      <c r="D34" s="358"/>
      <c r="E34" s="358"/>
      <c r="F34" s="358"/>
      <c r="G34" s="358"/>
      <c r="H34" s="358"/>
      <c r="I34" s="358"/>
      <c r="K34" s="358"/>
      <c r="L34" s="358"/>
      <c r="M34" s="402"/>
    </row>
    <row r="35" spans="1:13" ht="15.6">
      <c r="A35" s="358"/>
      <c r="B35" s="398"/>
      <c r="C35" s="358"/>
      <c r="D35" s="358"/>
      <c r="E35" s="358"/>
      <c r="F35" s="358"/>
      <c r="G35" s="700" t="s">
        <v>7147</v>
      </c>
      <c r="H35" s="700"/>
      <c r="I35" s="700"/>
      <c r="K35" s="397" t="e">
        <f>(C36)/K25</f>
        <v>#DIV/0!</v>
      </c>
      <c r="L35" s="358"/>
      <c r="M35" s="358"/>
    </row>
    <row r="36" spans="1:13" ht="15.6">
      <c r="A36" s="358"/>
      <c r="B36" s="398" t="s">
        <v>7148</v>
      </c>
      <c r="C36" s="399">
        <f>C29+C34</f>
        <v>2810132</v>
      </c>
      <c r="D36" s="358"/>
      <c r="E36" s="358"/>
      <c r="F36" s="358"/>
      <c r="G36" s="358"/>
      <c r="H36" s="358"/>
      <c r="I36" s="358"/>
      <c r="K36" s="358"/>
      <c r="L36" s="358"/>
      <c r="M36" s="358"/>
    </row>
    <row r="37" spans="1:13" ht="15.6">
      <c r="A37" s="358"/>
      <c r="B37" s="398"/>
      <c r="C37" s="400"/>
      <c r="D37" s="358"/>
      <c r="E37" s="358"/>
      <c r="F37" s="358"/>
      <c r="G37" s="700" t="s">
        <v>7149</v>
      </c>
      <c r="H37" s="700"/>
      <c r="I37" s="700"/>
      <c r="K37" s="397" t="e">
        <f>+(C36)/K32</f>
        <v>#DIV/0!</v>
      </c>
      <c r="L37" s="358"/>
      <c r="M37" s="402"/>
    </row>
    <row r="38" spans="1:13" ht="15.6">
      <c r="A38" s="358"/>
      <c r="B38" s="398" t="s">
        <v>7150</v>
      </c>
      <c r="C38" s="403">
        <f>C36/C18</f>
        <v>0.15587717649241623</v>
      </c>
      <c r="D38" s="358"/>
      <c r="E38" s="358"/>
      <c r="F38" s="358"/>
      <c r="G38" s="358"/>
      <c r="H38" s="358"/>
      <c r="I38" s="358"/>
      <c r="K38" s="358"/>
      <c r="L38" s="358"/>
      <c r="M38" s="402"/>
    </row>
    <row r="39" spans="1:13" ht="15.6">
      <c r="A39" s="358"/>
      <c r="B39" s="398"/>
      <c r="C39" s="400"/>
      <c r="D39" s="358"/>
      <c r="E39" s="358"/>
      <c r="F39" s="358"/>
      <c r="G39" s="358"/>
      <c r="H39" s="358"/>
      <c r="I39" s="358"/>
      <c r="K39" s="358"/>
      <c r="L39" s="358"/>
      <c r="M39" s="358"/>
    </row>
    <row r="40" spans="1:13" ht="15.6">
      <c r="A40" s="358"/>
      <c r="B40" s="398" t="s">
        <v>7151</v>
      </c>
      <c r="C40" s="403">
        <f>C36/H18</f>
        <v>0.39549700660828974</v>
      </c>
      <c r="D40" s="358"/>
      <c r="E40" s="358"/>
      <c r="F40" s="360"/>
      <c r="G40" s="360" t="s">
        <v>7152</v>
      </c>
      <c r="H40" s="358"/>
      <c r="I40" s="358"/>
      <c r="K40" s="397">
        <f>C30/C18</f>
        <v>0.82566647121545012</v>
      </c>
      <c r="L40" s="358"/>
      <c r="M40" s="358"/>
    </row>
    <row r="46" spans="1:13" ht="15.6">
      <c r="A46" s="392" t="s">
        <v>7153</v>
      </c>
      <c r="B46" s="386"/>
      <c r="C46" s="386"/>
      <c r="D46" s="386"/>
      <c r="E46" s="386"/>
      <c r="F46" s="386"/>
      <c r="G46" s="386"/>
      <c r="H46" s="386"/>
      <c r="I46" s="386"/>
      <c r="J46" s="386"/>
      <c r="K46" s="386"/>
      <c r="L46" s="386"/>
      <c r="M46" s="358"/>
    </row>
    <row r="47" spans="1:13" ht="15.6">
      <c r="A47" s="392" t="str">
        <f>C8</f>
        <v>The Groves</v>
      </c>
      <c r="B47" s="386"/>
      <c r="C47" s="386"/>
      <c r="D47" s="386"/>
      <c r="E47" s="386"/>
      <c r="F47" s="386"/>
      <c r="G47" s="386"/>
      <c r="H47" s="386"/>
      <c r="I47" s="386"/>
      <c r="J47" s="386"/>
      <c r="K47" s="386"/>
      <c r="L47" s="386"/>
      <c r="M47" s="358"/>
    </row>
    <row r="50" spans="1:14" s="358" customFormat="1" ht="15.6">
      <c r="A50" s="360" t="s">
        <v>7154</v>
      </c>
      <c r="C50" s="402" t="s">
        <v>7155</v>
      </c>
      <c r="E50" s="404" t="s">
        <v>7156</v>
      </c>
      <c r="F50" s="405">
        <v>0.1</v>
      </c>
      <c r="G50" s="404" t="s">
        <v>7157</v>
      </c>
      <c r="H50" s="405">
        <v>0.05</v>
      </c>
      <c r="I50" s="404" t="s">
        <v>7158</v>
      </c>
      <c r="J50" s="405">
        <v>0.03</v>
      </c>
      <c r="K50" s="4922" t="s">
        <v>7159</v>
      </c>
      <c r="L50" s="4923"/>
      <c r="M50"/>
      <c r="N50"/>
    </row>
    <row r="51" spans="1:14" s="358" customFormat="1" ht="15.6">
      <c r="A51" s="360"/>
      <c r="C51" s="402"/>
      <c r="E51" s="402"/>
      <c r="F51" s="406"/>
      <c r="G51" s="402"/>
      <c r="H51" s="406"/>
      <c r="I51" s="402"/>
      <c r="J51" s="406"/>
      <c r="K51" s="402"/>
      <c r="M51"/>
      <c r="N51"/>
    </row>
    <row r="52" spans="1:14" s="358" customFormat="1" ht="18.75" customHeight="1">
      <c r="B52" s="407" t="s">
        <v>7160</v>
      </c>
      <c r="C52" s="408">
        <f>'Part VI-Pro Forma'!B15</f>
        <v>832236</v>
      </c>
      <c r="D52" s="408"/>
      <c r="E52" s="408">
        <f>$C$52</f>
        <v>832236</v>
      </c>
      <c r="F52" s="408"/>
      <c r="G52" s="408">
        <f>$C$52</f>
        <v>832236</v>
      </c>
      <c r="H52" s="408"/>
      <c r="I52" s="408">
        <f>$C$52</f>
        <v>832236</v>
      </c>
      <c r="J52" s="408"/>
      <c r="K52" s="408">
        <f>$C$52</f>
        <v>832236</v>
      </c>
      <c r="L52" s="409"/>
      <c r="M52"/>
      <c r="N52"/>
    </row>
    <row r="53" spans="1:14" s="358" customFormat="1" ht="18.75" customHeight="1">
      <c r="B53" s="407" t="s">
        <v>7161</v>
      </c>
      <c r="C53" s="408">
        <f>'Part VI-Pro Forma'!B16</f>
        <v>16644.72</v>
      </c>
      <c r="D53" s="408"/>
      <c r="E53" s="408">
        <f>$C$53</f>
        <v>16644.72</v>
      </c>
      <c r="F53" s="408"/>
      <c r="G53" s="408">
        <f>$C$53</f>
        <v>16644.72</v>
      </c>
      <c r="H53" s="408"/>
      <c r="I53" s="408">
        <f>$C$53</f>
        <v>16644.72</v>
      </c>
      <c r="J53" s="408"/>
      <c r="K53" s="408">
        <f>$C$53</f>
        <v>16644.72</v>
      </c>
      <c r="L53" s="409"/>
      <c r="M53"/>
      <c r="N53"/>
    </row>
    <row r="54" spans="1:14" s="358" customFormat="1" ht="18.75" customHeight="1">
      <c r="B54" s="407" t="s">
        <v>7162</v>
      </c>
      <c r="C54" s="408">
        <f>'Part VI-Pro Forma'!B17</f>
        <v>-59421.650400000006</v>
      </c>
      <c r="D54" s="408"/>
      <c r="E54" s="408">
        <f>-($C$52+E53)*F50</f>
        <v>-84888.072</v>
      </c>
      <c r="F54" s="410"/>
      <c r="G54" s="408">
        <f>-($C$52+G53)*0.07</f>
        <v>-59421.650400000006</v>
      </c>
      <c r="H54" s="408"/>
      <c r="I54" s="408">
        <f>-($C$52+I53)*0.07</f>
        <v>-59421.650400000006</v>
      </c>
      <c r="J54" s="408"/>
      <c r="K54" s="408">
        <f>-($C$52+K53)*L54</f>
        <v>-84888.072</v>
      </c>
      <c r="L54" s="411">
        <v>0.1</v>
      </c>
      <c r="M54"/>
      <c r="N54"/>
    </row>
    <row r="55" spans="1:14" s="358" customFormat="1" ht="18.75" customHeight="1">
      <c r="B55" s="407" t="s">
        <v>7163</v>
      </c>
      <c r="C55" s="408">
        <f>'Part VI-Pro Forma'!B18</f>
        <v>0</v>
      </c>
      <c r="D55" s="408"/>
      <c r="E55" s="408">
        <f>$C$55</f>
        <v>0</v>
      </c>
      <c r="F55" s="410"/>
      <c r="G55" s="408">
        <f>$C$55</f>
        <v>0</v>
      </c>
      <c r="H55" s="408"/>
      <c r="I55" s="408">
        <f>$C$55</f>
        <v>0</v>
      </c>
      <c r="J55" s="408"/>
      <c r="K55" s="408">
        <f>$C$55</f>
        <v>0</v>
      </c>
      <c r="L55" s="412"/>
      <c r="M55"/>
      <c r="N55"/>
    </row>
    <row r="56" spans="1:14" s="358" customFormat="1" ht="18.75" customHeight="1">
      <c r="B56" s="2993" t="s">
        <v>7164</v>
      </c>
      <c r="C56" s="2994">
        <f>SUM(C52:C55)</f>
        <v>789459.06959999993</v>
      </c>
      <c r="D56" s="408"/>
      <c r="E56" s="2994">
        <f>SUM(E52:E55)</f>
        <v>763992.64799999993</v>
      </c>
      <c r="F56" s="408"/>
      <c r="G56" s="2994">
        <f>SUM(G52:G55)</f>
        <v>789459.06959999993</v>
      </c>
      <c r="H56" s="408"/>
      <c r="I56" s="2994">
        <f>SUM(I52:I55)</f>
        <v>789459.06959999993</v>
      </c>
      <c r="J56" s="408"/>
      <c r="K56" s="2994">
        <f>SUM(K52:K55)</f>
        <v>763992.64799999993</v>
      </c>
      <c r="L56" s="409"/>
      <c r="M56"/>
      <c r="N56"/>
    </row>
    <row r="57" spans="1:14" s="358" customFormat="1" ht="24" customHeight="1">
      <c r="B57" s="407"/>
      <c r="C57" s="408"/>
      <c r="D57" s="408"/>
      <c r="E57" s="408"/>
      <c r="F57" s="408"/>
      <c r="G57" s="408"/>
      <c r="H57" s="408"/>
      <c r="I57" s="408"/>
      <c r="J57" s="408"/>
      <c r="K57" s="408"/>
      <c r="L57" s="409"/>
      <c r="M57"/>
      <c r="N57"/>
    </row>
    <row r="58" spans="1:14" s="358" customFormat="1" ht="18.75" customHeight="1">
      <c r="B58" s="407" t="s">
        <v>7165</v>
      </c>
      <c r="C58" s="408">
        <f>+'Part V-Revenues &amp; Expenses'!F249+'Part V-Revenues &amp; Expenses'!F258+'Part V-Revenues &amp; Expenses'!L245+'Part V-Revenues &amp; Expenses'!L253</f>
        <v>206685</v>
      </c>
      <c r="D58" s="408"/>
      <c r="E58" s="408">
        <f>$C$58</f>
        <v>206685</v>
      </c>
      <c r="F58" s="408"/>
      <c r="G58" s="408">
        <f>$C$58</f>
        <v>206685</v>
      </c>
      <c r="H58" s="408"/>
      <c r="I58" s="408">
        <f>$C$58</f>
        <v>206685</v>
      </c>
      <c r="J58" s="408"/>
      <c r="K58" s="408">
        <f>$C$58</f>
        <v>206685</v>
      </c>
      <c r="L58" s="409"/>
      <c r="M58"/>
      <c r="N58"/>
    </row>
    <row r="59" spans="1:14" s="358" customFormat="1" ht="18.75" customHeight="1">
      <c r="B59" s="407" t="s">
        <v>7166</v>
      </c>
      <c r="C59" s="408">
        <f>+'Part V-Revenues &amp; Expenses'!F269</f>
        <v>45742</v>
      </c>
      <c r="D59" s="408"/>
      <c r="E59" s="408">
        <f>$C$59</f>
        <v>45742</v>
      </c>
      <c r="F59" s="408"/>
      <c r="G59" s="408">
        <f>$C$59</f>
        <v>45742</v>
      </c>
      <c r="H59" s="408"/>
      <c r="I59" s="408">
        <f>$C$59</f>
        <v>45742</v>
      </c>
      <c r="J59" s="408"/>
      <c r="K59" s="408">
        <f>$C$59*(1+$L$59)</f>
        <v>47571.68</v>
      </c>
      <c r="L59" s="413">
        <v>0.04</v>
      </c>
      <c r="M59"/>
      <c r="N59"/>
    </row>
    <row r="60" spans="1:14" s="358" customFormat="1" ht="18.75" customHeight="1">
      <c r="B60" s="407" t="s">
        <v>1322</v>
      </c>
      <c r="C60" s="408">
        <f>+'Part V-Revenues &amp; Expenses'!L263</f>
        <v>53748</v>
      </c>
      <c r="D60" s="408"/>
      <c r="E60" s="408">
        <f>$C$60</f>
        <v>53748</v>
      </c>
      <c r="F60" s="408"/>
      <c r="G60" s="408">
        <f>$C$60</f>
        <v>53748</v>
      </c>
      <c r="H60" s="408"/>
      <c r="I60" s="408">
        <f>$C$60*(1+$J$50)</f>
        <v>55360.44</v>
      </c>
      <c r="J60" s="410"/>
      <c r="K60" s="408">
        <f>$C$60*(1+$J$50)</f>
        <v>55360.44</v>
      </c>
      <c r="L60" s="411">
        <v>0.03</v>
      </c>
      <c r="M60"/>
      <c r="N60"/>
    </row>
    <row r="61" spans="1:14" s="358" customFormat="1" ht="18.75" customHeight="1">
      <c r="B61" s="407" t="s">
        <v>7167</v>
      </c>
      <c r="C61" s="408">
        <f>+'Part V-Revenues &amp; Expenses'!L266</f>
        <v>44365</v>
      </c>
      <c r="D61" s="408"/>
      <c r="E61" s="408">
        <f>$C$61</f>
        <v>44365</v>
      </c>
      <c r="F61" s="408"/>
      <c r="G61" s="408">
        <f>$C$61*(1+H50)</f>
        <v>46583.25</v>
      </c>
      <c r="H61" s="410"/>
      <c r="I61" s="408">
        <f>$C$61</f>
        <v>44365</v>
      </c>
      <c r="J61" s="408"/>
      <c r="K61" s="408">
        <f>$C$61*(1+$L$61)</f>
        <v>46583.25</v>
      </c>
      <c r="L61" s="411">
        <v>0.05</v>
      </c>
      <c r="M61"/>
      <c r="N61"/>
    </row>
    <row r="62" spans="1:14" s="358" customFormat="1" ht="18.75" customHeight="1">
      <c r="B62" s="407" t="s">
        <v>7168</v>
      </c>
      <c r="C62" s="408">
        <f>+'Part V-Revenues &amp; Expenses'!L267</f>
        <v>84455</v>
      </c>
      <c r="D62" s="408"/>
      <c r="E62" s="408">
        <f>$C$61</f>
        <v>44365</v>
      </c>
      <c r="F62" s="408"/>
      <c r="G62" s="408">
        <f>$C$61*(1+H51)</f>
        <v>44365</v>
      </c>
      <c r="H62" s="410"/>
      <c r="I62" s="408">
        <f>$C$61</f>
        <v>44365</v>
      </c>
      <c r="J62" s="408"/>
      <c r="K62" s="408">
        <f>$C$61*(1+$L$61)</f>
        <v>46583.25</v>
      </c>
      <c r="L62" s="411">
        <v>0.05</v>
      </c>
      <c r="M62"/>
      <c r="N62"/>
    </row>
    <row r="63" spans="1:14" s="358" customFormat="1" ht="18.75" customHeight="1">
      <c r="B63" s="2993" t="s">
        <v>7169</v>
      </c>
      <c r="C63" s="2994">
        <f>SUM(C58:C61)</f>
        <v>350540</v>
      </c>
      <c r="D63" s="408"/>
      <c r="E63" s="2994">
        <f>SUM(E58:E61)</f>
        <v>350540</v>
      </c>
      <c r="F63" s="408"/>
      <c r="G63" s="2994">
        <f>SUM(G58:G61)</f>
        <v>352758.25</v>
      </c>
      <c r="H63" s="408"/>
      <c r="I63" s="2994">
        <f>SUM(I58:I61)</f>
        <v>352152.44</v>
      </c>
      <c r="J63" s="408"/>
      <c r="K63" s="2994">
        <f>SUM(K58:K61)</f>
        <v>356200.37</v>
      </c>
      <c r="L63" s="407"/>
      <c r="M63"/>
      <c r="N63"/>
    </row>
    <row r="64" spans="1:14" s="358" customFormat="1" ht="24" customHeight="1">
      <c r="B64" s="407"/>
      <c r="C64" s="408"/>
      <c r="D64" s="408"/>
      <c r="E64" s="408"/>
      <c r="F64" s="408"/>
      <c r="G64" s="408"/>
      <c r="H64" s="408"/>
      <c r="I64" s="408"/>
      <c r="J64" s="408"/>
      <c r="K64" s="408"/>
      <c r="L64" s="407"/>
      <c r="M64"/>
      <c r="N64"/>
    </row>
    <row r="65" spans="1:14" s="358" customFormat="1" ht="15.6">
      <c r="A65"/>
      <c r="B65" s="414" t="s">
        <v>7170</v>
      </c>
      <c r="C65" s="415">
        <f>C56-C63</f>
        <v>438919.06959999993</v>
      </c>
      <c r="D65" s="415"/>
      <c r="E65" s="415">
        <f>E56-E63</f>
        <v>413452.64799999993</v>
      </c>
      <c r="F65" s="415"/>
      <c r="G65" s="415">
        <f>G56-G63</f>
        <v>436700.81959999993</v>
      </c>
      <c r="H65" s="415"/>
      <c r="I65" s="415">
        <f>I56-I63</f>
        <v>437306.62959999993</v>
      </c>
      <c r="J65" s="415"/>
      <c r="K65" s="415">
        <f>K56-K63</f>
        <v>407792.27799999993</v>
      </c>
      <c r="L65" s="11"/>
      <c r="M65"/>
      <c r="N65"/>
    </row>
    <row r="66" spans="1:14" s="358" customFormat="1" ht="24" customHeight="1">
      <c r="A66"/>
      <c r="B66" s="407"/>
      <c r="C66" s="408"/>
      <c r="D66" s="408"/>
      <c r="E66" s="408"/>
      <c r="F66" s="408"/>
      <c r="G66" s="408"/>
      <c r="H66" s="408"/>
      <c r="I66" s="408"/>
      <c r="J66" s="408"/>
      <c r="K66" s="408"/>
      <c r="L66" s="11"/>
      <c r="M66"/>
      <c r="N66"/>
    </row>
    <row r="67" spans="1:14" s="358" customFormat="1" ht="15">
      <c r="A67"/>
      <c r="B67" s="407" t="s">
        <v>7171</v>
      </c>
      <c r="C67" s="408">
        <f>'Part V-Revenues &amp; Expenses'!Q253</f>
        <v>0</v>
      </c>
      <c r="D67" s="408"/>
      <c r="E67" s="408">
        <f>$C$67</f>
        <v>0</v>
      </c>
      <c r="F67" s="408"/>
      <c r="G67" s="408">
        <f>$C$67</f>
        <v>0</v>
      </c>
      <c r="H67" s="408"/>
      <c r="I67" s="408">
        <f>$C$67</f>
        <v>0</v>
      </c>
      <c r="J67" s="408"/>
      <c r="K67" s="408">
        <f>$C$67</f>
        <v>0</v>
      </c>
      <c r="L67" s="11"/>
      <c r="M67"/>
      <c r="N67"/>
    </row>
    <row r="68" spans="1:14" s="358" customFormat="1" ht="6" customHeight="1">
      <c r="A68"/>
      <c r="B68" s="407"/>
      <c r="C68" s="408"/>
      <c r="D68" s="408"/>
      <c r="E68" s="408"/>
      <c r="F68" s="408"/>
      <c r="G68" s="408"/>
      <c r="H68" s="408"/>
      <c r="I68" s="408"/>
      <c r="J68" s="408"/>
      <c r="K68" s="408"/>
      <c r="L68" s="11"/>
      <c r="M68"/>
      <c r="N68"/>
    </row>
    <row r="69" spans="1:14" s="358" customFormat="1" ht="15">
      <c r="A69"/>
      <c r="B69" s="407" t="s">
        <v>7172</v>
      </c>
      <c r="C69" s="408">
        <f>'Part V-Revenues &amp; Expenses'!Q239</f>
        <v>0</v>
      </c>
      <c r="D69" s="408"/>
      <c r="E69" s="408">
        <f>$C$69</f>
        <v>0</v>
      </c>
      <c r="F69" s="408"/>
      <c r="G69" s="408">
        <f>$C$69</f>
        <v>0</v>
      </c>
      <c r="H69" s="408"/>
      <c r="I69" s="408">
        <f>$C$69</f>
        <v>0</v>
      </c>
      <c r="J69" s="408"/>
      <c r="K69" s="408">
        <f>$C$69</f>
        <v>0</v>
      </c>
      <c r="L69" s="11"/>
      <c r="M69"/>
      <c r="N69"/>
    </row>
    <row r="70" spans="1:14" s="358" customFormat="1" ht="24" customHeight="1">
      <c r="A70"/>
      <c r="B70" s="416"/>
      <c r="C70" s="408"/>
      <c r="D70" s="408"/>
      <c r="E70" s="408"/>
      <c r="F70" s="408"/>
      <c r="G70" s="408"/>
      <c r="H70" s="408"/>
      <c r="I70" s="408"/>
      <c r="J70" s="408"/>
      <c r="K70" s="408"/>
      <c r="L70" s="11"/>
      <c r="M70"/>
      <c r="N70"/>
    </row>
    <row r="71" spans="1:14" s="358" customFormat="1" ht="15.6">
      <c r="A71"/>
      <c r="B71" s="2995" t="s">
        <v>7173</v>
      </c>
      <c r="C71" s="2996">
        <f>C65-C67-C69</f>
        <v>438919.06959999993</v>
      </c>
      <c r="D71" s="415"/>
      <c r="E71" s="2996">
        <f>E65-E67-E69</f>
        <v>413452.64799999993</v>
      </c>
      <c r="F71" s="415"/>
      <c r="G71" s="2996">
        <f>G65-G67-G69</f>
        <v>436700.81959999993</v>
      </c>
      <c r="H71" s="415"/>
      <c r="I71" s="2996">
        <f>I65-I67-I69</f>
        <v>437306.62959999993</v>
      </c>
      <c r="J71" s="415"/>
      <c r="K71" s="2996">
        <f>K65-K67-K69</f>
        <v>407792.27799999993</v>
      </c>
      <c r="L71" s="11"/>
      <c r="M71"/>
      <c r="N71"/>
    </row>
    <row r="72" spans="1:14" s="358" customFormat="1" ht="30" customHeight="1">
      <c r="A72"/>
      <c r="B72" s="407"/>
      <c r="C72" s="408"/>
      <c r="D72" s="408"/>
      <c r="E72" s="408"/>
      <c r="F72" s="408"/>
      <c r="G72" s="408"/>
      <c r="H72" s="408"/>
      <c r="I72" s="408"/>
      <c r="J72" s="408"/>
      <c r="K72" s="408"/>
      <c r="L72" s="11"/>
      <c r="M72"/>
      <c r="N72"/>
    </row>
    <row r="73" spans="1:14" s="360" customFormat="1" ht="18.75" customHeight="1">
      <c r="A73" s="6"/>
      <c r="B73" s="414" t="s">
        <v>7174</v>
      </c>
      <c r="C73" s="724">
        <f>-C71/C76</f>
        <v>1.9784286828403346</v>
      </c>
      <c r="D73" s="417"/>
      <c r="E73" s="724">
        <f>-E71/E76</f>
        <v>1.8636387308141884</v>
      </c>
      <c r="F73" s="417"/>
      <c r="G73" s="724">
        <f>-G71/G76</f>
        <v>1.9684299160296099</v>
      </c>
      <c r="H73" s="417"/>
      <c r="I73" s="724">
        <f>-I71/I76</f>
        <v>1.9711606059525695</v>
      </c>
      <c r="J73" s="417"/>
      <c r="K73" s="724">
        <f>-K71/K76</f>
        <v>1.8381246004445635</v>
      </c>
      <c r="L73" s="3"/>
      <c r="M73" s="6"/>
      <c r="N73" s="6"/>
    </row>
    <row r="74" spans="1:14" s="358" customFormat="1" ht="18.75" customHeight="1">
      <c r="A74"/>
      <c r="B74" s="407" t="s">
        <v>7175</v>
      </c>
      <c r="C74" s="725">
        <f>C77/C63</f>
        <v>0.6192352114025913</v>
      </c>
      <c r="D74" s="418"/>
      <c r="E74" s="725">
        <f>E77/E63</f>
        <v>0.54658609404080671</v>
      </c>
      <c r="F74" s="418"/>
      <c r="G74" s="725">
        <f>G77/G63</f>
        <v>0.60905297326161578</v>
      </c>
      <c r="H74" s="418"/>
      <c r="I74" s="725">
        <f>I77/I63</f>
        <v>0.61182103694940848</v>
      </c>
      <c r="J74" s="418"/>
      <c r="K74" s="725">
        <f>K77/K63</f>
        <v>0.52200933818531514</v>
      </c>
      <c r="L74" s="11"/>
      <c r="M74"/>
      <c r="N74"/>
    </row>
    <row r="75" spans="1:14" s="358" customFormat="1" ht="24" customHeight="1">
      <c r="A75"/>
      <c r="B75" s="407"/>
      <c r="C75" s="408"/>
      <c r="D75" s="408"/>
      <c r="E75" s="408"/>
      <c r="F75" s="408"/>
      <c r="G75" s="408"/>
      <c r="H75" s="408"/>
      <c r="I75" s="408"/>
      <c r="J75" s="408"/>
      <c r="K75" s="408"/>
      <c r="L75" s="11"/>
      <c r="M75"/>
      <c r="N75"/>
    </row>
    <row r="76" spans="1:14" s="358" customFormat="1" ht="18.75" customHeight="1">
      <c r="A76"/>
      <c r="B76" s="407" t="s">
        <v>7176</v>
      </c>
      <c r="C76" s="408">
        <f>+SUM('Part VI-Pro Forma'!B26:B29)</f>
        <v>-221852.35859493556</v>
      </c>
      <c r="D76" s="408"/>
      <c r="E76" s="408">
        <f>$C$76</f>
        <v>-221852.35859493556</v>
      </c>
      <c r="F76" s="408"/>
      <c r="G76" s="408">
        <f>$C$76</f>
        <v>-221852.35859493556</v>
      </c>
      <c r="H76" s="408"/>
      <c r="I76" s="408">
        <f>$C$76</f>
        <v>-221852.35859493556</v>
      </c>
      <c r="J76" s="408"/>
      <c r="K76" s="408">
        <f>$C$76</f>
        <v>-221852.35859493556</v>
      </c>
      <c r="L76" s="11"/>
      <c r="M76"/>
      <c r="N76"/>
    </row>
    <row r="77" spans="1:14" s="358" customFormat="1" ht="18.75" customHeight="1">
      <c r="A77"/>
      <c r="B77" s="407" t="s">
        <v>1414</v>
      </c>
      <c r="C77" s="408">
        <f>C71+C76</f>
        <v>217066.71100506437</v>
      </c>
      <c r="D77" s="408"/>
      <c r="E77" s="408">
        <f>E71+E76</f>
        <v>191600.28940506437</v>
      </c>
      <c r="F77" s="408"/>
      <c r="G77" s="408">
        <f>G71+G76</f>
        <v>214848.46100506437</v>
      </c>
      <c r="H77" s="408"/>
      <c r="I77" s="408">
        <f>I71+I76</f>
        <v>215454.27100506437</v>
      </c>
      <c r="J77" s="408"/>
      <c r="K77" s="408">
        <f>K71+K76</f>
        <v>185939.91940506437</v>
      </c>
      <c r="L77" s="11"/>
      <c r="M77"/>
      <c r="N77"/>
    </row>
    <row r="78" spans="1:14" s="358" customFormat="1" ht="15" hidden="1">
      <c r="A78"/>
      <c r="B78" s="407" t="s">
        <v>7177</v>
      </c>
      <c r="C78" s="419" t="e">
        <f>PV(intrate/12,30*12,C76/12,0)</f>
        <v>#NAME?</v>
      </c>
      <c r="D78" s="407"/>
      <c r="E78" s="419" t="e">
        <f>PV(intrate/12,30*12,E76/12,0)</f>
        <v>#NAME?</v>
      </c>
      <c r="F78" s="407"/>
      <c r="G78" s="419" t="e">
        <f>PV(intrate/12,30*12,G76/12,0)</f>
        <v>#NAME?</v>
      </c>
      <c r="H78" s="407"/>
      <c r="I78" s="419" t="e">
        <f>PV(intrate/12,30*12,I76/12,0)</f>
        <v>#NAME?</v>
      </c>
      <c r="J78" s="407"/>
      <c r="K78" s="419" t="e">
        <f>PV(intrate/12,30*12,K76/12,0)</f>
        <v>#NAME?</v>
      </c>
      <c r="L78" s="11"/>
      <c r="M78"/>
      <c r="N78"/>
    </row>
    <row r="79" spans="1:14" s="358" customFormat="1" ht="15.6" hidden="1">
      <c r="A79"/>
      <c r="B79" s="420" t="s">
        <v>7178</v>
      </c>
      <c r="C79" s="407"/>
      <c r="D79" s="407"/>
      <c r="E79" s="407"/>
      <c r="F79" s="407"/>
      <c r="G79" s="407"/>
      <c r="H79" s="407"/>
      <c r="I79" s="407"/>
      <c r="J79" s="407"/>
      <c r="K79" s="407"/>
      <c r="L79" s="11"/>
      <c r="M79"/>
      <c r="N79"/>
    </row>
    <row r="80" spans="1:14" s="358" customFormat="1" ht="15" hidden="1">
      <c r="A80"/>
      <c r="B80" s="407"/>
      <c r="C80" s="407"/>
      <c r="D80" s="407"/>
      <c r="E80" s="407"/>
      <c r="F80" s="407"/>
      <c r="G80" s="407"/>
      <c r="H80" s="407"/>
      <c r="I80" s="407"/>
      <c r="J80" s="407"/>
      <c r="K80" s="407"/>
      <c r="L80" s="11"/>
      <c r="M80"/>
      <c r="N80"/>
    </row>
    <row r="81" spans="1:14" s="358" customFormat="1" ht="15.6" hidden="1" thickBot="1">
      <c r="A81"/>
      <c r="B81" s="407" t="s">
        <v>4647</v>
      </c>
      <c r="C81" s="419" t="e">
        <f>MIN(C78,E78,G78,I78,K78)</f>
        <v>#NAME?</v>
      </c>
      <c r="D81" s="407"/>
      <c r="E81" s="407" t="s">
        <v>7179</v>
      </c>
      <c r="F81" s="421">
        <v>0.06</v>
      </c>
      <c r="G81" s="11"/>
      <c r="H81" s="11"/>
      <c r="I81" s="11"/>
      <c r="J81" s="11"/>
      <c r="K81" s="11"/>
      <c r="L81" s="11"/>
      <c r="M81"/>
      <c r="N81"/>
    </row>
    <row r="82" spans="1:14" s="358" customFormat="1" ht="15" hidden="1">
      <c r="A82"/>
      <c r="B82" s="407" t="s">
        <v>4648</v>
      </c>
      <c r="C82" s="419" t="e">
        <f>MAX(C78,E78,G78,I78,K78)</f>
        <v>#NAME?</v>
      </c>
      <c r="D82" s="407"/>
      <c r="E82" s="407"/>
      <c r="F82" s="407"/>
      <c r="G82" s="11"/>
      <c r="H82" s="11"/>
      <c r="I82" s="11"/>
      <c r="J82" s="11"/>
      <c r="K82" s="11"/>
      <c r="L82" s="11"/>
      <c r="M82"/>
      <c r="N82"/>
    </row>
    <row r="83" spans="1:14" s="358" customFormat="1" ht="15">
      <c r="A83"/>
      <c r="B83" s="407"/>
      <c r="C83" s="407"/>
      <c r="D83" s="407"/>
      <c r="E83" s="407" t="s">
        <v>7021</v>
      </c>
      <c r="F83" s="407"/>
      <c r="G83" s="11"/>
      <c r="H83" s="11"/>
      <c r="I83" s="11"/>
      <c r="J83" s="11"/>
      <c r="K83" s="11"/>
      <c r="L83" s="11"/>
      <c r="M83"/>
      <c r="N83"/>
    </row>
    <row r="84" spans="1:14" s="358" customFormat="1" ht="15">
      <c r="A84"/>
      <c r="G84"/>
      <c r="H84"/>
      <c r="I84"/>
      <c r="J84"/>
      <c r="K84"/>
      <c r="L84"/>
      <c r="M84"/>
      <c r="N84"/>
    </row>
  </sheetData>
  <sheetProtection algorithmName="SHA-512" hashValue="lRmlmgadbNpyJA0crKXVNH7CB9PJ0SY4sjITzBewCDbNINUkPDVKpemdXntAyimrCdHfQ0snYh6nk6K/oqIfbw==" saltValue="z6XMS8XQEDvFU52IdZ9IRg==" spinCount="100000" sheet="1" objects="1" scenarios="1"/>
  <mergeCells count="22">
    <mergeCell ref="H18:I18"/>
    <mergeCell ref="K18:L18"/>
    <mergeCell ref="H19:I19"/>
    <mergeCell ref="H20:I20"/>
    <mergeCell ref="K50:L50"/>
    <mergeCell ref="H12:L12"/>
    <mergeCell ref="H11:J11"/>
    <mergeCell ref="K11:L11"/>
    <mergeCell ref="M11:N11"/>
    <mergeCell ref="D14:E14"/>
    <mergeCell ref="H14:J14"/>
    <mergeCell ref="K14:L14"/>
    <mergeCell ref="C12:D12"/>
    <mergeCell ref="C11:D11"/>
    <mergeCell ref="H10:J10"/>
    <mergeCell ref="K10:L10"/>
    <mergeCell ref="H7:K7"/>
    <mergeCell ref="C8:D8"/>
    <mergeCell ref="H8:K8"/>
    <mergeCell ref="C9:D9"/>
    <mergeCell ref="H9:L9"/>
    <mergeCell ref="C10:D10"/>
  </mergeCells>
  <dataValidations count="8">
    <dataValidation type="list" showInputMessage="1" showErrorMessage="1" sqref="D31:D33" xr:uid="{F2A5CA72-8848-4313-B60D-5CCA35496F3A}">
      <formula1>"First, Second, Third, Fourth"</formula1>
    </dataValidation>
    <dataValidation showDropDown="1" showInputMessage="1" showErrorMessage="1" sqref="C14 B25:B27" xr:uid="{4C85A56C-5FF1-418B-A931-56FAD14F1FE0}"/>
    <dataValidation type="list" allowBlank="1" showInputMessage="1" showErrorMessage="1" sqref="C15" xr:uid="{3D6DD882-FF39-4561-8CDE-E0B69C0F0079}">
      <formula1>"&lt;&lt;Select&gt;&gt;,Gas, Electric, Propane"</formula1>
    </dataValidation>
    <dataValidation type="list" showInputMessage="1" showErrorMessage="1" sqref="D25:D27" xr:uid="{40A72DFD-3129-4618-9D6E-FE0B95D71725}">
      <formula1>"First, Second, Third"</formula1>
    </dataValidation>
    <dataValidation type="list" allowBlank="1" showInputMessage="1" showErrorMessage="1" sqref="C9:D9" xr:uid="{99D0EE86-EF74-4278-95CF-6E19331E0B4F}">
      <formula1>"&lt;&lt;Select&gt;&gt;, HOME, HOME and 9% LIHTC, HOME and 4% LIHTC, NSP and 4% LIHTC, NHTF and 9% LIHTC"</formula1>
    </dataValidation>
    <dataValidation type="list" allowBlank="1" showInputMessage="1" showErrorMessage="1" sqref="B13" xr:uid="{0DF91936-E6CE-4CF4-9025-81E28A8613B2}">
      <formula1>$M$10:$M$14</formula1>
    </dataValidation>
    <dataValidation type="list" allowBlank="1" showInputMessage="1" showErrorMessage="1" sqref="H14:J14" xr:uid="{1D5EFB0D-680B-4546-89D6-7469A7FC5B0E}">
      <formula1>"Check rent chart &amp; select below,SF Detached, Semi-Detached, Row House/TH, Low-Rise Apt, Low-Rise Elevator, High-Rise Apt, High-Rise Elevator, Mfd Home"</formula1>
    </dataValidation>
    <dataValidation type="list" allowBlank="1" showInputMessage="1" showErrorMessage="1" sqref="K14:L14" xr:uid="{0516A022-5462-4AE5-AE36-774CFDDC2C5F}">
      <formula1>"Check rent chart &amp; select below, (No other style),SF Detached, Semi-Detached, Row House/TH, Low-Rise Apt, Low-Rise Elevator, High-Rise Apt, High-Rise Elevator, Mfd Home "</formula1>
    </dataValidation>
  </dataValidations>
  <printOptions horizontalCentered="1"/>
  <pageMargins left="0.5" right="0.5" top="0.75" bottom="0.75" header="0.5" footer="0.5"/>
  <pageSetup scale="67" fitToHeight="0" orientation="landscape" r:id="rId1"/>
  <headerFooter>
    <oddHeader>&amp;L&amp;9Georgia Department of Community Affairs&amp;CHOME Application Overview&amp;R&amp;9Housing Finance and Development Division</oddHeader>
    <oddFooter>&amp;Cpage &amp;P of &amp;N</oddFooter>
  </headerFooter>
  <rowBreaks count="1" manualBreakCount="1">
    <brk id="4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pageSetUpPr fitToPage="1"/>
  </sheetPr>
  <dimension ref="A1:Q82"/>
  <sheetViews>
    <sheetView showGridLines="0" topLeftCell="A8" zoomScale="120" zoomScaleNormal="120" workbookViewId="0">
      <selection activeCell="B82" sqref="B82"/>
    </sheetView>
  </sheetViews>
  <sheetFormatPr defaultColWidth="9.21875" defaultRowHeight="13.2"/>
  <cols>
    <col min="1" max="1" width="24.77734375" style="683" customWidth="1"/>
    <col min="2" max="2" width="13.77734375" style="683" customWidth="1"/>
    <col min="3" max="11" width="10.5546875" style="683" customWidth="1"/>
    <col min="12" max="12" width="9.77734375" style="683" customWidth="1"/>
    <col min="13" max="21" width="10.5546875" style="683" customWidth="1"/>
    <col min="22" max="16384" width="9.21875" style="683"/>
  </cols>
  <sheetData>
    <row r="1" spans="1:7" ht="3" customHeight="1"/>
    <row r="2" spans="1:7">
      <c r="A2" s="682" t="s">
        <v>7180</v>
      </c>
    </row>
    <row r="3" spans="1:7" ht="3" customHeight="1"/>
    <row r="4" spans="1:7">
      <c r="A4" s="683" t="s">
        <v>7181</v>
      </c>
      <c r="B4" s="684">
        <f>'Part III-A-Uses of Funds'!G147</f>
        <v>18027860.545297466</v>
      </c>
    </row>
    <row r="5" spans="1:7">
      <c r="A5" s="683" t="s">
        <v>7182</v>
      </c>
      <c r="B5" s="684">
        <f>+B18+B26+B38</f>
        <v>3142860</v>
      </c>
    </row>
    <row r="6" spans="1:7">
      <c r="A6" s="683" t="s">
        <v>7183</v>
      </c>
      <c r="B6" s="685">
        <f>+B5-B4</f>
        <v>-14885000.545297466</v>
      </c>
    </row>
    <row r="7" spans="1:7">
      <c r="A7" s="683" t="s">
        <v>7184</v>
      </c>
      <c r="B7" s="686">
        <f>+B6/B4</f>
        <v>-0.82566650146293652</v>
      </c>
    </row>
    <row r="8" spans="1:7" ht="9" customHeight="1"/>
    <row r="9" spans="1:7">
      <c r="A9" s="683" t="s">
        <v>7185</v>
      </c>
      <c r="B9" s="684">
        <f>+B18+B26+B33</f>
        <v>2810132</v>
      </c>
    </row>
    <row r="10" spans="1:7">
      <c r="A10" s="683" t="s">
        <v>7183</v>
      </c>
      <c r="B10" s="685">
        <f>+B9-B4</f>
        <v>-15217728.545297466</v>
      </c>
    </row>
    <row r="11" spans="1:7">
      <c r="A11" s="683" t="s">
        <v>7184</v>
      </c>
      <c r="B11" s="686">
        <f>+B10/B4</f>
        <v>-0.84412282350758383</v>
      </c>
    </row>
    <row r="12" spans="1:7" ht="24" customHeight="1"/>
    <row r="13" spans="1:7">
      <c r="A13" s="682" t="s">
        <v>7186</v>
      </c>
      <c r="D13" s="730" t="s">
        <v>7187</v>
      </c>
      <c r="E13" s="731"/>
    </row>
    <row r="14" spans="1:7">
      <c r="A14" s="683" t="s">
        <v>7188</v>
      </c>
      <c r="B14" s="687">
        <f>+SUM('Part II-Sources of Funds'!L53:M54)</f>
        <v>14885000</v>
      </c>
      <c r="D14" s="731"/>
      <c r="E14" s="731"/>
    </row>
    <row r="15" spans="1:7">
      <c r="A15" s="683" t="s">
        <v>7189</v>
      </c>
      <c r="B15" s="688">
        <f>+'Part III-A-Uses of Funds'!J181</f>
        <v>1488500.0545297465</v>
      </c>
      <c r="D15" s="731" t="s">
        <v>725</v>
      </c>
      <c r="G15" s="732">
        <f>'Part III-A-Uses of Funds'!J169</f>
        <v>0</v>
      </c>
    </row>
    <row r="16" spans="1:7" ht="12.75" customHeight="1">
      <c r="D16" s="731" t="s">
        <v>7190</v>
      </c>
      <c r="G16" s="736">
        <v>3.2800000000000003E-2</v>
      </c>
    </row>
    <row r="17" spans="1:7" ht="12.75" customHeight="1">
      <c r="A17" s="683" t="s">
        <v>7191</v>
      </c>
      <c r="B17" s="735">
        <v>1.45</v>
      </c>
      <c r="D17" s="731" t="s">
        <v>7192</v>
      </c>
      <c r="G17" s="737">
        <v>1.45</v>
      </c>
    </row>
    <row r="18" spans="1:7" ht="12.75" customHeight="1">
      <c r="A18" s="683" t="s">
        <v>7193</v>
      </c>
      <c r="B18" s="689">
        <f>+'Part III-A-Uses of Funds'!J191*B17*10</f>
        <v>0</v>
      </c>
      <c r="D18" s="731" t="s">
        <v>7194</v>
      </c>
      <c r="G18" s="737">
        <v>3.28</v>
      </c>
    </row>
    <row r="19" spans="1:7" ht="12.75" customHeight="1">
      <c r="D19" s="731" t="s">
        <v>7195</v>
      </c>
      <c r="G19" s="733">
        <f>+G15*G16*G17*10</f>
        <v>0</v>
      </c>
    </row>
    <row r="20" spans="1:7">
      <c r="A20" s="683" t="s">
        <v>7196</v>
      </c>
      <c r="B20" s="687">
        <f>+B18-B14</f>
        <v>-14885000</v>
      </c>
      <c r="D20" s="731" t="s">
        <v>7197</v>
      </c>
      <c r="G20" s="734">
        <f>+B14-G19</f>
        <v>14885000</v>
      </c>
    </row>
    <row r="21" spans="1:7">
      <c r="A21" s="683" t="s">
        <v>7198</v>
      </c>
      <c r="B21" s="686">
        <f>+B20/B14</f>
        <v>-1</v>
      </c>
      <c r="D21" s="731" t="s">
        <v>7199</v>
      </c>
      <c r="G21" s="731" t="str">
        <f>+IF(G20&gt;(B28+B35),"No","Yes")</f>
        <v>No</v>
      </c>
    </row>
    <row r="22" spans="1:7" ht="24" customHeight="1"/>
    <row r="23" spans="1:7">
      <c r="A23" s="682" t="s">
        <v>7200</v>
      </c>
    </row>
    <row r="24" spans="1:7">
      <c r="A24" s="683" t="s">
        <v>7201</v>
      </c>
      <c r="B24" s="690">
        <f>+SUM('Part II-Sources of Funds'!I42:J45)</f>
        <v>2810132</v>
      </c>
    </row>
    <row r="25" spans="1:7">
      <c r="A25" s="683" t="s">
        <v>7202</v>
      </c>
      <c r="B25" s="691" t="str">
        <f>IF('Part II-Sources of Funds'!E6="Yes","N/A",MAX(B46:P46))</f>
        <v>N/A</v>
      </c>
    </row>
    <row r="26" spans="1:7">
      <c r="A26" s="683" t="s">
        <v>7203</v>
      </c>
      <c r="B26" s="681">
        <f>IFERROR(PV('Part II-Sources of Funds'!K42,'Part II-Sources of Funds'!L42,B25+B45),B24)</f>
        <v>2810132</v>
      </c>
    </row>
    <row r="27" spans="1:7" ht="9" customHeight="1">
      <c r="B27" s="681"/>
    </row>
    <row r="28" spans="1:7">
      <c r="A28" s="683" t="s">
        <v>7204</v>
      </c>
      <c r="B28" s="692">
        <f>+B26-B24</f>
        <v>0</v>
      </c>
      <c r="C28" s="693"/>
    </row>
    <row r="29" spans="1:7">
      <c r="A29" s="683" t="s">
        <v>7198</v>
      </c>
      <c r="B29" s="694">
        <f>+B28/B24</f>
        <v>0</v>
      </c>
    </row>
    <row r="30" spans="1:7" ht="24" customHeight="1"/>
    <row r="31" spans="1:7">
      <c r="A31" s="682" t="s">
        <v>1413</v>
      </c>
    </row>
    <row r="32" spans="1:7">
      <c r="A32" s="683" t="s">
        <v>7205</v>
      </c>
      <c r="B32" s="695">
        <f>+'Part II-Sources of Funds'!I47</f>
        <v>1</v>
      </c>
    </row>
    <row r="33" spans="1:11">
      <c r="A33" s="683" t="s">
        <v>7206</v>
      </c>
      <c r="B33" s="681"/>
    </row>
    <row r="34" spans="1:11" ht="9" customHeight="1">
      <c r="B34" s="681"/>
    </row>
    <row r="35" spans="1:11">
      <c r="A35" s="683" t="s">
        <v>7207</v>
      </c>
      <c r="B35" s="695">
        <f>+B33-B32</f>
        <v>-1</v>
      </c>
    </row>
    <row r="36" spans="1:11">
      <c r="A36" s="683" t="s">
        <v>7208</v>
      </c>
      <c r="B36" s="680">
        <f>+B35/B32</f>
        <v>-1</v>
      </c>
    </row>
    <row r="37" spans="1:11" ht="24" customHeight="1">
      <c r="B37" s="681"/>
    </row>
    <row r="38" spans="1:11">
      <c r="A38" s="682" t="s">
        <v>7209</v>
      </c>
      <c r="B38" s="681">
        <f>+SUM('Part II-Sources of Funds'!I46,'Part II-Sources of Funds'!I51,'Part II-Sources of Funds'!I52,'Part II-Sources of Funds'!I55:I61)</f>
        <v>332728</v>
      </c>
    </row>
    <row r="39" spans="1:11">
      <c r="B39" s="681"/>
    </row>
    <row r="40" spans="1:11">
      <c r="B40" s="681"/>
    </row>
    <row r="41" spans="1:11">
      <c r="B41" s="681"/>
    </row>
    <row r="42" spans="1:11">
      <c r="A42" s="682" t="s">
        <v>7210</v>
      </c>
      <c r="B42" s="681"/>
    </row>
    <row r="43" spans="1:11">
      <c r="A43" s="683" t="s">
        <v>480</v>
      </c>
      <c r="B43" s="738">
        <v>1</v>
      </c>
      <c r="C43" s="738">
        <v>2</v>
      </c>
      <c r="D43" s="738">
        <v>3</v>
      </c>
      <c r="E43" s="738">
        <v>4</v>
      </c>
      <c r="F43" s="738">
        <v>5</v>
      </c>
      <c r="G43" s="738">
        <v>6</v>
      </c>
      <c r="H43" s="738">
        <v>7</v>
      </c>
      <c r="I43" s="738">
        <v>8</v>
      </c>
      <c r="J43" s="738">
        <v>9</v>
      </c>
      <c r="K43" s="738">
        <v>10</v>
      </c>
    </row>
    <row r="44" spans="1:11">
      <c r="A44" s="683" t="s">
        <v>1409</v>
      </c>
      <c r="B44" s="684">
        <f>+'Part VI-Pro Forma'!B25</f>
        <v>277775.06959999993</v>
      </c>
      <c r="C44" s="684">
        <f>+'Part VI-Pro Forma'!C25</f>
        <v>278596.40099199995</v>
      </c>
      <c r="D44" s="684">
        <f>+'Part VI-Pro Forma'!D25</f>
        <v>279292.46051184007</v>
      </c>
      <c r="E44" s="684">
        <f>+'Part VI-Pro Forma'!E25</f>
        <v>279856.78216707672</v>
      </c>
      <c r="F44" s="684">
        <f>+'Part VI-Pro Forma'!F25</f>
        <v>280280.64282876841</v>
      </c>
      <c r="G44" s="684">
        <f>+'Part VI-Pro Forma'!G25</f>
        <v>280558.05325424438</v>
      </c>
      <c r="H44" s="684">
        <f>+'Part VI-Pro Forma'!H25</f>
        <v>280681.74881529668</v>
      </c>
      <c r="I44" s="684">
        <f>+'Part VI-Pro Forma'!I25</f>
        <v>280642.17992244894</v>
      </c>
      <c r="J44" s="684">
        <f>+'Part VI-Pro Forma'!J25</f>
        <v>280433.50213566993</v>
      </c>
      <c r="K44" s="684">
        <f>+'Part VI-Pro Forma'!K25</f>
        <v>280044.56595159858</v>
      </c>
    </row>
    <row r="45" spans="1:11">
      <c r="A45" s="683" t="s">
        <v>7211</v>
      </c>
      <c r="B45" s="684">
        <f>SUM('Part VI-Pro Forma'!B26:B29)</f>
        <v>-221852.35859493556</v>
      </c>
      <c r="C45" s="684">
        <f>SUM('Part VI-Pro Forma'!C26:C29)</f>
        <v>-222345.15743013556</v>
      </c>
      <c r="D45" s="684">
        <f>SUM('Part VI-Pro Forma'!D26:D29)</f>
        <v>-222762.79314203962</v>
      </c>
      <c r="E45" s="684">
        <f>SUM('Part VI-Pro Forma'!E26:E29)</f>
        <v>-223101.38613518162</v>
      </c>
      <c r="F45" s="684">
        <f>SUM('Part VI-Pro Forma'!F26:F29)</f>
        <v>-223355.70253219665</v>
      </c>
      <c r="G45" s="684">
        <f>SUM('Part VI-Pro Forma'!G26:G29)</f>
        <v>-223522.14878748223</v>
      </c>
      <c r="H45" s="684">
        <f>SUM('Part VI-Pro Forma'!H26:H29)</f>
        <v>-223596.36612411361</v>
      </c>
      <c r="I45" s="684">
        <f>SUM('Part VI-Pro Forma'!I26:I29)</f>
        <v>-223572.62478840497</v>
      </c>
      <c r="J45" s="684">
        <f>SUM('Part VI-Pro Forma'!J26:J29)</f>
        <v>-223447.41811633756</v>
      </c>
      <c r="K45" s="684">
        <f>SUM('Part VI-Pro Forma'!K26:K29)</f>
        <v>-223214.05640589475</v>
      </c>
    </row>
    <row r="46" spans="1:11">
      <c r="A46" s="683" t="s">
        <v>7212</v>
      </c>
      <c r="B46" s="685">
        <f t="shared" ref="B46:K46" si="0">-B44/B48-B45</f>
        <v>-9626.8660717310559</v>
      </c>
      <c r="C46" s="685">
        <f t="shared" si="0"/>
        <v>-9818.5100631977548</v>
      </c>
      <c r="D46" s="685">
        <f t="shared" si="0"/>
        <v>-9980.9239511604537</v>
      </c>
      <c r="E46" s="685">
        <f t="shared" si="0"/>
        <v>-10112.599004049</v>
      </c>
      <c r="F46" s="685">
        <f t="shared" si="0"/>
        <v>-10211.499825110368</v>
      </c>
      <c r="G46" s="685">
        <f t="shared" si="0"/>
        <v>-10276.228924388095</v>
      </c>
      <c r="H46" s="685">
        <f t="shared" si="0"/>
        <v>-10305.091221966955</v>
      </c>
      <c r="I46" s="685">
        <f t="shared" si="0"/>
        <v>-10295.858480302501</v>
      </c>
      <c r="J46" s="685">
        <f t="shared" si="0"/>
        <v>-10247.166996720713</v>
      </c>
      <c r="K46" s="685">
        <f t="shared" si="0"/>
        <v>-10156.415220437397</v>
      </c>
    </row>
    <row r="48" spans="1:11">
      <c r="A48" s="683" t="s">
        <v>7213</v>
      </c>
      <c r="B48" s="683">
        <f>IF(B82="NC",1.2,1.25)</f>
        <v>1.2</v>
      </c>
      <c r="C48" s="683">
        <f>+B48</f>
        <v>1.2</v>
      </c>
      <c r="D48" s="683">
        <f t="shared" ref="D48:K48" si="1">+C48</f>
        <v>1.2</v>
      </c>
      <c r="E48" s="683">
        <f t="shared" si="1"/>
        <v>1.2</v>
      </c>
      <c r="F48" s="683">
        <f t="shared" si="1"/>
        <v>1.2</v>
      </c>
      <c r="G48" s="683">
        <f t="shared" si="1"/>
        <v>1.2</v>
      </c>
      <c r="H48" s="683">
        <f t="shared" si="1"/>
        <v>1.2</v>
      </c>
      <c r="I48" s="683">
        <f t="shared" si="1"/>
        <v>1.2</v>
      </c>
      <c r="J48" s="683">
        <f t="shared" si="1"/>
        <v>1.2</v>
      </c>
      <c r="K48" s="683">
        <f t="shared" si="1"/>
        <v>1.2</v>
      </c>
    </row>
    <row r="50" spans="1:17">
      <c r="A50" s="682" t="s">
        <v>1414</v>
      </c>
    </row>
    <row r="51" spans="1:17">
      <c r="A51" s="683" t="s">
        <v>1409</v>
      </c>
      <c r="B51" s="685">
        <f>+B44</f>
        <v>277775.06959999993</v>
      </c>
      <c r="C51" s="685">
        <f t="shared" ref="C51:K51" si="2">+C44</f>
        <v>278596.40099199995</v>
      </c>
      <c r="D51" s="685">
        <f t="shared" si="2"/>
        <v>279292.46051184007</v>
      </c>
      <c r="E51" s="685">
        <f t="shared" si="2"/>
        <v>279856.78216707672</v>
      </c>
      <c r="F51" s="685">
        <f t="shared" si="2"/>
        <v>280280.64282876841</v>
      </c>
      <c r="G51" s="685">
        <f t="shared" si="2"/>
        <v>280558.05325424438</v>
      </c>
      <c r="H51" s="685">
        <f t="shared" si="2"/>
        <v>280681.74881529668</v>
      </c>
      <c r="I51" s="685">
        <f t="shared" si="2"/>
        <v>280642.17992244894</v>
      </c>
      <c r="J51" s="685">
        <f t="shared" si="2"/>
        <v>280433.50213566993</v>
      </c>
      <c r="K51" s="685">
        <f t="shared" si="2"/>
        <v>280044.56595159858</v>
      </c>
    </row>
    <row r="52" spans="1:17">
      <c r="A52" s="683" t="s">
        <v>7214</v>
      </c>
      <c r="B52" s="685">
        <f>IF($B$25="N/A",B45,B45+$B$25)</f>
        <v>-221852.35859493556</v>
      </c>
      <c r="C52" s="685">
        <f t="shared" ref="C52:K52" si="3">IF($B$25="N/A",C45,C45+$B$25)</f>
        <v>-222345.15743013556</v>
      </c>
      <c r="D52" s="685">
        <f t="shared" si="3"/>
        <v>-222762.79314203962</v>
      </c>
      <c r="E52" s="685">
        <f t="shared" si="3"/>
        <v>-223101.38613518162</v>
      </c>
      <c r="F52" s="685">
        <f t="shared" si="3"/>
        <v>-223355.70253219665</v>
      </c>
      <c r="G52" s="685">
        <f t="shared" si="3"/>
        <v>-223522.14878748223</v>
      </c>
      <c r="H52" s="685">
        <f t="shared" si="3"/>
        <v>-223596.36612411361</v>
      </c>
      <c r="I52" s="685">
        <f t="shared" si="3"/>
        <v>-223572.62478840497</v>
      </c>
      <c r="J52" s="685">
        <f t="shared" si="3"/>
        <v>-223447.41811633756</v>
      </c>
      <c r="K52" s="685">
        <f t="shared" si="3"/>
        <v>-223214.05640589475</v>
      </c>
    </row>
    <row r="53" spans="1:17">
      <c r="A53" s="683" t="s">
        <v>7215</v>
      </c>
      <c r="B53" s="684">
        <f>+'Part VI-Pro Forma'!B31</f>
        <v>-7500</v>
      </c>
      <c r="C53" s="684">
        <f>+'Part VI-Pro Forma'!C31</f>
        <v>-7500</v>
      </c>
      <c r="D53" s="684">
        <f>+'Part VI-Pro Forma'!D31</f>
        <v>-7500</v>
      </c>
      <c r="E53" s="684">
        <f>+'Part VI-Pro Forma'!E31</f>
        <v>-7500</v>
      </c>
      <c r="F53" s="684">
        <f>+'Part VI-Pro Forma'!F31</f>
        <v>-7500</v>
      </c>
      <c r="G53" s="684">
        <f>+'Part VI-Pro Forma'!G31</f>
        <v>-7500</v>
      </c>
      <c r="H53" s="684">
        <f>+'Part VI-Pro Forma'!H31</f>
        <v>-7500</v>
      </c>
      <c r="I53" s="684">
        <f>+'Part VI-Pro Forma'!I31</f>
        <v>-7500</v>
      </c>
      <c r="J53" s="684">
        <f>+'Part VI-Pro Forma'!J31</f>
        <v>-7500</v>
      </c>
      <c r="K53" s="684">
        <f>+'Part VI-Pro Forma'!K31</f>
        <v>-7500</v>
      </c>
    </row>
    <row r="54" spans="1:17">
      <c r="A54" s="683" t="s">
        <v>7216</v>
      </c>
      <c r="B54" s="685">
        <f>+SUM(B51:B53)</f>
        <v>48422.711005064368</v>
      </c>
      <c r="C54" s="685">
        <f t="shared" ref="C54:K54" si="4">+SUM(C51:C53)</f>
        <v>48751.243561864394</v>
      </c>
      <c r="D54" s="685">
        <f t="shared" si="4"/>
        <v>49029.667369800445</v>
      </c>
      <c r="E54" s="685">
        <f t="shared" si="4"/>
        <v>49255.396031895099</v>
      </c>
      <c r="F54" s="685">
        <f t="shared" si="4"/>
        <v>49424.94029657176</v>
      </c>
      <c r="G54" s="685">
        <f t="shared" si="4"/>
        <v>49535.904466762149</v>
      </c>
      <c r="H54" s="685">
        <f t="shared" si="4"/>
        <v>49585.382691183069</v>
      </c>
      <c r="I54" s="685">
        <f t="shared" si="4"/>
        <v>49569.555134043971</v>
      </c>
      <c r="J54" s="685">
        <f t="shared" si="4"/>
        <v>49486.084019332367</v>
      </c>
      <c r="K54" s="685">
        <f t="shared" si="4"/>
        <v>49330.509545703826</v>
      </c>
    </row>
    <row r="55" spans="1:17">
      <c r="A55" s="683" t="s">
        <v>1413</v>
      </c>
      <c r="B55" s="685">
        <f>-B54</f>
        <v>-48422.711005064368</v>
      </c>
      <c r="C55" s="685">
        <f t="shared" ref="C55:K55" si="5">-C54</f>
        <v>-48751.243561864394</v>
      </c>
      <c r="D55" s="685">
        <f t="shared" si="5"/>
        <v>-49029.667369800445</v>
      </c>
      <c r="E55" s="685">
        <f t="shared" si="5"/>
        <v>-49255.396031895099</v>
      </c>
      <c r="F55" s="685">
        <f t="shared" si="5"/>
        <v>-49424.94029657176</v>
      </c>
      <c r="G55" s="685">
        <f t="shared" si="5"/>
        <v>-49535.904466762149</v>
      </c>
      <c r="H55" s="685">
        <f t="shared" si="5"/>
        <v>-49585.382691183069</v>
      </c>
      <c r="I55" s="685">
        <f t="shared" si="5"/>
        <v>-49569.555134043971</v>
      </c>
      <c r="J55" s="685">
        <f t="shared" si="5"/>
        <v>-49486.084019332367</v>
      </c>
      <c r="K55" s="685">
        <f t="shared" si="5"/>
        <v>-49330.509545703826</v>
      </c>
    </row>
    <row r="56" spans="1:17">
      <c r="A56" s="683" t="s">
        <v>7217</v>
      </c>
      <c r="B56" s="685">
        <f>+B54+B55</f>
        <v>0</v>
      </c>
      <c r="C56" s="685">
        <f t="shared" ref="C56:K56" si="6">+C54+C55</f>
        <v>0</v>
      </c>
      <c r="D56" s="685">
        <f t="shared" si="6"/>
        <v>0</v>
      </c>
      <c r="E56" s="685">
        <f t="shared" si="6"/>
        <v>0</v>
      </c>
      <c r="F56" s="685">
        <f t="shared" si="6"/>
        <v>0</v>
      </c>
      <c r="G56" s="685">
        <f t="shared" si="6"/>
        <v>0</v>
      </c>
      <c r="H56" s="685">
        <f t="shared" si="6"/>
        <v>0</v>
      </c>
      <c r="I56" s="685">
        <f t="shared" si="6"/>
        <v>0</v>
      </c>
      <c r="J56" s="685">
        <f t="shared" si="6"/>
        <v>0</v>
      </c>
      <c r="K56" s="685">
        <f t="shared" si="6"/>
        <v>0</v>
      </c>
    </row>
    <row r="58" spans="1:17">
      <c r="A58" s="683" t="s">
        <v>7218</v>
      </c>
      <c r="B58" s="684">
        <f>IF($B$26="","",-FV('Part II-Sources of Funds'!$K$42/12,12,B52/12,B26))</f>
        <v>2755398.658891846</v>
      </c>
      <c r="C58" s="684">
        <f>IF($B$26="","",-FV('Part II-Sources of Funds'!$K$42/12,12,C52/12,C26))</f>
        <v>-228562.71314930005</v>
      </c>
      <c r="D58" s="684">
        <f>IF($B$26="","",-FV('Part II-Sources of Funds'!$K$42/12,12,D52/12,D26))</f>
        <v>-228992.02743041198</v>
      </c>
      <c r="E58" s="684">
        <f>IF($B$26="","",-FV('Part II-Sources of Funds'!$K$42/12,12,E52/12,E26))</f>
        <v>-229340.08867923944</v>
      </c>
      <c r="F58" s="684">
        <f>IF($B$26="","",-FV('Part II-Sources of Funds'!$K$42/12,12,F52/12,F26))</f>
        <v>-229601.51666072529</v>
      </c>
      <c r="G58" s="684">
        <f>IF($B$26="","",-FV('Part II-Sources of Funds'!$K$42/12,12,G52/12,G26))</f>
        <v>-229772.61734104285</v>
      </c>
      <c r="H58" s="684">
        <f>IF($B$26="","",-FV('Part II-Sources of Funds'!$K$42/12,12,H52/12,H26))</f>
        <v>-229848.91005647343</v>
      </c>
      <c r="I58" s="684">
        <f>IF($B$26="","",-FV('Part II-Sources of Funds'!$K$42/12,12,I52/12,I26))</f>
        <v>-229824.50482918593</v>
      </c>
      <c r="J58" s="684">
        <f>IF($B$26="","",-FV('Part II-Sources of Funds'!$K$42/12,12,J52/12,J26))</f>
        <v>-229695.79693645338</v>
      </c>
      <c r="K58" s="684">
        <f>IF($B$26="","",-FV('Part II-Sources of Funds'!$K$42/12,12,K52/12,K26))</f>
        <v>-229455.90960856888</v>
      </c>
    </row>
    <row r="59" spans="1:17">
      <c r="A59" s="683" t="s">
        <v>1422</v>
      </c>
      <c r="B59" s="684" t="str">
        <f>IF(B33="","",-FV(#REF!/12,12,B55/12,B33))</f>
        <v/>
      </c>
      <c r="C59" s="684" t="str">
        <f>IF($B$33="","",-FV(#REF!/12,12,C55/12,B59))</f>
        <v/>
      </c>
      <c r="D59" s="684" t="str">
        <f>IF($B$33="","",-FV(#REF!/12,12,D55/12,C59))</f>
        <v/>
      </c>
      <c r="E59" s="684" t="str">
        <f>IF($B$33="","",-FV(#REF!/12,12,E55/12,D59))</f>
        <v/>
      </c>
      <c r="F59" s="684" t="str">
        <f>IF($B$33="","",-FV(#REF!/12,12,F55/12,E59))</f>
        <v/>
      </c>
      <c r="G59" s="684" t="str">
        <f>IF($B$33="","",-FV(#REF!/12,12,G55/12,F59))</f>
        <v/>
      </c>
      <c r="H59" s="684" t="str">
        <f>IF($B$33="","",-FV(#REF!/12,12,H55/12,G59))</f>
        <v/>
      </c>
      <c r="I59" s="684" t="str">
        <f>IF($B$33="","",-FV(#REF!/12,12,I55/12,H59))</f>
        <v/>
      </c>
      <c r="J59" s="684" t="str">
        <f>IF($B$33="","",-FV(#REF!/12,12,J55/12,I59))</f>
        <v/>
      </c>
      <c r="K59" s="684" t="str">
        <f>IF($B$33="","",-FV(#REF!/12,12,K55/12,J59))</f>
        <v/>
      </c>
      <c r="L59" s="684" t="str">
        <f>IF($B$33="","",-FV(#REF!/12,12,B75/12,K59))</f>
        <v/>
      </c>
      <c r="M59" s="684" t="str">
        <f>IF($B$33="","",-FV(#REF!/12,12,C75/12,L59))</f>
        <v/>
      </c>
      <c r="N59" s="684" t="str">
        <f>IF($B$33="","",-FV(#REF!/12,12,D75/12,M59))</f>
        <v/>
      </c>
      <c r="O59" s="684" t="str">
        <f>IF($B$33="","",-FV(#REF!/12,12,E75/12,N59))</f>
        <v/>
      </c>
      <c r="P59" s="684" t="str">
        <f>IF($B$33="","",-FV(#REF!/12,12,F75/12,O59))</f>
        <v/>
      </c>
      <c r="Q59" s="684"/>
    </row>
    <row r="60" spans="1:17" ht="18.75" customHeight="1"/>
    <row r="61" spans="1:17" ht="18.75" customHeight="1"/>
    <row r="62" spans="1:17">
      <c r="A62" s="682" t="s">
        <v>7210</v>
      </c>
    </row>
    <row r="63" spans="1:17">
      <c r="A63" s="683" t="s">
        <v>480</v>
      </c>
      <c r="B63" s="738">
        <v>11</v>
      </c>
      <c r="C63" s="738">
        <v>12</v>
      </c>
      <c r="D63" s="738">
        <v>13</v>
      </c>
      <c r="E63" s="738">
        <v>14</v>
      </c>
      <c r="F63" s="738">
        <v>15</v>
      </c>
      <c r="G63" s="738">
        <v>16</v>
      </c>
      <c r="H63" s="738">
        <v>17</v>
      </c>
      <c r="I63" s="738">
        <v>18</v>
      </c>
      <c r="J63" s="738">
        <v>19</v>
      </c>
      <c r="K63" s="738">
        <v>20</v>
      </c>
    </row>
    <row r="64" spans="1:17">
      <c r="A64" s="683" t="s">
        <v>1409</v>
      </c>
      <c r="B64" s="684">
        <f>+'Part VI-Pro Forma'!B57</f>
        <v>279468.90625704208</v>
      </c>
      <c r="C64" s="684">
        <f>+'Part VI-Pro Forma'!C57</f>
        <v>278696.73143818654</v>
      </c>
      <c r="D64" s="684">
        <f>+'Part VI-Pro Forma'!D57</f>
        <v>277717.91213463462</v>
      </c>
      <c r="E64" s="684">
        <f>+'Part VI-Pro Forma'!E57</f>
        <v>276521.96962704184</v>
      </c>
      <c r="F64" s="684">
        <f>+'Part VI-Pro Forma'!F57</f>
        <v>275101.06384678866</v>
      </c>
      <c r="G64" s="684">
        <f>+'Part VI-Pro Forma'!G57</f>
        <v>273441.98099574598</v>
      </c>
      <c r="H64" s="684">
        <f>+'Part VI-Pro Forma'!H57</f>
        <v>271536.12076384423</v>
      </c>
      <c r="I64" s="684">
        <f>+'Part VI-Pro Forma'!I57</f>
        <v>269369.48313174956</v>
      </c>
      <c r="J64" s="684">
        <f>+'Part VI-Pro Forma'!J57</f>
        <v>266932.6547455914</v>
      </c>
      <c r="K64" s="684">
        <f>+'Part VI-Pro Forma'!K57</f>
        <v>264211.79485024669</v>
      </c>
    </row>
    <row r="65" spans="1:11">
      <c r="A65" s="683" t="s">
        <v>7211</v>
      </c>
      <c r="B65" s="684">
        <f>SUM('Part VI-Pro Forma'!B58:B61)</f>
        <v>-222868.66058916083</v>
      </c>
      <c r="C65" s="684">
        <f>SUM('Part VI-Pro Forma'!C58:C61)</f>
        <v>-222405.35569784752</v>
      </c>
      <c r="D65" s="684">
        <f>SUM('Part VI-Pro Forma'!D58:D61)</f>
        <v>-221818.06411571638</v>
      </c>
      <c r="E65" s="684">
        <f>SUM('Part VI-Pro Forma'!E58:E61)</f>
        <v>-221100.4986111607</v>
      </c>
      <c r="F65" s="684">
        <f>SUM('Part VI-Pro Forma'!F58:F61)</f>
        <v>-220247.95514300879</v>
      </c>
      <c r="G65" s="684">
        <f>SUM('Part VI-Pro Forma'!G58:G61)</f>
        <v>-219252.50543238319</v>
      </c>
      <c r="H65" s="684">
        <f>SUM('Part VI-Pro Forma'!H58:H61)</f>
        <v>-218108.98929324214</v>
      </c>
      <c r="I65" s="684">
        <f>SUM('Part VI-Pro Forma'!I58:I61)</f>
        <v>-139851.60591117447</v>
      </c>
      <c r="J65" s="684">
        <f>SUM('Part VI-Pro Forma'!J58:J61)</f>
        <v>-58041.712449698491</v>
      </c>
      <c r="K65" s="684">
        <f>SUM('Part VI-Pro Forma'!K58:K61)</f>
        <v>-55283.550730176139</v>
      </c>
    </row>
    <row r="66" spans="1:11">
      <c r="A66" s="683" t="s">
        <v>7212</v>
      </c>
      <c r="B66" s="685">
        <f t="shared" ref="B66:K66" si="7">-B64/B68-B65</f>
        <v>-10022.094625040918</v>
      </c>
      <c r="C66" s="685">
        <f t="shared" si="7"/>
        <v>-9841.9205006412813</v>
      </c>
      <c r="D66" s="685">
        <f t="shared" si="7"/>
        <v>-9613.5293298124743</v>
      </c>
      <c r="E66" s="685">
        <f t="shared" si="7"/>
        <v>-9334.4760780408396</v>
      </c>
      <c r="F66" s="685">
        <f t="shared" si="7"/>
        <v>-9002.931395981781</v>
      </c>
      <c r="G66" s="685">
        <f t="shared" si="7"/>
        <v>-8615.8120640717971</v>
      </c>
      <c r="H66" s="685">
        <f t="shared" si="7"/>
        <v>-8171.1113432947313</v>
      </c>
      <c r="I66" s="685">
        <f t="shared" si="7"/>
        <v>-84622.963365283504</v>
      </c>
      <c r="J66" s="685">
        <f t="shared" si="7"/>
        <v>-164402.16650496103</v>
      </c>
      <c r="K66" s="685">
        <f t="shared" si="7"/>
        <v>-164892.94497836276</v>
      </c>
    </row>
    <row r="68" spans="1:11">
      <c r="A68" s="683" t="s">
        <v>7213</v>
      </c>
      <c r="B68" s="683">
        <f>+K48</f>
        <v>1.2</v>
      </c>
      <c r="C68" s="683">
        <f t="shared" ref="C68:K68" si="8">+B68</f>
        <v>1.2</v>
      </c>
      <c r="D68" s="683">
        <f t="shared" si="8"/>
        <v>1.2</v>
      </c>
      <c r="E68" s="683">
        <f t="shared" si="8"/>
        <v>1.2</v>
      </c>
      <c r="F68" s="683">
        <f t="shared" si="8"/>
        <v>1.2</v>
      </c>
      <c r="G68" s="683">
        <f t="shared" si="8"/>
        <v>1.2</v>
      </c>
      <c r="H68" s="683">
        <f t="shared" si="8"/>
        <v>1.2</v>
      </c>
      <c r="I68" s="683">
        <f t="shared" si="8"/>
        <v>1.2</v>
      </c>
      <c r="J68" s="683">
        <f t="shared" si="8"/>
        <v>1.2</v>
      </c>
      <c r="K68" s="683">
        <f t="shared" si="8"/>
        <v>1.2</v>
      </c>
    </row>
    <row r="70" spans="1:11">
      <c r="A70" s="682" t="s">
        <v>1414</v>
      </c>
    </row>
    <row r="71" spans="1:11">
      <c r="A71" s="683" t="s">
        <v>1409</v>
      </c>
      <c r="B71" s="685">
        <f t="shared" ref="B71:G71" si="9">+B64</f>
        <v>279468.90625704208</v>
      </c>
      <c r="C71" s="685">
        <f t="shared" si="9"/>
        <v>278696.73143818654</v>
      </c>
      <c r="D71" s="685">
        <f t="shared" si="9"/>
        <v>277717.91213463462</v>
      </c>
      <c r="E71" s="685">
        <f t="shared" si="9"/>
        <v>276521.96962704184</v>
      </c>
      <c r="F71" s="685">
        <f t="shared" si="9"/>
        <v>275101.06384678866</v>
      </c>
      <c r="G71" s="685">
        <f t="shared" si="9"/>
        <v>273441.98099574598</v>
      </c>
      <c r="H71" s="685">
        <f>+H64</f>
        <v>271536.12076384423</v>
      </c>
      <c r="I71" s="685">
        <f>+I64</f>
        <v>269369.48313174956</v>
      </c>
      <c r="J71" s="685">
        <f>+J64</f>
        <v>266932.6547455914</v>
      </c>
      <c r="K71" s="685">
        <f>+K64</f>
        <v>264211.79485024669</v>
      </c>
    </row>
    <row r="72" spans="1:11">
      <c r="A72" s="683" t="s">
        <v>7214</v>
      </c>
      <c r="B72" s="685">
        <f t="shared" ref="B72:G72" si="10">IF($B$25="N/A",B65,B65+$B$25)</f>
        <v>-222868.66058916083</v>
      </c>
      <c r="C72" s="685">
        <f t="shared" si="10"/>
        <v>-222405.35569784752</v>
      </c>
      <c r="D72" s="685">
        <f t="shared" si="10"/>
        <v>-221818.06411571638</v>
      </c>
      <c r="E72" s="685">
        <f t="shared" si="10"/>
        <v>-221100.4986111607</v>
      </c>
      <c r="F72" s="685">
        <f t="shared" si="10"/>
        <v>-220247.95514300879</v>
      </c>
      <c r="G72" s="685">
        <f t="shared" si="10"/>
        <v>-219252.50543238319</v>
      </c>
      <c r="H72" s="685">
        <f>IF($B$25="N/A",H65,H65+$B$25)</f>
        <v>-218108.98929324214</v>
      </c>
      <c r="I72" s="685">
        <f>IF($B$25="N/A",I65,I65+$B$25)</f>
        <v>-139851.60591117447</v>
      </c>
      <c r="J72" s="685">
        <f>IF($B$25="N/A",J65,J65+$B$25)</f>
        <v>-58041.712449698491</v>
      </c>
      <c r="K72" s="685">
        <f>IF($B$25="N/A",K65,K65+$B$25)</f>
        <v>-55283.550730176139</v>
      </c>
    </row>
    <row r="73" spans="1:11">
      <c r="A73" s="683" t="s">
        <v>7215</v>
      </c>
      <c r="B73" s="684">
        <f>+'Part VI-Pro Forma'!B63</f>
        <v>-7500</v>
      </c>
      <c r="C73" s="684">
        <f>+'Part VI-Pro Forma'!C63</f>
        <v>-7500</v>
      </c>
      <c r="D73" s="684">
        <f>+'Part VI-Pro Forma'!D63</f>
        <v>-7500</v>
      </c>
      <c r="E73" s="684">
        <f>+'Part VI-Pro Forma'!E63</f>
        <v>-7500</v>
      </c>
      <c r="F73" s="684">
        <f>+'Part VI-Pro Forma'!F63</f>
        <v>-7500</v>
      </c>
      <c r="G73" s="684">
        <f>+'Part VI-Pro Forma'!G63</f>
        <v>-7500</v>
      </c>
      <c r="H73" s="684">
        <f>+'Part VI-Pro Forma'!H63</f>
        <v>-7500</v>
      </c>
      <c r="I73" s="684">
        <f>+'Part VI-Pro Forma'!I63</f>
        <v>-7500</v>
      </c>
      <c r="J73" s="684">
        <f>+'Part VI-Pro Forma'!J63</f>
        <v>-7500</v>
      </c>
      <c r="K73" s="684">
        <f>+'Part VI-Pro Forma'!K63</f>
        <v>-7500</v>
      </c>
    </row>
    <row r="74" spans="1:11">
      <c r="A74" s="683" t="s">
        <v>7216</v>
      </c>
      <c r="B74" s="685">
        <f t="shared" ref="B74:G74" si="11">+SUM(B71:B73)</f>
        <v>49100.245667881245</v>
      </c>
      <c r="C74" s="685">
        <f t="shared" si="11"/>
        <v>48791.375740339019</v>
      </c>
      <c r="D74" s="685">
        <f t="shared" si="11"/>
        <v>48399.848018918245</v>
      </c>
      <c r="E74" s="685">
        <f t="shared" si="11"/>
        <v>47921.471015881136</v>
      </c>
      <c r="F74" s="685">
        <f t="shared" si="11"/>
        <v>47353.108703779872</v>
      </c>
      <c r="G74" s="685">
        <f t="shared" si="11"/>
        <v>46689.475563362794</v>
      </c>
      <c r="H74" s="685">
        <f>+SUM(H71:H73)</f>
        <v>45927.131470602093</v>
      </c>
      <c r="I74" s="685">
        <f>+SUM(I71:I73)</f>
        <v>122017.87722057509</v>
      </c>
      <c r="J74" s="685">
        <f>+SUM(J71:J73)</f>
        <v>201390.94229589292</v>
      </c>
      <c r="K74" s="685">
        <f>+SUM(K71:K73)</f>
        <v>201428.24412007054</v>
      </c>
    </row>
    <row r="75" spans="1:11">
      <c r="A75" s="683" t="s">
        <v>1413</v>
      </c>
      <c r="B75" s="685">
        <f t="shared" ref="B75:G75" si="12">-B74</f>
        <v>-49100.245667881245</v>
      </c>
      <c r="C75" s="685">
        <f t="shared" si="12"/>
        <v>-48791.375740339019</v>
      </c>
      <c r="D75" s="685">
        <f t="shared" si="12"/>
        <v>-48399.848018918245</v>
      </c>
      <c r="E75" s="685">
        <f t="shared" si="12"/>
        <v>-47921.471015881136</v>
      </c>
      <c r="F75" s="685">
        <f t="shared" si="12"/>
        <v>-47353.108703779872</v>
      </c>
      <c r="G75" s="685">
        <f t="shared" si="12"/>
        <v>-46689.475563362794</v>
      </c>
      <c r="H75" s="685">
        <f>-H74</f>
        <v>-45927.131470602093</v>
      </c>
      <c r="I75" s="685">
        <f>-I74</f>
        <v>-122017.87722057509</v>
      </c>
      <c r="J75" s="685">
        <f>-J74</f>
        <v>-201390.94229589292</v>
      </c>
      <c r="K75" s="685">
        <f>-K74</f>
        <v>-201428.24412007054</v>
      </c>
    </row>
    <row r="76" spans="1:11">
      <c r="A76" s="683" t="s">
        <v>7217</v>
      </c>
      <c r="B76" s="685">
        <f t="shared" ref="B76:G76" si="13">+B74+B75</f>
        <v>0</v>
      </c>
      <c r="C76" s="685">
        <f t="shared" si="13"/>
        <v>0</v>
      </c>
      <c r="D76" s="685">
        <f t="shared" si="13"/>
        <v>0</v>
      </c>
      <c r="E76" s="685">
        <f t="shared" si="13"/>
        <v>0</v>
      </c>
      <c r="F76" s="685">
        <f t="shared" si="13"/>
        <v>0</v>
      </c>
      <c r="G76" s="685">
        <f t="shared" si="13"/>
        <v>0</v>
      </c>
      <c r="H76" s="685">
        <f>+H74+H75</f>
        <v>0</v>
      </c>
      <c r="I76" s="685">
        <f>+I74+I75</f>
        <v>0</v>
      </c>
      <c r="J76" s="685">
        <f>+J74+J75</f>
        <v>0</v>
      </c>
      <c r="K76" s="685">
        <f>+K74+K75</f>
        <v>0</v>
      </c>
    </row>
    <row r="78" spans="1:11">
      <c r="A78" s="683" t="s">
        <v>7218</v>
      </c>
      <c r="B78" s="684">
        <f>IF($B$26="","",-FV('Part II-Sources of Funds'!$K$42/12,12,B72/12,K58))</f>
        <v>-472709.10333778395</v>
      </c>
      <c r="C78" s="684">
        <f>IF($B$26="","",-FV('Part II-Sources of Funds'!$K$42/12,12,C72/12,L58))</f>
        <v>-228624.59477314187</v>
      </c>
      <c r="D78" s="684">
        <f>IF($B$26="","",-FV('Part II-Sources of Funds'!$K$42/12,12,D72/12,M58))</f>
        <v>-228020.88044460371</v>
      </c>
      <c r="E78" s="684">
        <f>IF($B$26="","",-FV('Part II-Sources of Funds'!$K$42/12,12,E72/12,N58))</f>
        <v>-227283.24927476307</v>
      </c>
      <c r="F78" s="684">
        <f>IF($B$26="","",-FV('Part II-Sources of Funds'!$K$42/12,12,F72/12,O58))</f>
        <v>-226406.86568084676</v>
      </c>
      <c r="G78" s="684">
        <f>IF($B$26="","",-FV('Part II-Sources of Funds'!$K$42/12,12,G72/12,P58))</f>
        <v>-225383.57968130452</v>
      </c>
      <c r="H78" s="684">
        <f>IF($B$26="","",-FV('Part II-Sources of Funds'!$K$42/12,12,H72/12,Q58))</f>
        <v>-224208.08679307188</v>
      </c>
      <c r="I78" s="684">
        <f>IF($B$26="","",-FV('Part II-Sources of Funds'!$K$42/12,12,I72/12,R58))</f>
        <v>-143762.3506389547</v>
      </c>
      <c r="J78" s="684">
        <f>IF($B$26="","",-FV('Part II-Sources of Funds'!$K$42/12,12,J72/12,S58))</f>
        <v>-59664.763679429539</v>
      </c>
      <c r="K78" s="684">
        <f>IF($B$26="","",-FV('Part II-Sources of Funds'!$K$42/12,12,K72/12,T58))</f>
        <v>-56829.474018953559</v>
      </c>
    </row>
    <row r="79" spans="1:11">
      <c r="A79" s="683" t="s">
        <v>1422</v>
      </c>
    </row>
    <row r="82" spans="1:2">
      <c r="A82" s="683" t="s">
        <v>7219</v>
      </c>
      <c r="B82" s="735" t="s">
        <v>323</v>
      </c>
    </row>
  </sheetData>
  <sheetProtection algorithmName="SHA-512" hashValue="U2QZ4SoQHdh+KJ411NixdGC4mlC2WFF1Y2TOAiEZbAIVVqSKJXyndrJpo/q7gPV0dAsP5EDdwbWAG29xUotfbQ==" saltValue="MND7dc7roDyIDBPGJC+r/Q==" spinCount="100000" sheet="1" objects="1" scenarios="1" formatColumns="0" formatRows="0"/>
  <printOptions horizontalCentered="1"/>
  <pageMargins left="0.25" right="0.25" top="0.5" bottom="0.5" header="0.3" footer="0.3"/>
  <pageSetup scale="98" fitToHeight="0" orientation="landscape" horizontalDpi="4294967295" verticalDpi="4294967295" r:id="rId1"/>
  <headerFooter>
    <oddHeader>&amp;C&amp;"Arial,Bold"&amp;12Debt and Equity Sensitivity Analysis</oddHeader>
    <oddFooter>&amp;C&amp;9page &amp;P of &amp;N</oddFooter>
  </headerFooter>
  <rowBreaks count="1" manualBreakCount="1">
    <brk id="40" max="16383"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Q1811"/>
  <sheetViews>
    <sheetView showGridLines="0" zoomScale="120" zoomScaleNormal="120" workbookViewId="0">
      <selection activeCell="E3" sqref="E3"/>
    </sheetView>
  </sheetViews>
  <sheetFormatPr defaultColWidth="9.21875" defaultRowHeight="13.8"/>
  <cols>
    <col min="1" max="1" width="22.77734375" style="366" customWidth="1"/>
    <col min="2" max="2" width="1.77734375" style="366" customWidth="1"/>
    <col min="3" max="3" width="13" style="366" customWidth="1"/>
    <col min="4" max="4" width="11.21875" style="366" customWidth="1"/>
    <col min="5" max="5" width="14.77734375" style="366" customWidth="1"/>
    <col min="6" max="6" width="15.21875" style="366" customWidth="1"/>
    <col min="7" max="7" width="11.77734375" style="366" customWidth="1"/>
    <col min="8" max="8" width="11.44140625" style="366" customWidth="1"/>
    <col min="9" max="9" width="10.5546875" style="366" customWidth="1"/>
    <col min="10" max="10" width="6" style="366" customWidth="1"/>
    <col min="11" max="11" width="12.77734375" style="366" customWidth="1"/>
    <col min="12" max="12" width="10.77734375" style="366" customWidth="1"/>
    <col min="13" max="13" width="26.21875" style="366" customWidth="1"/>
    <col min="14" max="14" width="9.21875" style="366"/>
    <col min="15" max="15" width="12.44140625" style="366" customWidth="1"/>
    <col min="16" max="16" width="9.21875" style="366"/>
    <col min="17" max="17" width="11.77734375" style="366" bestFit="1" customWidth="1"/>
    <col min="18" max="16384" width="9.21875" style="366"/>
  </cols>
  <sheetData>
    <row r="1" spans="1:15" ht="13.5" customHeight="1">
      <c r="A1" s="367" t="s">
        <v>7220</v>
      </c>
      <c r="B1" s="367"/>
      <c r="C1" s="366" t="str">
        <f>'Sensitivity Analysis'!C8</f>
        <v>The Groves</v>
      </c>
    </row>
    <row r="2" spans="1:15" ht="13.5" customHeight="1"/>
    <row r="3" spans="1:15" ht="13.5" customHeight="1">
      <c r="A3" s="367" t="s">
        <v>7221</v>
      </c>
      <c r="C3" s="366" t="s">
        <v>7222</v>
      </c>
      <c r="E3" s="422">
        <f>SUM('Part III-A-Uses of Funds'!J163,'Part III-A-Uses of Funds'!M163,'Part III-A-Uses of Funds'!P163)</f>
        <v>16157575.320400001</v>
      </c>
      <c r="F3" s="2626" t="s">
        <v>7223</v>
      </c>
      <c r="H3" s="726">
        <v>27.5</v>
      </c>
      <c r="I3" s="366" t="s">
        <v>498</v>
      </c>
      <c r="K3" s="371" t="s">
        <v>7224</v>
      </c>
      <c r="M3" s="2626"/>
      <c r="O3" s="423"/>
    </row>
    <row r="4" spans="1:15" ht="13.5" customHeight="1">
      <c r="C4" s="366" t="s">
        <v>7225</v>
      </c>
      <c r="E4" s="422">
        <f>SUM('Part III-A-Uses of Funds'!G97:H101)</f>
        <v>0</v>
      </c>
      <c r="F4" s="2626" t="s">
        <v>7226</v>
      </c>
      <c r="H4" s="367">
        <f>'Part II-Sources of Funds'!M42</f>
        <v>30</v>
      </c>
      <c r="I4" s="366" t="s">
        <v>498</v>
      </c>
      <c r="K4" s="424" t="s">
        <v>7227</v>
      </c>
      <c r="M4" s="2626"/>
    </row>
    <row r="5" spans="1:15" ht="13.5" customHeight="1">
      <c r="C5" s="366" t="s">
        <v>7228</v>
      </c>
      <c r="E5" s="422">
        <f>SUM('Part III-A-Uses of Funds'!G105:H111)</f>
        <v>191400</v>
      </c>
      <c r="F5" s="2626" t="s">
        <v>7229</v>
      </c>
      <c r="H5" s="726">
        <v>15</v>
      </c>
      <c r="I5" s="366" t="s">
        <v>498</v>
      </c>
      <c r="K5" s="423">
        <f>-E6</f>
        <v>-14885000</v>
      </c>
    </row>
    <row r="6" spans="1:15" ht="13.5" customHeight="1">
      <c r="C6" s="366" t="s">
        <v>7230</v>
      </c>
      <c r="E6" s="425">
        <f>'Part II-Sources of Funds'!$I$53+'Part II-Sources of Funds'!$I$54</f>
        <v>14885000</v>
      </c>
      <c r="F6" s="2626" t="s">
        <v>7231</v>
      </c>
      <c r="H6" s="426">
        <v>0.35</v>
      </c>
      <c r="K6" s="423" t="e">
        <f>C24</f>
        <v>#VALUE!</v>
      </c>
      <c r="M6" s="366" t="s">
        <v>7232</v>
      </c>
      <c r="O6" s="427">
        <f>'Sensitivity Analysis'!K32</f>
        <v>0</v>
      </c>
    </row>
    <row r="7" spans="1:15" ht="13.5" customHeight="1">
      <c r="K7" s="423" t="e">
        <f>D24</f>
        <v>#VALUE!</v>
      </c>
      <c r="O7" s="428"/>
    </row>
    <row r="8" spans="1:15" ht="13.5" customHeight="1">
      <c r="A8" s="367" t="s">
        <v>480</v>
      </c>
      <c r="C8" s="429">
        <v>1</v>
      </c>
      <c r="D8" s="429">
        <v>2</v>
      </c>
      <c r="E8" s="429">
        <v>3</v>
      </c>
      <c r="F8" s="429">
        <v>4</v>
      </c>
      <c r="G8" s="429">
        <v>5</v>
      </c>
      <c r="H8" s="429">
        <v>6</v>
      </c>
      <c r="I8" s="429">
        <v>7</v>
      </c>
      <c r="K8" s="423" t="e">
        <f>E24</f>
        <v>#VALUE!</v>
      </c>
      <c r="M8" s="366" t="s">
        <v>7233</v>
      </c>
      <c r="O8" s="707" t="e">
        <f>#REF!+#REF!+#REF!</f>
        <v>#REF!</v>
      </c>
    </row>
    <row r="9" spans="1:15" ht="13.5" customHeight="1">
      <c r="A9" s="366" t="s">
        <v>7234</v>
      </c>
      <c r="C9" s="430">
        <f>'Part VI-Pro Forma'!B33</f>
        <v>48422.711005064368</v>
      </c>
      <c r="D9" s="430">
        <f>'Part VI-Pro Forma'!C33</f>
        <v>48751.243561864394</v>
      </c>
      <c r="E9" s="430">
        <f>'Part VI-Pro Forma'!D33</f>
        <v>49029.667369800445</v>
      </c>
      <c r="F9" s="430">
        <f>'Part VI-Pro Forma'!E33</f>
        <v>49255.396031895099</v>
      </c>
      <c r="G9" s="430">
        <f>'Part VI-Pro Forma'!F33</f>
        <v>49424.94029657176</v>
      </c>
      <c r="H9" s="430">
        <f>'Part VI-Pro Forma'!G33</f>
        <v>49535.904466762149</v>
      </c>
      <c r="I9" s="430">
        <f>'Part VI-Pro Forma'!H33</f>
        <v>49585.382691183069</v>
      </c>
      <c r="K9" s="423" t="e">
        <f>F24</f>
        <v>#VALUE!</v>
      </c>
      <c r="N9" s="431" t="s">
        <v>7235</v>
      </c>
    </row>
    <row r="10" spans="1:15" ht="13.5" customHeight="1">
      <c r="A10" s="366" t="s">
        <v>7236</v>
      </c>
      <c r="C10" s="704">
        <f>'Part II-Sources of Funds'!I42-'Part VI-Pro Forma'!B40</f>
        <v>59680.603888458339</v>
      </c>
      <c r="D10" s="432">
        <f>'Part VI-Pro Forma'!B40-'Part VI-Pro Forma'!C40</f>
        <v>63868.152177792042</v>
      </c>
      <c r="E10" s="432">
        <f>'Part VI-Pro Forma'!C40-'Part VI-Pro Forma'!D40</f>
        <v>68236.714333059266</v>
      </c>
      <c r="F10" s="432">
        <f>'Part VI-Pro Forma'!D40-'Part VI-Pro Forma'!E40</f>
        <v>72793.466810772661</v>
      </c>
      <c r="G10" s="432">
        <f>'Part VI-Pro Forma'!E40-'Part VI-Pro Forma'!F40</f>
        <v>77544.636543177767</v>
      </c>
      <c r="H10" s="432">
        <f>'Part VI-Pro Forma'!F40-'Part VI-Pro Forma'!G40</f>
        <v>82498.520727306139</v>
      </c>
      <c r="I10" s="432">
        <f>'Part VI-Pro Forma'!G40-'Part VI-Pro Forma'!H40</f>
        <v>87663.141683254857</v>
      </c>
      <c r="K10" s="423" t="e">
        <f>G24</f>
        <v>#VALUE!</v>
      </c>
      <c r="N10" s="431" t="s">
        <v>7237</v>
      </c>
      <c r="O10" s="428"/>
    </row>
    <row r="11" spans="1:15" ht="13.5" customHeight="1">
      <c r="A11" s="366" t="s">
        <v>7236</v>
      </c>
      <c r="C11" s="704">
        <f>'Part II-Sources of Funds'!I43-'Part VI-Pro Forma'!B41</f>
        <v>45395.00175204</v>
      </c>
      <c r="D11" s="432">
        <f>'Part VI-Pro Forma'!B41-'Part VI-Pro Forma'!C41</f>
        <v>45851.038164114463</v>
      </c>
      <c r="E11" s="432">
        <f>'Part VI-Pro Forma'!C41-'Part VI-Pro Forma'!D41</f>
        <v>46311.655900147744</v>
      </c>
      <c r="F11" s="432">
        <f>'Part VI-Pro Forma'!D41-'Part VI-Pro Forma'!E41</f>
        <v>46776.900983941159</v>
      </c>
      <c r="G11" s="432">
        <f>'Part VI-Pro Forma'!E41-'Part VI-Pro Forma'!F41</f>
        <v>47246.819901649375</v>
      </c>
      <c r="H11" s="432">
        <f>'Part VI-Pro Forma'!F41-'Part VI-Pro Forma'!G41</f>
        <v>47721.459606425022</v>
      </c>
      <c r="I11" s="432">
        <f>'Part VI-Pro Forma'!G41-'Part VI-Pro Forma'!H41</f>
        <v>48200.867523110355</v>
      </c>
      <c r="K11" s="423" t="e">
        <f>H24</f>
        <v>#VALUE!</v>
      </c>
      <c r="O11" s="428"/>
    </row>
    <row r="12" spans="1:15" ht="13.5" customHeight="1">
      <c r="A12" s="366" t="s">
        <v>7236</v>
      </c>
      <c r="C12" s="704" t="e">
        <f>'Part II-Sources of Funds'!I44-'Part VI-Pro Forma'!B42</f>
        <v>#VALUE!</v>
      </c>
      <c r="D12" s="432" t="e">
        <f>'Part VI-Pro Forma'!B42-'Part VI-Pro Forma'!C42</f>
        <v>#VALUE!</v>
      </c>
      <c r="E12" s="432" t="e">
        <f>'Part VI-Pro Forma'!C42-'Part VI-Pro Forma'!D42</f>
        <v>#VALUE!</v>
      </c>
      <c r="F12" s="432" t="e">
        <f>'Part VI-Pro Forma'!D42-'Part VI-Pro Forma'!E42</f>
        <v>#VALUE!</v>
      </c>
      <c r="G12" s="432" t="e">
        <f>'Part VI-Pro Forma'!E42-'Part VI-Pro Forma'!F42</f>
        <v>#VALUE!</v>
      </c>
      <c r="H12" s="432" t="e">
        <f>'Part VI-Pro Forma'!F42-'Part VI-Pro Forma'!G42</f>
        <v>#VALUE!</v>
      </c>
      <c r="I12" s="432" t="e">
        <f>'Part VI-Pro Forma'!G42-'Part VI-Pro Forma'!H42</f>
        <v>#VALUE!</v>
      </c>
      <c r="K12" s="423" t="e">
        <f>I24</f>
        <v>#VALUE!</v>
      </c>
      <c r="M12" s="366" t="s">
        <v>7238</v>
      </c>
      <c r="N12" s="433">
        <v>0.06</v>
      </c>
      <c r="O12" s="428">
        <f>N12*O6</f>
        <v>0</v>
      </c>
    </row>
    <row r="13" spans="1:15" ht="13.5" customHeight="1">
      <c r="A13" s="434" t="s">
        <v>7239</v>
      </c>
      <c r="B13" s="434"/>
      <c r="C13" s="705">
        <f>'Part VI-Pro Forma'!B23</f>
        <v>-38400</v>
      </c>
      <c r="D13" s="705">
        <f>'Part VI-Pro Forma'!C23</f>
        <v>-39552</v>
      </c>
      <c r="E13" s="705">
        <f>'Part VI-Pro Forma'!D23</f>
        <v>-40738.559999999998</v>
      </c>
      <c r="F13" s="705">
        <f>'Part VI-Pro Forma'!E23</f>
        <v>-41960.716800000002</v>
      </c>
      <c r="G13" s="705">
        <f>'Part VI-Pro Forma'!F23</f>
        <v>-43219.538303999994</v>
      </c>
      <c r="H13" s="705">
        <f>'Part VI-Pro Forma'!G23</f>
        <v>-44516.124453119992</v>
      </c>
      <c r="I13" s="705">
        <f>'Part VI-Pro Forma'!H23</f>
        <v>-45851.608186713594</v>
      </c>
      <c r="K13" s="423" t="e">
        <f>C44</f>
        <v>#VALUE!</v>
      </c>
      <c r="O13" s="428"/>
    </row>
    <row r="14" spans="1:15" ht="13.5" customHeight="1">
      <c r="A14" s="434" t="s">
        <v>7240</v>
      </c>
      <c r="B14" s="434"/>
      <c r="C14" s="705">
        <f>'Part VI-Pro Forma'!B32</f>
        <v>0</v>
      </c>
      <c r="D14" s="705">
        <f>'Part VI-Pro Forma'!C32</f>
        <v>0</v>
      </c>
      <c r="E14" s="705">
        <f>'Part VI-Pro Forma'!D32</f>
        <v>0</v>
      </c>
      <c r="F14" s="705">
        <f>'Part VI-Pro Forma'!E32</f>
        <v>0</v>
      </c>
      <c r="G14" s="705">
        <f>'Part VI-Pro Forma'!F32</f>
        <v>0</v>
      </c>
      <c r="H14" s="705">
        <f>'Part VI-Pro Forma'!G32</f>
        <v>0</v>
      </c>
      <c r="I14" s="705">
        <f>'Part VI-Pro Forma'!H32</f>
        <v>0</v>
      </c>
      <c r="K14" s="423" t="e">
        <f>D44</f>
        <v>#VALUE!</v>
      </c>
      <c r="M14" s="366" t="s">
        <v>7241</v>
      </c>
      <c r="O14" s="428" t="e">
        <f>O6-O8-O12</f>
        <v>#REF!</v>
      </c>
    </row>
    <row r="15" spans="1:15" ht="13.5" customHeight="1">
      <c r="A15" s="366" t="s">
        <v>7242</v>
      </c>
      <c r="C15" s="435">
        <f t="shared" ref="C15:I15" si="0">$E$3/$H$3</f>
        <v>587548.19346909097</v>
      </c>
      <c r="D15" s="435">
        <f t="shared" si="0"/>
        <v>587548.19346909097</v>
      </c>
      <c r="E15" s="435">
        <f t="shared" si="0"/>
        <v>587548.19346909097</v>
      </c>
      <c r="F15" s="435">
        <f t="shared" si="0"/>
        <v>587548.19346909097</v>
      </c>
      <c r="G15" s="435">
        <f t="shared" si="0"/>
        <v>587548.19346909097</v>
      </c>
      <c r="H15" s="435">
        <f t="shared" si="0"/>
        <v>587548.19346909097</v>
      </c>
      <c r="I15" s="435">
        <f t="shared" si="0"/>
        <v>587548.19346909097</v>
      </c>
      <c r="K15" s="423" t="e">
        <f>E44</f>
        <v>#VALUE!</v>
      </c>
      <c r="O15" s="428"/>
    </row>
    <row r="16" spans="1:15" ht="13.5" customHeight="1">
      <c r="A16" s="366" t="s">
        <v>7243</v>
      </c>
      <c r="C16" s="435">
        <f>IF(C$8&lt;=$H$4,($E$4/$H$4),0)+IF(C$8&lt;=$H$5,($E$5/$H$5),0)</f>
        <v>12760</v>
      </c>
      <c r="D16" s="435">
        <f t="shared" ref="D16:I16" si="1">IF(D$8&lt;=$H$4,($E$4/$H$4),0)+IF(D$8&lt;=$H$5,($E$5/$H$5),0)</f>
        <v>12760</v>
      </c>
      <c r="E16" s="435">
        <f t="shared" si="1"/>
        <v>12760</v>
      </c>
      <c r="F16" s="435">
        <f t="shared" si="1"/>
        <v>12760</v>
      </c>
      <c r="G16" s="435">
        <f t="shared" si="1"/>
        <v>12760</v>
      </c>
      <c r="H16" s="435">
        <f t="shared" si="1"/>
        <v>12760</v>
      </c>
      <c r="I16" s="435">
        <f t="shared" si="1"/>
        <v>12760</v>
      </c>
      <c r="K16" s="423" t="e">
        <f>F44</f>
        <v>#VALUE!</v>
      </c>
      <c r="M16" s="366" t="s">
        <v>7244</v>
      </c>
      <c r="O16" s="428">
        <f>E3</f>
        <v>16157575.320400001</v>
      </c>
    </row>
    <row r="17" spans="1:17" ht="13.5" customHeight="1">
      <c r="A17" s="366" t="s">
        <v>7245</v>
      </c>
      <c r="C17" s="432" t="e">
        <f t="shared" ref="C17:I17" si="2">C9+C10+C11+C12+C13+C14-C15-C16</f>
        <v>#VALUE!</v>
      </c>
      <c r="D17" s="432" t="e">
        <f t="shared" si="2"/>
        <v>#VALUE!</v>
      </c>
      <c r="E17" s="432" t="e">
        <f t="shared" si="2"/>
        <v>#VALUE!</v>
      </c>
      <c r="F17" s="432" t="e">
        <f t="shared" si="2"/>
        <v>#VALUE!</v>
      </c>
      <c r="G17" s="432" t="e">
        <f t="shared" si="2"/>
        <v>#VALUE!</v>
      </c>
      <c r="H17" s="432" t="e">
        <f t="shared" si="2"/>
        <v>#VALUE!</v>
      </c>
      <c r="I17" s="432" t="e">
        <f t="shared" si="2"/>
        <v>#VALUE!</v>
      </c>
      <c r="K17" s="423" t="e">
        <f>G44</f>
        <v>#VALUE!</v>
      </c>
      <c r="M17" s="366" t="s">
        <v>7242</v>
      </c>
      <c r="O17" s="428">
        <f>20*(E3/H3)</f>
        <v>11750963.869381819</v>
      </c>
    </row>
    <row r="18" spans="1:17" ht="13.5" customHeight="1">
      <c r="A18" s="366" t="s">
        <v>7246</v>
      </c>
      <c r="C18" s="436" t="e">
        <f t="shared" ref="C18:I18" si="3">C17*$H$6</f>
        <v>#VALUE!</v>
      </c>
      <c r="D18" s="436" t="e">
        <f t="shared" si="3"/>
        <v>#VALUE!</v>
      </c>
      <c r="E18" s="436" t="e">
        <f t="shared" si="3"/>
        <v>#VALUE!</v>
      </c>
      <c r="F18" s="436" t="e">
        <f t="shared" si="3"/>
        <v>#VALUE!</v>
      </c>
      <c r="G18" s="436" t="e">
        <f t="shared" si="3"/>
        <v>#VALUE!</v>
      </c>
      <c r="H18" s="436" t="e">
        <f t="shared" si="3"/>
        <v>#VALUE!</v>
      </c>
      <c r="I18" s="436" t="e">
        <f t="shared" si="3"/>
        <v>#VALUE!</v>
      </c>
      <c r="K18" s="423" t="e">
        <f>H44</f>
        <v>#VALUE!</v>
      </c>
      <c r="O18" s="428"/>
    </row>
    <row r="19" spans="1:17" ht="13.5" customHeight="1">
      <c r="C19" s="430"/>
      <c r="D19" s="430"/>
      <c r="E19" s="430"/>
      <c r="F19" s="430"/>
      <c r="G19" s="430"/>
      <c r="H19" s="430"/>
      <c r="I19" s="430"/>
      <c r="K19" s="423" t="e">
        <f>I44</f>
        <v>#VALUE!</v>
      </c>
      <c r="M19" s="366" t="s">
        <v>7247</v>
      </c>
      <c r="O19" s="428">
        <f>O16-O17</f>
        <v>4406611.4510181826</v>
      </c>
    </row>
    <row r="20" spans="1:17" ht="13.5" customHeight="1">
      <c r="A20" s="366" t="s">
        <v>7248</v>
      </c>
      <c r="C20" s="432" t="e">
        <f t="shared" ref="C20:I20" si="4">C9-C18</f>
        <v>#VALUE!</v>
      </c>
      <c r="D20" s="432" t="e">
        <f t="shared" si="4"/>
        <v>#VALUE!</v>
      </c>
      <c r="E20" s="432" t="e">
        <f t="shared" si="4"/>
        <v>#VALUE!</v>
      </c>
      <c r="F20" s="432" t="e">
        <f t="shared" si="4"/>
        <v>#VALUE!</v>
      </c>
      <c r="G20" s="432" t="e">
        <f t="shared" si="4"/>
        <v>#VALUE!</v>
      </c>
      <c r="H20" s="432" t="e">
        <f t="shared" si="4"/>
        <v>#VALUE!</v>
      </c>
      <c r="I20" s="432" t="e">
        <f t="shared" si="4"/>
        <v>#VALUE!</v>
      </c>
      <c r="K20" s="423" t="e">
        <f>C64</f>
        <v>#VALUE!</v>
      </c>
      <c r="O20" s="428"/>
    </row>
    <row r="21" spans="1:17" ht="13.5" customHeight="1">
      <c r="A21" s="366" t="s">
        <v>7249</v>
      </c>
      <c r="C21" s="436">
        <f>'Part III-A-Uses of Funds'!$J$192</f>
        <v>1145000</v>
      </c>
      <c r="D21" s="436">
        <f t="shared" ref="D21:I21" si="5">C21</f>
        <v>1145000</v>
      </c>
      <c r="E21" s="436">
        <f t="shared" si="5"/>
        <v>1145000</v>
      </c>
      <c r="F21" s="436">
        <f t="shared" si="5"/>
        <v>1145000</v>
      </c>
      <c r="G21" s="436">
        <f t="shared" si="5"/>
        <v>1145000</v>
      </c>
      <c r="H21" s="436">
        <f t="shared" si="5"/>
        <v>1145000</v>
      </c>
      <c r="I21" s="436">
        <f t="shared" si="5"/>
        <v>1145000</v>
      </c>
      <c r="J21" s="366" t="s">
        <v>7021</v>
      </c>
      <c r="K21" s="423" t="e">
        <f>D64</f>
        <v>#VALUE!</v>
      </c>
      <c r="O21" s="428"/>
    </row>
    <row r="22" spans="1:17" ht="13.5" customHeight="1">
      <c r="A22" s="366" t="s">
        <v>7250</v>
      </c>
      <c r="C22" s="436">
        <f>C21</f>
        <v>1145000</v>
      </c>
      <c r="D22" s="436">
        <f t="shared" ref="D22:I22" si="6">D21</f>
        <v>1145000</v>
      </c>
      <c r="E22" s="436">
        <f t="shared" si="6"/>
        <v>1145000</v>
      </c>
      <c r="F22" s="436">
        <f t="shared" si="6"/>
        <v>1145000</v>
      </c>
      <c r="G22" s="436">
        <f t="shared" si="6"/>
        <v>1145000</v>
      </c>
      <c r="H22" s="436">
        <f t="shared" si="6"/>
        <v>1145000</v>
      </c>
      <c r="I22" s="436">
        <f t="shared" si="6"/>
        <v>1145000</v>
      </c>
      <c r="K22" s="423" t="e">
        <f>E64</f>
        <v>#VALUE!</v>
      </c>
      <c r="M22" s="366" t="s">
        <v>7232</v>
      </c>
      <c r="O22" s="428">
        <f>O6</f>
        <v>0</v>
      </c>
    </row>
    <row r="23" spans="1:17" ht="13.5" customHeight="1">
      <c r="A23" s="366" t="s">
        <v>7251</v>
      </c>
      <c r="C23" s="430">
        <v>0</v>
      </c>
      <c r="D23" s="430">
        <v>0</v>
      </c>
      <c r="E23" s="430">
        <v>0</v>
      </c>
      <c r="F23" s="430">
        <v>0</v>
      </c>
      <c r="G23" s="430">
        <v>0</v>
      </c>
      <c r="H23" s="430">
        <v>0</v>
      </c>
      <c r="I23" s="430">
        <v>0</v>
      </c>
      <c r="K23" s="423" t="e">
        <f>F64</f>
        <v>#VALUE!</v>
      </c>
      <c r="M23" s="366" t="s">
        <v>7252</v>
      </c>
      <c r="O23" s="428">
        <f>O19</f>
        <v>4406611.4510181826</v>
      </c>
    </row>
    <row r="24" spans="1:17" ht="13.5" customHeight="1">
      <c r="A24" s="366" t="s">
        <v>7224</v>
      </c>
      <c r="C24" s="432" t="e">
        <f t="shared" ref="C24:I24" si="7">SUM(C20:C23)</f>
        <v>#VALUE!</v>
      </c>
      <c r="D24" s="432" t="e">
        <f t="shared" si="7"/>
        <v>#VALUE!</v>
      </c>
      <c r="E24" s="432" t="e">
        <f t="shared" si="7"/>
        <v>#VALUE!</v>
      </c>
      <c r="F24" s="432" t="e">
        <f t="shared" si="7"/>
        <v>#VALUE!</v>
      </c>
      <c r="G24" s="432" t="e">
        <f t="shared" si="7"/>
        <v>#VALUE!</v>
      </c>
      <c r="H24" s="432" t="e">
        <f t="shared" si="7"/>
        <v>#VALUE!</v>
      </c>
      <c r="I24" s="432" t="e">
        <f t="shared" si="7"/>
        <v>#VALUE!</v>
      </c>
      <c r="K24" s="423" t="e">
        <f>G64</f>
        <v>#VALUE!</v>
      </c>
      <c r="O24" s="428"/>
    </row>
    <row r="25" spans="1:17" ht="13.5" customHeight="1">
      <c r="K25" s="423" t="e">
        <f>H64</f>
        <v>#VALUE!</v>
      </c>
      <c r="M25" s="366" t="s">
        <v>7253</v>
      </c>
      <c r="O25" s="428">
        <f>O22-O23</f>
        <v>-4406611.4510181826</v>
      </c>
      <c r="Q25" s="437"/>
    </row>
    <row r="26" spans="1:17" ht="13.5" customHeight="1">
      <c r="A26" s="438"/>
      <c r="B26" s="438"/>
      <c r="C26" s="438"/>
      <c r="D26" s="438"/>
      <c r="E26" s="438"/>
      <c r="F26" s="438"/>
      <c r="G26" s="438"/>
      <c r="H26" s="438"/>
      <c r="I26" s="438"/>
      <c r="K26" s="423"/>
      <c r="O26" s="428"/>
    </row>
    <row r="27" spans="1:17" ht="13.5" customHeight="1">
      <c r="K27" s="423"/>
      <c r="M27" s="366" t="s">
        <v>7254</v>
      </c>
      <c r="N27" s="439"/>
      <c r="O27" s="433">
        <v>0.2</v>
      </c>
    </row>
    <row r="28" spans="1:17" ht="13.5" customHeight="1">
      <c r="A28" s="367" t="s">
        <v>480</v>
      </c>
      <c r="B28" s="367"/>
      <c r="C28" s="429">
        <v>8</v>
      </c>
      <c r="D28" s="429">
        <v>9</v>
      </c>
      <c r="E28" s="429">
        <v>10</v>
      </c>
      <c r="F28" s="429">
        <v>11</v>
      </c>
      <c r="G28" s="429">
        <v>12</v>
      </c>
      <c r="H28" s="429">
        <v>13</v>
      </c>
      <c r="I28" s="429">
        <v>14</v>
      </c>
      <c r="N28" s="439"/>
      <c r="O28" s="439"/>
    </row>
    <row r="29" spans="1:17" ht="13.5" customHeight="1">
      <c r="A29" s="366" t="s">
        <v>7234</v>
      </c>
      <c r="C29" s="430">
        <f>'Part VI-Pro Forma'!I33</f>
        <v>49569.555134043971</v>
      </c>
      <c r="D29" s="430">
        <f>'Part VI-Pro Forma'!J33</f>
        <v>49486.084019332367</v>
      </c>
      <c r="E29" s="430">
        <f>'Part VI-Pro Forma'!K33</f>
        <v>49330.509545703826</v>
      </c>
      <c r="F29" s="430">
        <f>'Part VI-Pro Forma'!B65</f>
        <v>49100.245667881245</v>
      </c>
      <c r="G29" s="430">
        <f>'Part VI-Pro Forma'!C65</f>
        <v>48791.375740339019</v>
      </c>
      <c r="H29" s="430">
        <f>'Part VI-Pro Forma'!D65</f>
        <v>48399.848018918245</v>
      </c>
      <c r="I29" s="430">
        <f>'Part VI-Pro Forma'!E65</f>
        <v>47921.471015881136</v>
      </c>
      <c r="N29" s="439"/>
      <c r="O29" s="439"/>
    </row>
    <row r="30" spans="1:17" ht="13.5" customHeight="1">
      <c r="A30" s="366" t="s">
        <v>7236</v>
      </c>
      <c r="C30" s="432">
        <f>'Part VI-Pro Forma'!H40-'Part VI-Pro Forma'!I40</f>
        <v>93045.60721615795</v>
      </c>
      <c r="D30" s="432">
        <f>'Part VI-Pro Forma'!I40-'Part VI-Pro Forma'!J40</f>
        <v>98655.748780121794</v>
      </c>
      <c r="E30" s="432">
        <f>'Part VI-Pro Forma'!J40-'Part VI-Pro Forma'!K40</f>
        <v>104500.7321648486</v>
      </c>
      <c r="F30" s="702">
        <f>'Part VI-Pro Forma'!K40-'Part VI-Pro Forma'!B72</f>
        <v>110591.05435962602</v>
      </c>
      <c r="G30" s="702">
        <f>'Part VI-Pro Forma'!B72-'Part VI-Pro Forma'!C72</f>
        <v>116935.80807227676</v>
      </c>
      <c r="H30" s="702">
        <f>'Part VI-Pro Forma'!C72-'Part VI-Pro Forma'!D72</f>
        <v>123544.43851424346</v>
      </c>
      <c r="I30" s="702">
        <f>'Part VI-Pro Forma'!D72-'Part VI-Pro Forma'!E72</f>
        <v>130426.7579799894</v>
      </c>
    </row>
    <row r="31" spans="1:17" ht="13.5" customHeight="1">
      <c r="A31" s="366" t="s">
        <v>7236</v>
      </c>
      <c r="C31" s="432">
        <f>'Part VI-Pro Forma'!H41-'Part VI-Pro Forma'!I41</f>
        <v>48685.091552975704</v>
      </c>
      <c r="D31" s="432">
        <f>'Part VI-Pro Forma'!I41-'Part VI-Pro Forma'!J41</f>
        <v>49174.180078505655</v>
      </c>
      <c r="E31" s="432">
        <f>'Part VI-Pro Forma'!J41-'Part VI-Pro Forma'!K41</f>
        <v>49668.181968233548</v>
      </c>
      <c r="F31" s="702">
        <f>'Part VI-Pro Forma'!K41-'Part VI-Pro Forma'!B73</f>
        <v>50167.14658162382</v>
      </c>
      <c r="G31" s="702">
        <f>'Part VI-Pro Forma'!B73-'Part VI-Pro Forma'!C73</f>
        <v>50671.123774004169</v>
      </c>
      <c r="H31" s="702">
        <f>'Part VI-Pro Forma'!C73-'Part VI-Pro Forma'!D73</f>
        <v>51180.163901547319</v>
      </c>
      <c r="I31" s="702">
        <f>'Part VI-Pro Forma'!D73-'Part VI-Pro Forma'!E73</f>
        <v>51694.317826301791</v>
      </c>
      <c r="K31" s="366" t="s">
        <v>7021</v>
      </c>
      <c r="M31" s="366" t="s">
        <v>7255</v>
      </c>
      <c r="O31" s="430">
        <f>O25*O27</f>
        <v>-881322.29020363651</v>
      </c>
    </row>
    <row r="32" spans="1:17" ht="13.5" customHeight="1">
      <c r="A32" s="366" t="s">
        <v>7236</v>
      </c>
      <c r="C32" s="432" t="e">
        <f>'Part VI-Pro Forma'!H42-'Part VI-Pro Forma'!I42</f>
        <v>#VALUE!</v>
      </c>
      <c r="D32" s="432" t="e">
        <f>'Part VI-Pro Forma'!I42-'Part VI-Pro Forma'!J42</f>
        <v>#VALUE!</v>
      </c>
      <c r="E32" s="432" t="e">
        <f>'Part VI-Pro Forma'!J42-'Part VI-Pro Forma'!K42</f>
        <v>#VALUE!</v>
      </c>
      <c r="F32" s="702" t="e">
        <f>'Part VI-Pro Forma'!K42-'Part VI-Pro Forma'!B74</f>
        <v>#VALUE!</v>
      </c>
      <c r="G32" s="702" t="e">
        <f>'Part VI-Pro Forma'!B74-'Part VI-Pro Forma'!C74</f>
        <v>#VALUE!</v>
      </c>
      <c r="H32" s="702" t="e">
        <f>'Part VI-Pro Forma'!C74-'Part VI-Pro Forma'!D74</f>
        <v>#VALUE!</v>
      </c>
      <c r="I32" s="702" t="e">
        <f>'Part VI-Pro Forma'!D74-'Part VI-Pro Forma'!E74</f>
        <v>#VALUE!</v>
      </c>
    </row>
    <row r="33" spans="1:15" ht="13.5" customHeight="1">
      <c r="A33" s="434" t="s">
        <v>7239</v>
      </c>
      <c r="B33" s="434"/>
      <c r="C33" s="705">
        <f>'Part VI-Pro Forma'!I23</f>
        <v>-47227.156432315009</v>
      </c>
      <c r="D33" s="705">
        <f>'Part VI-Pro Forma'!J23</f>
        <v>-48643.97112528445</v>
      </c>
      <c r="E33" s="705">
        <f>'Part VI-Pro Forma'!K23</f>
        <v>-50103.290259042988</v>
      </c>
      <c r="F33" s="705">
        <f>'Part VI-Pro Forma'!B55</f>
        <v>-51606.388966814273</v>
      </c>
      <c r="G33" s="705">
        <f>'Part VI-Pro Forma'!C55</f>
        <v>-53154.580635818704</v>
      </c>
      <c r="H33" s="705">
        <f>'Part VI-Pro Forma'!D55</f>
        <v>-54749.218054893259</v>
      </c>
      <c r="I33" s="705">
        <f>'Part VI-Pro Forma'!E55</f>
        <v>-56391.694596540052</v>
      </c>
      <c r="K33" s="366" t="s">
        <v>7021</v>
      </c>
      <c r="M33" s="366" t="s">
        <v>7256</v>
      </c>
      <c r="O33" s="430" t="e">
        <f>O14-O31</f>
        <v>#REF!</v>
      </c>
    </row>
    <row r="34" spans="1:15" ht="13.5" customHeight="1">
      <c r="A34" s="434" t="s">
        <v>7240</v>
      </c>
      <c r="B34" s="434"/>
      <c r="C34" s="705">
        <f>'Part VI-Pro Forma'!I32</f>
        <v>0</v>
      </c>
      <c r="D34" s="705">
        <f>'Part VI-Pro Forma'!J32</f>
        <v>0</v>
      </c>
      <c r="E34" s="705">
        <f>'Part VI-Pro Forma'!K32</f>
        <v>0</v>
      </c>
      <c r="F34" s="705">
        <f>'Part VI-Pro Forma'!B64</f>
        <v>0</v>
      </c>
      <c r="G34" s="705">
        <f>'Part VI-Pro Forma'!C64</f>
        <v>0</v>
      </c>
      <c r="H34" s="705">
        <f>'Part VI-Pro Forma'!D64</f>
        <v>0</v>
      </c>
      <c r="I34" s="705">
        <f>'Part VI-Pro Forma'!E64</f>
        <v>0</v>
      </c>
    </row>
    <row r="35" spans="1:15" ht="13.5" customHeight="1">
      <c r="A35" s="366" t="s">
        <v>7242</v>
      </c>
      <c r="C35" s="435">
        <f t="shared" ref="C35:I35" si="8">$E$3/$H$3</f>
        <v>587548.19346909097</v>
      </c>
      <c r="D35" s="435">
        <f t="shared" si="8"/>
        <v>587548.19346909097</v>
      </c>
      <c r="E35" s="435">
        <f t="shared" si="8"/>
        <v>587548.19346909097</v>
      </c>
      <c r="F35" s="435">
        <f t="shared" si="8"/>
        <v>587548.19346909097</v>
      </c>
      <c r="G35" s="435">
        <f t="shared" si="8"/>
        <v>587548.19346909097</v>
      </c>
      <c r="H35" s="435">
        <f t="shared" si="8"/>
        <v>587548.19346909097</v>
      </c>
      <c r="I35" s="435">
        <f t="shared" si="8"/>
        <v>587548.19346909097</v>
      </c>
    </row>
    <row r="36" spans="1:15" ht="13.5" customHeight="1">
      <c r="A36" s="366" t="s">
        <v>7243</v>
      </c>
      <c r="C36" s="430">
        <f>IF(C$28&lt;=$H$4,($E$4/$H$4),0)+IF(C$28&lt;=$H$5,($E$5/$H$5),0)</f>
        <v>12760</v>
      </c>
      <c r="D36" s="430">
        <f t="shared" ref="D36:I36" si="9">IF(D$28&lt;=$H$4,($E$4/$H$4),0)+IF(D$28&lt;=$H$5,($E$5/$H$5),0)</f>
        <v>12760</v>
      </c>
      <c r="E36" s="430">
        <f t="shared" si="9"/>
        <v>12760</v>
      </c>
      <c r="F36" s="430">
        <f t="shared" si="9"/>
        <v>12760</v>
      </c>
      <c r="G36" s="430">
        <f t="shared" si="9"/>
        <v>12760</v>
      </c>
      <c r="H36" s="430">
        <f t="shared" si="9"/>
        <v>12760</v>
      </c>
      <c r="I36" s="430">
        <f t="shared" si="9"/>
        <v>12760</v>
      </c>
    </row>
    <row r="37" spans="1:15" ht="13.5" customHeight="1">
      <c r="A37" s="366" t="s">
        <v>7245</v>
      </c>
      <c r="C37" s="432" t="e">
        <f t="shared" ref="C37:I37" si="10">C29+C30+C31+C32+C33+C34-C35-C36</f>
        <v>#VALUE!</v>
      </c>
      <c r="D37" s="432" t="e">
        <f t="shared" si="10"/>
        <v>#VALUE!</v>
      </c>
      <c r="E37" s="432" t="e">
        <f t="shared" si="10"/>
        <v>#VALUE!</v>
      </c>
      <c r="F37" s="432" t="e">
        <f t="shared" si="10"/>
        <v>#VALUE!</v>
      </c>
      <c r="G37" s="432" t="e">
        <f t="shared" si="10"/>
        <v>#VALUE!</v>
      </c>
      <c r="H37" s="432" t="e">
        <f t="shared" si="10"/>
        <v>#VALUE!</v>
      </c>
      <c r="I37" s="432" t="e">
        <f t="shared" si="10"/>
        <v>#VALUE!</v>
      </c>
    </row>
    <row r="38" spans="1:15" ht="13.5" customHeight="1">
      <c r="A38" s="366" t="s">
        <v>7246</v>
      </c>
      <c r="C38" s="436" t="e">
        <f t="shared" ref="C38:I38" si="11">C37*$H$6</f>
        <v>#VALUE!</v>
      </c>
      <c r="D38" s="436" t="e">
        <f t="shared" si="11"/>
        <v>#VALUE!</v>
      </c>
      <c r="E38" s="436" t="e">
        <f t="shared" si="11"/>
        <v>#VALUE!</v>
      </c>
      <c r="F38" s="436" t="e">
        <f t="shared" si="11"/>
        <v>#VALUE!</v>
      </c>
      <c r="G38" s="436" t="e">
        <f t="shared" si="11"/>
        <v>#VALUE!</v>
      </c>
      <c r="H38" s="436" t="e">
        <f t="shared" si="11"/>
        <v>#VALUE!</v>
      </c>
      <c r="I38" s="436" t="e">
        <f t="shared" si="11"/>
        <v>#VALUE!</v>
      </c>
    </row>
    <row r="39" spans="1:15" ht="13.5" customHeight="1">
      <c r="C39" s="432"/>
      <c r="D39" s="432"/>
      <c r="E39" s="432"/>
      <c r="F39" s="432"/>
      <c r="G39" s="432"/>
      <c r="H39" s="432"/>
      <c r="I39" s="432"/>
    </row>
    <row r="40" spans="1:15" ht="13.5" customHeight="1">
      <c r="A40" s="366" t="s">
        <v>7248</v>
      </c>
      <c r="C40" s="432" t="e">
        <f t="shared" ref="C40:I40" si="12">C29-C38</f>
        <v>#VALUE!</v>
      </c>
      <c r="D40" s="432" t="e">
        <f t="shared" si="12"/>
        <v>#VALUE!</v>
      </c>
      <c r="E40" s="432" t="e">
        <f t="shared" si="12"/>
        <v>#VALUE!</v>
      </c>
      <c r="F40" s="432" t="e">
        <f t="shared" si="12"/>
        <v>#VALUE!</v>
      </c>
      <c r="G40" s="432" t="e">
        <f t="shared" si="12"/>
        <v>#VALUE!</v>
      </c>
      <c r="H40" s="432" t="e">
        <f t="shared" si="12"/>
        <v>#VALUE!</v>
      </c>
      <c r="I40" s="432" t="e">
        <f t="shared" si="12"/>
        <v>#VALUE!</v>
      </c>
    </row>
    <row r="41" spans="1:15" ht="13.5" customHeight="1">
      <c r="A41" s="366" t="s">
        <v>7249</v>
      </c>
      <c r="C41" s="436">
        <f>C21</f>
        <v>1145000</v>
      </c>
      <c r="D41" s="436">
        <f>C41</f>
        <v>1145000</v>
      </c>
      <c r="E41" s="436">
        <f>D41</f>
        <v>1145000</v>
      </c>
      <c r="F41" s="436">
        <v>0</v>
      </c>
      <c r="G41" s="436">
        <v>0</v>
      </c>
      <c r="H41" s="436">
        <v>0</v>
      </c>
      <c r="I41" s="436">
        <v>0</v>
      </c>
    </row>
    <row r="42" spans="1:15" ht="13.5" customHeight="1">
      <c r="A42" s="366" t="s">
        <v>7250</v>
      </c>
      <c r="C42" s="436">
        <f>C22</f>
        <v>1145000</v>
      </c>
      <c r="D42" s="436">
        <f>C42</f>
        <v>1145000</v>
      </c>
      <c r="E42" s="436">
        <f>D42</f>
        <v>1145000</v>
      </c>
      <c r="F42" s="436">
        <v>0</v>
      </c>
      <c r="G42" s="436">
        <v>0</v>
      </c>
      <c r="H42" s="436">
        <v>0</v>
      </c>
      <c r="I42" s="436">
        <v>0</v>
      </c>
    </row>
    <row r="43" spans="1:15" ht="13.5" customHeight="1">
      <c r="A43" s="366" t="s">
        <v>7251</v>
      </c>
      <c r="C43" s="432">
        <v>0</v>
      </c>
      <c r="D43" s="432">
        <v>0</v>
      </c>
      <c r="E43" s="432">
        <v>0</v>
      </c>
      <c r="F43" s="432">
        <v>0</v>
      </c>
      <c r="G43" s="432">
        <v>0</v>
      </c>
      <c r="H43" s="432">
        <v>0</v>
      </c>
      <c r="I43" s="432">
        <v>0</v>
      </c>
    </row>
    <row r="44" spans="1:15" ht="13.5" customHeight="1">
      <c r="A44" s="366" t="s">
        <v>7224</v>
      </c>
      <c r="C44" s="432" t="e">
        <f t="shared" ref="C44:I44" si="13">SUM(C40:C43)</f>
        <v>#VALUE!</v>
      </c>
      <c r="D44" s="432" t="e">
        <f t="shared" si="13"/>
        <v>#VALUE!</v>
      </c>
      <c r="E44" s="432" t="e">
        <f t="shared" si="13"/>
        <v>#VALUE!</v>
      </c>
      <c r="F44" s="432" t="e">
        <f t="shared" si="13"/>
        <v>#VALUE!</v>
      </c>
      <c r="G44" s="432" t="e">
        <f t="shared" si="13"/>
        <v>#VALUE!</v>
      </c>
      <c r="H44" s="432" t="e">
        <f t="shared" si="13"/>
        <v>#VALUE!</v>
      </c>
      <c r="I44" s="432" t="e">
        <f t="shared" si="13"/>
        <v>#VALUE!</v>
      </c>
    </row>
    <row r="45" spans="1:15" ht="13.5" customHeight="1"/>
    <row r="46" spans="1:15" ht="13.5" customHeight="1">
      <c r="A46" s="438"/>
      <c r="B46" s="438"/>
      <c r="C46" s="438"/>
      <c r="D46" s="438"/>
      <c r="E46" s="438"/>
      <c r="F46" s="438"/>
      <c r="G46" s="438"/>
      <c r="H46" s="438"/>
      <c r="I46" s="438"/>
    </row>
    <row r="47" spans="1:15" ht="13.5" customHeight="1">
      <c r="I47" s="371"/>
    </row>
    <row r="48" spans="1:15" ht="13.5" customHeight="1">
      <c r="A48" s="367" t="s">
        <v>480</v>
      </c>
      <c r="B48" s="367"/>
      <c r="C48" s="429">
        <v>15</v>
      </c>
      <c r="D48" s="367">
        <v>16</v>
      </c>
      <c r="E48" s="367">
        <v>17</v>
      </c>
      <c r="F48" s="367">
        <v>18</v>
      </c>
      <c r="G48" s="367">
        <v>19</v>
      </c>
      <c r="H48" s="367">
        <v>20</v>
      </c>
    </row>
    <row r="49" spans="1:10" ht="13.5" customHeight="1">
      <c r="A49" s="366" t="s">
        <v>7234</v>
      </c>
      <c r="C49" s="430">
        <f>'Part VI-Pro Forma'!F65</f>
        <v>47353.108703779872</v>
      </c>
      <c r="D49" s="430">
        <f>'Part VI-Pro Forma'!G62</f>
        <v>0</v>
      </c>
      <c r="E49" s="430">
        <f>'Part VI-Pro Forma'!H62</f>
        <v>0</v>
      </c>
      <c r="F49" s="430">
        <f>'Part VI-Pro Forma'!I62</f>
        <v>0</v>
      </c>
      <c r="G49" s="430">
        <f>'Part VI-Pro Forma'!J62</f>
        <v>0</v>
      </c>
      <c r="H49" s="430">
        <f>'Part VI-Pro Forma'!K62</f>
        <v>0</v>
      </c>
    </row>
    <row r="50" spans="1:10" ht="13.5" customHeight="1">
      <c r="A50" s="366" t="s">
        <v>7236</v>
      </c>
      <c r="C50" s="703">
        <f>'Part VI-Pro Forma'!E72-'Part VI-Pro Forma'!F72</f>
        <v>137594.81142685923</v>
      </c>
      <c r="D50" s="703">
        <f>'Part VI-Pro Forma'!F72-'Part VI-Pro Forma'!G72</f>
        <v>145058.07232003388</v>
      </c>
      <c r="E50" s="703">
        <f>'Part VI-Pro Forma'!G72-'Part VI-Pro Forma'!H72</f>
        <v>152829.44392578295</v>
      </c>
      <c r="F50" s="703">
        <f>'Part VI-Pro Forma'!H72-'Part VI-Pro Forma'!I72</f>
        <v>81809.893461475978</v>
      </c>
      <c r="G50" s="703">
        <f>'Part VI-Pro Forma'!I72-'Part VI-Pro Forma'!J72</f>
        <v>2758.1617195223516</v>
      </c>
      <c r="H50" s="703">
        <f>'Part VI-Pro Forma'!J72-'Part VI-Pro Forma'!K72</f>
        <v>92.989438674930213</v>
      </c>
    </row>
    <row r="51" spans="1:10" ht="13.5" customHeight="1">
      <c r="A51" s="366" t="s">
        <v>7236</v>
      </c>
      <c r="C51" s="703">
        <f>'Part VI-Pro Forma'!E73-'Part VI-Pro Forma'!F73</f>
        <v>52213.636921274243</v>
      </c>
      <c r="D51" s="703">
        <f>'Part VI-Pro Forma'!F73-'Part VI-Pro Forma'!G73</f>
        <v>52738.173075562838</v>
      </c>
      <c r="E51" s="703">
        <f>'Part VI-Pro Forma'!G73-'Part VI-Pro Forma'!H73</f>
        <v>53267.978699541301</v>
      </c>
      <c r="F51" s="703">
        <f>'Part VI-Pro Forma'!H73-'Part VI-Pro Forma'!I73</f>
        <v>53803.106730096042</v>
      </c>
      <c r="G51" s="703">
        <f>'Part VI-Pro Forma'!I73-'Part VI-Pro Forma'!J73</f>
        <v>54343.610635915407</v>
      </c>
      <c r="H51" s="703">
        <f>'Part VI-Pro Forma'!J73-'Part VI-Pro Forma'!K73</f>
        <v>54889.544422831976</v>
      </c>
    </row>
    <row r="52" spans="1:10" ht="13.5" customHeight="1">
      <c r="A52" s="366" t="s">
        <v>7236</v>
      </c>
      <c r="C52" s="440" t="e">
        <f>'Part VI-Pro Forma'!E74-'Part VI-Pro Forma'!F74</f>
        <v>#VALUE!</v>
      </c>
      <c r="D52" s="440" t="e">
        <f>'Part VI-Pro Forma'!F74-'Part VI-Pro Forma'!G74</f>
        <v>#VALUE!</v>
      </c>
      <c r="E52" s="440" t="e">
        <f>'Part VI-Pro Forma'!G74-'Part VI-Pro Forma'!H74</f>
        <v>#VALUE!</v>
      </c>
      <c r="F52" s="440" t="e">
        <f>'Part VI-Pro Forma'!H74-'Part VI-Pro Forma'!I74</f>
        <v>#VALUE!</v>
      </c>
      <c r="G52" s="440" t="e">
        <f>'Part VI-Pro Forma'!I74-'Part VI-Pro Forma'!J74</f>
        <v>#VALUE!</v>
      </c>
      <c r="H52" s="440" t="e">
        <f>'Part VI-Pro Forma'!J74-'Part VI-Pro Forma'!K74</f>
        <v>#VALUE!</v>
      </c>
    </row>
    <row r="53" spans="1:10" ht="13.5" customHeight="1">
      <c r="A53" s="434" t="s">
        <v>7239</v>
      </c>
      <c r="B53" s="434"/>
      <c r="C53" s="705">
        <f>'Part VI-Pro Forma'!F55</f>
        <v>-58083.44543443626</v>
      </c>
      <c r="D53" s="705">
        <f>'Part VI-Pro Forma'!G55</f>
        <v>-59825.948797469355</v>
      </c>
      <c r="E53" s="705">
        <f>'Part VI-Pro Forma'!H55</f>
        <v>-61620.727261393426</v>
      </c>
      <c r="F53" s="705">
        <f>'Part VI-Pro Forma'!I55</f>
        <v>-63469.349079235224</v>
      </c>
      <c r="G53" s="705">
        <f>'Part VI-Pro Forma'!J55</f>
        <v>-65373.429551612287</v>
      </c>
      <c r="H53" s="705">
        <f>'Part VI-Pro Forma'!K55</f>
        <v>-67334.632438160654</v>
      </c>
    </row>
    <row r="54" spans="1:10" ht="13.5" customHeight="1">
      <c r="A54" s="434" t="s">
        <v>7240</v>
      </c>
      <c r="C54" s="706">
        <f>'Part VI-Pro Forma'!F64</f>
        <v>0</v>
      </c>
      <c r="D54" s="706">
        <f>'Part VI-Pro Forma'!G64</f>
        <v>0</v>
      </c>
      <c r="E54" s="706">
        <f>'Part VI-Pro Forma'!H64</f>
        <v>0</v>
      </c>
      <c r="F54" s="706">
        <f>'Part VI-Pro Forma'!I64</f>
        <v>0</v>
      </c>
      <c r="G54" s="706">
        <f>'Part VI-Pro Forma'!J64</f>
        <v>0</v>
      </c>
      <c r="H54" s="706">
        <f>'Part VI-Pro Forma'!K64</f>
        <v>0</v>
      </c>
    </row>
    <row r="55" spans="1:10" ht="13.5" customHeight="1">
      <c r="A55" s="366" t="s">
        <v>7242</v>
      </c>
      <c r="C55" s="435">
        <f t="shared" ref="C55:H55" si="14">$E$3/$H$3</f>
        <v>587548.19346909097</v>
      </c>
      <c r="D55" s="435">
        <f t="shared" si="14"/>
        <v>587548.19346909097</v>
      </c>
      <c r="E55" s="435">
        <f t="shared" si="14"/>
        <v>587548.19346909097</v>
      </c>
      <c r="F55" s="435">
        <f t="shared" si="14"/>
        <v>587548.19346909097</v>
      </c>
      <c r="G55" s="435">
        <f t="shared" si="14"/>
        <v>587548.19346909097</v>
      </c>
      <c r="H55" s="435">
        <f t="shared" si="14"/>
        <v>587548.19346909097</v>
      </c>
    </row>
    <row r="56" spans="1:10" ht="13.5" customHeight="1">
      <c r="A56" s="366" t="s">
        <v>7243</v>
      </c>
      <c r="C56" s="430">
        <f t="shared" ref="C56:H56" si="15">IF(C$48&lt;=$H$4,($E$4/$H$4),0)+IF(C$48&lt;=$H$5,($E$5/$H$5),0)</f>
        <v>12760</v>
      </c>
      <c r="D56" s="430">
        <f t="shared" si="15"/>
        <v>0</v>
      </c>
      <c r="E56" s="430">
        <f t="shared" si="15"/>
        <v>0</v>
      </c>
      <c r="F56" s="430">
        <f t="shared" si="15"/>
        <v>0</v>
      </c>
      <c r="G56" s="430">
        <f t="shared" si="15"/>
        <v>0</v>
      </c>
      <c r="H56" s="430">
        <f t="shared" si="15"/>
        <v>0</v>
      </c>
    </row>
    <row r="57" spans="1:10" ht="13.5" customHeight="1">
      <c r="A57" s="366" t="s">
        <v>7245</v>
      </c>
      <c r="C57" s="430" t="e">
        <f t="shared" ref="C57:H57" si="16">C49+C50+C51+C52+C53+C54-C55-C56</f>
        <v>#VALUE!</v>
      </c>
      <c r="D57" s="430" t="e">
        <f t="shared" si="16"/>
        <v>#VALUE!</v>
      </c>
      <c r="E57" s="430" t="e">
        <f t="shared" si="16"/>
        <v>#VALUE!</v>
      </c>
      <c r="F57" s="430" t="e">
        <f t="shared" si="16"/>
        <v>#VALUE!</v>
      </c>
      <c r="G57" s="430" t="e">
        <f t="shared" si="16"/>
        <v>#VALUE!</v>
      </c>
      <c r="H57" s="430" t="e">
        <f t="shared" si="16"/>
        <v>#VALUE!</v>
      </c>
    </row>
    <row r="58" spans="1:10" ht="13.5" customHeight="1">
      <c r="A58" s="366" t="s">
        <v>7246</v>
      </c>
      <c r="C58" s="435" t="e">
        <f t="shared" ref="C58:H58" si="17">C57*$H$6</f>
        <v>#VALUE!</v>
      </c>
      <c r="D58" s="435" t="e">
        <f t="shared" si="17"/>
        <v>#VALUE!</v>
      </c>
      <c r="E58" s="435" t="e">
        <f t="shared" si="17"/>
        <v>#VALUE!</v>
      </c>
      <c r="F58" s="435" t="e">
        <f t="shared" si="17"/>
        <v>#VALUE!</v>
      </c>
      <c r="G58" s="435" t="e">
        <f t="shared" si="17"/>
        <v>#VALUE!</v>
      </c>
      <c r="H58" s="435" t="e">
        <f t="shared" si="17"/>
        <v>#VALUE!</v>
      </c>
      <c r="J58" s="366" t="s">
        <v>7021</v>
      </c>
    </row>
    <row r="59" spans="1:10" s="441" customFormat="1" ht="16.5" customHeight="1">
      <c r="A59" s="366"/>
      <c r="B59" s="366"/>
      <c r="C59" s="430"/>
      <c r="D59" s="430"/>
      <c r="E59" s="430"/>
      <c r="F59" s="430"/>
      <c r="G59" s="430"/>
      <c r="H59" s="430"/>
      <c r="I59" s="366"/>
      <c r="J59" s="366"/>
    </row>
    <row r="60" spans="1:10">
      <c r="A60" s="366" t="s">
        <v>7248</v>
      </c>
      <c r="C60" s="430" t="e">
        <f t="shared" ref="C60:H60" si="18">C49-C58</f>
        <v>#VALUE!</v>
      </c>
      <c r="D60" s="430" t="e">
        <f t="shared" si="18"/>
        <v>#VALUE!</v>
      </c>
      <c r="E60" s="430" t="e">
        <f t="shared" si="18"/>
        <v>#VALUE!</v>
      </c>
      <c r="F60" s="430" t="e">
        <f t="shared" si="18"/>
        <v>#VALUE!</v>
      </c>
      <c r="G60" s="430" t="e">
        <f t="shared" si="18"/>
        <v>#VALUE!</v>
      </c>
      <c r="H60" s="430" t="e">
        <f t="shared" si="18"/>
        <v>#VALUE!</v>
      </c>
    </row>
    <row r="61" spans="1:10">
      <c r="A61" s="366" t="s">
        <v>7249</v>
      </c>
      <c r="C61" s="435">
        <v>0</v>
      </c>
      <c r="D61" s="435">
        <v>0</v>
      </c>
      <c r="E61" s="435">
        <v>0</v>
      </c>
      <c r="F61" s="435">
        <v>0</v>
      </c>
      <c r="G61" s="435">
        <v>0</v>
      </c>
      <c r="H61" s="430">
        <v>0</v>
      </c>
    </row>
    <row r="62" spans="1:10">
      <c r="A62" s="366" t="s">
        <v>7250</v>
      </c>
      <c r="C62" s="435">
        <v>0</v>
      </c>
      <c r="D62" s="430">
        <v>0</v>
      </c>
      <c r="E62" s="430">
        <v>0</v>
      </c>
      <c r="F62" s="430">
        <v>0</v>
      </c>
      <c r="G62" s="430">
        <v>0</v>
      </c>
      <c r="H62" s="430">
        <v>0</v>
      </c>
    </row>
    <row r="63" spans="1:10">
      <c r="A63" s="366" t="s">
        <v>7251</v>
      </c>
      <c r="C63" s="430">
        <v>0</v>
      </c>
      <c r="D63" s="430">
        <v>0</v>
      </c>
      <c r="E63" s="430">
        <v>0</v>
      </c>
      <c r="F63" s="430">
        <v>0</v>
      </c>
      <c r="G63" s="430">
        <v>0</v>
      </c>
      <c r="H63" s="430" t="e">
        <f>O33</f>
        <v>#REF!</v>
      </c>
    </row>
    <row r="64" spans="1:10">
      <c r="A64" s="366" t="s">
        <v>7224</v>
      </c>
      <c r="C64" s="430" t="e">
        <f t="shared" ref="C64:H64" si="19">SUM(C60:C63)</f>
        <v>#VALUE!</v>
      </c>
      <c r="D64" s="430" t="e">
        <f t="shared" si="19"/>
        <v>#VALUE!</v>
      </c>
      <c r="E64" s="430" t="e">
        <f t="shared" si="19"/>
        <v>#VALUE!</v>
      </c>
      <c r="F64" s="430" t="e">
        <f t="shared" si="19"/>
        <v>#VALUE!</v>
      </c>
      <c r="G64" s="430" t="e">
        <f t="shared" si="19"/>
        <v>#VALUE!</v>
      </c>
      <c r="H64" s="430" t="e">
        <f t="shared" si="19"/>
        <v>#VALUE!</v>
      </c>
    </row>
    <row r="66" spans="1:10">
      <c r="A66" s="2997"/>
      <c r="B66" s="2998"/>
      <c r="C66" s="2998"/>
      <c r="D66" s="2998"/>
      <c r="E66" s="2998"/>
      <c r="F66" s="2999" t="s">
        <v>7257</v>
      </c>
      <c r="G66" s="4924" t="e">
        <f>IRR(K5:K25)</f>
        <v>#VALUE!</v>
      </c>
      <c r="H66" s="4925"/>
      <c r="I66" s="441"/>
      <c r="J66" s="441"/>
    </row>
    <row r="548" ht="13.35" customHeight="1"/>
    <row r="549" ht="13.35" customHeight="1"/>
    <row r="631" ht="13.35" customHeight="1"/>
    <row r="638" ht="13.35" customHeight="1"/>
    <row r="667" ht="14.7" customHeight="1"/>
    <row r="1191" ht="13.35" customHeight="1"/>
    <row r="1249" ht="11.25" customHeight="1"/>
    <row r="1250" ht="11.25" customHeight="1"/>
    <row r="1251" ht="11.25" customHeight="1"/>
    <row r="1252" ht="11.25" customHeight="1"/>
    <row r="1435" ht="13.35" customHeight="1"/>
    <row r="1436" ht="13.35" customHeight="1"/>
    <row r="1490" ht="13.35" customHeight="1"/>
    <row r="1491" ht="13.35" customHeight="1"/>
    <row r="1492" ht="13.35" customHeight="1"/>
    <row r="1528" ht="13.35" customHeight="1"/>
    <row r="1529" ht="13.35" customHeight="1"/>
    <row r="1530" ht="13.35" customHeight="1"/>
    <row r="1802" ht="14.7" customHeight="1"/>
    <row r="1803" ht="14.7" customHeight="1"/>
    <row r="1804" ht="14.7" customHeight="1"/>
    <row r="1805" ht="14.7" customHeight="1"/>
    <row r="1806" ht="14.7" customHeight="1"/>
    <row r="1807" ht="14.7" customHeight="1"/>
    <row r="1808" ht="14.7" customHeight="1"/>
    <row r="1809" ht="14.7" customHeight="1"/>
    <row r="1810" ht="14.7" customHeight="1"/>
    <row r="1811" ht="14.7" customHeight="1"/>
  </sheetData>
  <sheetProtection algorithmName="SHA-512" hashValue="u/WNmRrnkvkFdlugKZ4QLb0lFaARjhgQfEyFwaZOsiruH/Xz4bbCKMjBHjO5sMxwneG7HkCu+4qdtts7ZxhQSg==" saltValue="aWWXVi3VQ3apwr1nX3dzxA==" spinCount="100000" sheet="1" objects="1" scenarios="1"/>
  <mergeCells count="1">
    <mergeCell ref="G66:H66"/>
  </mergeCells>
  <printOptions horizontalCentered="1"/>
  <pageMargins left="0.6" right="0.6" top="0.75" bottom="0.5" header="0.3" footer="0.3"/>
  <pageSetup scale="80" pageOrder="overThenDown" orientation="portrait" r:id="rId1"/>
  <headerFooter>
    <oddHeader>&amp;C&amp;"Arial,Bold"&amp;12After-Tax Analysis</oddHeader>
    <oddFooter>&amp;C&amp;9page &amp;P of &amp;N</oddFooter>
  </headerFooter>
  <colBreaks count="1" manualBreakCount="1">
    <brk id="9" max="1048575" man="1"/>
  </colBreaks>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pageSetUpPr fitToPage="1"/>
  </sheetPr>
  <dimension ref="A1:K44"/>
  <sheetViews>
    <sheetView showGridLines="0" zoomScaleNormal="100" workbookViewId="0">
      <selection activeCell="L28" sqref="L28"/>
    </sheetView>
  </sheetViews>
  <sheetFormatPr defaultColWidth="9.21875" defaultRowHeight="13.2"/>
  <cols>
    <col min="1" max="1" width="6.44140625" style="306" customWidth="1"/>
    <col min="2" max="2" width="16.77734375" style="306" customWidth="1"/>
    <col min="3" max="3" width="4.77734375" style="306" customWidth="1"/>
    <col min="4" max="4" width="6.44140625" style="306" customWidth="1"/>
    <col min="5" max="5" width="16.77734375" style="306" customWidth="1"/>
    <col min="6" max="6" width="4.77734375" style="306" customWidth="1"/>
    <col min="7" max="7" width="6.44140625" style="306" customWidth="1"/>
    <col min="8" max="8" width="16.77734375" style="306" customWidth="1"/>
    <col min="9" max="9" width="4.77734375" style="306" customWidth="1"/>
    <col min="10" max="10" width="6.44140625" style="306" customWidth="1"/>
    <col min="11" max="11" width="16.77734375" style="306" customWidth="1"/>
    <col min="12" max="16384" width="9.21875" style="306"/>
  </cols>
  <sheetData>
    <row r="1" spans="1:11" s="313" customFormat="1" ht="17.7" customHeight="1">
      <c r="A1" s="4927" t="str">
        <f>'Sensitivity Analysis'!C8</f>
        <v>The Groves</v>
      </c>
      <c r="B1" s="4927"/>
      <c r="C1" s="4927"/>
      <c r="D1" s="4927"/>
      <c r="E1" s="4927"/>
      <c r="F1" s="4927"/>
      <c r="G1" s="4927"/>
      <c r="H1" s="4927"/>
      <c r="I1" s="4927"/>
      <c r="J1" s="4927"/>
      <c r="K1" s="4927"/>
    </row>
    <row r="2" spans="1:11" s="313" customFormat="1" ht="17.7" customHeight="1">
      <c r="A2" s="4926" t="s">
        <v>7258</v>
      </c>
      <c r="B2" s="4926"/>
      <c r="C2" s="4926"/>
      <c r="D2" s="4926"/>
      <c r="E2" s="4926"/>
      <c r="F2" s="4926"/>
      <c r="G2" s="4926"/>
      <c r="H2" s="4926"/>
      <c r="I2" s="4926"/>
      <c r="J2" s="4926"/>
      <c r="K2" s="4926"/>
    </row>
    <row r="3" spans="1:11" ht="9" customHeight="1">
      <c r="A3" s="983"/>
      <c r="B3" s="983"/>
      <c r="C3" s="983"/>
      <c r="D3" s="983"/>
      <c r="E3" s="983"/>
      <c r="G3" s="983"/>
      <c r="H3" s="983"/>
      <c r="J3" s="983"/>
      <c r="K3" s="983"/>
    </row>
    <row r="4" spans="1:11" ht="12.6" customHeight="1">
      <c r="A4" s="4928" t="s">
        <v>7259</v>
      </c>
      <c r="B4" s="4928"/>
      <c r="C4" s="984"/>
      <c r="D4" s="4928" t="s">
        <v>7260</v>
      </c>
      <c r="E4" s="4928"/>
      <c r="F4" s="372"/>
      <c r="G4" s="4928" t="s">
        <v>7261</v>
      </c>
      <c r="H4" s="4928"/>
      <c r="I4" s="372"/>
      <c r="J4" s="4928" t="s">
        <v>7262</v>
      </c>
      <c r="K4" s="4928"/>
    </row>
    <row r="5" spans="1:11" ht="25.95" customHeight="1">
      <c r="A5" s="4929" t="str">
        <f>'Part II-Sources of Funds'!E42</f>
        <v>Seller Loan</v>
      </c>
      <c r="B5" s="4930"/>
      <c r="C5" s="313"/>
      <c r="D5" s="4929" t="str">
        <f>'Part II-Sources of Funds'!E43</f>
        <v>DCA HOME Loan (Existing)</v>
      </c>
      <c r="E5" s="4930"/>
      <c r="F5" s="985"/>
      <c r="G5" s="4929">
        <f>'Part II-Sources of Funds'!E44</f>
        <v>0</v>
      </c>
      <c r="H5" s="4930"/>
      <c r="I5" s="985"/>
      <c r="J5" s="4929">
        <f>'Part II-Sources of Funds'!E45</f>
        <v>0</v>
      </c>
      <c r="K5" s="4930"/>
    </row>
    <row r="6" spans="1:11" ht="9" customHeight="1"/>
    <row r="7" spans="1:11" ht="15.6">
      <c r="A7" s="2619"/>
      <c r="B7" s="2619" t="s">
        <v>7263</v>
      </c>
      <c r="D7" s="2619"/>
      <c r="E7" s="2619" t="s">
        <v>7263</v>
      </c>
      <c r="G7" s="2619"/>
      <c r="H7" s="2619" t="s">
        <v>7263</v>
      </c>
      <c r="J7" s="2619"/>
      <c r="K7" s="2619" t="s">
        <v>7263</v>
      </c>
    </row>
    <row r="8" spans="1:11" ht="15.6">
      <c r="A8" s="727" t="s">
        <v>480</v>
      </c>
      <c r="B8" s="727" t="s">
        <v>7264</v>
      </c>
      <c r="D8" s="727" t="s">
        <v>480</v>
      </c>
      <c r="E8" s="727" t="s">
        <v>7264</v>
      </c>
      <c r="G8" s="727" t="s">
        <v>480</v>
      </c>
      <c r="H8" s="727" t="s">
        <v>7264</v>
      </c>
      <c r="J8" s="727" t="s">
        <v>480</v>
      </c>
      <c r="K8" s="727" t="s">
        <v>7264</v>
      </c>
    </row>
    <row r="9" spans="1:11" ht="6" customHeight="1">
      <c r="A9" s="358"/>
      <c r="B9" s="358"/>
      <c r="D9" s="358"/>
      <c r="E9" s="358"/>
      <c r="G9" s="358"/>
      <c r="H9" s="358"/>
      <c r="J9" s="358"/>
      <c r="K9" s="358"/>
    </row>
    <row r="10" spans="1:11" ht="20.25" customHeight="1">
      <c r="A10" s="2620">
        <v>1</v>
      </c>
      <c r="B10" s="708">
        <f>-'Part VI-Pro Forma'!$B26/12</f>
        <v>13888.753479999998</v>
      </c>
      <c r="D10" s="2620">
        <v>1</v>
      </c>
      <c r="E10" s="708">
        <f>-'Part VI-Pro Forma'!$B27/12</f>
        <v>4598.9430695779665</v>
      </c>
      <c r="G10" s="2620">
        <v>1</v>
      </c>
      <c r="H10" s="708">
        <f>-'Part VI-Pro Forma'!$B28/12</f>
        <v>0</v>
      </c>
      <c r="J10" s="2620">
        <v>1</v>
      </c>
      <c r="K10" s="708">
        <f>-'Part VI-Pro Forma'!$B29/12</f>
        <v>0</v>
      </c>
    </row>
    <row r="11" spans="1:11" ht="20.25" customHeight="1">
      <c r="A11" s="2620">
        <v>2</v>
      </c>
      <c r="B11" s="708">
        <f>-'Part VI-Pro Forma'!$C26/12</f>
        <v>13929.820049599997</v>
      </c>
      <c r="D11" s="2620">
        <v>2</v>
      </c>
      <c r="E11" s="708">
        <f>-'Part VI-Pro Forma'!$C27/12</f>
        <v>4598.9430695779665</v>
      </c>
      <c r="G11" s="2620">
        <v>2</v>
      </c>
      <c r="H11" s="708">
        <f>-'Part VI-Pro Forma'!$C28/12</f>
        <v>0</v>
      </c>
      <c r="J11" s="2620">
        <v>2</v>
      </c>
      <c r="K11" s="708">
        <f>-'Part VI-Pro Forma'!$C29/12</f>
        <v>0</v>
      </c>
    </row>
    <row r="12" spans="1:11" ht="20.25" customHeight="1">
      <c r="A12" s="2620">
        <v>3</v>
      </c>
      <c r="B12" s="708">
        <f>-'Part VI-Pro Forma'!$D26/12</f>
        <v>13964.623025592002</v>
      </c>
      <c r="D12" s="2620">
        <v>3</v>
      </c>
      <c r="E12" s="708">
        <f>-'Part VI-Pro Forma'!$D27/12</f>
        <v>4598.9430695779665</v>
      </c>
      <c r="G12" s="2620">
        <v>3</v>
      </c>
      <c r="H12" s="708">
        <f>-'Part VI-Pro Forma'!$D28/12</f>
        <v>0</v>
      </c>
      <c r="J12" s="2620">
        <v>3</v>
      </c>
      <c r="K12" s="708">
        <f>-'Part VI-Pro Forma'!$D29/12</f>
        <v>0</v>
      </c>
    </row>
    <row r="13" spans="1:11" ht="20.25" customHeight="1">
      <c r="A13" s="2620">
        <v>4</v>
      </c>
      <c r="B13" s="708">
        <f>-'Part VI-Pro Forma'!$E26/12</f>
        <v>13992.839108353835</v>
      </c>
      <c r="D13" s="2620">
        <v>4</v>
      </c>
      <c r="E13" s="708">
        <f>-'Part VI-Pro Forma'!$E27/12</f>
        <v>4598.9430695779665</v>
      </c>
      <c r="G13" s="2620">
        <v>4</v>
      </c>
      <c r="H13" s="708">
        <f>-'Part VI-Pro Forma'!$E28/12</f>
        <v>0</v>
      </c>
      <c r="J13" s="2620">
        <v>4</v>
      </c>
      <c r="K13" s="708">
        <f>-'Part VI-Pro Forma'!$E29/12</f>
        <v>0</v>
      </c>
    </row>
    <row r="14" spans="1:11" ht="20.25" customHeight="1">
      <c r="A14" s="986">
        <v>5</v>
      </c>
      <c r="B14" s="987">
        <f>-'Part VI-Pro Forma'!$F26/12</f>
        <v>14014.032141438422</v>
      </c>
      <c r="D14" s="986">
        <v>5</v>
      </c>
      <c r="E14" s="987">
        <f>-'Part VI-Pro Forma'!$F27/12</f>
        <v>4598.9430695779665</v>
      </c>
      <c r="G14" s="986">
        <v>5</v>
      </c>
      <c r="H14" s="987">
        <f>-'Part VI-Pro Forma'!$F28/12</f>
        <v>0</v>
      </c>
      <c r="J14" s="986">
        <v>5</v>
      </c>
      <c r="K14" s="987">
        <f>-'Part VI-Pro Forma'!$F29/12</f>
        <v>0</v>
      </c>
    </row>
    <row r="15" spans="1:11" ht="20.25" customHeight="1">
      <c r="A15" s="2620">
        <v>6</v>
      </c>
      <c r="B15" s="708">
        <f>-'Part VI-Pro Forma'!$G26/12</f>
        <v>14027.90266271222</v>
      </c>
      <c r="D15" s="2620">
        <v>6</v>
      </c>
      <c r="E15" s="708">
        <f>-'Part VI-Pro Forma'!$G27/12</f>
        <v>4598.9430695779665</v>
      </c>
      <c r="G15" s="2620">
        <v>6</v>
      </c>
      <c r="H15" s="708">
        <f>-'Part VI-Pro Forma'!$G28/12</f>
        <v>0</v>
      </c>
      <c r="J15" s="2620">
        <v>6</v>
      </c>
      <c r="K15" s="708">
        <f>-'Part VI-Pro Forma'!$G29/12</f>
        <v>0</v>
      </c>
    </row>
    <row r="16" spans="1:11" ht="20.25" customHeight="1">
      <c r="A16" s="2620">
        <v>7</v>
      </c>
      <c r="B16" s="708">
        <f>-'Part VI-Pro Forma'!$H26/12</f>
        <v>14034.087440764835</v>
      </c>
      <c r="D16" s="2620">
        <v>7</v>
      </c>
      <c r="E16" s="708">
        <f>-'Part VI-Pro Forma'!$H27/12</f>
        <v>4598.9430695779665</v>
      </c>
      <c r="G16" s="2620">
        <v>7</v>
      </c>
      <c r="H16" s="708">
        <f>-'Part VI-Pro Forma'!$H28/12</f>
        <v>0</v>
      </c>
      <c r="J16" s="2620">
        <v>7</v>
      </c>
      <c r="K16" s="708">
        <f>-'Part VI-Pro Forma'!$H29/12</f>
        <v>0</v>
      </c>
    </row>
    <row r="17" spans="1:11" ht="20.25" customHeight="1">
      <c r="A17" s="2620">
        <v>8</v>
      </c>
      <c r="B17" s="708">
        <f>-'Part VI-Pro Forma'!$I26/12</f>
        <v>14032.108996122448</v>
      </c>
      <c r="D17" s="2620">
        <v>8</v>
      </c>
      <c r="E17" s="708">
        <f>-'Part VI-Pro Forma'!$I27/12</f>
        <v>4598.9430695779665</v>
      </c>
      <c r="G17" s="2620">
        <v>8</v>
      </c>
      <c r="H17" s="708">
        <f>-'Part VI-Pro Forma'!$I28/12</f>
        <v>0</v>
      </c>
      <c r="J17" s="2620">
        <v>8</v>
      </c>
      <c r="K17" s="708">
        <f>-'Part VI-Pro Forma'!$I29/12</f>
        <v>0</v>
      </c>
    </row>
    <row r="18" spans="1:11" ht="20.25" customHeight="1">
      <c r="A18" s="2620">
        <v>9</v>
      </c>
      <c r="B18" s="708">
        <f>-'Part VI-Pro Forma'!$J26/12</f>
        <v>14021.675106783498</v>
      </c>
      <c r="D18" s="2620">
        <v>9</v>
      </c>
      <c r="E18" s="708">
        <f>-'Part VI-Pro Forma'!$J27/12</f>
        <v>4598.9430695779665</v>
      </c>
      <c r="G18" s="2620">
        <v>9</v>
      </c>
      <c r="H18" s="708">
        <f>-'Part VI-Pro Forma'!$J28/12</f>
        <v>0</v>
      </c>
      <c r="J18" s="2620">
        <v>9</v>
      </c>
      <c r="K18" s="708">
        <f>-'Part VI-Pro Forma'!$J29/12</f>
        <v>0</v>
      </c>
    </row>
    <row r="19" spans="1:11" ht="20.25" customHeight="1">
      <c r="A19" s="986">
        <v>10</v>
      </c>
      <c r="B19" s="987">
        <f>-'Part VI-Pro Forma'!$K26/12</f>
        <v>14002.22829757993</v>
      </c>
      <c r="D19" s="986">
        <v>10</v>
      </c>
      <c r="E19" s="987">
        <f>-'Part VI-Pro Forma'!$K27/12</f>
        <v>4598.9430695779665</v>
      </c>
      <c r="G19" s="986">
        <v>10</v>
      </c>
      <c r="H19" s="987">
        <f>-'Part VI-Pro Forma'!$K28/12</f>
        <v>0</v>
      </c>
      <c r="J19" s="986">
        <v>10</v>
      </c>
      <c r="K19" s="987">
        <f>-'Part VI-Pro Forma'!$K29/12</f>
        <v>0</v>
      </c>
    </row>
    <row r="20" spans="1:11" ht="20.25" customHeight="1">
      <c r="A20" s="2620">
        <v>11</v>
      </c>
      <c r="B20" s="708">
        <f>-'Part VI-Pro Forma'!$B58/12</f>
        <v>13973.445312852104</v>
      </c>
      <c r="D20" s="2620">
        <v>11</v>
      </c>
      <c r="E20" s="708">
        <f>-'Part VI-Pro Forma'!$B59/12</f>
        <v>4598.9430695779665</v>
      </c>
      <c r="G20" s="2620">
        <v>11</v>
      </c>
      <c r="H20" s="708">
        <f>-'Part VI-Pro Forma'!$B60/12</f>
        <v>0</v>
      </c>
      <c r="J20" s="2620">
        <v>11</v>
      </c>
      <c r="K20" s="708">
        <f>-'Part VI-Pro Forma'!$B61/12</f>
        <v>0</v>
      </c>
    </row>
    <row r="21" spans="1:11" ht="20.25" customHeight="1">
      <c r="A21" s="2620">
        <v>12</v>
      </c>
      <c r="B21" s="708">
        <f>-'Part VI-Pro Forma'!$C58/12</f>
        <v>13934.836571909327</v>
      </c>
      <c r="D21" s="2620">
        <v>12</v>
      </c>
      <c r="E21" s="708">
        <f>-'Part VI-Pro Forma'!$C59/12</f>
        <v>4598.9430695779665</v>
      </c>
      <c r="G21" s="2620">
        <v>12</v>
      </c>
      <c r="H21" s="708">
        <f>-'Part VI-Pro Forma'!$C60/12</f>
        <v>0</v>
      </c>
      <c r="J21" s="2620">
        <v>12</v>
      </c>
      <c r="K21" s="708">
        <f>-'Part VI-Pro Forma'!$C61/12</f>
        <v>0</v>
      </c>
    </row>
    <row r="22" spans="1:11" ht="20.25" customHeight="1">
      <c r="A22" s="2620">
        <v>13</v>
      </c>
      <c r="B22" s="708">
        <f>-'Part VI-Pro Forma'!$D58/12</f>
        <v>13885.895606731732</v>
      </c>
      <c r="D22" s="2620">
        <v>13</v>
      </c>
      <c r="E22" s="708">
        <f>-'Part VI-Pro Forma'!$D59/12</f>
        <v>4598.9430695779665</v>
      </c>
      <c r="G22" s="2620">
        <v>13</v>
      </c>
      <c r="H22" s="708">
        <f>-'Part VI-Pro Forma'!$D60/12</f>
        <v>0</v>
      </c>
      <c r="J22" s="2620">
        <v>13</v>
      </c>
      <c r="K22" s="708">
        <f>-'Part VI-Pro Forma'!$D61/12</f>
        <v>0</v>
      </c>
    </row>
    <row r="23" spans="1:11" ht="20.25" customHeight="1">
      <c r="A23" s="2620">
        <v>14</v>
      </c>
      <c r="B23" s="708">
        <f>-'Part VI-Pro Forma'!$E58/12</f>
        <v>13826.098481352092</v>
      </c>
      <c r="D23" s="2620">
        <v>14</v>
      </c>
      <c r="E23" s="708">
        <f>-'Part VI-Pro Forma'!$E59/12</f>
        <v>4598.9430695779665</v>
      </c>
      <c r="G23" s="2620">
        <v>14</v>
      </c>
      <c r="H23" s="708">
        <f>-'Part VI-Pro Forma'!$E60/12</f>
        <v>0</v>
      </c>
      <c r="J23" s="2620">
        <v>14</v>
      </c>
      <c r="K23" s="708">
        <f>-'Part VI-Pro Forma'!$E61/12</f>
        <v>0</v>
      </c>
    </row>
    <row r="24" spans="1:11" ht="20.25" customHeight="1">
      <c r="A24" s="986">
        <v>15</v>
      </c>
      <c r="B24" s="987">
        <f>-'Part VI-Pro Forma'!$F58/12</f>
        <v>13755.053192339432</v>
      </c>
      <c r="D24" s="986">
        <v>15</v>
      </c>
      <c r="E24" s="987">
        <f>-'Part VI-Pro Forma'!$F59/12</f>
        <v>4598.9430695779665</v>
      </c>
      <c r="G24" s="986">
        <v>15</v>
      </c>
      <c r="H24" s="987">
        <f>-'Part VI-Pro Forma'!$F60/12</f>
        <v>0</v>
      </c>
      <c r="J24" s="986">
        <v>15</v>
      </c>
      <c r="K24" s="987">
        <f>-'Part VI-Pro Forma'!$F61/12</f>
        <v>0</v>
      </c>
    </row>
    <row r="25" spans="1:11" ht="20.25" customHeight="1">
      <c r="A25" s="2620">
        <v>16</v>
      </c>
      <c r="B25" s="708">
        <f>-'Part VI-Pro Forma'!$G58/12</f>
        <v>13672.099049787299</v>
      </c>
      <c r="D25" s="2620">
        <v>16</v>
      </c>
      <c r="E25" s="708">
        <f>-'Part VI-Pro Forma'!$G59/12</f>
        <v>4598.9430695779665</v>
      </c>
      <c r="G25" s="2620">
        <v>16</v>
      </c>
      <c r="H25" s="708">
        <f>-'Part VI-Pro Forma'!$G60/12</f>
        <v>0</v>
      </c>
      <c r="J25" s="2620">
        <v>16</v>
      </c>
      <c r="K25" s="708">
        <f>-'Part VI-Pro Forma'!$G61/12</f>
        <v>0</v>
      </c>
    </row>
    <row r="26" spans="1:11" ht="20.25" customHeight="1">
      <c r="A26" s="2620">
        <v>17</v>
      </c>
      <c r="B26" s="708">
        <f>-'Part VI-Pro Forma'!$H58/12</f>
        <v>13576.806038192211</v>
      </c>
      <c r="D26" s="2620">
        <v>17</v>
      </c>
      <c r="E26" s="708">
        <f>-'Part VI-Pro Forma'!$H59/12</f>
        <v>4598.9430695779665</v>
      </c>
      <c r="G26" s="2620">
        <v>17</v>
      </c>
      <c r="H26" s="708">
        <f>-'Part VI-Pro Forma'!$H60/12</f>
        <v>0</v>
      </c>
      <c r="J26" s="2620">
        <v>17</v>
      </c>
      <c r="K26" s="708">
        <f>-'Part VI-Pro Forma'!$H61/12</f>
        <v>0</v>
      </c>
    </row>
    <row r="27" spans="1:11" ht="20.25" customHeight="1">
      <c r="A27" s="2620">
        <v>18</v>
      </c>
      <c r="B27" s="708">
        <f>-'Part VI-Pro Forma'!$I58/12</f>
        <v>7055.3574230199056</v>
      </c>
      <c r="D27" s="2620">
        <v>18</v>
      </c>
      <c r="E27" s="708">
        <f>-'Part VI-Pro Forma'!$I59/12</f>
        <v>4598.9430695779665</v>
      </c>
      <c r="G27" s="2620">
        <v>18</v>
      </c>
      <c r="H27" s="708">
        <f>-'Part VI-Pro Forma'!$I60/12</f>
        <v>0</v>
      </c>
      <c r="J27" s="2620">
        <v>18</v>
      </c>
      <c r="K27" s="708">
        <f>-'Part VI-Pro Forma'!$I61/12</f>
        <v>0</v>
      </c>
    </row>
    <row r="28" spans="1:11" ht="20.25" customHeight="1">
      <c r="A28" s="2620">
        <v>19</v>
      </c>
      <c r="B28" s="708">
        <f>-'Part VI-Pro Forma'!$J58/12</f>
        <v>237.86630123024102</v>
      </c>
      <c r="D28" s="2620">
        <v>19</v>
      </c>
      <c r="E28" s="708">
        <f>-'Part VI-Pro Forma'!$J59/12</f>
        <v>4598.9430695779665</v>
      </c>
      <c r="G28" s="2620">
        <v>19</v>
      </c>
      <c r="H28" s="708">
        <f>-'Part VI-Pro Forma'!$J60/12</f>
        <v>0</v>
      </c>
      <c r="J28" s="2620">
        <v>19</v>
      </c>
      <c r="K28" s="708">
        <f>-'Part VI-Pro Forma'!$J61/12</f>
        <v>0</v>
      </c>
    </row>
    <row r="29" spans="1:11" ht="20.25" customHeight="1">
      <c r="A29" s="986">
        <v>20</v>
      </c>
      <c r="B29" s="987">
        <f>-'Part VI-Pro Forma'!$K58/12</f>
        <v>8.0194912700450605</v>
      </c>
      <c r="D29" s="986">
        <v>20</v>
      </c>
      <c r="E29" s="987">
        <f>-'Part VI-Pro Forma'!$K59/12</f>
        <v>4598.9430695779665</v>
      </c>
      <c r="G29" s="986">
        <v>20</v>
      </c>
      <c r="H29" s="987">
        <f>-'Part VI-Pro Forma'!$K60/12</f>
        <v>0</v>
      </c>
      <c r="J29" s="986">
        <v>20</v>
      </c>
      <c r="K29" s="987">
        <f>-'Part VI-Pro Forma'!$K61/12</f>
        <v>0</v>
      </c>
    </row>
    <row r="30" spans="1:11" ht="20.25" customHeight="1">
      <c r="A30" s="2620">
        <v>21</v>
      </c>
      <c r="B30" s="708">
        <f>-'Part VI-Pro Forma'!$B90/12</f>
        <v>0.27037138046754333</v>
      </c>
      <c r="D30" s="2620">
        <v>21</v>
      </c>
      <c r="E30" s="708">
        <f>-'Part VI-Pro Forma'!$B91/12</f>
        <v>4598.9430695779665</v>
      </c>
      <c r="G30" s="2620">
        <v>21</v>
      </c>
      <c r="H30" s="708">
        <f>-'Part VI-Pro Forma'!$B92/12</f>
        <v>0</v>
      </c>
      <c r="J30" s="2620">
        <v>21</v>
      </c>
      <c r="K30" s="708">
        <f>-'Part VI-Pro Forma'!$B93/12</f>
        <v>0</v>
      </c>
    </row>
    <row r="31" spans="1:11" ht="20.25" customHeight="1">
      <c r="A31" s="2620">
        <v>22</v>
      </c>
      <c r="B31" s="708">
        <f>-'Part VI-Pro Forma'!$C90/12</f>
        <v>10852.655911958018</v>
      </c>
      <c r="D31" s="2620">
        <v>22</v>
      </c>
      <c r="E31" s="708">
        <f>-'Part VI-Pro Forma'!$C91/12</f>
        <v>4598.9430695779665</v>
      </c>
      <c r="G31" s="2620">
        <v>22</v>
      </c>
      <c r="H31" s="708">
        <f>-'Part VI-Pro Forma'!$C92/12</f>
        <v>0</v>
      </c>
      <c r="J31" s="2620">
        <v>22</v>
      </c>
      <c r="K31" s="708">
        <f>-'Part VI-Pro Forma'!$C93/12</f>
        <v>0</v>
      </c>
    </row>
    <row r="32" spans="1:11" ht="20.25" customHeight="1">
      <c r="A32" s="2620">
        <v>23</v>
      </c>
      <c r="B32" s="708">
        <f>-'Part VI-Pro Forma'!$D90/12</f>
        <v>10852.655911958018</v>
      </c>
      <c r="D32" s="2620">
        <v>23</v>
      </c>
      <c r="E32" s="708">
        <f>-'Part VI-Pro Forma'!$D91/12</f>
        <v>4598.9430695779665</v>
      </c>
      <c r="G32" s="2620">
        <v>23</v>
      </c>
      <c r="H32" s="708">
        <f>-'Part VI-Pro Forma'!$D92/12</f>
        <v>0</v>
      </c>
      <c r="J32" s="2620">
        <v>23</v>
      </c>
      <c r="K32" s="708">
        <f>-'Part VI-Pro Forma'!$D93/12</f>
        <v>0</v>
      </c>
    </row>
    <row r="33" spans="1:11" ht="20.25" customHeight="1">
      <c r="A33" s="2620">
        <v>24</v>
      </c>
      <c r="B33" s="708">
        <f>-'Part VI-Pro Forma'!$E90/12</f>
        <v>10852.655911958018</v>
      </c>
      <c r="D33" s="2620">
        <v>24</v>
      </c>
      <c r="E33" s="708">
        <f>-'Part VI-Pro Forma'!$E91/12</f>
        <v>4598.9430695779665</v>
      </c>
      <c r="G33" s="2620">
        <v>24</v>
      </c>
      <c r="H33" s="708">
        <f>-'Part VI-Pro Forma'!$E92/12</f>
        <v>0</v>
      </c>
      <c r="J33" s="2620">
        <v>24</v>
      </c>
      <c r="K33" s="708">
        <f>-'Part VI-Pro Forma'!$E93/12</f>
        <v>0</v>
      </c>
    </row>
    <row r="34" spans="1:11" ht="20.25" customHeight="1">
      <c r="A34" s="986">
        <v>25</v>
      </c>
      <c r="B34" s="987">
        <f>-'Part VI-Pro Forma'!$F90/12</f>
        <v>10852.655911958018</v>
      </c>
      <c r="D34" s="986">
        <v>25</v>
      </c>
      <c r="E34" s="987">
        <f>-'Part VI-Pro Forma'!$F91/12</f>
        <v>4598.9430695779665</v>
      </c>
      <c r="G34" s="986">
        <v>25</v>
      </c>
      <c r="H34" s="987">
        <f>-'Part VI-Pro Forma'!$F92/12</f>
        <v>0</v>
      </c>
      <c r="J34" s="986">
        <v>25</v>
      </c>
      <c r="K34" s="987">
        <f>-'Part VI-Pro Forma'!$F93/12</f>
        <v>0</v>
      </c>
    </row>
    <row r="35" spans="1:11" ht="20.25" customHeight="1">
      <c r="A35" s="2620">
        <v>26</v>
      </c>
      <c r="B35" s="708">
        <f>-'Part VI-Pro Forma'!$G90/12</f>
        <v>10852.655911958018</v>
      </c>
      <c r="D35" s="2620">
        <v>26</v>
      </c>
      <c r="E35" s="708">
        <f>-'Part VI-Pro Forma'!$G91/12</f>
        <v>4598.9430695779665</v>
      </c>
      <c r="G35" s="2620">
        <v>26</v>
      </c>
      <c r="H35" s="708">
        <f>-'Part VI-Pro Forma'!$G92/12</f>
        <v>0</v>
      </c>
      <c r="J35" s="2620">
        <v>26</v>
      </c>
      <c r="K35" s="708">
        <f>-'Part VI-Pro Forma'!$G93/12</f>
        <v>0</v>
      </c>
    </row>
    <row r="36" spans="1:11" ht="20.25" customHeight="1">
      <c r="A36" s="2620">
        <v>27</v>
      </c>
      <c r="B36" s="708">
        <f>-'Part VI-Pro Forma'!$H90/12</f>
        <v>10852.655911958018</v>
      </c>
      <c r="D36" s="2620">
        <v>27</v>
      </c>
      <c r="E36" s="708">
        <f>-'Part VI-Pro Forma'!$H91/12</f>
        <v>4598.9430695779665</v>
      </c>
      <c r="G36" s="2620">
        <v>27</v>
      </c>
      <c r="H36" s="708">
        <f>-'Part VI-Pro Forma'!$H92/12</f>
        <v>0</v>
      </c>
      <c r="J36" s="2620">
        <v>27</v>
      </c>
      <c r="K36" s="708">
        <f>-'Part VI-Pro Forma'!$H93/12</f>
        <v>0</v>
      </c>
    </row>
    <row r="37" spans="1:11" ht="20.25" customHeight="1">
      <c r="A37" s="2620">
        <v>28</v>
      </c>
      <c r="B37" s="708">
        <f>-'Part VI-Pro Forma'!$I90/12</f>
        <v>10852.655911958018</v>
      </c>
      <c r="D37" s="2620">
        <v>28</v>
      </c>
      <c r="E37" s="708">
        <f>-'Part VI-Pro Forma'!$I91/12</f>
        <v>4598.9430695779665</v>
      </c>
      <c r="G37" s="2620">
        <v>28</v>
      </c>
      <c r="H37" s="708">
        <f>-'Part VI-Pro Forma'!$I92/12</f>
        <v>0</v>
      </c>
      <c r="J37" s="2620">
        <v>28</v>
      </c>
      <c r="K37" s="708">
        <f>-'Part VI-Pro Forma'!$I93/12</f>
        <v>0</v>
      </c>
    </row>
    <row r="38" spans="1:11" ht="20.25" customHeight="1">
      <c r="A38" s="2620">
        <v>29</v>
      </c>
      <c r="B38" s="708">
        <f>-'Part VI-Pro Forma'!$J90/12</f>
        <v>10852.655911958018</v>
      </c>
      <c r="D38" s="2620">
        <v>29</v>
      </c>
      <c r="E38" s="708">
        <f>-'Part VI-Pro Forma'!$J91/12</f>
        <v>4598.9430695779665</v>
      </c>
      <c r="G38" s="2620">
        <v>29</v>
      </c>
      <c r="H38" s="708">
        <f>-'Part VI-Pro Forma'!$J92/12</f>
        <v>0</v>
      </c>
      <c r="J38" s="2620">
        <v>29</v>
      </c>
      <c r="K38" s="708">
        <f>-'Part VI-Pro Forma'!$J93/12</f>
        <v>0</v>
      </c>
    </row>
    <row r="39" spans="1:11" ht="20.25" customHeight="1">
      <c r="A39" s="986">
        <v>30</v>
      </c>
      <c r="B39" s="987">
        <f>-'Part VI-Pro Forma'!$K90/12</f>
        <v>10852.655911958018</v>
      </c>
      <c r="D39" s="986">
        <v>30</v>
      </c>
      <c r="E39" s="987">
        <f>-'Part VI-Pro Forma'!$K91/12</f>
        <v>4598.9430695779665</v>
      </c>
      <c r="G39" s="986">
        <v>30</v>
      </c>
      <c r="H39" s="987">
        <f>-'Part VI-Pro Forma'!$K92/12</f>
        <v>0</v>
      </c>
      <c r="J39" s="986">
        <v>30</v>
      </c>
      <c r="K39" s="987">
        <f>-'Part VI-Pro Forma'!$K93/12</f>
        <v>0</v>
      </c>
    </row>
    <row r="40" spans="1:11" ht="20.25" customHeight="1">
      <c r="A40" s="2620">
        <v>31</v>
      </c>
      <c r="B40" s="708">
        <f>-'Part VI-Pro Forma'!$B120/12</f>
        <v>-129092.23578786611</v>
      </c>
      <c r="D40" s="2620">
        <v>31</v>
      </c>
      <c r="E40" s="708">
        <f>-'Part VI-Pro Forma'!$B121/12</f>
        <v>4598.9430695779665</v>
      </c>
      <c r="G40" s="2620">
        <v>31</v>
      </c>
      <c r="H40" s="708">
        <f>-'Part VI-Pro Forma'!$B122/12</f>
        <v>0</v>
      </c>
      <c r="J40" s="2620">
        <v>31</v>
      </c>
      <c r="K40" s="708">
        <f>-'Part VI-Pro Forma'!$B123/12</f>
        <v>0</v>
      </c>
    </row>
    <row r="41" spans="1:11" ht="20.25" customHeight="1">
      <c r="A41" s="2620">
        <v>32</v>
      </c>
      <c r="B41" s="708">
        <f>-'Part VI-Pro Forma'!$C120/12</f>
        <v>10852.655911958018</v>
      </c>
      <c r="D41" s="2620">
        <v>32</v>
      </c>
      <c r="E41" s="708">
        <f>-'Part VI-Pro Forma'!$C121/12</f>
        <v>4598.9430695779665</v>
      </c>
      <c r="G41" s="2620">
        <v>32</v>
      </c>
      <c r="H41" s="708">
        <f>-'Part VI-Pro Forma'!$C122/12</f>
        <v>0</v>
      </c>
      <c r="J41" s="2620">
        <v>32</v>
      </c>
      <c r="K41" s="708">
        <f>-'Part VI-Pro Forma'!$C123/12</f>
        <v>0</v>
      </c>
    </row>
    <row r="42" spans="1:11" ht="20.25" customHeight="1">
      <c r="A42" s="2620">
        <v>33</v>
      </c>
      <c r="B42" s="708">
        <f>-'Part VI-Pro Forma'!$D120/12</f>
        <v>10852.655911958018</v>
      </c>
      <c r="D42" s="2620">
        <v>33</v>
      </c>
      <c r="E42" s="708">
        <f>-'Part VI-Pro Forma'!$D121/12</f>
        <v>4598.9430695779665</v>
      </c>
      <c r="G42" s="2620">
        <v>33</v>
      </c>
      <c r="H42" s="708">
        <f>-'Part VI-Pro Forma'!$D122/12</f>
        <v>0</v>
      </c>
      <c r="J42" s="2620">
        <v>33</v>
      </c>
      <c r="K42" s="708">
        <f>-'Part VI-Pro Forma'!$D123/12</f>
        <v>0</v>
      </c>
    </row>
    <row r="43" spans="1:11" ht="20.25" customHeight="1">
      <c r="A43" s="2620">
        <v>34</v>
      </c>
      <c r="B43" s="708">
        <f>-'Part VI-Pro Forma'!$E120/12</f>
        <v>10852.655911958018</v>
      </c>
      <c r="D43" s="2620">
        <v>34</v>
      </c>
      <c r="E43" s="708">
        <f>-'Part VI-Pro Forma'!$E121/12</f>
        <v>4598.9430695779665</v>
      </c>
      <c r="G43" s="2620">
        <v>34</v>
      </c>
      <c r="H43" s="708">
        <f>-'Part VI-Pro Forma'!$E122/12</f>
        <v>0</v>
      </c>
      <c r="J43" s="2620">
        <v>34</v>
      </c>
      <c r="K43" s="708">
        <f>-'Part VI-Pro Forma'!$E123/12</f>
        <v>0</v>
      </c>
    </row>
    <row r="44" spans="1:11" ht="20.25" customHeight="1">
      <c r="A44" s="2620">
        <v>35</v>
      </c>
      <c r="B44" s="708">
        <f>-'Part VI-Pro Forma'!$F120/12</f>
        <v>10852.655911958018</v>
      </c>
      <c r="D44" s="2620">
        <v>35</v>
      </c>
      <c r="E44" s="708">
        <f>-'Part VI-Pro Forma'!$F121/12</f>
        <v>4598.9430695779665</v>
      </c>
      <c r="G44" s="2620">
        <v>35</v>
      </c>
      <c r="H44" s="708">
        <f>-'Part VI-Pro Forma'!$F122/12</f>
        <v>0</v>
      </c>
      <c r="J44" s="2620">
        <v>35</v>
      </c>
      <c r="K44" s="708">
        <f>-'Part VI-Pro Forma'!$F123/12</f>
        <v>0</v>
      </c>
    </row>
  </sheetData>
  <sheetProtection algorithmName="SHA-512" hashValue="ibMD9PGsO7uITF7ifbBWamw4GDI/4YHLp5ZRiBsfO6GMpw80HzzgjVx8WLJDvmT14NiXXN+gN4TB19PU5vn5+A==" saltValue="7PbVdAL5c+TIEHxOGR2U1w==" spinCount="100000" sheet="1" objects="1" scenarios="1"/>
  <mergeCells count="10">
    <mergeCell ref="A2:K2"/>
    <mergeCell ref="A1:K1"/>
    <mergeCell ref="A4:B4"/>
    <mergeCell ref="A5:B5"/>
    <mergeCell ref="D4:E4"/>
    <mergeCell ref="D5:E5"/>
    <mergeCell ref="J4:K4"/>
    <mergeCell ref="J5:K5"/>
    <mergeCell ref="G4:H4"/>
    <mergeCell ref="G5:H5"/>
  </mergeCells>
  <printOptions horizontalCentered="1"/>
  <pageMargins left="0.7" right="0.7" top="0.75" bottom="0.5" header="0.3" footer="0.3"/>
  <pageSetup scale="84" orientation="portrait" r:id="rId1"/>
  <headerFooter>
    <oddFooter>&amp;LGeorgia Department of Community Affairs&amp;ROffice of Housing Finance</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pageSetUpPr fitToPage="1"/>
  </sheetPr>
  <dimension ref="A1:K80"/>
  <sheetViews>
    <sheetView showGridLines="0" topLeftCell="A15" zoomScale="120" zoomScaleNormal="120" workbookViewId="0">
      <selection activeCell="F54" sqref="F54"/>
    </sheetView>
  </sheetViews>
  <sheetFormatPr defaultColWidth="9.21875" defaultRowHeight="13.2"/>
  <cols>
    <col min="1" max="1" width="3" style="306" customWidth="1"/>
    <col min="2" max="2" width="0.77734375" style="306" customWidth="1"/>
    <col min="3" max="3" width="16.44140625" style="306" customWidth="1"/>
    <col min="4" max="4" width="18.21875" style="306" customWidth="1"/>
    <col min="5" max="5" width="16.44140625" style="306" customWidth="1"/>
    <col min="6" max="6" width="13.21875" style="306" customWidth="1"/>
    <col min="7" max="7" width="14.44140625" style="306" customWidth="1"/>
    <col min="8" max="8" width="5.77734375" style="306" customWidth="1"/>
    <col min="9" max="16384" width="9.21875" style="306"/>
  </cols>
  <sheetData>
    <row r="1" spans="1:11" ht="12" customHeight="1">
      <c r="A1" s="4931" t="str">
        <f>CONCATENATE('Sensitivity Analysis'!E8,"  ",'Sensitivity Analysis'!C8)</f>
        <v>2026-0xx  The Groves</v>
      </c>
      <c r="B1" s="4931"/>
      <c r="C1" s="4931"/>
      <c r="D1" s="4931"/>
      <c r="E1" s="4931"/>
      <c r="F1" s="4931"/>
      <c r="G1" s="4931"/>
      <c r="H1" s="4931"/>
    </row>
    <row r="3" spans="1:11" ht="12" customHeight="1">
      <c r="A3" s="4932" t="s">
        <v>7265</v>
      </c>
      <c r="B3" s="4932"/>
      <c r="C3" s="4932"/>
      <c r="D3" s="4932"/>
      <c r="E3" s="4932"/>
      <c r="F3" s="4932"/>
      <c r="G3" s="4932"/>
      <c r="H3" s="4932"/>
      <c r="I3" s="740"/>
      <c r="J3" s="4934" t="s">
        <v>7266</v>
      </c>
      <c r="K3" s="4934"/>
    </row>
    <row r="4" spans="1:11">
      <c r="J4" s="4934"/>
      <c r="K4" s="4934"/>
    </row>
    <row r="5" spans="1:11" ht="12" customHeight="1">
      <c r="A5" s="306">
        <v>1</v>
      </c>
      <c r="C5" s="306" t="s">
        <v>7267</v>
      </c>
      <c r="E5" s="450">
        <f>'Sensitivity Analysis'!H9</f>
        <v>0</v>
      </c>
      <c r="J5" s="4934"/>
      <c r="K5" s="4934"/>
    </row>
    <row r="6" spans="1:11" ht="3" customHeight="1">
      <c r="H6" s="2631"/>
      <c r="J6" s="4934"/>
      <c r="K6" s="4934"/>
    </row>
    <row r="7" spans="1:11" ht="12" customHeight="1">
      <c r="A7" s="306">
        <v>2</v>
      </c>
      <c r="C7" s="306" t="s">
        <v>7268</v>
      </c>
      <c r="E7" s="4935"/>
      <c r="F7" s="4935"/>
      <c r="G7" s="4935"/>
      <c r="H7" s="4935"/>
      <c r="J7" s="4934"/>
      <c r="K7" s="4934"/>
    </row>
    <row r="8" spans="1:11" ht="12" customHeight="1">
      <c r="E8" s="4935"/>
      <c r="F8" s="4935"/>
      <c r="G8" s="4935"/>
      <c r="H8" s="4935"/>
      <c r="J8" s="4934"/>
      <c r="K8" s="4934"/>
    </row>
    <row r="9" spans="1:11" ht="12" customHeight="1">
      <c r="C9" s="306" t="s">
        <v>7269</v>
      </c>
      <c r="E9" s="4933"/>
      <c r="F9" s="4933"/>
      <c r="J9" s="4934"/>
      <c r="K9" s="4934"/>
    </row>
    <row r="10" spans="1:11" ht="12" customHeight="1">
      <c r="C10" s="306" t="s">
        <v>7270</v>
      </c>
      <c r="E10" s="4935"/>
      <c r="F10" s="4935"/>
      <c r="G10" s="4935"/>
      <c r="H10" s="4935"/>
    </row>
    <row r="11" spans="1:11" ht="12" customHeight="1">
      <c r="C11" s="306" t="s">
        <v>7271</v>
      </c>
      <c r="E11" s="4935"/>
      <c r="F11" s="4935"/>
      <c r="G11" s="4935"/>
      <c r="H11" s="4935"/>
    </row>
    <row r="12" spans="1:11" ht="12" customHeight="1">
      <c r="C12" s="306" t="s">
        <v>7272</v>
      </c>
      <c r="E12" s="2634"/>
    </row>
    <row r="13" spans="1:11" ht="12" customHeight="1">
      <c r="C13" s="306" t="s">
        <v>7273</v>
      </c>
      <c r="E13" s="2634"/>
    </row>
    <row r="14" spans="1:11" ht="3" customHeight="1"/>
    <row r="15" spans="1:11" ht="12" customHeight="1">
      <c r="A15" s="306">
        <v>3</v>
      </c>
      <c r="C15" s="306" t="s">
        <v>7274</v>
      </c>
      <c r="E15" s="450" t="str">
        <f>'Sensitivity Analysis'!C8</f>
        <v>The Groves</v>
      </c>
    </row>
    <row r="16" spans="1:11" ht="12" customHeight="1">
      <c r="C16" s="306" t="s">
        <v>7275</v>
      </c>
      <c r="E16" s="4935"/>
      <c r="F16" s="4935"/>
      <c r="G16" s="4935"/>
      <c r="H16" s="4935"/>
    </row>
    <row r="17" spans="1:8" ht="12" customHeight="1">
      <c r="E17" s="312" t="str">
        <f>'Part I-Project Identification'!F28</f>
        <v>Tifton</v>
      </c>
      <c r="F17" s="442" t="s">
        <v>300</v>
      </c>
      <c r="G17" s="4936" t="s">
        <v>7276</v>
      </c>
      <c r="H17" s="4936"/>
    </row>
    <row r="18" spans="1:8" ht="12" customHeight="1">
      <c r="E18" s="450" t="str">
        <f>'Part I-Project Identification'!J28</f>
        <v>Tift</v>
      </c>
    </row>
    <row r="19" spans="1:8" ht="3" customHeight="1"/>
    <row r="20" spans="1:8" ht="12" customHeight="1">
      <c r="A20" s="306">
        <v>4</v>
      </c>
      <c r="C20" s="306" t="s">
        <v>7277</v>
      </c>
      <c r="E20" s="4935"/>
      <c r="F20" s="4935"/>
      <c r="G20" s="4935"/>
      <c r="H20" s="4935"/>
    </row>
    <row r="21" spans="1:8" ht="12" customHeight="1">
      <c r="C21" s="306" t="s">
        <v>7278</v>
      </c>
      <c r="E21" s="4935"/>
      <c r="F21" s="4935"/>
      <c r="G21" s="4935"/>
      <c r="H21" s="4935"/>
    </row>
    <row r="22" spans="1:8" ht="12" customHeight="1">
      <c r="E22" s="4935"/>
      <c r="F22" s="4935"/>
      <c r="G22" s="4935"/>
      <c r="H22" s="4935"/>
    </row>
    <row r="23" spans="1:8" ht="12" customHeight="1">
      <c r="C23" s="306" t="s">
        <v>7272</v>
      </c>
      <c r="E23" s="2634"/>
    </row>
    <row r="24" spans="1:8" ht="12" customHeight="1">
      <c r="C24" s="306" t="s">
        <v>7273</v>
      </c>
      <c r="E24" s="2634"/>
    </row>
    <row r="25" spans="1:8" ht="12" customHeight="1">
      <c r="C25" s="306" t="s">
        <v>7271</v>
      </c>
      <c r="E25" s="4935"/>
      <c r="F25" s="4935"/>
      <c r="G25" s="4935"/>
      <c r="H25" s="4935"/>
    </row>
    <row r="26" spans="1:8" ht="3" customHeight="1">
      <c r="E26" s="450"/>
    </row>
    <row r="27" spans="1:8" ht="12" customHeight="1">
      <c r="A27" s="306">
        <v>5</v>
      </c>
      <c r="C27" s="306" t="s">
        <v>7279</v>
      </c>
      <c r="E27" s="450" t="str">
        <f>'Sensitivity Analysis'!$H$7</f>
        <v>Acquisition/Rehabilitation</v>
      </c>
    </row>
    <row r="28" spans="1:8" ht="12" customHeight="1">
      <c r="E28" s="450" t="str">
        <f>'Part I-Project Identification'!F12</f>
        <v>9% Credits</v>
      </c>
    </row>
    <row r="29" spans="1:8" ht="12" customHeight="1">
      <c r="C29" s="306" t="s">
        <v>7280</v>
      </c>
      <c r="E29" s="306" t="str">
        <f>'Sensitivity Analysis'!$C$9</f>
        <v>&lt;&lt;Select&gt;&gt;</v>
      </c>
    </row>
    <row r="30" spans="1:8" ht="3" customHeight="1"/>
    <row r="31" spans="1:8" ht="12" customHeight="1">
      <c r="A31" s="306">
        <v>6</v>
      </c>
      <c r="C31" s="306" t="s">
        <v>7281</v>
      </c>
      <c r="E31" s="306" t="s">
        <v>4670</v>
      </c>
      <c r="F31" s="741">
        <f>'Part II-Sources of Funds'!L24</f>
        <v>9750000</v>
      </c>
      <c r="G31" s="306" t="s">
        <v>7282</v>
      </c>
    </row>
    <row r="32" spans="1:8" ht="12" customHeight="1">
      <c r="F32" s="741" t="s">
        <v>7283</v>
      </c>
      <c r="G32" s="306" t="s">
        <v>7284</v>
      </c>
    </row>
    <row r="33" spans="1:8" ht="3" customHeight="1">
      <c r="F33" s="446"/>
    </row>
    <row r="34" spans="1:8" ht="12" customHeight="1">
      <c r="A34" s="306">
        <v>7</v>
      </c>
      <c r="C34" s="306" t="s">
        <v>7285</v>
      </c>
      <c r="F34" s="742">
        <v>0</v>
      </c>
    </row>
    <row r="35" spans="1:8" ht="3" customHeight="1">
      <c r="F35" s="446"/>
    </row>
    <row r="36" spans="1:8" ht="12" customHeight="1">
      <c r="A36" s="306">
        <v>8</v>
      </c>
      <c r="C36" s="306" t="s">
        <v>7286</v>
      </c>
      <c r="E36" s="306" t="s">
        <v>4670</v>
      </c>
      <c r="F36" s="743">
        <v>0.01</v>
      </c>
    </row>
    <row r="37" spans="1:8" ht="3" customHeight="1">
      <c r="F37" s="742"/>
    </row>
    <row r="38" spans="1:8" ht="12" customHeight="1">
      <c r="A38" s="306">
        <v>9</v>
      </c>
      <c r="C38" s="306" t="s">
        <v>7287</v>
      </c>
      <c r="F38" s="744">
        <v>24</v>
      </c>
      <c r="G38" s="306" t="s">
        <v>7288</v>
      </c>
    </row>
    <row r="39" spans="1:8" ht="3" customHeight="1">
      <c r="F39" s="742"/>
    </row>
    <row r="40" spans="1:8" ht="12" customHeight="1">
      <c r="A40" s="306">
        <v>10</v>
      </c>
      <c r="C40" s="306" t="s">
        <v>7289</v>
      </c>
      <c r="E40" s="306" t="s">
        <v>4670</v>
      </c>
      <c r="F40" s="446">
        <f>'Part II-Sources of Funds'!L42*12</f>
        <v>180</v>
      </c>
      <c r="G40" s="306" t="s">
        <v>7288</v>
      </c>
    </row>
    <row r="41" spans="1:8" ht="3" customHeight="1">
      <c r="F41" s="446"/>
    </row>
    <row r="42" spans="1:8" ht="12" customHeight="1">
      <c r="A42" s="306">
        <v>11</v>
      </c>
      <c r="C42" s="306" t="s">
        <v>7290</v>
      </c>
      <c r="F42" s="745">
        <v>24</v>
      </c>
      <c r="G42" s="306" t="s">
        <v>7288</v>
      </c>
    </row>
    <row r="43" spans="1:8" ht="3" customHeight="1"/>
    <row r="44" spans="1:8" ht="12" customHeight="1">
      <c r="A44" s="306">
        <v>12</v>
      </c>
      <c r="C44" s="306" t="s">
        <v>7291</v>
      </c>
      <c r="F44" s="746" t="s">
        <v>7292</v>
      </c>
    </row>
    <row r="45" spans="1:8" ht="3" customHeight="1"/>
    <row r="46" spans="1:8" ht="12" customHeight="1">
      <c r="A46" s="306">
        <v>13</v>
      </c>
      <c r="C46" s="306" t="s">
        <v>7293</v>
      </c>
      <c r="E46" s="306" t="s">
        <v>4670</v>
      </c>
      <c r="F46" s="450" t="s">
        <v>7294</v>
      </c>
    </row>
    <row r="47" spans="1:8" ht="3" customHeight="1">
      <c r="F47" s="2631"/>
    </row>
    <row r="48" spans="1:8" ht="12" customHeight="1">
      <c r="A48" s="306">
        <v>14</v>
      </c>
      <c r="C48" s="306" t="s">
        <v>7295</v>
      </c>
      <c r="E48" s="4935"/>
      <c r="F48" s="4935"/>
      <c r="G48" s="4935"/>
      <c r="H48" s="4935"/>
    </row>
    <row r="49" spans="1:8" ht="3" customHeight="1">
      <c r="E49" s="450"/>
    </row>
    <row r="50" spans="1:8" ht="12" customHeight="1">
      <c r="A50" s="306">
        <v>15</v>
      </c>
      <c r="C50" s="306" t="s">
        <v>7296</v>
      </c>
      <c r="E50" s="4935"/>
      <c r="F50" s="4935"/>
      <c r="G50" s="4935"/>
      <c r="H50" s="4935"/>
    </row>
    <row r="51" spans="1:8" ht="12" customHeight="1">
      <c r="C51" s="306" t="s">
        <v>7297</v>
      </c>
      <c r="E51" s="4935"/>
      <c r="F51" s="4935"/>
      <c r="G51" s="4935"/>
      <c r="H51" s="4935"/>
    </row>
    <row r="52" spans="1:8" ht="3" customHeight="1">
      <c r="F52" s="446"/>
    </row>
    <row r="53" spans="1:8" ht="12" customHeight="1">
      <c r="A53" s="306">
        <v>16</v>
      </c>
      <c r="C53" s="306" t="s">
        <v>7298</v>
      </c>
      <c r="F53" s="745">
        <f>'Part V-Revenues &amp; Expenses'!E58</f>
        <v>96</v>
      </c>
    </row>
    <row r="54" spans="1:8" ht="3" customHeight="1">
      <c r="F54" s="446"/>
    </row>
    <row r="55" spans="1:8" ht="12" customHeight="1">
      <c r="A55" s="306">
        <v>17</v>
      </c>
      <c r="C55" s="306" t="s">
        <v>7299</v>
      </c>
      <c r="F55" s="747">
        <f>ProrationMethodCostAllocatnDCA!D64</f>
        <v>0</v>
      </c>
    </row>
    <row r="56" spans="1:8" ht="3" customHeight="1">
      <c r="F56" s="446"/>
    </row>
    <row r="57" spans="1:8" ht="12" customHeight="1">
      <c r="A57" s="306">
        <v>18</v>
      </c>
      <c r="C57" s="306" t="s">
        <v>7300</v>
      </c>
      <c r="F57" s="747">
        <f>'Part V-Revenues &amp; Expenses'!P75</f>
        <v>0</v>
      </c>
      <c r="G57" s="306" t="s">
        <v>7301</v>
      </c>
    </row>
    <row r="58" spans="1:8" ht="3" customHeight="1">
      <c r="F58" s="446"/>
    </row>
    <row r="59" spans="1:8" ht="12" customHeight="1">
      <c r="A59" s="306">
        <v>19</v>
      </c>
      <c r="C59" s="306" t="s">
        <v>7302</v>
      </c>
      <c r="F59" s="1041">
        <f>'Part VII-Threshold Criteria OLD'!$P$44</f>
        <v>0</v>
      </c>
      <c r="G59" s="306" t="s">
        <v>7303</v>
      </c>
    </row>
    <row r="60" spans="1:8" ht="3" customHeight="1">
      <c r="F60" s="446"/>
    </row>
    <row r="61" spans="1:8" ht="12" customHeight="1">
      <c r="A61" s="306">
        <v>20</v>
      </c>
      <c r="C61" s="306" t="s">
        <v>7304</v>
      </c>
      <c r="F61" s="748">
        <f>'Subsidy Layering Memo'!$L$70</f>
        <v>3.2444565656105198</v>
      </c>
    </row>
    <row r="62" spans="1:8" ht="3" customHeight="1"/>
    <row r="63" spans="1:8" ht="12" customHeight="1">
      <c r="A63" s="306">
        <v>21</v>
      </c>
      <c r="C63" s="306" t="s">
        <v>7305</v>
      </c>
      <c r="E63" s="749" t="s">
        <v>7306</v>
      </c>
      <c r="F63" s="750" t="s">
        <v>7307</v>
      </c>
      <c r="G63" s="749" t="s">
        <v>7308</v>
      </c>
    </row>
    <row r="64" spans="1:8" ht="12" customHeight="1">
      <c r="E64" s="749" t="s">
        <v>7306</v>
      </c>
      <c r="F64" s="750" t="s">
        <v>7307</v>
      </c>
      <c r="G64" s="749" t="s">
        <v>7309</v>
      </c>
    </row>
    <row r="65" spans="1:7" ht="12" customHeight="1">
      <c r="E65" s="749" t="s">
        <v>7306</v>
      </c>
      <c r="F65" s="750" t="s">
        <v>7307</v>
      </c>
      <c r="G65" s="749" t="s">
        <v>7310</v>
      </c>
    </row>
    <row r="66" spans="1:7" ht="12" customHeight="1">
      <c r="E66" s="749" t="s">
        <v>7306</v>
      </c>
      <c r="F66" s="750" t="s">
        <v>7307</v>
      </c>
      <c r="G66" s="749" t="s">
        <v>7311</v>
      </c>
    </row>
    <row r="67" spans="1:7" ht="3" customHeight="1"/>
    <row r="68" spans="1:7" ht="12" customHeight="1">
      <c r="A68" s="306">
        <v>22</v>
      </c>
      <c r="C68" s="306" t="s">
        <v>7312</v>
      </c>
      <c r="E68" s="450">
        <f>'Sensitivity Analysis'!H9</f>
        <v>0</v>
      </c>
    </row>
    <row r="69" spans="1:7" ht="3" customHeight="1"/>
    <row r="70" spans="1:7" ht="12" customHeight="1">
      <c r="A70" s="306">
        <v>23</v>
      </c>
      <c r="C70" s="306" t="s">
        <v>7313</v>
      </c>
      <c r="F70" s="446" t="s">
        <v>7314</v>
      </c>
    </row>
    <row r="71" spans="1:7" ht="3" customHeight="1"/>
    <row r="72" spans="1:7" ht="12" customHeight="1">
      <c r="A72" s="306">
        <v>24</v>
      </c>
      <c r="C72" s="306" t="s">
        <v>7315</v>
      </c>
      <c r="E72" s="306" t="s">
        <v>4670</v>
      </c>
      <c r="F72" s="446">
        <v>20</v>
      </c>
      <c r="G72" s="306" t="s">
        <v>498</v>
      </c>
    </row>
    <row r="73" spans="1:7" ht="3" customHeight="1"/>
    <row r="74" spans="1:7" ht="12" customHeight="1">
      <c r="A74" s="306">
        <v>25</v>
      </c>
      <c r="C74" s="306" t="s">
        <v>7316</v>
      </c>
      <c r="F74" s="751">
        <f>'Part III-A-Uses of Funds'!$G$131</f>
        <v>347568.17929746775</v>
      </c>
    </row>
    <row r="75" spans="1:7" ht="3" customHeight="1">
      <c r="F75" s="751"/>
    </row>
    <row r="76" spans="1:7" ht="12" customHeight="1">
      <c r="A76" s="306">
        <v>26</v>
      </c>
      <c r="C76" s="306" t="s">
        <v>7317</v>
      </c>
      <c r="F76" s="751">
        <f>'Part III-A-Uses of Funds'!$G$133</f>
        <v>0</v>
      </c>
    </row>
    <row r="77" spans="1:7" ht="3" customHeight="1">
      <c r="F77" s="751"/>
    </row>
    <row r="78" spans="1:7" ht="12" customHeight="1">
      <c r="A78" s="306">
        <v>27</v>
      </c>
      <c r="C78" s="306" t="s">
        <v>7318</v>
      </c>
      <c r="F78" s="751">
        <f>'Part III-A-Uses of Funds'!$G$130</f>
        <v>118321</v>
      </c>
    </row>
    <row r="79" spans="1:7" ht="3" customHeight="1">
      <c r="F79" s="751"/>
    </row>
    <row r="80" spans="1:7" ht="12" customHeight="1">
      <c r="A80" s="306">
        <v>28</v>
      </c>
      <c r="C80" s="306" t="s">
        <v>7319</v>
      </c>
      <c r="F80" s="752"/>
    </row>
  </sheetData>
  <sheetProtection algorithmName="SHA-512" hashValue="nixBVUb422d0/t+NAUBFsAUWGa95CldZkf6fWUQydjc1mRYGqoOEGo8XTTGp4ttgSjFrPqhfuC+MXwY/kZHlZw==" saltValue="97QD3PPkdGHeAXSWVnKe+w==" spinCount="100000" sheet="1" objects="1" scenarios="1"/>
  <mergeCells count="17">
    <mergeCell ref="G17:H17"/>
    <mergeCell ref="E48:H48"/>
    <mergeCell ref="E50:H50"/>
    <mergeCell ref="E51:H51"/>
    <mergeCell ref="E20:H20"/>
    <mergeCell ref="E21:H21"/>
    <mergeCell ref="E22:H22"/>
    <mergeCell ref="E25:H25"/>
    <mergeCell ref="A1:H1"/>
    <mergeCell ref="A3:H3"/>
    <mergeCell ref="E9:F9"/>
    <mergeCell ref="J3:K9"/>
    <mergeCell ref="E16:H16"/>
    <mergeCell ref="E7:H7"/>
    <mergeCell ref="E8:H8"/>
    <mergeCell ref="E11:H11"/>
    <mergeCell ref="E10:H10"/>
  </mergeCells>
  <dataValidations count="1">
    <dataValidation type="list" allowBlank="1" showInputMessage="1" showErrorMessage="1" sqref="F70" xr:uid="{00000000-0002-0000-1500-000001000000}">
      <formula1>$J$50:$J$50</formula1>
    </dataValidation>
  </dataValidations>
  <printOptions horizontalCentered="1"/>
  <pageMargins left="0.7" right="0.7" top="0.75" bottom="0.5" header="0.3" footer="0.3"/>
  <pageSetup fitToHeight="0" orientation="portrait" r:id="rId1"/>
  <headerFooter>
    <oddFooter>&amp;C&amp;9page &amp;P of &amp;N</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pageSetUpPr fitToPage="1"/>
  </sheetPr>
  <dimension ref="A1:M222"/>
  <sheetViews>
    <sheetView showGridLines="0" topLeftCell="A4" zoomScale="120" zoomScaleNormal="120" workbookViewId="0">
      <selection activeCell="M35" sqref="M35"/>
    </sheetView>
  </sheetViews>
  <sheetFormatPr defaultColWidth="9.21875" defaultRowHeight="13.2"/>
  <cols>
    <col min="1" max="1" width="23.5546875" style="306" customWidth="1"/>
    <col min="2" max="2" width="11" style="306" customWidth="1"/>
    <col min="3" max="3" width="31" style="306" customWidth="1"/>
    <col min="4" max="4" width="14" style="306" customWidth="1"/>
    <col min="5" max="10" width="11.21875" style="306" customWidth="1"/>
    <col min="11" max="16384" width="9.21875" style="306"/>
  </cols>
  <sheetData>
    <row r="1" spans="1:13" ht="13.8">
      <c r="A1" s="4940" t="s">
        <v>7320</v>
      </c>
      <c r="B1" s="4940"/>
      <c r="C1" s="4940"/>
      <c r="D1" s="4940"/>
      <c r="E1" s="4940"/>
      <c r="F1" s="4940"/>
      <c r="G1" s="4940"/>
      <c r="H1" s="4940"/>
      <c r="I1" s="4940"/>
      <c r="J1" s="4940"/>
    </row>
    <row r="2" spans="1:13" ht="13.8">
      <c r="A2" s="4940" t="str">
        <f>'Sensitivity Analysis'!E8&amp;"  "&amp;'Sensitivity Analysis'!C8</f>
        <v>2026-0xx  The Groves</v>
      </c>
      <c r="B2" s="4940"/>
      <c r="C2" s="4940"/>
      <c r="D2" s="4940"/>
      <c r="E2" s="4940"/>
      <c r="F2" s="4940"/>
      <c r="G2" s="4940"/>
      <c r="H2" s="4940"/>
      <c r="I2" s="4940"/>
      <c r="J2" s="4940"/>
    </row>
    <row r="3" spans="1:13" ht="6" customHeight="1">
      <c r="K3" s="4934" t="s">
        <v>7266</v>
      </c>
      <c r="L3" s="4934"/>
      <c r="M3" s="4934"/>
    </row>
    <row r="4" spans="1:13" ht="12" customHeight="1">
      <c r="A4" s="444" t="s">
        <v>7321</v>
      </c>
      <c r="K4" s="4934"/>
      <c r="L4" s="4934"/>
      <c r="M4" s="4934"/>
    </row>
    <row r="5" spans="1:13" ht="12" customHeight="1">
      <c r="A5" s="306" t="s">
        <v>7322</v>
      </c>
      <c r="C5" s="401" t="str">
        <f>'Subsidy Layering Memo'!D6</f>
        <v>(Underwriter)</v>
      </c>
      <c r="I5" s="401"/>
      <c r="K5" s="4934"/>
      <c r="L5" s="4934"/>
      <c r="M5" s="4934"/>
    </row>
    <row r="6" spans="1:13" ht="6" customHeight="1">
      <c r="C6" s="401"/>
      <c r="D6" s="401"/>
      <c r="I6" s="401"/>
      <c r="K6" s="4934"/>
      <c r="L6" s="4934"/>
      <c r="M6" s="4934"/>
    </row>
    <row r="7" spans="1:13" ht="12" customHeight="1">
      <c r="A7" s="444" t="s">
        <v>7323</v>
      </c>
      <c r="C7" s="401"/>
      <c r="D7" s="401"/>
      <c r="I7" s="401"/>
      <c r="K7" s="4934"/>
      <c r="L7" s="4934"/>
      <c r="M7" s="4934"/>
    </row>
    <row r="8" spans="1:13" ht="12" customHeight="1">
      <c r="A8" s="306" t="s">
        <v>7324</v>
      </c>
      <c r="C8" s="401">
        <f>'Sensitivity Analysis'!$H$9</f>
        <v>0</v>
      </c>
      <c r="I8" s="401"/>
      <c r="K8" s="4934"/>
      <c r="L8" s="4934"/>
      <c r="M8" s="4934"/>
    </row>
    <row r="9" spans="1:13" ht="3" customHeight="1">
      <c r="C9" s="401"/>
      <c r="D9" s="401"/>
      <c r="I9" s="401"/>
    </row>
    <row r="10" spans="1:13" ht="12" customHeight="1">
      <c r="A10" s="306" t="s">
        <v>7325</v>
      </c>
      <c r="C10" s="710" t="s">
        <v>721</v>
      </c>
      <c r="I10" s="401"/>
    </row>
    <row r="11" spans="1:13" ht="12" customHeight="1">
      <c r="C11" s="710" t="s">
        <v>721</v>
      </c>
      <c r="I11" s="401"/>
    </row>
    <row r="12" spans="1:13" ht="12" customHeight="1">
      <c r="C12" s="401" t="s">
        <v>2067</v>
      </c>
      <c r="D12" s="456" t="s">
        <v>721</v>
      </c>
      <c r="I12" s="401"/>
    </row>
    <row r="13" spans="1:13" ht="12" customHeight="1">
      <c r="C13" s="401" t="s">
        <v>7326</v>
      </c>
      <c r="D13" s="4939"/>
      <c r="E13" s="4939"/>
      <c r="F13" s="4939"/>
      <c r="G13" s="4939"/>
      <c r="H13" s="4939"/>
      <c r="I13" s="4939"/>
      <c r="J13" s="4939"/>
    </row>
    <row r="14" spans="1:13" ht="3" customHeight="1">
      <c r="G14" s="401"/>
      <c r="H14" s="401"/>
      <c r="I14" s="401"/>
    </row>
    <row r="15" spans="1:13" ht="12" customHeight="1">
      <c r="A15" s="306" t="s">
        <v>7327</v>
      </c>
      <c r="C15" s="445">
        <f>'Preview Term'!E10</f>
        <v>0</v>
      </c>
      <c r="G15" s="401"/>
      <c r="I15" s="401"/>
    </row>
    <row r="16" spans="1:13" ht="12" customHeight="1">
      <c r="A16" s="450" t="s">
        <v>7328</v>
      </c>
      <c r="C16" s="445">
        <f>'Part II-Development Team'!Q7</f>
        <v>0</v>
      </c>
      <c r="G16" s="401"/>
      <c r="I16" s="401"/>
    </row>
    <row r="17" spans="1:9" ht="3" customHeight="1">
      <c r="G17" s="401"/>
      <c r="H17" s="401"/>
      <c r="I17" s="401"/>
    </row>
    <row r="18" spans="1:9" ht="12" customHeight="1">
      <c r="A18" s="306" t="s">
        <v>7329</v>
      </c>
      <c r="C18" s="445">
        <f>'Preview Term'!$E$7</f>
        <v>0</v>
      </c>
      <c r="G18" s="401"/>
      <c r="I18" s="401"/>
    </row>
    <row r="19" spans="1:9" ht="12" customHeight="1">
      <c r="C19" s="445">
        <f>'Preview Term'!$E$8</f>
        <v>0</v>
      </c>
      <c r="G19" s="401"/>
      <c r="I19" s="401"/>
    </row>
    <row r="20" spans="1:9" ht="3" customHeight="1">
      <c r="G20" s="401"/>
      <c r="H20" s="401"/>
      <c r="I20" s="401"/>
    </row>
    <row r="21" spans="1:9" ht="12" customHeight="1">
      <c r="A21" s="306" t="s">
        <v>7330</v>
      </c>
      <c r="C21" s="445" t="str">
        <f>CONCATENATE('Preview Term'!E50," of  ",'Preview Term'!G50)</f>
        <v xml:space="preserve"> of  </v>
      </c>
      <c r="G21" s="401"/>
      <c r="I21" s="401"/>
    </row>
    <row r="22" spans="1:9" ht="3" customHeight="1">
      <c r="C22" s="445"/>
      <c r="G22" s="401"/>
      <c r="I22" s="401"/>
    </row>
    <row r="23" spans="1:9" ht="12" customHeight="1">
      <c r="A23" s="306" t="s">
        <v>7331</v>
      </c>
      <c r="C23" s="445">
        <f>'Preview Term'!E12</f>
        <v>0</v>
      </c>
      <c r="G23" s="401"/>
      <c r="I23" s="401"/>
    </row>
    <row r="24" spans="1:9" ht="3" customHeight="1">
      <c r="C24" s="445"/>
      <c r="G24" s="401"/>
      <c r="I24" s="401"/>
    </row>
    <row r="25" spans="1:9" ht="12" customHeight="1">
      <c r="A25" s="306" t="s">
        <v>7332</v>
      </c>
      <c r="C25" s="712">
        <f>'Preview Term'!E11</f>
        <v>0</v>
      </c>
      <c r="G25" s="401"/>
    </row>
    <row r="26" spans="1:9" ht="6" customHeight="1">
      <c r="G26" s="401"/>
      <c r="H26" s="401"/>
      <c r="I26" s="401"/>
    </row>
    <row r="27" spans="1:9" ht="12" customHeight="1">
      <c r="A27" s="444" t="s">
        <v>7333</v>
      </c>
      <c r="G27" s="401"/>
      <c r="H27" s="401"/>
      <c r="I27" s="401"/>
    </row>
    <row r="28" spans="1:9" ht="12" customHeight="1">
      <c r="A28" s="306" t="s">
        <v>7334</v>
      </c>
      <c r="C28" s="445" t="str">
        <f>'Sensitivity Analysis'!$C$8</f>
        <v>The Groves</v>
      </c>
      <c r="I28" s="401"/>
    </row>
    <row r="29" spans="1:9" ht="3" customHeight="1">
      <c r="C29" s="445"/>
      <c r="I29" s="401"/>
    </row>
    <row r="30" spans="1:9" ht="12" customHeight="1">
      <c r="A30" s="306" t="s">
        <v>7335</v>
      </c>
      <c r="C30" s="445">
        <f>'Preview Term'!E16</f>
        <v>0</v>
      </c>
      <c r="I30" s="401"/>
    </row>
    <row r="31" spans="1:9">
      <c r="C31" s="401" t="str">
        <f>'Preview Term'!E17</f>
        <v>Tifton</v>
      </c>
      <c r="I31" s="401"/>
    </row>
    <row r="32" spans="1:9" ht="3" customHeight="1">
      <c r="C32" s="401"/>
      <c r="D32" s="401"/>
      <c r="I32" s="401"/>
    </row>
    <row r="33" spans="1:10" ht="12" customHeight="1">
      <c r="A33" s="306" t="s">
        <v>7336</v>
      </c>
      <c r="C33" s="401" t="s">
        <v>7337</v>
      </c>
      <c r="D33" s="711">
        <f>'Preview Term'!$F$55</f>
        <v>0</v>
      </c>
      <c r="I33" s="401"/>
    </row>
    <row r="34" spans="1:10" ht="12" customHeight="1">
      <c r="C34" s="401" t="s">
        <v>7338</v>
      </c>
      <c r="D34" s="1370">
        <f>D35-D33</f>
        <v>96</v>
      </c>
      <c r="I34" s="401"/>
    </row>
    <row r="35" spans="1:10" ht="12" customHeight="1">
      <c r="C35" s="401" t="s">
        <v>7339</v>
      </c>
      <c r="D35" s="3000">
        <f>'Preview Term'!$F$53</f>
        <v>96</v>
      </c>
      <c r="I35" s="401"/>
    </row>
    <row r="36" spans="1:10" ht="3" customHeight="1">
      <c r="C36" s="401"/>
      <c r="D36" s="401"/>
      <c r="I36" s="401"/>
    </row>
    <row r="37" spans="1:10" ht="12" customHeight="1">
      <c r="A37" s="306" t="s">
        <v>7340</v>
      </c>
      <c r="C37" s="749" t="s">
        <v>721</v>
      </c>
      <c r="D37" s="709">
        <f>'Preview Term'!F57</f>
        <v>0</v>
      </c>
      <c r="E37" s="401" t="s">
        <v>7341</v>
      </c>
      <c r="I37" s="401"/>
    </row>
    <row r="38" spans="1:10" ht="3" customHeight="1">
      <c r="G38" s="2632"/>
      <c r="H38" s="401"/>
      <c r="I38" s="401"/>
    </row>
    <row r="39" spans="1:10" ht="25.5" customHeight="1">
      <c r="A39" s="447" t="s">
        <v>7342</v>
      </c>
      <c r="C39" s="4941" t="str">
        <f>_xlfn.CONCAT('Part VII-Threshold Criteria OLD'!K192," and ",'Part VII-Threshold Criteria OLD'!K193)</f>
        <v>&lt;&lt;Select&gt;&gt; and &lt;&lt;Select&gt;&gt;</v>
      </c>
      <c r="D39" s="4941"/>
      <c r="E39" s="4941"/>
      <c r="F39" s="4941"/>
      <c r="G39" s="4941"/>
      <c r="H39" s="4941"/>
      <c r="I39" s="4941"/>
      <c r="J39" s="4941"/>
    </row>
    <row r="40" spans="1:10" ht="25.5" customHeight="1">
      <c r="A40" s="447" t="s">
        <v>7343</v>
      </c>
      <c r="C40" s="4941" t="str">
        <f>_xlfn.CONCAT('Part VII-Threshold Criteria OLD'!C199,", ",'Part VII-Threshold Criteria OLD'!C200,", ",'Part VII-Threshold Criteria OLD'!C201,", ",'Part VII-Threshold Criteria OLD'!C202,", ",'Part VII-Threshold Criteria OLD'!I199,", ",'Part VII-Threshold Criteria OLD'!I200,", ",'Part VII-Threshold Criteria OLD'!I201,", and  ",'Part VII-Threshold Criteria OLD'!I202)</f>
        <v xml:space="preserve">(Select an amenity from options provided here), (Select an amenity from options provided here), (Select an amenity from options provided here), (Select an amenity from options provided here),   , ,   , and  </v>
      </c>
      <c r="D40" s="4941"/>
      <c r="E40" s="4941"/>
      <c r="F40" s="4941"/>
      <c r="G40" s="4941"/>
      <c r="H40" s="4941"/>
      <c r="I40" s="4941"/>
      <c r="J40" s="4941"/>
    </row>
    <row r="41" spans="1:10" ht="3" customHeight="1">
      <c r="G41" s="401"/>
      <c r="H41" s="401"/>
      <c r="I41" s="401"/>
    </row>
    <row r="42" spans="1:10" ht="25.5" customHeight="1">
      <c r="A42" s="447" t="s">
        <v>7344</v>
      </c>
      <c r="C42" s="4941" t="s">
        <v>7345</v>
      </c>
      <c r="D42" s="4941"/>
      <c r="E42" s="4941"/>
      <c r="F42" s="4941"/>
      <c r="G42" s="4941"/>
      <c r="H42" s="4941"/>
      <c r="I42" s="4941"/>
      <c r="J42" s="4941"/>
    </row>
    <row r="43" spans="1:10" ht="3" customHeight="1">
      <c r="C43" s="312"/>
      <c r="D43" s="312"/>
      <c r="E43" s="312"/>
      <c r="F43" s="312"/>
      <c r="G43" s="312"/>
      <c r="H43" s="313"/>
      <c r="I43" s="313"/>
      <c r="J43" s="313"/>
    </row>
    <row r="44" spans="1:10" ht="12" customHeight="1">
      <c r="A44" s="306" t="s">
        <v>7346</v>
      </c>
      <c r="C44" s="357" t="str">
        <f>'Part I-Project Identification'!J28</f>
        <v>Tift</v>
      </c>
      <c r="D44" s="312"/>
      <c r="F44" s="313"/>
      <c r="I44" s="313"/>
      <c r="J44" s="313"/>
    </row>
    <row r="45" spans="1:10" ht="3" customHeight="1">
      <c r="C45" s="312"/>
      <c r="D45" s="312"/>
      <c r="E45" s="312"/>
      <c r="F45" s="313"/>
      <c r="I45" s="313"/>
      <c r="J45" s="313"/>
    </row>
    <row r="46" spans="1:10" ht="12" customHeight="1">
      <c r="A46" s="306" t="s">
        <v>7347</v>
      </c>
      <c r="C46" s="456" t="s">
        <v>721</v>
      </c>
      <c r="I46" s="313"/>
      <c r="J46" s="313"/>
    </row>
    <row r="47" spans="1:10" ht="3" customHeight="1">
      <c r="C47" s="401"/>
      <c r="D47" s="2632"/>
      <c r="I47" s="401"/>
    </row>
    <row r="48" spans="1:10" ht="12" customHeight="1">
      <c r="A48" s="306" t="s">
        <v>7348</v>
      </c>
      <c r="C48" s="1042">
        <f>'Preview Term'!F59</f>
        <v>0</v>
      </c>
      <c r="I48" s="448"/>
      <c r="J48" s="448"/>
    </row>
    <row r="49" spans="1:10" ht="3" customHeight="1">
      <c r="D49" s="448"/>
      <c r="E49" s="448"/>
      <c r="F49" s="448"/>
      <c r="G49" s="448"/>
      <c r="H49" s="401"/>
      <c r="I49" s="448"/>
      <c r="J49" s="448"/>
    </row>
    <row r="50" spans="1:10" ht="12" customHeight="1">
      <c r="A50" s="401"/>
      <c r="B50" s="306" t="s">
        <v>7349</v>
      </c>
      <c r="C50" s="4941" t="s">
        <v>7350</v>
      </c>
      <c r="D50" s="4941"/>
      <c r="E50" s="4941"/>
      <c r="F50" s="4941"/>
      <c r="G50" s="4941"/>
      <c r="H50" s="4941"/>
      <c r="I50" s="4941"/>
      <c r="J50" s="4941"/>
    </row>
    <row r="51" spans="1:10" ht="12" customHeight="1">
      <c r="C51" s="4943" t="s">
        <v>7351</v>
      </c>
      <c r="D51" s="4943"/>
      <c r="E51" s="4943"/>
      <c r="F51" s="4943"/>
      <c r="G51" s="4943"/>
      <c r="H51" s="4943"/>
      <c r="I51" s="4943"/>
      <c r="J51" s="4943"/>
    </row>
    <row r="52" spans="1:10" ht="3" customHeight="1">
      <c r="D52" s="448"/>
      <c r="E52" s="448"/>
      <c r="F52" s="448"/>
      <c r="G52" s="448"/>
      <c r="H52" s="401"/>
      <c r="I52" s="448"/>
      <c r="J52" s="448"/>
    </row>
    <row r="53" spans="1:10" ht="12" customHeight="1">
      <c r="A53" s="447" t="s">
        <v>7352</v>
      </c>
      <c r="B53" s="447"/>
      <c r="C53" s="449" t="s">
        <v>7353</v>
      </c>
      <c r="D53" s="449" t="s">
        <v>7354</v>
      </c>
      <c r="E53" s="4944"/>
      <c r="F53" s="4944"/>
      <c r="G53" s="4944"/>
      <c r="H53" s="4944"/>
      <c r="I53" s="4944"/>
      <c r="J53" s="4944"/>
    </row>
    <row r="54" spans="1:10" ht="12" customHeight="1">
      <c r="A54" s="447"/>
      <c r="B54" s="447"/>
      <c r="C54" s="447"/>
      <c r="D54" s="449" t="s">
        <v>7355</v>
      </c>
      <c r="E54" s="4945"/>
      <c r="F54" s="4945"/>
      <c r="G54" s="4945"/>
      <c r="H54" s="4945"/>
      <c r="I54" s="4945"/>
      <c r="J54" s="4945"/>
    </row>
    <row r="55" spans="1:10" ht="12" customHeight="1">
      <c r="A55" s="444" t="s">
        <v>7356</v>
      </c>
      <c r="G55" s="401"/>
      <c r="H55" s="401"/>
      <c r="I55" s="401"/>
    </row>
    <row r="56" spans="1:10" ht="18" customHeight="1">
      <c r="A56" s="306" t="s">
        <v>7357</v>
      </c>
      <c r="C56" s="445">
        <f>'Sensitivity Analysis'!C10</f>
        <v>0</v>
      </c>
      <c r="G56" s="401"/>
      <c r="I56" s="401"/>
    </row>
    <row r="57" spans="1:10" ht="3" customHeight="1">
      <c r="C57" s="445"/>
      <c r="G57" s="401"/>
      <c r="I57" s="401"/>
    </row>
    <row r="58" spans="1:10" ht="12" customHeight="1">
      <c r="A58" s="306" t="s">
        <v>7358</v>
      </c>
      <c r="C58" s="445">
        <f>'Sensitivity Analysis'!C11</f>
        <v>0</v>
      </c>
      <c r="E58" s="445">
        <f>'Sensitivity Analysis'!E11</f>
        <v>0</v>
      </c>
      <c r="G58" s="401"/>
      <c r="I58" s="401"/>
    </row>
    <row r="59" spans="1:10" ht="3" customHeight="1">
      <c r="C59" s="445"/>
      <c r="G59" s="401"/>
      <c r="I59" s="401"/>
    </row>
    <row r="60" spans="1:10" ht="12" customHeight="1">
      <c r="A60" s="306" t="s">
        <v>7359</v>
      </c>
      <c r="C60" s="445" t="s">
        <v>2103</v>
      </c>
      <c r="G60" s="401"/>
      <c r="I60" s="401"/>
    </row>
    <row r="61" spans="1:10" ht="6" customHeight="1">
      <c r="G61" s="401"/>
      <c r="H61" s="401"/>
      <c r="I61" s="401"/>
    </row>
    <row r="62" spans="1:10" ht="12" customHeight="1">
      <c r="A62" s="444" t="s">
        <v>7360</v>
      </c>
      <c r="G62" s="401"/>
      <c r="H62" s="401"/>
      <c r="I62" s="401"/>
    </row>
    <row r="63" spans="1:10" ht="12" customHeight="1">
      <c r="A63" s="306" t="s">
        <v>7361</v>
      </c>
      <c r="C63" s="306" t="s">
        <v>7362</v>
      </c>
      <c r="D63" s="713">
        <f>'Preview Term'!F31</f>
        <v>9750000</v>
      </c>
      <c r="G63" s="401"/>
      <c r="I63" s="401"/>
    </row>
    <row r="64" spans="1:10" ht="3" customHeight="1">
      <c r="D64" s="450"/>
      <c r="G64" s="401"/>
      <c r="H64" s="451"/>
      <c r="I64" s="401"/>
    </row>
    <row r="65" spans="1:10" ht="12" customHeight="1">
      <c r="A65" s="306" t="s">
        <v>7363</v>
      </c>
      <c r="C65" s="306" t="s">
        <v>7364</v>
      </c>
      <c r="D65" s="445" t="s">
        <v>671</v>
      </c>
      <c r="G65" s="401"/>
      <c r="I65" s="401"/>
    </row>
    <row r="66" spans="1:10" ht="3" customHeight="1">
      <c r="D66" s="450"/>
      <c r="G66" s="401"/>
      <c r="H66" s="401"/>
      <c r="I66" s="401"/>
    </row>
    <row r="67" spans="1:10" ht="12" customHeight="1">
      <c r="A67" s="306" t="s">
        <v>7365</v>
      </c>
      <c r="C67" s="714" t="s">
        <v>721</v>
      </c>
      <c r="D67" s="450"/>
      <c r="I67" s="401"/>
    </row>
    <row r="68" spans="1:10" ht="12" customHeight="1">
      <c r="C68" s="306" t="s">
        <v>7366</v>
      </c>
      <c r="D68" s="2633" t="s">
        <v>721</v>
      </c>
      <c r="I68" s="401"/>
    </row>
    <row r="69" spans="1:10" ht="12" customHeight="1">
      <c r="C69" s="306" t="s">
        <v>7326</v>
      </c>
      <c r="D69" s="4939"/>
      <c r="E69" s="4939"/>
      <c r="F69" s="4939"/>
      <c r="G69" s="4939"/>
      <c r="H69" s="4939"/>
      <c r="I69" s="4939"/>
      <c r="J69" s="4939"/>
    </row>
    <row r="70" spans="1:10" ht="3" customHeight="1">
      <c r="D70" s="450"/>
      <c r="E70" s="401"/>
      <c r="F70" s="401"/>
      <c r="I70" s="401"/>
    </row>
    <row r="71" spans="1:10" ht="12" customHeight="1">
      <c r="A71" s="306" t="s">
        <v>7367</v>
      </c>
      <c r="C71" s="306" t="s">
        <v>4670</v>
      </c>
      <c r="D71" s="456" t="s">
        <v>721</v>
      </c>
      <c r="I71" s="401"/>
    </row>
    <row r="72" spans="1:10" ht="3" customHeight="1">
      <c r="D72" s="401"/>
      <c r="E72" s="401"/>
      <c r="I72" s="401"/>
    </row>
    <row r="73" spans="1:10" ht="12" customHeight="1">
      <c r="A73" s="306" t="s">
        <v>7368</v>
      </c>
      <c r="C73" s="714" t="s">
        <v>721</v>
      </c>
      <c r="I73" s="401"/>
    </row>
    <row r="74" spans="1:10" ht="3" customHeight="1">
      <c r="C74" s="450"/>
      <c r="G74" s="401"/>
      <c r="H74" s="401"/>
      <c r="I74" s="401"/>
    </row>
    <row r="75" spans="1:10" ht="12" customHeight="1">
      <c r="A75" s="306" t="s">
        <v>7369</v>
      </c>
      <c r="C75" s="450" t="s">
        <v>7370</v>
      </c>
      <c r="D75" s="716">
        <v>0</v>
      </c>
      <c r="J75" s="401"/>
    </row>
    <row r="76" spans="1:10" ht="12" customHeight="1">
      <c r="C76" s="452" t="s">
        <v>7371</v>
      </c>
      <c r="D76" s="717">
        <v>0.01</v>
      </c>
      <c r="J76" s="401"/>
    </row>
    <row r="77" spans="1:10" ht="3" customHeight="1">
      <c r="C77" s="450"/>
      <c r="D77" s="450"/>
      <c r="G77" s="401"/>
      <c r="H77" s="401"/>
      <c r="I77" s="401"/>
    </row>
    <row r="78" spans="1:10" ht="12" customHeight="1">
      <c r="A78" s="306" t="s">
        <v>7372</v>
      </c>
      <c r="C78" s="450" t="s">
        <v>7373</v>
      </c>
      <c r="D78" s="454">
        <v>24</v>
      </c>
      <c r="I78" s="401"/>
    </row>
    <row r="79" spans="1:10" ht="3" customHeight="1">
      <c r="D79" s="450"/>
      <c r="E79" s="401"/>
      <c r="F79" s="401"/>
      <c r="I79" s="401"/>
    </row>
    <row r="80" spans="1:10" ht="12" customHeight="1">
      <c r="A80" s="306" t="s">
        <v>7374</v>
      </c>
      <c r="C80" s="306" t="s">
        <v>4670</v>
      </c>
      <c r="D80" s="454">
        <f>'Preview Term'!F40</f>
        <v>180</v>
      </c>
      <c r="E80" s="401" t="s">
        <v>7375</v>
      </c>
      <c r="I80" s="401"/>
    </row>
    <row r="81" spans="1:9" ht="3" customHeight="1">
      <c r="D81" s="450"/>
      <c r="G81" s="401"/>
      <c r="H81" s="401"/>
      <c r="I81" s="401"/>
    </row>
    <row r="82" spans="1:9" ht="12" customHeight="1">
      <c r="A82" s="306" t="s">
        <v>7376</v>
      </c>
      <c r="D82" s="715">
        <v>0</v>
      </c>
      <c r="E82" s="455">
        <f>D82*12</f>
        <v>0</v>
      </c>
      <c r="F82" s="401" t="s">
        <v>7377</v>
      </c>
    </row>
    <row r="83" spans="1:9" ht="3" customHeight="1">
      <c r="D83" s="445"/>
      <c r="E83" s="401"/>
      <c r="G83" s="401"/>
    </row>
    <row r="84" spans="1:9" ht="12" customHeight="1">
      <c r="A84" s="306" t="s">
        <v>7378</v>
      </c>
      <c r="D84" s="2633" t="s">
        <v>671</v>
      </c>
      <c r="E84" s="401" t="s">
        <v>7379</v>
      </c>
      <c r="G84" s="401"/>
    </row>
    <row r="85" spans="1:9" ht="3" customHeight="1">
      <c r="G85" s="401"/>
      <c r="H85" s="401"/>
      <c r="I85" s="401"/>
    </row>
    <row r="86" spans="1:9" ht="12" customHeight="1">
      <c r="A86" s="306" t="s">
        <v>7380</v>
      </c>
      <c r="C86" s="1043">
        <f>'Subsidy Layering Memo'!L70</f>
        <v>3.2444565656105198</v>
      </c>
      <c r="D86" s="457" t="s">
        <v>7381</v>
      </c>
      <c r="I86" s="401"/>
    </row>
    <row r="87" spans="1:9" ht="3" customHeight="1">
      <c r="C87" s="401" t="s">
        <v>721</v>
      </c>
      <c r="D87" s="401"/>
      <c r="E87" s="401"/>
      <c r="I87" s="401"/>
    </row>
    <row r="88" spans="1:9" ht="12" customHeight="1">
      <c r="A88" s="306" t="s">
        <v>7382</v>
      </c>
      <c r="B88" s="458"/>
      <c r="C88" s="714" t="s">
        <v>721</v>
      </c>
      <c r="D88" s="719"/>
      <c r="I88" s="401"/>
    </row>
    <row r="89" spans="1:9" ht="3" customHeight="1">
      <c r="G89" s="401"/>
      <c r="H89" s="401"/>
      <c r="I89" s="401"/>
    </row>
    <row r="90" spans="1:9" ht="12" customHeight="1">
      <c r="A90" s="306" t="s">
        <v>7383</v>
      </c>
      <c r="C90" s="450" t="s">
        <v>7384</v>
      </c>
      <c r="D90" s="445" t="s">
        <v>7292</v>
      </c>
      <c r="I90" s="401"/>
    </row>
    <row r="91" spans="1:9" ht="12" customHeight="1">
      <c r="C91" s="450" t="s">
        <v>7385</v>
      </c>
      <c r="D91" s="445" t="s">
        <v>671</v>
      </c>
      <c r="I91" s="401"/>
    </row>
    <row r="92" spans="1:9" ht="3" customHeight="1">
      <c r="G92" s="401"/>
      <c r="H92" s="401"/>
      <c r="I92" s="401"/>
    </row>
    <row r="93" spans="1:9" ht="12" customHeight="1">
      <c r="A93" s="306" t="s">
        <v>7386</v>
      </c>
      <c r="C93" s="450" t="s">
        <v>7370</v>
      </c>
      <c r="D93" s="401" t="s">
        <v>7387</v>
      </c>
      <c r="E93" s="450" t="str">
        <f>'Part II-Sources of Funds'!G24</f>
        <v>ServisFirst</v>
      </c>
      <c r="I93" s="401"/>
    </row>
    <row r="94" spans="1:9" ht="12" customHeight="1">
      <c r="C94" s="450"/>
      <c r="D94" s="401"/>
      <c r="E94" s="450" t="s">
        <v>36</v>
      </c>
      <c r="F94" s="4935"/>
      <c r="G94" s="4935"/>
      <c r="H94" s="4935"/>
      <c r="I94" s="401"/>
    </row>
    <row r="95" spans="1:9" ht="12" customHeight="1">
      <c r="C95" s="450"/>
      <c r="D95" s="401"/>
      <c r="E95" s="450" t="s">
        <v>7388</v>
      </c>
      <c r="F95" s="4946"/>
      <c r="G95" s="4946"/>
      <c r="H95" s="4946"/>
      <c r="I95" s="401"/>
    </row>
    <row r="96" spans="1:9" ht="12" customHeight="1">
      <c r="C96" s="450"/>
      <c r="D96" s="401"/>
      <c r="E96" s="450" t="s">
        <v>1853</v>
      </c>
      <c r="F96" s="4933"/>
      <c r="G96" s="4933"/>
      <c r="H96" s="4933"/>
      <c r="I96" s="401"/>
    </row>
    <row r="97" spans="1:10" ht="12" customHeight="1">
      <c r="B97" s="446"/>
      <c r="C97" s="452" t="s">
        <v>7371</v>
      </c>
      <c r="D97" s="401" t="s">
        <v>7387</v>
      </c>
      <c r="E97" s="450" t="str">
        <f>'Part II-Sources of Funds'!E42</f>
        <v>Seller Loan</v>
      </c>
      <c r="I97" s="401"/>
    </row>
    <row r="98" spans="1:10" ht="12" customHeight="1">
      <c r="C98" s="450"/>
      <c r="D98" s="401"/>
      <c r="E98" s="450" t="s">
        <v>36</v>
      </c>
      <c r="F98" s="4935"/>
      <c r="G98" s="4935"/>
      <c r="H98" s="4935"/>
      <c r="I98" s="401"/>
    </row>
    <row r="99" spans="1:10" ht="12" customHeight="1">
      <c r="C99" s="450"/>
      <c r="D99" s="401"/>
      <c r="E99" s="450" t="s">
        <v>7388</v>
      </c>
      <c r="F99" s="4946"/>
      <c r="G99" s="4946"/>
      <c r="H99" s="4946"/>
      <c r="I99" s="401"/>
    </row>
    <row r="100" spans="1:10" ht="12" customHeight="1">
      <c r="C100" s="450"/>
      <c r="D100" s="401"/>
      <c r="E100" s="450" t="s">
        <v>1853</v>
      </c>
      <c r="F100" s="4933"/>
      <c r="G100" s="4933"/>
      <c r="H100" s="4933"/>
      <c r="I100" s="401"/>
    </row>
    <row r="101" spans="1:10" ht="3" customHeight="1">
      <c r="D101" s="459"/>
      <c r="G101" s="401"/>
      <c r="H101" s="401"/>
      <c r="I101" s="401"/>
    </row>
    <row r="102" spans="1:10" ht="12" customHeight="1">
      <c r="A102" s="306" t="s">
        <v>7389</v>
      </c>
      <c r="D102" s="2633">
        <f>'Part VIII Scoring Criteria OLD'!O265</f>
        <v>0</v>
      </c>
      <c r="E102" s="401" t="s">
        <v>7390</v>
      </c>
      <c r="G102" s="306">
        <f>'Part VIII Scoring Criteria OLD'!O261</f>
        <v>0</v>
      </c>
      <c r="H102" s="306" t="s">
        <v>7391</v>
      </c>
      <c r="I102" s="401"/>
    </row>
    <row r="103" spans="1:10" ht="3" customHeight="1">
      <c r="E103" s="401"/>
      <c r="F103" s="401"/>
      <c r="I103" s="401"/>
    </row>
    <row r="104" spans="1:10" ht="12" customHeight="1">
      <c r="A104" s="401" t="s">
        <v>7392</v>
      </c>
      <c r="D104" s="306" t="s">
        <v>671</v>
      </c>
      <c r="E104" s="401"/>
      <c r="I104" s="401"/>
    </row>
    <row r="105" spans="1:10" ht="6" customHeight="1">
      <c r="G105" s="401"/>
      <c r="H105" s="401"/>
      <c r="I105" s="401"/>
    </row>
    <row r="106" spans="1:10" ht="12" customHeight="1">
      <c r="A106" s="444" t="s">
        <v>7393</v>
      </c>
      <c r="I106" s="401"/>
    </row>
    <row r="107" spans="1:10" ht="12" customHeight="1">
      <c r="A107" s="306" t="s">
        <v>7394</v>
      </c>
      <c r="C107" s="718" t="s">
        <v>721</v>
      </c>
      <c r="D107" s="4947"/>
      <c r="E107" s="4947"/>
      <c r="F107" s="4947"/>
      <c r="G107" s="4947"/>
      <c r="H107" s="4947"/>
      <c r="I107" s="4947"/>
      <c r="J107" s="4948"/>
    </row>
    <row r="108" spans="1:10" ht="3" customHeight="1">
      <c r="C108" s="450"/>
      <c r="D108" s="401"/>
      <c r="I108" s="401"/>
    </row>
    <row r="109" spans="1:10" ht="12" customHeight="1">
      <c r="A109" s="306" t="s">
        <v>7395</v>
      </c>
      <c r="C109" s="2633" t="s">
        <v>721</v>
      </c>
    </row>
    <row r="110" spans="1:10" ht="3" customHeight="1">
      <c r="C110" s="450"/>
      <c r="E110" s="401"/>
      <c r="F110" s="401"/>
      <c r="I110" s="401"/>
    </row>
    <row r="111" spans="1:10" ht="12" customHeight="1">
      <c r="A111" s="306" t="s">
        <v>7396</v>
      </c>
      <c r="C111" s="2633" t="s">
        <v>721</v>
      </c>
      <c r="I111" s="401"/>
    </row>
    <row r="112" spans="1:10" ht="3" customHeight="1">
      <c r="D112" s="2632"/>
      <c r="I112" s="401"/>
    </row>
    <row r="113" spans="1:10" ht="12" customHeight="1">
      <c r="A113" s="306" t="s">
        <v>7397</v>
      </c>
      <c r="D113" s="454">
        <v>24</v>
      </c>
      <c r="E113" s="401" t="s">
        <v>7398</v>
      </c>
      <c r="I113" s="401"/>
    </row>
    <row r="114" spans="1:10" ht="12" customHeight="1">
      <c r="C114" s="445" t="s">
        <v>7399</v>
      </c>
      <c r="I114" s="401"/>
    </row>
    <row r="115" spans="1:10" ht="12" customHeight="1">
      <c r="C115" s="445" t="s">
        <v>7400</v>
      </c>
      <c r="G115" s="401"/>
      <c r="I115" s="401"/>
    </row>
    <row r="116" spans="1:10" ht="3" customHeight="1">
      <c r="G116" s="401"/>
      <c r="H116" s="401"/>
      <c r="I116" s="401"/>
    </row>
    <row r="117" spans="1:10" ht="12" customHeight="1">
      <c r="A117" s="306" t="s">
        <v>7401</v>
      </c>
      <c r="D117" s="460">
        <v>0</v>
      </c>
      <c r="E117" s="461" t="s">
        <v>7402</v>
      </c>
      <c r="I117" s="401"/>
    </row>
    <row r="118" spans="1:10" ht="3" customHeight="1">
      <c r="D118" s="450"/>
      <c r="E118" s="401"/>
      <c r="F118" s="401"/>
      <c r="I118" s="401"/>
    </row>
    <row r="119" spans="1:10" ht="12" customHeight="1">
      <c r="A119" s="306" t="s">
        <v>7403</v>
      </c>
      <c r="C119" s="714" t="s">
        <v>721</v>
      </c>
      <c r="D119" s="450"/>
      <c r="I119" s="401"/>
    </row>
    <row r="120" spans="1:10" ht="12" customHeight="1">
      <c r="C120" s="401" t="s">
        <v>7404</v>
      </c>
      <c r="D120" s="453"/>
      <c r="E120" s="4938" t="s">
        <v>7405</v>
      </c>
      <c r="F120" s="4938"/>
      <c r="G120" s="4938"/>
      <c r="H120" s="4938"/>
      <c r="I120" s="4938"/>
      <c r="J120" s="4938"/>
    </row>
    <row r="121" spans="1:10" ht="12" customHeight="1">
      <c r="C121" s="401" t="s">
        <v>7406</v>
      </c>
      <c r="D121" s="3001"/>
      <c r="E121" s="4938"/>
      <c r="F121" s="4938"/>
      <c r="G121" s="4938"/>
      <c r="H121" s="4938"/>
      <c r="I121" s="4938"/>
      <c r="J121" s="4938"/>
    </row>
    <row r="122" spans="1:10" ht="12" customHeight="1">
      <c r="C122" s="401" t="s">
        <v>7407</v>
      </c>
      <c r="D122" s="3001"/>
      <c r="E122" s="4938"/>
      <c r="F122" s="4938"/>
      <c r="G122" s="4938"/>
      <c r="H122" s="4938"/>
      <c r="I122" s="4938"/>
      <c r="J122" s="4938"/>
    </row>
    <row r="123" spans="1:10" ht="12" customHeight="1">
      <c r="C123" s="401" t="s">
        <v>7407</v>
      </c>
      <c r="D123" s="3001"/>
      <c r="E123" s="4938"/>
      <c r="F123" s="4938"/>
      <c r="G123" s="4938"/>
      <c r="H123" s="4938"/>
      <c r="I123" s="4938"/>
      <c r="J123" s="4938"/>
    </row>
    <row r="124" spans="1:10" ht="3" customHeight="1">
      <c r="E124" s="401"/>
      <c r="F124" s="401"/>
      <c r="I124" s="401"/>
    </row>
    <row r="125" spans="1:10" ht="12" customHeight="1">
      <c r="A125" s="306" t="s">
        <v>7408</v>
      </c>
      <c r="D125" s="455" t="s">
        <v>7390</v>
      </c>
      <c r="I125" s="401"/>
    </row>
    <row r="126" spans="1:10" ht="3" customHeight="1">
      <c r="D126" s="401"/>
      <c r="I126" s="401"/>
    </row>
    <row r="127" spans="1:10" ht="12" customHeight="1">
      <c r="A127" s="306" t="s">
        <v>7409</v>
      </c>
      <c r="D127" s="401" t="s">
        <v>7390</v>
      </c>
      <c r="I127" s="401"/>
    </row>
    <row r="128" spans="1:10" ht="3" customHeight="1">
      <c r="G128" s="401"/>
      <c r="H128" s="401"/>
      <c r="I128" s="401"/>
    </row>
    <row r="129" spans="1:10" ht="12" customHeight="1">
      <c r="A129" s="306" t="s">
        <v>7410</v>
      </c>
      <c r="D129" s="401" t="s">
        <v>7411</v>
      </c>
      <c r="G129" s="401"/>
      <c r="I129" s="401"/>
    </row>
    <row r="130" spans="1:10" ht="7.5" customHeight="1">
      <c r="G130" s="401"/>
      <c r="H130" s="401"/>
      <c r="I130" s="401"/>
    </row>
    <row r="131" spans="1:10" ht="12" customHeight="1">
      <c r="A131" s="444" t="s">
        <v>7412</v>
      </c>
      <c r="G131" s="401"/>
      <c r="H131" s="401"/>
      <c r="I131" s="401"/>
    </row>
    <row r="132" spans="1:10" ht="12" customHeight="1">
      <c r="A132" s="306" t="s">
        <v>7413</v>
      </c>
      <c r="C132" s="445">
        <f>'Sensitivity Analysis'!H11</f>
        <v>0</v>
      </c>
      <c r="D132" s="445">
        <f>'Sensitivity Analysis'!K11</f>
        <v>0</v>
      </c>
      <c r="G132" s="445">
        <f>'Sensitivity Analysis'!M11</f>
        <v>0</v>
      </c>
      <c r="I132" s="401"/>
    </row>
    <row r="133" spans="1:10" ht="12" customHeight="1">
      <c r="G133" s="401"/>
      <c r="I133" s="401"/>
    </row>
    <row r="134" spans="1:10" ht="3" customHeight="1">
      <c r="C134" s="401"/>
      <c r="G134" s="401"/>
      <c r="I134" s="401"/>
    </row>
    <row r="135" spans="1:10" ht="12" customHeight="1">
      <c r="A135" s="306" t="s">
        <v>7414</v>
      </c>
      <c r="C135" s="462">
        <f>('Part III-A-Uses of Funds'!G127-'Part II-Sources of Funds'!I47)/2</f>
        <v>1065797.2</v>
      </c>
      <c r="G135" s="401"/>
      <c r="I135" s="401"/>
    </row>
    <row r="136" spans="1:10" ht="3" customHeight="1">
      <c r="C136" s="401"/>
      <c r="G136" s="401"/>
      <c r="I136" s="401"/>
    </row>
    <row r="137" spans="1:10" ht="12" customHeight="1">
      <c r="A137" s="306" t="s">
        <v>7415</v>
      </c>
      <c r="C137" s="2633" t="s">
        <v>4692</v>
      </c>
      <c r="G137" s="401"/>
      <c r="I137" s="401"/>
    </row>
    <row r="138" spans="1:10" ht="3" customHeight="1">
      <c r="C138" s="445"/>
      <c r="G138" s="401"/>
      <c r="I138" s="401"/>
    </row>
    <row r="139" spans="1:10" ht="12" customHeight="1">
      <c r="A139" s="306" t="s">
        <v>7416</v>
      </c>
      <c r="C139" s="445">
        <f>'Preview Term'!E20</f>
        <v>0</v>
      </c>
      <c r="G139" s="401"/>
      <c r="I139" s="401"/>
      <c r="J139" s="463"/>
    </row>
    <row r="140" spans="1:10" ht="3" customHeight="1">
      <c r="C140" s="445"/>
      <c r="G140" s="401"/>
      <c r="I140" s="401"/>
    </row>
    <row r="141" spans="1:10" ht="12" customHeight="1">
      <c r="A141" s="306" t="s">
        <v>7417</v>
      </c>
      <c r="C141" s="445">
        <f>C8</f>
        <v>0</v>
      </c>
      <c r="G141" s="401"/>
      <c r="I141" s="401"/>
    </row>
    <row r="142" spans="1:10" ht="3" customHeight="1">
      <c r="C142" s="445"/>
      <c r="G142" s="401"/>
      <c r="I142" s="401"/>
    </row>
    <row r="143" spans="1:10" ht="12" customHeight="1">
      <c r="A143" s="306" t="s">
        <v>7418</v>
      </c>
      <c r="C143" s="445">
        <f>C18</f>
        <v>0</v>
      </c>
      <c r="G143" s="401"/>
      <c r="I143" s="401"/>
    </row>
    <row r="144" spans="1:10">
      <c r="C144" s="445">
        <f>C19</f>
        <v>0</v>
      </c>
      <c r="G144" s="401"/>
      <c r="I144" s="401"/>
    </row>
    <row r="145" spans="1:10" ht="3" customHeight="1">
      <c r="C145" s="401"/>
      <c r="G145" s="401"/>
      <c r="I145" s="401"/>
    </row>
    <row r="146" spans="1:10" ht="12" customHeight="1">
      <c r="A146" s="306" t="s">
        <v>7419</v>
      </c>
      <c r="C146" s="445">
        <f>'Sensitivity Analysis'!H10</f>
        <v>0</v>
      </c>
      <c r="G146" s="401"/>
      <c r="I146" s="401"/>
      <c r="J146" s="463"/>
    </row>
    <row r="147" spans="1:10" ht="3" customHeight="1">
      <c r="C147" s="445"/>
      <c r="G147" s="401"/>
      <c r="I147" s="401"/>
    </row>
    <row r="148" spans="1:10" ht="12" customHeight="1">
      <c r="A148" s="306" t="s">
        <v>7420</v>
      </c>
      <c r="C148" s="445">
        <f>'Sensitivity Analysis'!K10</f>
        <v>0</v>
      </c>
      <c r="G148" s="401"/>
      <c r="I148" s="401"/>
      <c r="J148" s="463"/>
    </row>
    <row r="149" spans="1:10" ht="3" customHeight="1">
      <c r="C149" s="401"/>
      <c r="G149" s="401"/>
      <c r="I149" s="401"/>
    </row>
    <row r="150" spans="1:10" ht="12" customHeight="1">
      <c r="A150" s="306" t="s">
        <v>7421</v>
      </c>
      <c r="C150" s="401" t="s">
        <v>7390</v>
      </c>
      <c r="G150" s="401"/>
      <c r="I150" s="401"/>
    </row>
    <row r="151" spans="1:10" ht="3" customHeight="1">
      <c r="C151" s="401"/>
      <c r="G151" s="401"/>
      <c r="I151" s="401"/>
    </row>
    <row r="152" spans="1:10" ht="12" customHeight="1">
      <c r="A152" s="306" t="s">
        <v>7422</v>
      </c>
      <c r="C152" s="401" t="s">
        <v>7390</v>
      </c>
      <c r="G152" s="401"/>
      <c r="I152" s="401"/>
    </row>
    <row r="153" spans="1:10" ht="7.5" customHeight="1">
      <c r="G153" s="401"/>
      <c r="H153" s="401"/>
      <c r="I153" s="401"/>
    </row>
    <row r="154" spans="1:10" ht="12" customHeight="1">
      <c r="A154" s="444" t="s">
        <v>7423</v>
      </c>
      <c r="G154" s="401"/>
      <c r="H154" s="401"/>
      <c r="I154" s="401"/>
    </row>
    <row r="155" spans="1:10" ht="3" customHeight="1">
      <c r="D155" s="401"/>
      <c r="E155" s="401"/>
      <c r="G155" s="401"/>
    </row>
    <row r="156" spans="1:10" ht="12" customHeight="1">
      <c r="A156" s="306" t="s">
        <v>7424</v>
      </c>
      <c r="C156" s="401" t="s">
        <v>7425</v>
      </c>
      <c r="D156" s="401"/>
      <c r="G156" s="401"/>
      <c r="H156" s="401"/>
      <c r="I156" s="401"/>
    </row>
    <row r="157" spans="1:10" ht="3" customHeight="1">
      <c r="D157" s="401"/>
      <c r="E157" s="401"/>
      <c r="G157" s="401"/>
    </row>
    <row r="158" spans="1:10" ht="12" customHeight="1">
      <c r="A158" s="306" t="s">
        <v>7426</v>
      </c>
      <c r="D158" s="2633">
        <v>20</v>
      </c>
      <c r="E158" s="401" t="s">
        <v>4670</v>
      </c>
    </row>
    <row r="159" spans="1:10" ht="3" customHeight="1">
      <c r="D159" s="401"/>
      <c r="E159" s="401"/>
      <c r="G159" s="401"/>
    </row>
    <row r="160" spans="1:10" ht="12" customHeight="1">
      <c r="A160" s="306" t="s">
        <v>7427</v>
      </c>
      <c r="C160" s="714" t="str">
        <f>'Part V-Revenues &amp; Expenses'!$G$6</f>
        <v>Fixed</v>
      </c>
      <c r="D160" s="401" t="s">
        <v>7428</v>
      </c>
      <c r="G160" s="401"/>
    </row>
    <row r="161" spans="1:9" ht="3" customHeight="1">
      <c r="G161" s="401"/>
      <c r="H161" s="401"/>
      <c r="I161" s="401"/>
    </row>
    <row r="162" spans="1:9" ht="12" customHeight="1">
      <c r="A162" s="306" t="s">
        <v>7429</v>
      </c>
      <c r="G162" s="401"/>
      <c r="H162" s="401"/>
      <c r="I162" s="401"/>
    </row>
    <row r="163" spans="1:9" ht="7.5" customHeight="1">
      <c r="G163" s="401"/>
      <c r="H163" s="401"/>
      <c r="I163" s="401"/>
    </row>
    <row r="164" spans="1:9" ht="12" customHeight="1">
      <c r="A164" s="444" t="s">
        <v>7430</v>
      </c>
      <c r="G164" s="401"/>
      <c r="H164" s="401"/>
      <c r="I164" s="401"/>
    </row>
    <row r="165" spans="1:9" ht="12" customHeight="1">
      <c r="A165" s="306" t="s">
        <v>7431</v>
      </c>
      <c r="C165" s="306" t="s">
        <v>7432</v>
      </c>
      <c r="E165" s="456">
        <f>'Preview Term'!F80</f>
        <v>0</v>
      </c>
      <c r="G165" s="401"/>
      <c r="I165" s="401"/>
    </row>
    <row r="166" spans="1:9" ht="12" customHeight="1">
      <c r="C166" s="306" t="s">
        <v>7433</v>
      </c>
      <c r="E166" s="4939"/>
      <c r="F166" s="4939"/>
      <c r="G166" s="4939"/>
      <c r="I166" s="401"/>
    </row>
    <row r="167" spans="1:9" ht="3" customHeight="1">
      <c r="E167" s="401"/>
      <c r="G167" s="401"/>
      <c r="I167" s="401"/>
    </row>
    <row r="168" spans="1:9" ht="12" customHeight="1">
      <c r="A168" s="306" t="s">
        <v>7434</v>
      </c>
      <c r="C168" s="306" t="s">
        <v>7435</v>
      </c>
      <c r="E168" s="462">
        <f>'Preview Term'!F74</f>
        <v>347568.17929746775</v>
      </c>
      <c r="G168" s="401"/>
      <c r="I168" s="401"/>
    </row>
    <row r="169" spans="1:9" ht="12" customHeight="1">
      <c r="C169" s="306" t="s">
        <v>7433</v>
      </c>
      <c r="E169" s="4939"/>
      <c r="F169" s="4939"/>
      <c r="G169" s="4939"/>
      <c r="I169" s="401"/>
    </row>
    <row r="170" spans="1:9" ht="12" customHeight="1">
      <c r="C170" s="306" t="s">
        <v>7436</v>
      </c>
      <c r="E170" s="445" t="s">
        <v>2103</v>
      </c>
      <c r="G170" s="401"/>
      <c r="I170" s="401"/>
    </row>
    <row r="171" spans="1:9" ht="3" customHeight="1">
      <c r="E171" s="445"/>
      <c r="G171" s="401"/>
      <c r="I171" s="401"/>
    </row>
    <row r="172" spans="1:9" ht="12" customHeight="1">
      <c r="A172" s="306" t="s">
        <v>7437</v>
      </c>
      <c r="C172" s="306" t="s">
        <v>7438</v>
      </c>
      <c r="E172" s="462">
        <f>'Preview Term'!F76</f>
        <v>0</v>
      </c>
      <c r="G172" s="401"/>
      <c r="I172" s="401"/>
    </row>
    <row r="173" spans="1:9" ht="12" customHeight="1">
      <c r="C173" s="306" t="s">
        <v>7439</v>
      </c>
      <c r="E173" s="462">
        <f>'Preview Term'!F76</f>
        <v>0</v>
      </c>
      <c r="G173" s="401"/>
      <c r="I173" s="401"/>
    </row>
    <row r="174" spans="1:9" ht="12" customHeight="1">
      <c r="C174" s="306" t="s">
        <v>7440</v>
      </c>
      <c r="E174" s="462">
        <f>'Part V-Revenues &amp; Expenses'!Q256</f>
        <v>38400</v>
      </c>
      <c r="F174" s="401" t="s">
        <v>7441</v>
      </c>
    </row>
    <row r="175" spans="1:9">
      <c r="E175" s="462">
        <f>E174/12</f>
        <v>3200</v>
      </c>
      <c r="F175" s="401" t="s">
        <v>7263</v>
      </c>
    </row>
    <row r="176" spans="1:9" ht="12" customHeight="1">
      <c r="C176" s="306" t="s">
        <v>7442</v>
      </c>
      <c r="E176" s="4939"/>
      <c r="F176" s="4939"/>
      <c r="G176" s="4939"/>
      <c r="I176" s="401"/>
    </row>
    <row r="177" spans="1:10" ht="12" customHeight="1">
      <c r="C177" s="306" t="s">
        <v>7443</v>
      </c>
      <c r="E177" s="401" t="s">
        <v>7444</v>
      </c>
      <c r="I177" s="401"/>
    </row>
    <row r="178" spans="1:10" ht="12" customHeight="1">
      <c r="C178" s="306" t="s">
        <v>7445</v>
      </c>
      <c r="E178" s="401" t="s">
        <v>2103</v>
      </c>
      <c r="I178" s="401"/>
    </row>
    <row r="179" spans="1:10" ht="3" customHeight="1">
      <c r="E179" s="401"/>
      <c r="F179" s="401"/>
      <c r="I179" s="401"/>
    </row>
    <row r="180" spans="1:10" ht="12" customHeight="1">
      <c r="A180" s="306" t="s">
        <v>7446</v>
      </c>
      <c r="C180" s="306" t="s">
        <v>7447</v>
      </c>
      <c r="E180" s="456" t="s">
        <v>721</v>
      </c>
      <c r="I180" s="401"/>
    </row>
    <row r="181" spans="1:10" ht="12" customHeight="1">
      <c r="C181" s="306" t="s">
        <v>7448</v>
      </c>
      <c r="E181" s="456" t="s">
        <v>721</v>
      </c>
      <c r="F181" s="4939"/>
      <c r="G181" s="4939"/>
      <c r="H181" s="4939"/>
      <c r="I181" s="4939"/>
      <c r="J181" s="4939"/>
    </row>
    <row r="182" spans="1:10" ht="12" customHeight="1">
      <c r="C182" s="306" t="s">
        <v>7449</v>
      </c>
      <c r="E182" s="401" t="s">
        <v>7390</v>
      </c>
      <c r="I182" s="401"/>
    </row>
    <row r="183" spans="1:10" ht="12" customHeight="1">
      <c r="C183" s="306" t="s">
        <v>7450</v>
      </c>
      <c r="E183" s="401" t="s">
        <v>2103</v>
      </c>
      <c r="I183" s="401"/>
    </row>
    <row r="184" spans="1:10" ht="3" customHeight="1">
      <c r="G184" s="401"/>
      <c r="H184" s="401"/>
      <c r="I184" s="401"/>
    </row>
    <row r="185" spans="1:10" ht="12" customHeight="1">
      <c r="A185" s="306" t="s">
        <v>7451</v>
      </c>
      <c r="C185" s="306" t="s">
        <v>7452</v>
      </c>
      <c r="E185" s="462">
        <f>'Preview Term'!F78</f>
        <v>118321</v>
      </c>
      <c r="G185" s="401"/>
      <c r="I185" s="401"/>
    </row>
    <row r="186" spans="1:10" ht="12" customHeight="1">
      <c r="C186" s="306" t="s">
        <v>7433</v>
      </c>
      <c r="E186" s="445">
        <f>E169</f>
        <v>0</v>
      </c>
      <c r="G186" s="401"/>
      <c r="I186" s="401"/>
    </row>
    <row r="187" spans="1:10" ht="12" customHeight="1">
      <c r="C187" s="306" t="s">
        <v>7453</v>
      </c>
      <c r="E187" s="445" t="s">
        <v>7390</v>
      </c>
      <c r="G187" s="401"/>
      <c r="I187" s="401"/>
    </row>
    <row r="188" spans="1:10" ht="3" customHeight="1">
      <c r="E188" s="445"/>
      <c r="G188" s="401"/>
      <c r="I188" s="401"/>
    </row>
    <row r="189" spans="1:10" ht="12" customHeight="1">
      <c r="A189" s="306" t="s">
        <v>7454</v>
      </c>
      <c r="C189" s="306" t="s">
        <v>7455</v>
      </c>
      <c r="E189" s="445" t="s">
        <v>7390</v>
      </c>
      <c r="G189" s="401"/>
      <c r="I189" s="401"/>
    </row>
    <row r="190" spans="1:10" ht="12" customHeight="1">
      <c r="C190" s="306" t="s">
        <v>7435</v>
      </c>
      <c r="E190" s="450"/>
      <c r="G190" s="401"/>
      <c r="H190" s="455"/>
      <c r="I190" s="401"/>
    </row>
    <row r="191" spans="1:10" ht="12" customHeight="1">
      <c r="C191" s="306" t="s">
        <v>7433</v>
      </c>
      <c r="E191" s="450"/>
      <c r="I191" s="445"/>
    </row>
    <row r="192" spans="1:10" ht="12" customHeight="1">
      <c r="C192" s="306" t="s">
        <v>7436</v>
      </c>
      <c r="E192" s="450"/>
      <c r="G192" s="401"/>
      <c r="H192" s="401"/>
      <c r="I192" s="401"/>
    </row>
    <row r="193" spans="1:10" ht="9" customHeight="1">
      <c r="G193" s="401"/>
      <c r="H193" s="401"/>
      <c r="I193" s="401"/>
    </row>
    <row r="194" spans="1:10" ht="12" customHeight="1">
      <c r="A194" s="444" t="s">
        <v>7456</v>
      </c>
      <c r="C194" s="401" t="s">
        <v>7457</v>
      </c>
      <c r="E194" s="401"/>
      <c r="I194" s="401"/>
    </row>
    <row r="195" spans="1:10" ht="9" customHeight="1">
      <c r="E195" s="401"/>
      <c r="F195" s="401"/>
      <c r="I195" s="401"/>
    </row>
    <row r="196" spans="1:10" ht="12" customHeight="1">
      <c r="A196" s="444" t="s">
        <v>7458</v>
      </c>
      <c r="E196" s="401"/>
      <c r="F196" s="401"/>
      <c r="I196" s="401"/>
    </row>
    <row r="197" spans="1:10" ht="12" customHeight="1">
      <c r="A197" s="306" t="s">
        <v>7459</v>
      </c>
      <c r="C197" s="710" t="s">
        <v>721</v>
      </c>
      <c r="E197" s="401"/>
      <c r="F197" s="401"/>
      <c r="I197" s="401"/>
    </row>
    <row r="198" spans="1:10" ht="3" customHeight="1">
      <c r="G198" s="401"/>
      <c r="H198" s="401"/>
      <c r="I198" s="401"/>
    </row>
    <row r="199" spans="1:10">
      <c r="A199" s="447" t="s">
        <v>7460</v>
      </c>
      <c r="B199" s="447"/>
      <c r="C199" s="447"/>
      <c r="D199" s="447"/>
      <c r="E199" s="449" t="s">
        <v>7461</v>
      </c>
      <c r="F199" s="4937">
        <f>'Part VII-Threshold Criteria OLD'!E372</f>
        <v>0</v>
      </c>
      <c r="G199" s="4937"/>
      <c r="H199" s="4937"/>
      <c r="I199" s="4937"/>
      <c r="J199" s="4937"/>
    </row>
    <row r="200" spans="1:10" ht="9" customHeight="1">
      <c r="G200" s="401"/>
      <c r="H200" s="401"/>
      <c r="I200" s="401"/>
    </row>
    <row r="201" spans="1:10" ht="12" customHeight="1">
      <c r="A201" s="464" t="s">
        <v>7462</v>
      </c>
      <c r="G201" s="401"/>
      <c r="H201" s="401"/>
      <c r="I201" s="455"/>
    </row>
    <row r="202" spans="1:10" ht="25.5" hidden="1" customHeight="1">
      <c r="A202" s="4942" t="str">
        <f>'Subsidy Layering Memo'!A105</f>
        <v>Include any reserve requirements; explain any reserves far in excess of 6 month ODR, 3 mo lease up, 1 year RR, 6 mo T&amp;I standards.</v>
      </c>
      <c r="B202" s="4942"/>
      <c r="C202" s="4942"/>
      <c r="D202" s="4942"/>
      <c r="E202" s="4942"/>
      <c r="F202" s="4942"/>
      <c r="G202" s="4942"/>
      <c r="H202" s="4942"/>
      <c r="I202" s="4942"/>
      <c r="J202" s="4942"/>
    </row>
    <row r="203" spans="1:10">
      <c r="A203" s="401"/>
      <c r="G203" s="401"/>
      <c r="H203" s="401"/>
      <c r="I203" s="401"/>
    </row>
    <row r="204" spans="1:10" s="366" customFormat="1" ht="13.8">
      <c r="A204" s="2512" t="s">
        <v>7045</v>
      </c>
    </row>
    <row r="205" spans="1:10" s="366" customFormat="1" ht="14.25" customHeight="1">
      <c r="A205" s="4900"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05" s="4900"/>
      <c r="C205" s="4900"/>
      <c r="D205" s="4900"/>
      <c r="E205" s="4900"/>
      <c r="F205" s="4900"/>
      <c r="G205" s="4900"/>
      <c r="H205" s="4900"/>
      <c r="I205" s="4900"/>
      <c r="J205" s="4900"/>
    </row>
    <row r="206" spans="1:10" s="366" customFormat="1" ht="14.25" customHeight="1">
      <c r="A206" s="4900"/>
      <c r="B206" s="4900"/>
      <c r="C206" s="4900"/>
      <c r="D206" s="4900"/>
      <c r="E206" s="4900"/>
      <c r="F206" s="4900"/>
      <c r="G206" s="4900"/>
      <c r="H206" s="4900"/>
      <c r="I206" s="4900"/>
      <c r="J206" s="4900"/>
    </row>
    <row r="207" spans="1:10" s="366" customFormat="1" ht="6.75" customHeight="1">
      <c r="A207" s="4900"/>
      <c r="B207" s="4900"/>
      <c r="C207" s="4900"/>
      <c r="D207" s="4900"/>
      <c r="E207" s="4900"/>
      <c r="F207" s="4900"/>
      <c r="G207" s="4900"/>
      <c r="H207" s="4900"/>
      <c r="I207" s="4900"/>
      <c r="J207" s="4900"/>
    </row>
    <row r="208" spans="1:10" s="366" customFormat="1" ht="21.75" customHeight="1">
      <c r="A208" s="4900"/>
      <c r="B208" s="4900"/>
      <c r="C208" s="4900"/>
      <c r="D208" s="4900"/>
      <c r="E208" s="4900"/>
      <c r="F208" s="4900"/>
      <c r="G208" s="4900"/>
      <c r="H208" s="4900"/>
      <c r="I208" s="4900"/>
      <c r="J208" s="4900"/>
    </row>
    <row r="209" spans="1:10" s="366" customFormat="1" ht="20.25" customHeight="1">
      <c r="A209" s="4900"/>
      <c r="B209" s="4900"/>
      <c r="C209" s="4900"/>
      <c r="D209" s="4900"/>
      <c r="E209" s="4900"/>
      <c r="F209" s="4900"/>
      <c r="G209" s="4900"/>
      <c r="H209" s="4900"/>
      <c r="I209" s="4900"/>
      <c r="J209" s="4900"/>
    </row>
    <row r="210" spans="1:10" s="366" customFormat="1" ht="54.75" customHeight="1">
      <c r="A210" s="4900"/>
      <c r="B210" s="4900"/>
      <c r="C210" s="4900"/>
      <c r="D210" s="4900"/>
      <c r="E210" s="4900"/>
      <c r="F210" s="4900"/>
      <c r="G210" s="4900"/>
      <c r="H210" s="4900"/>
      <c r="I210" s="4900"/>
      <c r="J210" s="4900"/>
    </row>
    <row r="211" spans="1:10" s="366" customFormat="1" ht="0.75" hidden="1" customHeight="1">
      <c r="A211" s="4900"/>
      <c r="B211" s="4900"/>
      <c r="C211" s="4900"/>
      <c r="D211" s="4900"/>
      <c r="E211" s="4900"/>
      <c r="F211" s="4900"/>
      <c r="G211" s="4900"/>
      <c r="H211" s="4900"/>
      <c r="I211" s="4900"/>
      <c r="J211" s="4900"/>
    </row>
    <row r="212" spans="1:10" s="366" customFormat="1" ht="3.75" hidden="1" customHeight="1">
      <c r="A212" s="4900"/>
      <c r="B212" s="4900"/>
      <c r="C212" s="4900"/>
      <c r="D212" s="4900"/>
      <c r="E212" s="4900"/>
      <c r="F212" s="4900"/>
      <c r="G212" s="4900"/>
      <c r="H212" s="4900"/>
      <c r="I212" s="4900"/>
      <c r="J212" s="4900"/>
    </row>
    <row r="213" spans="1:10" s="366" customFormat="1" ht="5.25" customHeight="1">
      <c r="A213" s="862"/>
      <c r="B213" s="862"/>
      <c r="C213" s="862"/>
      <c r="D213" s="862"/>
      <c r="E213" s="862"/>
      <c r="F213" s="862"/>
      <c r="G213" s="862"/>
      <c r="H213" s="862"/>
      <c r="I213" s="862"/>
      <c r="J213" s="862"/>
    </row>
    <row r="214" spans="1:10" s="366" customFormat="1" ht="19.5" customHeight="1">
      <c r="A214" s="4899" t="s">
        <v>7047</v>
      </c>
      <c r="B214" s="4899"/>
      <c r="C214" s="4899"/>
      <c r="D214" s="2621"/>
      <c r="E214" s="2621"/>
      <c r="F214" s="2621"/>
      <c r="G214" s="2621"/>
      <c r="H214" s="2621"/>
      <c r="I214" s="2621"/>
      <c r="J214" s="2621"/>
    </row>
    <row r="215" spans="1:10" s="366" customFormat="1" ht="22.5" customHeight="1">
      <c r="A215" s="4896" t="str">
        <f>'Subsidy Layering Memo'!A37</f>
        <v>1)</v>
      </c>
      <c r="B215" s="4896"/>
      <c r="C215" s="4896"/>
      <c r="D215" s="4896"/>
      <c r="E215" s="4896"/>
      <c r="F215" s="4896"/>
      <c r="G215" s="4896"/>
      <c r="H215" s="4896"/>
      <c r="I215" s="4896"/>
      <c r="J215" s="4896"/>
    </row>
    <row r="216" spans="1:10" s="366" customFormat="1" ht="22.5" customHeight="1">
      <c r="A216" s="4896" t="str">
        <f>'Subsidy Layering Memo'!A38</f>
        <v>2)</v>
      </c>
      <c r="B216" s="4896"/>
      <c r="C216" s="4896"/>
      <c r="D216" s="4896"/>
      <c r="E216" s="4896"/>
      <c r="F216" s="4896"/>
      <c r="G216" s="4896"/>
      <c r="H216" s="4896"/>
      <c r="I216" s="4896"/>
      <c r="J216" s="4896"/>
    </row>
    <row r="217" spans="1:10" s="366" customFormat="1" ht="22.5" customHeight="1">
      <c r="A217" s="4896" t="str">
        <f>'Subsidy Layering Memo'!A39</f>
        <v>3)</v>
      </c>
      <c r="B217" s="4896"/>
      <c r="C217" s="4896"/>
      <c r="D217" s="4896"/>
      <c r="E217" s="4896"/>
      <c r="F217" s="4896"/>
      <c r="G217" s="4896"/>
      <c r="H217" s="4896"/>
      <c r="I217" s="4896"/>
      <c r="J217" s="4896"/>
    </row>
    <row r="218" spans="1:10" s="366" customFormat="1" ht="22.5" customHeight="1">
      <c r="A218" s="4896" t="str">
        <f>'Subsidy Layering Memo'!A40</f>
        <v>4)</v>
      </c>
      <c r="B218" s="4896"/>
      <c r="C218" s="4896"/>
      <c r="D218" s="4896"/>
      <c r="E218" s="4896"/>
      <c r="F218" s="4896"/>
      <c r="G218" s="4896"/>
      <c r="H218" s="4896"/>
      <c r="I218" s="4896"/>
      <c r="J218" s="4896"/>
    </row>
    <row r="219" spans="1:10" s="366" customFormat="1" ht="22.5" customHeight="1">
      <c r="A219" s="4896" t="str">
        <f>'Subsidy Layering Memo'!A41</f>
        <v>5)</v>
      </c>
      <c r="B219" s="4896"/>
      <c r="C219" s="4896"/>
      <c r="D219" s="4896"/>
      <c r="E219" s="4896"/>
      <c r="F219" s="4896"/>
      <c r="G219" s="4896"/>
      <c r="H219" s="4896"/>
      <c r="I219" s="4896"/>
      <c r="J219" s="4896"/>
    </row>
    <row r="220" spans="1:10" s="366" customFormat="1" ht="22.5" customHeight="1">
      <c r="A220" s="4896" t="str">
        <f>'Subsidy Layering Memo'!A42</f>
        <v>6)</v>
      </c>
      <c r="B220" s="4896"/>
      <c r="C220" s="4896"/>
      <c r="D220" s="4896"/>
      <c r="E220" s="4896"/>
      <c r="F220" s="4896"/>
      <c r="G220" s="4896"/>
      <c r="H220" s="4896"/>
      <c r="I220" s="4896"/>
      <c r="J220" s="4896"/>
    </row>
    <row r="221" spans="1:10" s="366" customFormat="1" ht="22.5" customHeight="1">
      <c r="A221" s="4896" t="str">
        <f>'Subsidy Layering Memo'!A43</f>
        <v>7)</v>
      </c>
      <c r="B221" s="4896"/>
      <c r="C221" s="4896"/>
      <c r="D221" s="4896"/>
      <c r="E221" s="4896"/>
      <c r="F221" s="4896"/>
      <c r="G221" s="4896"/>
      <c r="H221" s="4896"/>
      <c r="I221" s="4896"/>
      <c r="J221" s="4896"/>
    </row>
    <row r="222" spans="1:10" s="366" customFormat="1" ht="22.5" customHeight="1">
      <c r="A222" s="4896" t="str">
        <f>'Subsidy Layering Memo'!A44</f>
        <v>8)</v>
      </c>
      <c r="B222" s="4896"/>
      <c r="C222" s="4896"/>
      <c r="D222" s="4896"/>
      <c r="E222" s="4896"/>
      <c r="F222" s="4896"/>
      <c r="G222" s="4896"/>
      <c r="H222" s="4896"/>
      <c r="I222" s="4896"/>
      <c r="J222" s="4896"/>
    </row>
  </sheetData>
  <sheetProtection algorithmName="SHA-512" hashValue="LXeE6HvVoYchzLm8iFeU0w6Hm5UXPGtJ+IBqG6YIq0R4pyQ1VsHdheDR95iZzRa2qSKCdMzBKJuMRtenkJ8/mQ==" saltValue="st4eVa6bZypCa8Q/kZYGSA==" spinCount="100000" sheet="1" objects="1" scenarios="1"/>
  <mergeCells count="36">
    <mergeCell ref="K3:M8"/>
    <mergeCell ref="D13:J13"/>
    <mergeCell ref="D69:J69"/>
    <mergeCell ref="A202:J202"/>
    <mergeCell ref="E176:G176"/>
    <mergeCell ref="F96:H96"/>
    <mergeCell ref="C51:J51"/>
    <mergeCell ref="E53:J53"/>
    <mergeCell ref="E54:J54"/>
    <mergeCell ref="F94:H94"/>
    <mergeCell ref="F95:H95"/>
    <mergeCell ref="F98:H98"/>
    <mergeCell ref="F99:H99"/>
    <mergeCell ref="F100:H100"/>
    <mergeCell ref="D107:J107"/>
    <mergeCell ref="F181:J181"/>
    <mergeCell ref="F199:J199"/>
    <mergeCell ref="E120:J123"/>
    <mergeCell ref="E166:G166"/>
    <mergeCell ref="A1:J1"/>
    <mergeCell ref="A2:J2"/>
    <mergeCell ref="C39:J39"/>
    <mergeCell ref="C42:J42"/>
    <mergeCell ref="C50:J50"/>
    <mergeCell ref="C40:J40"/>
    <mergeCell ref="E169:G169"/>
    <mergeCell ref="A205:J212"/>
    <mergeCell ref="A214:C214"/>
    <mergeCell ref="A215:J215"/>
    <mergeCell ref="A216:J216"/>
    <mergeCell ref="A217:J217"/>
    <mergeCell ref="A218:J218"/>
    <mergeCell ref="A219:J219"/>
    <mergeCell ref="A220:J220"/>
    <mergeCell ref="A221:J221"/>
    <mergeCell ref="A222:J222"/>
  </mergeCells>
  <dataValidations count="12">
    <dataValidation type="list" allowBlank="1" showInputMessage="1" showErrorMessage="1" sqref="C197" xr:uid="{00000000-0002-0000-1600-000000000000}">
      <formula1>"&lt;&lt;Select&gt;&gt;, Yes (Federal and State), No"</formula1>
    </dataValidation>
    <dataValidation type="list" allowBlank="1" showInputMessage="1" showErrorMessage="1" sqref="E181" xr:uid="{00000000-0002-0000-1600-000001000000}">
      <formula1>"&lt;&lt;Select&gt;&gt;, Yes, Other-specify:"</formula1>
    </dataValidation>
    <dataValidation type="list" allowBlank="1" showInputMessage="1" showErrorMessage="1" sqref="C111 C119 D12 E180 C37 D68" xr:uid="{00000000-0002-0000-1600-000003000000}">
      <formula1>"&lt;&lt;Select&gt;&gt;, Yes, No"</formula1>
    </dataValidation>
    <dataValidation type="list" allowBlank="1" showInputMessage="1" showErrorMessage="1" sqref="C109" xr:uid="{00000000-0002-0000-1600-000004000000}">
      <formula1>"&lt;&lt;Select&gt;&gt;, Bonded, Letter of Credit, Other - construction loan in lieu of L/C"</formula1>
    </dataValidation>
    <dataValidation type="list" allowBlank="1" showInputMessage="1" showErrorMessage="1" sqref="C107" xr:uid="{00000000-0002-0000-1600-000005000000}">
      <formula1>"&lt;&lt;Select&gt;&gt;, New Construction, Rehabilitation, Both (explain):"</formula1>
    </dataValidation>
    <dataValidation type="list" allowBlank="1" showInputMessage="1" showErrorMessage="1" sqref="C88" xr:uid="{00000000-0002-0000-1600-000006000000}">
      <formula1>"&lt;&lt;Select&gt;&gt;, Hard costs only, Hard costs plus acquisition cost, Hard costs plus HOME eligible soft"</formula1>
    </dataValidation>
    <dataValidation type="list" allowBlank="1" showInputMessage="1" showErrorMessage="1" sqref="C73 C87" xr:uid="{00000000-0002-0000-1600-000007000000}">
      <formula1>"&lt;&lt;Select&gt;&gt;, Construction only, Construction and Permanent"</formula1>
    </dataValidation>
    <dataValidation type="list" allowBlank="1" showInputMessage="1" showErrorMessage="1" sqref="D71" xr:uid="{00000000-0002-0000-1600-000008000000}">
      <formula1>"&lt;&lt;Select&gt;&gt;, Fully amortizing, Balloon"</formula1>
    </dataValidation>
    <dataValidation type="list" allowBlank="1" showInputMessage="1" showErrorMessage="1" sqref="C67" xr:uid="{00000000-0002-0000-1600-000009000000}">
      <formula1>"&lt;&lt;Select&gt;&gt;, Construction/Permanent, Construction only, Permanent only"</formula1>
    </dataValidation>
    <dataValidation type="list" allowBlank="1" showInputMessage="1" showErrorMessage="1" sqref="C11" xr:uid="{00000000-0002-0000-1600-00000A000000}">
      <formula1>"&lt;&lt;Select&gt;&gt;, Limited Partnership,Limited Liability Company"</formula1>
    </dataValidation>
    <dataValidation type="list" allowBlank="1" showInputMessage="1" showErrorMessage="1" sqref="C10" xr:uid="{00000000-0002-0000-1600-00000B000000}">
      <formula1>"&lt;&lt;Select&gt;&gt;, Profit Corporation, Non-profit Corporation, Profit/Non-profit Joint Venture"</formula1>
    </dataValidation>
    <dataValidation type="list" allowBlank="1" showInputMessage="1" showErrorMessage="1" sqref="C46" xr:uid="{00000000-0002-0000-1600-00000C000000}">
      <formula1>"&lt;&lt;Select&gt;&gt;, No - Family, Yes - Age 62 election (Elderly) , Yes - Age 55 election (HFOP), No - Other"</formula1>
    </dataValidation>
  </dataValidations>
  <printOptions horizontalCentered="1"/>
  <pageMargins left="0.5" right="0.5" top="0.5" bottom="0.5" header="0.3" footer="0.3"/>
  <pageSetup scale="66" fitToHeight="0" orientation="portrait" r:id="rId1"/>
  <headerFooter>
    <oddFooter>&amp;C&amp;9Page &amp;P of &amp;N</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AD4E-0725-489C-AF8B-701EF4EFE28A}">
  <sheetPr codeName="Sheet14">
    <pageSetUpPr fitToPage="1"/>
  </sheetPr>
  <dimension ref="A1:N79"/>
  <sheetViews>
    <sheetView showGridLines="0" topLeftCell="A32" zoomScaleNormal="100" workbookViewId="0">
      <selection activeCell="G62" sqref="G62:H62"/>
    </sheetView>
  </sheetViews>
  <sheetFormatPr defaultColWidth="9.21875" defaultRowHeight="13.8"/>
  <cols>
    <col min="1" max="1" width="5.44140625" style="904" customWidth="1"/>
    <col min="2" max="2" width="6.21875" style="904" customWidth="1"/>
    <col min="3" max="3" width="9.77734375" style="904" customWidth="1"/>
    <col min="4" max="4" width="10.44140625" style="904" customWidth="1"/>
    <col min="5" max="5" width="7.77734375" style="905" customWidth="1"/>
    <col min="6" max="6" width="8" style="904" customWidth="1"/>
    <col min="7" max="7" width="8.77734375" style="904" customWidth="1"/>
    <col min="8" max="8" width="10.21875" style="904" customWidth="1"/>
    <col min="9" max="9" width="10.77734375" style="904" customWidth="1"/>
    <col min="10" max="11" width="11.77734375" style="904" customWidth="1"/>
    <col min="12" max="16384" width="9.21875" style="904"/>
  </cols>
  <sheetData>
    <row r="1" spans="1:11" ht="18">
      <c r="A1" s="925" t="s">
        <v>4584</v>
      </c>
      <c r="B1" s="925"/>
      <c r="C1" s="925"/>
      <c r="D1" s="925"/>
      <c r="E1" s="925"/>
      <c r="F1" s="925"/>
      <c r="G1" s="925"/>
      <c r="H1" s="925"/>
    </row>
    <row r="2" spans="1:11" ht="18.600000000000001" thickBot="1">
      <c r="A2" s="925" t="s">
        <v>4585</v>
      </c>
      <c r="B2" s="925"/>
      <c r="C2" s="925"/>
      <c r="D2" s="925"/>
      <c r="E2" s="925"/>
      <c r="F2" s="925"/>
      <c r="G2" s="925"/>
      <c r="H2" s="925"/>
    </row>
    <row r="3" spans="1:11" ht="15" customHeight="1" thickBot="1">
      <c r="A3" s="2832" t="s">
        <v>4586</v>
      </c>
      <c r="B3" s="2833"/>
      <c r="C3" s="2834"/>
      <c r="D3" s="4285" t="str">
        <f>'Part I-Project Identification'!F27</f>
        <v>The Groves</v>
      </c>
      <c r="E3" s="4286"/>
      <c r="F3" s="4286"/>
      <c r="G3" s="4286"/>
      <c r="H3" s="4286"/>
      <c r="I3" s="4286"/>
      <c r="J3" s="4978" t="s">
        <v>7463</v>
      </c>
      <c r="K3" s="4979"/>
    </row>
    <row r="4" spans="1:11" ht="15" customHeight="1">
      <c r="A4" s="906" t="s">
        <v>4588</v>
      </c>
      <c r="B4" s="907"/>
      <c r="C4" s="908"/>
      <c r="D4" s="4974">
        <f>'Preview Term'!$E$16</f>
        <v>0</v>
      </c>
      <c r="E4" s="4975"/>
      <c r="F4" s="4975"/>
      <c r="G4" s="4975"/>
      <c r="H4" s="4975"/>
      <c r="I4" s="4975"/>
      <c r="J4" s="4291" t="s">
        <v>4589</v>
      </c>
      <c r="K4" s="4292"/>
    </row>
    <row r="5" spans="1:11" ht="15" customHeight="1" thickBot="1">
      <c r="A5" s="909" t="s">
        <v>4590</v>
      </c>
      <c r="B5" s="910"/>
      <c r="C5" s="911"/>
      <c r="D5" s="4976"/>
      <c r="E5" s="4977"/>
      <c r="F5" s="4977"/>
      <c r="G5" s="4977"/>
      <c r="H5" s="4977"/>
      <c r="I5" s="4977"/>
      <c r="J5" s="4293"/>
      <c r="K5" s="4294"/>
    </row>
    <row r="6" spans="1:11" ht="9" customHeight="1" thickBot="1">
      <c r="E6" s="904"/>
    </row>
    <row r="7" spans="1:11">
      <c r="A7" s="4279" t="s">
        <v>4591</v>
      </c>
      <c r="B7" s="4280"/>
      <c r="C7" s="4280"/>
      <c r="D7" s="4280"/>
      <c r="E7" s="4280"/>
      <c r="F7" s="4280"/>
      <c r="G7" s="4280"/>
      <c r="H7" s="4280"/>
      <c r="I7" s="4280"/>
      <c r="J7" s="4280"/>
      <c r="K7" s="4281"/>
    </row>
    <row r="8" spans="1:11" ht="14.25" customHeight="1">
      <c r="A8" s="907"/>
      <c r="B8" s="907"/>
      <c r="C8" s="3002">
        <v>1</v>
      </c>
      <c r="D8" s="2836" t="s">
        <v>4592</v>
      </c>
      <c r="E8" s="2836"/>
      <c r="F8" s="2836"/>
      <c r="G8" s="2836"/>
      <c r="H8" s="2836"/>
      <c r="I8" s="2836"/>
      <c r="J8" s="4955"/>
      <c r="K8" s="4956"/>
    </row>
    <row r="9" spans="1:11" ht="7.2" customHeight="1">
      <c r="A9" s="4275"/>
      <c r="B9" s="4275"/>
      <c r="C9" s="4275"/>
      <c r="D9" s="4276"/>
      <c r="E9" s="4276"/>
      <c r="F9" s="4276"/>
      <c r="G9" s="4276"/>
      <c r="H9" s="4276"/>
      <c r="I9" s="4276"/>
      <c r="J9" s="4276"/>
      <c r="K9" s="2838"/>
    </row>
    <row r="10" spans="1:11">
      <c r="A10" s="4301" t="s">
        <v>4593</v>
      </c>
      <c r="B10" s="4302"/>
      <c r="C10" s="4302"/>
      <c r="D10" s="4302"/>
      <c r="E10" s="4302"/>
      <c r="F10" s="4302"/>
      <c r="G10" s="4302"/>
      <c r="H10" s="4302"/>
      <c r="I10" s="4302"/>
      <c r="J10" s="4302"/>
      <c r="K10" s="4303"/>
    </row>
    <row r="11" spans="1:11" ht="14.25" customHeight="1">
      <c r="A11" s="907"/>
      <c r="B11" s="907"/>
      <c r="C11" s="3002">
        <v>2</v>
      </c>
      <c r="D11" s="2836" t="s">
        <v>4594</v>
      </c>
      <c r="E11" s="2839"/>
      <c r="F11" s="2839"/>
      <c r="G11" s="2839"/>
      <c r="H11" s="2839"/>
      <c r="I11" s="2839"/>
      <c r="J11" s="4953"/>
      <c r="K11" s="4954"/>
    </row>
    <row r="12" spans="1:11" ht="7.2" customHeight="1">
      <c r="A12" s="4275"/>
      <c r="B12" s="4275"/>
      <c r="C12" s="4275"/>
      <c r="D12" s="4276"/>
      <c r="E12" s="4276"/>
      <c r="F12" s="4276"/>
      <c r="G12" s="4276"/>
      <c r="H12" s="4276"/>
      <c r="I12" s="4276"/>
      <c r="J12" s="4276"/>
      <c r="K12" s="2837"/>
    </row>
    <row r="13" spans="1:11">
      <c r="A13" s="4301" t="s">
        <v>4595</v>
      </c>
      <c r="B13" s="4302"/>
      <c r="C13" s="4302"/>
      <c r="D13" s="4302"/>
      <c r="E13" s="4302"/>
      <c r="F13" s="4302"/>
      <c r="G13" s="4302"/>
      <c r="H13" s="4302"/>
      <c r="I13" s="4302"/>
      <c r="J13" s="4302"/>
      <c r="K13" s="4303"/>
    </row>
    <row r="14" spans="1:11" ht="14.25" customHeight="1">
      <c r="A14" s="907"/>
      <c r="B14" s="907"/>
      <c r="C14" s="3003">
        <v>3</v>
      </c>
      <c r="D14" s="2841" t="s">
        <v>4596</v>
      </c>
      <c r="E14" s="2841"/>
      <c r="F14" s="2841"/>
      <c r="G14" s="2841"/>
      <c r="H14" s="2841"/>
      <c r="I14" s="2841"/>
      <c r="J14" s="4951"/>
      <c r="K14" s="4952"/>
    </row>
    <row r="15" spans="1:11" ht="14.25" customHeight="1">
      <c r="A15" s="907"/>
      <c r="B15" s="907"/>
      <c r="C15" s="919">
        <v>4</v>
      </c>
      <c r="D15" s="907" t="s">
        <v>4597</v>
      </c>
      <c r="E15" s="907"/>
      <c r="F15" s="907"/>
      <c r="G15" s="907"/>
      <c r="H15" s="907"/>
      <c r="I15" s="907"/>
      <c r="J15" s="4949"/>
      <c r="K15" s="4950"/>
    </row>
    <row r="16" spans="1:11" ht="14.25" customHeight="1">
      <c r="A16" s="907"/>
      <c r="B16" s="907"/>
      <c r="C16" s="919">
        <v>5</v>
      </c>
      <c r="D16" s="907" t="s">
        <v>4598</v>
      </c>
      <c r="E16" s="907"/>
      <c r="F16" s="907"/>
      <c r="G16" s="907"/>
      <c r="H16" s="907"/>
      <c r="I16" s="907"/>
      <c r="J16" s="4949"/>
      <c r="K16" s="4950"/>
    </row>
    <row r="17" spans="1:13" ht="14.25" customHeight="1">
      <c r="A17" s="907"/>
      <c r="B17" s="907"/>
      <c r="C17" s="920">
        <v>6</v>
      </c>
      <c r="D17" s="910" t="s">
        <v>4599</v>
      </c>
      <c r="E17" s="910"/>
      <c r="F17" s="910"/>
      <c r="G17" s="910"/>
      <c r="H17" s="910"/>
      <c r="I17" s="910"/>
      <c r="J17" s="4957"/>
      <c r="K17" s="4958"/>
    </row>
    <row r="18" spans="1:13" ht="7.2" customHeight="1">
      <c r="A18" s="4275"/>
      <c r="B18" s="4275"/>
      <c r="C18" s="4275"/>
      <c r="D18" s="4276"/>
      <c r="E18" s="4276"/>
      <c r="F18" s="4276"/>
      <c r="G18" s="4276"/>
      <c r="H18" s="4276"/>
      <c r="I18" s="4276"/>
      <c r="J18" s="4276"/>
      <c r="K18" s="2837"/>
    </row>
    <row r="19" spans="1:13" ht="14.25" customHeight="1">
      <c r="A19" s="907"/>
      <c r="B19" s="907"/>
      <c r="C19" s="3003">
        <v>7</v>
      </c>
      <c r="D19" s="2841" t="s">
        <v>4600</v>
      </c>
      <c r="E19" s="2841"/>
      <c r="F19" s="2841"/>
      <c r="G19" s="2841"/>
      <c r="H19" s="2841"/>
      <c r="I19" s="2841"/>
      <c r="J19" s="4297" t="str">
        <f>IF(J17="No",J14-J15,IF(J17="Yes",J14-J15-J16,"Error"))</f>
        <v>Error</v>
      </c>
      <c r="K19" s="4298"/>
    </row>
    <row r="20" spans="1:13" ht="14.25" customHeight="1">
      <c r="A20" s="907"/>
      <c r="B20" s="907"/>
      <c r="C20" s="920">
        <v>8</v>
      </c>
      <c r="D20" s="910" t="s">
        <v>4601</v>
      </c>
      <c r="E20" s="910"/>
      <c r="F20" s="910"/>
      <c r="G20" s="910"/>
      <c r="H20" s="910"/>
      <c r="I20" s="910"/>
      <c r="J20" s="4277" t="e">
        <f>ROUNDDOWN(J19/J8,2)</f>
        <v>#VALUE!</v>
      </c>
      <c r="K20" s="4278"/>
    </row>
    <row r="21" spans="1:13" ht="7.2" customHeight="1">
      <c r="A21" s="4275"/>
      <c r="B21" s="4275"/>
      <c r="C21" s="4275"/>
      <c r="D21" s="4276"/>
      <c r="E21" s="4276"/>
      <c r="F21" s="4276"/>
      <c r="G21" s="4276"/>
      <c r="H21" s="4276"/>
      <c r="I21" s="4276"/>
      <c r="J21" s="4276"/>
      <c r="K21" s="2837"/>
    </row>
    <row r="22" spans="1:13" ht="14.25" customHeight="1" thickBot="1">
      <c r="A22" s="907"/>
      <c r="B22" s="907"/>
      <c r="C22" s="3002">
        <v>9</v>
      </c>
      <c r="D22" s="2842" t="s">
        <v>4602</v>
      </c>
      <c r="E22" s="2842"/>
      <c r="F22" s="2842"/>
      <c r="G22" s="2842"/>
      <c r="H22" s="2842"/>
      <c r="I22" s="2842"/>
      <c r="J22" s="4260" t="e">
        <f>J11/J19</f>
        <v>#VALUE!</v>
      </c>
      <c r="K22" s="4261"/>
    </row>
    <row r="23" spans="1:13" ht="9" customHeight="1">
      <c r="A23" s="2578"/>
      <c r="C23" s="913"/>
      <c r="D23" s="913"/>
      <c r="E23" s="913"/>
      <c r="F23" s="913"/>
      <c r="G23" s="913"/>
      <c r="H23" s="913"/>
      <c r="I23" s="913"/>
      <c r="J23" s="913"/>
      <c r="K23" s="914"/>
    </row>
    <row r="24" spans="1:13" ht="18">
      <c r="A24" s="915" t="s">
        <v>4603</v>
      </c>
      <c r="C24" s="913"/>
      <c r="D24" s="913"/>
      <c r="E24" s="913"/>
      <c r="F24" s="913"/>
      <c r="G24" s="913"/>
      <c r="H24" s="913"/>
      <c r="I24" s="913"/>
      <c r="J24" s="913"/>
      <c r="K24" s="914"/>
    </row>
    <row r="25" spans="1:13" ht="14.25" customHeight="1">
      <c r="A25" s="940" t="s">
        <v>4604</v>
      </c>
      <c r="C25" s="913"/>
      <c r="D25" s="913"/>
      <c r="E25" s="913"/>
      <c r="F25" s="913"/>
      <c r="G25" s="913"/>
      <c r="H25" s="913"/>
      <c r="I25" s="913"/>
      <c r="J25" s="913"/>
      <c r="K25" s="914"/>
    </row>
    <row r="26" spans="1:13" ht="14.25" customHeight="1">
      <c r="A26" s="940" t="s">
        <v>4605</v>
      </c>
      <c r="C26" s="913"/>
      <c r="D26" s="913"/>
      <c r="E26" s="913"/>
      <c r="F26" s="913"/>
      <c r="G26" s="913"/>
      <c r="H26" s="913"/>
      <c r="I26" s="913"/>
      <c r="J26" s="913"/>
      <c r="K26" s="914"/>
    </row>
    <row r="27" spans="1:13" ht="14.25" customHeight="1">
      <c r="A27" s="940" t="s">
        <v>4606</v>
      </c>
      <c r="C27" s="913"/>
      <c r="D27" s="913"/>
      <c r="E27" s="913"/>
      <c r="F27" s="913"/>
      <c r="G27" s="913"/>
      <c r="H27" s="913"/>
      <c r="I27" s="913"/>
      <c r="J27" s="913"/>
      <c r="K27" s="914"/>
    </row>
    <row r="28" spans="1:13" ht="14.25" customHeight="1">
      <c r="A28" s="940" t="s">
        <v>4607</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2" t="s">
        <v>4608</v>
      </c>
      <c r="B30" s="4263"/>
      <c r="C30" s="4263"/>
      <c r="D30" s="4263"/>
      <c r="E30" s="4263"/>
      <c r="F30" s="4263"/>
      <c r="G30" s="4263"/>
      <c r="H30" s="4263"/>
      <c r="I30" s="4263"/>
      <c r="J30" s="4263"/>
      <c r="K30" s="4264"/>
    </row>
    <row r="31" spans="1:13">
      <c r="B31" s="4963" t="s">
        <v>7463</v>
      </c>
      <c r="C31" s="4963"/>
      <c r="D31" s="4963"/>
      <c r="E31" s="4963"/>
      <c r="F31" s="4963"/>
      <c r="G31" s="4266" t="s">
        <v>4609</v>
      </c>
      <c r="H31" s="4267"/>
      <c r="I31" s="4267"/>
      <c r="J31" s="4267"/>
      <c r="K31" s="4268"/>
    </row>
    <row r="32" spans="1:13" ht="56.25" customHeight="1">
      <c r="A32" s="2510"/>
      <c r="B32" s="921" t="s">
        <v>4610</v>
      </c>
      <c r="C32" s="922" t="s">
        <v>4611</v>
      </c>
      <c r="D32" s="922" t="s">
        <v>4612</v>
      </c>
      <c r="E32" s="4269" t="s">
        <v>4613</v>
      </c>
      <c r="F32" s="4270"/>
      <c r="G32" s="923" t="s">
        <v>4614</v>
      </c>
      <c r="H32" s="923" t="s">
        <v>4615</v>
      </c>
      <c r="J32" s="923" t="s">
        <v>4616</v>
      </c>
      <c r="K32" s="923" t="s">
        <v>4617</v>
      </c>
      <c r="L32" s="4255" t="s">
        <v>4618</v>
      </c>
      <c r="M32" s="4255"/>
    </row>
    <row r="33" spans="2:14" ht="12.75" customHeight="1">
      <c r="B33" s="3004"/>
      <c r="C33" s="3005"/>
      <c r="D33" s="3006"/>
      <c r="E33" s="4972"/>
      <c r="F33" s="4973"/>
      <c r="G33" s="2846" t="e">
        <f t="shared" ref="G33:G51" si="0">$J$22*B33</f>
        <v>#VALUE!</v>
      </c>
      <c r="H33" s="2847" t="e">
        <f>ROUNDUP(G33,0)</f>
        <v>#VALUE!</v>
      </c>
      <c r="I33" s="933"/>
      <c r="J33" s="2848" t="e">
        <f t="shared" ref="J33:J51" si="1">$J$20*E33</f>
        <v>#VALUE!</v>
      </c>
      <c r="K33" s="2848" t="e">
        <f t="shared" ref="K33:K51" si="2">ROUNDDOWN(J33*H33,0)</f>
        <v>#VALUE!</v>
      </c>
      <c r="L33" s="4255"/>
      <c r="M33" s="4255"/>
    </row>
    <row r="34" spans="2:14" ht="12.75" customHeight="1">
      <c r="B34" s="998"/>
      <c r="C34" s="999"/>
      <c r="D34" s="1000"/>
      <c r="E34" s="4961"/>
      <c r="F34" s="4962"/>
      <c r="G34" s="934" t="e">
        <f t="shared" si="0"/>
        <v>#VALUE!</v>
      </c>
      <c r="H34" s="935" t="e">
        <f t="shared" ref="H34:H51" si="3">ROUNDUP(G34,0)</f>
        <v>#VALUE!</v>
      </c>
      <c r="I34" s="933"/>
      <c r="J34" s="936" t="e">
        <f t="shared" si="1"/>
        <v>#VALUE!</v>
      </c>
      <c r="K34" s="936" t="e">
        <f t="shared" si="2"/>
        <v>#VALUE!</v>
      </c>
      <c r="L34" s="4255"/>
      <c r="M34" s="4255"/>
    </row>
    <row r="35" spans="2:14" ht="12.75" customHeight="1">
      <c r="B35" s="998"/>
      <c r="C35" s="999"/>
      <c r="D35" s="1000"/>
      <c r="E35" s="4961"/>
      <c r="F35" s="4962"/>
      <c r="G35" s="934" t="e">
        <f t="shared" si="0"/>
        <v>#VALUE!</v>
      </c>
      <c r="H35" s="935" t="e">
        <f t="shared" si="3"/>
        <v>#VALUE!</v>
      </c>
      <c r="I35" s="933"/>
      <c r="J35" s="936" t="e">
        <f t="shared" si="1"/>
        <v>#VALUE!</v>
      </c>
      <c r="K35" s="936" t="e">
        <f t="shared" si="2"/>
        <v>#VALUE!</v>
      </c>
      <c r="L35" s="4255"/>
      <c r="M35" s="4255"/>
    </row>
    <row r="36" spans="2:14" ht="12.75" customHeight="1">
      <c r="B36" s="998"/>
      <c r="C36" s="999"/>
      <c r="D36" s="1000"/>
      <c r="E36" s="4961"/>
      <c r="F36" s="4962"/>
      <c r="G36" s="934" t="e">
        <f t="shared" si="0"/>
        <v>#VALUE!</v>
      </c>
      <c r="H36" s="935" t="e">
        <f t="shared" si="3"/>
        <v>#VALUE!</v>
      </c>
      <c r="I36" s="933"/>
      <c r="J36" s="936" t="e">
        <f t="shared" si="1"/>
        <v>#VALUE!</v>
      </c>
      <c r="K36" s="936" t="e">
        <f t="shared" si="2"/>
        <v>#VALUE!</v>
      </c>
      <c r="L36" s="4255"/>
      <c r="M36" s="4255"/>
      <c r="N36" s="916"/>
    </row>
    <row r="37" spans="2:14" ht="12.75" customHeight="1">
      <c r="B37" s="998"/>
      <c r="C37" s="999"/>
      <c r="D37" s="1000"/>
      <c r="E37" s="4961"/>
      <c r="F37" s="4962"/>
      <c r="G37" s="934" t="e">
        <f t="shared" si="0"/>
        <v>#VALUE!</v>
      </c>
      <c r="H37" s="935" t="e">
        <f t="shared" si="3"/>
        <v>#VALUE!</v>
      </c>
      <c r="I37" s="933"/>
      <c r="J37" s="936" t="e">
        <f t="shared" si="1"/>
        <v>#VALUE!</v>
      </c>
      <c r="K37" s="936" t="e">
        <f t="shared" si="2"/>
        <v>#VALUE!</v>
      </c>
      <c r="L37" s="4255"/>
      <c r="M37" s="4255"/>
    </row>
    <row r="38" spans="2:14" ht="12.75" customHeight="1">
      <c r="B38" s="998"/>
      <c r="C38" s="999"/>
      <c r="D38" s="1000"/>
      <c r="E38" s="4961"/>
      <c r="F38" s="4962"/>
      <c r="G38" s="934" t="e">
        <f t="shared" si="0"/>
        <v>#VALUE!</v>
      </c>
      <c r="H38" s="935" t="e">
        <f t="shared" si="3"/>
        <v>#VALUE!</v>
      </c>
      <c r="I38" s="933"/>
      <c r="J38" s="936" t="e">
        <f t="shared" si="1"/>
        <v>#VALUE!</v>
      </c>
      <c r="K38" s="936" t="e">
        <f t="shared" si="2"/>
        <v>#VALUE!</v>
      </c>
      <c r="L38" s="4255"/>
      <c r="M38" s="4255"/>
    </row>
    <row r="39" spans="2:14" ht="12.75" customHeight="1">
      <c r="B39" s="998"/>
      <c r="C39" s="999"/>
      <c r="D39" s="1000"/>
      <c r="E39" s="4961"/>
      <c r="F39" s="4962"/>
      <c r="G39" s="934" t="e">
        <f t="shared" si="0"/>
        <v>#VALUE!</v>
      </c>
      <c r="H39" s="935" t="e">
        <f t="shared" si="3"/>
        <v>#VALUE!</v>
      </c>
      <c r="I39" s="933"/>
      <c r="J39" s="936" t="e">
        <f t="shared" si="1"/>
        <v>#VALUE!</v>
      </c>
      <c r="K39" s="936" t="e">
        <f t="shared" si="2"/>
        <v>#VALUE!</v>
      </c>
      <c r="L39" s="4255"/>
      <c r="M39" s="4255"/>
    </row>
    <row r="40" spans="2:14" ht="12.75" customHeight="1">
      <c r="B40" s="998"/>
      <c r="C40" s="999"/>
      <c r="D40" s="1000"/>
      <c r="E40" s="4961"/>
      <c r="F40" s="4962"/>
      <c r="G40" s="934" t="e">
        <f t="shared" si="0"/>
        <v>#VALUE!</v>
      </c>
      <c r="H40" s="935" t="e">
        <f t="shared" si="3"/>
        <v>#VALUE!</v>
      </c>
      <c r="I40" s="933"/>
      <c r="J40" s="936" t="e">
        <f t="shared" si="1"/>
        <v>#VALUE!</v>
      </c>
      <c r="K40" s="936" t="e">
        <f t="shared" si="2"/>
        <v>#VALUE!</v>
      </c>
      <c r="L40" s="4255"/>
      <c r="M40" s="4255"/>
    </row>
    <row r="41" spans="2:14" ht="12.75" customHeight="1">
      <c r="B41" s="998"/>
      <c r="C41" s="999"/>
      <c r="D41" s="1000"/>
      <c r="E41" s="4961"/>
      <c r="F41" s="4962"/>
      <c r="G41" s="934" t="e">
        <f t="shared" si="0"/>
        <v>#VALUE!</v>
      </c>
      <c r="H41" s="935" t="e">
        <f t="shared" si="3"/>
        <v>#VALUE!</v>
      </c>
      <c r="I41" s="933"/>
      <c r="J41" s="936" t="e">
        <f t="shared" si="1"/>
        <v>#VALUE!</v>
      </c>
      <c r="K41" s="936" t="e">
        <f t="shared" si="2"/>
        <v>#VALUE!</v>
      </c>
      <c r="L41" s="4255"/>
      <c r="M41" s="4255"/>
    </row>
    <row r="42" spans="2:14" ht="12.75" customHeight="1">
      <c r="B42" s="998"/>
      <c r="C42" s="999"/>
      <c r="D42" s="1000"/>
      <c r="E42" s="4961"/>
      <c r="F42" s="4962"/>
      <c r="G42" s="934" t="e">
        <f t="shared" si="0"/>
        <v>#VALUE!</v>
      </c>
      <c r="H42" s="935" t="e">
        <f>ROUNDUP(G42,0)</f>
        <v>#VALUE!</v>
      </c>
      <c r="I42" s="933"/>
      <c r="J42" s="936" t="e">
        <f t="shared" si="1"/>
        <v>#VALUE!</v>
      </c>
      <c r="K42" s="936" t="e">
        <f t="shared" si="2"/>
        <v>#VALUE!</v>
      </c>
      <c r="L42" s="4255"/>
      <c r="M42" s="4255"/>
    </row>
    <row r="43" spans="2:14" ht="12.75" customHeight="1">
      <c r="B43" s="998"/>
      <c r="C43" s="999"/>
      <c r="D43" s="1000"/>
      <c r="E43" s="4961"/>
      <c r="F43" s="4962"/>
      <c r="G43" s="934" t="e">
        <f t="shared" si="0"/>
        <v>#VALUE!</v>
      </c>
      <c r="H43" s="935" t="e">
        <f>ROUNDUP(G43,0)</f>
        <v>#VALUE!</v>
      </c>
      <c r="I43" s="933"/>
      <c r="J43" s="936" t="e">
        <f t="shared" si="1"/>
        <v>#VALUE!</v>
      </c>
      <c r="K43" s="936" t="e">
        <f t="shared" si="2"/>
        <v>#VALUE!</v>
      </c>
      <c r="L43" s="4255"/>
      <c r="M43" s="4255"/>
    </row>
    <row r="44" spans="2:14" ht="12.75" customHeight="1">
      <c r="B44" s="998"/>
      <c r="C44" s="999"/>
      <c r="D44" s="1000"/>
      <c r="E44" s="4961"/>
      <c r="F44" s="4962"/>
      <c r="G44" s="934" t="e">
        <f t="shared" si="0"/>
        <v>#VALUE!</v>
      </c>
      <c r="H44" s="935" t="e">
        <f>ROUNDUP(G44,0)</f>
        <v>#VALUE!</v>
      </c>
      <c r="I44" s="933"/>
      <c r="J44" s="936" t="e">
        <f t="shared" si="1"/>
        <v>#VALUE!</v>
      </c>
      <c r="K44" s="936" t="e">
        <f t="shared" si="2"/>
        <v>#VALUE!</v>
      </c>
      <c r="L44" s="4255"/>
      <c r="M44" s="4255"/>
    </row>
    <row r="45" spans="2:14" ht="12.75" customHeight="1">
      <c r="B45" s="998"/>
      <c r="C45" s="999"/>
      <c r="D45" s="1000"/>
      <c r="E45" s="4961"/>
      <c r="F45" s="4962"/>
      <c r="G45" s="934" t="e">
        <f t="shared" si="0"/>
        <v>#VALUE!</v>
      </c>
      <c r="H45" s="935" t="e">
        <f>ROUNDUP(G45,0)</f>
        <v>#VALUE!</v>
      </c>
      <c r="I45" s="933"/>
      <c r="J45" s="936" t="e">
        <f t="shared" si="1"/>
        <v>#VALUE!</v>
      </c>
      <c r="K45" s="936" t="e">
        <f t="shared" si="2"/>
        <v>#VALUE!</v>
      </c>
      <c r="L45" s="4255"/>
      <c r="M45" s="4255"/>
    </row>
    <row r="46" spans="2:14" ht="12.75" customHeight="1">
      <c r="B46" s="998"/>
      <c r="C46" s="999"/>
      <c r="D46" s="1000"/>
      <c r="E46" s="4961"/>
      <c r="F46" s="4962"/>
      <c r="G46" s="934" t="e">
        <f t="shared" si="0"/>
        <v>#VALUE!</v>
      </c>
      <c r="H46" s="935" t="e">
        <f t="shared" si="3"/>
        <v>#VALUE!</v>
      </c>
      <c r="I46" s="933"/>
      <c r="J46" s="936" t="e">
        <f t="shared" si="1"/>
        <v>#VALUE!</v>
      </c>
      <c r="K46" s="936" t="e">
        <f t="shared" si="2"/>
        <v>#VALUE!</v>
      </c>
      <c r="L46" s="4255"/>
      <c r="M46" s="4255"/>
    </row>
    <row r="47" spans="2:14" ht="12.75" customHeight="1">
      <c r="B47" s="998"/>
      <c r="C47" s="999"/>
      <c r="D47" s="1000"/>
      <c r="E47" s="4961"/>
      <c r="F47" s="4962"/>
      <c r="G47" s="934" t="e">
        <f t="shared" si="0"/>
        <v>#VALUE!</v>
      </c>
      <c r="H47" s="935" t="e">
        <f t="shared" si="3"/>
        <v>#VALUE!</v>
      </c>
      <c r="I47" s="933"/>
      <c r="J47" s="936" t="e">
        <f t="shared" si="1"/>
        <v>#VALUE!</v>
      </c>
      <c r="K47" s="936" t="e">
        <f t="shared" si="2"/>
        <v>#VALUE!</v>
      </c>
      <c r="L47" s="4255"/>
      <c r="M47" s="4255"/>
    </row>
    <row r="48" spans="2:14" ht="12.75" customHeight="1">
      <c r="B48" s="998"/>
      <c r="C48" s="999"/>
      <c r="D48" s="1000"/>
      <c r="E48" s="4961"/>
      <c r="F48" s="4962"/>
      <c r="G48" s="934" t="e">
        <f t="shared" si="0"/>
        <v>#VALUE!</v>
      </c>
      <c r="H48" s="935" t="e">
        <f>ROUNDUP(G48,0)</f>
        <v>#VALUE!</v>
      </c>
      <c r="I48" s="933"/>
      <c r="J48" s="936" t="e">
        <f t="shared" si="1"/>
        <v>#VALUE!</v>
      </c>
      <c r="K48" s="936" t="e">
        <f t="shared" si="2"/>
        <v>#VALUE!</v>
      </c>
      <c r="L48" s="4255"/>
      <c r="M48" s="4255"/>
    </row>
    <row r="49" spans="1:13" ht="12.75" customHeight="1">
      <c r="B49" s="998"/>
      <c r="C49" s="999"/>
      <c r="D49" s="1000"/>
      <c r="E49" s="4961"/>
      <c r="F49" s="4962"/>
      <c r="G49" s="934" t="e">
        <f t="shared" si="0"/>
        <v>#VALUE!</v>
      </c>
      <c r="H49" s="935" t="e">
        <f t="shared" si="3"/>
        <v>#VALUE!</v>
      </c>
      <c r="I49" s="933"/>
      <c r="J49" s="936" t="e">
        <f t="shared" si="1"/>
        <v>#VALUE!</v>
      </c>
      <c r="K49" s="936" t="e">
        <f t="shared" si="2"/>
        <v>#VALUE!</v>
      </c>
      <c r="L49" s="4255"/>
      <c r="M49" s="4255"/>
    </row>
    <row r="50" spans="1:13" ht="12.75" customHeight="1">
      <c r="B50" s="998"/>
      <c r="C50" s="999"/>
      <c r="D50" s="1000"/>
      <c r="E50" s="4961"/>
      <c r="F50" s="4962"/>
      <c r="G50" s="934" t="e">
        <f t="shared" si="0"/>
        <v>#VALUE!</v>
      </c>
      <c r="H50" s="935" t="e">
        <f t="shared" si="3"/>
        <v>#VALUE!</v>
      </c>
      <c r="I50" s="933"/>
      <c r="J50" s="936" t="e">
        <f t="shared" si="1"/>
        <v>#VALUE!</v>
      </c>
      <c r="K50" s="936" t="e">
        <f t="shared" si="2"/>
        <v>#VALUE!</v>
      </c>
      <c r="L50" s="4255"/>
      <c r="M50" s="4255"/>
    </row>
    <row r="51" spans="1:13" ht="12.75" customHeight="1" thickBot="1">
      <c r="B51" s="1001"/>
      <c r="C51" s="1002"/>
      <c r="D51" s="1003"/>
      <c r="E51" s="4959"/>
      <c r="F51" s="4960"/>
      <c r="G51" s="937" t="e">
        <f t="shared" si="0"/>
        <v>#VALUE!</v>
      </c>
      <c r="H51" s="938" t="e">
        <f t="shared" si="3"/>
        <v>#VALUE!</v>
      </c>
      <c r="I51" s="933"/>
      <c r="J51" s="939" t="e">
        <f t="shared" si="1"/>
        <v>#VALUE!</v>
      </c>
      <c r="K51" s="939" t="e">
        <f t="shared" si="2"/>
        <v>#VALUE!</v>
      </c>
      <c r="L51" s="4255"/>
      <c r="M51" s="4255"/>
    </row>
    <row r="52" spans="1:13" ht="15" customHeight="1" thickBot="1">
      <c r="B52" s="2849"/>
      <c r="D52" s="2841"/>
      <c r="E52" s="2841"/>
      <c r="F52" s="2841"/>
      <c r="G52" s="2850" t="s">
        <v>4619</v>
      </c>
      <c r="H52" s="924" t="e">
        <f>SUM(H33:H51)</f>
        <v>#VALUE!</v>
      </c>
      <c r="I52" s="2841"/>
      <c r="J52" s="2849" t="s">
        <v>4620</v>
      </c>
      <c r="K52" s="2851" t="e">
        <f>SUM(K33:K51)</f>
        <v>#VALUE!</v>
      </c>
      <c r="L52" s="4255"/>
      <c r="M52" s="4255"/>
    </row>
    <row r="53" spans="1:13" ht="15" customHeight="1">
      <c r="B53" s="2580"/>
      <c r="C53" s="4258" t="s">
        <v>4621</v>
      </c>
      <c r="D53" s="4258"/>
      <c r="E53" s="4258"/>
      <c r="F53" s="4258"/>
      <c r="G53" s="4258"/>
      <c r="H53" s="4258"/>
      <c r="I53" s="4258"/>
      <c r="J53" s="4259"/>
      <c r="K53" s="2852" t="str">
        <f>IF(J17="no",0,IF(J17="yes",J16,"Error"))</f>
        <v>Error</v>
      </c>
      <c r="L53" s="4255"/>
      <c r="M53" s="4255"/>
    </row>
    <row r="54" spans="1:13" ht="15" customHeight="1" thickBot="1">
      <c r="B54" s="2580"/>
      <c r="C54" s="4239" t="s">
        <v>4622</v>
      </c>
      <c r="D54" s="4239"/>
      <c r="E54" s="4239"/>
      <c r="F54" s="4239"/>
      <c r="G54" s="4239"/>
      <c r="H54" s="4239"/>
      <c r="I54" s="4239"/>
      <c r="J54" s="4240"/>
      <c r="K54" s="2853" t="e">
        <f>K52+K53</f>
        <v>#VALUE!</v>
      </c>
    </row>
    <row r="55" spans="1:13" ht="7.95" customHeight="1">
      <c r="A55" s="4241"/>
      <c r="B55" s="4235"/>
      <c r="C55" s="4235"/>
      <c r="D55" s="4235"/>
      <c r="E55" s="4235"/>
      <c r="F55" s="4235"/>
      <c r="G55" s="4235"/>
      <c r="H55" s="4235"/>
      <c r="I55" s="4235"/>
      <c r="J55" s="4235"/>
      <c r="K55" s="932"/>
    </row>
    <row r="56" spans="1:13" ht="15" customHeight="1">
      <c r="A56" s="4236" t="s">
        <v>4623</v>
      </c>
      <c r="B56" s="4237"/>
      <c r="C56" s="4237"/>
      <c r="D56" s="4237"/>
      <c r="E56" s="4237"/>
      <c r="F56" s="4237"/>
      <c r="G56" s="4237"/>
      <c r="H56" s="4237"/>
      <c r="I56" s="4237"/>
      <c r="J56" s="4237"/>
      <c r="K56" s="4238"/>
    </row>
    <row r="57" spans="1:13" ht="48" customHeight="1">
      <c r="A57" s="2854"/>
      <c r="B57" s="2855"/>
      <c r="C57" s="2856" t="s">
        <v>4624</v>
      </c>
      <c r="D57" s="989" t="s">
        <v>4625</v>
      </c>
      <c r="E57" s="4242" t="s">
        <v>4626</v>
      </c>
      <c r="F57" s="4243"/>
      <c r="G57" s="4968" t="s">
        <v>4627</v>
      </c>
      <c r="H57" s="4969"/>
      <c r="I57" s="4242" t="s">
        <v>4628</v>
      </c>
      <c r="J57" s="4243"/>
      <c r="K57" s="4246"/>
    </row>
    <row r="58" spans="1:13" ht="15" customHeight="1">
      <c r="A58" s="2579"/>
      <c r="B58" s="928"/>
      <c r="C58" s="2857">
        <f>SUMIF(C33:C51, "0", H33:H51)</f>
        <v>0</v>
      </c>
      <c r="D58" s="2858">
        <f t="shared" ref="D58:D63" si="4">ROUNDUP(C58*1.1,0)</f>
        <v>0</v>
      </c>
      <c r="E58" s="4248" t="s">
        <v>4630</v>
      </c>
      <c r="F58" s="4249"/>
      <c r="G58" s="4970">
        <f>'DCA Underwriting Assumptions'!H156</f>
        <v>181488</v>
      </c>
      <c r="H58" s="4971"/>
      <c r="I58" s="4250">
        <f t="shared" ref="I58:I63" si="5">D58*G58</f>
        <v>0</v>
      </c>
      <c r="J58" s="4250"/>
      <c r="K58" s="4247"/>
    </row>
    <row r="59" spans="1:13">
      <c r="A59" s="2579"/>
      <c r="B59" s="928"/>
      <c r="C59" s="917">
        <f>SUMIF(C33:C51, "1", H33:H51)</f>
        <v>0</v>
      </c>
      <c r="D59" s="990">
        <f t="shared" si="4"/>
        <v>0</v>
      </c>
      <c r="E59" s="4227" t="s">
        <v>4631</v>
      </c>
      <c r="F59" s="4228"/>
      <c r="G59" s="4966">
        <f>'DCA Underwriting Assumptions'!H157</f>
        <v>208048.8</v>
      </c>
      <c r="H59" s="4967"/>
      <c r="I59" s="4231">
        <f t="shared" si="5"/>
        <v>0</v>
      </c>
      <c r="J59" s="4231"/>
      <c r="K59" s="4247"/>
    </row>
    <row r="60" spans="1:13" ht="15" customHeight="1">
      <c r="A60" s="2579"/>
      <c r="B60" s="928"/>
      <c r="C60" s="917">
        <f>SUMIF(C33:C51, "2", H33:H51)</f>
        <v>0</v>
      </c>
      <c r="D60" s="990">
        <f t="shared" si="4"/>
        <v>0</v>
      </c>
      <c r="E60" s="4227" t="s">
        <v>4632</v>
      </c>
      <c r="F60" s="4228"/>
      <c r="G60" s="4966">
        <f>'DCA Underwriting Assumptions'!H158</f>
        <v>252993.59999999998</v>
      </c>
      <c r="H60" s="4967"/>
      <c r="I60" s="4231">
        <f t="shared" si="5"/>
        <v>0</v>
      </c>
      <c r="J60" s="4231"/>
      <c r="K60" s="4247"/>
    </row>
    <row r="61" spans="1:13">
      <c r="A61" s="2579"/>
      <c r="B61" s="928"/>
      <c r="C61" s="917">
        <f>SUMIF(C33:C51, "3", H33:H51)</f>
        <v>0</v>
      </c>
      <c r="D61" s="990">
        <f t="shared" si="4"/>
        <v>0</v>
      </c>
      <c r="E61" s="4227" t="s">
        <v>4633</v>
      </c>
      <c r="F61" s="4228"/>
      <c r="G61" s="4966">
        <f>'DCA Underwriting Assumptions'!H159</f>
        <v>327292.79999999999</v>
      </c>
      <c r="H61" s="4967"/>
      <c r="I61" s="4231">
        <f t="shared" si="5"/>
        <v>0</v>
      </c>
      <c r="J61" s="4231"/>
      <c r="K61" s="4247"/>
    </row>
    <row r="62" spans="1:13">
      <c r="A62" s="2579"/>
      <c r="B62" s="928"/>
      <c r="C62" s="917">
        <f>SUMIF(C33:C51, "4", H33:H51)</f>
        <v>0</v>
      </c>
      <c r="D62" s="990">
        <f t="shared" si="4"/>
        <v>0</v>
      </c>
      <c r="E62" s="4227" t="s">
        <v>4634</v>
      </c>
      <c r="F62" s="4228"/>
      <c r="G62" s="4966">
        <f>'DCA Underwriting Assumptions'!H160</f>
        <v>359263.2</v>
      </c>
      <c r="H62" s="4967"/>
      <c r="I62" s="4231">
        <f t="shared" si="5"/>
        <v>0</v>
      </c>
      <c r="J62" s="4231"/>
      <c r="K62" s="4247"/>
    </row>
    <row r="63" spans="1:13">
      <c r="A63" s="988"/>
      <c r="B63" s="929"/>
      <c r="C63" s="918">
        <f>SUMIF(C33:C51, "5", H33:H51)</f>
        <v>0</v>
      </c>
      <c r="D63" s="991">
        <f t="shared" si="4"/>
        <v>0</v>
      </c>
      <c r="E63" s="4232" t="s">
        <v>4635</v>
      </c>
      <c r="F63" s="4233"/>
      <c r="G63" s="4964">
        <f>'DCA Underwriting Assumptions'!H160</f>
        <v>359263.2</v>
      </c>
      <c r="H63" s="4965"/>
      <c r="I63" s="4234">
        <f t="shared" si="5"/>
        <v>0</v>
      </c>
      <c r="J63" s="4234"/>
      <c r="K63" s="931"/>
    </row>
    <row r="64" spans="1:13" ht="14.4" thickBot="1">
      <c r="A64" s="2859" t="s">
        <v>4636</v>
      </c>
      <c r="B64" s="2860">
        <f>SUM(C58:C63)</f>
        <v>0</v>
      </c>
      <c r="C64" s="2861"/>
      <c r="D64" s="2861">
        <f>SUM(D58:D63)</f>
        <v>0</v>
      </c>
      <c r="E64" s="2862"/>
      <c r="F64" s="2862"/>
      <c r="G64" s="2862"/>
      <c r="H64" s="2862"/>
      <c r="I64" s="2862"/>
      <c r="J64" s="2863" t="s">
        <v>4637</v>
      </c>
      <c r="K64" s="2864">
        <f>SUM(I58:I62)</f>
        <v>0</v>
      </c>
    </row>
    <row r="65" spans="1:11">
      <c r="A65" s="4235"/>
      <c r="B65" s="4235"/>
      <c r="C65" s="4235"/>
      <c r="D65" s="4235"/>
      <c r="E65" s="4235"/>
      <c r="F65" s="4235"/>
      <c r="G65" s="4235"/>
      <c r="H65" s="4235"/>
      <c r="I65" s="4235"/>
      <c r="J65" s="4235"/>
    </row>
    <row r="66" spans="1:11">
      <c r="A66" s="4236" t="s">
        <v>4638</v>
      </c>
      <c r="B66" s="4237"/>
      <c r="C66" s="4237"/>
      <c r="D66" s="4237"/>
      <c r="E66" s="4237"/>
      <c r="F66" s="4237"/>
      <c r="G66" s="4237"/>
      <c r="H66" s="4237"/>
      <c r="I66" s="4237"/>
      <c r="J66" s="4237"/>
      <c r="K66" s="4238"/>
    </row>
    <row r="67" spans="1:11" ht="15" customHeight="1">
      <c r="A67" s="2865"/>
      <c r="B67" s="2866"/>
      <c r="C67" s="2866"/>
      <c r="D67" s="2866"/>
      <c r="E67" s="2866" t="s">
        <v>4639</v>
      </c>
      <c r="F67" s="2866"/>
      <c r="G67" s="2866"/>
      <c r="H67" s="2866"/>
      <c r="I67" s="2866"/>
      <c r="J67" s="2855"/>
      <c r="K67" s="2867">
        <f>J11</f>
        <v>0</v>
      </c>
    </row>
    <row r="68" spans="1:11">
      <c r="A68" s="926"/>
      <c r="E68" s="904" t="s">
        <v>4640</v>
      </c>
      <c r="J68" s="928"/>
      <c r="K68" s="2867" t="e">
        <f>K54</f>
        <v>#VALUE!</v>
      </c>
    </row>
    <row r="69" spans="1:11" ht="14.4" thickBot="1">
      <c r="A69" s="927"/>
      <c r="B69" s="912"/>
      <c r="C69" s="912"/>
      <c r="D69" s="912"/>
      <c r="E69" s="912" t="s">
        <v>4641</v>
      </c>
      <c r="F69" s="912"/>
      <c r="G69" s="912"/>
      <c r="H69" s="912"/>
      <c r="I69" s="912"/>
      <c r="J69" s="929"/>
      <c r="K69" s="2868">
        <f>K64</f>
        <v>0</v>
      </c>
    </row>
    <row r="70" spans="1:11" ht="14.4" thickBot="1">
      <c r="A70" s="2869"/>
      <c r="B70" s="2870"/>
      <c r="C70" s="4226" t="s">
        <v>4642</v>
      </c>
      <c r="D70" s="4226"/>
      <c r="E70" s="4226"/>
      <c r="F70" s="4226"/>
      <c r="G70" s="4226"/>
      <c r="H70" s="4226"/>
      <c r="I70" s="4226"/>
      <c r="J70" s="4226"/>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COlj357BISm5Y7qtNc9hUDWzT7Y9jpGTPh+7W8u6S7JsRnsWD8E2uRyMeU4OBDgPXQNINl9P8aAryLC3TWwcow==" saltValue="9Z+JHiccVwIlSjsXeadZ5Q==" spinCount="100000" sheet="1" objects="1" scenarios="1"/>
  <mergeCells count="74">
    <mergeCell ref="A7:K7"/>
    <mergeCell ref="D3:I3"/>
    <mergeCell ref="D4:I4"/>
    <mergeCell ref="D5:I5"/>
    <mergeCell ref="J3:K3"/>
    <mergeCell ref="J4:K5"/>
    <mergeCell ref="G60:H60"/>
    <mergeCell ref="A18:J18"/>
    <mergeCell ref="A21:J21"/>
    <mergeCell ref="G31:K31"/>
    <mergeCell ref="A9:J9"/>
    <mergeCell ref="A12:J12"/>
    <mergeCell ref="A10:K10"/>
    <mergeCell ref="E32:F32"/>
    <mergeCell ref="E33:F33"/>
    <mergeCell ref="E34:F34"/>
    <mergeCell ref="E35:F35"/>
    <mergeCell ref="E36:F36"/>
    <mergeCell ref="E37:F37"/>
    <mergeCell ref="E38:F38"/>
    <mergeCell ref="E39:F39"/>
    <mergeCell ref="E40:F40"/>
    <mergeCell ref="G62:H62"/>
    <mergeCell ref="C53:J53"/>
    <mergeCell ref="C54:J54"/>
    <mergeCell ref="A55:J55"/>
    <mergeCell ref="E57:F57"/>
    <mergeCell ref="G57:H57"/>
    <mergeCell ref="I57:J57"/>
    <mergeCell ref="A56:K56"/>
    <mergeCell ref="K57:K62"/>
    <mergeCell ref="E58:F58"/>
    <mergeCell ref="G58:H58"/>
    <mergeCell ref="I58:J58"/>
    <mergeCell ref="E59:F59"/>
    <mergeCell ref="G59:H59"/>
    <mergeCell ref="I59:J59"/>
    <mergeCell ref="E60:F60"/>
    <mergeCell ref="I62:J62"/>
    <mergeCell ref="I60:J60"/>
    <mergeCell ref="L32:M53"/>
    <mergeCell ref="C70:J70"/>
    <mergeCell ref="A13:K13"/>
    <mergeCell ref="A30:K30"/>
    <mergeCell ref="B31:F31"/>
    <mergeCell ref="A66:K66"/>
    <mergeCell ref="E63:F63"/>
    <mergeCell ref="G63:H63"/>
    <mergeCell ref="I63:J63"/>
    <mergeCell ref="A65:J65"/>
    <mergeCell ref="E61:F61"/>
    <mergeCell ref="G61:H61"/>
    <mergeCell ref="I61:J61"/>
    <mergeCell ref="E62:F62"/>
    <mergeCell ref="E41:F41"/>
    <mergeCell ref="E42:F42"/>
    <mergeCell ref="E43:F43"/>
    <mergeCell ref="E44:F44"/>
    <mergeCell ref="E45:F45"/>
    <mergeCell ref="E51:F51"/>
    <mergeCell ref="E46:F46"/>
    <mergeCell ref="E47:F47"/>
    <mergeCell ref="E48:F48"/>
    <mergeCell ref="E49:F49"/>
    <mergeCell ref="E50:F50"/>
    <mergeCell ref="J15:K15"/>
    <mergeCell ref="J14:K14"/>
    <mergeCell ref="J11:K11"/>
    <mergeCell ref="J8:K8"/>
    <mergeCell ref="J22:K22"/>
    <mergeCell ref="J20:K20"/>
    <mergeCell ref="J19:K19"/>
    <mergeCell ref="J17:K17"/>
    <mergeCell ref="J16:K16"/>
  </mergeCells>
  <dataValidations count="2">
    <dataValidation type="list" showInputMessage="1" showErrorMessage="1" promptTitle="Response Required" prompt="To treat relocation as common cost of project, choose No.  To treat relocation as a cost exclusive to the HOME-assisted units, enter Yes." sqref="J17" xr:uid="{D5028A76-6D6D-4948-9A49-81CFF875AC5E}">
      <formula1>"No,Yes"</formula1>
    </dataValidation>
    <dataValidation type="list" allowBlank="1" showInputMessage="1" showErrorMessage="1" sqref="C33:C51" xr:uid="{BA8D633C-DC9B-4D05-A00D-73CED4A2B44C}">
      <formula1>"0,1,2,3,4,5"</formula1>
    </dataValidation>
  </dataValidations>
  <printOptions horizontalCentered="1"/>
  <pageMargins left="0.25" right="0.25" top="0.25" bottom="0.25" header="0.05" footer="0.05"/>
  <pageSetup fitToHeight="0" orientation="portrait" r:id="rId1"/>
  <headerFooter>
    <oddFooter>&amp;C&amp;9&amp;P of &amp;N</odd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2">
    <pageSetUpPr fitToPage="1"/>
  </sheetPr>
  <dimension ref="A1:K579"/>
  <sheetViews>
    <sheetView showGridLines="0" zoomScaleNormal="100" workbookViewId="0">
      <selection activeCell="G11" sqref="G11:H11"/>
    </sheetView>
  </sheetViews>
  <sheetFormatPr defaultColWidth="9.21875" defaultRowHeight="13.2"/>
  <cols>
    <col min="1" max="1" width="3.44140625" style="306" customWidth="1"/>
    <col min="2" max="2" width="4.21875" style="306" customWidth="1"/>
    <col min="3" max="3" width="18.5546875" style="306" customWidth="1"/>
    <col min="4" max="4" width="2.77734375" style="306" customWidth="1"/>
    <col min="5" max="5" width="6.5546875" style="306" customWidth="1"/>
    <col min="6" max="6" width="39.21875" style="306" customWidth="1"/>
    <col min="7" max="8" width="8.44140625" style="306" customWidth="1"/>
    <col min="9" max="9" width="9.21875" style="306"/>
    <col min="10" max="10" width="14.21875" style="306" customWidth="1"/>
    <col min="11" max="16384" width="9.21875" style="306"/>
  </cols>
  <sheetData>
    <row r="1" spans="1:11">
      <c r="A1" s="401" t="s">
        <v>7464</v>
      </c>
      <c r="H1" s="446" t="str">
        <f>'Sensitivity Analysis'!C8</f>
        <v>The Groves</v>
      </c>
    </row>
    <row r="2" spans="1:11">
      <c r="A2" s="401" t="s">
        <v>7465</v>
      </c>
      <c r="H2" s="306" t="str">
        <f>'Sensitivity Analysis'!E8</f>
        <v>2026-0xx</v>
      </c>
    </row>
    <row r="3" spans="1:11" ht="3" customHeight="1"/>
    <row r="4" spans="1:11" ht="51.75" customHeight="1">
      <c r="A4" s="4980" t="s">
        <v>7466</v>
      </c>
      <c r="B4" s="4980"/>
      <c r="C4" s="4980"/>
      <c r="D4" s="4980"/>
      <c r="E4" s="4980"/>
      <c r="F4" s="4980"/>
      <c r="G4" s="4980"/>
      <c r="H4" s="4980"/>
      <c r="J4" s="729">
        <f>SUM('Part VI-Pro Forma'!B15:B17)/12</f>
        <v>65788.255799999999</v>
      </c>
      <c r="K4" s="728" t="s">
        <v>7467</v>
      </c>
    </row>
    <row r="5" spans="1:11" ht="1.5" customHeight="1"/>
    <row r="6" spans="1:11" ht="12.75" customHeight="1">
      <c r="B6" s="465" t="s">
        <v>6477</v>
      </c>
      <c r="C6" s="4980" t="s">
        <v>7468</v>
      </c>
      <c r="D6" s="4980"/>
      <c r="E6" s="4980"/>
      <c r="F6" s="4980"/>
      <c r="G6" s="4980"/>
      <c r="H6" s="4980"/>
    </row>
    <row r="7" spans="1:11" ht="12.75" customHeight="1">
      <c r="B7" s="465" t="s">
        <v>6479</v>
      </c>
      <c r="C7" s="4980" t="s">
        <v>7469</v>
      </c>
      <c r="D7" s="4980"/>
      <c r="E7" s="4980"/>
      <c r="F7" s="4980"/>
      <c r="G7" s="4980"/>
      <c r="H7" s="4980"/>
    </row>
    <row r="8" spans="1:11" ht="3" customHeight="1"/>
    <row r="9" spans="1:11">
      <c r="A9" s="306" t="s">
        <v>7470</v>
      </c>
    </row>
    <row r="10" spans="1:11" ht="1.5" customHeight="1"/>
    <row r="11" spans="1:11" ht="26.25" customHeight="1">
      <c r="A11" s="466" t="s">
        <v>186</v>
      </c>
      <c r="B11" s="4984" t="s">
        <v>7471</v>
      </c>
      <c r="C11" s="4984"/>
      <c r="D11" s="4984"/>
      <c r="E11" s="4984"/>
      <c r="F11" s="4984"/>
      <c r="G11" s="4985">
        <f>'Part II-Sources of Funds'!I53+'Part II-Sources of Funds'!I54</f>
        <v>14885000</v>
      </c>
      <c r="H11" s="4985"/>
    </row>
    <row r="12" spans="1:11" ht="1.5" customHeight="1">
      <c r="G12" s="447"/>
      <c r="H12" s="447"/>
    </row>
    <row r="13" spans="1:11" ht="26.25" customHeight="1">
      <c r="A13" s="466" t="s">
        <v>198</v>
      </c>
      <c r="B13" s="4984" t="s">
        <v>7472</v>
      </c>
      <c r="C13" s="4984"/>
      <c r="D13" s="4984"/>
      <c r="E13" s="4984"/>
      <c r="F13" s="4984"/>
      <c r="G13" s="4986" t="s">
        <v>7390</v>
      </c>
      <c r="H13" s="4986"/>
    </row>
    <row r="14" spans="1:11" ht="12" hidden="1" customHeight="1">
      <c r="A14" s="466"/>
      <c r="B14" s="4941"/>
      <c r="C14" s="4941"/>
      <c r="D14" s="4941"/>
      <c r="E14" s="4941"/>
      <c r="F14" s="4941"/>
      <c r="G14" s="4941"/>
      <c r="H14" s="4941"/>
    </row>
    <row r="15" spans="1:11" ht="1.5" customHeight="1"/>
    <row r="16" spans="1:11" ht="12" customHeight="1">
      <c r="A16" s="466" t="s">
        <v>219</v>
      </c>
      <c r="B16" s="306" t="s">
        <v>7473</v>
      </c>
      <c r="G16" s="4987" t="s">
        <v>7474</v>
      </c>
      <c r="H16" s="4987"/>
    </row>
    <row r="17" spans="1:8" ht="1.5" customHeight="1">
      <c r="G17" s="450"/>
    </row>
    <row r="18" spans="1:8" ht="12" customHeight="1">
      <c r="A18" s="466" t="s">
        <v>221</v>
      </c>
      <c r="B18" s="447" t="s">
        <v>7475</v>
      </c>
      <c r="C18" s="466"/>
      <c r="D18" s="466"/>
      <c r="E18" s="466"/>
      <c r="G18" s="4941" t="s">
        <v>2103</v>
      </c>
      <c r="H18" s="4941"/>
    </row>
    <row r="19" spans="1:8" ht="12" hidden="1" customHeight="1">
      <c r="B19" s="4941"/>
      <c r="C19" s="4941"/>
      <c r="D19" s="4941"/>
      <c r="E19" s="4941"/>
      <c r="F19" s="4941"/>
      <c r="G19" s="4941"/>
      <c r="H19" s="4941"/>
    </row>
    <row r="20" spans="1:8" ht="13.5" customHeight="1"/>
    <row r="21" spans="1:8" ht="12" customHeight="1">
      <c r="A21" s="401" t="s">
        <v>7258</v>
      </c>
    </row>
    <row r="22" spans="1:8" ht="3" customHeight="1"/>
    <row r="23" spans="1:8" ht="24.75" customHeight="1">
      <c r="A23" s="4988" t="s">
        <v>7476</v>
      </c>
      <c r="B23" s="4988"/>
      <c r="C23" s="4988"/>
      <c r="D23" s="4988"/>
      <c r="E23" s="4988"/>
      <c r="F23" s="4988"/>
      <c r="G23" s="4988"/>
      <c r="H23" s="4988"/>
    </row>
    <row r="24" spans="1:8" ht="9" customHeight="1" thickBot="1">
      <c r="A24" s="443"/>
    </row>
    <row r="25" spans="1:8" ht="16.2" customHeight="1" thickBot="1">
      <c r="A25" s="4981">
        <v>20</v>
      </c>
      <c r="B25" s="4982"/>
      <c r="C25" s="982" t="s">
        <v>1213</v>
      </c>
    </row>
    <row r="26" spans="1:8" ht="9" customHeight="1">
      <c r="A26" s="443"/>
    </row>
    <row r="27" spans="1:8" ht="28.2" customHeight="1">
      <c r="A27" s="4980" t="s">
        <v>7477</v>
      </c>
      <c r="B27" s="4980"/>
      <c r="C27" s="4980"/>
      <c r="D27" s="4980"/>
      <c r="E27" s="4980"/>
      <c r="F27" s="4980"/>
      <c r="G27" s="4980"/>
      <c r="H27" s="4980"/>
    </row>
    <row r="28" spans="1:8" ht="9" customHeight="1">
      <c r="A28" s="443"/>
    </row>
    <row r="29" spans="1:8">
      <c r="A29" s="450" t="s">
        <v>7478</v>
      </c>
      <c r="B29" s="467" t="str">
        <f>IF('Part V-Revenues &amp; Expenses'!$K$71=0,"",'Part V-Revenues &amp; Expenses'!$K$71)</f>
        <v/>
      </c>
      <c r="C29" s="450" t="s">
        <v>7479</v>
      </c>
      <c r="D29" s="468" t="s">
        <v>7480</v>
      </c>
    </row>
    <row r="30" spans="1:8" ht="1.95" customHeight="1"/>
    <row r="31" spans="1:8" ht="12.75" customHeight="1">
      <c r="C31" s="447" t="s">
        <v>7481</v>
      </c>
      <c r="D31" s="469" t="s">
        <v>201</v>
      </c>
      <c r="E31" s="470"/>
      <c r="F31" s="4980" t="s">
        <v>7482</v>
      </c>
      <c r="G31" s="4980"/>
      <c r="H31" s="4980"/>
    </row>
    <row r="32" spans="1:8" ht="12.75" customHeight="1">
      <c r="C32" s="471" t="s">
        <v>327</v>
      </c>
      <c r="D32" s="469" t="s">
        <v>209</v>
      </c>
      <c r="E32" s="4980" t="s">
        <v>7483</v>
      </c>
      <c r="F32" s="4980"/>
      <c r="G32" s="4980"/>
      <c r="H32" s="4980"/>
    </row>
    <row r="33" spans="1:11" ht="12.75" customHeight="1">
      <c r="C33" s="2630" t="s">
        <v>7484</v>
      </c>
      <c r="E33" s="4980" t="s">
        <v>7485</v>
      </c>
      <c r="F33" s="4980"/>
      <c r="G33" s="4980"/>
      <c r="H33" s="4980"/>
    </row>
    <row r="34" spans="1:11" ht="12.75" customHeight="1">
      <c r="C34" s="981"/>
      <c r="D34" s="980" t="s">
        <v>6814</v>
      </c>
      <c r="E34" s="4983" t="s">
        <v>7486</v>
      </c>
      <c r="F34" s="4983"/>
      <c r="G34" s="4983"/>
      <c r="H34" s="4983"/>
    </row>
    <row r="35" spans="1:11" ht="3" customHeight="1">
      <c r="D35" s="469"/>
      <c r="E35" s="2635"/>
      <c r="F35" s="2635"/>
      <c r="G35" s="2635"/>
      <c r="H35" s="2635"/>
    </row>
    <row r="36" spans="1:11" ht="12.75" customHeight="1">
      <c r="C36" s="447" t="s">
        <v>7481</v>
      </c>
      <c r="D36" s="469" t="s">
        <v>201</v>
      </c>
      <c r="E36" s="470"/>
      <c r="F36" s="466" t="s">
        <v>7482</v>
      </c>
      <c r="G36" s="466"/>
      <c r="H36" s="466"/>
    </row>
    <row r="37" spans="1:11" ht="12.75" customHeight="1">
      <c r="C37" s="471" t="s">
        <v>327</v>
      </c>
      <c r="D37" s="469" t="s">
        <v>209</v>
      </c>
      <c r="E37" s="4980" t="s">
        <v>7483</v>
      </c>
      <c r="F37" s="4980"/>
      <c r="G37" s="4980"/>
      <c r="H37" s="4980"/>
    </row>
    <row r="38" spans="1:11" ht="12.75" customHeight="1">
      <c r="C38" s="2630" t="s">
        <v>7484</v>
      </c>
      <c r="E38" s="4980" t="s">
        <v>7485</v>
      </c>
      <c r="F38" s="4980"/>
      <c r="G38" s="4980"/>
      <c r="H38" s="4980"/>
    </row>
    <row r="39" spans="1:11" ht="12.75" customHeight="1">
      <c r="C39" s="981"/>
      <c r="D39" s="980" t="s">
        <v>6814</v>
      </c>
      <c r="E39" s="4983" t="s">
        <v>7486</v>
      </c>
      <c r="F39" s="4983"/>
      <c r="G39" s="4983"/>
      <c r="H39" s="4983"/>
    </row>
    <row r="40" spans="1:11" ht="3" customHeight="1">
      <c r="D40" s="469"/>
      <c r="E40" s="2635"/>
      <c r="F40" s="2635"/>
      <c r="G40" s="2635"/>
      <c r="H40" s="2635"/>
    </row>
    <row r="41" spans="1:11" ht="12.75" customHeight="1">
      <c r="C41" s="447" t="s">
        <v>7481</v>
      </c>
      <c r="D41" s="469" t="s">
        <v>201</v>
      </c>
      <c r="E41" s="470"/>
      <c r="F41" s="466" t="s">
        <v>7482</v>
      </c>
      <c r="G41" s="466"/>
      <c r="H41" s="466"/>
    </row>
    <row r="42" spans="1:11" ht="12.75" customHeight="1">
      <c r="C42" s="471" t="s">
        <v>327</v>
      </c>
      <c r="D42" s="469" t="s">
        <v>209</v>
      </c>
      <c r="E42" s="4980" t="s">
        <v>7483</v>
      </c>
      <c r="F42" s="4980"/>
      <c r="G42" s="4980"/>
      <c r="H42" s="4980"/>
    </row>
    <row r="43" spans="1:11" ht="12.75" customHeight="1">
      <c r="C43" s="2630" t="s">
        <v>7484</v>
      </c>
      <c r="E43" s="4980" t="s">
        <v>7485</v>
      </c>
      <c r="F43" s="4980"/>
      <c r="G43" s="4980"/>
      <c r="H43" s="4980"/>
    </row>
    <row r="44" spans="1:11" ht="12.75" customHeight="1">
      <c r="C44" s="981"/>
      <c r="D44" s="980" t="s">
        <v>6814</v>
      </c>
      <c r="E44" s="4983" t="s">
        <v>7486</v>
      </c>
      <c r="F44" s="4983"/>
      <c r="G44" s="4983"/>
      <c r="H44" s="4983"/>
    </row>
    <row r="45" spans="1:11" ht="6" customHeight="1">
      <c r="D45" s="469"/>
      <c r="E45" s="2635"/>
      <c r="F45" s="2635"/>
      <c r="G45" s="2635"/>
      <c r="H45" s="2635"/>
    </row>
    <row r="46" spans="1:11">
      <c r="A46" s="450" t="s">
        <v>7478</v>
      </c>
      <c r="B46" s="467" t="str">
        <f>IF('Part V-Revenues &amp; Expenses'!$L$71=0,"",'Part V-Revenues &amp; Expenses'!$L$71)</f>
        <v/>
      </c>
      <c r="C46" s="450" t="s">
        <v>7487</v>
      </c>
      <c r="D46" s="468" t="s">
        <v>7488</v>
      </c>
    </row>
    <row r="47" spans="1:11" ht="1.95" customHeight="1">
      <c r="K47" s="2631"/>
    </row>
    <row r="48" spans="1:11" ht="12.75" customHeight="1">
      <c r="C48" s="447" t="s">
        <v>7481</v>
      </c>
      <c r="D48" s="469" t="s">
        <v>201</v>
      </c>
      <c r="E48" s="470"/>
      <c r="F48" s="466" t="s">
        <v>7482</v>
      </c>
      <c r="G48" s="466"/>
      <c r="H48" s="466"/>
      <c r="K48" s="2631"/>
    </row>
    <row r="49" spans="1:11" ht="12.75" customHeight="1">
      <c r="C49" s="471" t="s">
        <v>327</v>
      </c>
      <c r="D49" s="469" t="s">
        <v>209</v>
      </c>
      <c r="E49" s="4980" t="s">
        <v>7483</v>
      </c>
      <c r="F49" s="4980"/>
      <c r="G49" s="4980"/>
      <c r="H49" s="4980"/>
      <c r="K49" s="2631"/>
    </row>
    <row r="50" spans="1:11" ht="12.75" customHeight="1">
      <c r="C50" s="2630" t="s">
        <v>7484</v>
      </c>
      <c r="E50" s="4980" t="s">
        <v>7485</v>
      </c>
      <c r="F50" s="4980"/>
      <c r="G50" s="4980"/>
      <c r="H50" s="4980"/>
    </row>
    <row r="51" spans="1:11" ht="12.75" customHeight="1">
      <c r="C51" s="981"/>
      <c r="D51" s="472" t="s">
        <v>6814</v>
      </c>
      <c r="E51" s="4980" t="s">
        <v>7486</v>
      </c>
      <c r="F51" s="4980"/>
      <c r="G51" s="4980"/>
      <c r="H51" s="4980"/>
    </row>
    <row r="52" spans="1:11" ht="3" customHeight="1">
      <c r="D52" s="469"/>
      <c r="E52" s="2635"/>
      <c r="F52" s="2635"/>
      <c r="G52" s="2635"/>
      <c r="H52" s="2635"/>
    </row>
    <row r="53" spans="1:11" ht="12.75" customHeight="1">
      <c r="C53" s="447" t="s">
        <v>7481</v>
      </c>
      <c r="D53" s="469" t="s">
        <v>201</v>
      </c>
      <c r="E53" s="470"/>
      <c r="F53" s="466" t="s">
        <v>7482</v>
      </c>
      <c r="G53" s="466"/>
      <c r="H53" s="466"/>
    </row>
    <row r="54" spans="1:11" ht="12.75" customHeight="1">
      <c r="C54" s="471" t="s">
        <v>327</v>
      </c>
      <c r="D54" s="469" t="s">
        <v>209</v>
      </c>
      <c r="E54" s="4980" t="s">
        <v>7483</v>
      </c>
      <c r="F54" s="4980"/>
      <c r="G54" s="4980"/>
      <c r="H54" s="4980"/>
    </row>
    <row r="55" spans="1:11" ht="12.75" customHeight="1">
      <c r="C55" s="2630" t="s">
        <v>7484</v>
      </c>
      <c r="E55" s="4980" t="s">
        <v>7485</v>
      </c>
      <c r="F55" s="4980"/>
      <c r="G55" s="4980"/>
      <c r="H55" s="4980"/>
    </row>
    <row r="56" spans="1:11" ht="12.75" customHeight="1">
      <c r="C56" s="981"/>
      <c r="D56" s="980" t="s">
        <v>6814</v>
      </c>
      <c r="E56" s="4983" t="s">
        <v>7486</v>
      </c>
      <c r="F56" s="4983"/>
      <c r="G56" s="4983"/>
      <c r="H56" s="4983"/>
    </row>
    <row r="57" spans="1:11" ht="3" customHeight="1">
      <c r="D57" s="469"/>
      <c r="E57" s="2635"/>
      <c r="F57" s="2635"/>
      <c r="G57" s="2635"/>
      <c r="H57" s="2635"/>
    </row>
    <row r="58" spans="1:11" ht="12.75" customHeight="1">
      <c r="C58" s="447" t="s">
        <v>7481</v>
      </c>
      <c r="D58" s="469" t="s">
        <v>201</v>
      </c>
      <c r="E58" s="470"/>
      <c r="F58" s="466" t="s">
        <v>7482</v>
      </c>
      <c r="G58" s="466"/>
      <c r="H58" s="466"/>
    </row>
    <row r="59" spans="1:11" ht="12.75" customHeight="1">
      <c r="C59" s="471" t="s">
        <v>327</v>
      </c>
      <c r="D59" s="469" t="s">
        <v>209</v>
      </c>
      <c r="E59" s="4980" t="s">
        <v>7483</v>
      </c>
      <c r="F59" s="4980"/>
      <c r="G59" s="4980"/>
      <c r="H59" s="4980"/>
    </row>
    <row r="60" spans="1:11" ht="12.75" customHeight="1">
      <c r="C60" s="2630" t="s">
        <v>7484</v>
      </c>
      <c r="E60" s="4980" t="s">
        <v>7485</v>
      </c>
      <c r="F60" s="4980"/>
      <c r="G60" s="4980"/>
      <c r="H60" s="4980"/>
    </row>
    <row r="61" spans="1:11" ht="12.75" customHeight="1">
      <c r="C61" s="981"/>
      <c r="D61" s="980" t="s">
        <v>6814</v>
      </c>
      <c r="E61" s="4983" t="s">
        <v>7486</v>
      </c>
      <c r="F61" s="4983"/>
      <c r="G61" s="4983"/>
      <c r="H61" s="4983"/>
    </row>
    <row r="62" spans="1:11" ht="6" customHeight="1">
      <c r="D62" s="469"/>
      <c r="E62" s="2635"/>
      <c r="F62" s="2635"/>
      <c r="G62" s="2635"/>
      <c r="H62" s="2635"/>
    </row>
    <row r="63" spans="1:11">
      <c r="A63" s="450" t="s">
        <v>7478</v>
      </c>
      <c r="B63" s="467" t="str">
        <f>IF('Part V-Revenues &amp; Expenses'!$M$71=0,"",'Part V-Revenues &amp; Expenses'!$M$71)</f>
        <v/>
      </c>
      <c r="C63" s="450" t="s">
        <v>7489</v>
      </c>
      <c r="D63" s="468" t="s">
        <v>7490</v>
      </c>
    </row>
    <row r="64" spans="1:11" ht="1.95" customHeight="1"/>
    <row r="65" spans="1:8" ht="12.75" customHeight="1">
      <c r="C65" s="447" t="s">
        <v>7481</v>
      </c>
      <c r="D65" s="469" t="s">
        <v>201</v>
      </c>
      <c r="E65" s="470"/>
      <c r="F65" s="466" t="s">
        <v>7482</v>
      </c>
      <c r="G65" s="466"/>
      <c r="H65" s="466"/>
    </row>
    <row r="66" spans="1:8" ht="12.75" customHeight="1">
      <c r="C66" s="471" t="s">
        <v>327</v>
      </c>
      <c r="D66" s="469" t="s">
        <v>209</v>
      </c>
      <c r="E66" s="4980" t="s">
        <v>7483</v>
      </c>
      <c r="F66" s="4980"/>
      <c r="G66" s="4980"/>
      <c r="H66" s="4980"/>
    </row>
    <row r="67" spans="1:8" ht="12.75" customHeight="1">
      <c r="C67" s="2630" t="s">
        <v>7484</v>
      </c>
      <c r="E67" s="4980" t="s">
        <v>7485</v>
      </c>
      <c r="F67" s="4980"/>
      <c r="G67" s="4980"/>
      <c r="H67" s="4980"/>
    </row>
    <row r="68" spans="1:8" ht="12.75" customHeight="1">
      <c r="C68" s="981"/>
      <c r="D68" s="472" t="s">
        <v>6814</v>
      </c>
      <c r="E68" s="4980" t="s">
        <v>7486</v>
      </c>
      <c r="F68" s="4980"/>
      <c r="G68" s="4980"/>
      <c r="H68" s="4980"/>
    </row>
    <row r="69" spans="1:8" ht="3" customHeight="1">
      <c r="D69" s="469"/>
      <c r="E69" s="2635"/>
      <c r="F69" s="2635"/>
      <c r="G69" s="2635"/>
      <c r="H69" s="2635"/>
    </row>
    <row r="70" spans="1:8" ht="12.75" customHeight="1">
      <c r="C70" s="447" t="s">
        <v>7481</v>
      </c>
      <c r="D70" s="469" t="s">
        <v>201</v>
      </c>
      <c r="E70" s="470"/>
      <c r="F70" s="466" t="s">
        <v>7482</v>
      </c>
      <c r="G70" s="466"/>
      <c r="H70" s="466"/>
    </row>
    <row r="71" spans="1:8" ht="12.75" customHeight="1">
      <c r="C71" s="471" t="s">
        <v>327</v>
      </c>
      <c r="D71" s="469" t="s">
        <v>209</v>
      </c>
      <c r="E71" s="4980" t="s">
        <v>7483</v>
      </c>
      <c r="F71" s="4980"/>
      <c r="G71" s="4980"/>
      <c r="H71" s="4980"/>
    </row>
    <row r="72" spans="1:8" ht="12.75" customHeight="1">
      <c r="C72" s="2630" t="s">
        <v>7484</v>
      </c>
      <c r="E72" s="4980" t="s">
        <v>7485</v>
      </c>
      <c r="F72" s="4980"/>
      <c r="G72" s="4980"/>
      <c r="H72" s="4980"/>
    </row>
    <row r="73" spans="1:8" ht="12.75" customHeight="1">
      <c r="C73" s="981"/>
      <c r="D73" s="980" t="s">
        <v>6814</v>
      </c>
      <c r="E73" s="4983" t="s">
        <v>7486</v>
      </c>
      <c r="F73" s="4983"/>
      <c r="G73" s="4983"/>
      <c r="H73" s="4983"/>
    </row>
    <row r="74" spans="1:8" ht="3" customHeight="1">
      <c r="D74" s="469"/>
      <c r="E74" s="2635"/>
      <c r="F74" s="2635"/>
      <c r="G74" s="2635"/>
      <c r="H74" s="2635"/>
    </row>
    <row r="75" spans="1:8" ht="12.75" customHeight="1">
      <c r="C75" s="447" t="s">
        <v>7481</v>
      </c>
      <c r="D75" s="469" t="s">
        <v>201</v>
      </c>
      <c r="E75" s="470"/>
      <c r="F75" s="466" t="s">
        <v>7482</v>
      </c>
      <c r="G75" s="466"/>
      <c r="H75" s="466"/>
    </row>
    <row r="76" spans="1:8" ht="12.75" customHeight="1">
      <c r="C76" s="471" t="s">
        <v>327</v>
      </c>
      <c r="D76" s="469" t="s">
        <v>209</v>
      </c>
      <c r="E76" s="4980" t="s">
        <v>7483</v>
      </c>
      <c r="F76" s="4980"/>
      <c r="G76" s="4980"/>
      <c r="H76" s="4980"/>
    </row>
    <row r="77" spans="1:8" ht="12.75" customHeight="1">
      <c r="C77" s="2630" t="s">
        <v>7484</v>
      </c>
      <c r="E77" s="4980" t="s">
        <v>7485</v>
      </c>
      <c r="F77" s="4980"/>
      <c r="G77" s="4980"/>
      <c r="H77" s="4980"/>
    </row>
    <row r="78" spans="1:8" ht="12.75" customHeight="1">
      <c r="C78" s="981"/>
      <c r="D78" s="980" t="s">
        <v>6814</v>
      </c>
      <c r="E78" s="4983" t="s">
        <v>7486</v>
      </c>
      <c r="F78" s="4983"/>
      <c r="G78" s="4983"/>
      <c r="H78" s="4983"/>
    </row>
    <row r="79" spans="1:8" ht="6" customHeight="1">
      <c r="D79" s="469"/>
      <c r="E79" s="2635"/>
      <c r="F79" s="2635"/>
      <c r="G79" s="2635"/>
      <c r="H79" s="2635"/>
    </row>
    <row r="80" spans="1:8">
      <c r="A80" s="450" t="s">
        <v>7478</v>
      </c>
      <c r="B80" s="467" t="str">
        <f>IF('Part V-Revenues &amp; Expenses'!$N$71=0,"",'Part V-Revenues &amp; Expenses'!$N$71)</f>
        <v/>
      </c>
      <c r="C80" s="450" t="s">
        <v>7491</v>
      </c>
      <c r="D80" s="468" t="s">
        <v>7492</v>
      </c>
    </row>
    <row r="81" spans="3:8" ht="1.95" customHeight="1"/>
    <row r="82" spans="3:8" ht="12.75" customHeight="1">
      <c r="C82" s="447" t="s">
        <v>7481</v>
      </c>
      <c r="D82" s="469" t="s">
        <v>201</v>
      </c>
      <c r="E82" s="470"/>
      <c r="F82" s="466" t="s">
        <v>7482</v>
      </c>
      <c r="G82" s="466"/>
      <c r="H82" s="466"/>
    </row>
    <row r="83" spans="3:8" ht="12.75" customHeight="1">
      <c r="C83" s="471" t="s">
        <v>327</v>
      </c>
      <c r="D83" s="469" t="s">
        <v>209</v>
      </c>
      <c r="E83" s="4980" t="s">
        <v>7483</v>
      </c>
      <c r="F83" s="4980"/>
      <c r="G83" s="4980"/>
      <c r="H83" s="4980"/>
    </row>
    <row r="84" spans="3:8" ht="12.75" customHeight="1">
      <c r="C84" s="2630" t="s">
        <v>7484</v>
      </c>
      <c r="E84" s="4980" t="s">
        <v>7485</v>
      </c>
      <c r="F84" s="4980"/>
      <c r="G84" s="4980"/>
      <c r="H84" s="4980"/>
    </row>
    <row r="85" spans="3:8" ht="12.75" customHeight="1">
      <c r="C85" s="981"/>
      <c r="D85" s="472" t="s">
        <v>6814</v>
      </c>
      <c r="E85" s="4980" t="s">
        <v>7486</v>
      </c>
      <c r="F85" s="4980"/>
      <c r="G85" s="4980"/>
      <c r="H85" s="4980"/>
    </row>
    <row r="86" spans="3:8" ht="3" customHeight="1">
      <c r="D86" s="469"/>
      <c r="E86" s="2635"/>
      <c r="F86" s="2635"/>
      <c r="G86" s="2635"/>
      <c r="H86" s="2635"/>
    </row>
    <row r="87" spans="3:8" ht="12.75" customHeight="1">
      <c r="C87" s="447" t="s">
        <v>7481</v>
      </c>
      <c r="D87" s="469" t="s">
        <v>201</v>
      </c>
      <c r="E87" s="470"/>
      <c r="F87" s="466" t="s">
        <v>7482</v>
      </c>
      <c r="G87" s="466"/>
      <c r="H87" s="466"/>
    </row>
    <row r="88" spans="3:8" ht="12.75" customHeight="1">
      <c r="C88" s="471" t="s">
        <v>327</v>
      </c>
      <c r="D88" s="469" t="s">
        <v>209</v>
      </c>
      <c r="E88" s="4980" t="s">
        <v>7483</v>
      </c>
      <c r="F88" s="4980"/>
      <c r="G88" s="4980"/>
      <c r="H88" s="4980"/>
    </row>
    <row r="89" spans="3:8" ht="12.75" customHeight="1">
      <c r="C89" s="2630" t="s">
        <v>7484</v>
      </c>
      <c r="E89" s="4980" t="s">
        <v>7485</v>
      </c>
      <c r="F89" s="4980"/>
      <c r="G89" s="4980"/>
      <c r="H89" s="4980"/>
    </row>
    <row r="90" spans="3:8" ht="12.75" customHeight="1">
      <c r="C90" s="981"/>
      <c r="D90" s="980" t="s">
        <v>6814</v>
      </c>
      <c r="E90" s="4983" t="s">
        <v>7486</v>
      </c>
      <c r="F90" s="4983"/>
      <c r="G90" s="4983"/>
      <c r="H90" s="4983"/>
    </row>
    <row r="91" spans="3:8" ht="3" customHeight="1">
      <c r="D91" s="469"/>
      <c r="E91" s="2635"/>
      <c r="F91" s="2635"/>
      <c r="G91" s="2635"/>
      <c r="H91" s="2635"/>
    </row>
    <row r="92" spans="3:8" ht="12.75" customHeight="1">
      <c r="C92" s="447" t="s">
        <v>7481</v>
      </c>
      <c r="D92" s="469" t="s">
        <v>201</v>
      </c>
      <c r="E92" s="470"/>
      <c r="F92" s="466" t="s">
        <v>7482</v>
      </c>
      <c r="G92" s="466"/>
      <c r="H92" s="466"/>
    </row>
    <row r="93" spans="3:8" ht="12.75" customHeight="1">
      <c r="C93" s="471" t="s">
        <v>327</v>
      </c>
      <c r="D93" s="469" t="s">
        <v>209</v>
      </c>
      <c r="E93" s="4980" t="s">
        <v>7483</v>
      </c>
      <c r="F93" s="4980"/>
      <c r="G93" s="4980"/>
      <c r="H93" s="4980"/>
    </row>
    <row r="94" spans="3:8" ht="12.75" customHeight="1">
      <c r="C94" s="2630" t="s">
        <v>7484</v>
      </c>
      <c r="E94" s="4980" t="s">
        <v>7485</v>
      </c>
      <c r="F94" s="4980"/>
      <c r="G94" s="4980"/>
      <c r="H94" s="4980"/>
    </row>
    <row r="95" spans="3:8" ht="12.75" customHeight="1">
      <c r="C95" s="981"/>
      <c r="D95" s="980" t="s">
        <v>6814</v>
      </c>
      <c r="E95" s="4983" t="s">
        <v>7486</v>
      </c>
      <c r="F95" s="4983"/>
      <c r="G95" s="4983"/>
      <c r="H95" s="4983"/>
    </row>
    <row r="96" spans="3:8" ht="6" customHeight="1">
      <c r="D96" s="469"/>
      <c r="E96" s="2635"/>
      <c r="F96" s="2635"/>
      <c r="G96" s="2635"/>
      <c r="H96" s="2635"/>
    </row>
    <row r="97" spans="1:11">
      <c r="A97" s="450" t="s">
        <v>7478</v>
      </c>
      <c r="B97" s="467" t="str">
        <f>IF('Part V-Revenues &amp; Expenses'!$O$71=0,"",'Part V-Revenues &amp; Expenses'!$O$71)</f>
        <v/>
      </c>
      <c r="C97" s="450" t="s">
        <v>7493</v>
      </c>
      <c r="D97" s="468" t="s">
        <v>7494</v>
      </c>
    </row>
    <row r="98" spans="1:11" ht="1.95" customHeight="1"/>
    <row r="99" spans="1:11" ht="12.75" customHeight="1">
      <c r="C99" s="447" t="s">
        <v>7481</v>
      </c>
      <c r="D99" s="469" t="s">
        <v>201</v>
      </c>
      <c r="E99" s="470"/>
      <c r="F99" s="4980" t="s">
        <v>7482</v>
      </c>
      <c r="G99" s="4980"/>
      <c r="H99" s="4980"/>
      <c r="K99" s="306" t="s">
        <v>7021</v>
      </c>
    </row>
    <row r="100" spans="1:11" ht="12.75" customHeight="1">
      <c r="C100" s="471" t="s">
        <v>327</v>
      </c>
      <c r="D100" s="469" t="s">
        <v>209</v>
      </c>
      <c r="E100" s="4980" t="s">
        <v>7495</v>
      </c>
      <c r="F100" s="4980"/>
      <c r="G100" s="4980"/>
      <c r="H100" s="4980"/>
    </row>
    <row r="101" spans="1:11" ht="12.75" customHeight="1">
      <c r="E101" s="4980" t="s">
        <v>7485</v>
      </c>
      <c r="F101" s="4980"/>
      <c r="G101" s="4980"/>
      <c r="H101" s="4980"/>
    </row>
    <row r="102" spans="1:11" ht="12.75" customHeight="1">
      <c r="D102" s="472" t="s">
        <v>6814</v>
      </c>
      <c r="E102" s="4980" t="s">
        <v>7486</v>
      </c>
      <c r="F102" s="4980"/>
      <c r="G102" s="4980"/>
      <c r="H102" s="4980"/>
    </row>
    <row r="103" spans="1:11" ht="9" customHeight="1" thickBot="1"/>
    <row r="104" spans="1:11" ht="16.2" customHeight="1" thickBot="1">
      <c r="A104" s="4981">
        <v>30</v>
      </c>
      <c r="B104" s="4982"/>
      <c r="C104" s="982" t="s">
        <v>1213</v>
      </c>
    </row>
    <row r="105" spans="1:11" ht="9" customHeight="1">
      <c r="A105" s="443"/>
    </row>
    <row r="106" spans="1:11" ht="28.2" customHeight="1">
      <c r="A106" s="4980" t="s">
        <v>7496</v>
      </c>
      <c r="B106" s="4980"/>
      <c r="C106" s="4980"/>
      <c r="D106" s="4980"/>
      <c r="E106" s="4980"/>
      <c r="F106" s="4980"/>
      <c r="G106" s="4980"/>
      <c r="H106" s="4980"/>
    </row>
    <row r="107" spans="1:11" ht="9" customHeight="1">
      <c r="A107" s="443"/>
    </row>
    <row r="108" spans="1:11">
      <c r="A108" s="450" t="s">
        <v>7478</v>
      </c>
      <c r="B108" s="467" t="str">
        <f>IF('Part V-Revenues &amp; Expenses'!$K$70=0,"",'Part V-Revenues &amp; Expenses'!$K$70)</f>
        <v/>
      </c>
      <c r="C108" s="450" t="s">
        <v>7479</v>
      </c>
      <c r="D108" s="468" t="s">
        <v>7480</v>
      </c>
    </row>
    <row r="109" spans="1:11" ht="1.95" customHeight="1"/>
    <row r="110" spans="1:11" ht="12.75" customHeight="1">
      <c r="C110" s="447" t="s">
        <v>7481</v>
      </c>
      <c r="D110" s="469" t="s">
        <v>201</v>
      </c>
      <c r="E110" s="470"/>
      <c r="F110" s="4980" t="s">
        <v>7482</v>
      </c>
      <c r="G110" s="4980"/>
      <c r="H110" s="4980"/>
    </row>
    <row r="111" spans="1:11" ht="12.75" customHeight="1">
      <c r="C111" s="471" t="s">
        <v>327</v>
      </c>
      <c r="D111" s="469" t="s">
        <v>209</v>
      </c>
      <c r="E111" s="4980" t="s">
        <v>7483</v>
      </c>
      <c r="F111" s="4980"/>
      <c r="G111" s="4980"/>
      <c r="H111" s="4980"/>
    </row>
    <row r="112" spans="1:11" ht="12.75" customHeight="1">
      <c r="C112" s="2630" t="s">
        <v>7484</v>
      </c>
      <c r="E112" s="4980" t="s">
        <v>7485</v>
      </c>
      <c r="F112" s="4980"/>
      <c r="G112" s="4980"/>
      <c r="H112" s="4980"/>
    </row>
    <row r="113" spans="1:8" ht="12.75" customHeight="1">
      <c r="C113" s="981"/>
      <c r="D113" s="980" t="s">
        <v>6814</v>
      </c>
      <c r="E113" s="4983" t="s">
        <v>7486</v>
      </c>
      <c r="F113" s="4983"/>
      <c r="G113" s="4983"/>
      <c r="H113" s="4983"/>
    </row>
    <row r="114" spans="1:8" ht="3" customHeight="1">
      <c r="D114" s="469"/>
      <c r="E114" s="2635"/>
      <c r="F114" s="2635"/>
      <c r="G114" s="2635"/>
      <c r="H114" s="2635"/>
    </row>
    <row r="115" spans="1:8" ht="12.75" customHeight="1">
      <c r="C115" s="447" t="s">
        <v>7481</v>
      </c>
      <c r="D115" s="469" t="s">
        <v>201</v>
      </c>
      <c r="E115" s="470"/>
      <c r="F115" s="466" t="s">
        <v>7482</v>
      </c>
      <c r="G115" s="466"/>
      <c r="H115" s="466"/>
    </row>
    <row r="116" spans="1:8" ht="12.75" customHeight="1">
      <c r="C116" s="471" t="s">
        <v>327</v>
      </c>
      <c r="D116" s="469" t="s">
        <v>209</v>
      </c>
      <c r="E116" s="4980" t="s">
        <v>7483</v>
      </c>
      <c r="F116" s="4980"/>
      <c r="G116" s="4980"/>
      <c r="H116" s="4980"/>
    </row>
    <row r="117" spans="1:8" ht="12.75" customHeight="1">
      <c r="C117" s="2630" t="s">
        <v>7484</v>
      </c>
      <c r="E117" s="4980" t="s">
        <v>7485</v>
      </c>
      <c r="F117" s="4980"/>
      <c r="G117" s="4980"/>
      <c r="H117" s="4980"/>
    </row>
    <row r="118" spans="1:8" ht="12.75" customHeight="1">
      <c r="C118" s="981"/>
      <c r="D118" s="980" t="s">
        <v>6814</v>
      </c>
      <c r="E118" s="4983" t="s">
        <v>7486</v>
      </c>
      <c r="F118" s="4983"/>
      <c r="G118" s="4983"/>
      <c r="H118" s="4983"/>
    </row>
    <row r="119" spans="1:8" ht="3" customHeight="1">
      <c r="D119" s="469"/>
      <c r="E119" s="2635"/>
      <c r="F119" s="2635"/>
      <c r="G119" s="2635"/>
      <c r="H119" s="2635"/>
    </row>
    <row r="120" spans="1:8" ht="12.75" customHeight="1">
      <c r="C120" s="447" t="s">
        <v>7481</v>
      </c>
      <c r="D120" s="469" t="s">
        <v>201</v>
      </c>
      <c r="E120" s="470"/>
      <c r="F120" s="466" t="s">
        <v>7482</v>
      </c>
      <c r="G120" s="466"/>
      <c r="H120" s="466"/>
    </row>
    <row r="121" spans="1:8" ht="12.75" customHeight="1">
      <c r="C121" s="471" t="s">
        <v>327</v>
      </c>
      <c r="D121" s="469" t="s">
        <v>209</v>
      </c>
      <c r="E121" s="4980" t="s">
        <v>7483</v>
      </c>
      <c r="F121" s="4980"/>
      <c r="G121" s="4980"/>
      <c r="H121" s="4980"/>
    </row>
    <row r="122" spans="1:8" ht="12.75" customHeight="1">
      <c r="C122" s="2630" t="s">
        <v>7484</v>
      </c>
      <c r="E122" s="4980" t="s">
        <v>7485</v>
      </c>
      <c r="F122" s="4980"/>
      <c r="G122" s="4980"/>
      <c r="H122" s="4980"/>
    </row>
    <row r="123" spans="1:8" ht="12.75" customHeight="1">
      <c r="C123" s="981"/>
      <c r="D123" s="980" t="s">
        <v>6814</v>
      </c>
      <c r="E123" s="4983" t="s">
        <v>7486</v>
      </c>
      <c r="F123" s="4983"/>
      <c r="G123" s="4983"/>
      <c r="H123" s="4983"/>
    </row>
    <row r="124" spans="1:8" ht="6" customHeight="1">
      <c r="D124" s="469"/>
      <c r="E124" s="2635"/>
      <c r="F124" s="2635"/>
      <c r="G124" s="2635"/>
      <c r="H124" s="2635"/>
    </row>
    <row r="125" spans="1:8">
      <c r="A125" s="450" t="s">
        <v>7478</v>
      </c>
      <c r="B125" s="467" t="str">
        <f>IF('Part V-Revenues &amp; Expenses'!$L$70=0,"",'Part V-Revenues &amp; Expenses'!$L$70)</f>
        <v/>
      </c>
      <c r="C125" s="450" t="s">
        <v>7487</v>
      </c>
      <c r="D125" s="468" t="s">
        <v>7488</v>
      </c>
    </row>
    <row r="126" spans="1:8" ht="1.95" customHeight="1"/>
    <row r="127" spans="1:8" ht="12.75" customHeight="1">
      <c r="C127" s="447" t="s">
        <v>7481</v>
      </c>
      <c r="D127" s="469" t="s">
        <v>201</v>
      </c>
      <c r="E127" s="470"/>
      <c r="F127" s="466" t="s">
        <v>7482</v>
      </c>
      <c r="G127" s="466"/>
      <c r="H127" s="466"/>
    </row>
    <row r="128" spans="1:8" ht="12.75" customHeight="1">
      <c r="C128" s="471" t="s">
        <v>327</v>
      </c>
      <c r="D128" s="469" t="s">
        <v>209</v>
      </c>
      <c r="E128" s="4980" t="s">
        <v>7483</v>
      </c>
      <c r="F128" s="4980"/>
      <c r="G128" s="4980"/>
      <c r="H128" s="4980"/>
    </row>
    <row r="129" spans="1:8" ht="12.75" customHeight="1">
      <c r="C129" s="2630" t="s">
        <v>7484</v>
      </c>
      <c r="E129" s="4980" t="s">
        <v>7485</v>
      </c>
      <c r="F129" s="4980"/>
      <c r="G129" s="4980"/>
      <c r="H129" s="4980"/>
    </row>
    <row r="130" spans="1:8" ht="12.75" customHeight="1">
      <c r="C130" s="981"/>
      <c r="D130" s="472" t="s">
        <v>6814</v>
      </c>
      <c r="E130" s="4980" t="s">
        <v>7486</v>
      </c>
      <c r="F130" s="4980"/>
      <c r="G130" s="4980"/>
      <c r="H130" s="4980"/>
    </row>
    <row r="131" spans="1:8" ht="3" customHeight="1">
      <c r="D131" s="469"/>
      <c r="E131" s="2635"/>
      <c r="F131" s="2635"/>
      <c r="G131" s="2635"/>
      <c r="H131" s="2635"/>
    </row>
    <row r="132" spans="1:8" ht="12.75" customHeight="1">
      <c r="C132" s="447" t="s">
        <v>7481</v>
      </c>
      <c r="D132" s="469" t="s">
        <v>201</v>
      </c>
      <c r="E132" s="470"/>
      <c r="F132" s="466" t="s">
        <v>7482</v>
      </c>
      <c r="G132" s="466"/>
      <c r="H132" s="466"/>
    </row>
    <row r="133" spans="1:8" ht="12.75" customHeight="1">
      <c r="C133" s="471" t="s">
        <v>327</v>
      </c>
      <c r="D133" s="469" t="s">
        <v>209</v>
      </c>
      <c r="E133" s="4980" t="s">
        <v>7483</v>
      </c>
      <c r="F133" s="4980"/>
      <c r="G133" s="4980"/>
      <c r="H133" s="4980"/>
    </row>
    <row r="134" spans="1:8" ht="12.75" customHeight="1">
      <c r="C134" s="2630" t="s">
        <v>7484</v>
      </c>
      <c r="E134" s="4980" t="s">
        <v>7485</v>
      </c>
      <c r="F134" s="4980"/>
      <c r="G134" s="4980"/>
      <c r="H134" s="4980"/>
    </row>
    <row r="135" spans="1:8" ht="12.75" customHeight="1">
      <c r="C135" s="981"/>
      <c r="D135" s="980" t="s">
        <v>6814</v>
      </c>
      <c r="E135" s="4983" t="s">
        <v>7486</v>
      </c>
      <c r="F135" s="4983"/>
      <c r="G135" s="4983"/>
      <c r="H135" s="4983"/>
    </row>
    <row r="136" spans="1:8" ht="3" customHeight="1">
      <c r="D136" s="469"/>
      <c r="E136" s="2635"/>
      <c r="F136" s="2635"/>
      <c r="G136" s="2635"/>
      <c r="H136" s="2635"/>
    </row>
    <row r="137" spans="1:8" ht="12.75" customHeight="1">
      <c r="C137" s="447" t="s">
        <v>7481</v>
      </c>
      <c r="D137" s="469" t="s">
        <v>201</v>
      </c>
      <c r="E137" s="470"/>
      <c r="F137" s="466" t="s">
        <v>7482</v>
      </c>
      <c r="G137" s="466"/>
      <c r="H137" s="466"/>
    </row>
    <row r="138" spans="1:8" ht="12.75" customHeight="1">
      <c r="C138" s="471" t="s">
        <v>327</v>
      </c>
      <c r="D138" s="469" t="s">
        <v>209</v>
      </c>
      <c r="E138" s="4980" t="s">
        <v>7483</v>
      </c>
      <c r="F138" s="4980"/>
      <c r="G138" s="4980"/>
      <c r="H138" s="4980"/>
    </row>
    <row r="139" spans="1:8" ht="12.75" customHeight="1">
      <c r="C139" s="2630" t="s">
        <v>7484</v>
      </c>
      <c r="E139" s="4980" t="s">
        <v>7485</v>
      </c>
      <c r="F139" s="4980"/>
      <c r="G139" s="4980"/>
      <c r="H139" s="4980"/>
    </row>
    <row r="140" spans="1:8" ht="12.75" customHeight="1">
      <c r="C140" s="981"/>
      <c r="D140" s="980" t="s">
        <v>6814</v>
      </c>
      <c r="E140" s="4983" t="s">
        <v>7486</v>
      </c>
      <c r="F140" s="4983"/>
      <c r="G140" s="4983"/>
      <c r="H140" s="4983"/>
    </row>
    <row r="141" spans="1:8" ht="6" customHeight="1">
      <c r="D141" s="469"/>
      <c r="E141" s="2635"/>
      <c r="F141" s="2635"/>
      <c r="G141" s="2635"/>
      <c r="H141" s="2635"/>
    </row>
    <row r="142" spans="1:8">
      <c r="A142" s="450" t="s">
        <v>7478</v>
      </c>
      <c r="B142" s="467" t="str">
        <f>IF('Part V-Revenues &amp; Expenses'!$M$70=0,"",'Part V-Revenues &amp; Expenses'!$M$70)</f>
        <v/>
      </c>
      <c r="C142" s="450" t="s">
        <v>7489</v>
      </c>
      <c r="D142" s="468" t="s">
        <v>7490</v>
      </c>
    </row>
    <row r="143" spans="1:8" ht="1.95" customHeight="1"/>
    <row r="144" spans="1:8" ht="12.75" customHeight="1">
      <c r="C144" s="447" t="s">
        <v>7481</v>
      </c>
      <c r="D144" s="469" t="s">
        <v>201</v>
      </c>
      <c r="E144" s="470"/>
      <c r="F144" s="466" t="s">
        <v>7482</v>
      </c>
      <c r="G144" s="466"/>
      <c r="H144" s="466"/>
    </row>
    <row r="145" spans="1:8" ht="12.75" customHeight="1">
      <c r="C145" s="471" t="s">
        <v>327</v>
      </c>
      <c r="D145" s="469" t="s">
        <v>209</v>
      </c>
      <c r="E145" s="4980" t="s">
        <v>7483</v>
      </c>
      <c r="F145" s="4980"/>
      <c r="G145" s="4980"/>
      <c r="H145" s="4980"/>
    </row>
    <row r="146" spans="1:8" ht="12.75" customHeight="1">
      <c r="C146" s="2630" t="s">
        <v>7484</v>
      </c>
      <c r="E146" s="4980" t="s">
        <v>7485</v>
      </c>
      <c r="F146" s="4980"/>
      <c r="G146" s="4980"/>
      <c r="H146" s="4980"/>
    </row>
    <row r="147" spans="1:8" ht="12.75" customHeight="1">
      <c r="C147" s="981"/>
      <c r="D147" s="472" t="s">
        <v>6814</v>
      </c>
      <c r="E147" s="4980" t="s">
        <v>7486</v>
      </c>
      <c r="F147" s="4980"/>
      <c r="G147" s="4980"/>
      <c r="H147" s="4980"/>
    </row>
    <row r="148" spans="1:8" ht="3" customHeight="1">
      <c r="D148" s="469"/>
      <c r="E148" s="2635"/>
      <c r="F148" s="2635"/>
      <c r="G148" s="2635"/>
      <c r="H148" s="2635"/>
    </row>
    <row r="149" spans="1:8" ht="12.75" customHeight="1">
      <c r="C149" s="447" t="s">
        <v>7481</v>
      </c>
      <c r="D149" s="469" t="s">
        <v>201</v>
      </c>
      <c r="E149" s="470"/>
      <c r="F149" s="466" t="s">
        <v>7482</v>
      </c>
      <c r="G149" s="466"/>
      <c r="H149" s="466"/>
    </row>
    <row r="150" spans="1:8" ht="12.75" customHeight="1">
      <c r="C150" s="471" t="s">
        <v>327</v>
      </c>
      <c r="D150" s="469" t="s">
        <v>209</v>
      </c>
      <c r="E150" s="4980" t="s">
        <v>7483</v>
      </c>
      <c r="F150" s="4980"/>
      <c r="G150" s="4980"/>
      <c r="H150" s="4980"/>
    </row>
    <row r="151" spans="1:8" ht="12.75" customHeight="1">
      <c r="C151" s="2630" t="s">
        <v>7484</v>
      </c>
      <c r="E151" s="4980" t="s">
        <v>7485</v>
      </c>
      <c r="F151" s="4980"/>
      <c r="G151" s="4980"/>
      <c r="H151" s="4980"/>
    </row>
    <row r="152" spans="1:8" ht="12.75" customHeight="1">
      <c r="C152" s="981"/>
      <c r="D152" s="980" t="s">
        <v>6814</v>
      </c>
      <c r="E152" s="4983" t="s">
        <v>7486</v>
      </c>
      <c r="F152" s="4983"/>
      <c r="G152" s="4983"/>
      <c r="H152" s="4983"/>
    </row>
    <row r="153" spans="1:8" ht="3" customHeight="1">
      <c r="D153" s="469"/>
      <c r="E153" s="2635"/>
      <c r="F153" s="2635"/>
      <c r="G153" s="2635"/>
      <c r="H153" s="2635"/>
    </row>
    <row r="154" spans="1:8" ht="12.75" customHeight="1">
      <c r="C154" s="447" t="s">
        <v>7481</v>
      </c>
      <c r="D154" s="469" t="s">
        <v>201</v>
      </c>
      <c r="E154" s="470"/>
      <c r="F154" s="466" t="s">
        <v>7482</v>
      </c>
      <c r="G154" s="466"/>
      <c r="H154" s="466"/>
    </row>
    <row r="155" spans="1:8" ht="12.75" customHeight="1">
      <c r="C155" s="471" t="s">
        <v>327</v>
      </c>
      <c r="D155" s="469" t="s">
        <v>209</v>
      </c>
      <c r="E155" s="4980" t="s">
        <v>7483</v>
      </c>
      <c r="F155" s="4980"/>
      <c r="G155" s="4980"/>
      <c r="H155" s="4980"/>
    </row>
    <row r="156" spans="1:8" ht="12.75" customHeight="1">
      <c r="C156" s="2630" t="s">
        <v>7484</v>
      </c>
      <c r="E156" s="4980" t="s">
        <v>7485</v>
      </c>
      <c r="F156" s="4980"/>
      <c r="G156" s="4980"/>
      <c r="H156" s="4980"/>
    </row>
    <row r="157" spans="1:8" ht="12.75" customHeight="1">
      <c r="C157" s="981"/>
      <c r="D157" s="980" t="s">
        <v>6814</v>
      </c>
      <c r="E157" s="4983" t="s">
        <v>7486</v>
      </c>
      <c r="F157" s="4983"/>
      <c r="G157" s="4983"/>
      <c r="H157" s="4983"/>
    </row>
    <row r="158" spans="1:8" ht="6" customHeight="1">
      <c r="D158" s="469"/>
      <c r="E158" s="2635"/>
      <c r="F158" s="2635"/>
      <c r="G158" s="2635"/>
      <c r="H158" s="2635"/>
    </row>
    <row r="159" spans="1:8">
      <c r="A159" s="450" t="s">
        <v>7478</v>
      </c>
      <c r="B159" s="467" t="str">
        <f>IF('Part V-Revenues &amp; Expenses'!$N$70=0,"",'Part V-Revenues &amp; Expenses'!$N$70)</f>
        <v/>
      </c>
      <c r="C159" s="450" t="s">
        <v>7491</v>
      </c>
      <c r="D159" s="468" t="s">
        <v>7492</v>
      </c>
    </row>
    <row r="160" spans="1:8" ht="1.95" customHeight="1"/>
    <row r="161" spans="1:8" ht="12.75" customHeight="1">
      <c r="C161" s="447" t="s">
        <v>7481</v>
      </c>
      <c r="D161" s="469" t="s">
        <v>201</v>
      </c>
      <c r="E161" s="470"/>
      <c r="F161" s="466" t="s">
        <v>7482</v>
      </c>
      <c r="G161" s="466"/>
      <c r="H161" s="466"/>
    </row>
    <row r="162" spans="1:8" ht="12.75" customHeight="1">
      <c r="C162" s="471" t="s">
        <v>327</v>
      </c>
      <c r="D162" s="469" t="s">
        <v>209</v>
      </c>
      <c r="E162" s="4980" t="s">
        <v>7483</v>
      </c>
      <c r="F162" s="4980"/>
      <c r="G162" s="4980"/>
      <c r="H162" s="4980"/>
    </row>
    <row r="163" spans="1:8" ht="12.75" customHeight="1">
      <c r="C163" s="2630" t="s">
        <v>7484</v>
      </c>
      <c r="E163" s="4980" t="s">
        <v>7485</v>
      </c>
      <c r="F163" s="4980"/>
      <c r="G163" s="4980"/>
      <c r="H163" s="4980"/>
    </row>
    <row r="164" spans="1:8" ht="12.75" customHeight="1">
      <c r="C164" s="981"/>
      <c r="D164" s="472" t="s">
        <v>6814</v>
      </c>
      <c r="E164" s="4980" t="s">
        <v>7486</v>
      </c>
      <c r="F164" s="4980"/>
      <c r="G164" s="4980"/>
      <c r="H164" s="4980"/>
    </row>
    <row r="165" spans="1:8" ht="3" customHeight="1">
      <c r="D165" s="469"/>
      <c r="E165" s="2635"/>
      <c r="F165" s="2635"/>
      <c r="G165" s="2635"/>
      <c r="H165" s="2635"/>
    </row>
    <row r="166" spans="1:8" ht="12.75" customHeight="1">
      <c r="C166" s="447" t="s">
        <v>7481</v>
      </c>
      <c r="D166" s="469" t="s">
        <v>201</v>
      </c>
      <c r="E166" s="470"/>
      <c r="F166" s="466" t="s">
        <v>7482</v>
      </c>
      <c r="G166" s="466"/>
      <c r="H166" s="466"/>
    </row>
    <row r="167" spans="1:8" ht="12.75" customHeight="1">
      <c r="C167" s="471" t="s">
        <v>327</v>
      </c>
      <c r="D167" s="469" t="s">
        <v>209</v>
      </c>
      <c r="E167" s="4980" t="s">
        <v>7483</v>
      </c>
      <c r="F167" s="4980"/>
      <c r="G167" s="4980"/>
      <c r="H167" s="4980"/>
    </row>
    <row r="168" spans="1:8" ht="12.75" customHeight="1">
      <c r="C168" s="2630" t="s">
        <v>7484</v>
      </c>
      <c r="E168" s="4980" t="s">
        <v>7485</v>
      </c>
      <c r="F168" s="4980"/>
      <c r="G168" s="4980"/>
      <c r="H168" s="4980"/>
    </row>
    <row r="169" spans="1:8" ht="12.75" customHeight="1">
      <c r="C169" s="981"/>
      <c r="D169" s="980" t="s">
        <v>6814</v>
      </c>
      <c r="E169" s="4983" t="s">
        <v>7486</v>
      </c>
      <c r="F169" s="4983"/>
      <c r="G169" s="4983"/>
      <c r="H169" s="4983"/>
    </row>
    <row r="170" spans="1:8" ht="3" customHeight="1">
      <c r="D170" s="469"/>
      <c r="E170" s="2635"/>
      <c r="F170" s="2635"/>
      <c r="G170" s="2635"/>
      <c r="H170" s="2635"/>
    </row>
    <row r="171" spans="1:8" ht="12.75" customHeight="1">
      <c r="C171" s="447" t="s">
        <v>7481</v>
      </c>
      <c r="D171" s="469" t="s">
        <v>201</v>
      </c>
      <c r="E171" s="470"/>
      <c r="F171" s="466" t="s">
        <v>7482</v>
      </c>
      <c r="G171" s="466"/>
      <c r="H171" s="466"/>
    </row>
    <row r="172" spans="1:8" ht="12.75" customHeight="1">
      <c r="C172" s="471" t="s">
        <v>327</v>
      </c>
      <c r="D172" s="469" t="s">
        <v>209</v>
      </c>
      <c r="E172" s="4980" t="s">
        <v>7483</v>
      </c>
      <c r="F172" s="4980"/>
      <c r="G172" s="4980"/>
      <c r="H172" s="4980"/>
    </row>
    <row r="173" spans="1:8" ht="12.75" customHeight="1">
      <c r="C173" s="2630" t="s">
        <v>7484</v>
      </c>
      <c r="E173" s="4980" t="s">
        <v>7485</v>
      </c>
      <c r="F173" s="4980"/>
      <c r="G173" s="4980"/>
      <c r="H173" s="4980"/>
    </row>
    <row r="174" spans="1:8" ht="12.75" customHeight="1">
      <c r="C174" s="981"/>
      <c r="D174" s="980" t="s">
        <v>6814</v>
      </c>
      <c r="E174" s="4983" t="s">
        <v>7486</v>
      </c>
      <c r="F174" s="4983"/>
      <c r="G174" s="4983"/>
      <c r="H174" s="4983"/>
    </row>
    <row r="175" spans="1:8" ht="6" customHeight="1">
      <c r="D175" s="469"/>
      <c r="E175" s="2635"/>
      <c r="F175" s="2635"/>
      <c r="G175" s="2635"/>
      <c r="H175" s="2635"/>
    </row>
    <row r="176" spans="1:8">
      <c r="A176" s="450" t="s">
        <v>7478</v>
      </c>
      <c r="B176" s="467" t="str">
        <f>IF('Part V-Revenues &amp; Expenses'!$O70=0,"",'Part V-Revenues &amp; Expenses'!$O$70)</f>
        <v/>
      </c>
      <c r="C176" s="450" t="s">
        <v>7493</v>
      </c>
      <c r="D176" s="468" t="s">
        <v>7494</v>
      </c>
    </row>
    <row r="177" spans="1:11" ht="1.95" customHeight="1"/>
    <row r="178" spans="1:11" ht="12.75" customHeight="1">
      <c r="C178" s="447" t="s">
        <v>7481</v>
      </c>
      <c r="D178" s="469" t="s">
        <v>201</v>
      </c>
      <c r="E178" s="470"/>
      <c r="F178" s="4980" t="s">
        <v>7482</v>
      </c>
      <c r="G178" s="4980"/>
      <c r="H178" s="4980"/>
      <c r="K178" s="306" t="s">
        <v>7021</v>
      </c>
    </row>
    <row r="179" spans="1:11" ht="12.75" customHeight="1">
      <c r="C179" s="471" t="s">
        <v>327</v>
      </c>
      <c r="D179" s="469" t="s">
        <v>209</v>
      </c>
      <c r="E179" s="4980" t="s">
        <v>7495</v>
      </c>
      <c r="F179" s="4980"/>
      <c r="G179" s="4980"/>
      <c r="H179" s="4980"/>
    </row>
    <row r="180" spans="1:11" ht="12.75" customHeight="1">
      <c r="E180" s="4980" t="s">
        <v>7485</v>
      </c>
      <c r="F180" s="4980"/>
      <c r="G180" s="4980"/>
      <c r="H180" s="4980"/>
    </row>
    <row r="181" spans="1:11" ht="12.75" customHeight="1">
      <c r="D181" s="472" t="s">
        <v>6814</v>
      </c>
      <c r="E181" s="4980" t="s">
        <v>7486</v>
      </c>
      <c r="F181" s="4980"/>
      <c r="G181" s="4980"/>
      <c r="H181" s="4980"/>
    </row>
    <row r="182" spans="1:11" ht="9" customHeight="1" thickBot="1"/>
    <row r="183" spans="1:11" ht="16.2" customHeight="1" thickBot="1">
      <c r="A183" s="4981">
        <v>40</v>
      </c>
      <c r="B183" s="4982"/>
      <c r="C183" s="982" t="s">
        <v>1213</v>
      </c>
    </row>
    <row r="184" spans="1:11" ht="9" customHeight="1">
      <c r="A184" s="443"/>
    </row>
    <row r="185" spans="1:11" ht="28.2" customHeight="1">
      <c r="A185" s="4980" t="s">
        <v>7497</v>
      </c>
      <c r="B185" s="4980"/>
      <c r="C185" s="4980"/>
      <c r="D185" s="4980"/>
      <c r="E185" s="4980"/>
      <c r="F185" s="4980"/>
      <c r="G185" s="4980"/>
      <c r="H185" s="4980"/>
    </row>
    <row r="186" spans="1:11" ht="9" customHeight="1">
      <c r="A186" s="443"/>
    </row>
    <row r="187" spans="1:11">
      <c r="A187" s="450" t="s">
        <v>7478</v>
      </c>
      <c r="B187" s="467" t="str">
        <f>IF('Part V-Revenues &amp; Expenses'!$K$69=0,"",'Part V-Revenues &amp; Expenses'!$K$69)</f>
        <v/>
      </c>
      <c r="C187" s="450" t="s">
        <v>7479</v>
      </c>
      <c r="D187" s="468" t="s">
        <v>7480</v>
      </c>
    </row>
    <row r="188" spans="1:11" ht="1.95" customHeight="1"/>
    <row r="189" spans="1:11" ht="12.75" customHeight="1">
      <c r="C189" s="447" t="s">
        <v>7481</v>
      </c>
      <c r="D189" s="469" t="s">
        <v>201</v>
      </c>
      <c r="E189" s="470"/>
      <c r="F189" s="4980" t="s">
        <v>7482</v>
      </c>
      <c r="G189" s="4980"/>
      <c r="H189" s="4980"/>
    </row>
    <row r="190" spans="1:11" ht="12.75" customHeight="1">
      <c r="C190" s="471" t="s">
        <v>327</v>
      </c>
      <c r="D190" s="469" t="s">
        <v>209</v>
      </c>
      <c r="E190" s="4980" t="s">
        <v>7483</v>
      </c>
      <c r="F190" s="4980"/>
      <c r="G190" s="4980"/>
      <c r="H190" s="4980"/>
    </row>
    <row r="191" spans="1:11" ht="12.75" customHeight="1">
      <c r="C191" s="2630" t="s">
        <v>7484</v>
      </c>
      <c r="E191" s="4980" t="s">
        <v>7485</v>
      </c>
      <c r="F191" s="4980"/>
      <c r="G191" s="4980"/>
      <c r="H191" s="4980"/>
    </row>
    <row r="192" spans="1:11" ht="12.75" customHeight="1">
      <c r="C192" s="981"/>
      <c r="D192" s="980" t="s">
        <v>6814</v>
      </c>
      <c r="E192" s="4983" t="s">
        <v>7486</v>
      </c>
      <c r="F192" s="4983"/>
      <c r="G192" s="4983"/>
      <c r="H192" s="4983"/>
    </row>
    <row r="193" spans="1:8" ht="3" customHeight="1">
      <c r="D193" s="469"/>
      <c r="E193" s="2635"/>
      <c r="F193" s="2635"/>
      <c r="G193" s="2635"/>
      <c r="H193" s="2635"/>
    </row>
    <row r="194" spans="1:8" ht="12.75" customHeight="1">
      <c r="C194" s="447" t="s">
        <v>7481</v>
      </c>
      <c r="D194" s="469" t="s">
        <v>201</v>
      </c>
      <c r="E194" s="470"/>
      <c r="F194" s="466" t="s">
        <v>7482</v>
      </c>
      <c r="G194" s="466"/>
      <c r="H194" s="466"/>
    </row>
    <row r="195" spans="1:8" ht="12.75" customHeight="1">
      <c r="C195" s="471" t="s">
        <v>327</v>
      </c>
      <c r="D195" s="469" t="s">
        <v>209</v>
      </c>
      <c r="E195" s="4980" t="s">
        <v>7483</v>
      </c>
      <c r="F195" s="4980"/>
      <c r="G195" s="4980"/>
      <c r="H195" s="4980"/>
    </row>
    <row r="196" spans="1:8" ht="12.75" customHeight="1">
      <c r="C196" s="2630" t="s">
        <v>7484</v>
      </c>
      <c r="E196" s="4980" t="s">
        <v>7485</v>
      </c>
      <c r="F196" s="4980"/>
      <c r="G196" s="4980"/>
      <c r="H196" s="4980"/>
    </row>
    <row r="197" spans="1:8" ht="12.75" customHeight="1">
      <c r="C197" s="981"/>
      <c r="D197" s="980" t="s">
        <v>6814</v>
      </c>
      <c r="E197" s="4983" t="s">
        <v>7486</v>
      </c>
      <c r="F197" s="4983"/>
      <c r="G197" s="4983"/>
      <c r="H197" s="4983"/>
    </row>
    <row r="198" spans="1:8" ht="3" customHeight="1">
      <c r="D198" s="469"/>
      <c r="E198" s="2635"/>
      <c r="F198" s="2635"/>
      <c r="G198" s="2635"/>
      <c r="H198" s="2635"/>
    </row>
    <row r="199" spans="1:8" ht="12.75" customHeight="1">
      <c r="C199" s="447" t="s">
        <v>7481</v>
      </c>
      <c r="D199" s="469" t="s">
        <v>201</v>
      </c>
      <c r="E199" s="470"/>
      <c r="F199" s="466" t="s">
        <v>7482</v>
      </c>
      <c r="G199" s="466"/>
      <c r="H199" s="466"/>
    </row>
    <row r="200" spans="1:8" ht="12.75" customHeight="1">
      <c r="C200" s="471" t="s">
        <v>327</v>
      </c>
      <c r="D200" s="469" t="s">
        <v>209</v>
      </c>
      <c r="E200" s="4980" t="s">
        <v>7483</v>
      </c>
      <c r="F200" s="4980"/>
      <c r="G200" s="4980"/>
      <c r="H200" s="4980"/>
    </row>
    <row r="201" spans="1:8" ht="12.75" customHeight="1">
      <c r="C201" s="2630" t="s">
        <v>7484</v>
      </c>
      <c r="E201" s="4980" t="s">
        <v>7485</v>
      </c>
      <c r="F201" s="4980"/>
      <c r="G201" s="4980"/>
      <c r="H201" s="4980"/>
    </row>
    <row r="202" spans="1:8" ht="12.75" customHeight="1">
      <c r="C202" s="981"/>
      <c r="D202" s="980" t="s">
        <v>6814</v>
      </c>
      <c r="E202" s="4983" t="s">
        <v>7486</v>
      </c>
      <c r="F202" s="4983"/>
      <c r="G202" s="4983"/>
      <c r="H202" s="4983"/>
    </row>
    <row r="203" spans="1:8" ht="6" customHeight="1">
      <c r="D203" s="469"/>
      <c r="E203" s="2635"/>
      <c r="F203" s="2635"/>
      <c r="G203" s="2635"/>
      <c r="H203" s="2635"/>
    </row>
    <row r="204" spans="1:8">
      <c r="A204" s="450" t="s">
        <v>7478</v>
      </c>
      <c r="B204" s="467" t="str">
        <f>IF('Part V-Revenues &amp; Expenses'!$L$69=0,"",'Part V-Revenues &amp; Expenses'!$L$69)</f>
        <v/>
      </c>
      <c r="C204" s="450" t="s">
        <v>7487</v>
      </c>
      <c r="D204" s="468" t="s">
        <v>7488</v>
      </c>
    </row>
    <row r="205" spans="1:8" ht="1.95" customHeight="1"/>
    <row r="206" spans="1:8" ht="12.75" customHeight="1">
      <c r="C206" s="447" t="s">
        <v>7481</v>
      </c>
      <c r="D206" s="469" t="s">
        <v>201</v>
      </c>
      <c r="E206" s="470"/>
      <c r="F206" s="466" t="s">
        <v>7482</v>
      </c>
      <c r="G206" s="466"/>
      <c r="H206" s="466"/>
    </row>
    <row r="207" spans="1:8" ht="12.75" customHeight="1">
      <c r="C207" s="471" t="s">
        <v>327</v>
      </c>
      <c r="D207" s="469" t="s">
        <v>209</v>
      </c>
      <c r="E207" s="4980" t="s">
        <v>7483</v>
      </c>
      <c r="F207" s="4980"/>
      <c r="G207" s="4980"/>
      <c r="H207" s="4980"/>
    </row>
    <row r="208" spans="1:8" ht="12.75" customHeight="1">
      <c r="C208" s="2630" t="s">
        <v>7484</v>
      </c>
      <c r="E208" s="4980" t="s">
        <v>7485</v>
      </c>
      <c r="F208" s="4980"/>
      <c r="G208" s="4980"/>
      <c r="H208" s="4980"/>
    </row>
    <row r="209" spans="1:8" ht="12.75" customHeight="1">
      <c r="C209" s="981"/>
      <c r="D209" s="472" t="s">
        <v>6814</v>
      </c>
      <c r="E209" s="4980" t="s">
        <v>7486</v>
      </c>
      <c r="F209" s="4980"/>
      <c r="G209" s="4980"/>
      <c r="H209" s="4980"/>
    </row>
    <row r="210" spans="1:8" ht="3" customHeight="1">
      <c r="D210" s="469"/>
      <c r="E210" s="2635"/>
      <c r="F210" s="2635"/>
      <c r="G210" s="2635"/>
      <c r="H210" s="2635"/>
    </row>
    <row r="211" spans="1:8" ht="12.75" customHeight="1">
      <c r="C211" s="447" t="s">
        <v>7481</v>
      </c>
      <c r="D211" s="469" t="s">
        <v>201</v>
      </c>
      <c r="E211" s="470"/>
      <c r="F211" s="466" t="s">
        <v>7482</v>
      </c>
      <c r="G211" s="466"/>
      <c r="H211" s="466"/>
    </row>
    <row r="212" spans="1:8" ht="12.75" customHeight="1">
      <c r="C212" s="471" t="s">
        <v>327</v>
      </c>
      <c r="D212" s="469" t="s">
        <v>209</v>
      </c>
      <c r="E212" s="4980" t="s">
        <v>7483</v>
      </c>
      <c r="F212" s="4980"/>
      <c r="G212" s="4980"/>
      <c r="H212" s="4980"/>
    </row>
    <row r="213" spans="1:8" ht="12.75" customHeight="1">
      <c r="C213" s="2630" t="s">
        <v>7484</v>
      </c>
      <c r="E213" s="4980" t="s">
        <v>7485</v>
      </c>
      <c r="F213" s="4980"/>
      <c r="G213" s="4980"/>
      <c r="H213" s="4980"/>
    </row>
    <row r="214" spans="1:8" ht="12.75" customHeight="1">
      <c r="C214" s="981"/>
      <c r="D214" s="980" t="s">
        <v>6814</v>
      </c>
      <c r="E214" s="4983" t="s">
        <v>7486</v>
      </c>
      <c r="F214" s="4983"/>
      <c r="G214" s="4983"/>
      <c r="H214" s="4983"/>
    </row>
    <row r="215" spans="1:8" ht="3" customHeight="1">
      <c r="D215" s="469"/>
      <c r="E215" s="2635"/>
      <c r="F215" s="2635"/>
      <c r="G215" s="2635"/>
      <c r="H215" s="2635"/>
    </row>
    <row r="216" spans="1:8" ht="12.75" customHeight="1">
      <c r="C216" s="447" t="s">
        <v>7481</v>
      </c>
      <c r="D216" s="469" t="s">
        <v>201</v>
      </c>
      <c r="E216" s="470"/>
      <c r="F216" s="466" t="s">
        <v>7482</v>
      </c>
      <c r="G216" s="466"/>
      <c r="H216" s="466"/>
    </row>
    <row r="217" spans="1:8" ht="12.75" customHeight="1">
      <c r="C217" s="471" t="s">
        <v>327</v>
      </c>
      <c r="D217" s="469" t="s">
        <v>209</v>
      </c>
      <c r="E217" s="4980" t="s">
        <v>7483</v>
      </c>
      <c r="F217" s="4980"/>
      <c r="G217" s="4980"/>
      <c r="H217" s="4980"/>
    </row>
    <row r="218" spans="1:8" ht="12.75" customHeight="1">
      <c r="C218" s="2630" t="s">
        <v>7484</v>
      </c>
      <c r="E218" s="4980" t="s">
        <v>7485</v>
      </c>
      <c r="F218" s="4980"/>
      <c r="G218" s="4980"/>
      <c r="H218" s="4980"/>
    </row>
    <row r="219" spans="1:8" ht="12.75" customHeight="1">
      <c r="C219" s="981"/>
      <c r="D219" s="980" t="s">
        <v>6814</v>
      </c>
      <c r="E219" s="4983" t="s">
        <v>7486</v>
      </c>
      <c r="F219" s="4983"/>
      <c r="G219" s="4983"/>
      <c r="H219" s="4983"/>
    </row>
    <row r="220" spans="1:8" ht="6" customHeight="1">
      <c r="D220" s="469"/>
      <c r="E220" s="2635"/>
      <c r="F220" s="2635"/>
      <c r="G220" s="2635"/>
      <c r="H220" s="2635"/>
    </row>
    <row r="221" spans="1:8">
      <c r="A221" s="450" t="s">
        <v>7478</v>
      </c>
      <c r="B221" s="467" t="str">
        <f>IF('Part V-Revenues &amp; Expenses'!$M$69=0,"",'Part V-Revenues &amp; Expenses'!$M$69)</f>
        <v/>
      </c>
      <c r="C221" s="450" t="s">
        <v>7489</v>
      </c>
      <c r="D221" s="468" t="s">
        <v>7490</v>
      </c>
    </row>
    <row r="222" spans="1:8" ht="1.95" customHeight="1"/>
    <row r="223" spans="1:8" ht="12.75" customHeight="1">
      <c r="C223" s="447" t="s">
        <v>7481</v>
      </c>
      <c r="D223" s="469" t="s">
        <v>201</v>
      </c>
      <c r="E223" s="470"/>
      <c r="F223" s="466" t="s">
        <v>7482</v>
      </c>
      <c r="G223" s="466"/>
      <c r="H223" s="466"/>
    </row>
    <row r="224" spans="1:8" ht="12.75" customHeight="1">
      <c r="C224" s="471" t="s">
        <v>327</v>
      </c>
      <c r="D224" s="469" t="s">
        <v>209</v>
      </c>
      <c r="E224" s="4980" t="s">
        <v>7483</v>
      </c>
      <c r="F224" s="4980"/>
      <c r="G224" s="4980"/>
      <c r="H224" s="4980"/>
    </row>
    <row r="225" spans="1:8" ht="12.75" customHeight="1">
      <c r="C225" s="2630" t="s">
        <v>7484</v>
      </c>
      <c r="E225" s="4980" t="s">
        <v>7485</v>
      </c>
      <c r="F225" s="4980"/>
      <c r="G225" s="4980"/>
      <c r="H225" s="4980"/>
    </row>
    <row r="226" spans="1:8" ht="12.75" customHeight="1">
      <c r="C226" s="981"/>
      <c r="D226" s="472" t="s">
        <v>6814</v>
      </c>
      <c r="E226" s="4980" t="s">
        <v>7486</v>
      </c>
      <c r="F226" s="4980"/>
      <c r="G226" s="4980"/>
      <c r="H226" s="4980"/>
    </row>
    <row r="227" spans="1:8" ht="3" customHeight="1">
      <c r="D227" s="469"/>
      <c r="E227" s="2635"/>
      <c r="F227" s="2635"/>
      <c r="G227" s="2635"/>
      <c r="H227" s="2635"/>
    </row>
    <row r="228" spans="1:8" ht="12.75" customHeight="1">
      <c r="C228" s="447" t="s">
        <v>7481</v>
      </c>
      <c r="D228" s="469" t="s">
        <v>201</v>
      </c>
      <c r="E228" s="470"/>
      <c r="F228" s="466" t="s">
        <v>7482</v>
      </c>
      <c r="G228" s="466"/>
      <c r="H228" s="466"/>
    </row>
    <row r="229" spans="1:8" ht="12.75" customHeight="1">
      <c r="C229" s="471" t="s">
        <v>327</v>
      </c>
      <c r="D229" s="469" t="s">
        <v>209</v>
      </c>
      <c r="E229" s="4980" t="s">
        <v>7483</v>
      </c>
      <c r="F229" s="4980"/>
      <c r="G229" s="4980"/>
      <c r="H229" s="4980"/>
    </row>
    <row r="230" spans="1:8" ht="12.75" customHeight="1">
      <c r="C230" s="2630" t="s">
        <v>7484</v>
      </c>
      <c r="E230" s="4980" t="s">
        <v>7485</v>
      </c>
      <c r="F230" s="4980"/>
      <c r="G230" s="4980"/>
      <c r="H230" s="4980"/>
    </row>
    <row r="231" spans="1:8" ht="12.75" customHeight="1">
      <c r="C231" s="981"/>
      <c r="D231" s="980" t="s">
        <v>6814</v>
      </c>
      <c r="E231" s="4983" t="s">
        <v>7486</v>
      </c>
      <c r="F231" s="4983"/>
      <c r="G231" s="4983"/>
      <c r="H231" s="4983"/>
    </row>
    <row r="232" spans="1:8" ht="3" customHeight="1">
      <c r="D232" s="469"/>
      <c r="E232" s="2635"/>
      <c r="F232" s="2635"/>
      <c r="G232" s="2635"/>
      <c r="H232" s="2635"/>
    </row>
    <row r="233" spans="1:8" ht="12.75" customHeight="1">
      <c r="C233" s="447" t="s">
        <v>7481</v>
      </c>
      <c r="D233" s="469" t="s">
        <v>201</v>
      </c>
      <c r="E233" s="470"/>
      <c r="F233" s="466" t="s">
        <v>7482</v>
      </c>
      <c r="G233" s="466"/>
      <c r="H233" s="466"/>
    </row>
    <row r="234" spans="1:8" ht="12.75" customHeight="1">
      <c r="C234" s="471" t="s">
        <v>327</v>
      </c>
      <c r="D234" s="469" t="s">
        <v>209</v>
      </c>
      <c r="E234" s="4980" t="s">
        <v>7483</v>
      </c>
      <c r="F234" s="4980"/>
      <c r="G234" s="4980"/>
      <c r="H234" s="4980"/>
    </row>
    <row r="235" spans="1:8" ht="12.75" customHeight="1">
      <c r="C235" s="2630" t="s">
        <v>7484</v>
      </c>
      <c r="E235" s="4980" t="s">
        <v>7485</v>
      </c>
      <c r="F235" s="4980"/>
      <c r="G235" s="4980"/>
      <c r="H235" s="4980"/>
    </row>
    <row r="236" spans="1:8" ht="12.75" customHeight="1">
      <c r="C236" s="981"/>
      <c r="D236" s="980" t="s">
        <v>6814</v>
      </c>
      <c r="E236" s="4983" t="s">
        <v>7486</v>
      </c>
      <c r="F236" s="4983"/>
      <c r="G236" s="4983"/>
      <c r="H236" s="4983"/>
    </row>
    <row r="237" spans="1:8" ht="6" customHeight="1">
      <c r="D237" s="469"/>
      <c r="E237" s="2635"/>
      <c r="F237" s="2635"/>
      <c r="G237" s="2635"/>
      <c r="H237" s="2635"/>
    </row>
    <row r="238" spans="1:8">
      <c r="A238" s="450" t="s">
        <v>7478</v>
      </c>
      <c r="B238" s="467" t="str">
        <f>IF('Part V-Revenues &amp; Expenses'!$N$69=0,"",'Part V-Revenues &amp; Expenses'!$N$69)</f>
        <v/>
      </c>
      <c r="C238" s="450" t="s">
        <v>7491</v>
      </c>
      <c r="D238" s="468" t="s">
        <v>7492</v>
      </c>
    </row>
    <row r="239" spans="1:8" ht="1.95" customHeight="1"/>
    <row r="240" spans="1:8" ht="12.75" customHeight="1">
      <c r="C240" s="447" t="s">
        <v>7481</v>
      </c>
      <c r="D240" s="469" t="s">
        <v>201</v>
      </c>
      <c r="E240" s="470"/>
      <c r="F240" s="466" t="s">
        <v>7482</v>
      </c>
      <c r="G240" s="466"/>
      <c r="H240" s="466"/>
    </row>
    <row r="241" spans="1:8" ht="12.75" customHeight="1">
      <c r="C241" s="471" t="s">
        <v>327</v>
      </c>
      <c r="D241" s="469" t="s">
        <v>209</v>
      </c>
      <c r="E241" s="4980" t="s">
        <v>7483</v>
      </c>
      <c r="F241" s="4980"/>
      <c r="G241" s="4980"/>
      <c r="H241" s="4980"/>
    </row>
    <row r="242" spans="1:8" ht="12.75" customHeight="1">
      <c r="C242" s="2630" t="s">
        <v>7484</v>
      </c>
      <c r="E242" s="4980" t="s">
        <v>7485</v>
      </c>
      <c r="F242" s="4980"/>
      <c r="G242" s="4980"/>
      <c r="H242" s="4980"/>
    </row>
    <row r="243" spans="1:8" ht="12.75" customHeight="1">
      <c r="C243" s="981"/>
      <c r="D243" s="472" t="s">
        <v>6814</v>
      </c>
      <c r="E243" s="4980" t="s">
        <v>7486</v>
      </c>
      <c r="F243" s="4980"/>
      <c r="G243" s="4980"/>
      <c r="H243" s="4980"/>
    </row>
    <row r="244" spans="1:8" ht="3" customHeight="1">
      <c r="D244" s="469"/>
      <c r="E244" s="2635"/>
      <c r="F244" s="2635"/>
      <c r="G244" s="2635"/>
      <c r="H244" s="2635"/>
    </row>
    <row r="245" spans="1:8" ht="12.75" customHeight="1">
      <c r="C245" s="447" t="s">
        <v>7481</v>
      </c>
      <c r="D245" s="469" t="s">
        <v>201</v>
      </c>
      <c r="E245" s="470"/>
      <c r="F245" s="466" t="s">
        <v>7482</v>
      </c>
      <c r="G245" s="466"/>
      <c r="H245" s="466"/>
    </row>
    <row r="246" spans="1:8" ht="12.75" customHeight="1">
      <c r="C246" s="471" t="s">
        <v>327</v>
      </c>
      <c r="D246" s="469" t="s">
        <v>209</v>
      </c>
      <c r="E246" s="4980" t="s">
        <v>7483</v>
      </c>
      <c r="F246" s="4980"/>
      <c r="G246" s="4980"/>
      <c r="H246" s="4980"/>
    </row>
    <row r="247" spans="1:8" ht="12.75" customHeight="1">
      <c r="C247" s="2630" t="s">
        <v>7484</v>
      </c>
      <c r="E247" s="4980" t="s">
        <v>7485</v>
      </c>
      <c r="F247" s="4980"/>
      <c r="G247" s="4980"/>
      <c r="H247" s="4980"/>
    </row>
    <row r="248" spans="1:8" ht="12.75" customHeight="1">
      <c r="C248" s="981"/>
      <c r="D248" s="980" t="s">
        <v>6814</v>
      </c>
      <c r="E248" s="4983" t="s">
        <v>7486</v>
      </c>
      <c r="F248" s="4983"/>
      <c r="G248" s="4983"/>
      <c r="H248" s="4983"/>
    </row>
    <row r="249" spans="1:8" ht="3" customHeight="1">
      <c r="D249" s="469"/>
      <c r="E249" s="2635"/>
      <c r="F249" s="2635"/>
      <c r="G249" s="2635"/>
      <c r="H249" s="2635"/>
    </row>
    <row r="250" spans="1:8" ht="12.75" customHeight="1">
      <c r="C250" s="447" t="s">
        <v>7481</v>
      </c>
      <c r="D250" s="469" t="s">
        <v>201</v>
      </c>
      <c r="E250" s="470"/>
      <c r="F250" s="466" t="s">
        <v>7482</v>
      </c>
      <c r="G250" s="466"/>
      <c r="H250" s="466"/>
    </row>
    <row r="251" spans="1:8" ht="12.75" customHeight="1">
      <c r="C251" s="471" t="s">
        <v>327</v>
      </c>
      <c r="D251" s="469" t="s">
        <v>209</v>
      </c>
      <c r="E251" s="4980" t="s">
        <v>7483</v>
      </c>
      <c r="F251" s="4980"/>
      <c r="G251" s="4980"/>
      <c r="H251" s="4980"/>
    </row>
    <row r="252" spans="1:8" ht="12.75" customHeight="1">
      <c r="C252" s="2630" t="s">
        <v>7484</v>
      </c>
      <c r="E252" s="4980" t="s">
        <v>7485</v>
      </c>
      <c r="F252" s="4980"/>
      <c r="G252" s="4980"/>
      <c r="H252" s="4980"/>
    </row>
    <row r="253" spans="1:8" ht="12.75" customHeight="1">
      <c r="C253" s="981"/>
      <c r="D253" s="980" t="s">
        <v>6814</v>
      </c>
      <c r="E253" s="4983" t="s">
        <v>7486</v>
      </c>
      <c r="F253" s="4983"/>
      <c r="G253" s="4983"/>
      <c r="H253" s="4983"/>
    </row>
    <row r="254" spans="1:8" ht="6" customHeight="1">
      <c r="D254" s="469"/>
      <c r="E254" s="2635"/>
      <c r="F254" s="2635"/>
      <c r="G254" s="2635"/>
      <c r="H254" s="2635"/>
    </row>
    <row r="255" spans="1:8">
      <c r="A255" s="450" t="s">
        <v>7478</v>
      </c>
      <c r="B255" s="467" t="str">
        <f>IF('Part V-Revenues &amp; Expenses'!$O$69=0,"",'Part V-Revenues &amp; Expenses'!$O$69)</f>
        <v/>
      </c>
      <c r="C255" s="450" t="s">
        <v>7493</v>
      </c>
      <c r="D255" s="468" t="s">
        <v>7494</v>
      </c>
    </row>
    <row r="256" spans="1:8" ht="1.95" customHeight="1"/>
    <row r="257" spans="1:11" ht="12.75" customHeight="1">
      <c r="C257" s="447" t="s">
        <v>7481</v>
      </c>
      <c r="D257" s="469" t="s">
        <v>201</v>
      </c>
      <c r="E257" s="470"/>
      <c r="F257" s="4980" t="s">
        <v>7482</v>
      </c>
      <c r="G257" s="4980"/>
      <c r="H257" s="4980"/>
      <c r="K257" s="306" t="s">
        <v>7021</v>
      </c>
    </row>
    <row r="258" spans="1:11" ht="12.75" customHeight="1">
      <c r="C258" s="471" t="s">
        <v>327</v>
      </c>
      <c r="D258" s="469" t="s">
        <v>209</v>
      </c>
      <c r="E258" s="4980" t="s">
        <v>7495</v>
      </c>
      <c r="F258" s="4980"/>
      <c r="G258" s="4980"/>
      <c r="H258" s="4980"/>
    </row>
    <row r="259" spans="1:11" ht="12.75" customHeight="1">
      <c r="E259" s="4980" t="s">
        <v>7485</v>
      </c>
      <c r="F259" s="4980"/>
      <c r="G259" s="4980"/>
      <c r="H259" s="4980"/>
    </row>
    <row r="260" spans="1:11" ht="12.75" customHeight="1">
      <c r="D260" s="472" t="s">
        <v>6814</v>
      </c>
      <c r="E260" s="4980" t="s">
        <v>7486</v>
      </c>
      <c r="F260" s="4980"/>
      <c r="G260" s="4980"/>
      <c r="H260" s="4980"/>
    </row>
    <row r="261" spans="1:11" ht="9" customHeight="1" thickBot="1"/>
    <row r="262" spans="1:11" ht="16.2" customHeight="1" thickBot="1">
      <c r="A262" s="4981">
        <v>50</v>
      </c>
      <c r="B262" s="4982"/>
      <c r="C262" s="982" t="s">
        <v>1213</v>
      </c>
    </row>
    <row r="263" spans="1:11" ht="9" customHeight="1">
      <c r="A263" s="443"/>
    </row>
    <row r="264" spans="1:11" ht="28.2" customHeight="1">
      <c r="A264" s="4980" t="s">
        <v>7498</v>
      </c>
      <c r="B264" s="4980"/>
      <c r="C264" s="4980"/>
      <c r="D264" s="4980"/>
      <c r="E264" s="4980"/>
      <c r="F264" s="4980"/>
      <c r="G264" s="4980"/>
      <c r="H264" s="4980"/>
    </row>
    <row r="265" spans="1:11" ht="9" customHeight="1">
      <c r="A265" s="443"/>
    </row>
    <row r="266" spans="1:11">
      <c r="A266" s="450" t="s">
        <v>7478</v>
      </c>
      <c r="B266" s="467" t="str">
        <f>IF('Part V-Revenues &amp; Expenses'!$K$68=0,"",'Part V-Revenues &amp; Expenses'!$K$68)</f>
        <v/>
      </c>
      <c r="C266" s="450" t="s">
        <v>7479</v>
      </c>
      <c r="D266" s="468" t="s">
        <v>7480</v>
      </c>
    </row>
    <row r="267" spans="1:11" ht="1.95" customHeight="1"/>
    <row r="268" spans="1:11" ht="12.75" customHeight="1">
      <c r="C268" s="447" t="s">
        <v>7481</v>
      </c>
      <c r="D268" s="469" t="s">
        <v>201</v>
      </c>
      <c r="E268" s="470"/>
      <c r="F268" s="4980" t="s">
        <v>7482</v>
      </c>
      <c r="G268" s="4980"/>
      <c r="H268" s="4980"/>
    </row>
    <row r="269" spans="1:11" ht="12.75" customHeight="1">
      <c r="C269" s="471" t="s">
        <v>327</v>
      </c>
      <c r="D269" s="469" t="s">
        <v>209</v>
      </c>
      <c r="E269" s="4980" t="s">
        <v>7483</v>
      </c>
      <c r="F269" s="4980"/>
      <c r="G269" s="4980"/>
      <c r="H269" s="4980"/>
    </row>
    <row r="270" spans="1:11" ht="12.75" customHeight="1">
      <c r="C270" s="2630" t="s">
        <v>7484</v>
      </c>
      <c r="E270" s="4980" t="s">
        <v>7485</v>
      </c>
      <c r="F270" s="4980"/>
      <c r="G270" s="4980"/>
      <c r="H270" s="4980"/>
    </row>
    <row r="271" spans="1:11" ht="12.75" customHeight="1">
      <c r="C271" s="981"/>
      <c r="D271" s="980" t="s">
        <v>6814</v>
      </c>
      <c r="E271" s="4983" t="s">
        <v>7486</v>
      </c>
      <c r="F271" s="4983"/>
      <c r="G271" s="4983"/>
      <c r="H271" s="4983"/>
    </row>
    <row r="272" spans="1:11" ht="3" customHeight="1">
      <c r="D272" s="469"/>
      <c r="E272" s="2635"/>
      <c r="F272" s="2635"/>
      <c r="G272" s="2635"/>
      <c r="H272" s="2635"/>
    </row>
    <row r="273" spans="1:8" ht="12.75" customHeight="1">
      <c r="C273" s="447" t="s">
        <v>7481</v>
      </c>
      <c r="D273" s="469" t="s">
        <v>201</v>
      </c>
      <c r="E273" s="470"/>
      <c r="F273" s="466" t="s">
        <v>7482</v>
      </c>
      <c r="G273" s="466"/>
      <c r="H273" s="466"/>
    </row>
    <row r="274" spans="1:8" ht="12.75" customHeight="1">
      <c r="C274" s="471" t="s">
        <v>327</v>
      </c>
      <c r="D274" s="469" t="s">
        <v>209</v>
      </c>
      <c r="E274" s="4980" t="s">
        <v>7483</v>
      </c>
      <c r="F274" s="4980"/>
      <c r="G274" s="4980"/>
      <c r="H274" s="4980"/>
    </row>
    <row r="275" spans="1:8" ht="12.75" customHeight="1">
      <c r="C275" s="2630" t="s">
        <v>7484</v>
      </c>
      <c r="E275" s="4980" t="s">
        <v>7485</v>
      </c>
      <c r="F275" s="4980"/>
      <c r="G275" s="4980"/>
      <c r="H275" s="4980"/>
    </row>
    <row r="276" spans="1:8" ht="12.75" customHeight="1">
      <c r="C276" s="981"/>
      <c r="D276" s="980" t="s">
        <v>6814</v>
      </c>
      <c r="E276" s="4983" t="s">
        <v>7486</v>
      </c>
      <c r="F276" s="4983"/>
      <c r="G276" s="4983"/>
      <c r="H276" s="4983"/>
    </row>
    <row r="277" spans="1:8" ht="3" customHeight="1">
      <c r="D277" s="469"/>
      <c r="E277" s="2635"/>
      <c r="F277" s="2635"/>
      <c r="G277" s="2635"/>
      <c r="H277" s="2635"/>
    </row>
    <row r="278" spans="1:8" ht="12.75" customHeight="1">
      <c r="C278" s="447" t="s">
        <v>7481</v>
      </c>
      <c r="D278" s="469" t="s">
        <v>201</v>
      </c>
      <c r="E278" s="470"/>
      <c r="F278" s="466" t="s">
        <v>7482</v>
      </c>
      <c r="G278" s="466"/>
      <c r="H278" s="466"/>
    </row>
    <row r="279" spans="1:8" ht="12.75" customHeight="1">
      <c r="C279" s="471" t="s">
        <v>327</v>
      </c>
      <c r="D279" s="469" t="s">
        <v>209</v>
      </c>
      <c r="E279" s="4980" t="s">
        <v>7483</v>
      </c>
      <c r="F279" s="4980"/>
      <c r="G279" s="4980"/>
      <c r="H279" s="4980"/>
    </row>
    <row r="280" spans="1:8" ht="12.75" customHeight="1">
      <c r="C280" s="2630" t="s">
        <v>7484</v>
      </c>
      <c r="E280" s="4980" t="s">
        <v>7485</v>
      </c>
      <c r="F280" s="4980"/>
      <c r="G280" s="4980"/>
      <c r="H280" s="4980"/>
    </row>
    <row r="281" spans="1:8" ht="12.75" customHeight="1">
      <c r="C281" s="981"/>
      <c r="D281" s="980" t="s">
        <v>6814</v>
      </c>
      <c r="E281" s="4983" t="s">
        <v>7486</v>
      </c>
      <c r="F281" s="4983"/>
      <c r="G281" s="4983"/>
      <c r="H281" s="4983"/>
    </row>
    <row r="282" spans="1:8" ht="6" customHeight="1">
      <c r="D282" s="469"/>
      <c r="E282" s="2635"/>
      <c r="F282" s="2635"/>
      <c r="G282" s="2635"/>
      <c r="H282" s="2635"/>
    </row>
    <row r="283" spans="1:8">
      <c r="A283" s="450" t="s">
        <v>7478</v>
      </c>
      <c r="B283" s="467">
        <f>IF('Part V-Revenues &amp; Expenses'!$L$68=0,"",'Part V-Revenues &amp; Expenses'!$L$68)</f>
        <v>5</v>
      </c>
      <c r="C283" s="450" t="s">
        <v>7487</v>
      </c>
      <c r="D283" s="468" t="s">
        <v>7488</v>
      </c>
    </row>
    <row r="284" spans="1:8" ht="1.95" customHeight="1"/>
    <row r="285" spans="1:8" ht="12.75" customHeight="1">
      <c r="C285" s="447" t="s">
        <v>7481</v>
      </c>
      <c r="D285" s="469" t="s">
        <v>201</v>
      </c>
      <c r="E285" s="470"/>
      <c r="F285" s="466" t="s">
        <v>7482</v>
      </c>
      <c r="G285" s="466"/>
      <c r="H285" s="466"/>
    </row>
    <row r="286" spans="1:8" ht="12.75" customHeight="1">
      <c r="C286" s="471" t="s">
        <v>327</v>
      </c>
      <c r="D286" s="469" t="s">
        <v>209</v>
      </c>
      <c r="E286" s="4980" t="s">
        <v>7483</v>
      </c>
      <c r="F286" s="4980"/>
      <c r="G286" s="4980"/>
      <c r="H286" s="4980"/>
    </row>
    <row r="287" spans="1:8" ht="12.75" customHeight="1">
      <c r="C287" s="2630" t="s">
        <v>7484</v>
      </c>
      <c r="E287" s="4980" t="s">
        <v>7485</v>
      </c>
      <c r="F287" s="4980"/>
      <c r="G287" s="4980"/>
      <c r="H287" s="4980"/>
    </row>
    <row r="288" spans="1:8" ht="12.75" customHeight="1">
      <c r="C288" s="981"/>
      <c r="D288" s="472" t="s">
        <v>6814</v>
      </c>
      <c r="E288" s="4980" t="s">
        <v>7486</v>
      </c>
      <c r="F288" s="4980"/>
      <c r="G288" s="4980"/>
      <c r="H288" s="4980"/>
    </row>
    <row r="289" spans="1:8" ht="3" customHeight="1">
      <c r="D289" s="469"/>
      <c r="E289" s="2635"/>
      <c r="F289" s="2635"/>
      <c r="G289" s="2635"/>
      <c r="H289" s="2635"/>
    </row>
    <row r="290" spans="1:8" ht="12.75" customHeight="1">
      <c r="C290" s="447" t="s">
        <v>7481</v>
      </c>
      <c r="D290" s="469" t="s">
        <v>201</v>
      </c>
      <c r="E290" s="470"/>
      <c r="F290" s="466" t="s">
        <v>7482</v>
      </c>
      <c r="G290" s="466"/>
      <c r="H290" s="466"/>
    </row>
    <row r="291" spans="1:8" ht="12.75" customHeight="1">
      <c r="C291" s="471" t="s">
        <v>327</v>
      </c>
      <c r="D291" s="469" t="s">
        <v>209</v>
      </c>
      <c r="E291" s="4980" t="s">
        <v>7483</v>
      </c>
      <c r="F291" s="4980"/>
      <c r="G291" s="4980"/>
      <c r="H291" s="4980"/>
    </row>
    <row r="292" spans="1:8" ht="12.75" customHeight="1">
      <c r="C292" s="2630" t="s">
        <v>7484</v>
      </c>
      <c r="E292" s="4980" t="s">
        <v>7485</v>
      </c>
      <c r="F292" s="4980"/>
      <c r="G292" s="4980"/>
      <c r="H292" s="4980"/>
    </row>
    <row r="293" spans="1:8" ht="12.75" customHeight="1">
      <c r="C293" s="981"/>
      <c r="D293" s="980" t="s">
        <v>6814</v>
      </c>
      <c r="E293" s="4983" t="s">
        <v>7486</v>
      </c>
      <c r="F293" s="4983"/>
      <c r="G293" s="4983"/>
      <c r="H293" s="4983"/>
    </row>
    <row r="294" spans="1:8" ht="3" customHeight="1">
      <c r="D294" s="469"/>
      <c r="E294" s="2635"/>
      <c r="F294" s="2635"/>
      <c r="G294" s="2635"/>
      <c r="H294" s="2635"/>
    </row>
    <row r="295" spans="1:8" ht="12.75" customHeight="1">
      <c r="C295" s="447" t="s">
        <v>7481</v>
      </c>
      <c r="D295" s="469" t="s">
        <v>201</v>
      </c>
      <c r="E295" s="470"/>
      <c r="F295" s="466" t="s">
        <v>7482</v>
      </c>
      <c r="G295" s="466"/>
      <c r="H295" s="466"/>
    </row>
    <row r="296" spans="1:8" ht="12.75" customHeight="1">
      <c r="C296" s="471" t="s">
        <v>327</v>
      </c>
      <c r="D296" s="469" t="s">
        <v>209</v>
      </c>
      <c r="E296" s="4980" t="s">
        <v>7483</v>
      </c>
      <c r="F296" s="4980"/>
      <c r="G296" s="4980"/>
      <c r="H296" s="4980"/>
    </row>
    <row r="297" spans="1:8" ht="12.75" customHeight="1">
      <c r="C297" s="2630" t="s">
        <v>7484</v>
      </c>
      <c r="E297" s="4980" t="s">
        <v>7485</v>
      </c>
      <c r="F297" s="4980"/>
      <c r="G297" s="4980"/>
      <c r="H297" s="4980"/>
    </row>
    <row r="298" spans="1:8" ht="12.75" customHeight="1">
      <c r="C298" s="981"/>
      <c r="D298" s="980" t="s">
        <v>6814</v>
      </c>
      <c r="E298" s="4983" t="s">
        <v>7486</v>
      </c>
      <c r="F298" s="4983"/>
      <c r="G298" s="4983"/>
      <c r="H298" s="4983"/>
    </row>
    <row r="299" spans="1:8" ht="6" customHeight="1">
      <c r="D299" s="469"/>
      <c r="E299" s="2635"/>
      <c r="F299" s="2635"/>
      <c r="G299" s="2635"/>
      <c r="H299" s="2635"/>
    </row>
    <row r="300" spans="1:8">
      <c r="A300" s="450" t="s">
        <v>7478</v>
      </c>
      <c r="B300" s="467">
        <f>IF('Part V-Revenues &amp; Expenses'!$M$68=0,"",'Part V-Revenues &amp; Expenses'!$M$68)</f>
        <v>10</v>
      </c>
      <c r="C300" s="450" t="s">
        <v>7489</v>
      </c>
      <c r="D300" s="468" t="s">
        <v>7490</v>
      </c>
    </row>
    <row r="301" spans="1:8" ht="1.95" customHeight="1"/>
    <row r="302" spans="1:8" ht="12.75" customHeight="1">
      <c r="C302" s="447" t="s">
        <v>7481</v>
      </c>
      <c r="D302" s="469" t="s">
        <v>201</v>
      </c>
      <c r="E302" s="470"/>
      <c r="F302" s="466" t="s">
        <v>7482</v>
      </c>
      <c r="G302" s="466"/>
      <c r="H302" s="466"/>
    </row>
    <row r="303" spans="1:8" ht="12.75" customHeight="1">
      <c r="C303" s="471" t="s">
        <v>327</v>
      </c>
      <c r="D303" s="469" t="s">
        <v>209</v>
      </c>
      <c r="E303" s="4980" t="s">
        <v>7483</v>
      </c>
      <c r="F303" s="4980"/>
      <c r="G303" s="4980"/>
      <c r="H303" s="4980"/>
    </row>
    <row r="304" spans="1:8" ht="12.75" customHeight="1">
      <c r="C304" s="2630" t="s">
        <v>7484</v>
      </c>
      <c r="E304" s="4980" t="s">
        <v>7485</v>
      </c>
      <c r="F304" s="4980"/>
      <c r="G304" s="4980"/>
      <c r="H304" s="4980"/>
    </row>
    <row r="305" spans="1:8" ht="12.75" customHeight="1">
      <c r="C305" s="981"/>
      <c r="D305" s="472" t="s">
        <v>6814</v>
      </c>
      <c r="E305" s="4980" t="s">
        <v>7486</v>
      </c>
      <c r="F305" s="4980"/>
      <c r="G305" s="4980"/>
      <c r="H305" s="4980"/>
    </row>
    <row r="306" spans="1:8" ht="3" customHeight="1">
      <c r="D306" s="469"/>
      <c r="E306" s="2635"/>
      <c r="F306" s="2635"/>
      <c r="G306" s="2635"/>
      <c r="H306" s="2635"/>
    </row>
    <row r="307" spans="1:8" ht="12.75" customHeight="1">
      <c r="C307" s="447" t="s">
        <v>7481</v>
      </c>
      <c r="D307" s="469" t="s">
        <v>201</v>
      </c>
      <c r="E307" s="470"/>
      <c r="F307" s="466" t="s">
        <v>7482</v>
      </c>
      <c r="G307" s="466"/>
      <c r="H307" s="466"/>
    </row>
    <row r="308" spans="1:8" ht="12.75" customHeight="1">
      <c r="C308" s="471" t="s">
        <v>327</v>
      </c>
      <c r="D308" s="469" t="s">
        <v>209</v>
      </c>
      <c r="E308" s="4980" t="s">
        <v>7483</v>
      </c>
      <c r="F308" s="4980"/>
      <c r="G308" s="4980"/>
      <c r="H308" s="4980"/>
    </row>
    <row r="309" spans="1:8" ht="12.75" customHeight="1">
      <c r="C309" s="2630" t="s">
        <v>7484</v>
      </c>
      <c r="E309" s="4980" t="s">
        <v>7485</v>
      </c>
      <c r="F309" s="4980"/>
      <c r="G309" s="4980"/>
      <c r="H309" s="4980"/>
    </row>
    <row r="310" spans="1:8" ht="12.75" customHeight="1">
      <c r="C310" s="981"/>
      <c r="D310" s="980" t="s">
        <v>6814</v>
      </c>
      <c r="E310" s="4983" t="s">
        <v>7486</v>
      </c>
      <c r="F310" s="4983"/>
      <c r="G310" s="4983"/>
      <c r="H310" s="4983"/>
    </row>
    <row r="311" spans="1:8" ht="3" customHeight="1">
      <c r="D311" s="469"/>
      <c r="E311" s="2635"/>
      <c r="F311" s="2635"/>
      <c r="G311" s="2635"/>
      <c r="H311" s="2635"/>
    </row>
    <row r="312" spans="1:8" ht="12.75" customHeight="1">
      <c r="C312" s="447" t="s">
        <v>7481</v>
      </c>
      <c r="D312" s="469" t="s">
        <v>201</v>
      </c>
      <c r="E312" s="470"/>
      <c r="F312" s="466" t="s">
        <v>7482</v>
      </c>
      <c r="G312" s="466"/>
      <c r="H312" s="466"/>
    </row>
    <row r="313" spans="1:8" ht="12.75" customHeight="1">
      <c r="C313" s="471" t="s">
        <v>327</v>
      </c>
      <c r="D313" s="469" t="s">
        <v>209</v>
      </c>
      <c r="E313" s="4980" t="s">
        <v>7483</v>
      </c>
      <c r="F313" s="4980"/>
      <c r="G313" s="4980"/>
      <c r="H313" s="4980"/>
    </row>
    <row r="314" spans="1:8" ht="12.75" customHeight="1">
      <c r="C314" s="2630" t="s">
        <v>7484</v>
      </c>
      <c r="E314" s="4980" t="s">
        <v>7485</v>
      </c>
      <c r="F314" s="4980"/>
      <c r="G314" s="4980"/>
      <c r="H314" s="4980"/>
    </row>
    <row r="315" spans="1:8" ht="12.75" customHeight="1">
      <c r="C315" s="981"/>
      <c r="D315" s="980" t="s">
        <v>6814</v>
      </c>
      <c r="E315" s="4983" t="s">
        <v>7486</v>
      </c>
      <c r="F315" s="4983"/>
      <c r="G315" s="4983"/>
      <c r="H315" s="4983"/>
    </row>
    <row r="316" spans="1:8" ht="6" customHeight="1">
      <c r="D316" s="469"/>
      <c r="E316" s="2635"/>
      <c r="F316" s="2635"/>
      <c r="G316" s="2635"/>
      <c r="H316" s="2635"/>
    </row>
    <row r="317" spans="1:8">
      <c r="A317" s="450" t="s">
        <v>7478</v>
      </c>
      <c r="B317" s="467">
        <f>IF('Part V-Revenues &amp; Expenses'!$N$68=0,"",'Part V-Revenues &amp; Expenses'!$N$68)</f>
        <v>5</v>
      </c>
      <c r="C317" s="450" t="s">
        <v>7491</v>
      </c>
      <c r="D317" s="468" t="s">
        <v>7492</v>
      </c>
    </row>
    <row r="318" spans="1:8" ht="1.95" customHeight="1"/>
    <row r="319" spans="1:8" ht="12.75" customHeight="1">
      <c r="C319" s="447" t="s">
        <v>7481</v>
      </c>
      <c r="D319" s="469" t="s">
        <v>201</v>
      </c>
      <c r="E319" s="470"/>
      <c r="F319" s="466" t="s">
        <v>7482</v>
      </c>
      <c r="G319" s="466"/>
      <c r="H319" s="466"/>
    </row>
    <row r="320" spans="1:8" ht="12.75" customHeight="1">
      <c r="C320" s="471" t="s">
        <v>327</v>
      </c>
      <c r="D320" s="469" t="s">
        <v>209</v>
      </c>
      <c r="E320" s="4980" t="s">
        <v>7483</v>
      </c>
      <c r="F320" s="4980"/>
      <c r="G320" s="4980"/>
      <c r="H320" s="4980"/>
    </row>
    <row r="321" spans="1:11" ht="12.75" customHeight="1">
      <c r="C321" s="2630" t="s">
        <v>7484</v>
      </c>
      <c r="E321" s="4980" t="s">
        <v>7485</v>
      </c>
      <c r="F321" s="4980"/>
      <c r="G321" s="4980"/>
      <c r="H321" s="4980"/>
    </row>
    <row r="322" spans="1:11" ht="12.75" customHeight="1">
      <c r="C322" s="981"/>
      <c r="D322" s="472" t="s">
        <v>6814</v>
      </c>
      <c r="E322" s="4980" t="s">
        <v>7486</v>
      </c>
      <c r="F322" s="4980"/>
      <c r="G322" s="4980"/>
      <c r="H322" s="4980"/>
    </row>
    <row r="323" spans="1:11" ht="3" customHeight="1">
      <c r="D323" s="469"/>
      <c r="E323" s="2635"/>
      <c r="F323" s="2635"/>
      <c r="G323" s="2635"/>
      <c r="H323" s="2635"/>
    </row>
    <row r="324" spans="1:11" ht="12.75" customHeight="1">
      <c r="C324" s="447" t="s">
        <v>7481</v>
      </c>
      <c r="D324" s="469" t="s">
        <v>201</v>
      </c>
      <c r="E324" s="470"/>
      <c r="F324" s="466" t="s">
        <v>7482</v>
      </c>
      <c r="G324" s="466"/>
      <c r="H324" s="466"/>
    </row>
    <row r="325" spans="1:11" ht="12.75" customHeight="1">
      <c r="C325" s="471" t="s">
        <v>327</v>
      </c>
      <c r="D325" s="469" t="s">
        <v>209</v>
      </c>
      <c r="E325" s="4980" t="s">
        <v>7483</v>
      </c>
      <c r="F325" s="4980"/>
      <c r="G325" s="4980"/>
      <c r="H325" s="4980"/>
    </row>
    <row r="326" spans="1:11" ht="12.75" customHeight="1">
      <c r="C326" s="2630" t="s">
        <v>7484</v>
      </c>
      <c r="E326" s="4980" t="s">
        <v>7485</v>
      </c>
      <c r="F326" s="4980"/>
      <c r="G326" s="4980"/>
      <c r="H326" s="4980"/>
    </row>
    <row r="327" spans="1:11" ht="12.75" customHeight="1">
      <c r="C327" s="981"/>
      <c r="D327" s="980" t="s">
        <v>6814</v>
      </c>
      <c r="E327" s="4983" t="s">
        <v>7486</v>
      </c>
      <c r="F327" s="4983"/>
      <c r="G327" s="4983"/>
      <c r="H327" s="4983"/>
    </row>
    <row r="328" spans="1:11" ht="3" customHeight="1">
      <c r="D328" s="469"/>
      <c r="E328" s="2635"/>
      <c r="F328" s="2635"/>
      <c r="G328" s="2635"/>
      <c r="H328" s="2635"/>
    </row>
    <row r="329" spans="1:11" ht="12.75" customHeight="1">
      <c r="C329" s="447" t="s">
        <v>7481</v>
      </c>
      <c r="D329" s="469" t="s">
        <v>201</v>
      </c>
      <c r="E329" s="470"/>
      <c r="F329" s="466" t="s">
        <v>7482</v>
      </c>
      <c r="G329" s="466"/>
      <c r="H329" s="466"/>
    </row>
    <row r="330" spans="1:11" ht="12.75" customHeight="1">
      <c r="C330" s="471" t="s">
        <v>327</v>
      </c>
      <c r="D330" s="469" t="s">
        <v>209</v>
      </c>
      <c r="E330" s="4980" t="s">
        <v>7483</v>
      </c>
      <c r="F330" s="4980"/>
      <c r="G330" s="4980"/>
      <c r="H330" s="4980"/>
    </row>
    <row r="331" spans="1:11" ht="12.75" customHeight="1">
      <c r="C331" s="2630" t="s">
        <v>7484</v>
      </c>
      <c r="E331" s="4980" t="s">
        <v>7485</v>
      </c>
      <c r="F331" s="4980"/>
      <c r="G331" s="4980"/>
      <c r="H331" s="4980"/>
    </row>
    <row r="332" spans="1:11" ht="12.75" customHeight="1">
      <c r="C332" s="981"/>
      <c r="D332" s="980" t="s">
        <v>6814</v>
      </c>
      <c r="E332" s="4983" t="s">
        <v>7486</v>
      </c>
      <c r="F332" s="4983"/>
      <c r="G332" s="4983"/>
      <c r="H332" s="4983"/>
    </row>
    <row r="333" spans="1:11" ht="6" customHeight="1">
      <c r="D333" s="469"/>
      <c r="E333" s="2635"/>
      <c r="F333" s="2635"/>
      <c r="G333" s="2635"/>
      <c r="H333" s="2635"/>
    </row>
    <row r="334" spans="1:11">
      <c r="A334" s="450" t="s">
        <v>7478</v>
      </c>
      <c r="B334" s="467" t="str">
        <f>IF('Part V-Revenues &amp; Expenses'!$O$68=0,"",'Part V-Revenues &amp; Expenses'!$O$68)</f>
        <v/>
      </c>
      <c r="C334" s="450" t="s">
        <v>7493</v>
      </c>
      <c r="D334" s="468" t="s">
        <v>7494</v>
      </c>
    </row>
    <row r="335" spans="1:11" ht="1.95" customHeight="1"/>
    <row r="336" spans="1:11" ht="12.75" customHeight="1">
      <c r="C336" s="447" t="s">
        <v>7481</v>
      </c>
      <c r="D336" s="469" t="s">
        <v>201</v>
      </c>
      <c r="E336" s="470"/>
      <c r="F336" s="4980" t="s">
        <v>7482</v>
      </c>
      <c r="G336" s="4980"/>
      <c r="H336" s="4980"/>
      <c r="K336" s="306" t="s">
        <v>7021</v>
      </c>
    </row>
    <row r="337" spans="1:8" ht="12.75" customHeight="1">
      <c r="C337" s="471" t="s">
        <v>327</v>
      </c>
      <c r="D337" s="469" t="s">
        <v>209</v>
      </c>
      <c r="E337" s="4980" t="s">
        <v>7495</v>
      </c>
      <c r="F337" s="4980"/>
      <c r="G337" s="4980"/>
      <c r="H337" s="4980"/>
    </row>
    <row r="338" spans="1:8" ht="12.75" customHeight="1">
      <c r="E338" s="4980" t="s">
        <v>7485</v>
      </c>
      <c r="F338" s="4980"/>
      <c r="G338" s="4980"/>
      <c r="H338" s="4980"/>
    </row>
    <row r="339" spans="1:8" ht="12.75" customHeight="1">
      <c r="D339" s="472" t="s">
        <v>6814</v>
      </c>
      <c r="E339" s="4980" t="s">
        <v>7486</v>
      </c>
      <c r="F339" s="4980"/>
      <c r="G339" s="4980"/>
      <c r="H339" s="4980"/>
    </row>
    <row r="340" spans="1:8" ht="9" customHeight="1"/>
    <row r="341" spans="1:8" ht="7.5" customHeight="1" thickBot="1">
      <c r="E341" s="4980"/>
      <c r="F341" s="4980"/>
      <c r="G341" s="4980"/>
      <c r="H341" s="4980"/>
    </row>
    <row r="342" spans="1:8" ht="16.2" customHeight="1" thickBot="1">
      <c r="A342" s="4981">
        <v>60</v>
      </c>
      <c r="B342" s="4982"/>
      <c r="C342" s="982" t="s">
        <v>1213</v>
      </c>
    </row>
    <row r="343" spans="1:8" ht="9" customHeight="1">
      <c r="A343" s="443"/>
    </row>
    <row r="344" spans="1:8" ht="28.2" customHeight="1">
      <c r="A344" s="4980" t="s">
        <v>7499</v>
      </c>
      <c r="B344" s="4980"/>
      <c r="C344" s="4980"/>
      <c r="D344" s="4980"/>
      <c r="E344" s="4980"/>
      <c r="F344" s="4980"/>
      <c r="G344" s="4980"/>
      <c r="H344" s="4980"/>
    </row>
    <row r="345" spans="1:8" ht="9" customHeight="1">
      <c r="A345" s="443"/>
    </row>
    <row r="346" spans="1:8">
      <c r="A346" s="450" t="s">
        <v>7478</v>
      </c>
      <c r="B346" s="467" t="str">
        <f>IF('Part V-Revenues &amp; Expenses'!$K$67=0,"",'Part V-Revenues &amp; Expenses'!$K$67)</f>
        <v/>
      </c>
      <c r="C346" s="450" t="s">
        <v>7479</v>
      </c>
      <c r="D346" s="468" t="s">
        <v>7480</v>
      </c>
    </row>
    <row r="347" spans="1:8" ht="1.95" customHeight="1"/>
    <row r="348" spans="1:8" ht="12.75" customHeight="1">
      <c r="C348" s="447" t="s">
        <v>7481</v>
      </c>
      <c r="D348" s="469" t="s">
        <v>201</v>
      </c>
      <c r="E348" s="470"/>
      <c r="F348" s="4980" t="s">
        <v>7482</v>
      </c>
      <c r="G348" s="4980"/>
      <c r="H348" s="4980"/>
    </row>
    <row r="349" spans="1:8" ht="12.75" customHeight="1">
      <c r="C349" s="471" t="s">
        <v>327</v>
      </c>
      <c r="D349" s="469" t="s">
        <v>209</v>
      </c>
      <c r="E349" s="4980" t="s">
        <v>7483</v>
      </c>
      <c r="F349" s="4980"/>
      <c r="G349" s="4980"/>
      <c r="H349" s="4980"/>
    </row>
    <row r="350" spans="1:8" ht="12.75" customHeight="1">
      <c r="C350" s="2630" t="s">
        <v>7484</v>
      </c>
      <c r="E350" s="4980" t="s">
        <v>7485</v>
      </c>
      <c r="F350" s="4980"/>
      <c r="G350" s="4980"/>
      <c r="H350" s="4980"/>
    </row>
    <row r="351" spans="1:8" ht="12.75" customHeight="1">
      <c r="C351" s="981"/>
      <c r="D351" s="980" t="s">
        <v>6814</v>
      </c>
      <c r="E351" s="4983" t="s">
        <v>7486</v>
      </c>
      <c r="F351" s="4983"/>
      <c r="G351" s="4983"/>
      <c r="H351" s="4983"/>
    </row>
    <row r="352" spans="1:8" ht="3" customHeight="1">
      <c r="D352" s="469"/>
      <c r="E352" s="2635"/>
      <c r="F352" s="2635"/>
      <c r="G352" s="2635"/>
      <c r="H352" s="2635"/>
    </row>
    <row r="353" spans="1:8" ht="12.75" customHeight="1">
      <c r="C353" s="447" t="s">
        <v>7481</v>
      </c>
      <c r="D353" s="469" t="s">
        <v>201</v>
      </c>
      <c r="E353" s="470"/>
      <c r="F353" s="466" t="s">
        <v>7482</v>
      </c>
      <c r="G353" s="466"/>
      <c r="H353" s="466"/>
    </row>
    <row r="354" spans="1:8" ht="12.75" customHeight="1">
      <c r="C354" s="471" t="s">
        <v>327</v>
      </c>
      <c r="D354" s="469" t="s">
        <v>209</v>
      </c>
      <c r="E354" s="4980" t="s">
        <v>7483</v>
      </c>
      <c r="F354" s="4980"/>
      <c r="G354" s="4980"/>
      <c r="H354" s="4980"/>
    </row>
    <row r="355" spans="1:8" ht="12.75" customHeight="1">
      <c r="C355" s="2630" t="s">
        <v>7484</v>
      </c>
      <c r="E355" s="4980" t="s">
        <v>7485</v>
      </c>
      <c r="F355" s="4980"/>
      <c r="G355" s="4980"/>
      <c r="H355" s="4980"/>
    </row>
    <row r="356" spans="1:8" ht="12.75" customHeight="1">
      <c r="C356" s="981"/>
      <c r="D356" s="980" t="s">
        <v>6814</v>
      </c>
      <c r="E356" s="4983" t="s">
        <v>7486</v>
      </c>
      <c r="F356" s="4983"/>
      <c r="G356" s="4983"/>
      <c r="H356" s="4983"/>
    </row>
    <row r="357" spans="1:8" ht="3" customHeight="1">
      <c r="D357" s="469"/>
      <c r="E357" s="2635"/>
      <c r="F357" s="2635"/>
      <c r="G357" s="2635"/>
      <c r="H357" s="2635"/>
    </row>
    <row r="358" spans="1:8" ht="12.75" customHeight="1">
      <c r="C358" s="447" t="s">
        <v>7481</v>
      </c>
      <c r="D358" s="469" t="s">
        <v>201</v>
      </c>
      <c r="E358" s="470"/>
      <c r="F358" s="466" t="s">
        <v>7482</v>
      </c>
      <c r="G358" s="466"/>
      <c r="H358" s="466"/>
    </row>
    <row r="359" spans="1:8" ht="12.75" customHeight="1">
      <c r="C359" s="471" t="s">
        <v>327</v>
      </c>
      <c r="D359" s="469" t="s">
        <v>209</v>
      </c>
      <c r="E359" s="4980" t="s">
        <v>7483</v>
      </c>
      <c r="F359" s="4980"/>
      <c r="G359" s="4980"/>
      <c r="H359" s="4980"/>
    </row>
    <row r="360" spans="1:8" ht="12.75" customHeight="1">
      <c r="C360" s="2630" t="s">
        <v>7484</v>
      </c>
      <c r="E360" s="4980" t="s">
        <v>7485</v>
      </c>
      <c r="F360" s="4980"/>
      <c r="G360" s="4980"/>
      <c r="H360" s="4980"/>
    </row>
    <row r="361" spans="1:8" ht="12.75" customHeight="1">
      <c r="C361" s="981"/>
      <c r="D361" s="980" t="s">
        <v>6814</v>
      </c>
      <c r="E361" s="4983" t="s">
        <v>7486</v>
      </c>
      <c r="F361" s="4983"/>
      <c r="G361" s="4983"/>
      <c r="H361" s="4983"/>
    </row>
    <row r="362" spans="1:8" ht="6" customHeight="1">
      <c r="D362" s="469"/>
      <c r="E362" s="2635"/>
      <c r="F362" s="2635"/>
      <c r="G362" s="2635"/>
      <c r="H362" s="2635"/>
    </row>
    <row r="363" spans="1:8">
      <c r="A363" s="450" t="s">
        <v>7478</v>
      </c>
      <c r="B363" s="467">
        <f>IF('Part V-Revenues &amp; Expenses'!$L$67=0,"",'Part V-Revenues &amp; Expenses'!$L$67)</f>
        <v>19</v>
      </c>
      <c r="C363" s="450" t="s">
        <v>7487</v>
      </c>
      <c r="D363" s="468" t="s">
        <v>7488</v>
      </c>
    </row>
    <row r="364" spans="1:8" ht="1.95" customHeight="1"/>
    <row r="365" spans="1:8" ht="12.75" customHeight="1">
      <c r="C365" s="447" t="s">
        <v>7481</v>
      </c>
      <c r="D365" s="469" t="s">
        <v>201</v>
      </c>
      <c r="E365" s="470"/>
      <c r="F365" s="466" t="s">
        <v>7482</v>
      </c>
      <c r="G365" s="466"/>
      <c r="H365" s="466"/>
    </row>
    <row r="366" spans="1:8" ht="12.75" customHeight="1">
      <c r="C366" s="471" t="s">
        <v>327</v>
      </c>
      <c r="D366" s="469" t="s">
        <v>209</v>
      </c>
      <c r="E366" s="4980" t="s">
        <v>7483</v>
      </c>
      <c r="F366" s="4980"/>
      <c r="G366" s="4980"/>
      <c r="H366" s="4980"/>
    </row>
    <row r="367" spans="1:8" ht="12.75" customHeight="1">
      <c r="C367" s="2630" t="s">
        <v>7484</v>
      </c>
      <c r="E367" s="4980" t="s">
        <v>7485</v>
      </c>
      <c r="F367" s="4980"/>
      <c r="G367" s="4980"/>
      <c r="H367" s="4980"/>
    </row>
    <row r="368" spans="1:8" ht="12.75" customHeight="1">
      <c r="C368" s="981"/>
      <c r="D368" s="472" t="s">
        <v>6814</v>
      </c>
      <c r="E368" s="4980" t="s">
        <v>7486</v>
      </c>
      <c r="F368" s="4980"/>
      <c r="G368" s="4980"/>
      <c r="H368" s="4980"/>
    </row>
    <row r="369" spans="1:8" ht="3" customHeight="1">
      <c r="D369" s="469"/>
      <c r="E369" s="2635"/>
      <c r="F369" s="2635"/>
      <c r="G369" s="2635"/>
      <c r="H369" s="2635"/>
    </row>
    <row r="370" spans="1:8" ht="12.75" customHeight="1">
      <c r="C370" s="447" t="s">
        <v>7481</v>
      </c>
      <c r="D370" s="469" t="s">
        <v>201</v>
      </c>
      <c r="E370" s="470"/>
      <c r="F370" s="466" t="s">
        <v>7482</v>
      </c>
      <c r="G370" s="466"/>
      <c r="H370" s="466"/>
    </row>
    <row r="371" spans="1:8" ht="12.75" customHeight="1">
      <c r="C371" s="471" t="s">
        <v>327</v>
      </c>
      <c r="D371" s="469" t="s">
        <v>209</v>
      </c>
      <c r="E371" s="4980" t="s">
        <v>7483</v>
      </c>
      <c r="F371" s="4980"/>
      <c r="G371" s="4980"/>
      <c r="H371" s="4980"/>
    </row>
    <row r="372" spans="1:8" ht="12.75" customHeight="1">
      <c r="C372" s="2630" t="s">
        <v>7484</v>
      </c>
      <c r="E372" s="4980" t="s">
        <v>7485</v>
      </c>
      <c r="F372" s="4980"/>
      <c r="G372" s="4980"/>
      <c r="H372" s="4980"/>
    </row>
    <row r="373" spans="1:8" ht="12.75" customHeight="1">
      <c r="C373" s="981"/>
      <c r="D373" s="980" t="s">
        <v>6814</v>
      </c>
      <c r="E373" s="4983" t="s">
        <v>7486</v>
      </c>
      <c r="F373" s="4983"/>
      <c r="G373" s="4983"/>
      <c r="H373" s="4983"/>
    </row>
    <row r="374" spans="1:8" ht="3" customHeight="1">
      <c r="D374" s="469"/>
      <c r="E374" s="2635"/>
      <c r="F374" s="2635"/>
      <c r="G374" s="2635"/>
      <c r="H374" s="2635"/>
    </row>
    <row r="375" spans="1:8" ht="12.75" customHeight="1">
      <c r="C375" s="447" t="s">
        <v>7481</v>
      </c>
      <c r="D375" s="469" t="s">
        <v>201</v>
      </c>
      <c r="E375" s="470"/>
      <c r="F375" s="466" t="s">
        <v>7482</v>
      </c>
      <c r="G375" s="466"/>
      <c r="H375" s="466"/>
    </row>
    <row r="376" spans="1:8" ht="12.75" customHeight="1">
      <c r="C376" s="471" t="s">
        <v>327</v>
      </c>
      <c r="D376" s="469" t="s">
        <v>209</v>
      </c>
      <c r="E376" s="4980" t="s">
        <v>7483</v>
      </c>
      <c r="F376" s="4980"/>
      <c r="G376" s="4980"/>
      <c r="H376" s="4980"/>
    </row>
    <row r="377" spans="1:8" ht="12.75" customHeight="1">
      <c r="C377" s="2630" t="s">
        <v>7484</v>
      </c>
      <c r="E377" s="4980" t="s">
        <v>7485</v>
      </c>
      <c r="F377" s="4980"/>
      <c r="G377" s="4980"/>
      <c r="H377" s="4980"/>
    </row>
    <row r="378" spans="1:8" ht="12.75" customHeight="1">
      <c r="C378" s="981"/>
      <c r="D378" s="980" t="s">
        <v>6814</v>
      </c>
      <c r="E378" s="4983" t="s">
        <v>7486</v>
      </c>
      <c r="F378" s="4983"/>
      <c r="G378" s="4983"/>
      <c r="H378" s="4983"/>
    </row>
    <row r="379" spans="1:8" ht="6" customHeight="1">
      <c r="D379" s="469"/>
      <c r="E379" s="2635"/>
      <c r="F379" s="2635"/>
      <c r="G379" s="2635"/>
      <c r="H379" s="2635"/>
    </row>
    <row r="380" spans="1:8">
      <c r="A380" s="450" t="s">
        <v>7478</v>
      </c>
      <c r="B380" s="467">
        <f>IF('Part V-Revenues &amp; Expenses'!$M$67=0,"",'Part V-Revenues &amp; Expenses'!$M$67)</f>
        <v>38</v>
      </c>
      <c r="C380" s="450" t="s">
        <v>7489</v>
      </c>
      <c r="D380" s="468" t="s">
        <v>7490</v>
      </c>
    </row>
    <row r="381" spans="1:8" ht="1.95" customHeight="1"/>
    <row r="382" spans="1:8" ht="12.75" customHeight="1">
      <c r="C382" s="447" t="s">
        <v>7481</v>
      </c>
      <c r="D382" s="469" t="s">
        <v>201</v>
      </c>
      <c r="E382" s="470"/>
      <c r="F382" s="466" t="s">
        <v>7482</v>
      </c>
      <c r="G382" s="466"/>
      <c r="H382" s="466"/>
    </row>
    <row r="383" spans="1:8" ht="12.75" customHeight="1">
      <c r="C383" s="471" t="s">
        <v>327</v>
      </c>
      <c r="D383" s="469" t="s">
        <v>209</v>
      </c>
      <c r="E383" s="4980" t="s">
        <v>7483</v>
      </c>
      <c r="F383" s="4980"/>
      <c r="G383" s="4980"/>
      <c r="H383" s="4980"/>
    </row>
    <row r="384" spans="1:8" ht="12.75" customHeight="1">
      <c r="C384" s="2630" t="s">
        <v>7484</v>
      </c>
      <c r="E384" s="4980" t="s">
        <v>7485</v>
      </c>
      <c r="F384" s="4980"/>
      <c r="G384" s="4980"/>
      <c r="H384" s="4980"/>
    </row>
    <row r="385" spans="1:8" ht="12.75" customHeight="1">
      <c r="C385" s="981"/>
      <c r="D385" s="472" t="s">
        <v>6814</v>
      </c>
      <c r="E385" s="4980" t="s">
        <v>7486</v>
      </c>
      <c r="F385" s="4980"/>
      <c r="G385" s="4980"/>
      <c r="H385" s="4980"/>
    </row>
    <row r="386" spans="1:8" ht="3" customHeight="1">
      <c r="D386" s="469"/>
      <c r="E386" s="2635"/>
      <c r="F386" s="2635"/>
      <c r="G386" s="2635"/>
      <c r="H386" s="2635"/>
    </row>
    <row r="387" spans="1:8" ht="12.75" customHeight="1">
      <c r="C387" s="447" t="s">
        <v>7481</v>
      </c>
      <c r="D387" s="469" t="s">
        <v>201</v>
      </c>
      <c r="E387" s="470"/>
      <c r="F387" s="466" t="s">
        <v>7482</v>
      </c>
      <c r="G387" s="466"/>
      <c r="H387" s="466"/>
    </row>
    <row r="388" spans="1:8" ht="12.75" customHeight="1">
      <c r="C388" s="471" t="s">
        <v>327</v>
      </c>
      <c r="D388" s="469" t="s">
        <v>209</v>
      </c>
      <c r="E388" s="4980" t="s">
        <v>7483</v>
      </c>
      <c r="F388" s="4980"/>
      <c r="G388" s="4980"/>
      <c r="H388" s="4980"/>
    </row>
    <row r="389" spans="1:8" ht="12.75" customHeight="1">
      <c r="C389" s="2630" t="s">
        <v>7484</v>
      </c>
      <c r="E389" s="4980" t="s">
        <v>7485</v>
      </c>
      <c r="F389" s="4980"/>
      <c r="G389" s="4980"/>
      <c r="H389" s="4980"/>
    </row>
    <row r="390" spans="1:8" ht="12.75" customHeight="1">
      <c r="C390" s="981"/>
      <c r="D390" s="980" t="s">
        <v>6814</v>
      </c>
      <c r="E390" s="4983" t="s">
        <v>7486</v>
      </c>
      <c r="F390" s="4983"/>
      <c r="G390" s="4983"/>
      <c r="H390" s="4983"/>
    </row>
    <row r="391" spans="1:8" ht="3" customHeight="1">
      <c r="D391" s="469"/>
      <c r="E391" s="2635"/>
      <c r="F391" s="2635"/>
      <c r="G391" s="2635"/>
      <c r="H391" s="2635"/>
    </row>
    <row r="392" spans="1:8" ht="12.75" customHeight="1">
      <c r="C392" s="447" t="s">
        <v>7481</v>
      </c>
      <c r="D392" s="469" t="s">
        <v>201</v>
      </c>
      <c r="E392" s="470"/>
      <c r="F392" s="466" t="s">
        <v>7482</v>
      </c>
      <c r="G392" s="466"/>
      <c r="H392" s="466"/>
    </row>
    <row r="393" spans="1:8" ht="12.75" customHeight="1">
      <c r="C393" s="471" t="s">
        <v>327</v>
      </c>
      <c r="D393" s="469" t="s">
        <v>209</v>
      </c>
      <c r="E393" s="4980" t="s">
        <v>7483</v>
      </c>
      <c r="F393" s="4980"/>
      <c r="G393" s="4980"/>
      <c r="H393" s="4980"/>
    </row>
    <row r="394" spans="1:8" ht="12.75" customHeight="1">
      <c r="C394" s="2630" t="s">
        <v>7484</v>
      </c>
      <c r="E394" s="4980" t="s">
        <v>7485</v>
      </c>
      <c r="F394" s="4980"/>
      <c r="G394" s="4980"/>
      <c r="H394" s="4980"/>
    </row>
    <row r="395" spans="1:8" ht="12.75" customHeight="1">
      <c r="C395" s="981"/>
      <c r="D395" s="980" t="s">
        <v>6814</v>
      </c>
      <c r="E395" s="4983" t="s">
        <v>7486</v>
      </c>
      <c r="F395" s="4983"/>
      <c r="G395" s="4983"/>
      <c r="H395" s="4983"/>
    </row>
    <row r="396" spans="1:8" ht="6" customHeight="1">
      <c r="D396" s="469"/>
      <c r="E396" s="2635"/>
      <c r="F396" s="2635"/>
      <c r="G396" s="2635"/>
      <c r="H396" s="2635"/>
    </row>
    <row r="397" spans="1:8">
      <c r="A397" s="450" t="s">
        <v>7478</v>
      </c>
      <c r="B397" s="467">
        <f>IF('Part V-Revenues &amp; Expenses'!$N$67=0,"",'Part V-Revenues &amp; Expenses'!$N$67)</f>
        <v>19</v>
      </c>
      <c r="C397" s="450" t="s">
        <v>7491</v>
      </c>
      <c r="D397" s="468" t="s">
        <v>7492</v>
      </c>
    </row>
    <row r="398" spans="1:8" ht="1.95" customHeight="1"/>
    <row r="399" spans="1:8" ht="12.75" customHeight="1">
      <c r="C399" s="447" t="s">
        <v>7481</v>
      </c>
      <c r="D399" s="469" t="s">
        <v>201</v>
      </c>
      <c r="E399" s="470"/>
      <c r="F399" s="466" t="s">
        <v>7482</v>
      </c>
      <c r="G399" s="466"/>
      <c r="H399" s="466"/>
    </row>
    <row r="400" spans="1:8" ht="12.75" customHeight="1">
      <c r="C400" s="471" t="s">
        <v>327</v>
      </c>
      <c r="D400" s="469" t="s">
        <v>209</v>
      </c>
      <c r="E400" s="4980" t="s">
        <v>7483</v>
      </c>
      <c r="F400" s="4980"/>
      <c r="G400" s="4980"/>
      <c r="H400" s="4980"/>
    </row>
    <row r="401" spans="1:11" ht="12.75" customHeight="1">
      <c r="C401" s="2630" t="s">
        <v>7484</v>
      </c>
      <c r="E401" s="4980" t="s">
        <v>7485</v>
      </c>
      <c r="F401" s="4980"/>
      <c r="G401" s="4980"/>
      <c r="H401" s="4980"/>
    </row>
    <row r="402" spans="1:11" ht="12.75" customHeight="1">
      <c r="C402" s="981"/>
      <c r="D402" s="472" t="s">
        <v>6814</v>
      </c>
      <c r="E402" s="4980" t="s">
        <v>7486</v>
      </c>
      <c r="F402" s="4980"/>
      <c r="G402" s="4980"/>
      <c r="H402" s="4980"/>
    </row>
    <row r="403" spans="1:11" ht="3" customHeight="1">
      <c r="D403" s="469"/>
      <c r="E403" s="2635"/>
      <c r="F403" s="2635"/>
      <c r="G403" s="2635"/>
      <c r="H403" s="2635"/>
    </row>
    <row r="404" spans="1:11" ht="12.75" customHeight="1">
      <c r="C404" s="447" t="s">
        <v>7481</v>
      </c>
      <c r="D404" s="469" t="s">
        <v>201</v>
      </c>
      <c r="E404" s="470"/>
      <c r="F404" s="466" t="s">
        <v>7482</v>
      </c>
      <c r="G404" s="466"/>
      <c r="H404" s="466"/>
    </row>
    <row r="405" spans="1:11" ht="12.75" customHeight="1">
      <c r="C405" s="471" t="s">
        <v>327</v>
      </c>
      <c r="D405" s="469" t="s">
        <v>209</v>
      </c>
      <c r="E405" s="4980" t="s">
        <v>7483</v>
      </c>
      <c r="F405" s="4980"/>
      <c r="G405" s="4980"/>
      <c r="H405" s="4980"/>
    </row>
    <row r="406" spans="1:11" ht="12.75" customHeight="1">
      <c r="C406" s="2630" t="s">
        <v>7484</v>
      </c>
      <c r="E406" s="4980" t="s">
        <v>7485</v>
      </c>
      <c r="F406" s="4980"/>
      <c r="G406" s="4980"/>
      <c r="H406" s="4980"/>
    </row>
    <row r="407" spans="1:11" ht="12.75" customHeight="1">
      <c r="C407" s="981"/>
      <c r="D407" s="980" t="s">
        <v>6814</v>
      </c>
      <c r="E407" s="4983" t="s">
        <v>7486</v>
      </c>
      <c r="F407" s="4983"/>
      <c r="G407" s="4983"/>
      <c r="H407" s="4983"/>
    </row>
    <row r="408" spans="1:11" ht="3" customHeight="1">
      <c r="D408" s="469"/>
      <c r="E408" s="2635"/>
      <c r="F408" s="2635"/>
      <c r="G408" s="2635"/>
      <c r="H408" s="2635"/>
    </row>
    <row r="409" spans="1:11" ht="12.75" customHeight="1">
      <c r="C409" s="447" t="s">
        <v>7481</v>
      </c>
      <c r="D409" s="469" t="s">
        <v>201</v>
      </c>
      <c r="E409" s="470"/>
      <c r="F409" s="466" t="s">
        <v>7482</v>
      </c>
      <c r="G409" s="466"/>
      <c r="H409" s="466"/>
    </row>
    <row r="410" spans="1:11" ht="12.75" customHeight="1">
      <c r="C410" s="471" t="s">
        <v>327</v>
      </c>
      <c r="D410" s="469" t="s">
        <v>209</v>
      </c>
      <c r="E410" s="4980" t="s">
        <v>7483</v>
      </c>
      <c r="F410" s="4980"/>
      <c r="G410" s="4980"/>
      <c r="H410" s="4980"/>
    </row>
    <row r="411" spans="1:11" ht="12.75" customHeight="1">
      <c r="C411" s="2630" t="s">
        <v>7484</v>
      </c>
      <c r="E411" s="4980" t="s">
        <v>7485</v>
      </c>
      <c r="F411" s="4980"/>
      <c r="G411" s="4980"/>
      <c r="H411" s="4980"/>
    </row>
    <row r="412" spans="1:11" ht="12.75" customHeight="1">
      <c r="C412" s="981"/>
      <c r="D412" s="980" t="s">
        <v>6814</v>
      </c>
      <c r="E412" s="4983" t="s">
        <v>7486</v>
      </c>
      <c r="F412" s="4983"/>
      <c r="G412" s="4983"/>
      <c r="H412" s="4983"/>
    </row>
    <row r="413" spans="1:11" ht="6" customHeight="1">
      <c r="D413" s="469"/>
      <c r="E413" s="2635"/>
      <c r="F413" s="2635"/>
      <c r="G413" s="2635"/>
      <c r="H413" s="2635"/>
    </row>
    <row r="414" spans="1:11">
      <c r="A414" s="450" t="s">
        <v>7478</v>
      </c>
      <c r="B414" s="467" t="str">
        <f>IF('Part V-Revenues &amp; Expenses'!$O$67=0,"",'Part V-Revenues &amp; Expenses'!$O$67)</f>
        <v/>
      </c>
      <c r="C414" s="450" t="s">
        <v>7493</v>
      </c>
      <c r="D414" s="468" t="s">
        <v>7494</v>
      </c>
    </row>
    <row r="415" spans="1:11" ht="1.95" customHeight="1"/>
    <row r="416" spans="1:11" ht="12.75" customHeight="1">
      <c r="C416" s="447" t="s">
        <v>7481</v>
      </c>
      <c r="D416" s="469" t="s">
        <v>201</v>
      </c>
      <c r="E416" s="470"/>
      <c r="F416" s="4980" t="s">
        <v>7482</v>
      </c>
      <c r="G416" s="4980"/>
      <c r="H416" s="4980"/>
      <c r="K416" s="306" t="s">
        <v>7021</v>
      </c>
    </row>
    <row r="417" spans="1:8" ht="12.75" customHeight="1">
      <c r="C417" s="471" t="s">
        <v>327</v>
      </c>
      <c r="D417" s="469" t="s">
        <v>209</v>
      </c>
      <c r="E417" s="4980" t="s">
        <v>7495</v>
      </c>
      <c r="F417" s="4980"/>
      <c r="G417" s="4980"/>
      <c r="H417" s="4980"/>
    </row>
    <row r="418" spans="1:8" ht="12.75" customHeight="1">
      <c r="E418" s="4980" t="s">
        <v>7485</v>
      </c>
      <c r="F418" s="4980"/>
      <c r="G418" s="4980"/>
      <c r="H418" s="4980"/>
    </row>
    <row r="419" spans="1:8" ht="12.75" customHeight="1">
      <c r="D419" s="472" t="s">
        <v>6814</v>
      </c>
      <c r="E419" s="4980" t="s">
        <v>7486</v>
      </c>
      <c r="F419" s="4980"/>
      <c r="G419" s="4980"/>
      <c r="H419" s="4980"/>
    </row>
    <row r="420" spans="1:8" ht="9" customHeight="1" thickBot="1"/>
    <row r="421" spans="1:8" ht="16.2" customHeight="1" thickBot="1">
      <c r="A421" s="4981">
        <v>70</v>
      </c>
      <c r="B421" s="4982"/>
      <c r="C421" s="982" t="s">
        <v>1213</v>
      </c>
    </row>
    <row r="422" spans="1:8" ht="9" customHeight="1">
      <c r="A422" s="443"/>
    </row>
    <row r="423" spans="1:8" ht="28.2" customHeight="1">
      <c r="A423" s="4980" t="s">
        <v>7500</v>
      </c>
      <c r="B423" s="4980"/>
      <c r="C423" s="4980"/>
      <c r="D423" s="4980"/>
      <c r="E423" s="4980"/>
      <c r="F423" s="4980"/>
      <c r="G423" s="4980"/>
      <c r="H423" s="4980"/>
    </row>
    <row r="424" spans="1:8" ht="9" customHeight="1">
      <c r="A424" s="443"/>
    </row>
    <row r="425" spans="1:8">
      <c r="A425" s="450" t="s">
        <v>7478</v>
      </c>
      <c r="B425" s="467" t="str">
        <f>IF('Part V-Revenues &amp; Expenses'!$K$66=0,"",'Part V-Revenues &amp; Expenses'!$K$66)</f>
        <v/>
      </c>
      <c r="C425" s="450" t="s">
        <v>7479</v>
      </c>
      <c r="D425" s="468" t="s">
        <v>7480</v>
      </c>
    </row>
    <row r="426" spans="1:8" ht="1.95" customHeight="1"/>
    <row r="427" spans="1:8" ht="12.75" customHeight="1">
      <c r="C427" s="447" t="s">
        <v>7481</v>
      </c>
      <c r="D427" s="469" t="s">
        <v>201</v>
      </c>
      <c r="E427" s="470"/>
      <c r="F427" s="4980" t="s">
        <v>7482</v>
      </c>
      <c r="G427" s="4980"/>
      <c r="H427" s="4980"/>
    </row>
    <row r="428" spans="1:8" ht="12.75" customHeight="1">
      <c r="C428" s="471" t="s">
        <v>327</v>
      </c>
      <c r="D428" s="469" t="s">
        <v>209</v>
      </c>
      <c r="E428" s="4980" t="s">
        <v>7483</v>
      </c>
      <c r="F428" s="4980"/>
      <c r="G428" s="4980"/>
      <c r="H428" s="4980"/>
    </row>
    <row r="429" spans="1:8" ht="12.75" customHeight="1">
      <c r="C429" s="2630" t="s">
        <v>7484</v>
      </c>
      <c r="E429" s="4980" t="s">
        <v>7485</v>
      </c>
      <c r="F429" s="4980"/>
      <c r="G429" s="4980"/>
      <c r="H429" s="4980"/>
    </row>
    <row r="430" spans="1:8" ht="12.75" customHeight="1">
      <c r="C430" s="981"/>
      <c r="D430" s="980" t="s">
        <v>6814</v>
      </c>
      <c r="E430" s="4983" t="s">
        <v>7486</v>
      </c>
      <c r="F430" s="4983"/>
      <c r="G430" s="4983"/>
      <c r="H430" s="4983"/>
    </row>
    <row r="431" spans="1:8" ht="3" customHeight="1">
      <c r="D431" s="469"/>
      <c r="E431" s="2635"/>
      <c r="F431" s="2635"/>
      <c r="G431" s="2635"/>
      <c r="H431" s="2635"/>
    </row>
    <row r="432" spans="1:8" ht="12.75" customHeight="1">
      <c r="C432" s="447" t="s">
        <v>7481</v>
      </c>
      <c r="D432" s="469" t="s">
        <v>201</v>
      </c>
      <c r="E432" s="470"/>
      <c r="F432" s="466" t="s">
        <v>7482</v>
      </c>
      <c r="G432" s="466"/>
      <c r="H432" s="466"/>
    </row>
    <row r="433" spans="1:8" ht="12.75" customHeight="1">
      <c r="C433" s="471" t="s">
        <v>327</v>
      </c>
      <c r="D433" s="469" t="s">
        <v>209</v>
      </c>
      <c r="E433" s="4980" t="s">
        <v>7483</v>
      </c>
      <c r="F433" s="4980"/>
      <c r="G433" s="4980"/>
      <c r="H433" s="4980"/>
    </row>
    <row r="434" spans="1:8" ht="12.75" customHeight="1">
      <c r="C434" s="2630" t="s">
        <v>7484</v>
      </c>
      <c r="E434" s="4980" t="s">
        <v>7485</v>
      </c>
      <c r="F434" s="4980"/>
      <c r="G434" s="4980"/>
      <c r="H434" s="4980"/>
    </row>
    <row r="435" spans="1:8" ht="12.75" customHeight="1">
      <c r="C435" s="981"/>
      <c r="D435" s="980" t="s">
        <v>6814</v>
      </c>
      <c r="E435" s="4983" t="s">
        <v>7486</v>
      </c>
      <c r="F435" s="4983"/>
      <c r="G435" s="4983"/>
      <c r="H435" s="4983"/>
    </row>
    <row r="436" spans="1:8" ht="3" customHeight="1">
      <c r="D436" s="469"/>
      <c r="E436" s="2635"/>
      <c r="F436" s="2635"/>
      <c r="G436" s="2635"/>
      <c r="H436" s="2635"/>
    </row>
    <row r="437" spans="1:8" ht="12.75" customHeight="1">
      <c r="C437" s="447" t="s">
        <v>7481</v>
      </c>
      <c r="D437" s="469" t="s">
        <v>201</v>
      </c>
      <c r="E437" s="470"/>
      <c r="F437" s="466" t="s">
        <v>7482</v>
      </c>
      <c r="G437" s="466"/>
      <c r="H437" s="466"/>
    </row>
    <row r="438" spans="1:8" ht="12.75" customHeight="1">
      <c r="C438" s="471" t="s">
        <v>327</v>
      </c>
      <c r="D438" s="469" t="s">
        <v>209</v>
      </c>
      <c r="E438" s="4980" t="s">
        <v>7483</v>
      </c>
      <c r="F438" s="4980"/>
      <c r="G438" s="4980"/>
      <c r="H438" s="4980"/>
    </row>
    <row r="439" spans="1:8" ht="12.75" customHeight="1">
      <c r="C439" s="2630" t="s">
        <v>7484</v>
      </c>
      <c r="E439" s="4980" t="s">
        <v>7485</v>
      </c>
      <c r="F439" s="4980"/>
      <c r="G439" s="4980"/>
      <c r="H439" s="4980"/>
    </row>
    <row r="440" spans="1:8" ht="12.75" customHeight="1">
      <c r="C440" s="981"/>
      <c r="D440" s="980" t="s">
        <v>6814</v>
      </c>
      <c r="E440" s="4983" t="s">
        <v>7486</v>
      </c>
      <c r="F440" s="4983"/>
      <c r="G440" s="4983"/>
      <c r="H440" s="4983"/>
    </row>
    <row r="441" spans="1:8" ht="6" customHeight="1">
      <c r="D441" s="469"/>
      <c r="E441" s="2635"/>
      <c r="F441" s="2635"/>
      <c r="G441" s="2635"/>
      <c r="H441" s="2635"/>
    </row>
    <row r="442" spans="1:8">
      <c r="A442" s="450" t="s">
        <v>7478</v>
      </c>
      <c r="B442" s="467" t="str">
        <f>IF('Part V-Revenues &amp; Expenses'!$L$66=0,"",'Part V-Revenues &amp; Expenses'!$L$66)</f>
        <v/>
      </c>
      <c r="C442" s="450" t="s">
        <v>7487</v>
      </c>
      <c r="D442" s="468" t="s">
        <v>7488</v>
      </c>
    </row>
    <row r="443" spans="1:8" ht="1.95" customHeight="1"/>
    <row r="444" spans="1:8" ht="12.75" customHeight="1">
      <c r="C444" s="447" t="s">
        <v>7481</v>
      </c>
      <c r="D444" s="469" t="s">
        <v>201</v>
      </c>
      <c r="E444" s="470"/>
      <c r="F444" s="466" t="s">
        <v>7482</v>
      </c>
      <c r="G444" s="466"/>
      <c r="H444" s="466"/>
    </row>
    <row r="445" spans="1:8" ht="12.75" customHeight="1">
      <c r="C445" s="471" t="s">
        <v>327</v>
      </c>
      <c r="D445" s="469" t="s">
        <v>209</v>
      </c>
      <c r="E445" s="4980" t="s">
        <v>7483</v>
      </c>
      <c r="F445" s="4980"/>
      <c r="G445" s="4980"/>
      <c r="H445" s="4980"/>
    </row>
    <row r="446" spans="1:8" ht="12.75" customHeight="1">
      <c r="C446" s="2630" t="s">
        <v>7484</v>
      </c>
      <c r="E446" s="4980" t="s">
        <v>7485</v>
      </c>
      <c r="F446" s="4980"/>
      <c r="G446" s="4980"/>
      <c r="H446" s="4980"/>
    </row>
    <row r="447" spans="1:8" ht="12.75" customHeight="1">
      <c r="C447" s="981"/>
      <c r="D447" s="472" t="s">
        <v>6814</v>
      </c>
      <c r="E447" s="4980" t="s">
        <v>7486</v>
      </c>
      <c r="F447" s="4980"/>
      <c r="G447" s="4980"/>
      <c r="H447" s="4980"/>
    </row>
    <row r="448" spans="1:8" ht="3" customHeight="1">
      <c r="D448" s="469"/>
      <c r="E448" s="2635"/>
      <c r="F448" s="2635"/>
      <c r="G448" s="2635"/>
      <c r="H448" s="2635"/>
    </row>
    <row r="449" spans="1:8" ht="12.75" customHeight="1">
      <c r="C449" s="447" t="s">
        <v>7481</v>
      </c>
      <c r="D449" s="469" t="s">
        <v>201</v>
      </c>
      <c r="E449" s="470"/>
      <c r="F449" s="466" t="s">
        <v>7482</v>
      </c>
      <c r="G449" s="466"/>
      <c r="H449" s="466"/>
    </row>
    <row r="450" spans="1:8" ht="12.75" customHeight="1">
      <c r="C450" s="471" t="s">
        <v>327</v>
      </c>
      <c r="D450" s="469" t="s">
        <v>209</v>
      </c>
      <c r="E450" s="4980" t="s">
        <v>7483</v>
      </c>
      <c r="F450" s="4980"/>
      <c r="G450" s="4980"/>
      <c r="H450" s="4980"/>
    </row>
    <row r="451" spans="1:8" ht="12.75" customHeight="1">
      <c r="C451" s="2630" t="s">
        <v>7484</v>
      </c>
      <c r="E451" s="4980" t="s">
        <v>7485</v>
      </c>
      <c r="F451" s="4980"/>
      <c r="G451" s="4980"/>
      <c r="H451" s="4980"/>
    </row>
    <row r="452" spans="1:8" ht="12.75" customHeight="1">
      <c r="C452" s="981"/>
      <c r="D452" s="980" t="s">
        <v>6814</v>
      </c>
      <c r="E452" s="4983" t="s">
        <v>7486</v>
      </c>
      <c r="F452" s="4983"/>
      <c r="G452" s="4983"/>
      <c r="H452" s="4983"/>
    </row>
    <row r="453" spans="1:8" ht="3" customHeight="1">
      <c r="D453" s="469"/>
      <c r="E453" s="2635"/>
      <c r="F453" s="2635"/>
      <c r="G453" s="2635"/>
      <c r="H453" s="2635"/>
    </row>
    <row r="454" spans="1:8" ht="12.75" customHeight="1">
      <c r="C454" s="447" t="s">
        <v>7481</v>
      </c>
      <c r="D454" s="469" t="s">
        <v>201</v>
      </c>
      <c r="E454" s="470"/>
      <c r="F454" s="466" t="s">
        <v>7482</v>
      </c>
      <c r="G454" s="466"/>
      <c r="H454" s="466"/>
    </row>
    <row r="455" spans="1:8" ht="12.75" customHeight="1">
      <c r="C455" s="471" t="s">
        <v>327</v>
      </c>
      <c r="D455" s="469" t="s">
        <v>209</v>
      </c>
      <c r="E455" s="4980" t="s">
        <v>7483</v>
      </c>
      <c r="F455" s="4980"/>
      <c r="G455" s="4980"/>
      <c r="H455" s="4980"/>
    </row>
    <row r="456" spans="1:8" ht="12.75" customHeight="1">
      <c r="C456" s="2630" t="s">
        <v>7484</v>
      </c>
      <c r="E456" s="4980" t="s">
        <v>7485</v>
      </c>
      <c r="F456" s="4980"/>
      <c r="G456" s="4980"/>
      <c r="H456" s="4980"/>
    </row>
    <row r="457" spans="1:8" ht="12.75" customHeight="1">
      <c r="C457" s="981"/>
      <c r="D457" s="980" t="s">
        <v>6814</v>
      </c>
      <c r="E457" s="4983" t="s">
        <v>7486</v>
      </c>
      <c r="F457" s="4983"/>
      <c r="G457" s="4983"/>
      <c r="H457" s="4983"/>
    </row>
    <row r="458" spans="1:8" ht="6" customHeight="1">
      <c r="D458" s="469"/>
      <c r="E458" s="2635"/>
      <c r="F458" s="2635"/>
      <c r="G458" s="2635"/>
      <c r="H458" s="2635"/>
    </row>
    <row r="459" spans="1:8">
      <c r="A459" s="450" t="s">
        <v>7478</v>
      </c>
      <c r="B459" s="467" t="str">
        <f>IF('Part V-Revenues &amp; Expenses'!$M$66=0,"",'Part V-Revenues &amp; Expenses'!$M$66)</f>
        <v/>
      </c>
      <c r="C459" s="450" t="s">
        <v>7489</v>
      </c>
      <c r="D459" s="468" t="s">
        <v>7490</v>
      </c>
    </row>
    <row r="460" spans="1:8" ht="1.95" customHeight="1"/>
    <row r="461" spans="1:8" ht="12.75" customHeight="1">
      <c r="C461" s="447" t="s">
        <v>7481</v>
      </c>
      <c r="D461" s="469" t="s">
        <v>201</v>
      </c>
      <c r="E461" s="470"/>
      <c r="F461" s="466" t="s">
        <v>7482</v>
      </c>
      <c r="G461" s="466"/>
      <c r="H461" s="466"/>
    </row>
    <row r="462" spans="1:8" ht="12.75" customHeight="1">
      <c r="C462" s="471" t="s">
        <v>327</v>
      </c>
      <c r="D462" s="469" t="s">
        <v>209</v>
      </c>
      <c r="E462" s="4980" t="s">
        <v>7483</v>
      </c>
      <c r="F462" s="4980"/>
      <c r="G462" s="4980"/>
      <c r="H462" s="4980"/>
    </row>
    <row r="463" spans="1:8" ht="12.75" customHeight="1">
      <c r="C463" s="2630" t="s">
        <v>7484</v>
      </c>
      <c r="E463" s="4980" t="s">
        <v>7485</v>
      </c>
      <c r="F463" s="4980"/>
      <c r="G463" s="4980"/>
      <c r="H463" s="4980"/>
    </row>
    <row r="464" spans="1:8" ht="12.75" customHeight="1">
      <c r="C464" s="981"/>
      <c r="D464" s="472" t="s">
        <v>6814</v>
      </c>
      <c r="E464" s="4980" t="s">
        <v>7486</v>
      </c>
      <c r="F464" s="4980"/>
      <c r="G464" s="4980"/>
      <c r="H464" s="4980"/>
    </row>
    <row r="465" spans="1:8" ht="3" customHeight="1">
      <c r="D465" s="469"/>
      <c r="E465" s="2635"/>
      <c r="F465" s="2635"/>
      <c r="G465" s="2635"/>
      <c r="H465" s="2635"/>
    </row>
    <row r="466" spans="1:8" ht="12.75" customHeight="1">
      <c r="C466" s="447" t="s">
        <v>7481</v>
      </c>
      <c r="D466" s="469" t="s">
        <v>201</v>
      </c>
      <c r="E466" s="470"/>
      <c r="F466" s="466" t="s">
        <v>7482</v>
      </c>
      <c r="G466" s="466"/>
      <c r="H466" s="466"/>
    </row>
    <row r="467" spans="1:8" ht="12.75" customHeight="1">
      <c r="C467" s="471" t="s">
        <v>327</v>
      </c>
      <c r="D467" s="469" t="s">
        <v>209</v>
      </c>
      <c r="E467" s="4980" t="s">
        <v>7483</v>
      </c>
      <c r="F467" s="4980"/>
      <c r="G467" s="4980"/>
      <c r="H467" s="4980"/>
    </row>
    <row r="468" spans="1:8" ht="12.75" customHeight="1">
      <c r="C468" s="2630" t="s">
        <v>7484</v>
      </c>
      <c r="E468" s="4980" t="s">
        <v>7485</v>
      </c>
      <c r="F468" s="4980"/>
      <c r="G468" s="4980"/>
      <c r="H468" s="4980"/>
    </row>
    <row r="469" spans="1:8" ht="12.75" customHeight="1">
      <c r="C469" s="981"/>
      <c r="D469" s="980" t="s">
        <v>6814</v>
      </c>
      <c r="E469" s="4983" t="s">
        <v>7486</v>
      </c>
      <c r="F469" s="4983"/>
      <c r="G469" s="4983"/>
      <c r="H469" s="4983"/>
    </row>
    <row r="470" spans="1:8" ht="3" customHeight="1">
      <c r="D470" s="469"/>
      <c r="E470" s="2635"/>
      <c r="F470" s="2635"/>
      <c r="G470" s="2635"/>
      <c r="H470" s="2635"/>
    </row>
    <row r="471" spans="1:8" ht="12.75" customHeight="1">
      <c r="C471" s="447" t="s">
        <v>7481</v>
      </c>
      <c r="D471" s="469" t="s">
        <v>201</v>
      </c>
      <c r="E471" s="470"/>
      <c r="F471" s="466" t="s">
        <v>7482</v>
      </c>
      <c r="G471" s="466"/>
      <c r="H471" s="466"/>
    </row>
    <row r="472" spans="1:8" ht="12.75" customHeight="1">
      <c r="C472" s="471" t="s">
        <v>327</v>
      </c>
      <c r="D472" s="469" t="s">
        <v>209</v>
      </c>
      <c r="E472" s="4980" t="s">
        <v>7483</v>
      </c>
      <c r="F472" s="4980"/>
      <c r="G472" s="4980"/>
      <c r="H472" s="4980"/>
    </row>
    <row r="473" spans="1:8" ht="12.75" customHeight="1">
      <c r="C473" s="2630" t="s">
        <v>7484</v>
      </c>
      <c r="E473" s="4980" t="s">
        <v>7485</v>
      </c>
      <c r="F473" s="4980"/>
      <c r="G473" s="4980"/>
      <c r="H473" s="4980"/>
    </row>
    <row r="474" spans="1:8" ht="12.75" customHeight="1">
      <c r="C474" s="981"/>
      <c r="D474" s="980" t="s">
        <v>6814</v>
      </c>
      <c r="E474" s="4983" t="s">
        <v>7486</v>
      </c>
      <c r="F474" s="4983"/>
      <c r="G474" s="4983"/>
      <c r="H474" s="4983"/>
    </row>
    <row r="475" spans="1:8" ht="6" customHeight="1">
      <c r="D475" s="469"/>
      <c r="E475" s="2635"/>
      <c r="F475" s="2635"/>
      <c r="G475" s="2635"/>
      <c r="H475" s="2635"/>
    </row>
    <row r="476" spans="1:8">
      <c r="A476" s="450" t="s">
        <v>7478</v>
      </c>
      <c r="B476" s="467" t="str">
        <f>IF('Part V-Revenues &amp; Expenses'!$N$66=0,"",'Part V-Revenues &amp; Expenses'!$N$66)</f>
        <v/>
      </c>
      <c r="C476" s="450" t="s">
        <v>7491</v>
      </c>
      <c r="D476" s="468" t="s">
        <v>7492</v>
      </c>
    </row>
    <row r="477" spans="1:8" ht="1.95" customHeight="1"/>
    <row r="478" spans="1:8" ht="12.75" customHeight="1">
      <c r="C478" s="447" t="s">
        <v>7481</v>
      </c>
      <c r="D478" s="469" t="s">
        <v>201</v>
      </c>
      <c r="E478" s="470"/>
      <c r="F478" s="466" t="s">
        <v>7482</v>
      </c>
      <c r="G478" s="466"/>
      <c r="H478" s="466"/>
    </row>
    <row r="479" spans="1:8" ht="12.75" customHeight="1">
      <c r="C479" s="471" t="s">
        <v>327</v>
      </c>
      <c r="D479" s="469" t="s">
        <v>209</v>
      </c>
      <c r="E479" s="4980" t="s">
        <v>7483</v>
      </c>
      <c r="F479" s="4980"/>
      <c r="G479" s="4980"/>
      <c r="H479" s="4980"/>
    </row>
    <row r="480" spans="1:8" ht="12.75" customHeight="1">
      <c r="C480" s="2630" t="s">
        <v>7484</v>
      </c>
      <c r="E480" s="4980" t="s">
        <v>7485</v>
      </c>
      <c r="F480" s="4980"/>
      <c r="G480" s="4980"/>
      <c r="H480" s="4980"/>
    </row>
    <row r="481" spans="1:11" ht="12.75" customHeight="1">
      <c r="C481" s="981"/>
      <c r="D481" s="472" t="s">
        <v>6814</v>
      </c>
      <c r="E481" s="4980" t="s">
        <v>7486</v>
      </c>
      <c r="F481" s="4980"/>
      <c r="G481" s="4980"/>
      <c r="H481" s="4980"/>
    </row>
    <row r="482" spans="1:11" ht="3" customHeight="1">
      <c r="D482" s="469"/>
      <c r="E482" s="2635"/>
      <c r="F482" s="2635"/>
      <c r="G482" s="2635"/>
      <c r="H482" s="2635"/>
    </row>
    <row r="483" spans="1:11" ht="12.75" customHeight="1">
      <c r="C483" s="447" t="s">
        <v>7481</v>
      </c>
      <c r="D483" s="469" t="s">
        <v>201</v>
      </c>
      <c r="E483" s="470"/>
      <c r="F483" s="466" t="s">
        <v>7482</v>
      </c>
      <c r="G483" s="466"/>
      <c r="H483" s="466"/>
    </row>
    <row r="484" spans="1:11" ht="12.75" customHeight="1">
      <c r="C484" s="471" t="s">
        <v>327</v>
      </c>
      <c r="D484" s="469" t="s">
        <v>209</v>
      </c>
      <c r="E484" s="4980" t="s">
        <v>7483</v>
      </c>
      <c r="F484" s="4980"/>
      <c r="G484" s="4980"/>
      <c r="H484" s="4980"/>
    </row>
    <row r="485" spans="1:11" ht="12.75" customHeight="1">
      <c r="C485" s="2630" t="s">
        <v>7484</v>
      </c>
      <c r="E485" s="4980" t="s">
        <v>7485</v>
      </c>
      <c r="F485" s="4980"/>
      <c r="G485" s="4980"/>
      <c r="H485" s="4980"/>
    </row>
    <row r="486" spans="1:11" ht="12.75" customHeight="1">
      <c r="C486" s="981"/>
      <c r="D486" s="980" t="s">
        <v>6814</v>
      </c>
      <c r="E486" s="4983" t="s">
        <v>7486</v>
      </c>
      <c r="F486" s="4983"/>
      <c r="G486" s="4983"/>
      <c r="H486" s="4983"/>
    </row>
    <row r="487" spans="1:11" ht="3" customHeight="1">
      <c r="D487" s="469"/>
      <c r="E487" s="2635"/>
      <c r="F487" s="2635"/>
      <c r="G487" s="2635"/>
      <c r="H487" s="2635"/>
    </row>
    <row r="488" spans="1:11" ht="12.75" customHeight="1">
      <c r="C488" s="447" t="s">
        <v>7481</v>
      </c>
      <c r="D488" s="469" t="s">
        <v>201</v>
      </c>
      <c r="E488" s="470"/>
      <c r="F488" s="466" t="s">
        <v>7482</v>
      </c>
      <c r="G488" s="466"/>
      <c r="H488" s="466"/>
    </row>
    <row r="489" spans="1:11" ht="12.75" customHeight="1">
      <c r="C489" s="471" t="s">
        <v>327</v>
      </c>
      <c r="D489" s="469" t="s">
        <v>209</v>
      </c>
      <c r="E489" s="4980" t="s">
        <v>7483</v>
      </c>
      <c r="F489" s="4980"/>
      <c r="G489" s="4980"/>
      <c r="H489" s="4980"/>
    </row>
    <row r="490" spans="1:11" ht="12.75" customHeight="1">
      <c r="C490" s="2630" t="s">
        <v>7484</v>
      </c>
      <c r="E490" s="4980" t="s">
        <v>7485</v>
      </c>
      <c r="F490" s="4980"/>
      <c r="G490" s="4980"/>
      <c r="H490" s="4980"/>
    </row>
    <row r="491" spans="1:11" ht="12.75" customHeight="1">
      <c r="C491" s="981"/>
      <c r="D491" s="980" t="s">
        <v>6814</v>
      </c>
      <c r="E491" s="4983" t="s">
        <v>7486</v>
      </c>
      <c r="F491" s="4983"/>
      <c r="G491" s="4983"/>
      <c r="H491" s="4983"/>
    </row>
    <row r="492" spans="1:11" ht="6" customHeight="1">
      <c r="D492" s="469"/>
      <c r="E492" s="2635"/>
      <c r="F492" s="2635"/>
      <c r="G492" s="2635"/>
      <c r="H492" s="2635"/>
    </row>
    <row r="493" spans="1:11">
      <c r="A493" s="450" t="s">
        <v>7478</v>
      </c>
      <c r="B493" s="467" t="str">
        <f>IF('Part V-Revenues &amp; Expenses'!$O$66=0,"",'Part V-Revenues &amp; Expenses'!$O$66)</f>
        <v/>
      </c>
      <c r="C493" s="450" t="s">
        <v>7493</v>
      </c>
      <c r="D493" s="468" t="s">
        <v>7494</v>
      </c>
    </row>
    <row r="494" spans="1:11" ht="1.95" customHeight="1"/>
    <row r="495" spans="1:11" ht="12.75" customHeight="1">
      <c r="C495" s="447" t="s">
        <v>7481</v>
      </c>
      <c r="D495" s="469" t="s">
        <v>201</v>
      </c>
      <c r="E495" s="470"/>
      <c r="F495" s="4980" t="s">
        <v>7482</v>
      </c>
      <c r="G495" s="4980"/>
      <c r="H495" s="4980"/>
      <c r="K495" s="306" t="s">
        <v>7021</v>
      </c>
    </row>
    <row r="496" spans="1:11" ht="12.75" customHeight="1">
      <c r="C496" s="471" t="s">
        <v>327</v>
      </c>
      <c r="D496" s="469" t="s">
        <v>209</v>
      </c>
      <c r="E496" s="4980" t="s">
        <v>7495</v>
      </c>
      <c r="F496" s="4980"/>
      <c r="G496" s="4980"/>
      <c r="H496" s="4980"/>
    </row>
    <row r="497" spans="1:8" ht="12.75" customHeight="1">
      <c r="E497" s="4980" t="s">
        <v>7485</v>
      </c>
      <c r="F497" s="4980"/>
      <c r="G497" s="4980"/>
      <c r="H497" s="4980"/>
    </row>
    <row r="498" spans="1:8" ht="12.75" customHeight="1">
      <c r="D498" s="472" t="s">
        <v>6814</v>
      </c>
      <c r="E498" s="4980" t="s">
        <v>7486</v>
      </c>
      <c r="F498" s="4980"/>
      <c r="G498" s="4980"/>
      <c r="H498" s="4980"/>
    </row>
    <row r="499" spans="1:8" ht="9" customHeight="1" thickBot="1"/>
    <row r="500" spans="1:8" ht="16.2" customHeight="1" thickBot="1">
      <c r="A500" s="4981">
        <v>80</v>
      </c>
      <c r="B500" s="4982"/>
      <c r="C500" s="982" t="s">
        <v>1213</v>
      </c>
    </row>
    <row r="501" spans="1:8" ht="9" customHeight="1">
      <c r="A501" s="443"/>
    </row>
    <row r="502" spans="1:8" ht="28.2" customHeight="1">
      <c r="A502" s="4980" t="s">
        <v>7501</v>
      </c>
      <c r="B502" s="4980"/>
      <c r="C502" s="4980"/>
      <c r="D502" s="4980"/>
      <c r="E502" s="4980"/>
      <c r="F502" s="4980"/>
      <c r="G502" s="4980"/>
      <c r="H502" s="4980"/>
    </row>
    <row r="503" spans="1:8" ht="9" customHeight="1">
      <c r="A503" s="443"/>
    </row>
    <row r="504" spans="1:8">
      <c r="A504" s="450" t="s">
        <v>7478</v>
      </c>
      <c r="B504" s="467" t="str">
        <f>IF('Part V-Revenues &amp; Expenses'!$K$65=0,"",'Part V-Revenues &amp; Expenses'!$K$65)</f>
        <v/>
      </c>
      <c r="C504" s="450" t="s">
        <v>7479</v>
      </c>
      <c r="D504" s="468" t="s">
        <v>7480</v>
      </c>
    </row>
    <row r="505" spans="1:8" ht="1.95" customHeight="1"/>
    <row r="506" spans="1:8" ht="12.75" customHeight="1">
      <c r="C506" s="447" t="s">
        <v>7481</v>
      </c>
      <c r="D506" s="469" t="s">
        <v>201</v>
      </c>
      <c r="E506" s="470"/>
      <c r="F506" s="4980" t="s">
        <v>7482</v>
      </c>
      <c r="G506" s="4980"/>
      <c r="H506" s="4980"/>
    </row>
    <row r="507" spans="1:8" ht="12.75" customHeight="1">
      <c r="C507" s="471" t="s">
        <v>327</v>
      </c>
      <c r="D507" s="469" t="s">
        <v>209</v>
      </c>
      <c r="E507" s="4980" t="s">
        <v>7483</v>
      </c>
      <c r="F507" s="4980"/>
      <c r="G507" s="4980"/>
      <c r="H507" s="4980"/>
    </row>
    <row r="508" spans="1:8" ht="12.75" customHeight="1">
      <c r="C508" s="2630" t="s">
        <v>7484</v>
      </c>
      <c r="E508" s="4980" t="s">
        <v>7485</v>
      </c>
      <c r="F508" s="4980"/>
      <c r="G508" s="4980"/>
      <c r="H508" s="4980"/>
    </row>
    <row r="509" spans="1:8" ht="12.75" customHeight="1">
      <c r="C509" s="981"/>
      <c r="D509" s="980" t="s">
        <v>6814</v>
      </c>
      <c r="E509" s="4983" t="s">
        <v>7486</v>
      </c>
      <c r="F509" s="4983"/>
      <c r="G509" s="4983"/>
      <c r="H509" s="4983"/>
    </row>
    <row r="510" spans="1:8" ht="3" customHeight="1">
      <c r="D510" s="469"/>
      <c r="E510" s="2635"/>
      <c r="F510" s="2635"/>
      <c r="G510" s="2635"/>
      <c r="H510" s="2635"/>
    </row>
    <row r="511" spans="1:8" ht="12.75" customHeight="1">
      <c r="C511" s="447" t="s">
        <v>7481</v>
      </c>
      <c r="D511" s="469" t="s">
        <v>201</v>
      </c>
      <c r="E511" s="470"/>
      <c r="F511" s="466" t="s">
        <v>7482</v>
      </c>
      <c r="G511" s="466"/>
      <c r="H511" s="466"/>
    </row>
    <row r="512" spans="1:8" ht="12.75" customHeight="1">
      <c r="C512" s="471" t="s">
        <v>327</v>
      </c>
      <c r="D512" s="469" t="s">
        <v>209</v>
      </c>
      <c r="E512" s="4980" t="s">
        <v>7483</v>
      </c>
      <c r="F512" s="4980"/>
      <c r="G512" s="4980"/>
      <c r="H512" s="4980"/>
    </row>
    <row r="513" spans="1:8" ht="12.75" customHeight="1">
      <c r="C513" s="2630" t="s">
        <v>7484</v>
      </c>
      <c r="E513" s="4980" t="s">
        <v>7485</v>
      </c>
      <c r="F513" s="4980"/>
      <c r="G513" s="4980"/>
      <c r="H513" s="4980"/>
    </row>
    <row r="514" spans="1:8" ht="12.75" customHeight="1">
      <c r="C514" s="981"/>
      <c r="D514" s="980" t="s">
        <v>6814</v>
      </c>
      <c r="E514" s="4983" t="s">
        <v>7486</v>
      </c>
      <c r="F514" s="4983"/>
      <c r="G514" s="4983"/>
      <c r="H514" s="4983"/>
    </row>
    <row r="515" spans="1:8" ht="3" customHeight="1">
      <c r="D515" s="469"/>
      <c r="E515" s="2635"/>
      <c r="F515" s="2635"/>
      <c r="G515" s="2635"/>
      <c r="H515" s="2635"/>
    </row>
    <row r="516" spans="1:8" ht="12.75" customHeight="1">
      <c r="C516" s="447" t="s">
        <v>7481</v>
      </c>
      <c r="D516" s="469" t="s">
        <v>201</v>
      </c>
      <c r="E516" s="470"/>
      <c r="F516" s="466" t="s">
        <v>7482</v>
      </c>
      <c r="G516" s="466"/>
      <c r="H516" s="466"/>
    </row>
    <row r="517" spans="1:8" ht="12.75" customHeight="1">
      <c r="C517" s="471" t="s">
        <v>327</v>
      </c>
      <c r="D517" s="469" t="s">
        <v>209</v>
      </c>
      <c r="E517" s="4980" t="s">
        <v>7483</v>
      </c>
      <c r="F517" s="4980"/>
      <c r="G517" s="4980"/>
      <c r="H517" s="4980"/>
    </row>
    <row r="518" spans="1:8" ht="12.75" customHeight="1">
      <c r="C518" s="2630" t="s">
        <v>7484</v>
      </c>
      <c r="E518" s="4980" t="s">
        <v>7485</v>
      </c>
      <c r="F518" s="4980"/>
      <c r="G518" s="4980"/>
      <c r="H518" s="4980"/>
    </row>
    <row r="519" spans="1:8" ht="12.75" customHeight="1">
      <c r="C519" s="981"/>
      <c r="D519" s="980" t="s">
        <v>6814</v>
      </c>
      <c r="E519" s="4983" t="s">
        <v>7486</v>
      </c>
      <c r="F519" s="4983"/>
      <c r="G519" s="4983"/>
      <c r="H519" s="4983"/>
    </row>
    <row r="520" spans="1:8" ht="6" customHeight="1">
      <c r="D520" s="469"/>
      <c r="E520" s="2635"/>
      <c r="F520" s="2635"/>
      <c r="G520" s="2635"/>
      <c r="H520" s="2635"/>
    </row>
    <row r="521" spans="1:8">
      <c r="A521" s="450" t="s">
        <v>7478</v>
      </c>
      <c r="B521" s="467" t="str">
        <f>IF('Part V-Revenues &amp; Expenses'!$L$65=0,"",'Part V-Revenues &amp; Expenses'!$L$65)</f>
        <v/>
      </c>
      <c r="C521" s="450" t="s">
        <v>7487</v>
      </c>
      <c r="D521" s="468" t="s">
        <v>7488</v>
      </c>
    </row>
    <row r="522" spans="1:8" ht="1.95" customHeight="1"/>
    <row r="523" spans="1:8" ht="12.75" customHeight="1">
      <c r="C523" s="447" t="s">
        <v>7481</v>
      </c>
      <c r="D523" s="469" t="s">
        <v>201</v>
      </c>
      <c r="E523" s="470"/>
      <c r="F523" s="466" t="s">
        <v>7482</v>
      </c>
      <c r="G523" s="466"/>
      <c r="H523" s="466"/>
    </row>
    <row r="524" spans="1:8" ht="12.75" customHeight="1">
      <c r="C524" s="471" t="s">
        <v>327</v>
      </c>
      <c r="D524" s="469" t="s">
        <v>209</v>
      </c>
      <c r="E524" s="4980" t="s">
        <v>7483</v>
      </c>
      <c r="F524" s="4980"/>
      <c r="G524" s="4980"/>
      <c r="H524" s="4980"/>
    </row>
    <row r="525" spans="1:8" ht="12.75" customHeight="1">
      <c r="C525" s="2630" t="s">
        <v>7484</v>
      </c>
      <c r="E525" s="4980" t="s">
        <v>7485</v>
      </c>
      <c r="F525" s="4980"/>
      <c r="G525" s="4980"/>
      <c r="H525" s="4980"/>
    </row>
    <row r="526" spans="1:8" ht="12.75" customHeight="1">
      <c r="C526" s="981"/>
      <c r="D526" s="472" t="s">
        <v>6814</v>
      </c>
      <c r="E526" s="4980" t="s">
        <v>7486</v>
      </c>
      <c r="F526" s="4980"/>
      <c r="G526" s="4980"/>
      <c r="H526" s="4980"/>
    </row>
    <row r="527" spans="1:8" ht="3" customHeight="1">
      <c r="D527" s="469"/>
      <c r="E527" s="2635"/>
      <c r="F527" s="2635"/>
      <c r="G527" s="2635"/>
      <c r="H527" s="2635"/>
    </row>
    <row r="528" spans="1:8" ht="12.75" customHeight="1">
      <c r="C528" s="447" t="s">
        <v>7481</v>
      </c>
      <c r="D528" s="469" t="s">
        <v>201</v>
      </c>
      <c r="E528" s="470"/>
      <c r="F528" s="466" t="s">
        <v>7482</v>
      </c>
      <c r="G528" s="466"/>
      <c r="H528" s="466"/>
    </row>
    <row r="529" spans="1:8" ht="12.75" customHeight="1">
      <c r="C529" s="471" t="s">
        <v>327</v>
      </c>
      <c r="D529" s="469" t="s">
        <v>209</v>
      </c>
      <c r="E529" s="4980" t="s">
        <v>7483</v>
      </c>
      <c r="F529" s="4980"/>
      <c r="G529" s="4980"/>
      <c r="H529" s="4980"/>
    </row>
    <row r="530" spans="1:8" ht="12.75" customHeight="1">
      <c r="C530" s="2630" t="s">
        <v>7484</v>
      </c>
      <c r="E530" s="4980" t="s">
        <v>7485</v>
      </c>
      <c r="F530" s="4980"/>
      <c r="G530" s="4980"/>
      <c r="H530" s="4980"/>
    </row>
    <row r="531" spans="1:8" ht="12.75" customHeight="1">
      <c r="C531" s="981"/>
      <c r="D531" s="980" t="s">
        <v>6814</v>
      </c>
      <c r="E531" s="4983" t="s">
        <v>7486</v>
      </c>
      <c r="F531" s="4983"/>
      <c r="G531" s="4983"/>
      <c r="H531" s="4983"/>
    </row>
    <row r="532" spans="1:8" ht="3" customHeight="1">
      <c r="D532" s="469"/>
      <c r="E532" s="2635"/>
      <c r="F532" s="2635"/>
      <c r="G532" s="2635"/>
      <c r="H532" s="2635"/>
    </row>
    <row r="533" spans="1:8" ht="12.75" customHeight="1">
      <c r="C533" s="447" t="s">
        <v>7481</v>
      </c>
      <c r="D533" s="469" t="s">
        <v>201</v>
      </c>
      <c r="E533" s="470"/>
      <c r="F533" s="466" t="s">
        <v>7482</v>
      </c>
      <c r="G533" s="466"/>
      <c r="H533" s="466"/>
    </row>
    <row r="534" spans="1:8" ht="12.75" customHeight="1">
      <c r="C534" s="471" t="s">
        <v>327</v>
      </c>
      <c r="D534" s="469" t="s">
        <v>209</v>
      </c>
      <c r="E534" s="4980" t="s">
        <v>7483</v>
      </c>
      <c r="F534" s="4980"/>
      <c r="G534" s="4980"/>
      <c r="H534" s="4980"/>
    </row>
    <row r="535" spans="1:8" ht="12.75" customHeight="1">
      <c r="C535" s="2630" t="s">
        <v>7484</v>
      </c>
      <c r="E535" s="4980" t="s">
        <v>7485</v>
      </c>
      <c r="F535" s="4980"/>
      <c r="G535" s="4980"/>
      <c r="H535" s="4980"/>
    </row>
    <row r="536" spans="1:8" ht="12.75" customHeight="1">
      <c r="C536" s="981"/>
      <c r="D536" s="980" t="s">
        <v>6814</v>
      </c>
      <c r="E536" s="4983" t="s">
        <v>7486</v>
      </c>
      <c r="F536" s="4983"/>
      <c r="G536" s="4983"/>
      <c r="H536" s="4983"/>
    </row>
    <row r="537" spans="1:8" ht="6" customHeight="1">
      <c r="D537" s="469"/>
      <c r="E537" s="2635"/>
      <c r="F537" s="2635"/>
      <c r="G537" s="2635"/>
      <c r="H537" s="2635"/>
    </row>
    <row r="538" spans="1:8">
      <c r="A538" s="450" t="s">
        <v>7478</v>
      </c>
      <c r="B538" s="467" t="str">
        <f>IF('Part V-Revenues &amp; Expenses'!$M$65=0,"",'Part V-Revenues &amp; Expenses'!$M$65)</f>
        <v/>
      </c>
      <c r="C538" s="450" t="s">
        <v>7489</v>
      </c>
      <c r="D538" s="468" t="s">
        <v>7490</v>
      </c>
    </row>
    <row r="539" spans="1:8" ht="1.95" customHeight="1"/>
    <row r="540" spans="1:8" ht="12.75" customHeight="1">
      <c r="C540" s="447" t="s">
        <v>7481</v>
      </c>
      <c r="D540" s="469" t="s">
        <v>201</v>
      </c>
      <c r="E540" s="470"/>
      <c r="F540" s="466" t="s">
        <v>7482</v>
      </c>
      <c r="G540" s="466"/>
      <c r="H540" s="466"/>
    </row>
    <row r="541" spans="1:8" ht="12.75" customHeight="1">
      <c r="C541" s="471" t="s">
        <v>327</v>
      </c>
      <c r="D541" s="469" t="s">
        <v>209</v>
      </c>
      <c r="E541" s="4980" t="s">
        <v>7483</v>
      </c>
      <c r="F541" s="4980"/>
      <c r="G541" s="4980"/>
      <c r="H541" s="4980"/>
    </row>
    <row r="542" spans="1:8" ht="12.75" customHeight="1">
      <c r="C542" s="2630" t="s">
        <v>7484</v>
      </c>
      <c r="E542" s="4980" t="s">
        <v>7485</v>
      </c>
      <c r="F542" s="4980"/>
      <c r="G542" s="4980"/>
      <c r="H542" s="4980"/>
    </row>
    <row r="543" spans="1:8" ht="12.75" customHeight="1">
      <c r="C543" s="981"/>
      <c r="D543" s="472" t="s">
        <v>6814</v>
      </c>
      <c r="E543" s="4980" t="s">
        <v>7486</v>
      </c>
      <c r="F543" s="4980"/>
      <c r="G543" s="4980"/>
      <c r="H543" s="4980"/>
    </row>
    <row r="544" spans="1:8" ht="3" customHeight="1">
      <c r="D544" s="469"/>
      <c r="E544" s="2635"/>
      <c r="F544" s="2635"/>
      <c r="G544" s="2635"/>
      <c r="H544" s="2635"/>
    </row>
    <row r="545" spans="1:8" ht="12.75" customHeight="1">
      <c r="C545" s="447" t="s">
        <v>7481</v>
      </c>
      <c r="D545" s="469" t="s">
        <v>201</v>
      </c>
      <c r="E545" s="470"/>
      <c r="F545" s="466" t="s">
        <v>7482</v>
      </c>
      <c r="G545" s="466"/>
      <c r="H545" s="466"/>
    </row>
    <row r="546" spans="1:8" ht="12.75" customHeight="1">
      <c r="C546" s="471" t="s">
        <v>327</v>
      </c>
      <c r="D546" s="469" t="s">
        <v>209</v>
      </c>
      <c r="E546" s="4980" t="s">
        <v>7483</v>
      </c>
      <c r="F546" s="4980"/>
      <c r="G546" s="4980"/>
      <c r="H546" s="4980"/>
    </row>
    <row r="547" spans="1:8" ht="12.75" customHeight="1">
      <c r="C547" s="2630" t="s">
        <v>7484</v>
      </c>
      <c r="E547" s="4980" t="s">
        <v>7485</v>
      </c>
      <c r="F547" s="4980"/>
      <c r="G547" s="4980"/>
      <c r="H547" s="4980"/>
    </row>
    <row r="548" spans="1:8" ht="12.75" customHeight="1">
      <c r="C548" s="981"/>
      <c r="D548" s="980" t="s">
        <v>6814</v>
      </c>
      <c r="E548" s="4983" t="s">
        <v>7486</v>
      </c>
      <c r="F548" s="4983"/>
      <c r="G548" s="4983"/>
      <c r="H548" s="4983"/>
    </row>
    <row r="549" spans="1:8" ht="3" customHeight="1">
      <c r="D549" s="469"/>
      <c r="E549" s="2635"/>
      <c r="F549" s="2635"/>
      <c r="G549" s="2635"/>
      <c r="H549" s="2635"/>
    </row>
    <row r="550" spans="1:8" ht="12.75" customHeight="1">
      <c r="C550" s="447" t="s">
        <v>7481</v>
      </c>
      <c r="D550" s="469" t="s">
        <v>201</v>
      </c>
      <c r="E550" s="470"/>
      <c r="F550" s="466" t="s">
        <v>7482</v>
      </c>
      <c r="G550" s="466"/>
      <c r="H550" s="466"/>
    </row>
    <row r="551" spans="1:8" ht="12.75" customHeight="1">
      <c r="C551" s="471" t="s">
        <v>327</v>
      </c>
      <c r="D551" s="469" t="s">
        <v>209</v>
      </c>
      <c r="E551" s="4980" t="s">
        <v>7483</v>
      </c>
      <c r="F551" s="4980"/>
      <c r="G551" s="4980"/>
      <c r="H551" s="4980"/>
    </row>
    <row r="552" spans="1:8" ht="12.75" customHeight="1">
      <c r="C552" s="2630" t="s">
        <v>7484</v>
      </c>
      <c r="E552" s="4980" t="s">
        <v>7485</v>
      </c>
      <c r="F552" s="4980"/>
      <c r="G552" s="4980"/>
      <c r="H552" s="4980"/>
    </row>
    <row r="553" spans="1:8" ht="12.75" customHeight="1">
      <c r="C553" s="981"/>
      <c r="D553" s="980" t="s">
        <v>6814</v>
      </c>
      <c r="E553" s="4983" t="s">
        <v>7486</v>
      </c>
      <c r="F553" s="4983"/>
      <c r="G553" s="4983"/>
      <c r="H553" s="4983"/>
    </row>
    <row r="554" spans="1:8" ht="6" customHeight="1">
      <c r="D554" s="469"/>
      <c r="E554" s="2635"/>
      <c r="F554" s="2635"/>
      <c r="G554" s="2635"/>
      <c r="H554" s="2635"/>
    </row>
    <row r="555" spans="1:8">
      <c r="A555" s="450" t="s">
        <v>7478</v>
      </c>
      <c r="B555" s="467" t="str">
        <f>IF('Part V-Revenues &amp; Expenses'!$N$65=0,"",'Part V-Revenues &amp; Expenses'!$N$65)</f>
        <v/>
      </c>
      <c r="C555" s="450" t="s">
        <v>7491</v>
      </c>
      <c r="D555" s="468" t="s">
        <v>7492</v>
      </c>
    </row>
    <row r="556" spans="1:8" ht="1.95" customHeight="1"/>
    <row r="557" spans="1:8" ht="12.75" customHeight="1">
      <c r="C557" s="447" t="s">
        <v>7481</v>
      </c>
      <c r="D557" s="469" t="s">
        <v>201</v>
      </c>
      <c r="E557" s="470"/>
      <c r="F557" s="466" t="s">
        <v>7482</v>
      </c>
      <c r="G557" s="466"/>
      <c r="H557" s="466"/>
    </row>
    <row r="558" spans="1:8" ht="12.75" customHeight="1">
      <c r="C558" s="471" t="s">
        <v>327</v>
      </c>
      <c r="D558" s="469" t="s">
        <v>209</v>
      </c>
      <c r="E558" s="4980" t="s">
        <v>7483</v>
      </c>
      <c r="F558" s="4980"/>
      <c r="G558" s="4980"/>
      <c r="H558" s="4980"/>
    </row>
    <row r="559" spans="1:8" ht="12.75" customHeight="1">
      <c r="C559" s="2630" t="s">
        <v>7484</v>
      </c>
      <c r="E559" s="4980" t="s">
        <v>7485</v>
      </c>
      <c r="F559" s="4980"/>
      <c r="G559" s="4980"/>
      <c r="H559" s="4980"/>
    </row>
    <row r="560" spans="1:8" ht="12.75" customHeight="1">
      <c r="C560" s="981"/>
      <c r="D560" s="472" t="s">
        <v>6814</v>
      </c>
      <c r="E560" s="4980" t="s">
        <v>7486</v>
      </c>
      <c r="F560" s="4980"/>
      <c r="G560" s="4980"/>
      <c r="H560" s="4980"/>
    </row>
    <row r="561" spans="1:11" ht="3" customHeight="1">
      <c r="D561" s="469"/>
      <c r="E561" s="2635"/>
      <c r="F561" s="2635"/>
      <c r="G561" s="2635"/>
      <c r="H561" s="2635"/>
    </row>
    <row r="562" spans="1:11" ht="12.75" customHeight="1">
      <c r="C562" s="447" t="s">
        <v>7481</v>
      </c>
      <c r="D562" s="469" t="s">
        <v>201</v>
      </c>
      <c r="E562" s="470"/>
      <c r="F562" s="466" t="s">
        <v>7482</v>
      </c>
      <c r="G562" s="466"/>
      <c r="H562" s="466"/>
    </row>
    <row r="563" spans="1:11" ht="12.75" customHeight="1">
      <c r="C563" s="471" t="s">
        <v>327</v>
      </c>
      <c r="D563" s="469" t="s">
        <v>209</v>
      </c>
      <c r="E563" s="4980" t="s">
        <v>7483</v>
      </c>
      <c r="F563" s="4980"/>
      <c r="G563" s="4980"/>
      <c r="H563" s="4980"/>
    </row>
    <row r="564" spans="1:11" ht="12.75" customHeight="1">
      <c r="C564" s="2630" t="s">
        <v>7484</v>
      </c>
      <c r="E564" s="4980" t="s">
        <v>7485</v>
      </c>
      <c r="F564" s="4980"/>
      <c r="G564" s="4980"/>
      <c r="H564" s="4980"/>
    </row>
    <row r="565" spans="1:11" ht="12.75" customHeight="1">
      <c r="C565" s="981"/>
      <c r="D565" s="980" t="s">
        <v>6814</v>
      </c>
      <c r="E565" s="4983" t="s">
        <v>7486</v>
      </c>
      <c r="F565" s="4983"/>
      <c r="G565" s="4983"/>
      <c r="H565" s="4983"/>
    </row>
    <row r="566" spans="1:11" ht="3" customHeight="1">
      <c r="D566" s="469"/>
      <c r="E566" s="2635"/>
      <c r="F566" s="2635"/>
      <c r="G566" s="2635"/>
      <c r="H566" s="2635"/>
    </row>
    <row r="567" spans="1:11" ht="12.75" customHeight="1">
      <c r="C567" s="447" t="s">
        <v>7481</v>
      </c>
      <c r="D567" s="469" t="s">
        <v>201</v>
      </c>
      <c r="E567" s="470"/>
      <c r="F567" s="466" t="s">
        <v>7482</v>
      </c>
      <c r="G567" s="466"/>
      <c r="H567" s="466"/>
    </row>
    <row r="568" spans="1:11" ht="12.75" customHeight="1">
      <c r="C568" s="471" t="s">
        <v>327</v>
      </c>
      <c r="D568" s="469" t="s">
        <v>209</v>
      </c>
      <c r="E568" s="4980" t="s">
        <v>7483</v>
      </c>
      <c r="F568" s="4980"/>
      <c r="G568" s="4980"/>
      <c r="H568" s="4980"/>
    </row>
    <row r="569" spans="1:11" ht="12.75" customHeight="1">
      <c r="C569" s="2630" t="s">
        <v>7484</v>
      </c>
      <c r="E569" s="4980" t="s">
        <v>7485</v>
      </c>
      <c r="F569" s="4980"/>
      <c r="G569" s="4980"/>
      <c r="H569" s="4980"/>
    </row>
    <row r="570" spans="1:11" ht="12.75" customHeight="1">
      <c r="C570" s="981"/>
      <c r="D570" s="980" t="s">
        <v>6814</v>
      </c>
      <c r="E570" s="4983" t="s">
        <v>7486</v>
      </c>
      <c r="F570" s="4983"/>
      <c r="G570" s="4983"/>
      <c r="H570" s="4983"/>
    </row>
    <row r="571" spans="1:11" ht="6" customHeight="1">
      <c r="D571" s="469"/>
      <c r="E571" s="2635"/>
      <c r="F571" s="2635"/>
      <c r="G571" s="2635"/>
      <c r="H571" s="2635"/>
    </row>
    <row r="572" spans="1:11">
      <c r="A572" s="450" t="s">
        <v>7478</v>
      </c>
      <c r="B572" s="467" t="str">
        <f>IF('Part V-Revenues &amp; Expenses'!$O$65=0,"",'Part V-Revenues &amp; Expenses'!$O$65)</f>
        <v/>
      </c>
      <c r="C572" s="450" t="s">
        <v>7493</v>
      </c>
      <c r="D572" s="468" t="s">
        <v>7494</v>
      </c>
    </row>
    <row r="573" spans="1:11" ht="1.95" customHeight="1"/>
    <row r="574" spans="1:11" ht="12.75" customHeight="1">
      <c r="C574" s="447" t="s">
        <v>7481</v>
      </c>
      <c r="D574" s="469" t="s">
        <v>201</v>
      </c>
      <c r="E574" s="470"/>
      <c r="F574" s="4980" t="s">
        <v>7482</v>
      </c>
      <c r="G574" s="4980"/>
      <c r="H574" s="4980"/>
      <c r="K574" s="306" t="s">
        <v>7021</v>
      </c>
    </row>
    <row r="575" spans="1:11" ht="12.75" customHeight="1">
      <c r="C575" s="471" t="s">
        <v>327</v>
      </c>
      <c r="D575" s="469" t="s">
        <v>209</v>
      </c>
      <c r="E575" s="4980" t="s">
        <v>7495</v>
      </c>
      <c r="F575" s="4980"/>
      <c r="G575" s="4980"/>
      <c r="H575" s="4980"/>
    </row>
    <row r="576" spans="1:11" ht="12.75" customHeight="1">
      <c r="E576" s="4980" t="s">
        <v>7485</v>
      </c>
      <c r="F576" s="4980"/>
      <c r="G576" s="4980"/>
      <c r="H576" s="4980"/>
    </row>
    <row r="577" spans="4:8" ht="12.75" customHeight="1">
      <c r="D577" s="472" t="s">
        <v>6814</v>
      </c>
      <c r="E577" s="4980" t="s">
        <v>7486</v>
      </c>
      <c r="F577" s="4980"/>
      <c r="G577" s="4980"/>
      <c r="H577" s="4980"/>
    </row>
    <row r="578" spans="4:8" ht="9" customHeight="1"/>
    <row r="579" spans="4:8" ht="7.5" customHeight="1">
      <c r="E579" s="4980"/>
      <c r="F579" s="4980"/>
      <c r="G579" s="4980"/>
      <c r="H579" s="4980"/>
    </row>
  </sheetData>
  <sheetProtection algorithmName="SHA-512" hashValue="DZTPzvedJRoH/qnG96gvsqRAHJV7LbDkoTzw6zEYNft0yxiTf13h0I0aln+tzJeOyRReimGNe5JONbjlRE+A4Q==" saltValue="X4eI9Z8X5cqwx3ZIHNoESg==" spinCount="100000" sheet="1" objects="1" scenarios="1"/>
  <mergeCells count="315">
    <mergeCell ref="E49:H49"/>
    <mergeCell ref="E50:H50"/>
    <mergeCell ref="E51:H51"/>
    <mergeCell ref="E66:H66"/>
    <mergeCell ref="E67:H67"/>
    <mergeCell ref="E73:H73"/>
    <mergeCell ref="E59:H59"/>
    <mergeCell ref="E579:H579"/>
    <mergeCell ref="E341:H341"/>
    <mergeCell ref="E349:H349"/>
    <mergeCell ref="E350:H350"/>
    <mergeCell ref="E351:H351"/>
    <mergeCell ref="E354:H354"/>
    <mergeCell ref="E355:H355"/>
    <mergeCell ref="E356:H356"/>
    <mergeCell ref="E68:H68"/>
    <mergeCell ref="E93:H93"/>
    <mergeCell ref="F99:H99"/>
    <mergeCell ref="E100:H100"/>
    <mergeCell ref="E101:H101"/>
    <mergeCell ref="E102:H102"/>
    <mergeCell ref="E54:H54"/>
    <mergeCell ref="E55:H55"/>
    <mergeCell ref="E56:H56"/>
    <mergeCell ref="E43:H43"/>
    <mergeCell ref="E44:H44"/>
    <mergeCell ref="E42:H42"/>
    <mergeCell ref="E37:H37"/>
    <mergeCell ref="E38:H38"/>
    <mergeCell ref="E39:H39"/>
    <mergeCell ref="A4:H4"/>
    <mergeCell ref="C6:H6"/>
    <mergeCell ref="C7:H7"/>
    <mergeCell ref="B11:F11"/>
    <mergeCell ref="G11:H11"/>
    <mergeCell ref="B13:F13"/>
    <mergeCell ref="G13:H13"/>
    <mergeCell ref="B14:H14"/>
    <mergeCell ref="G16:H16"/>
    <mergeCell ref="G18:H18"/>
    <mergeCell ref="B19:H19"/>
    <mergeCell ref="A27:H27"/>
    <mergeCell ref="A23:H23"/>
    <mergeCell ref="F31:H31"/>
    <mergeCell ref="E32:H32"/>
    <mergeCell ref="E33:H33"/>
    <mergeCell ref="E34:H34"/>
    <mergeCell ref="E60:H60"/>
    <mergeCell ref="E61:H61"/>
    <mergeCell ref="E85:H85"/>
    <mergeCell ref="E112:H112"/>
    <mergeCell ref="E113:H113"/>
    <mergeCell ref="E116:H116"/>
    <mergeCell ref="E117:H117"/>
    <mergeCell ref="E118:H118"/>
    <mergeCell ref="E94:H94"/>
    <mergeCell ref="E95:H95"/>
    <mergeCell ref="A106:H106"/>
    <mergeCell ref="F110:H110"/>
    <mergeCell ref="E111:H111"/>
    <mergeCell ref="E71:H71"/>
    <mergeCell ref="E76:H76"/>
    <mergeCell ref="E77:H77"/>
    <mergeCell ref="E78:H78"/>
    <mergeCell ref="E88:H88"/>
    <mergeCell ref="E89:H89"/>
    <mergeCell ref="E90:H90"/>
    <mergeCell ref="E83:H83"/>
    <mergeCell ref="E84:H84"/>
    <mergeCell ref="E72:H72"/>
    <mergeCell ref="E130:H130"/>
    <mergeCell ref="E133:H133"/>
    <mergeCell ref="E134:H134"/>
    <mergeCell ref="E135:H135"/>
    <mergeCell ref="E138:H138"/>
    <mergeCell ref="E121:H121"/>
    <mergeCell ref="E122:H122"/>
    <mergeCell ref="E123:H123"/>
    <mergeCell ref="E128:H128"/>
    <mergeCell ref="E129:H129"/>
    <mergeCell ref="E150:H150"/>
    <mergeCell ref="E151:H151"/>
    <mergeCell ref="E152:H152"/>
    <mergeCell ref="E155:H155"/>
    <mergeCell ref="E156:H156"/>
    <mergeCell ref="E139:H139"/>
    <mergeCell ref="E140:H140"/>
    <mergeCell ref="E145:H145"/>
    <mergeCell ref="E146:H146"/>
    <mergeCell ref="E147:H147"/>
    <mergeCell ref="E168:H168"/>
    <mergeCell ref="E169:H169"/>
    <mergeCell ref="E172:H172"/>
    <mergeCell ref="E173:H173"/>
    <mergeCell ref="E174:H174"/>
    <mergeCell ref="E157:H157"/>
    <mergeCell ref="E162:H162"/>
    <mergeCell ref="E163:H163"/>
    <mergeCell ref="E164:H164"/>
    <mergeCell ref="E167:H167"/>
    <mergeCell ref="F189:H189"/>
    <mergeCell ref="E190:H190"/>
    <mergeCell ref="E191:H191"/>
    <mergeCell ref="E192:H192"/>
    <mergeCell ref="E195:H195"/>
    <mergeCell ref="F178:H178"/>
    <mergeCell ref="E179:H179"/>
    <mergeCell ref="E180:H180"/>
    <mergeCell ref="E181:H181"/>
    <mergeCell ref="A185:H185"/>
    <mergeCell ref="E207:H207"/>
    <mergeCell ref="E208:H208"/>
    <mergeCell ref="E209:H209"/>
    <mergeCell ref="E212:H212"/>
    <mergeCell ref="E213:H213"/>
    <mergeCell ref="E196:H196"/>
    <mergeCell ref="E197:H197"/>
    <mergeCell ref="E200:H200"/>
    <mergeCell ref="E201:H201"/>
    <mergeCell ref="E202:H202"/>
    <mergeCell ref="E225:H225"/>
    <mergeCell ref="E226:H226"/>
    <mergeCell ref="E229:H229"/>
    <mergeCell ref="E230:H230"/>
    <mergeCell ref="E231:H231"/>
    <mergeCell ref="E214:H214"/>
    <mergeCell ref="E217:H217"/>
    <mergeCell ref="E218:H218"/>
    <mergeCell ref="E219:H219"/>
    <mergeCell ref="E224:H224"/>
    <mergeCell ref="E243:H243"/>
    <mergeCell ref="E246:H246"/>
    <mergeCell ref="E247:H247"/>
    <mergeCell ref="E248:H248"/>
    <mergeCell ref="E251:H251"/>
    <mergeCell ref="E234:H234"/>
    <mergeCell ref="E235:H235"/>
    <mergeCell ref="E236:H236"/>
    <mergeCell ref="E241:H241"/>
    <mergeCell ref="E242:H242"/>
    <mergeCell ref="E260:H260"/>
    <mergeCell ref="A264:H264"/>
    <mergeCell ref="F268:H268"/>
    <mergeCell ref="E269:H269"/>
    <mergeCell ref="E270:H270"/>
    <mergeCell ref="E252:H252"/>
    <mergeCell ref="E253:H253"/>
    <mergeCell ref="F257:H257"/>
    <mergeCell ref="E258:H258"/>
    <mergeCell ref="E259:H259"/>
    <mergeCell ref="E280:H280"/>
    <mergeCell ref="E281:H281"/>
    <mergeCell ref="E286:H286"/>
    <mergeCell ref="E287:H287"/>
    <mergeCell ref="E288:H288"/>
    <mergeCell ref="E271:H271"/>
    <mergeCell ref="E274:H274"/>
    <mergeCell ref="E275:H275"/>
    <mergeCell ref="E276:H276"/>
    <mergeCell ref="E279:H279"/>
    <mergeCell ref="E298:H298"/>
    <mergeCell ref="E303:H303"/>
    <mergeCell ref="E304:H304"/>
    <mergeCell ref="E305:H305"/>
    <mergeCell ref="E308:H308"/>
    <mergeCell ref="E291:H291"/>
    <mergeCell ref="E292:H292"/>
    <mergeCell ref="E293:H293"/>
    <mergeCell ref="E296:H296"/>
    <mergeCell ref="E297:H297"/>
    <mergeCell ref="E320:H320"/>
    <mergeCell ref="E321:H321"/>
    <mergeCell ref="E322:H322"/>
    <mergeCell ref="E325:H325"/>
    <mergeCell ref="E326:H326"/>
    <mergeCell ref="E309:H309"/>
    <mergeCell ref="E310:H310"/>
    <mergeCell ref="E313:H313"/>
    <mergeCell ref="E314:H314"/>
    <mergeCell ref="E315:H315"/>
    <mergeCell ref="E337:H337"/>
    <mergeCell ref="E338:H338"/>
    <mergeCell ref="E339:H339"/>
    <mergeCell ref="A344:H344"/>
    <mergeCell ref="F348:H348"/>
    <mergeCell ref="E327:H327"/>
    <mergeCell ref="E330:H330"/>
    <mergeCell ref="E331:H331"/>
    <mergeCell ref="E332:H332"/>
    <mergeCell ref="F336:H336"/>
    <mergeCell ref="E368:H368"/>
    <mergeCell ref="E371:H371"/>
    <mergeCell ref="E372:H372"/>
    <mergeCell ref="E373:H373"/>
    <mergeCell ref="E376:H376"/>
    <mergeCell ref="E359:H359"/>
    <mergeCell ref="E360:H360"/>
    <mergeCell ref="E361:H361"/>
    <mergeCell ref="E366:H366"/>
    <mergeCell ref="E367:H367"/>
    <mergeCell ref="E388:H388"/>
    <mergeCell ref="E389:H389"/>
    <mergeCell ref="E390:H390"/>
    <mergeCell ref="E393:H393"/>
    <mergeCell ref="E394:H394"/>
    <mergeCell ref="E377:H377"/>
    <mergeCell ref="E378:H378"/>
    <mergeCell ref="E383:H383"/>
    <mergeCell ref="E384:H384"/>
    <mergeCell ref="E385:H385"/>
    <mergeCell ref="E406:H406"/>
    <mergeCell ref="E407:H407"/>
    <mergeCell ref="E410:H410"/>
    <mergeCell ref="E411:H411"/>
    <mergeCell ref="E412:H412"/>
    <mergeCell ref="E395:H395"/>
    <mergeCell ref="E400:H400"/>
    <mergeCell ref="E401:H401"/>
    <mergeCell ref="E402:H402"/>
    <mergeCell ref="E405:H405"/>
    <mergeCell ref="F427:H427"/>
    <mergeCell ref="E428:H428"/>
    <mergeCell ref="E429:H429"/>
    <mergeCell ref="E430:H430"/>
    <mergeCell ref="E433:H433"/>
    <mergeCell ref="F416:H416"/>
    <mergeCell ref="E417:H417"/>
    <mergeCell ref="E418:H418"/>
    <mergeCell ref="E419:H419"/>
    <mergeCell ref="A423:H423"/>
    <mergeCell ref="E445:H445"/>
    <mergeCell ref="E446:H446"/>
    <mergeCell ref="E447:H447"/>
    <mergeCell ref="E450:H450"/>
    <mergeCell ref="E451:H451"/>
    <mergeCell ref="E434:H434"/>
    <mergeCell ref="E435:H435"/>
    <mergeCell ref="E438:H438"/>
    <mergeCell ref="E439:H439"/>
    <mergeCell ref="E440:H440"/>
    <mergeCell ref="E463:H463"/>
    <mergeCell ref="E464:H464"/>
    <mergeCell ref="E467:H467"/>
    <mergeCell ref="E468:H468"/>
    <mergeCell ref="E469:H469"/>
    <mergeCell ref="E452:H452"/>
    <mergeCell ref="E455:H455"/>
    <mergeCell ref="E456:H456"/>
    <mergeCell ref="E457:H457"/>
    <mergeCell ref="E462:H462"/>
    <mergeCell ref="E481:H481"/>
    <mergeCell ref="E484:H484"/>
    <mergeCell ref="E485:H485"/>
    <mergeCell ref="E486:H486"/>
    <mergeCell ref="E489:H489"/>
    <mergeCell ref="E472:H472"/>
    <mergeCell ref="E473:H473"/>
    <mergeCell ref="E474:H474"/>
    <mergeCell ref="E479:H479"/>
    <mergeCell ref="E480:H480"/>
    <mergeCell ref="E498:H498"/>
    <mergeCell ref="A502:H502"/>
    <mergeCell ref="F506:H506"/>
    <mergeCell ref="E507:H507"/>
    <mergeCell ref="E508:H508"/>
    <mergeCell ref="E490:H490"/>
    <mergeCell ref="E491:H491"/>
    <mergeCell ref="F495:H495"/>
    <mergeCell ref="E496:H496"/>
    <mergeCell ref="E497:H497"/>
    <mergeCell ref="E518:H518"/>
    <mergeCell ref="E519:H519"/>
    <mergeCell ref="E524:H524"/>
    <mergeCell ref="E525:H525"/>
    <mergeCell ref="E526:H526"/>
    <mergeCell ref="E509:H509"/>
    <mergeCell ref="E512:H512"/>
    <mergeCell ref="E513:H513"/>
    <mergeCell ref="E514:H514"/>
    <mergeCell ref="E517:H517"/>
    <mergeCell ref="E553:H553"/>
    <mergeCell ref="E536:H536"/>
    <mergeCell ref="E541:H541"/>
    <mergeCell ref="E542:H542"/>
    <mergeCell ref="E543:H543"/>
    <mergeCell ref="E546:H546"/>
    <mergeCell ref="E529:H529"/>
    <mergeCell ref="E530:H530"/>
    <mergeCell ref="E531:H531"/>
    <mergeCell ref="E534:H534"/>
    <mergeCell ref="E535:H535"/>
    <mergeCell ref="E575:H575"/>
    <mergeCell ref="E576:H576"/>
    <mergeCell ref="E577:H577"/>
    <mergeCell ref="A25:B25"/>
    <mergeCell ref="A104:B104"/>
    <mergeCell ref="A183:B183"/>
    <mergeCell ref="A262:B262"/>
    <mergeCell ref="A342:B342"/>
    <mergeCell ref="A421:B421"/>
    <mergeCell ref="A500:B500"/>
    <mergeCell ref="E565:H565"/>
    <mergeCell ref="E568:H568"/>
    <mergeCell ref="E569:H569"/>
    <mergeCell ref="E570:H570"/>
    <mergeCell ref="F574:H574"/>
    <mergeCell ref="E558:H558"/>
    <mergeCell ref="E559:H559"/>
    <mergeCell ref="E560:H560"/>
    <mergeCell ref="E563:H563"/>
    <mergeCell ref="E564:H564"/>
    <mergeCell ref="E547:H547"/>
    <mergeCell ref="E548:H548"/>
    <mergeCell ref="E551:H551"/>
    <mergeCell ref="E552:H552"/>
  </mergeCells>
  <pageMargins left="0.7" right="0.7" top="0.75" bottom="0.75" header="0.3" footer="0.3"/>
  <pageSetup scale="69" fitToHeight="0" orientation="portrait" r:id="rId1"/>
  <headerFooter>
    <oddFooter>&amp;C&amp;9page &amp;P of &amp;N</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E3E8-2B1F-45D0-85C3-111FC3A19FA7}">
  <sheetPr codeName="Sheet15">
    <pageSetUpPr fitToPage="1"/>
  </sheetPr>
  <dimension ref="A1:S431"/>
  <sheetViews>
    <sheetView showGridLines="0" zoomScaleNormal="100" workbookViewId="0">
      <selection activeCell="AB30" sqref="AB30"/>
    </sheetView>
  </sheetViews>
  <sheetFormatPr defaultColWidth="9.21875" defaultRowHeight="15.6"/>
  <cols>
    <col min="1" max="1" width="4.5546875" style="306" customWidth="1"/>
    <col min="2" max="2" width="6" style="306" customWidth="1"/>
    <col min="3" max="3" width="8.21875" style="306" customWidth="1"/>
    <col min="4" max="4" width="7.44140625" style="306" customWidth="1"/>
    <col min="5" max="5" width="7.77734375" style="306" customWidth="1"/>
    <col min="6" max="7" width="6.77734375" style="306" customWidth="1"/>
    <col min="8" max="8" width="5" style="306" customWidth="1"/>
    <col min="9" max="10" width="6.77734375" style="306" customWidth="1"/>
    <col min="11" max="11" width="3.21875" style="996" customWidth="1"/>
    <col min="12" max="13" width="6.77734375" style="306" customWidth="1"/>
    <col min="14" max="14" width="8.21875" style="306" customWidth="1"/>
    <col min="15" max="15" width="9.21875" style="306"/>
    <col min="16" max="17" width="5.5546875" style="306" customWidth="1"/>
    <col min="18" max="18" width="8.21875" style="306" customWidth="1"/>
    <col min="19" max="19" width="5.77734375" style="442" customWidth="1"/>
    <col min="20" max="20" width="5.77734375" style="306" customWidth="1"/>
    <col min="21" max="21" width="3.77734375" style="306" customWidth="1"/>
    <col min="22" max="23" width="5.44140625" style="306" customWidth="1"/>
    <col min="24" max="16384" width="9.21875" style="306"/>
  </cols>
  <sheetData>
    <row r="1" spans="1:14">
      <c r="A1" s="360" t="s">
        <v>7464</v>
      </c>
      <c r="H1" s="446" t="str">
        <f>'Sensitivity Analysis'!C8</f>
        <v>The Groves</v>
      </c>
    </row>
    <row r="2" spans="1:14">
      <c r="A2" s="401" t="s">
        <v>7465</v>
      </c>
      <c r="H2" s="306" t="str">
        <f>'Sensitivity Analysis'!E8</f>
        <v>2026-0xx</v>
      </c>
    </row>
    <row r="3" spans="1:14" ht="3" customHeight="1"/>
    <row r="4" spans="1:14" ht="69.599999999999994" customHeight="1">
      <c r="A4" s="4984" t="s">
        <v>7466</v>
      </c>
      <c r="B4" s="4984"/>
      <c r="C4" s="4984"/>
      <c r="D4" s="4984"/>
      <c r="E4" s="4984"/>
      <c r="F4" s="4984"/>
      <c r="G4" s="4984"/>
      <c r="H4" s="4984"/>
      <c r="I4" s="4984"/>
      <c r="J4" s="4984"/>
      <c r="K4" s="4984"/>
      <c r="L4" s="5026">
        <f>SUM('Part VI-Pro Forma'!B15:B17)/12</f>
        <v>65788.255799999999</v>
      </c>
      <c r="M4" s="5026"/>
      <c r="N4" s="997" t="s">
        <v>7467</v>
      </c>
    </row>
    <row r="5" spans="1:14" ht="1.5" customHeight="1"/>
    <row r="6" spans="1:14" ht="12.75" customHeight="1">
      <c r="B6" s="465" t="s">
        <v>6477</v>
      </c>
      <c r="C6" s="447" t="s">
        <v>7468</v>
      </c>
      <c r="D6" s="447"/>
      <c r="E6" s="447"/>
      <c r="F6" s="447"/>
      <c r="G6" s="447"/>
      <c r="H6" s="447"/>
    </row>
    <row r="7" spans="1:14" ht="12.75" customHeight="1">
      <c r="B7" s="465" t="s">
        <v>6479</v>
      </c>
      <c r="C7" s="4984" t="s">
        <v>7469</v>
      </c>
      <c r="D7" s="4984"/>
      <c r="E7" s="4984"/>
      <c r="F7" s="4984"/>
      <c r="G7" s="4984"/>
      <c r="H7" s="4984"/>
      <c r="I7" s="4984"/>
      <c r="J7" s="4984"/>
      <c r="K7" s="4984"/>
      <c r="L7" s="4984"/>
      <c r="M7" s="4984"/>
    </row>
    <row r="8" spans="1:14" ht="3" customHeight="1"/>
    <row r="9" spans="1:14">
      <c r="A9" s="306" t="s">
        <v>7470</v>
      </c>
    </row>
    <row r="10" spans="1:14" ht="1.5" customHeight="1"/>
    <row r="11" spans="1:14" ht="26.25" customHeight="1">
      <c r="A11" s="466" t="s">
        <v>186</v>
      </c>
      <c r="B11" s="4984" t="s">
        <v>7471</v>
      </c>
      <c r="C11" s="4984"/>
      <c r="D11" s="4984"/>
      <c r="E11" s="4984"/>
      <c r="F11" s="4984"/>
      <c r="G11" s="4984"/>
      <c r="H11" s="4984"/>
      <c r="I11" s="4984"/>
      <c r="J11" s="4984"/>
      <c r="K11" s="4984"/>
      <c r="L11" s="4985">
        <f>'Part II-Sources of Funds'!I53+'Part II-Sources of Funds'!I54</f>
        <v>14885000</v>
      </c>
      <c r="M11" s="4985"/>
    </row>
    <row r="12" spans="1:14" ht="1.5" customHeight="1">
      <c r="G12" s="447"/>
      <c r="H12" s="447"/>
    </row>
    <row r="13" spans="1:14" ht="25.95" customHeight="1">
      <c r="A13" s="466" t="s">
        <v>198</v>
      </c>
      <c r="B13" s="4984" t="s">
        <v>7472</v>
      </c>
      <c r="C13" s="4984"/>
      <c r="D13" s="4984"/>
      <c r="E13" s="4984"/>
      <c r="F13" s="4984"/>
      <c r="G13" s="4984"/>
      <c r="H13" s="4984"/>
      <c r="I13" s="4984"/>
      <c r="J13" s="4984"/>
      <c r="K13" s="4984"/>
      <c r="L13" s="4986" t="s">
        <v>7390</v>
      </c>
      <c r="M13" s="4986"/>
    </row>
    <row r="14" spans="1:14">
      <c r="A14" s="466"/>
      <c r="B14" s="4941"/>
      <c r="C14" s="4941"/>
      <c r="D14" s="4941"/>
      <c r="E14" s="4941"/>
      <c r="F14" s="4941"/>
      <c r="G14" s="4941"/>
      <c r="H14" s="4941"/>
    </row>
    <row r="15" spans="1:14" ht="3" customHeight="1"/>
    <row r="16" spans="1:14">
      <c r="A16" s="466" t="s">
        <v>219</v>
      </c>
      <c r="B16" s="306" t="s">
        <v>7473</v>
      </c>
      <c r="L16" s="4987" t="s">
        <v>7474</v>
      </c>
      <c r="M16" s="4987"/>
    </row>
    <row r="17" spans="1:19" ht="1.5" customHeight="1">
      <c r="L17" s="450"/>
    </row>
    <row r="18" spans="1:19" ht="12" customHeight="1">
      <c r="A18" s="466" t="s">
        <v>221</v>
      </c>
      <c r="B18" s="447" t="s">
        <v>7475</v>
      </c>
      <c r="C18" s="466"/>
      <c r="D18" s="466"/>
      <c r="E18" s="466"/>
      <c r="L18" s="4941" t="s">
        <v>2103</v>
      </c>
      <c r="M18" s="4941"/>
    </row>
    <row r="19" spans="1:19" ht="12" hidden="1" customHeight="1">
      <c r="B19" s="4941"/>
      <c r="C19" s="4941"/>
      <c r="D19" s="4941"/>
      <c r="E19" s="4941"/>
      <c r="F19" s="4941"/>
      <c r="G19" s="4941"/>
      <c r="H19" s="4941"/>
    </row>
    <row r="20" spans="1:19" ht="13.5" customHeight="1"/>
    <row r="21" spans="1:19" ht="12" customHeight="1">
      <c r="A21" s="401" t="s">
        <v>7258</v>
      </c>
    </row>
    <row r="22" spans="1:19" ht="3" customHeight="1"/>
    <row r="23" spans="1:19" ht="42.6" customHeight="1">
      <c r="A23" s="4988" t="s">
        <v>7476</v>
      </c>
      <c r="B23" s="4988"/>
      <c r="C23" s="4988"/>
      <c r="D23" s="4988"/>
      <c r="E23" s="4988"/>
      <c r="F23" s="4988"/>
      <c r="G23" s="4988"/>
      <c r="H23" s="4988"/>
      <c r="I23" s="4988"/>
      <c r="J23" s="4988"/>
      <c r="K23" s="4988"/>
      <c r="L23" s="4988"/>
      <c r="M23" s="4988"/>
    </row>
    <row r="24" spans="1:19" ht="18" customHeight="1">
      <c r="E24" s="2632" t="s">
        <v>772</v>
      </c>
      <c r="F24" s="2632" t="s">
        <v>1214</v>
      </c>
      <c r="G24" s="2632" t="s">
        <v>1215</v>
      </c>
      <c r="H24" s="2632" t="s">
        <v>1216</v>
      </c>
      <c r="I24" s="2632" t="s">
        <v>1217</v>
      </c>
      <c r="J24" s="2632" t="s">
        <v>288</v>
      </c>
      <c r="K24" s="306"/>
      <c r="S24" s="306"/>
    </row>
    <row r="25" spans="1:19" ht="14.25" customHeight="1">
      <c r="C25" s="538" t="s">
        <v>1220</v>
      </c>
      <c r="D25" s="313"/>
      <c r="E25" s="3007">
        <f>'Part V-Revenues &amp; Expenses'!K65</f>
        <v>0</v>
      </c>
      <c r="F25" s="1061">
        <f>'Part V-Revenues &amp; Expenses'!L65</f>
        <v>0</v>
      </c>
      <c r="G25" s="1061">
        <f>'Part V-Revenues &amp; Expenses'!M65</f>
        <v>0</v>
      </c>
      <c r="H25" s="1061">
        <f>'Part V-Revenues &amp; Expenses'!N65</f>
        <v>0</v>
      </c>
      <c r="I25" s="1061">
        <f>'Part V-Revenues &amp; Expenses'!O65</f>
        <v>0</v>
      </c>
      <c r="J25" s="3008">
        <f>'Part V-Revenues &amp; Expenses'!P65</f>
        <v>0</v>
      </c>
      <c r="K25" s="306"/>
      <c r="S25" s="306"/>
    </row>
    <row r="26" spans="1:19" ht="15" customHeight="1">
      <c r="C26" s="538" t="s">
        <v>1222</v>
      </c>
      <c r="D26" s="313"/>
      <c r="E26" s="1062">
        <f>'Part V-Revenues &amp; Expenses'!K66</f>
        <v>0</v>
      </c>
      <c r="F26" s="1063">
        <f>'Part V-Revenues &amp; Expenses'!L66</f>
        <v>0</v>
      </c>
      <c r="G26" s="1063">
        <f>'Part V-Revenues &amp; Expenses'!M66</f>
        <v>0</v>
      </c>
      <c r="H26" s="1063">
        <f>'Part V-Revenues &amp; Expenses'!N66</f>
        <v>0</v>
      </c>
      <c r="I26" s="1063">
        <f>'Part V-Revenues &amp; Expenses'!O66</f>
        <v>0</v>
      </c>
      <c r="J26" s="1727">
        <f>'Part V-Revenues &amp; Expenses'!P66</f>
        <v>0</v>
      </c>
      <c r="K26" s="306"/>
      <c r="S26" s="306"/>
    </row>
    <row r="27" spans="1:19" ht="15" customHeight="1">
      <c r="C27" s="538" t="s">
        <v>1223</v>
      </c>
      <c r="D27" s="313"/>
      <c r="E27" s="1062">
        <f>'Part V-Revenues &amp; Expenses'!K67</f>
        <v>0</v>
      </c>
      <c r="F27" s="1063">
        <f>'Part V-Revenues &amp; Expenses'!L67</f>
        <v>19</v>
      </c>
      <c r="G27" s="1063">
        <f>'Part V-Revenues &amp; Expenses'!M67</f>
        <v>38</v>
      </c>
      <c r="H27" s="1063">
        <f>'Part V-Revenues &amp; Expenses'!N67</f>
        <v>19</v>
      </c>
      <c r="I27" s="1063">
        <f>'Part V-Revenues &amp; Expenses'!O67</f>
        <v>0</v>
      </c>
      <c r="J27" s="1727">
        <f>'Part V-Revenues &amp; Expenses'!P67</f>
        <v>76</v>
      </c>
      <c r="K27" s="306"/>
      <c r="S27" s="306"/>
    </row>
    <row r="28" spans="1:19" ht="15" customHeight="1">
      <c r="C28" s="538" t="s">
        <v>1224</v>
      </c>
      <c r="D28" s="313"/>
      <c r="E28" s="1062">
        <f>'Part V-Revenues &amp; Expenses'!K68</f>
        <v>0</v>
      </c>
      <c r="F28" s="1063">
        <f>'Part V-Revenues &amp; Expenses'!L68</f>
        <v>5</v>
      </c>
      <c r="G28" s="1063">
        <f>'Part V-Revenues &amp; Expenses'!M68</f>
        <v>10</v>
      </c>
      <c r="H28" s="1063">
        <f>'Part V-Revenues &amp; Expenses'!N68</f>
        <v>5</v>
      </c>
      <c r="I28" s="1063">
        <f>'Part V-Revenues &amp; Expenses'!O68</f>
        <v>0</v>
      </c>
      <c r="J28" s="1727">
        <f>'Part V-Revenues &amp; Expenses'!P68</f>
        <v>20</v>
      </c>
      <c r="K28" s="306"/>
      <c r="S28" s="306"/>
    </row>
    <row r="29" spans="1:19" ht="13.2" customHeight="1">
      <c r="C29" s="538" t="s">
        <v>1225</v>
      </c>
      <c r="D29" s="313"/>
      <c r="E29" s="1062">
        <f>'Part V-Revenues &amp; Expenses'!K69</f>
        <v>0</v>
      </c>
      <c r="F29" s="1063">
        <f>'Part V-Revenues &amp; Expenses'!L69</f>
        <v>0</v>
      </c>
      <c r="G29" s="1063">
        <f>'Part V-Revenues &amp; Expenses'!M69</f>
        <v>0</v>
      </c>
      <c r="H29" s="1063">
        <f>'Part V-Revenues &amp; Expenses'!N69</f>
        <v>0</v>
      </c>
      <c r="I29" s="1063">
        <f>'Part V-Revenues &amp; Expenses'!O69</f>
        <v>0</v>
      </c>
      <c r="J29" s="1727">
        <f>'Part V-Revenues &amp; Expenses'!P69</f>
        <v>0</v>
      </c>
      <c r="K29" s="306"/>
      <c r="S29" s="306"/>
    </row>
    <row r="30" spans="1:19" ht="13.2" customHeight="1">
      <c r="C30" s="538" t="s">
        <v>1226</v>
      </c>
      <c r="D30" s="313"/>
      <c r="E30" s="1062">
        <f>'Part V-Revenues &amp; Expenses'!K70</f>
        <v>0</v>
      </c>
      <c r="F30" s="1063">
        <f>'Part V-Revenues &amp; Expenses'!L70</f>
        <v>0</v>
      </c>
      <c r="G30" s="1063">
        <f>'Part V-Revenues &amp; Expenses'!M70</f>
        <v>0</v>
      </c>
      <c r="H30" s="1063">
        <f>'Part V-Revenues &amp; Expenses'!N70</f>
        <v>0</v>
      </c>
      <c r="I30" s="1063">
        <f>'Part V-Revenues &amp; Expenses'!O70</f>
        <v>0</v>
      </c>
      <c r="J30" s="1727">
        <f>'Part V-Revenues &amp; Expenses'!P70</f>
        <v>0</v>
      </c>
      <c r="K30" s="306"/>
      <c r="S30" s="306"/>
    </row>
    <row r="31" spans="1:19" ht="13.2" customHeight="1">
      <c r="C31" s="538" t="s">
        <v>1227</v>
      </c>
      <c r="D31" s="313"/>
      <c r="E31" s="1062">
        <f>'Part V-Revenues &amp; Expenses'!K71</f>
        <v>0</v>
      </c>
      <c r="F31" s="1063">
        <f>'Part V-Revenues &amp; Expenses'!L71</f>
        <v>0</v>
      </c>
      <c r="G31" s="1063">
        <f>'Part V-Revenues &amp; Expenses'!M71</f>
        <v>0</v>
      </c>
      <c r="H31" s="1063">
        <f>'Part V-Revenues &amp; Expenses'!N71</f>
        <v>0</v>
      </c>
      <c r="I31" s="1063">
        <f>'Part V-Revenues &amp; Expenses'!O71</f>
        <v>0</v>
      </c>
      <c r="J31" s="1727">
        <f>'Part V-Revenues &amp; Expenses'!P71</f>
        <v>0</v>
      </c>
      <c r="K31" s="306"/>
      <c r="S31" s="306"/>
    </row>
    <row r="32" spans="1:19" ht="13.2" customHeight="1">
      <c r="C32" s="313" t="s">
        <v>288</v>
      </c>
      <c r="D32" s="313"/>
      <c r="E32" s="1728">
        <f>'Part V-Revenues &amp; Expenses'!K72</f>
        <v>0</v>
      </c>
      <c r="F32" s="1729">
        <f>'Part V-Revenues &amp; Expenses'!L72</f>
        <v>24</v>
      </c>
      <c r="G32" s="1729">
        <f>'Part V-Revenues &amp; Expenses'!M72</f>
        <v>48</v>
      </c>
      <c r="H32" s="1729">
        <f>'Part V-Revenues &amp; Expenses'!N72</f>
        <v>24</v>
      </c>
      <c r="I32" s="1729">
        <f>'Part V-Revenues &amp; Expenses'!O72</f>
        <v>0</v>
      </c>
      <c r="J32" s="1064">
        <f>'Part V-Revenues &amp; Expenses'!P72</f>
        <v>96</v>
      </c>
      <c r="K32" s="306"/>
      <c r="S32" s="306"/>
    </row>
    <row r="33" spans="1:12" s="306" customFormat="1" ht="13.2" customHeight="1" thickBot="1">
      <c r="K33" s="996"/>
    </row>
    <row r="34" spans="1:12" s="306" customFormat="1" ht="14.25" customHeight="1" thickBot="1">
      <c r="A34" s="996"/>
      <c r="B34" s="5000" t="s">
        <v>658</v>
      </c>
      <c r="E34" s="5001" t="s">
        <v>7502</v>
      </c>
      <c r="F34" s="5002"/>
      <c r="G34" s="5002"/>
      <c r="H34" s="5002"/>
      <c r="I34" s="5002"/>
      <c r="J34" s="5002"/>
      <c r="K34" s="5002"/>
      <c r="L34" s="5003"/>
    </row>
    <row r="35" spans="1:12" s="306" customFormat="1" ht="14.25" customHeight="1">
      <c r="A35" s="996"/>
      <c r="B35" s="5000"/>
      <c r="C35" s="5004" t="s">
        <v>7503</v>
      </c>
      <c r="D35" s="5000" t="s">
        <v>7504</v>
      </c>
      <c r="E35" s="5005" t="s">
        <v>7505</v>
      </c>
      <c r="F35" s="5006"/>
      <c r="G35" s="5009" t="s">
        <v>327</v>
      </c>
      <c r="H35" s="5011" t="s">
        <v>7506</v>
      </c>
      <c r="I35" s="5012"/>
      <c r="J35" s="5012"/>
      <c r="K35" s="5012"/>
      <c r="L35" s="5013"/>
    </row>
    <row r="36" spans="1:12" s="306" customFormat="1" ht="23.25" customHeight="1">
      <c r="A36" s="5004" t="s">
        <v>1213</v>
      </c>
      <c r="B36" s="5000"/>
      <c r="C36" s="5004"/>
      <c r="D36" s="5000"/>
      <c r="E36" s="5007"/>
      <c r="F36" s="5008"/>
      <c r="G36" s="5010"/>
      <c r="H36" s="5014" t="s">
        <v>7507</v>
      </c>
      <c r="I36" s="5015"/>
      <c r="J36" s="5018" t="s">
        <v>327</v>
      </c>
      <c r="K36" s="5015" t="s">
        <v>7508</v>
      </c>
      <c r="L36" s="5020"/>
    </row>
    <row r="37" spans="1:12" s="306" customFormat="1" ht="23.25" customHeight="1">
      <c r="A37" s="5004"/>
      <c r="B37" s="5000"/>
      <c r="C37" s="5004"/>
      <c r="D37" s="5000"/>
      <c r="E37" s="5007"/>
      <c r="F37" s="5008"/>
      <c r="G37" s="5010"/>
      <c r="H37" s="5014"/>
      <c r="I37" s="5015"/>
      <c r="J37" s="5019"/>
      <c r="K37" s="5015"/>
      <c r="L37" s="5020"/>
    </row>
    <row r="38" spans="1:12" s="306" customFormat="1" ht="23.25" customHeight="1">
      <c r="A38" s="5000"/>
      <c r="B38" s="5000"/>
      <c r="C38" s="5000"/>
      <c r="D38" s="5000"/>
      <c r="E38" s="5007"/>
      <c r="F38" s="5008"/>
      <c r="G38" s="5010"/>
      <c r="H38" s="5016"/>
      <c r="I38" s="5017"/>
      <c r="J38" s="5019"/>
      <c r="K38" s="5017"/>
      <c r="L38" s="5021"/>
    </row>
    <row r="39" spans="1:12" s="306" customFormat="1" ht="13.2" customHeight="1">
      <c r="A39" s="3009">
        <f>'Part V-Revenues &amp; Expenses'!B18</f>
        <v>60</v>
      </c>
      <c r="B39" s="1052">
        <f>'Part V-Revenues &amp; Expenses'!E18</f>
        <v>3</v>
      </c>
      <c r="C39" s="1053" t="str">
        <f>_xlfn.CONCAT('Part V-Revenues &amp; Expenses'!C18," / ",'Part V-Revenues &amp; Expenses'!D18)</f>
        <v>1 / 1</v>
      </c>
      <c r="D39" s="1052">
        <f>'Part V-Revenues &amp; Expenses'!F18</f>
        <v>769</v>
      </c>
      <c r="E39" s="5024">
        <f>'Part V-Revenues &amp; Expenses'!H18</f>
        <v>453</v>
      </c>
      <c r="F39" s="5025"/>
      <c r="G39" s="313"/>
      <c r="H39" s="4994"/>
      <c r="I39" s="4995"/>
      <c r="J39" s="4995"/>
      <c r="K39" s="4995"/>
      <c r="L39" s="4996"/>
    </row>
    <row r="40" spans="1:12" s="306" customFormat="1" ht="13.2" customHeight="1">
      <c r="A40" s="1054">
        <f>'Part V-Revenues &amp; Expenses'!B19</f>
        <v>60</v>
      </c>
      <c r="B40" s="1055">
        <f>'Part V-Revenues &amp; Expenses'!E19</f>
        <v>5</v>
      </c>
      <c r="C40" s="1056" t="str">
        <f>_xlfn.CONCAT('Part V-Revenues &amp; Expenses'!C19," / ",'Part V-Revenues &amp; Expenses'!D19)</f>
        <v>2 / 2</v>
      </c>
      <c r="D40" s="1055">
        <f>'Part V-Revenues &amp; Expenses'!F19</f>
        <v>1041</v>
      </c>
      <c r="E40" s="4992">
        <f>'Part V-Revenues &amp; Expenses'!H19</f>
        <v>545</v>
      </c>
      <c r="F40" s="4993"/>
      <c r="G40" s="313"/>
      <c r="H40" s="4989"/>
      <c r="I40" s="4990"/>
      <c r="J40" s="4990"/>
      <c r="K40" s="4990"/>
      <c r="L40" s="4991"/>
    </row>
    <row r="41" spans="1:12" s="306" customFormat="1" ht="13.2" customHeight="1">
      <c r="A41" s="1054">
        <f>'Part V-Revenues &amp; Expenses'!B20</f>
        <v>60</v>
      </c>
      <c r="B41" s="1055">
        <f>'Part V-Revenues &amp; Expenses'!E20</f>
        <v>2</v>
      </c>
      <c r="C41" s="1056" t="str">
        <f>_xlfn.CONCAT('Part V-Revenues &amp; Expenses'!C20," / ",'Part V-Revenues &amp; Expenses'!D20)</f>
        <v>3 / 2</v>
      </c>
      <c r="D41" s="1055">
        <f>'Part V-Revenues &amp; Expenses'!F20</f>
        <v>1170</v>
      </c>
      <c r="E41" s="4992">
        <f>'Part V-Revenues &amp; Expenses'!H20</f>
        <v>632</v>
      </c>
      <c r="F41" s="4993"/>
      <c r="G41" s="313"/>
      <c r="H41" s="4989"/>
      <c r="I41" s="4990"/>
      <c r="J41" s="4990"/>
      <c r="K41" s="4990"/>
      <c r="L41" s="4991"/>
    </row>
    <row r="42" spans="1:12" s="306" customFormat="1" ht="13.2" customHeight="1">
      <c r="A42" s="1054">
        <f>'Part V-Revenues &amp; Expenses'!B21</f>
        <v>0</v>
      </c>
      <c r="B42" s="1055">
        <f>'Part V-Revenues &amp; Expenses'!E21</f>
        <v>0</v>
      </c>
      <c r="C42" s="1056" t="str">
        <f>_xlfn.CONCAT('Part V-Revenues &amp; Expenses'!C21," / ",'Part V-Revenues &amp; Expenses'!D21)</f>
        <v xml:space="preserve"> / </v>
      </c>
      <c r="D42" s="1055">
        <f>'Part V-Revenues &amp; Expenses'!F21</f>
        <v>0</v>
      </c>
      <c r="E42" s="4992">
        <f>'Part V-Revenues &amp; Expenses'!H21</f>
        <v>0</v>
      </c>
      <c r="F42" s="4993"/>
      <c r="G42" s="313"/>
      <c r="H42" s="4989"/>
      <c r="I42" s="4990"/>
      <c r="J42" s="4990"/>
      <c r="K42" s="4990"/>
      <c r="L42" s="4991"/>
    </row>
    <row r="43" spans="1:12" s="306" customFormat="1" ht="13.2" customHeight="1">
      <c r="A43" s="1054">
        <f>'Part V-Revenues &amp; Expenses'!B22</f>
        <v>60</v>
      </c>
      <c r="B43" s="1055">
        <f>'Part V-Revenues &amp; Expenses'!E22</f>
        <v>10</v>
      </c>
      <c r="C43" s="1056" t="str">
        <f>_xlfn.CONCAT('Part V-Revenues &amp; Expenses'!C22," / ",'Part V-Revenues &amp; Expenses'!D22)</f>
        <v>1 / 1</v>
      </c>
      <c r="D43" s="1055">
        <f>'Part V-Revenues &amp; Expenses'!F22</f>
        <v>769</v>
      </c>
      <c r="E43" s="4992">
        <f>'Part V-Revenues &amp; Expenses'!H22</f>
        <v>762</v>
      </c>
      <c r="F43" s="4993"/>
      <c r="G43" s="313"/>
      <c r="H43" s="4989"/>
      <c r="I43" s="4990"/>
      <c r="J43" s="4990"/>
      <c r="K43" s="4990"/>
      <c r="L43" s="4991"/>
    </row>
    <row r="44" spans="1:12" s="306" customFormat="1" ht="13.2" customHeight="1">
      <c r="A44" s="1054">
        <f>'Part V-Revenues &amp; Expenses'!B23</f>
        <v>60</v>
      </c>
      <c r="B44" s="1055">
        <f>'Part V-Revenues &amp; Expenses'!E23</f>
        <v>20</v>
      </c>
      <c r="C44" s="1056" t="str">
        <f>_xlfn.CONCAT('Part V-Revenues &amp; Expenses'!C23," / ",'Part V-Revenues &amp; Expenses'!D23)</f>
        <v>2 / 2</v>
      </c>
      <c r="D44" s="1055">
        <f>'Part V-Revenues &amp; Expenses'!F23</f>
        <v>1041</v>
      </c>
      <c r="E44" s="4992">
        <f>'Part V-Revenues &amp; Expenses'!H23</f>
        <v>916</v>
      </c>
      <c r="F44" s="4993"/>
      <c r="G44" s="313"/>
      <c r="H44" s="4989"/>
      <c r="I44" s="4990"/>
      <c r="J44" s="4990"/>
      <c r="K44" s="4990"/>
      <c r="L44" s="4991"/>
    </row>
    <row r="45" spans="1:12" s="306" customFormat="1" ht="13.2" customHeight="1">
      <c r="A45" s="1054">
        <f>'Part V-Revenues &amp; Expenses'!B24</f>
        <v>60</v>
      </c>
      <c r="B45" s="1055">
        <f>'Part V-Revenues &amp; Expenses'!E24</f>
        <v>9</v>
      </c>
      <c r="C45" s="1056" t="str">
        <f>_xlfn.CONCAT('Part V-Revenues &amp; Expenses'!C24," / ",'Part V-Revenues &amp; Expenses'!D24)</f>
        <v>3 / 2</v>
      </c>
      <c r="D45" s="1055">
        <f>'Part V-Revenues &amp; Expenses'!F24</f>
        <v>1170</v>
      </c>
      <c r="E45" s="4992">
        <f>'Part V-Revenues &amp; Expenses'!H24</f>
        <v>1060</v>
      </c>
      <c r="F45" s="4993"/>
      <c r="G45" s="313"/>
      <c r="H45" s="4989"/>
      <c r="I45" s="4990"/>
      <c r="J45" s="4990"/>
      <c r="K45" s="4990"/>
      <c r="L45" s="4991"/>
    </row>
    <row r="46" spans="1:12" s="306" customFormat="1" ht="13.2" customHeight="1">
      <c r="A46" s="1054">
        <f>'Part V-Revenues &amp; Expenses'!B25</f>
        <v>0</v>
      </c>
      <c r="B46" s="1055">
        <f>'Part V-Revenues &amp; Expenses'!E25</f>
        <v>0</v>
      </c>
      <c r="C46" s="1056" t="str">
        <f>_xlfn.CONCAT('Part V-Revenues &amp; Expenses'!C25," / ",'Part V-Revenues &amp; Expenses'!D25)</f>
        <v xml:space="preserve"> / </v>
      </c>
      <c r="D46" s="1055">
        <f>'Part V-Revenues &amp; Expenses'!F25</f>
        <v>0</v>
      </c>
      <c r="E46" s="4992">
        <f>'Part V-Revenues &amp; Expenses'!H25</f>
        <v>0</v>
      </c>
      <c r="F46" s="4993"/>
      <c r="G46" s="313"/>
      <c r="H46" s="4989"/>
      <c r="I46" s="4990"/>
      <c r="J46" s="4990"/>
      <c r="K46" s="4990"/>
      <c r="L46" s="4991"/>
    </row>
    <row r="47" spans="1:12" s="306" customFormat="1" ht="13.2" customHeight="1">
      <c r="A47" s="1054">
        <f>'Part V-Revenues &amp; Expenses'!B26</f>
        <v>50</v>
      </c>
      <c r="B47" s="1055">
        <f>'Part V-Revenues &amp; Expenses'!E26</f>
        <v>5</v>
      </c>
      <c r="C47" s="1056" t="str">
        <f>_xlfn.CONCAT('Part V-Revenues &amp; Expenses'!C26," / ",'Part V-Revenues &amp; Expenses'!D26)</f>
        <v>1 / 1</v>
      </c>
      <c r="D47" s="1055">
        <f>'Part V-Revenues &amp; Expenses'!F26</f>
        <v>769</v>
      </c>
      <c r="E47" s="4992">
        <f>'Part V-Revenues &amp; Expenses'!H26</f>
        <v>762</v>
      </c>
      <c r="F47" s="4993"/>
      <c r="G47" s="313"/>
      <c r="H47" s="4989"/>
      <c r="I47" s="4990"/>
      <c r="J47" s="4990"/>
      <c r="K47" s="4990"/>
      <c r="L47" s="4991"/>
    </row>
    <row r="48" spans="1:12" s="306" customFormat="1" ht="13.2" customHeight="1">
      <c r="A48" s="1054">
        <f>'Part V-Revenues &amp; Expenses'!B27</f>
        <v>50</v>
      </c>
      <c r="B48" s="1055">
        <f>'Part V-Revenues &amp; Expenses'!E27</f>
        <v>10</v>
      </c>
      <c r="C48" s="1056" t="str">
        <f>_xlfn.CONCAT('Part V-Revenues &amp; Expenses'!C27," / ",'Part V-Revenues &amp; Expenses'!D27)</f>
        <v>2 / 2</v>
      </c>
      <c r="D48" s="1055">
        <f>'Part V-Revenues &amp; Expenses'!F27</f>
        <v>1041</v>
      </c>
      <c r="E48" s="4992">
        <f>'Part V-Revenues &amp; Expenses'!H27</f>
        <v>916</v>
      </c>
      <c r="F48" s="4993"/>
      <c r="G48" s="313"/>
      <c r="H48" s="4989"/>
      <c r="I48" s="4990"/>
      <c r="J48" s="4990"/>
      <c r="K48" s="4990"/>
      <c r="L48" s="4991"/>
    </row>
    <row r="49" spans="1:13" s="306" customFormat="1" ht="13.2" customHeight="1">
      <c r="A49" s="1054">
        <f>'Part V-Revenues &amp; Expenses'!B28</f>
        <v>50</v>
      </c>
      <c r="B49" s="1055">
        <f>'Part V-Revenues &amp; Expenses'!E28</f>
        <v>5</v>
      </c>
      <c r="C49" s="1056" t="str">
        <f>_xlfn.CONCAT('Part V-Revenues &amp; Expenses'!C28," / ",'Part V-Revenues &amp; Expenses'!D28)</f>
        <v>3 / 2</v>
      </c>
      <c r="D49" s="1055">
        <f>'Part V-Revenues &amp; Expenses'!F28</f>
        <v>1170</v>
      </c>
      <c r="E49" s="4992">
        <f>'Part V-Revenues &amp; Expenses'!H28</f>
        <v>1060</v>
      </c>
      <c r="F49" s="4993"/>
      <c r="G49" s="313"/>
      <c r="H49" s="4989"/>
      <c r="I49" s="4990"/>
      <c r="J49" s="4990"/>
      <c r="K49" s="4990"/>
      <c r="L49" s="4991"/>
    </row>
    <row r="50" spans="1:13" s="306" customFormat="1" ht="13.2" customHeight="1">
      <c r="A50" s="1054">
        <f>'Part V-Revenues &amp; Expenses'!B29</f>
        <v>0</v>
      </c>
      <c r="B50" s="1055">
        <f>'Part V-Revenues &amp; Expenses'!E29</f>
        <v>0</v>
      </c>
      <c r="C50" s="1056" t="str">
        <f>_xlfn.CONCAT('Part V-Revenues &amp; Expenses'!C29," / ",'Part V-Revenues &amp; Expenses'!D29)</f>
        <v xml:space="preserve"> / </v>
      </c>
      <c r="D50" s="1055">
        <f>'Part V-Revenues &amp; Expenses'!F29</f>
        <v>0</v>
      </c>
      <c r="E50" s="4992">
        <f>'Part V-Revenues &amp; Expenses'!H29</f>
        <v>0</v>
      </c>
      <c r="F50" s="4993"/>
      <c r="G50" s="313"/>
      <c r="H50" s="4989"/>
      <c r="I50" s="4990"/>
      <c r="J50" s="4990"/>
      <c r="K50" s="4990"/>
      <c r="L50" s="4991"/>
    </row>
    <row r="51" spans="1:13" s="306" customFormat="1" ht="13.2" customHeight="1">
      <c r="A51" s="1054">
        <f>'Part V-Revenues &amp; Expenses'!B30</f>
        <v>60</v>
      </c>
      <c r="B51" s="1055">
        <f>'Part V-Revenues &amp; Expenses'!E30</f>
        <v>6</v>
      </c>
      <c r="C51" s="1056" t="str">
        <f>_xlfn.CONCAT('Part V-Revenues &amp; Expenses'!C30," / ",'Part V-Revenues &amp; Expenses'!D30)</f>
        <v>1 / 1</v>
      </c>
      <c r="D51" s="1055">
        <f>'Part V-Revenues &amp; Expenses'!F30</f>
        <v>769</v>
      </c>
      <c r="E51" s="4992">
        <f>'Part V-Revenues &amp; Expenses'!H30</f>
        <v>917</v>
      </c>
      <c r="F51" s="4993"/>
      <c r="G51" s="313"/>
      <c r="H51" s="4989"/>
      <c r="I51" s="4990"/>
      <c r="J51" s="4990"/>
      <c r="K51" s="4990"/>
      <c r="L51" s="4991"/>
    </row>
    <row r="52" spans="1:13" s="306" customFormat="1" ht="13.2" customHeight="1">
      <c r="A52" s="1054">
        <f>'Part V-Revenues &amp; Expenses'!B31</f>
        <v>60</v>
      </c>
      <c r="B52" s="1055">
        <f>'Part V-Revenues &amp; Expenses'!E31</f>
        <v>13</v>
      </c>
      <c r="C52" s="1056" t="str">
        <f>_xlfn.CONCAT('Part V-Revenues &amp; Expenses'!C31," / ",'Part V-Revenues &amp; Expenses'!D31)</f>
        <v>2 / 2</v>
      </c>
      <c r="D52" s="1055">
        <f>'Part V-Revenues &amp; Expenses'!F31</f>
        <v>1041</v>
      </c>
      <c r="E52" s="4992">
        <f>'Part V-Revenues &amp; Expenses'!H31</f>
        <v>1101</v>
      </c>
      <c r="F52" s="4993"/>
      <c r="G52" s="313"/>
      <c r="H52" s="4989"/>
      <c r="I52" s="4990"/>
      <c r="J52" s="4990"/>
      <c r="K52" s="4990"/>
      <c r="L52" s="4991"/>
    </row>
    <row r="53" spans="1:13" s="306" customFormat="1" ht="13.2" customHeight="1">
      <c r="A53" s="1054">
        <f>'Part V-Revenues &amp; Expenses'!B32</f>
        <v>60</v>
      </c>
      <c r="B53" s="1055">
        <f>'Part V-Revenues &amp; Expenses'!E32</f>
        <v>8</v>
      </c>
      <c r="C53" s="1056" t="str">
        <f>_xlfn.CONCAT('Part V-Revenues &amp; Expenses'!C32," / ",'Part V-Revenues &amp; Expenses'!D32)</f>
        <v>3 / 2</v>
      </c>
      <c r="D53" s="1055">
        <f>'Part V-Revenues &amp; Expenses'!F32</f>
        <v>1170</v>
      </c>
      <c r="E53" s="4992">
        <f>'Part V-Revenues &amp; Expenses'!H32</f>
        <v>1274</v>
      </c>
      <c r="F53" s="4993"/>
      <c r="G53" s="313"/>
      <c r="H53" s="4989"/>
      <c r="I53" s="4990"/>
      <c r="J53" s="4990"/>
      <c r="K53" s="4990"/>
      <c r="L53" s="4991"/>
    </row>
    <row r="54" spans="1:13" s="306" customFormat="1" ht="13.2" customHeight="1">
      <c r="A54" s="1054">
        <f>'Part V-Revenues &amp; Expenses'!B33</f>
        <v>0</v>
      </c>
      <c r="B54" s="1055">
        <f>'Part V-Revenues &amp; Expenses'!E33</f>
        <v>0</v>
      </c>
      <c r="C54" s="1056" t="str">
        <f>_xlfn.CONCAT('Part V-Revenues &amp; Expenses'!C33," / ",'Part V-Revenues &amp; Expenses'!D33)</f>
        <v xml:space="preserve"> / </v>
      </c>
      <c r="D54" s="1055">
        <f>'Part V-Revenues &amp; Expenses'!F33</f>
        <v>0</v>
      </c>
      <c r="E54" s="4992">
        <f>'Part V-Revenues &amp; Expenses'!H33</f>
        <v>0</v>
      </c>
      <c r="F54" s="4993"/>
      <c r="G54" s="313"/>
      <c r="H54" s="4989"/>
      <c r="I54" s="4990"/>
      <c r="J54" s="4990"/>
      <c r="K54" s="4990"/>
      <c r="L54" s="4991"/>
    </row>
    <row r="55" spans="1:13" s="306" customFormat="1" ht="13.2" customHeight="1">
      <c r="A55" s="1054">
        <f>'Part V-Revenues &amp; Expenses'!B34</f>
        <v>0</v>
      </c>
      <c r="B55" s="1055">
        <f>'Part V-Revenues &amp; Expenses'!E34</f>
        <v>0</v>
      </c>
      <c r="C55" s="1056" t="str">
        <f>_xlfn.CONCAT('Part V-Revenues &amp; Expenses'!C34," / ",'Part V-Revenues &amp; Expenses'!D34)</f>
        <v xml:space="preserve"> / </v>
      </c>
      <c r="D55" s="1055">
        <f>'Part V-Revenues &amp; Expenses'!F34</f>
        <v>0</v>
      </c>
      <c r="E55" s="4992">
        <f>'Part V-Revenues &amp; Expenses'!H34</f>
        <v>0</v>
      </c>
      <c r="F55" s="4993"/>
      <c r="G55" s="313"/>
      <c r="H55" s="4989"/>
      <c r="I55" s="4990"/>
      <c r="J55" s="4990"/>
      <c r="K55" s="4990"/>
      <c r="L55" s="4991"/>
    </row>
    <row r="56" spans="1:13" s="306" customFormat="1" ht="13.2" customHeight="1">
      <c r="A56" s="1054">
        <f>'Part V-Revenues &amp; Expenses'!B35</f>
        <v>0</v>
      </c>
      <c r="B56" s="1055">
        <f>'Part V-Revenues &amp; Expenses'!E35</f>
        <v>0</v>
      </c>
      <c r="C56" s="1056" t="str">
        <f>_xlfn.CONCAT('Part V-Revenues &amp; Expenses'!C35," / ",'Part V-Revenues &amp; Expenses'!D35)</f>
        <v xml:space="preserve"> / </v>
      </c>
      <c r="D56" s="1055">
        <f>'Part V-Revenues &amp; Expenses'!F35</f>
        <v>0</v>
      </c>
      <c r="E56" s="4992">
        <f>'Part V-Revenues &amp; Expenses'!H35</f>
        <v>0</v>
      </c>
      <c r="F56" s="4993"/>
      <c r="G56" s="313"/>
      <c r="H56" s="4989"/>
      <c r="I56" s="4990"/>
      <c r="J56" s="4990"/>
      <c r="K56" s="4990"/>
      <c r="L56" s="4991"/>
    </row>
    <row r="57" spans="1:13" s="306" customFormat="1" ht="13.2" customHeight="1">
      <c r="A57" s="1054">
        <f>'Part V-Revenues &amp; Expenses'!B36</f>
        <v>0</v>
      </c>
      <c r="B57" s="1055">
        <f>'Part V-Revenues &amp; Expenses'!E36</f>
        <v>0</v>
      </c>
      <c r="C57" s="1056" t="str">
        <f>_xlfn.CONCAT('Part V-Revenues &amp; Expenses'!C36," / ",'Part V-Revenues &amp; Expenses'!D36)</f>
        <v xml:space="preserve"> / </v>
      </c>
      <c r="D57" s="1055">
        <f>'Part V-Revenues &amp; Expenses'!F36</f>
        <v>0</v>
      </c>
      <c r="E57" s="4992">
        <f>'Part V-Revenues &amp; Expenses'!H36</f>
        <v>0</v>
      </c>
      <c r="F57" s="4993"/>
      <c r="G57" s="313"/>
      <c r="H57" s="4989"/>
      <c r="I57" s="4990"/>
      <c r="J57" s="4990"/>
      <c r="K57" s="4990"/>
      <c r="L57" s="4991"/>
    </row>
    <row r="58" spans="1:13" s="306" customFormat="1" ht="13.2" customHeight="1">
      <c r="A58" s="1054">
        <f>'Part V-Revenues &amp; Expenses'!B37</f>
        <v>0</v>
      </c>
      <c r="B58" s="1055">
        <f>'Part V-Revenues &amp; Expenses'!E37</f>
        <v>0</v>
      </c>
      <c r="C58" s="1056" t="str">
        <f>_xlfn.CONCAT('Part V-Revenues &amp; Expenses'!C37," / ",'Part V-Revenues &amp; Expenses'!D37)</f>
        <v xml:space="preserve"> / </v>
      </c>
      <c r="D58" s="1055">
        <f>'Part V-Revenues &amp; Expenses'!F37</f>
        <v>0</v>
      </c>
      <c r="E58" s="4992">
        <f>'Part V-Revenues &amp; Expenses'!H37</f>
        <v>0</v>
      </c>
      <c r="F58" s="4993"/>
      <c r="G58" s="313"/>
      <c r="H58" s="4989"/>
      <c r="I58" s="4990"/>
      <c r="J58" s="4990"/>
      <c r="K58" s="4990"/>
      <c r="L58" s="4991"/>
    </row>
    <row r="59" spans="1:13" s="306" customFormat="1" ht="13.2" customHeight="1">
      <c r="A59" s="1054">
        <f>'Part V-Revenues &amp; Expenses'!B38</f>
        <v>0</v>
      </c>
      <c r="B59" s="1055">
        <f>'Part V-Revenues &amp; Expenses'!E38</f>
        <v>0</v>
      </c>
      <c r="C59" s="1056" t="str">
        <f>_xlfn.CONCAT('Part V-Revenues &amp; Expenses'!C38," / ",'Part V-Revenues &amp; Expenses'!D38)</f>
        <v xml:space="preserve"> / </v>
      </c>
      <c r="D59" s="1055">
        <f>'Part V-Revenues &amp; Expenses'!F38</f>
        <v>0</v>
      </c>
      <c r="E59" s="4992">
        <f>'Part V-Revenues &amp; Expenses'!H38</f>
        <v>0</v>
      </c>
      <c r="F59" s="4993"/>
      <c r="G59" s="313"/>
      <c r="H59" s="4989"/>
      <c r="I59" s="4990"/>
      <c r="J59" s="4990"/>
      <c r="K59" s="4990"/>
      <c r="L59" s="4991"/>
    </row>
    <row r="60" spans="1:13" s="306" customFormat="1" ht="13.2" customHeight="1">
      <c r="A60" s="1054">
        <f>'Part V-Revenues &amp; Expenses'!B39</f>
        <v>0</v>
      </c>
      <c r="B60" s="1055">
        <f>'Part V-Revenues &amp; Expenses'!E39</f>
        <v>0</v>
      </c>
      <c r="C60" s="1056" t="str">
        <f>_xlfn.CONCAT('Part V-Revenues &amp; Expenses'!C39," / ",'Part V-Revenues &amp; Expenses'!D39)</f>
        <v xml:space="preserve"> / </v>
      </c>
      <c r="D60" s="1055">
        <f>'Part V-Revenues &amp; Expenses'!F39</f>
        <v>0</v>
      </c>
      <c r="E60" s="4992">
        <f>'Part V-Revenues &amp; Expenses'!H39</f>
        <v>0</v>
      </c>
      <c r="F60" s="4993"/>
      <c r="G60" s="313"/>
      <c r="H60" s="4989"/>
      <c r="I60" s="4990"/>
      <c r="J60" s="4990"/>
      <c r="K60" s="4990"/>
      <c r="L60" s="4991"/>
      <c r="M60" s="2632"/>
    </row>
    <row r="61" spans="1:13" s="306" customFormat="1" ht="13.2" customHeight="1">
      <c r="A61" s="1054">
        <f>'Part V-Revenues &amp; Expenses'!B40</f>
        <v>0</v>
      </c>
      <c r="B61" s="1055">
        <f>'Part V-Revenues &amp; Expenses'!E40</f>
        <v>0</v>
      </c>
      <c r="C61" s="1056" t="str">
        <f>_xlfn.CONCAT('Part V-Revenues &amp; Expenses'!C40," / ",'Part V-Revenues &amp; Expenses'!D40)</f>
        <v xml:space="preserve"> / </v>
      </c>
      <c r="D61" s="1055">
        <f>'Part V-Revenues &amp; Expenses'!F40</f>
        <v>0</v>
      </c>
      <c r="E61" s="4992">
        <f>'Part V-Revenues &amp; Expenses'!H40</f>
        <v>0</v>
      </c>
      <c r="F61" s="4993"/>
      <c r="G61" s="313"/>
      <c r="H61" s="4989"/>
      <c r="I61" s="4990"/>
      <c r="J61" s="4990"/>
      <c r="K61" s="4990"/>
      <c r="L61" s="4991"/>
      <c r="M61" s="2632"/>
    </row>
    <row r="62" spans="1:13" s="306" customFormat="1" ht="13.2" customHeight="1">
      <c r="A62" s="1054">
        <f>'Part V-Revenues &amp; Expenses'!B41</f>
        <v>0</v>
      </c>
      <c r="B62" s="1055">
        <f>'Part V-Revenues &amp; Expenses'!E41</f>
        <v>0</v>
      </c>
      <c r="C62" s="1056" t="str">
        <f>_xlfn.CONCAT('Part V-Revenues &amp; Expenses'!C41," / ",'Part V-Revenues &amp; Expenses'!D41)</f>
        <v xml:space="preserve"> / </v>
      </c>
      <c r="D62" s="1055">
        <f>'Part V-Revenues &amp; Expenses'!F41</f>
        <v>0</v>
      </c>
      <c r="E62" s="4992">
        <f>'Part V-Revenues &amp; Expenses'!H41</f>
        <v>0</v>
      </c>
      <c r="F62" s="4993"/>
      <c r="G62" s="313"/>
      <c r="H62" s="4989"/>
      <c r="I62" s="4990"/>
      <c r="J62" s="4990"/>
      <c r="K62" s="4990"/>
      <c r="L62" s="4991"/>
      <c r="M62" s="2632"/>
    </row>
    <row r="63" spans="1:13" s="306" customFormat="1" ht="13.2" customHeight="1">
      <c r="A63" s="1054">
        <f>'Part V-Revenues &amp; Expenses'!B42</f>
        <v>0</v>
      </c>
      <c r="B63" s="1055">
        <f>'Part V-Revenues &amp; Expenses'!E42</f>
        <v>0</v>
      </c>
      <c r="C63" s="1056" t="str">
        <f>_xlfn.CONCAT('Part V-Revenues &amp; Expenses'!C42," / ",'Part V-Revenues &amp; Expenses'!D42)</f>
        <v xml:space="preserve"> / </v>
      </c>
      <c r="D63" s="1055">
        <f>'Part V-Revenues &amp; Expenses'!F42</f>
        <v>0</v>
      </c>
      <c r="E63" s="4992">
        <f>'Part V-Revenues &amp; Expenses'!H42</f>
        <v>0</v>
      </c>
      <c r="F63" s="4993"/>
      <c r="G63" s="313"/>
      <c r="H63" s="4989"/>
      <c r="I63" s="4990"/>
      <c r="J63" s="4990"/>
      <c r="K63" s="4990"/>
      <c r="L63" s="4991"/>
      <c r="M63" s="2632"/>
    </row>
    <row r="64" spans="1:13" s="306" customFormat="1" ht="13.2" customHeight="1">
      <c r="A64" s="1054">
        <f>'Part V-Revenues &amp; Expenses'!B43</f>
        <v>0</v>
      </c>
      <c r="B64" s="1055">
        <f>'Part V-Revenues &amp; Expenses'!E43</f>
        <v>0</v>
      </c>
      <c r="C64" s="1056" t="str">
        <f>_xlfn.CONCAT('Part V-Revenues &amp; Expenses'!C43," / ",'Part V-Revenues &amp; Expenses'!D43)</f>
        <v xml:space="preserve"> / </v>
      </c>
      <c r="D64" s="1055">
        <f>'Part V-Revenues &amp; Expenses'!F43</f>
        <v>0</v>
      </c>
      <c r="E64" s="4992">
        <f>'Part V-Revenues &amp; Expenses'!H43</f>
        <v>0</v>
      </c>
      <c r="F64" s="4993"/>
      <c r="G64" s="313"/>
      <c r="H64" s="4989"/>
      <c r="I64" s="4990"/>
      <c r="J64" s="4990"/>
      <c r="K64" s="4990"/>
      <c r="L64" s="4991"/>
      <c r="M64" s="2632"/>
    </row>
    <row r="65" spans="1:19" ht="13.2" customHeight="1">
      <c r="A65" s="1054">
        <f>'Part V-Revenues &amp; Expenses'!B44</f>
        <v>0</v>
      </c>
      <c r="B65" s="1055">
        <f>'Part V-Revenues &amp; Expenses'!E44</f>
        <v>0</v>
      </c>
      <c r="C65" s="1056" t="str">
        <f>_xlfn.CONCAT('Part V-Revenues &amp; Expenses'!C44," / ",'Part V-Revenues &amp; Expenses'!D44)</f>
        <v xml:space="preserve"> / </v>
      </c>
      <c r="D65" s="1055">
        <f>'Part V-Revenues &amp; Expenses'!F44</f>
        <v>0</v>
      </c>
      <c r="E65" s="4992">
        <f>'Part V-Revenues &amp; Expenses'!H44</f>
        <v>0</v>
      </c>
      <c r="F65" s="4993"/>
      <c r="G65" s="313"/>
      <c r="H65" s="4989"/>
      <c r="I65" s="4990"/>
      <c r="J65" s="4990"/>
      <c r="K65" s="4990"/>
      <c r="L65" s="4991"/>
      <c r="M65" s="2632"/>
      <c r="S65" s="306"/>
    </row>
    <row r="66" spans="1:19" ht="13.2" customHeight="1">
      <c r="A66" s="1054">
        <f>'Part V-Revenues &amp; Expenses'!B45</f>
        <v>0</v>
      </c>
      <c r="B66" s="1055">
        <f>'Part V-Revenues &amp; Expenses'!E45</f>
        <v>0</v>
      </c>
      <c r="C66" s="1056" t="str">
        <f>_xlfn.CONCAT('Part V-Revenues &amp; Expenses'!C45," / ",'Part V-Revenues &amp; Expenses'!D45)</f>
        <v xml:space="preserve"> / </v>
      </c>
      <c r="D66" s="1055">
        <f>'Part V-Revenues &amp; Expenses'!F45</f>
        <v>0</v>
      </c>
      <c r="E66" s="4992">
        <f>'Part V-Revenues &amp; Expenses'!H45</f>
        <v>0</v>
      </c>
      <c r="F66" s="4993"/>
      <c r="G66" s="313"/>
      <c r="H66" s="4989"/>
      <c r="I66" s="4990"/>
      <c r="J66" s="4990"/>
      <c r="K66" s="4990"/>
      <c r="L66" s="4991"/>
      <c r="M66" s="2632"/>
      <c r="S66" s="306"/>
    </row>
    <row r="67" spans="1:19" ht="13.2" customHeight="1">
      <c r="A67" s="1054">
        <f>'Part V-Revenues &amp; Expenses'!B46</f>
        <v>0</v>
      </c>
      <c r="B67" s="1055">
        <f>'Part V-Revenues &amp; Expenses'!E46</f>
        <v>0</v>
      </c>
      <c r="C67" s="1056" t="str">
        <f>_xlfn.CONCAT('Part V-Revenues &amp; Expenses'!C46," / ",'Part V-Revenues &amp; Expenses'!D46)</f>
        <v xml:space="preserve"> / </v>
      </c>
      <c r="D67" s="1055">
        <f>'Part V-Revenues &amp; Expenses'!F46</f>
        <v>0</v>
      </c>
      <c r="E67" s="4992">
        <f>'Part V-Revenues &amp; Expenses'!H46</f>
        <v>0</v>
      </c>
      <c r="F67" s="4993"/>
      <c r="G67" s="313"/>
      <c r="H67" s="4989"/>
      <c r="I67" s="4990"/>
      <c r="J67" s="4990"/>
      <c r="K67" s="4990"/>
      <c r="L67" s="4991"/>
      <c r="M67" s="2632"/>
      <c r="S67" s="306"/>
    </row>
    <row r="68" spans="1:19" ht="13.2" customHeight="1">
      <c r="A68" s="1054">
        <f>'Part V-Revenues &amp; Expenses'!B47</f>
        <v>0</v>
      </c>
      <c r="B68" s="1055">
        <f>'Part V-Revenues &amp; Expenses'!E47</f>
        <v>0</v>
      </c>
      <c r="C68" s="1056" t="str">
        <f>_xlfn.CONCAT('Part V-Revenues &amp; Expenses'!C47," / ",'Part V-Revenues &amp; Expenses'!D47)</f>
        <v xml:space="preserve"> / </v>
      </c>
      <c r="D68" s="1055">
        <f>'Part V-Revenues &amp; Expenses'!F47</f>
        <v>0</v>
      </c>
      <c r="E68" s="4992">
        <f>'Part V-Revenues &amp; Expenses'!H47</f>
        <v>0</v>
      </c>
      <c r="F68" s="4993"/>
      <c r="G68" s="313"/>
      <c r="H68" s="4989"/>
      <c r="I68" s="4990"/>
      <c r="J68" s="4990"/>
      <c r="K68" s="4990"/>
      <c r="L68" s="4991"/>
      <c r="M68" s="2632"/>
      <c r="S68" s="306"/>
    </row>
    <row r="69" spans="1:19" ht="13.2" customHeight="1">
      <c r="A69" s="1057">
        <f>'Part V-Revenues &amp; Expenses'!B57</f>
        <v>0</v>
      </c>
      <c r="B69" s="1058">
        <f>'Part V-Revenues &amp; Expenses'!E57</f>
        <v>0</v>
      </c>
      <c r="C69" s="1059" t="str">
        <f>_xlfn.CONCAT('Part V-Revenues &amp; Expenses'!C57," / ",'Part V-Revenues &amp; Expenses'!D57)</f>
        <v xml:space="preserve"> / </v>
      </c>
      <c r="D69" s="1058">
        <f>'Part V-Revenues &amp; Expenses'!F57</f>
        <v>0</v>
      </c>
      <c r="E69" s="5022">
        <f>'Part V-Revenues &amp; Expenses'!H57</f>
        <v>0</v>
      </c>
      <c r="F69" s="5023"/>
      <c r="G69" s="1060"/>
      <c r="H69" s="4997"/>
      <c r="I69" s="4998"/>
      <c r="J69" s="4998"/>
      <c r="K69" s="4998"/>
      <c r="L69" s="4999"/>
      <c r="M69" s="2632"/>
      <c r="S69" s="306"/>
    </row>
    <row r="70" spans="1:19" ht="13.2" customHeight="1">
      <c r="C70" s="996"/>
      <c r="F70" s="2632"/>
      <c r="G70" s="2632"/>
      <c r="H70" s="2632"/>
      <c r="I70" s="2632"/>
      <c r="J70" s="2632"/>
      <c r="K70" s="995"/>
      <c r="L70" s="2632"/>
      <c r="M70" s="2632"/>
      <c r="S70" s="306"/>
    </row>
    <row r="71" spans="1:19" ht="13.2" customHeight="1">
      <c r="C71" s="996"/>
      <c r="F71" s="2632"/>
      <c r="G71" s="2632"/>
      <c r="H71" s="2632"/>
      <c r="I71" s="2632"/>
      <c r="J71" s="2632"/>
      <c r="K71" s="995"/>
      <c r="L71" s="2632"/>
      <c r="M71" s="2632"/>
      <c r="S71" s="306"/>
    </row>
    <row r="72" spans="1:19" ht="13.2" customHeight="1">
      <c r="C72" s="996"/>
      <c r="F72" s="2632"/>
      <c r="G72" s="2632"/>
      <c r="H72" s="2632"/>
      <c r="I72" s="2632"/>
      <c r="J72" s="2632"/>
      <c r="K72" s="995"/>
      <c r="L72" s="2632"/>
      <c r="M72" s="2632"/>
      <c r="S72" s="306"/>
    </row>
    <row r="73" spans="1:19" ht="13.2" customHeight="1">
      <c r="C73" s="996"/>
      <c r="F73" s="2632"/>
      <c r="G73" s="2632"/>
      <c r="H73" s="2632"/>
      <c r="I73" s="2632"/>
      <c r="J73" s="2632"/>
      <c r="K73" s="995"/>
      <c r="L73" s="2632"/>
      <c r="M73" s="2632"/>
      <c r="S73" s="306"/>
    </row>
    <row r="74" spans="1:19" ht="13.2" customHeight="1">
      <c r="C74" s="996"/>
      <c r="F74" s="2632"/>
      <c r="G74" s="2632"/>
      <c r="H74" s="2632"/>
      <c r="I74" s="2632"/>
      <c r="J74" s="2632"/>
      <c r="K74" s="995"/>
      <c r="L74" s="2632"/>
      <c r="M74" s="2632"/>
      <c r="S74" s="306"/>
    </row>
    <row r="75" spans="1:19" ht="13.2" customHeight="1">
      <c r="C75" s="996"/>
      <c r="F75" s="2632"/>
      <c r="G75" s="2632"/>
      <c r="H75" s="2632"/>
      <c r="I75" s="2632"/>
      <c r="J75" s="2632"/>
      <c r="K75" s="995"/>
      <c r="L75" s="2632"/>
      <c r="M75" s="2632"/>
      <c r="S75" s="306"/>
    </row>
    <row r="76" spans="1:19" ht="13.2" customHeight="1">
      <c r="C76" s="996"/>
      <c r="F76" s="2632"/>
      <c r="G76" s="2632"/>
      <c r="H76" s="2632"/>
      <c r="I76" s="2632"/>
      <c r="J76" s="2632"/>
      <c r="K76" s="995"/>
      <c r="L76" s="2632"/>
      <c r="M76" s="2632"/>
      <c r="S76" s="306"/>
    </row>
    <row r="77" spans="1:19" ht="13.2" customHeight="1">
      <c r="C77" s="996"/>
      <c r="F77" s="2632"/>
      <c r="G77" s="2632"/>
      <c r="H77" s="2632"/>
      <c r="I77" s="2632"/>
      <c r="J77" s="2632"/>
      <c r="K77" s="995"/>
      <c r="L77" s="2632"/>
      <c r="M77" s="2632"/>
      <c r="S77" s="306"/>
    </row>
    <row r="78" spans="1:19" ht="13.2" customHeight="1">
      <c r="C78" s="996"/>
      <c r="F78" s="2632"/>
      <c r="G78" s="2632"/>
      <c r="H78" s="2632"/>
      <c r="I78" s="2632"/>
      <c r="J78" s="2632"/>
      <c r="K78" s="995"/>
      <c r="L78" s="2632"/>
      <c r="M78" s="2632"/>
      <c r="S78" s="306"/>
    </row>
    <row r="79" spans="1:19" ht="13.2" customHeight="1">
      <c r="C79" s="996"/>
      <c r="F79" s="2632"/>
      <c r="G79" s="2632"/>
      <c r="H79" s="2632"/>
      <c r="I79" s="2632"/>
      <c r="J79" s="2632"/>
      <c r="K79" s="995"/>
      <c r="L79" s="2632"/>
      <c r="M79" s="2632"/>
      <c r="S79" s="306"/>
    </row>
    <row r="80" spans="1:19" ht="13.2" customHeight="1">
      <c r="C80" s="996"/>
      <c r="F80" s="2632"/>
      <c r="G80" s="2632"/>
      <c r="H80" s="2632"/>
      <c r="I80" s="2632"/>
      <c r="J80" s="2632"/>
      <c r="K80" s="995"/>
      <c r="L80" s="2632"/>
      <c r="M80" s="2632"/>
      <c r="S80" s="306"/>
    </row>
    <row r="81" spans="3:19" ht="13.2" customHeight="1">
      <c r="C81" s="996"/>
      <c r="F81" s="2632"/>
      <c r="G81" s="2632"/>
      <c r="H81" s="2632"/>
      <c r="I81" s="2632"/>
      <c r="J81" s="2632"/>
      <c r="K81" s="995"/>
      <c r="L81" s="2632"/>
      <c r="M81" s="2632"/>
      <c r="S81" s="306"/>
    </row>
    <row r="82" spans="3:19" ht="13.2" customHeight="1">
      <c r="C82" s="996"/>
      <c r="F82" s="2632"/>
      <c r="G82" s="2632"/>
      <c r="H82" s="2632"/>
      <c r="I82" s="2632"/>
      <c r="J82" s="2632"/>
      <c r="K82" s="995"/>
      <c r="L82" s="2632"/>
      <c r="M82" s="2632"/>
      <c r="S82" s="306"/>
    </row>
    <row r="83" spans="3:19" ht="13.2" customHeight="1">
      <c r="C83" s="996"/>
      <c r="F83" s="2632"/>
      <c r="G83" s="2632"/>
      <c r="H83" s="2632"/>
      <c r="I83" s="2632"/>
      <c r="J83" s="2632"/>
      <c r="K83" s="995"/>
      <c r="L83" s="2632"/>
      <c r="M83" s="2632"/>
      <c r="S83" s="306"/>
    </row>
    <row r="84" spans="3:19" ht="13.2" customHeight="1">
      <c r="C84" s="996"/>
      <c r="F84" s="2632"/>
      <c r="G84" s="2632"/>
      <c r="H84" s="2632"/>
      <c r="I84" s="2632"/>
      <c r="J84" s="2632"/>
      <c r="K84" s="995"/>
      <c r="L84" s="2632"/>
      <c r="M84" s="2632"/>
      <c r="S84" s="306"/>
    </row>
    <row r="85" spans="3:19" ht="13.2" customHeight="1">
      <c r="C85" s="996"/>
      <c r="F85" s="2632"/>
      <c r="G85" s="2632"/>
      <c r="H85" s="2632"/>
      <c r="I85" s="2632"/>
      <c r="J85" s="2632"/>
      <c r="K85" s="995"/>
      <c r="L85" s="2632"/>
      <c r="M85" s="2632"/>
      <c r="S85" s="306"/>
    </row>
    <row r="86" spans="3:19" ht="13.2" customHeight="1">
      <c r="C86" s="996"/>
      <c r="F86" s="2632"/>
      <c r="G86" s="2632"/>
      <c r="H86" s="2632"/>
      <c r="I86" s="2632"/>
      <c r="J86" s="2632"/>
      <c r="K86" s="995"/>
      <c r="L86" s="2632"/>
      <c r="M86" s="2632"/>
      <c r="S86" s="306"/>
    </row>
    <row r="87" spans="3:19" ht="13.2" customHeight="1">
      <c r="C87" s="996"/>
      <c r="F87" s="2632"/>
      <c r="G87" s="2632"/>
      <c r="H87" s="2632"/>
      <c r="I87" s="2632"/>
      <c r="J87" s="2632"/>
      <c r="K87" s="995"/>
      <c r="L87" s="2632"/>
      <c r="M87" s="2632"/>
      <c r="S87" s="306"/>
    </row>
    <row r="88" spans="3:19" ht="13.2" customHeight="1">
      <c r="C88" s="996"/>
      <c r="F88" s="2632"/>
      <c r="G88" s="2632"/>
      <c r="H88" s="2632"/>
      <c r="I88" s="2632"/>
      <c r="J88" s="2632"/>
      <c r="K88" s="995"/>
      <c r="L88" s="2632"/>
      <c r="M88" s="2632"/>
      <c r="S88" s="306"/>
    </row>
    <row r="89" spans="3:19" ht="13.2" customHeight="1">
      <c r="C89" s="996"/>
      <c r="F89" s="2632"/>
      <c r="G89" s="2632"/>
      <c r="H89" s="2632"/>
      <c r="I89" s="2632"/>
      <c r="J89" s="2632"/>
      <c r="K89" s="995"/>
      <c r="L89" s="2632"/>
      <c r="M89" s="2632"/>
      <c r="S89" s="306"/>
    </row>
    <row r="90" spans="3:19" ht="13.2" customHeight="1">
      <c r="C90" s="996"/>
      <c r="F90" s="2632"/>
      <c r="G90" s="2632"/>
      <c r="H90" s="2632"/>
      <c r="I90" s="2632"/>
      <c r="J90" s="2632"/>
      <c r="K90" s="995"/>
      <c r="L90" s="2632"/>
      <c r="M90" s="2632"/>
      <c r="S90" s="306"/>
    </row>
    <row r="91" spans="3:19" ht="13.2" customHeight="1">
      <c r="C91" s="996"/>
      <c r="F91" s="2632"/>
      <c r="G91" s="2632"/>
      <c r="H91" s="2632"/>
      <c r="I91" s="2632"/>
      <c r="J91" s="2632"/>
      <c r="K91" s="995"/>
      <c r="L91" s="2632"/>
      <c r="M91" s="2632"/>
      <c r="S91" s="306"/>
    </row>
    <row r="92" spans="3:19" ht="13.2" customHeight="1">
      <c r="C92" s="996"/>
      <c r="F92" s="2632"/>
      <c r="G92" s="2632"/>
      <c r="H92" s="2632"/>
      <c r="I92" s="2632"/>
      <c r="J92" s="2632"/>
      <c r="K92" s="995"/>
      <c r="L92" s="2632"/>
      <c r="M92" s="2632"/>
      <c r="S92" s="306"/>
    </row>
    <row r="93" spans="3:19" ht="13.2" customHeight="1">
      <c r="C93" s="996"/>
      <c r="F93" s="2632"/>
      <c r="G93" s="2632"/>
      <c r="H93" s="2632"/>
      <c r="I93" s="2632"/>
      <c r="J93" s="2632"/>
      <c r="K93" s="995"/>
      <c r="L93" s="2632"/>
      <c r="M93" s="2632"/>
      <c r="S93" s="306"/>
    </row>
    <row r="94" spans="3:19" ht="13.2" customHeight="1">
      <c r="C94" s="996"/>
      <c r="F94" s="2632"/>
      <c r="G94" s="2632"/>
      <c r="H94" s="2632"/>
      <c r="I94" s="2632"/>
      <c r="J94" s="2632"/>
      <c r="K94" s="995"/>
      <c r="L94" s="2632"/>
      <c r="M94" s="2632"/>
      <c r="S94" s="306"/>
    </row>
    <row r="95" spans="3:19" ht="13.2" customHeight="1">
      <c r="C95" s="996"/>
      <c r="F95" s="2632"/>
      <c r="G95" s="2632"/>
      <c r="H95" s="2632"/>
      <c r="I95" s="2632"/>
      <c r="J95" s="2632"/>
      <c r="K95" s="995"/>
      <c r="L95" s="2632"/>
      <c r="M95" s="2632"/>
      <c r="S95" s="306"/>
    </row>
    <row r="96" spans="3:19" ht="13.2" customHeight="1">
      <c r="C96" s="996"/>
      <c r="F96" s="2632"/>
      <c r="G96" s="2632"/>
      <c r="H96" s="2632"/>
      <c r="I96" s="2632"/>
      <c r="J96" s="2632"/>
      <c r="K96" s="995"/>
      <c r="L96" s="2632"/>
      <c r="M96" s="2632"/>
      <c r="S96" s="306"/>
    </row>
    <row r="97" spans="3:19" ht="13.2" customHeight="1">
      <c r="C97" s="996"/>
      <c r="F97" s="2632"/>
      <c r="G97" s="2632"/>
      <c r="H97" s="2632"/>
      <c r="I97" s="2632"/>
      <c r="J97" s="2632"/>
      <c r="K97" s="995"/>
      <c r="L97" s="2632"/>
      <c r="M97" s="2632"/>
      <c r="S97" s="306"/>
    </row>
    <row r="98" spans="3:19" ht="13.2" customHeight="1">
      <c r="C98" s="996"/>
      <c r="F98" s="2632"/>
      <c r="G98" s="2632"/>
      <c r="H98" s="2632"/>
      <c r="I98" s="2632"/>
      <c r="J98" s="2632"/>
      <c r="K98" s="995"/>
      <c r="L98" s="2632"/>
      <c r="M98" s="2632"/>
      <c r="S98" s="306"/>
    </row>
    <row r="99" spans="3:19" ht="13.2" customHeight="1">
      <c r="C99" s="996"/>
      <c r="F99" s="2632"/>
      <c r="G99" s="2632"/>
      <c r="H99" s="2632"/>
      <c r="I99" s="2632"/>
      <c r="J99" s="2632"/>
      <c r="K99" s="995"/>
      <c r="L99" s="2632"/>
      <c r="M99" s="2632"/>
      <c r="S99" s="306"/>
    </row>
    <row r="100" spans="3:19" ht="13.2" customHeight="1">
      <c r="C100" s="996"/>
      <c r="F100" s="2632"/>
      <c r="G100" s="2632"/>
      <c r="H100" s="2632"/>
      <c r="I100" s="2632"/>
      <c r="J100" s="2632"/>
      <c r="K100" s="995"/>
      <c r="L100" s="2632"/>
      <c r="M100" s="2632"/>
      <c r="S100" s="306"/>
    </row>
    <row r="101" spans="3:19" ht="13.2" customHeight="1">
      <c r="C101" s="996"/>
      <c r="F101" s="2632"/>
      <c r="G101" s="2632"/>
      <c r="H101" s="2632"/>
      <c r="I101" s="2632"/>
      <c r="J101" s="2632"/>
      <c r="K101" s="995"/>
      <c r="L101" s="2632"/>
      <c r="M101" s="2632"/>
      <c r="S101" s="306"/>
    </row>
    <row r="102" spans="3:19" ht="13.2" customHeight="1">
      <c r="C102" s="996"/>
      <c r="F102" s="2632"/>
      <c r="G102" s="2632"/>
      <c r="H102" s="2632"/>
      <c r="I102" s="2632"/>
      <c r="J102" s="2632"/>
      <c r="K102" s="995"/>
      <c r="L102" s="2632"/>
      <c r="M102" s="2632"/>
      <c r="S102" s="306"/>
    </row>
    <row r="103" spans="3:19" ht="13.2" customHeight="1">
      <c r="C103" s="996"/>
      <c r="F103" s="2632"/>
      <c r="G103" s="2632"/>
      <c r="H103" s="2632"/>
      <c r="I103" s="2632"/>
      <c r="J103" s="2632"/>
      <c r="K103" s="995"/>
      <c r="L103" s="2632"/>
      <c r="M103" s="2632"/>
      <c r="S103" s="306"/>
    </row>
    <row r="104" spans="3:19" ht="13.2" customHeight="1">
      <c r="C104" s="996"/>
      <c r="F104" s="2632"/>
      <c r="G104" s="2632"/>
      <c r="H104" s="2632"/>
      <c r="I104" s="2632"/>
      <c r="J104" s="2632"/>
      <c r="K104" s="995"/>
      <c r="L104" s="2632"/>
      <c r="M104" s="2632"/>
      <c r="S104" s="306"/>
    </row>
    <row r="105" spans="3:19" ht="13.2" customHeight="1">
      <c r="C105" s="996"/>
      <c r="F105" s="2632"/>
      <c r="G105" s="2632"/>
      <c r="H105" s="2632"/>
      <c r="I105" s="2632"/>
      <c r="J105" s="2632"/>
      <c r="K105" s="995"/>
      <c r="L105" s="2632"/>
      <c r="M105" s="2632"/>
      <c r="S105" s="306"/>
    </row>
    <row r="106" spans="3:19" ht="13.2" customHeight="1">
      <c r="C106" s="996"/>
      <c r="F106" s="2632"/>
      <c r="G106" s="2632"/>
      <c r="H106" s="2632"/>
      <c r="I106" s="2632"/>
      <c r="J106" s="2632"/>
      <c r="K106" s="995"/>
      <c r="L106" s="2632"/>
      <c r="M106" s="2632"/>
      <c r="S106" s="306"/>
    </row>
    <row r="107" spans="3:19" ht="13.2" customHeight="1">
      <c r="C107" s="996"/>
      <c r="F107" s="2632"/>
      <c r="G107" s="2632"/>
      <c r="H107" s="2632"/>
      <c r="I107" s="2632"/>
      <c r="J107" s="2632"/>
      <c r="K107" s="995"/>
      <c r="L107" s="2632"/>
      <c r="M107" s="2632"/>
      <c r="S107" s="306"/>
    </row>
    <row r="108" spans="3:19" ht="13.2" customHeight="1">
      <c r="C108" s="996" t="s">
        <v>7021</v>
      </c>
      <c r="F108" s="2632"/>
      <c r="G108" s="2632"/>
      <c r="H108" s="2632"/>
      <c r="I108" s="2632"/>
      <c r="J108" s="2632"/>
      <c r="K108" s="995"/>
      <c r="L108" s="2632"/>
      <c r="M108" s="2632"/>
      <c r="S108" s="306"/>
    </row>
    <row r="109" spans="3:19" ht="13.2" customHeight="1">
      <c r="C109" s="996"/>
      <c r="F109" s="2632"/>
      <c r="G109" s="2632"/>
      <c r="H109" s="2632"/>
      <c r="I109" s="2632"/>
      <c r="J109" s="2632"/>
      <c r="K109" s="995"/>
      <c r="L109" s="2632"/>
      <c r="M109" s="2632"/>
      <c r="S109" s="306"/>
    </row>
    <row r="110" spans="3:19" ht="13.2" customHeight="1">
      <c r="C110" s="996"/>
      <c r="F110" s="2632"/>
      <c r="G110" s="2632"/>
      <c r="H110" s="2632"/>
      <c r="I110" s="2632"/>
      <c r="J110" s="2632"/>
      <c r="K110" s="995"/>
      <c r="L110" s="2632"/>
      <c r="M110" s="2632"/>
      <c r="S110" s="306"/>
    </row>
    <row r="111" spans="3:19" ht="13.2" customHeight="1">
      <c r="C111" s="996"/>
      <c r="F111" s="2632"/>
      <c r="G111" s="2632"/>
      <c r="H111" s="2632"/>
      <c r="I111" s="2632"/>
      <c r="J111" s="2632"/>
      <c r="K111" s="995"/>
      <c r="L111" s="2632"/>
      <c r="M111" s="2632"/>
      <c r="S111" s="306"/>
    </row>
    <row r="112" spans="3:19" ht="13.2" customHeight="1">
      <c r="C112" s="996"/>
      <c r="F112" s="2632"/>
      <c r="G112" s="2632"/>
      <c r="H112" s="2632"/>
      <c r="I112" s="2632"/>
      <c r="J112" s="2632"/>
      <c r="K112" s="995"/>
      <c r="L112" s="2632"/>
      <c r="M112" s="2632"/>
      <c r="S112" s="306"/>
    </row>
    <row r="113" spans="3:19" ht="13.2" customHeight="1">
      <c r="C113" s="996"/>
      <c r="F113" s="2632"/>
      <c r="G113" s="2632"/>
      <c r="H113" s="2632"/>
      <c r="I113" s="2632"/>
      <c r="J113" s="2632"/>
      <c r="K113" s="995"/>
      <c r="L113" s="2632"/>
      <c r="M113" s="2632"/>
      <c r="S113" s="306"/>
    </row>
    <row r="114" spans="3:19" ht="13.2" customHeight="1">
      <c r="C114" s="996"/>
      <c r="F114" s="2632"/>
      <c r="G114" s="2632"/>
      <c r="H114" s="2632"/>
      <c r="I114" s="2632"/>
      <c r="J114" s="2632"/>
      <c r="K114" s="995"/>
      <c r="L114" s="2632"/>
      <c r="M114" s="2632"/>
      <c r="S114" s="306"/>
    </row>
    <row r="115" spans="3:19" ht="13.2" customHeight="1">
      <c r="C115" s="996"/>
      <c r="F115" s="2632"/>
      <c r="G115" s="2632"/>
      <c r="H115" s="2632"/>
      <c r="I115" s="2632"/>
      <c r="J115" s="2632"/>
      <c r="K115" s="995"/>
      <c r="L115" s="2632"/>
      <c r="M115" s="2632"/>
      <c r="S115" s="306"/>
    </row>
    <row r="116" spans="3:19" ht="13.2" customHeight="1">
      <c r="C116" s="996"/>
      <c r="F116" s="2632"/>
      <c r="G116" s="2632"/>
      <c r="H116" s="2632"/>
      <c r="I116" s="2632"/>
      <c r="J116" s="2632"/>
      <c r="K116" s="995"/>
      <c r="L116" s="2632"/>
      <c r="M116" s="2632"/>
      <c r="S116" s="306"/>
    </row>
    <row r="117" spans="3:19" ht="13.2" customHeight="1">
      <c r="C117" s="996"/>
      <c r="F117" s="2632"/>
      <c r="G117" s="2632"/>
      <c r="H117" s="2632"/>
      <c r="I117" s="2632"/>
      <c r="J117" s="2632"/>
      <c r="K117" s="995"/>
      <c r="L117" s="2632"/>
      <c r="M117" s="2632"/>
      <c r="S117" s="306"/>
    </row>
    <row r="118" spans="3:19" ht="13.2" customHeight="1">
      <c r="C118" s="996"/>
      <c r="F118" s="2632"/>
      <c r="G118" s="2632"/>
      <c r="H118" s="2632"/>
      <c r="I118" s="2632"/>
      <c r="J118" s="2632"/>
      <c r="K118" s="995"/>
      <c r="L118" s="2632"/>
      <c r="M118" s="2632"/>
      <c r="S118" s="306"/>
    </row>
    <row r="119" spans="3:19" ht="13.2" customHeight="1">
      <c r="C119" s="996"/>
      <c r="F119" s="2632"/>
      <c r="G119" s="2632"/>
      <c r="H119" s="2632"/>
      <c r="I119" s="2632"/>
      <c r="J119" s="2632"/>
      <c r="K119" s="995"/>
      <c r="L119" s="2632"/>
      <c r="M119" s="2632"/>
      <c r="S119" s="306"/>
    </row>
    <row r="120" spans="3:19" ht="13.2" customHeight="1">
      <c r="C120" s="996"/>
      <c r="F120" s="2632"/>
      <c r="G120" s="2632"/>
      <c r="H120" s="2632"/>
      <c r="I120" s="2632"/>
      <c r="J120" s="2632"/>
      <c r="K120" s="995"/>
      <c r="L120" s="2632"/>
      <c r="M120" s="2632"/>
      <c r="S120" s="306"/>
    </row>
    <row r="121" spans="3:19" ht="13.2" customHeight="1">
      <c r="C121" s="996"/>
      <c r="F121" s="2632"/>
      <c r="G121" s="2632"/>
      <c r="H121" s="2632"/>
      <c r="I121" s="2632"/>
      <c r="J121" s="2632"/>
      <c r="K121" s="995"/>
      <c r="L121" s="2632"/>
      <c r="M121" s="2632"/>
      <c r="S121" s="306"/>
    </row>
    <row r="122" spans="3:19" ht="13.2" customHeight="1">
      <c r="C122" s="996"/>
      <c r="F122" s="2632"/>
      <c r="G122" s="2632"/>
      <c r="H122" s="2632"/>
      <c r="I122" s="2632"/>
      <c r="J122" s="2632"/>
      <c r="K122" s="995"/>
      <c r="L122" s="2632"/>
      <c r="M122" s="2632"/>
      <c r="S122" s="306"/>
    </row>
    <row r="123" spans="3:19" ht="13.2" customHeight="1">
      <c r="C123" s="996"/>
      <c r="F123" s="2632"/>
      <c r="G123" s="2632"/>
      <c r="H123" s="2632"/>
      <c r="I123" s="2632"/>
      <c r="J123" s="2632"/>
      <c r="K123" s="995"/>
      <c r="L123" s="2632"/>
      <c r="M123" s="2632"/>
      <c r="S123" s="306"/>
    </row>
    <row r="124" spans="3:19" ht="13.2" customHeight="1">
      <c r="C124" s="996"/>
      <c r="F124" s="2632"/>
      <c r="G124" s="2632"/>
      <c r="H124" s="2632"/>
      <c r="I124" s="2632"/>
      <c r="J124" s="2632"/>
      <c r="K124" s="995"/>
      <c r="L124" s="2632"/>
      <c r="M124" s="2632"/>
      <c r="S124" s="306"/>
    </row>
    <row r="125" spans="3:19" ht="13.2" customHeight="1">
      <c r="C125" s="996"/>
      <c r="F125" s="2632"/>
      <c r="G125" s="2632"/>
      <c r="H125" s="2632"/>
      <c r="I125" s="2632"/>
      <c r="J125" s="2632"/>
      <c r="K125" s="995"/>
      <c r="L125" s="2632"/>
      <c r="M125" s="2632"/>
      <c r="S125" s="306"/>
    </row>
    <row r="126" spans="3:19" ht="13.2" customHeight="1">
      <c r="C126" s="996"/>
      <c r="F126" s="2632"/>
      <c r="G126" s="2632"/>
      <c r="H126" s="2632"/>
      <c r="I126" s="2632"/>
      <c r="J126" s="2632"/>
      <c r="K126" s="995"/>
      <c r="L126" s="2632"/>
      <c r="M126" s="2632"/>
      <c r="S126" s="306"/>
    </row>
    <row r="127" spans="3:19" ht="13.2" customHeight="1">
      <c r="C127" s="996"/>
      <c r="F127" s="2632"/>
      <c r="G127" s="2632"/>
      <c r="H127" s="2632"/>
      <c r="I127" s="2632"/>
      <c r="J127" s="2632"/>
      <c r="K127" s="995"/>
      <c r="L127" s="2632"/>
      <c r="M127" s="2632"/>
      <c r="S127" s="306"/>
    </row>
    <row r="128" spans="3:19" ht="13.2" customHeight="1">
      <c r="C128" s="996"/>
      <c r="F128" s="2632"/>
      <c r="G128" s="2632"/>
      <c r="H128" s="2632"/>
      <c r="I128" s="2632"/>
      <c r="J128" s="2632"/>
      <c r="K128" s="995"/>
      <c r="L128" s="2632"/>
      <c r="M128" s="2632"/>
      <c r="S128" s="306"/>
    </row>
    <row r="129" spans="3:19" ht="13.2" customHeight="1">
      <c r="C129" s="996"/>
      <c r="F129" s="2632"/>
      <c r="G129" s="2632"/>
      <c r="H129" s="2632"/>
      <c r="I129" s="2632"/>
      <c r="J129" s="2632"/>
      <c r="K129" s="995"/>
      <c r="L129" s="2632"/>
      <c r="M129" s="2632"/>
      <c r="S129" s="306"/>
    </row>
    <row r="130" spans="3:19" ht="13.2" customHeight="1">
      <c r="C130" s="996"/>
      <c r="F130" s="2632"/>
      <c r="G130" s="2632"/>
      <c r="H130" s="2632"/>
      <c r="I130" s="2632"/>
      <c r="J130" s="2632"/>
      <c r="K130" s="995"/>
      <c r="L130" s="2632"/>
      <c r="M130" s="2632"/>
      <c r="S130" s="306"/>
    </row>
    <row r="131" spans="3:19" ht="13.2" customHeight="1">
      <c r="C131" s="996"/>
      <c r="F131" s="2632"/>
      <c r="G131" s="2632"/>
      <c r="H131" s="2632"/>
      <c r="I131" s="2632"/>
      <c r="J131" s="2632"/>
      <c r="K131" s="995"/>
      <c r="L131" s="2632"/>
      <c r="M131" s="2632"/>
      <c r="S131" s="306"/>
    </row>
    <row r="132" spans="3:19" ht="13.2" customHeight="1">
      <c r="C132" s="996"/>
      <c r="F132" s="2632"/>
      <c r="G132" s="2632"/>
      <c r="H132" s="2632"/>
      <c r="I132" s="2632"/>
      <c r="J132" s="2632"/>
      <c r="K132" s="995"/>
      <c r="L132" s="2632"/>
      <c r="M132" s="2632"/>
      <c r="S132" s="306"/>
    </row>
    <row r="133" spans="3:19" ht="13.2" customHeight="1">
      <c r="C133" s="996"/>
      <c r="F133" s="2632"/>
      <c r="G133" s="2632"/>
      <c r="H133" s="2632"/>
      <c r="I133" s="2632"/>
      <c r="J133" s="2632"/>
      <c r="K133" s="995"/>
      <c r="L133" s="2632"/>
      <c r="M133" s="2632"/>
      <c r="S133" s="306"/>
    </row>
    <row r="134" spans="3:19" ht="13.2" customHeight="1">
      <c r="C134" s="996"/>
      <c r="F134" s="2632"/>
      <c r="G134" s="2632"/>
      <c r="H134" s="2632"/>
      <c r="I134" s="2632"/>
      <c r="J134" s="2632"/>
      <c r="K134" s="995"/>
      <c r="L134" s="2632"/>
      <c r="M134" s="2632"/>
      <c r="S134" s="306"/>
    </row>
    <row r="135" spans="3:19" ht="13.2" customHeight="1">
      <c r="C135" s="996"/>
      <c r="F135" s="2632"/>
      <c r="G135" s="2632"/>
      <c r="H135" s="2632"/>
      <c r="I135" s="2632"/>
      <c r="J135" s="2632"/>
      <c r="K135" s="995"/>
      <c r="L135" s="2632"/>
      <c r="M135" s="2632"/>
      <c r="S135" s="306"/>
    </row>
    <row r="136" spans="3:19" ht="13.2" customHeight="1">
      <c r="C136" s="996"/>
      <c r="F136" s="2632"/>
      <c r="G136" s="2632"/>
      <c r="H136" s="2632"/>
      <c r="I136" s="2632"/>
      <c r="J136" s="2632"/>
      <c r="K136" s="995"/>
      <c r="L136" s="2632"/>
      <c r="M136" s="2632"/>
      <c r="S136" s="306"/>
    </row>
    <row r="137" spans="3:19" ht="13.2" customHeight="1">
      <c r="C137" s="996"/>
      <c r="F137" s="2632"/>
      <c r="G137" s="2632"/>
      <c r="H137" s="2632"/>
      <c r="I137" s="2632"/>
      <c r="J137" s="2632"/>
      <c r="K137" s="995"/>
      <c r="L137" s="2632"/>
      <c r="M137" s="2632"/>
      <c r="S137" s="306"/>
    </row>
    <row r="138" spans="3:19" ht="13.2" customHeight="1">
      <c r="C138" s="996"/>
      <c r="F138" s="2632"/>
      <c r="G138" s="2632"/>
      <c r="H138" s="2632"/>
      <c r="I138" s="2632"/>
      <c r="J138" s="2632"/>
      <c r="K138" s="995"/>
      <c r="L138" s="2632"/>
      <c r="M138" s="2632"/>
      <c r="S138" s="306"/>
    </row>
    <row r="139" spans="3:19" ht="13.2" customHeight="1">
      <c r="C139" s="996"/>
      <c r="F139" s="2632"/>
      <c r="G139" s="2632"/>
      <c r="H139" s="2632"/>
      <c r="I139" s="2632"/>
      <c r="J139" s="2632"/>
      <c r="K139" s="995"/>
      <c r="L139" s="2632"/>
      <c r="M139" s="2632"/>
      <c r="S139" s="306"/>
    </row>
    <row r="140" spans="3:19" ht="13.2" customHeight="1">
      <c r="C140" s="996"/>
      <c r="F140" s="2632"/>
      <c r="G140" s="2632"/>
      <c r="H140" s="2632"/>
      <c r="I140" s="2632"/>
      <c r="J140" s="2632"/>
      <c r="K140" s="995"/>
      <c r="L140" s="2632"/>
      <c r="M140" s="2632"/>
      <c r="S140" s="306"/>
    </row>
    <row r="141" spans="3:19" ht="13.2" customHeight="1">
      <c r="C141" s="996"/>
      <c r="F141" s="2632"/>
      <c r="G141" s="2632"/>
      <c r="H141" s="2632"/>
      <c r="I141" s="2632"/>
      <c r="J141" s="2632"/>
      <c r="K141" s="995"/>
      <c r="L141" s="2632"/>
      <c r="M141" s="2632"/>
      <c r="S141" s="306"/>
    </row>
    <row r="142" spans="3:19" ht="13.2" customHeight="1">
      <c r="C142" s="996"/>
      <c r="F142" s="2632"/>
      <c r="G142" s="2632"/>
      <c r="H142" s="2632"/>
      <c r="I142" s="2632"/>
      <c r="J142" s="2632"/>
      <c r="K142" s="995"/>
      <c r="L142" s="2632"/>
      <c r="M142" s="2632"/>
      <c r="S142" s="306"/>
    </row>
    <row r="143" spans="3:19" ht="13.2" customHeight="1">
      <c r="C143" s="996"/>
      <c r="F143" s="2632"/>
      <c r="G143" s="2632"/>
      <c r="H143" s="2632"/>
      <c r="I143" s="2632"/>
      <c r="J143" s="2632"/>
      <c r="K143" s="995"/>
      <c r="L143" s="2632"/>
      <c r="M143" s="2632"/>
      <c r="S143" s="306"/>
    </row>
    <row r="144" spans="3:19" ht="13.2" customHeight="1">
      <c r="C144" s="996"/>
      <c r="F144" s="2632"/>
      <c r="G144" s="2632"/>
      <c r="H144" s="2632"/>
      <c r="I144" s="2632"/>
      <c r="J144" s="2632"/>
      <c r="K144" s="995"/>
      <c r="L144" s="2632"/>
      <c r="M144" s="2632"/>
      <c r="S144" s="306"/>
    </row>
    <row r="145" spans="3:19" ht="13.2" customHeight="1">
      <c r="C145" s="996"/>
      <c r="F145" s="2632"/>
      <c r="G145" s="2632"/>
      <c r="H145" s="2632"/>
      <c r="I145" s="2632"/>
      <c r="J145" s="2632"/>
      <c r="K145" s="995"/>
      <c r="L145" s="2632"/>
      <c r="M145" s="2632"/>
      <c r="S145" s="306"/>
    </row>
    <row r="146" spans="3:19" ht="13.2" customHeight="1">
      <c r="C146" s="996"/>
      <c r="F146" s="2632"/>
      <c r="G146" s="2632"/>
      <c r="H146" s="2632"/>
      <c r="I146" s="2632"/>
      <c r="J146" s="2632"/>
      <c r="K146" s="995"/>
      <c r="L146" s="2632"/>
      <c r="M146" s="2632"/>
      <c r="S146" s="306"/>
    </row>
    <row r="147" spans="3:19" ht="13.2" customHeight="1">
      <c r="C147" s="996"/>
      <c r="F147" s="2632"/>
      <c r="G147" s="2632"/>
      <c r="H147" s="2632"/>
      <c r="I147" s="2632"/>
      <c r="J147" s="2632"/>
      <c r="K147" s="995"/>
      <c r="L147" s="2632"/>
      <c r="M147" s="2632"/>
      <c r="S147" s="306"/>
    </row>
    <row r="148" spans="3:19" ht="13.2" customHeight="1">
      <c r="C148" s="996"/>
      <c r="F148" s="2632"/>
      <c r="G148" s="2632"/>
      <c r="H148" s="2632"/>
      <c r="I148" s="2632"/>
      <c r="J148" s="2632"/>
      <c r="K148" s="995"/>
      <c r="L148" s="2632"/>
      <c r="M148" s="2632"/>
      <c r="S148" s="306"/>
    </row>
    <row r="149" spans="3:19" ht="13.2" customHeight="1">
      <c r="C149" s="996"/>
      <c r="F149" s="2632"/>
      <c r="G149" s="2632"/>
      <c r="H149" s="2632"/>
      <c r="I149" s="2632"/>
      <c r="J149" s="2632"/>
      <c r="K149" s="995"/>
      <c r="L149" s="2632"/>
      <c r="M149" s="2632"/>
      <c r="S149" s="306"/>
    </row>
    <row r="150" spans="3:19" ht="13.2" customHeight="1">
      <c r="C150" s="996"/>
      <c r="F150" s="2632"/>
      <c r="G150" s="2632"/>
      <c r="H150" s="2632"/>
      <c r="I150" s="2632"/>
      <c r="J150" s="2632"/>
      <c r="K150" s="995"/>
      <c r="L150" s="2632"/>
      <c r="M150" s="2632"/>
      <c r="S150" s="306"/>
    </row>
    <row r="151" spans="3:19" ht="13.2" customHeight="1">
      <c r="C151" s="996"/>
      <c r="F151" s="2632"/>
      <c r="G151" s="2632"/>
      <c r="H151" s="2632"/>
      <c r="I151" s="2632"/>
      <c r="J151" s="2632"/>
      <c r="K151" s="995"/>
      <c r="L151" s="2632"/>
      <c r="M151" s="2632"/>
      <c r="S151" s="306"/>
    </row>
    <row r="152" spans="3:19" ht="13.2" customHeight="1">
      <c r="C152" s="996"/>
      <c r="F152" s="2632"/>
      <c r="G152" s="2632"/>
      <c r="H152" s="2632"/>
      <c r="I152" s="2632"/>
      <c r="J152" s="2632"/>
      <c r="K152" s="995"/>
      <c r="L152" s="2632"/>
      <c r="M152" s="2632"/>
      <c r="S152" s="306"/>
    </row>
    <row r="153" spans="3:19" ht="13.2" customHeight="1">
      <c r="C153" s="996"/>
      <c r="F153" s="2632"/>
      <c r="G153" s="2632"/>
      <c r="H153" s="2632"/>
      <c r="I153" s="2632"/>
      <c r="J153" s="2632"/>
      <c r="K153" s="995"/>
      <c r="L153" s="2632"/>
      <c r="M153" s="2632"/>
      <c r="S153" s="306"/>
    </row>
    <row r="154" spans="3:19" ht="13.2" customHeight="1">
      <c r="C154" s="996"/>
      <c r="F154" s="2632"/>
      <c r="G154" s="2632"/>
      <c r="H154" s="2632"/>
      <c r="I154" s="2632"/>
      <c r="J154" s="2632"/>
      <c r="K154" s="995"/>
      <c r="L154" s="2632"/>
      <c r="M154" s="2632"/>
      <c r="S154" s="306"/>
    </row>
    <row r="155" spans="3:19" ht="13.2" customHeight="1">
      <c r="C155" s="996"/>
      <c r="F155" s="2632"/>
      <c r="G155" s="2632"/>
      <c r="H155" s="2632"/>
      <c r="I155" s="2632"/>
      <c r="J155" s="2632"/>
      <c r="K155" s="995"/>
      <c r="L155" s="2632"/>
      <c r="M155" s="2632"/>
      <c r="S155" s="306"/>
    </row>
    <row r="156" spans="3:19" ht="13.2" customHeight="1">
      <c r="C156" s="996"/>
      <c r="F156" s="2632"/>
      <c r="G156" s="2632"/>
      <c r="H156" s="2632"/>
      <c r="I156" s="2632"/>
      <c r="J156" s="2632"/>
      <c r="K156" s="995"/>
      <c r="L156" s="2632"/>
      <c r="M156" s="2632"/>
      <c r="S156" s="306"/>
    </row>
    <row r="157" spans="3:19" ht="13.2" customHeight="1">
      <c r="C157" s="996"/>
      <c r="F157" s="2632"/>
      <c r="G157" s="2632"/>
      <c r="H157" s="2632"/>
      <c r="I157" s="2632"/>
      <c r="J157" s="2632"/>
      <c r="K157" s="995"/>
      <c r="L157" s="2632"/>
      <c r="M157" s="2632"/>
      <c r="S157" s="306"/>
    </row>
    <row r="158" spans="3:19" ht="13.2" customHeight="1">
      <c r="C158" s="996"/>
      <c r="F158" s="2632"/>
      <c r="G158" s="2632"/>
      <c r="H158" s="2632"/>
      <c r="I158" s="2632"/>
      <c r="J158" s="2632"/>
      <c r="K158" s="995"/>
      <c r="L158" s="2632"/>
      <c r="M158" s="2632"/>
      <c r="S158" s="306"/>
    </row>
    <row r="159" spans="3:19" ht="13.2" customHeight="1">
      <c r="C159" s="996"/>
      <c r="F159" s="2632"/>
      <c r="G159" s="2632"/>
      <c r="H159" s="2632"/>
      <c r="I159" s="2632"/>
      <c r="J159" s="2632"/>
      <c r="K159" s="995"/>
      <c r="L159" s="2632"/>
      <c r="M159" s="2632"/>
      <c r="S159" s="306"/>
    </row>
    <row r="160" spans="3:19" ht="13.2" customHeight="1">
      <c r="C160" s="996"/>
      <c r="F160" s="2632"/>
      <c r="G160" s="2632"/>
      <c r="H160" s="2632"/>
      <c r="I160" s="2632"/>
      <c r="J160" s="2632"/>
      <c r="K160" s="995"/>
      <c r="L160" s="2632"/>
      <c r="M160" s="2632"/>
      <c r="S160" s="306"/>
    </row>
    <row r="161" spans="3:19" ht="13.2" customHeight="1">
      <c r="C161" s="996"/>
      <c r="F161" s="2632"/>
      <c r="G161" s="2632"/>
      <c r="H161" s="2632"/>
      <c r="I161" s="2632"/>
      <c r="J161" s="2632"/>
      <c r="K161" s="995"/>
      <c r="L161" s="2632"/>
      <c r="M161" s="2632"/>
      <c r="S161" s="306"/>
    </row>
    <row r="162" spans="3:19" ht="13.2" customHeight="1">
      <c r="C162" s="996"/>
      <c r="F162" s="2632"/>
      <c r="G162" s="2632"/>
      <c r="H162" s="2632"/>
      <c r="I162" s="2632"/>
      <c r="J162" s="2632"/>
      <c r="K162" s="995"/>
      <c r="L162" s="2632"/>
      <c r="M162" s="2632"/>
      <c r="S162" s="306"/>
    </row>
    <row r="163" spans="3:19" ht="13.2" customHeight="1">
      <c r="C163" s="996"/>
      <c r="F163" s="2632"/>
      <c r="G163" s="2632"/>
      <c r="H163" s="2632"/>
      <c r="I163" s="2632"/>
      <c r="J163" s="2632"/>
      <c r="K163" s="995"/>
      <c r="L163" s="2632"/>
      <c r="M163" s="2632"/>
      <c r="S163" s="306"/>
    </row>
    <row r="164" spans="3:19" ht="13.2" customHeight="1">
      <c r="C164" s="996"/>
      <c r="F164" s="2632"/>
      <c r="G164" s="2632"/>
      <c r="H164" s="2632"/>
      <c r="I164" s="2632"/>
      <c r="J164" s="2632"/>
      <c r="K164" s="995"/>
      <c r="L164" s="2632"/>
      <c r="M164" s="2632"/>
      <c r="S164" s="306"/>
    </row>
    <row r="165" spans="3:19" ht="13.2" customHeight="1">
      <c r="C165" s="996"/>
      <c r="F165" s="2632"/>
      <c r="G165" s="2632"/>
      <c r="H165" s="2632"/>
      <c r="I165" s="2632"/>
      <c r="J165" s="2632"/>
      <c r="K165" s="995"/>
      <c r="L165" s="2632"/>
      <c r="M165" s="2632"/>
      <c r="S165" s="306"/>
    </row>
    <row r="166" spans="3:19" ht="13.2" customHeight="1">
      <c r="C166" s="996"/>
      <c r="F166" s="2632"/>
      <c r="G166" s="2632"/>
      <c r="H166" s="2632"/>
      <c r="I166" s="2632"/>
      <c r="J166" s="2632"/>
      <c r="K166" s="995"/>
      <c r="L166" s="2632"/>
      <c r="M166" s="2632"/>
      <c r="S166" s="306"/>
    </row>
    <row r="167" spans="3:19" ht="13.2" customHeight="1">
      <c r="C167" s="996"/>
      <c r="F167" s="2632"/>
      <c r="G167" s="2632"/>
      <c r="H167" s="2632"/>
      <c r="I167" s="2632"/>
      <c r="J167" s="2632"/>
      <c r="K167" s="995"/>
      <c r="L167" s="2632"/>
      <c r="M167" s="2632"/>
      <c r="S167" s="306"/>
    </row>
    <row r="168" spans="3:19" ht="13.2" customHeight="1">
      <c r="C168" s="996"/>
      <c r="F168" s="2632"/>
      <c r="G168" s="2632"/>
      <c r="H168" s="2632"/>
      <c r="I168" s="2632"/>
      <c r="J168" s="2632"/>
      <c r="K168" s="995"/>
      <c r="L168" s="2632"/>
      <c r="M168" s="2632"/>
      <c r="S168" s="306"/>
    </row>
    <row r="169" spans="3:19" ht="13.2" customHeight="1">
      <c r="C169" s="996"/>
      <c r="F169" s="2632"/>
      <c r="G169" s="2632"/>
      <c r="H169" s="2632"/>
      <c r="I169" s="2632"/>
      <c r="J169" s="2632"/>
      <c r="K169" s="995"/>
      <c r="L169" s="2632"/>
      <c r="M169" s="2632"/>
      <c r="S169" s="306"/>
    </row>
    <row r="170" spans="3:19" ht="13.2" customHeight="1">
      <c r="C170" s="996"/>
      <c r="F170" s="2632"/>
      <c r="G170" s="2632"/>
      <c r="H170" s="2632"/>
      <c r="I170" s="2632"/>
      <c r="J170" s="2632"/>
      <c r="K170" s="995"/>
      <c r="L170" s="2632"/>
      <c r="M170" s="2632"/>
      <c r="S170" s="306"/>
    </row>
    <row r="171" spans="3:19" ht="13.2" customHeight="1">
      <c r="C171" s="996"/>
      <c r="F171" s="2632"/>
      <c r="G171" s="2632"/>
      <c r="H171" s="2632"/>
      <c r="I171" s="2632"/>
      <c r="J171" s="2632"/>
      <c r="K171" s="995"/>
      <c r="L171" s="2632"/>
      <c r="M171" s="2632"/>
      <c r="S171" s="306"/>
    </row>
    <row r="172" spans="3:19" ht="13.2" customHeight="1">
      <c r="C172" s="996"/>
      <c r="F172" s="2632"/>
      <c r="G172" s="2632"/>
      <c r="H172" s="2632"/>
      <c r="I172" s="2632"/>
      <c r="J172" s="2632"/>
      <c r="K172" s="995"/>
      <c r="L172" s="2632"/>
      <c r="M172" s="2632"/>
      <c r="S172" s="306"/>
    </row>
    <row r="173" spans="3:19" ht="13.2" customHeight="1">
      <c r="C173" s="996"/>
      <c r="F173" s="2632"/>
      <c r="G173" s="2632"/>
      <c r="H173" s="2632"/>
      <c r="I173" s="2632"/>
      <c r="J173" s="2632"/>
      <c r="K173" s="995"/>
      <c r="L173" s="2632"/>
      <c r="M173" s="2632"/>
      <c r="S173" s="306"/>
    </row>
    <row r="174" spans="3:19" ht="13.2" customHeight="1">
      <c r="C174" s="996"/>
      <c r="F174" s="2632"/>
      <c r="G174" s="2632"/>
      <c r="H174" s="2632"/>
      <c r="I174" s="2632"/>
      <c r="J174" s="2632"/>
      <c r="K174" s="995"/>
      <c r="L174" s="2632"/>
      <c r="M174" s="2632"/>
      <c r="S174" s="306"/>
    </row>
    <row r="175" spans="3:19" ht="13.2" customHeight="1">
      <c r="C175" s="996"/>
      <c r="F175" s="2632"/>
      <c r="G175" s="2632"/>
      <c r="H175" s="2632"/>
      <c r="I175" s="2632"/>
      <c r="J175" s="2632"/>
      <c r="K175" s="995"/>
      <c r="L175" s="2632"/>
      <c r="M175" s="2632"/>
      <c r="S175" s="306"/>
    </row>
    <row r="176" spans="3:19" ht="13.2" customHeight="1">
      <c r="C176" s="996"/>
      <c r="F176" s="2632"/>
      <c r="G176" s="2632"/>
      <c r="H176" s="2632"/>
      <c r="I176" s="2632"/>
      <c r="J176" s="2632"/>
      <c r="K176" s="995"/>
      <c r="L176" s="2632"/>
      <c r="M176" s="2632"/>
      <c r="S176" s="306"/>
    </row>
    <row r="177" spans="3:19" ht="13.2" customHeight="1">
      <c r="C177" s="996"/>
      <c r="F177" s="2632"/>
      <c r="G177" s="2632"/>
      <c r="H177" s="2632"/>
      <c r="I177" s="2632"/>
      <c r="J177" s="2632"/>
      <c r="K177" s="995"/>
      <c r="L177" s="2632"/>
      <c r="M177" s="2632"/>
      <c r="S177" s="306"/>
    </row>
    <row r="178" spans="3:19" ht="13.2" customHeight="1">
      <c r="C178" s="996"/>
      <c r="F178" s="2632"/>
      <c r="G178" s="2632"/>
      <c r="H178" s="2632"/>
      <c r="I178" s="2632"/>
      <c r="J178" s="2632"/>
      <c r="K178" s="995"/>
      <c r="L178" s="2632"/>
      <c r="M178" s="2632"/>
      <c r="S178" s="306"/>
    </row>
    <row r="179" spans="3:19" ht="13.2" customHeight="1">
      <c r="C179" s="996"/>
      <c r="F179" s="2632"/>
      <c r="G179" s="2632"/>
      <c r="H179" s="2632"/>
      <c r="I179" s="2632"/>
      <c r="J179" s="2632"/>
      <c r="K179" s="995"/>
      <c r="L179" s="2632"/>
      <c r="M179" s="2632"/>
      <c r="S179" s="306"/>
    </row>
    <row r="180" spans="3:19" ht="13.2" customHeight="1">
      <c r="C180" s="996"/>
      <c r="F180" s="2632"/>
      <c r="G180" s="2632"/>
      <c r="H180" s="2632"/>
      <c r="I180" s="2632"/>
      <c r="J180" s="2632"/>
      <c r="K180" s="995"/>
      <c r="L180" s="2632"/>
      <c r="M180" s="2632"/>
      <c r="S180" s="306"/>
    </row>
    <row r="181" spans="3:19" ht="13.2" customHeight="1">
      <c r="C181" s="996"/>
      <c r="F181" s="2632"/>
      <c r="G181" s="2632"/>
      <c r="H181" s="2632"/>
      <c r="I181" s="2632"/>
      <c r="J181" s="2632"/>
      <c r="K181" s="995"/>
      <c r="L181" s="2632"/>
      <c r="M181" s="2632"/>
      <c r="S181" s="306"/>
    </row>
    <row r="182" spans="3:19" ht="13.2" customHeight="1">
      <c r="C182" s="996"/>
      <c r="F182" s="2632"/>
      <c r="G182" s="2632"/>
      <c r="H182" s="2632"/>
      <c r="I182" s="2632"/>
      <c r="J182" s="2632"/>
      <c r="K182" s="995"/>
      <c r="L182" s="2632"/>
      <c r="M182" s="2632"/>
      <c r="S182" s="306"/>
    </row>
    <row r="183" spans="3:19" ht="13.2" customHeight="1">
      <c r="C183" s="996"/>
      <c r="F183" s="2632"/>
      <c r="G183" s="2632"/>
      <c r="H183" s="2632"/>
      <c r="I183" s="2632"/>
      <c r="J183" s="2632"/>
      <c r="K183" s="995"/>
      <c r="L183" s="2632"/>
      <c r="M183" s="2632"/>
      <c r="S183" s="306"/>
    </row>
    <row r="184" spans="3:19" ht="13.2" customHeight="1">
      <c r="C184" s="996"/>
      <c r="F184" s="2632"/>
      <c r="G184" s="2632"/>
      <c r="H184" s="2632"/>
      <c r="I184" s="2632"/>
      <c r="J184" s="2632"/>
      <c r="K184" s="995"/>
      <c r="L184" s="2632"/>
      <c r="M184" s="2632"/>
      <c r="S184" s="306"/>
    </row>
    <row r="185" spans="3:19" ht="13.2" customHeight="1">
      <c r="C185" s="996"/>
      <c r="F185" s="2632"/>
      <c r="G185" s="2632"/>
      <c r="H185" s="2632"/>
      <c r="I185" s="2632"/>
      <c r="J185" s="2632"/>
      <c r="K185" s="995"/>
      <c r="L185" s="2632"/>
      <c r="M185" s="2632"/>
      <c r="S185" s="306"/>
    </row>
    <row r="186" spans="3:19" ht="13.2" customHeight="1">
      <c r="C186" s="996"/>
      <c r="F186" s="2632"/>
      <c r="G186" s="2632"/>
      <c r="H186" s="2632"/>
      <c r="I186" s="2632"/>
      <c r="J186" s="2632"/>
      <c r="K186" s="995"/>
      <c r="L186" s="2632"/>
      <c r="M186" s="2632"/>
      <c r="S186" s="306"/>
    </row>
    <row r="187" spans="3:19" ht="13.2" customHeight="1">
      <c r="C187" s="996" t="s">
        <v>7021</v>
      </c>
      <c r="F187" s="2632"/>
      <c r="G187" s="2632"/>
      <c r="H187" s="2632"/>
      <c r="I187" s="2632"/>
      <c r="J187" s="2632"/>
      <c r="K187" s="995"/>
      <c r="L187" s="2632"/>
      <c r="M187" s="2632"/>
      <c r="S187" s="306"/>
    </row>
    <row r="188" spans="3:19" ht="13.2" customHeight="1">
      <c r="C188" s="996"/>
      <c r="F188" s="2632"/>
      <c r="G188" s="2632"/>
      <c r="H188" s="2632"/>
      <c r="I188" s="2632"/>
      <c r="J188" s="2632"/>
      <c r="K188" s="995"/>
      <c r="L188" s="2632"/>
      <c r="M188" s="2632"/>
      <c r="S188" s="306"/>
    </row>
    <row r="189" spans="3:19" ht="13.2" customHeight="1">
      <c r="C189" s="996"/>
      <c r="F189" s="2632"/>
      <c r="G189" s="2632"/>
      <c r="H189" s="2632"/>
      <c r="I189" s="2632"/>
      <c r="J189" s="2632"/>
      <c r="K189" s="995"/>
      <c r="L189" s="2632"/>
      <c r="M189" s="2632"/>
      <c r="S189" s="306"/>
    </row>
    <row r="190" spans="3:19" ht="13.2" customHeight="1">
      <c r="C190" s="996"/>
      <c r="F190" s="2632"/>
      <c r="G190" s="2632"/>
      <c r="H190" s="2632"/>
      <c r="I190" s="2632"/>
      <c r="J190" s="2632"/>
      <c r="K190" s="995"/>
      <c r="L190" s="2632"/>
      <c r="M190" s="2632"/>
      <c r="S190" s="306"/>
    </row>
    <row r="191" spans="3:19" ht="13.2" customHeight="1">
      <c r="C191" s="996"/>
      <c r="F191" s="2632"/>
      <c r="G191" s="2632"/>
      <c r="H191" s="2632"/>
      <c r="I191" s="2632"/>
      <c r="J191" s="2632"/>
      <c r="K191" s="995"/>
      <c r="L191" s="2632"/>
      <c r="M191" s="2632"/>
      <c r="S191" s="306"/>
    </row>
    <row r="192" spans="3:19" ht="13.2" customHeight="1">
      <c r="C192" s="996"/>
      <c r="F192" s="2632"/>
      <c r="G192" s="2632"/>
      <c r="H192" s="2632"/>
      <c r="I192" s="2632"/>
      <c r="J192" s="2632"/>
      <c r="K192" s="995"/>
      <c r="L192" s="2632"/>
      <c r="M192" s="2632"/>
      <c r="S192" s="306"/>
    </row>
    <row r="193" spans="3:19" ht="13.2" customHeight="1">
      <c r="C193" s="996"/>
      <c r="F193" s="401"/>
      <c r="G193" s="401"/>
      <c r="H193" s="401"/>
      <c r="I193" s="401"/>
      <c r="J193" s="401"/>
      <c r="K193" s="995"/>
      <c r="L193" s="401"/>
      <c r="M193" s="401"/>
      <c r="S193" s="306"/>
    </row>
    <row r="194" spans="3:19" ht="13.2" customHeight="1">
      <c r="C194" s="996"/>
      <c r="F194" s="401"/>
      <c r="G194" s="401"/>
      <c r="H194" s="401"/>
      <c r="I194" s="401"/>
      <c r="J194" s="401"/>
      <c r="K194" s="995"/>
      <c r="L194" s="401"/>
      <c r="M194" s="401"/>
      <c r="S194" s="306"/>
    </row>
    <row r="195" spans="3:19" ht="13.2" customHeight="1">
      <c r="C195" s="996"/>
      <c r="F195" s="401"/>
      <c r="G195" s="401"/>
      <c r="H195" s="401"/>
      <c r="I195" s="401"/>
      <c r="J195" s="401"/>
      <c r="K195" s="995"/>
      <c r="L195" s="401"/>
      <c r="M195" s="401"/>
      <c r="S195" s="306"/>
    </row>
    <row r="196" spans="3:19" ht="13.2" customHeight="1">
      <c r="C196" s="996"/>
      <c r="F196" s="401"/>
      <c r="G196" s="401"/>
      <c r="H196" s="401"/>
      <c r="I196" s="401"/>
      <c r="J196" s="401"/>
      <c r="K196" s="995"/>
      <c r="L196" s="401"/>
      <c r="M196" s="401"/>
      <c r="S196" s="306"/>
    </row>
    <row r="197" spans="3:19" ht="13.2" customHeight="1">
      <c r="C197" s="996"/>
      <c r="F197" s="401"/>
      <c r="G197" s="401"/>
      <c r="H197" s="401"/>
      <c r="I197" s="401"/>
      <c r="J197" s="401"/>
      <c r="K197" s="995"/>
      <c r="L197" s="401"/>
      <c r="M197" s="401"/>
      <c r="S197" s="306"/>
    </row>
    <row r="198" spans="3:19" ht="13.2" customHeight="1">
      <c r="C198" s="996"/>
      <c r="F198" s="401"/>
      <c r="G198" s="401"/>
      <c r="H198" s="401"/>
      <c r="I198" s="401"/>
      <c r="J198" s="401"/>
      <c r="K198" s="995"/>
      <c r="L198" s="401"/>
      <c r="M198" s="401"/>
      <c r="S198" s="306"/>
    </row>
    <row r="199" spans="3:19" ht="13.2" customHeight="1">
      <c r="C199" s="996"/>
      <c r="F199" s="401"/>
      <c r="G199" s="401"/>
      <c r="H199" s="401"/>
      <c r="I199" s="401"/>
      <c r="J199" s="401"/>
      <c r="K199" s="995"/>
      <c r="L199" s="401"/>
      <c r="M199" s="401"/>
      <c r="S199" s="306"/>
    </row>
    <row r="200" spans="3:19" ht="13.2" customHeight="1">
      <c r="C200" s="996"/>
      <c r="F200" s="401"/>
      <c r="G200" s="401"/>
      <c r="H200" s="401"/>
      <c r="I200" s="401"/>
      <c r="J200" s="401"/>
      <c r="K200" s="995"/>
      <c r="L200" s="401"/>
      <c r="M200" s="401"/>
      <c r="S200" s="306"/>
    </row>
    <row r="201" spans="3:19" ht="13.2" customHeight="1">
      <c r="C201" s="996"/>
      <c r="F201" s="401"/>
      <c r="G201" s="401"/>
      <c r="H201" s="401"/>
      <c r="I201" s="401"/>
      <c r="J201" s="401"/>
      <c r="K201" s="995"/>
      <c r="L201" s="401"/>
      <c r="M201" s="401"/>
      <c r="S201" s="306"/>
    </row>
    <row r="202" spans="3:19" ht="13.2" customHeight="1">
      <c r="C202" s="996"/>
      <c r="F202" s="401"/>
      <c r="G202" s="401"/>
      <c r="H202" s="401"/>
      <c r="I202" s="401"/>
      <c r="J202" s="401"/>
      <c r="K202" s="995"/>
      <c r="L202" s="401"/>
      <c r="M202" s="401"/>
      <c r="S202" s="306"/>
    </row>
    <row r="203" spans="3:19" ht="13.2" customHeight="1">
      <c r="C203" s="996"/>
      <c r="F203" s="401"/>
      <c r="G203" s="401"/>
      <c r="H203" s="401"/>
      <c r="I203" s="401"/>
      <c r="J203" s="401"/>
      <c r="K203" s="995"/>
      <c r="L203" s="401"/>
      <c r="M203" s="401"/>
      <c r="S203" s="306"/>
    </row>
    <row r="204" spans="3:19" ht="13.2" customHeight="1">
      <c r="C204" s="996"/>
      <c r="F204" s="401"/>
      <c r="G204" s="401"/>
      <c r="H204" s="401"/>
      <c r="I204" s="401"/>
      <c r="J204" s="401"/>
      <c r="K204" s="995"/>
      <c r="L204" s="401"/>
      <c r="M204" s="401"/>
      <c r="S204" s="306"/>
    </row>
    <row r="205" spans="3:19" ht="13.2" customHeight="1">
      <c r="C205" s="996"/>
      <c r="F205" s="401"/>
      <c r="G205" s="401"/>
      <c r="H205" s="401"/>
      <c r="I205" s="401"/>
      <c r="J205" s="401"/>
      <c r="K205" s="995"/>
      <c r="L205" s="401"/>
      <c r="M205" s="401"/>
      <c r="S205" s="306"/>
    </row>
    <row r="206" spans="3:19" ht="13.2" customHeight="1">
      <c r="C206" s="996"/>
      <c r="F206" s="401"/>
      <c r="G206" s="401"/>
      <c r="H206" s="401"/>
      <c r="I206" s="401"/>
      <c r="J206" s="401"/>
      <c r="K206" s="995"/>
      <c r="L206" s="401"/>
      <c r="M206" s="401"/>
      <c r="S206" s="306"/>
    </row>
    <row r="207" spans="3:19" ht="13.2" customHeight="1">
      <c r="C207" s="996"/>
      <c r="F207" s="401"/>
      <c r="G207" s="401"/>
      <c r="H207" s="401"/>
      <c r="I207" s="401"/>
      <c r="J207" s="401"/>
      <c r="K207" s="995"/>
      <c r="L207" s="401"/>
      <c r="M207" s="401"/>
      <c r="S207" s="306"/>
    </row>
    <row r="208" spans="3:19" ht="13.2" customHeight="1">
      <c r="C208" s="996"/>
      <c r="F208" s="401"/>
      <c r="G208" s="401"/>
      <c r="H208" s="401"/>
      <c r="I208" s="401"/>
      <c r="J208" s="401"/>
      <c r="K208" s="995"/>
      <c r="L208" s="401"/>
      <c r="M208" s="401"/>
      <c r="S208" s="306"/>
    </row>
    <row r="209" spans="3:19" ht="13.2" customHeight="1">
      <c r="C209" s="996"/>
      <c r="F209" s="401"/>
      <c r="G209" s="401"/>
      <c r="H209" s="401"/>
      <c r="I209" s="401"/>
      <c r="J209" s="401"/>
      <c r="K209" s="995"/>
      <c r="L209" s="401"/>
      <c r="M209" s="401"/>
      <c r="S209" s="306"/>
    </row>
    <row r="210" spans="3:19" ht="13.2" customHeight="1">
      <c r="C210" s="996"/>
      <c r="F210" s="401"/>
      <c r="G210" s="401"/>
      <c r="H210" s="401"/>
      <c r="I210" s="401"/>
      <c r="J210" s="401"/>
      <c r="K210" s="995"/>
      <c r="L210" s="401"/>
      <c r="M210" s="401"/>
      <c r="S210" s="306"/>
    </row>
    <row r="211" spans="3:19" ht="13.2" customHeight="1">
      <c r="C211" s="996"/>
      <c r="F211" s="401"/>
      <c r="G211" s="401"/>
      <c r="H211" s="401"/>
      <c r="I211" s="401"/>
      <c r="J211" s="401"/>
      <c r="K211" s="995"/>
      <c r="L211" s="401"/>
      <c r="M211" s="401"/>
      <c r="S211" s="306"/>
    </row>
    <row r="212" spans="3:19" ht="13.2" customHeight="1">
      <c r="C212" s="996"/>
      <c r="F212" s="401"/>
      <c r="G212" s="401"/>
      <c r="H212" s="401"/>
      <c r="I212" s="401"/>
      <c r="J212" s="401"/>
      <c r="K212" s="995"/>
      <c r="L212" s="401"/>
      <c r="M212" s="401"/>
      <c r="S212" s="306"/>
    </row>
    <row r="213" spans="3:19" ht="13.2" customHeight="1">
      <c r="C213" s="996"/>
      <c r="F213" s="401"/>
      <c r="G213" s="401"/>
      <c r="H213" s="401"/>
      <c r="I213" s="401"/>
      <c r="J213" s="401"/>
      <c r="K213" s="995"/>
      <c r="L213" s="401"/>
      <c r="M213" s="401"/>
      <c r="S213" s="306"/>
    </row>
    <row r="214" spans="3:19" ht="13.2" customHeight="1">
      <c r="C214" s="996"/>
      <c r="F214" s="401"/>
      <c r="G214" s="401"/>
      <c r="H214" s="401"/>
      <c r="I214" s="401"/>
      <c r="J214" s="401"/>
      <c r="K214" s="995"/>
      <c r="L214" s="401"/>
      <c r="M214" s="401"/>
      <c r="S214" s="306"/>
    </row>
    <row r="215" spans="3:19" ht="13.2" customHeight="1">
      <c r="C215" s="996"/>
      <c r="F215" s="401"/>
      <c r="G215" s="401"/>
      <c r="H215" s="401"/>
      <c r="I215" s="401"/>
      <c r="J215" s="401"/>
      <c r="K215" s="995"/>
      <c r="L215" s="401"/>
      <c r="M215" s="401"/>
      <c r="S215" s="306"/>
    </row>
    <row r="216" spans="3:19" ht="13.2" customHeight="1">
      <c r="C216" s="996"/>
      <c r="F216" s="401"/>
      <c r="G216" s="401"/>
      <c r="H216" s="401"/>
      <c r="I216" s="401"/>
      <c r="J216" s="401"/>
      <c r="K216" s="995"/>
      <c r="L216" s="401"/>
      <c r="M216" s="401"/>
      <c r="S216" s="306"/>
    </row>
    <row r="217" spans="3:19" ht="13.2" customHeight="1">
      <c r="C217" s="996"/>
      <c r="F217" s="401"/>
      <c r="G217" s="401"/>
      <c r="H217" s="401"/>
      <c r="I217" s="401"/>
      <c r="J217" s="401"/>
      <c r="K217" s="995"/>
      <c r="L217" s="401"/>
      <c r="M217" s="401"/>
      <c r="S217" s="306"/>
    </row>
    <row r="218" spans="3:19" ht="13.2" customHeight="1">
      <c r="C218" s="996"/>
      <c r="F218" s="401"/>
      <c r="G218" s="401"/>
      <c r="H218" s="401"/>
      <c r="I218" s="401"/>
      <c r="J218" s="401"/>
      <c r="K218" s="995"/>
      <c r="L218" s="401"/>
      <c r="M218" s="401"/>
      <c r="S218" s="306"/>
    </row>
    <row r="219" spans="3:19" ht="13.2" customHeight="1">
      <c r="C219" s="996"/>
      <c r="F219" s="401"/>
      <c r="G219" s="401"/>
      <c r="H219" s="401"/>
      <c r="I219" s="401"/>
      <c r="J219" s="401"/>
      <c r="K219" s="995"/>
      <c r="L219" s="401"/>
      <c r="M219" s="401"/>
      <c r="S219" s="306"/>
    </row>
    <row r="220" spans="3:19" ht="13.2" customHeight="1">
      <c r="C220" s="996"/>
      <c r="F220" s="401"/>
      <c r="G220" s="401"/>
      <c r="H220" s="401"/>
      <c r="I220" s="401"/>
      <c r="J220" s="401"/>
      <c r="K220" s="995"/>
      <c r="L220" s="401"/>
      <c r="M220" s="401"/>
      <c r="S220" s="306"/>
    </row>
    <row r="221" spans="3:19" ht="13.2" customHeight="1">
      <c r="C221" s="996"/>
      <c r="F221" s="401"/>
      <c r="G221" s="401"/>
      <c r="H221" s="401"/>
      <c r="I221" s="401"/>
      <c r="J221" s="401"/>
      <c r="K221" s="995"/>
      <c r="L221" s="401"/>
      <c r="M221" s="401"/>
      <c r="S221" s="306"/>
    </row>
    <row r="222" spans="3:19" ht="13.2" customHeight="1">
      <c r="C222" s="996"/>
      <c r="F222" s="401"/>
      <c r="G222" s="401"/>
      <c r="H222" s="401"/>
      <c r="I222" s="401"/>
      <c r="J222" s="401"/>
      <c r="K222" s="995"/>
      <c r="L222" s="401"/>
      <c r="M222" s="401"/>
      <c r="S222" s="306"/>
    </row>
    <row r="223" spans="3:19" ht="13.2" customHeight="1">
      <c r="C223" s="996"/>
      <c r="F223" s="401"/>
      <c r="G223" s="401"/>
      <c r="H223" s="401"/>
      <c r="I223" s="401"/>
      <c r="J223" s="401"/>
      <c r="K223" s="995"/>
      <c r="L223" s="401"/>
      <c r="M223" s="401"/>
      <c r="S223" s="306"/>
    </row>
    <row r="224" spans="3:19" ht="13.2" customHeight="1">
      <c r="C224" s="996"/>
      <c r="F224" s="401"/>
      <c r="G224" s="401"/>
      <c r="H224" s="401"/>
      <c r="I224" s="401"/>
      <c r="J224" s="401"/>
      <c r="K224" s="995"/>
      <c r="L224" s="401"/>
      <c r="M224" s="401"/>
      <c r="S224" s="306"/>
    </row>
    <row r="225" spans="3:19" ht="13.2" customHeight="1">
      <c r="C225" s="996"/>
      <c r="F225" s="401"/>
      <c r="G225" s="401"/>
      <c r="H225" s="401"/>
      <c r="I225" s="401"/>
      <c r="J225" s="401"/>
      <c r="K225" s="995"/>
      <c r="L225" s="401"/>
      <c r="M225" s="401"/>
      <c r="S225" s="306"/>
    </row>
    <row r="226" spans="3:19" ht="13.2" customHeight="1">
      <c r="C226" s="996"/>
      <c r="F226" s="401"/>
      <c r="G226" s="401"/>
      <c r="H226" s="401"/>
      <c r="I226" s="401"/>
      <c r="J226" s="401"/>
      <c r="K226" s="995"/>
      <c r="L226" s="401"/>
      <c r="M226" s="401"/>
      <c r="S226" s="306"/>
    </row>
    <row r="227" spans="3:19" ht="13.2" customHeight="1">
      <c r="C227" s="996"/>
      <c r="F227" s="401"/>
      <c r="G227" s="401"/>
      <c r="H227" s="401"/>
      <c r="I227" s="401"/>
      <c r="J227" s="401"/>
      <c r="K227" s="995"/>
      <c r="L227" s="401"/>
      <c r="M227" s="401"/>
      <c r="S227" s="306"/>
    </row>
    <row r="228" spans="3:19" ht="13.2" customHeight="1">
      <c r="C228" s="996"/>
      <c r="F228" s="401"/>
      <c r="G228" s="401"/>
      <c r="H228" s="401"/>
      <c r="I228" s="401"/>
      <c r="J228" s="401"/>
      <c r="K228" s="995"/>
      <c r="L228" s="401"/>
      <c r="M228" s="401"/>
      <c r="S228" s="306"/>
    </row>
    <row r="229" spans="3:19" ht="13.2" customHeight="1">
      <c r="C229" s="996"/>
      <c r="F229" s="401"/>
      <c r="G229" s="401"/>
      <c r="H229" s="401"/>
      <c r="I229" s="401"/>
      <c r="J229" s="401"/>
      <c r="K229" s="995"/>
      <c r="L229" s="401"/>
      <c r="M229" s="401"/>
      <c r="S229" s="306"/>
    </row>
    <row r="230" spans="3:19" ht="13.2" customHeight="1">
      <c r="C230" s="996"/>
      <c r="F230" s="401"/>
      <c r="G230" s="401"/>
      <c r="H230" s="401"/>
      <c r="I230" s="401"/>
      <c r="J230" s="401"/>
      <c r="K230" s="995"/>
      <c r="L230" s="401"/>
      <c r="M230" s="401"/>
      <c r="S230" s="306"/>
    </row>
    <row r="231" spans="3:19" ht="13.2" customHeight="1">
      <c r="C231" s="996"/>
      <c r="F231" s="401"/>
      <c r="G231" s="401"/>
      <c r="H231" s="401"/>
      <c r="I231" s="401"/>
      <c r="J231" s="401"/>
      <c r="K231" s="995"/>
      <c r="L231" s="401"/>
      <c r="M231" s="401"/>
      <c r="S231" s="306"/>
    </row>
    <row r="232" spans="3:19" ht="13.2" customHeight="1">
      <c r="C232" s="996"/>
      <c r="F232" s="401"/>
      <c r="G232" s="401"/>
      <c r="H232" s="401"/>
      <c r="I232" s="401"/>
      <c r="J232" s="401"/>
      <c r="K232" s="995"/>
      <c r="L232" s="401"/>
      <c r="M232" s="401"/>
      <c r="S232" s="306"/>
    </row>
    <row r="233" spans="3:19" ht="13.2" customHeight="1">
      <c r="C233" s="996"/>
      <c r="F233" s="401"/>
      <c r="G233" s="401"/>
      <c r="H233" s="401"/>
      <c r="I233" s="401"/>
      <c r="J233" s="401"/>
      <c r="K233" s="995"/>
      <c r="L233" s="401"/>
      <c r="M233" s="401"/>
      <c r="S233" s="306"/>
    </row>
    <row r="234" spans="3:19" ht="13.2" customHeight="1">
      <c r="C234" s="996"/>
      <c r="F234" s="401"/>
      <c r="G234" s="401"/>
      <c r="H234" s="401"/>
      <c r="I234" s="401"/>
      <c r="J234" s="401"/>
      <c r="K234" s="995"/>
      <c r="L234" s="401"/>
      <c r="M234" s="401"/>
      <c r="S234" s="306"/>
    </row>
    <row r="235" spans="3:19" ht="13.2" customHeight="1">
      <c r="C235" s="996"/>
      <c r="F235" s="401"/>
      <c r="G235" s="401"/>
      <c r="H235" s="401"/>
      <c r="I235" s="401"/>
      <c r="J235" s="401"/>
      <c r="K235" s="995"/>
      <c r="L235" s="401"/>
      <c r="M235" s="401"/>
      <c r="S235" s="306"/>
    </row>
    <row r="236" spans="3:19" ht="13.2" customHeight="1">
      <c r="C236" s="996"/>
      <c r="F236" s="401"/>
      <c r="G236" s="401"/>
      <c r="H236" s="401"/>
      <c r="I236" s="401"/>
      <c r="J236" s="401"/>
      <c r="K236" s="995"/>
      <c r="L236" s="401"/>
      <c r="M236" s="401"/>
      <c r="S236" s="306"/>
    </row>
    <row r="237" spans="3:19" ht="13.2" customHeight="1">
      <c r="C237" s="996"/>
      <c r="F237" s="401"/>
      <c r="G237" s="401"/>
      <c r="H237" s="401"/>
      <c r="I237" s="401"/>
      <c r="J237" s="401"/>
      <c r="K237" s="995"/>
      <c r="L237" s="401"/>
      <c r="M237" s="401"/>
      <c r="S237" s="306"/>
    </row>
    <row r="238" spans="3:19" ht="13.2" customHeight="1">
      <c r="C238" s="996"/>
      <c r="F238" s="401"/>
      <c r="G238" s="401"/>
      <c r="H238" s="401"/>
      <c r="I238" s="401"/>
      <c r="J238" s="401"/>
      <c r="K238" s="995"/>
      <c r="L238" s="401"/>
      <c r="M238" s="401"/>
      <c r="S238" s="306"/>
    </row>
    <row r="239" spans="3:19" ht="13.2" customHeight="1">
      <c r="C239" s="996"/>
      <c r="F239" s="401"/>
      <c r="G239" s="401"/>
      <c r="H239" s="401"/>
      <c r="I239" s="401"/>
      <c r="J239" s="401"/>
      <c r="K239" s="995"/>
      <c r="L239" s="401"/>
      <c r="M239" s="401"/>
      <c r="S239" s="306"/>
    </row>
    <row r="240" spans="3:19" ht="13.2" customHeight="1">
      <c r="C240" s="996"/>
      <c r="F240" s="401"/>
      <c r="G240" s="401"/>
      <c r="H240" s="401"/>
      <c r="I240" s="401"/>
      <c r="J240" s="401"/>
      <c r="K240" s="995"/>
      <c r="L240" s="401"/>
      <c r="M240" s="401"/>
      <c r="S240" s="306"/>
    </row>
    <row r="241" spans="3:19" ht="13.2" customHeight="1">
      <c r="C241" s="996"/>
      <c r="F241" s="401"/>
      <c r="G241" s="401"/>
      <c r="H241" s="401"/>
      <c r="I241" s="401"/>
      <c r="J241" s="401"/>
      <c r="K241" s="995"/>
      <c r="L241" s="401"/>
      <c r="M241" s="401"/>
      <c r="S241" s="306"/>
    </row>
    <row r="242" spans="3:19" ht="13.2" customHeight="1">
      <c r="C242" s="996"/>
      <c r="F242" s="401"/>
      <c r="G242" s="401"/>
      <c r="H242" s="401"/>
      <c r="I242" s="401"/>
      <c r="J242" s="401"/>
      <c r="K242" s="995"/>
      <c r="L242" s="401"/>
      <c r="M242" s="401"/>
      <c r="S242" s="306"/>
    </row>
    <row r="243" spans="3:19" ht="13.2" customHeight="1">
      <c r="C243" s="996"/>
      <c r="F243" s="401"/>
      <c r="G243" s="401"/>
      <c r="H243" s="401"/>
      <c r="I243" s="401"/>
      <c r="J243" s="401"/>
      <c r="K243" s="995"/>
      <c r="L243" s="401"/>
      <c r="M243" s="401"/>
      <c r="S243" s="306"/>
    </row>
    <row r="244" spans="3:19" ht="13.2" customHeight="1">
      <c r="C244" s="996"/>
      <c r="F244" s="401"/>
      <c r="G244" s="401"/>
      <c r="H244" s="401"/>
      <c r="I244" s="401"/>
      <c r="J244" s="401"/>
      <c r="K244" s="995"/>
      <c r="L244" s="401"/>
      <c r="M244" s="401"/>
      <c r="S244" s="306"/>
    </row>
    <row r="245" spans="3:19" ht="13.2" customHeight="1">
      <c r="C245" s="996"/>
      <c r="F245" s="401"/>
      <c r="G245" s="401"/>
      <c r="H245" s="401"/>
      <c r="I245" s="401"/>
      <c r="J245" s="401"/>
      <c r="K245" s="995"/>
      <c r="L245" s="401"/>
      <c r="M245" s="401"/>
      <c r="S245" s="306"/>
    </row>
    <row r="246" spans="3:19" ht="13.2" customHeight="1">
      <c r="C246" s="996"/>
      <c r="K246" s="442"/>
      <c r="S246" s="306"/>
    </row>
    <row r="247" spans="3:19" ht="13.2" customHeight="1">
      <c r="C247" s="996"/>
      <c r="K247" s="442"/>
      <c r="S247" s="306"/>
    </row>
    <row r="248" spans="3:19" ht="13.2" customHeight="1">
      <c r="C248" s="996"/>
      <c r="K248" s="442"/>
      <c r="S248" s="306"/>
    </row>
    <row r="249" spans="3:19" ht="13.2" customHeight="1">
      <c r="C249" s="996"/>
      <c r="K249" s="442"/>
      <c r="S249" s="306"/>
    </row>
    <row r="250" spans="3:19" ht="13.2" customHeight="1">
      <c r="C250" s="996"/>
      <c r="K250" s="442"/>
      <c r="S250" s="306"/>
    </row>
    <row r="251" spans="3:19" ht="13.2" customHeight="1">
      <c r="C251" s="996"/>
      <c r="K251" s="442"/>
      <c r="S251" s="306"/>
    </row>
    <row r="252" spans="3:19" ht="13.2" customHeight="1">
      <c r="C252" s="996"/>
      <c r="K252" s="442"/>
      <c r="S252" s="306"/>
    </row>
    <row r="253" spans="3:19" ht="13.2" customHeight="1">
      <c r="C253" s="996"/>
      <c r="K253" s="442"/>
      <c r="S253" s="306"/>
    </row>
    <row r="254" spans="3:19" ht="13.2" customHeight="1">
      <c r="C254" s="996"/>
      <c r="K254" s="442"/>
      <c r="S254" s="306"/>
    </row>
    <row r="255" spans="3:19" ht="13.2" customHeight="1">
      <c r="C255" s="996"/>
      <c r="K255" s="442"/>
      <c r="S255" s="306"/>
    </row>
    <row r="256" spans="3:19" ht="13.2" customHeight="1">
      <c r="C256" s="996"/>
      <c r="K256" s="442"/>
      <c r="S256" s="306"/>
    </row>
    <row r="257" spans="3:19" ht="13.2" customHeight="1">
      <c r="C257" s="996"/>
      <c r="K257" s="442"/>
      <c r="S257" s="306"/>
    </row>
    <row r="258" spans="3:19" ht="13.2" customHeight="1">
      <c r="C258" s="996"/>
      <c r="K258" s="442"/>
      <c r="S258" s="306"/>
    </row>
    <row r="259" spans="3:19" ht="13.2" customHeight="1">
      <c r="C259" s="996"/>
      <c r="K259" s="442"/>
      <c r="S259" s="306"/>
    </row>
    <row r="260" spans="3:19" ht="13.2" customHeight="1">
      <c r="C260" s="996"/>
      <c r="K260" s="442"/>
      <c r="S260" s="306"/>
    </row>
    <row r="261" spans="3:19" ht="13.2" customHeight="1">
      <c r="C261" s="996"/>
      <c r="K261" s="442"/>
      <c r="S261" s="306"/>
    </row>
    <row r="262" spans="3:19" ht="13.2" customHeight="1">
      <c r="C262" s="996"/>
      <c r="K262" s="442"/>
      <c r="S262" s="306"/>
    </row>
    <row r="263" spans="3:19" ht="13.2" customHeight="1">
      <c r="C263" s="996"/>
      <c r="K263" s="442"/>
      <c r="S263" s="306"/>
    </row>
    <row r="264" spans="3:19" ht="13.2" customHeight="1">
      <c r="C264" s="996"/>
      <c r="K264" s="442"/>
      <c r="S264" s="306"/>
    </row>
    <row r="265" spans="3:19" ht="13.2" customHeight="1">
      <c r="C265" s="996"/>
      <c r="K265" s="442"/>
      <c r="S265" s="306"/>
    </row>
    <row r="266" spans="3:19" ht="13.2" customHeight="1">
      <c r="C266" s="996"/>
      <c r="K266" s="442"/>
      <c r="S266" s="306"/>
    </row>
    <row r="267" spans="3:19" ht="13.2" customHeight="1">
      <c r="C267" s="996" t="s">
        <v>7021</v>
      </c>
      <c r="K267" s="442"/>
      <c r="S267" s="306"/>
    </row>
    <row r="268" spans="3:19" ht="13.2" customHeight="1">
      <c r="C268" s="996"/>
      <c r="K268" s="442"/>
      <c r="S268" s="306"/>
    </row>
    <row r="269" spans="3:19" ht="13.2" customHeight="1">
      <c r="C269" s="996"/>
      <c r="K269" s="442"/>
      <c r="S269" s="306"/>
    </row>
    <row r="270" spans="3:19" ht="13.2" customHeight="1">
      <c r="C270" s="996"/>
      <c r="K270" s="442"/>
      <c r="S270" s="306"/>
    </row>
    <row r="271" spans="3:19" ht="13.2" customHeight="1">
      <c r="C271" s="996"/>
      <c r="K271" s="442"/>
      <c r="S271" s="306"/>
    </row>
    <row r="272" spans="3:19" ht="13.2" customHeight="1">
      <c r="C272" s="996"/>
      <c r="K272" s="442"/>
      <c r="S272" s="306"/>
    </row>
    <row r="273" spans="3:19" ht="13.2" customHeight="1">
      <c r="C273" s="996"/>
      <c r="K273" s="442"/>
      <c r="S273" s="306"/>
    </row>
    <row r="274" spans="3:19" ht="13.2" customHeight="1">
      <c r="C274" s="996"/>
      <c r="K274" s="442"/>
      <c r="S274" s="306"/>
    </row>
    <row r="275" spans="3:19" ht="13.2" customHeight="1">
      <c r="C275" s="996"/>
      <c r="K275" s="442"/>
      <c r="S275" s="306"/>
    </row>
    <row r="276" spans="3:19" ht="13.2" customHeight="1">
      <c r="C276" s="996"/>
      <c r="K276" s="442"/>
      <c r="S276" s="306"/>
    </row>
    <row r="277" spans="3:19" ht="13.2" customHeight="1">
      <c r="C277" s="996"/>
      <c r="K277" s="442"/>
      <c r="S277" s="306"/>
    </row>
    <row r="278" spans="3:19" ht="13.2" customHeight="1">
      <c r="C278" s="996"/>
      <c r="K278" s="442"/>
      <c r="S278" s="306"/>
    </row>
    <row r="279" spans="3:19" ht="13.2" customHeight="1">
      <c r="C279" s="996"/>
      <c r="K279" s="442"/>
      <c r="S279" s="306"/>
    </row>
    <row r="280" spans="3:19" ht="13.2" customHeight="1">
      <c r="C280" s="996"/>
      <c r="K280" s="442"/>
      <c r="S280" s="306"/>
    </row>
    <row r="281" spans="3:19" ht="13.2" customHeight="1">
      <c r="C281" s="996"/>
      <c r="K281" s="442"/>
      <c r="S281" s="306"/>
    </row>
    <row r="282" spans="3:19" ht="13.2" customHeight="1">
      <c r="C282" s="996"/>
      <c r="K282" s="442"/>
      <c r="S282" s="306"/>
    </row>
    <row r="283" spans="3:19" ht="13.2" customHeight="1">
      <c r="C283" s="996"/>
      <c r="K283" s="442"/>
      <c r="S283" s="306"/>
    </row>
    <row r="284" spans="3:19" ht="13.2" customHeight="1">
      <c r="C284" s="996"/>
      <c r="K284" s="442"/>
      <c r="S284" s="306"/>
    </row>
    <row r="285" spans="3:19" ht="13.2" customHeight="1">
      <c r="C285" s="996"/>
      <c r="K285" s="442"/>
      <c r="S285" s="306"/>
    </row>
    <row r="286" spans="3:19" ht="13.2" customHeight="1">
      <c r="C286" s="996"/>
      <c r="K286" s="442"/>
      <c r="S286" s="306"/>
    </row>
    <row r="287" spans="3:19" ht="13.2" customHeight="1">
      <c r="C287" s="996"/>
      <c r="K287" s="442"/>
      <c r="S287" s="306"/>
    </row>
    <row r="288" spans="3:19" ht="13.2" customHeight="1">
      <c r="C288" s="996"/>
      <c r="K288" s="442"/>
      <c r="S288" s="306"/>
    </row>
    <row r="289" spans="3:19" ht="13.2" customHeight="1">
      <c r="C289" s="996"/>
      <c r="K289" s="442"/>
      <c r="S289" s="306"/>
    </row>
    <row r="290" spans="3:19" ht="13.2" customHeight="1">
      <c r="C290" s="996"/>
      <c r="K290" s="442"/>
      <c r="S290" s="306"/>
    </row>
    <row r="291" spans="3:19" ht="13.2" customHeight="1">
      <c r="C291" s="996"/>
      <c r="K291" s="442"/>
      <c r="S291" s="306"/>
    </row>
    <row r="292" spans="3:19" ht="13.2" customHeight="1">
      <c r="C292" s="996"/>
      <c r="K292" s="442"/>
      <c r="S292" s="306"/>
    </row>
    <row r="293" spans="3:19" ht="13.2" customHeight="1">
      <c r="C293" s="996"/>
      <c r="K293" s="442"/>
      <c r="S293" s="306"/>
    </row>
    <row r="294" spans="3:19" ht="13.2" customHeight="1">
      <c r="C294" s="996"/>
      <c r="K294" s="442"/>
      <c r="S294" s="306"/>
    </row>
    <row r="295" spans="3:19" ht="13.2" customHeight="1">
      <c r="C295" s="996"/>
      <c r="K295" s="442"/>
      <c r="S295" s="306"/>
    </row>
    <row r="296" spans="3:19" ht="13.2" customHeight="1">
      <c r="C296" s="996"/>
      <c r="K296" s="442"/>
      <c r="S296" s="306"/>
    </row>
    <row r="297" spans="3:19" ht="13.2" customHeight="1">
      <c r="C297" s="996"/>
      <c r="K297" s="442"/>
      <c r="S297" s="306"/>
    </row>
    <row r="298" spans="3:19" ht="13.2" customHeight="1">
      <c r="C298" s="996"/>
      <c r="K298" s="442"/>
      <c r="S298" s="306"/>
    </row>
    <row r="299" spans="3:19" ht="13.2" customHeight="1">
      <c r="C299" s="996"/>
      <c r="K299" s="442"/>
      <c r="S299" s="306"/>
    </row>
    <row r="300" spans="3:19" ht="13.2" customHeight="1">
      <c r="C300" s="996"/>
      <c r="K300" s="442"/>
      <c r="S300" s="306"/>
    </row>
    <row r="301" spans="3:19" ht="13.2" customHeight="1">
      <c r="C301" s="996"/>
      <c r="K301" s="442"/>
      <c r="S301" s="306"/>
    </row>
    <row r="302" spans="3:19" ht="13.2" customHeight="1">
      <c r="C302" s="996"/>
      <c r="K302" s="442"/>
      <c r="S302" s="306"/>
    </row>
    <row r="303" spans="3:19" ht="13.2" customHeight="1">
      <c r="C303" s="996"/>
      <c r="K303" s="442"/>
      <c r="S303" s="306"/>
    </row>
    <row r="304" spans="3:19" ht="13.2" customHeight="1">
      <c r="C304" s="996"/>
      <c r="K304" s="442"/>
      <c r="S304" s="306"/>
    </row>
    <row r="305" spans="3:19" ht="13.2" customHeight="1">
      <c r="C305" s="996"/>
      <c r="K305" s="442"/>
      <c r="S305" s="306"/>
    </row>
    <row r="306" spans="3:19" ht="13.2" customHeight="1">
      <c r="C306" s="996"/>
      <c r="K306" s="442"/>
      <c r="S306" s="306"/>
    </row>
    <row r="307" spans="3:19" ht="13.2" customHeight="1">
      <c r="C307" s="996"/>
      <c r="K307" s="442"/>
      <c r="S307" s="306"/>
    </row>
    <row r="308" spans="3:19" ht="13.2" customHeight="1">
      <c r="C308" s="996"/>
      <c r="K308" s="442"/>
      <c r="S308" s="306"/>
    </row>
    <row r="309" spans="3:19" ht="13.2" customHeight="1">
      <c r="C309" s="996"/>
      <c r="K309" s="442"/>
      <c r="S309" s="306"/>
    </row>
    <row r="310" spans="3:19" ht="13.2" customHeight="1">
      <c r="C310" s="996"/>
      <c r="K310" s="442"/>
      <c r="S310" s="306"/>
    </row>
    <row r="311" spans="3:19" ht="13.2" customHeight="1">
      <c r="C311" s="996"/>
      <c r="K311" s="442"/>
      <c r="S311" s="306"/>
    </row>
    <row r="312" spans="3:19" ht="13.2" customHeight="1">
      <c r="C312" s="996"/>
      <c r="K312" s="442"/>
      <c r="S312" s="306"/>
    </row>
    <row r="313" spans="3:19" ht="13.2" customHeight="1">
      <c r="C313" s="996"/>
      <c r="K313" s="442"/>
      <c r="S313" s="306"/>
    </row>
    <row r="314" spans="3:19" ht="13.2" customHeight="1">
      <c r="C314" s="996"/>
      <c r="K314" s="442"/>
      <c r="S314" s="306"/>
    </row>
    <row r="315" spans="3:19" ht="13.2" customHeight="1">
      <c r="C315" s="996"/>
      <c r="K315" s="442"/>
      <c r="S315" s="306"/>
    </row>
    <row r="316" spans="3:19" ht="13.2" customHeight="1">
      <c r="C316" s="996"/>
      <c r="K316" s="442"/>
      <c r="S316" s="306"/>
    </row>
    <row r="317" spans="3:19" ht="13.2" customHeight="1">
      <c r="C317" s="996"/>
      <c r="K317" s="442"/>
      <c r="S317" s="306"/>
    </row>
    <row r="318" spans="3:19" ht="13.2" customHeight="1">
      <c r="C318" s="996"/>
      <c r="K318" s="442"/>
      <c r="S318" s="306"/>
    </row>
    <row r="319" spans="3:19" ht="13.2" customHeight="1">
      <c r="C319" s="996"/>
      <c r="K319" s="442"/>
      <c r="S319" s="306"/>
    </row>
    <row r="320" spans="3:19" ht="13.2" customHeight="1">
      <c r="C320" s="996"/>
      <c r="K320" s="442"/>
      <c r="S320" s="306"/>
    </row>
    <row r="321" spans="3:19" ht="13.2" customHeight="1">
      <c r="C321" s="996"/>
      <c r="K321" s="442"/>
      <c r="S321" s="306"/>
    </row>
    <row r="322" spans="3:19" ht="13.2" customHeight="1">
      <c r="C322" s="996"/>
      <c r="K322" s="442"/>
      <c r="S322" s="306"/>
    </row>
    <row r="323" spans="3:19" ht="13.2" customHeight="1">
      <c r="C323" s="996"/>
      <c r="K323" s="442"/>
      <c r="S323" s="306"/>
    </row>
    <row r="324" spans="3:19" ht="13.2" customHeight="1">
      <c r="C324" s="996"/>
      <c r="K324" s="442"/>
      <c r="S324" s="306"/>
    </row>
    <row r="325" spans="3:19" ht="13.2" customHeight="1">
      <c r="C325" s="996"/>
      <c r="K325" s="442"/>
      <c r="S325" s="306"/>
    </row>
    <row r="326" spans="3:19" ht="13.2" customHeight="1">
      <c r="C326" s="996"/>
      <c r="K326" s="442"/>
      <c r="S326" s="306"/>
    </row>
    <row r="327" spans="3:19" ht="13.2" customHeight="1">
      <c r="C327" s="996"/>
      <c r="K327" s="442"/>
      <c r="S327" s="306"/>
    </row>
    <row r="328" spans="3:19" ht="13.2" customHeight="1">
      <c r="C328" s="996"/>
      <c r="K328" s="442"/>
      <c r="S328" s="306"/>
    </row>
    <row r="329" spans="3:19" ht="13.2" customHeight="1">
      <c r="C329" s="996"/>
      <c r="K329" s="442"/>
      <c r="S329" s="306"/>
    </row>
    <row r="330" spans="3:19" ht="13.2" customHeight="1">
      <c r="C330" s="996"/>
      <c r="K330" s="442"/>
      <c r="S330" s="306"/>
    </row>
    <row r="331" spans="3:19" ht="13.2" customHeight="1">
      <c r="C331" s="996"/>
      <c r="K331" s="442"/>
      <c r="S331" s="306"/>
    </row>
    <row r="332" spans="3:19" ht="13.2" customHeight="1">
      <c r="C332" s="996"/>
      <c r="K332" s="442"/>
      <c r="S332" s="306"/>
    </row>
    <row r="333" spans="3:19" ht="13.2" customHeight="1">
      <c r="C333" s="996"/>
      <c r="K333" s="442"/>
      <c r="S333" s="306"/>
    </row>
    <row r="334" spans="3:19" ht="13.2" customHeight="1">
      <c r="C334" s="996"/>
      <c r="K334" s="442"/>
      <c r="S334" s="306"/>
    </row>
    <row r="335" spans="3:19" ht="13.2" customHeight="1">
      <c r="C335" s="996"/>
      <c r="K335" s="442"/>
      <c r="S335" s="306"/>
    </row>
    <row r="336" spans="3:19" ht="13.2" customHeight="1">
      <c r="C336" s="996"/>
      <c r="K336" s="442"/>
      <c r="S336" s="306"/>
    </row>
    <row r="337" spans="3:19" ht="13.2" customHeight="1">
      <c r="C337" s="996"/>
      <c r="K337" s="442"/>
      <c r="S337" s="306"/>
    </row>
    <row r="338" spans="3:19" ht="13.2" customHeight="1">
      <c r="C338" s="996"/>
      <c r="K338" s="442"/>
      <c r="S338" s="306"/>
    </row>
    <row r="339" spans="3:19" ht="13.2" customHeight="1">
      <c r="C339" s="996"/>
      <c r="K339" s="442"/>
      <c r="S339" s="306"/>
    </row>
    <row r="340" spans="3:19" ht="13.2" customHeight="1">
      <c r="C340" s="996"/>
      <c r="K340" s="442"/>
      <c r="S340" s="306"/>
    </row>
    <row r="341" spans="3:19" ht="13.2" customHeight="1">
      <c r="C341" s="996"/>
      <c r="K341" s="442"/>
      <c r="S341" s="306"/>
    </row>
    <row r="342" spans="3:19" ht="13.2" customHeight="1">
      <c r="C342" s="996"/>
      <c r="K342" s="442"/>
      <c r="S342" s="306"/>
    </row>
    <row r="343" spans="3:19" ht="13.2" customHeight="1">
      <c r="C343" s="996"/>
      <c r="K343" s="442"/>
      <c r="S343" s="306"/>
    </row>
    <row r="344" spans="3:19" ht="13.2" customHeight="1">
      <c r="C344" s="996"/>
      <c r="K344" s="442"/>
      <c r="S344" s="306"/>
    </row>
    <row r="345" spans="3:19" ht="13.2" customHeight="1">
      <c r="C345" s="996"/>
      <c r="K345" s="442"/>
      <c r="S345" s="306"/>
    </row>
    <row r="346" spans="3:19" ht="13.2" customHeight="1">
      <c r="C346" s="996" t="s">
        <v>7021</v>
      </c>
      <c r="K346" s="442"/>
      <c r="S346" s="306"/>
    </row>
    <row r="347" spans="3:19" ht="13.2" customHeight="1">
      <c r="C347" s="996"/>
      <c r="K347" s="442"/>
      <c r="S347" s="306"/>
    </row>
    <row r="348" spans="3:19" ht="13.2" customHeight="1">
      <c r="C348" s="996"/>
      <c r="K348" s="442"/>
      <c r="S348" s="306"/>
    </row>
    <row r="349" spans="3:19" ht="13.2" customHeight="1">
      <c r="C349" s="996"/>
      <c r="K349" s="442"/>
      <c r="S349" s="306"/>
    </row>
    <row r="350" spans="3:19" ht="13.2" customHeight="1">
      <c r="C350" s="996"/>
      <c r="K350" s="442"/>
      <c r="S350" s="306"/>
    </row>
    <row r="351" spans="3:19" ht="13.2" customHeight="1">
      <c r="C351" s="996"/>
      <c r="K351" s="442"/>
      <c r="S351" s="306"/>
    </row>
    <row r="352" spans="3:19" ht="13.2" customHeight="1">
      <c r="C352" s="996"/>
      <c r="K352" s="442"/>
      <c r="S352" s="306"/>
    </row>
    <row r="353" spans="3:19" ht="13.2" customHeight="1">
      <c r="C353" s="996"/>
      <c r="K353" s="442"/>
      <c r="S353" s="306"/>
    </row>
    <row r="354" spans="3:19" ht="13.2" customHeight="1">
      <c r="C354" s="996"/>
      <c r="K354" s="442"/>
      <c r="S354" s="306"/>
    </row>
    <row r="355" spans="3:19" ht="13.2" customHeight="1">
      <c r="C355" s="996"/>
      <c r="K355" s="442"/>
      <c r="S355" s="306"/>
    </row>
    <row r="356" spans="3:19" ht="13.2" customHeight="1">
      <c r="C356" s="996"/>
      <c r="K356" s="442"/>
      <c r="S356" s="306"/>
    </row>
    <row r="357" spans="3:19" ht="13.2" customHeight="1">
      <c r="C357" s="996"/>
      <c r="K357" s="442"/>
      <c r="S357" s="306"/>
    </row>
    <row r="358" spans="3:19" ht="13.2" customHeight="1">
      <c r="C358" s="996"/>
      <c r="K358" s="442"/>
      <c r="S358" s="306"/>
    </row>
    <row r="359" spans="3:19" ht="13.2" customHeight="1">
      <c r="C359" s="996"/>
      <c r="K359" s="442"/>
      <c r="S359" s="306"/>
    </row>
    <row r="360" spans="3:19" ht="13.2" customHeight="1">
      <c r="C360" s="996"/>
      <c r="K360" s="442"/>
      <c r="S360" s="306"/>
    </row>
    <row r="361" spans="3:19" ht="13.2" customHeight="1">
      <c r="C361" s="996"/>
      <c r="K361" s="442"/>
      <c r="S361" s="306"/>
    </row>
    <row r="362" spans="3:19" ht="13.2" customHeight="1">
      <c r="C362" s="996"/>
      <c r="K362" s="442"/>
      <c r="S362" s="306"/>
    </row>
    <row r="363" spans="3:19" ht="13.2" customHeight="1">
      <c r="C363" s="996"/>
      <c r="K363" s="442"/>
      <c r="S363" s="306"/>
    </row>
    <row r="364" spans="3:19" ht="13.2" customHeight="1">
      <c r="C364" s="996"/>
      <c r="K364" s="442"/>
      <c r="S364" s="306"/>
    </row>
    <row r="365" spans="3:19" ht="13.2" customHeight="1">
      <c r="C365" s="996"/>
      <c r="K365" s="442"/>
      <c r="S365" s="306"/>
    </row>
    <row r="366" spans="3:19" ht="13.2" customHeight="1">
      <c r="C366" s="996"/>
      <c r="K366" s="442"/>
      <c r="S366" s="306"/>
    </row>
    <row r="367" spans="3:19" ht="13.2" customHeight="1">
      <c r="C367" s="996"/>
      <c r="K367" s="442"/>
      <c r="S367" s="306"/>
    </row>
    <row r="368" spans="3:19" ht="13.2" customHeight="1">
      <c r="C368" s="996"/>
      <c r="K368" s="442"/>
      <c r="S368" s="306"/>
    </row>
    <row r="369" spans="3:19" ht="13.2" customHeight="1">
      <c r="C369" s="996"/>
      <c r="K369" s="442"/>
      <c r="S369" s="306"/>
    </row>
    <row r="370" spans="3:19" ht="13.2" customHeight="1">
      <c r="C370" s="996"/>
      <c r="K370" s="442"/>
      <c r="S370" s="306"/>
    </row>
    <row r="371" spans="3:19" ht="13.2" customHeight="1">
      <c r="C371" s="996"/>
      <c r="K371" s="442"/>
      <c r="S371" s="306"/>
    </row>
    <row r="372" spans="3:19" ht="13.2" customHeight="1">
      <c r="C372" s="996"/>
      <c r="K372" s="442"/>
      <c r="S372" s="306"/>
    </row>
    <row r="373" spans="3:19" ht="13.2" customHeight="1">
      <c r="C373" s="996"/>
      <c r="K373" s="442"/>
      <c r="S373" s="306"/>
    </row>
    <row r="374" spans="3:19" ht="13.2" customHeight="1">
      <c r="C374" s="996"/>
      <c r="K374" s="442"/>
      <c r="S374" s="306"/>
    </row>
    <row r="375" spans="3:19" ht="13.2" customHeight="1">
      <c r="C375" s="996"/>
      <c r="K375" s="442"/>
      <c r="S375" s="306"/>
    </row>
    <row r="376" spans="3:19" ht="13.2" customHeight="1">
      <c r="C376" s="996"/>
      <c r="K376" s="442"/>
      <c r="S376" s="306"/>
    </row>
    <row r="377" spans="3:19" ht="13.2" customHeight="1">
      <c r="C377" s="996"/>
      <c r="K377" s="442"/>
      <c r="S377" s="306"/>
    </row>
    <row r="378" spans="3:19" ht="13.2" customHeight="1">
      <c r="C378" s="996"/>
      <c r="K378" s="442"/>
      <c r="S378" s="306"/>
    </row>
    <row r="379" spans="3:19" ht="13.2" customHeight="1">
      <c r="C379" s="996"/>
      <c r="K379" s="442"/>
      <c r="S379" s="306"/>
    </row>
    <row r="380" spans="3:19" ht="13.2" customHeight="1">
      <c r="C380" s="996"/>
      <c r="K380" s="442"/>
      <c r="S380" s="306"/>
    </row>
    <row r="381" spans="3:19" ht="13.2" customHeight="1">
      <c r="C381" s="996"/>
      <c r="K381" s="442"/>
      <c r="S381" s="306"/>
    </row>
    <row r="382" spans="3:19" ht="13.2" customHeight="1">
      <c r="C382" s="996"/>
      <c r="K382" s="442"/>
      <c r="S382" s="306"/>
    </row>
    <row r="383" spans="3:19" ht="13.2" customHeight="1">
      <c r="C383" s="996"/>
      <c r="K383" s="442"/>
      <c r="S383" s="306"/>
    </row>
    <row r="384" spans="3:19" ht="13.2" customHeight="1">
      <c r="C384" s="996"/>
      <c r="K384" s="442"/>
      <c r="S384" s="306"/>
    </row>
    <row r="385" spans="3:19" ht="13.2" customHeight="1">
      <c r="C385" s="996"/>
      <c r="K385" s="442"/>
      <c r="S385" s="306"/>
    </row>
    <row r="386" spans="3:19" ht="13.2" customHeight="1">
      <c r="C386" s="996"/>
      <c r="K386" s="442"/>
      <c r="S386" s="306"/>
    </row>
    <row r="387" spans="3:19" ht="13.2" customHeight="1">
      <c r="C387" s="996"/>
      <c r="K387" s="442"/>
      <c r="S387" s="306"/>
    </row>
    <row r="388" spans="3:19" ht="13.2" customHeight="1">
      <c r="C388" s="996"/>
      <c r="K388" s="442"/>
      <c r="S388" s="306"/>
    </row>
    <row r="389" spans="3:19" ht="13.2" customHeight="1">
      <c r="C389" s="996"/>
      <c r="K389" s="442"/>
      <c r="S389" s="306"/>
    </row>
    <row r="390" spans="3:19" ht="13.2" customHeight="1">
      <c r="C390" s="996"/>
      <c r="K390" s="442"/>
      <c r="S390" s="306"/>
    </row>
    <row r="391" spans="3:19" ht="13.2" customHeight="1">
      <c r="C391" s="996"/>
      <c r="K391" s="442"/>
      <c r="S391" s="306"/>
    </row>
    <row r="392" spans="3:19" ht="13.2" customHeight="1">
      <c r="C392" s="996"/>
      <c r="K392" s="442"/>
      <c r="S392" s="306"/>
    </row>
    <row r="393" spans="3:19" ht="13.2" customHeight="1">
      <c r="C393" s="996"/>
      <c r="K393" s="442"/>
      <c r="S393" s="306"/>
    </row>
    <row r="394" spans="3:19" ht="13.2" customHeight="1">
      <c r="C394" s="996"/>
      <c r="K394" s="442"/>
      <c r="S394" s="306"/>
    </row>
    <row r="395" spans="3:19" ht="13.2" customHeight="1">
      <c r="C395" s="996"/>
      <c r="K395" s="442"/>
      <c r="S395" s="306"/>
    </row>
    <row r="396" spans="3:19" ht="13.2" customHeight="1">
      <c r="C396" s="996"/>
      <c r="K396" s="442"/>
      <c r="S396" s="306"/>
    </row>
    <row r="397" spans="3:19" ht="13.2" customHeight="1">
      <c r="C397" s="996"/>
      <c r="K397" s="442"/>
      <c r="S397" s="306"/>
    </row>
    <row r="398" spans="3:19" ht="13.2" customHeight="1">
      <c r="C398" s="996"/>
      <c r="K398" s="442"/>
      <c r="S398" s="306"/>
    </row>
    <row r="399" spans="3:19" ht="13.2" customHeight="1">
      <c r="C399" s="996"/>
      <c r="K399" s="442"/>
      <c r="S399" s="306"/>
    </row>
    <row r="400" spans="3:19" ht="13.2" customHeight="1">
      <c r="C400" s="996"/>
      <c r="K400" s="442"/>
      <c r="S400" s="306"/>
    </row>
    <row r="401" spans="3:19" ht="13.2" customHeight="1">
      <c r="C401" s="996"/>
      <c r="K401" s="442"/>
      <c r="S401" s="306"/>
    </row>
    <row r="402" spans="3:19" ht="13.2" customHeight="1">
      <c r="C402" s="996"/>
      <c r="K402" s="442"/>
      <c r="S402" s="306"/>
    </row>
    <row r="403" spans="3:19" ht="13.2" customHeight="1">
      <c r="C403" s="996"/>
      <c r="K403" s="442"/>
      <c r="S403" s="306"/>
    </row>
    <row r="404" spans="3:19" ht="13.2" customHeight="1">
      <c r="C404" s="996"/>
      <c r="K404" s="442"/>
      <c r="S404" s="306"/>
    </row>
    <row r="405" spans="3:19" ht="13.2" customHeight="1">
      <c r="C405" s="996"/>
      <c r="K405" s="442"/>
      <c r="S405" s="306"/>
    </row>
    <row r="406" spans="3:19" ht="13.2" customHeight="1">
      <c r="C406" s="996"/>
      <c r="K406" s="442"/>
      <c r="S406" s="306"/>
    </row>
    <row r="407" spans="3:19" ht="13.2" customHeight="1">
      <c r="C407" s="996"/>
      <c r="K407" s="442"/>
      <c r="S407" s="306"/>
    </row>
    <row r="408" spans="3:19" ht="13.2" customHeight="1">
      <c r="C408" s="996"/>
      <c r="K408" s="442"/>
      <c r="S408" s="306"/>
    </row>
    <row r="409" spans="3:19" ht="13.2" customHeight="1">
      <c r="C409" s="996"/>
      <c r="K409" s="442"/>
      <c r="S409" s="306"/>
    </row>
    <row r="410" spans="3:19" ht="13.2" customHeight="1">
      <c r="C410" s="996"/>
      <c r="K410" s="442"/>
      <c r="S410" s="306"/>
    </row>
    <row r="411" spans="3:19" ht="13.2" customHeight="1">
      <c r="C411" s="996"/>
      <c r="K411" s="442"/>
      <c r="S411" s="306"/>
    </row>
    <row r="412" spans="3:19" ht="13.2" customHeight="1">
      <c r="C412" s="996"/>
      <c r="K412" s="442"/>
      <c r="S412" s="306"/>
    </row>
    <row r="413" spans="3:19" ht="13.2" customHeight="1">
      <c r="C413" s="996"/>
      <c r="K413" s="442"/>
      <c r="S413" s="306"/>
    </row>
    <row r="414" spans="3:19" ht="13.2" customHeight="1">
      <c r="C414" s="996"/>
      <c r="K414" s="442"/>
      <c r="S414" s="306"/>
    </row>
    <row r="415" spans="3:19" ht="13.2" customHeight="1">
      <c r="C415" s="996"/>
      <c r="K415" s="442"/>
      <c r="S415" s="306"/>
    </row>
    <row r="416" spans="3:19" ht="13.2" customHeight="1">
      <c r="C416" s="996"/>
      <c r="K416" s="442"/>
      <c r="S416" s="306"/>
    </row>
    <row r="417" spans="3:19" ht="13.2" customHeight="1">
      <c r="C417" s="996"/>
      <c r="K417" s="442"/>
      <c r="S417" s="306"/>
    </row>
    <row r="418" spans="3:19" ht="13.2" customHeight="1">
      <c r="C418" s="996"/>
      <c r="K418" s="442"/>
      <c r="S418" s="306"/>
    </row>
    <row r="419" spans="3:19" ht="13.2" customHeight="1">
      <c r="C419" s="996"/>
      <c r="K419" s="442"/>
      <c r="S419" s="306"/>
    </row>
    <row r="420" spans="3:19" ht="13.2" customHeight="1">
      <c r="C420" s="996"/>
      <c r="K420" s="442"/>
      <c r="S420" s="306"/>
    </row>
    <row r="421" spans="3:19" ht="13.2" customHeight="1">
      <c r="C421" s="996"/>
      <c r="K421" s="442"/>
      <c r="S421" s="306"/>
    </row>
    <row r="422" spans="3:19" ht="13.2" customHeight="1">
      <c r="C422" s="996"/>
      <c r="K422" s="442"/>
      <c r="S422" s="306"/>
    </row>
    <row r="423" spans="3:19" ht="13.2" customHeight="1">
      <c r="C423" s="996"/>
      <c r="K423" s="442"/>
      <c r="S423" s="306"/>
    </row>
    <row r="424" spans="3:19" ht="13.2" customHeight="1">
      <c r="C424" s="996"/>
      <c r="K424" s="442"/>
      <c r="S424" s="306"/>
    </row>
    <row r="425" spans="3:19" ht="13.2" customHeight="1">
      <c r="C425" s="996" t="s">
        <v>7021</v>
      </c>
      <c r="K425" s="442"/>
      <c r="S425" s="306"/>
    </row>
    <row r="426" spans="3:19" ht="13.2" customHeight="1">
      <c r="C426" s="996"/>
      <c r="K426" s="442"/>
      <c r="S426" s="306"/>
    </row>
    <row r="427" spans="3:19" ht="13.2" customHeight="1">
      <c r="C427" s="996"/>
      <c r="K427" s="442"/>
      <c r="S427" s="306"/>
    </row>
    <row r="428" spans="3:19" ht="13.2" customHeight="1">
      <c r="C428" s="996"/>
      <c r="K428" s="442"/>
      <c r="S428" s="306"/>
    </row>
    <row r="429" spans="3:19" ht="9" customHeight="1">
      <c r="C429" s="996"/>
      <c r="K429" s="442"/>
      <c r="S429" s="306"/>
    </row>
    <row r="430" spans="3:19" ht="7.5" customHeight="1">
      <c r="C430" s="996"/>
      <c r="K430" s="442"/>
      <c r="S430" s="306"/>
    </row>
    <row r="431" spans="3:19">
      <c r="C431" s="996"/>
      <c r="K431" s="442"/>
      <c r="S431" s="306"/>
    </row>
  </sheetData>
  <sheetProtection algorithmName="SHA-512" hashValue="1kXDf4SHAAdnljukz7Ld+dMlHH/jQmkluWrF0/1uGFqIzS7L7tMp6dZY3cugCND4GZCzJ0OH1R/wbt6tMh1W9w==" saltValue="I2w9m8iYmuSzV00eJtuIvg==" spinCount="100000" sheet="1" objects="1" scenarios="1"/>
  <mergeCells count="85">
    <mergeCell ref="L16:M16"/>
    <mergeCell ref="L18:M18"/>
    <mergeCell ref="B19:H19"/>
    <mergeCell ref="C7:M7"/>
    <mergeCell ref="A4:K4"/>
    <mergeCell ref="L4:M4"/>
    <mergeCell ref="L11:M11"/>
    <mergeCell ref="L13:M13"/>
    <mergeCell ref="B11:K11"/>
    <mergeCell ref="B13:K13"/>
    <mergeCell ref="B14:H14"/>
    <mergeCell ref="E69:F69"/>
    <mergeCell ref="E40:F40"/>
    <mergeCell ref="E39:F39"/>
    <mergeCell ref="E41:F41"/>
    <mergeCell ref="E42:F42"/>
    <mergeCell ref="E43:F43"/>
    <mergeCell ref="E44:F44"/>
    <mergeCell ref="E45:F45"/>
    <mergeCell ref="E46:F46"/>
    <mergeCell ref="E47:F47"/>
    <mergeCell ref="E48:F48"/>
    <mergeCell ref="E54:F54"/>
    <mergeCell ref="E55:F55"/>
    <mergeCell ref="E56:F56"/>
    <mergeCell ref="E57:F57"/>
    <mergeCell ref="E49:F49"/>
    <mergeCell ref="A23:M23"/>
    <mergeCell ref="B34:B38"/>
    <mergeCell ref="E34:L34"/>
    <mergeCell ref="C35:C38"/>
    <mergeCell ref="D35:D38"/>
    <mergeCell ref="E35:F38"/>
    <mergeCell ref="G35:G38"/>
    <mergeCell ref="H35:L35"/>
    <mergeCell ref="A36:A38"/>
    <mergeCell ref="H36:I38"/>
    <mergeCell ref="J36:J38"/>
    <mergeCell ref="K36:L38"/>
    <mergeCell ref="E50:F50"/>
    <mergeCell ref="E51:F51"/>
    <mergeCell ref="E52:F52"/>
    <mergeCell ref="E53:F53"/>
    <mergeCell ref="E62:F62"/>
    <mergeCell ref="E58:F58"/>
    <mergeCell ref="H59:L59"/>
    <mergeCell ref="E59:F59"/>
    <mergeCell ref="E60:F60"/>
    <mergeCell ref="E61:F61"/>
    <mergeCell ref="H65:L65"/>
    <mergeCell ref="H54:L54"/>
    <mergeCell ref="H55:L55"/>
    <mergeCell ref="H56:L56"/>
    <mergeCell ref="H57:L57"/>
    <mergeCell ref="H58:L58"/>
    <mergeCell ref="H39:L39"/>
    <mergeCell ref="H40:L40"/>
    <mergeCell ref="H69:L69"/>
    <mergeCell ref="H41:L41"/>
    <mergeCell ref="H42:L42"/>
    <mergeCell ref="H43:L43"/>
    <mergeCell ref="H44:L44"/>
    <mergeCell ref="H45:L45"/>
    <mergeCell ref="H46:L46"/>
    <mergeCell ref="H47:L47"/>
    <mergeCell ref="H48:L48"/>
    <mergeCell ref="H49:L49"/>
    <mergeCell ref="H50:L50"/>
    <mergeCell ref="H51:L51"/>
    <mergeCell ref="H52:L52"/>
    <mergeCell ref="H53:L53"/>
    <mergeCell ref="H67:L67"/>
    <mergeCell ref="H68:L68"/>
    <mergeCell ref="E67:F67"/>
    <mergeCell ref="E68:F68"/>
    <mergeCell ref="H60:L60"/>
    <mergeCell ref="H61:L61"/>
    <mergeCell ref="H62:L62"/>
    <mergeCell ref="H63:L63"/>
    <mergeCell ref="H64:L64"/>
    <mergeCell ref="E63:F63"/>
    <mergeCell ref="E64:F64"/>
    <mergeCell ref="E65:F65"/>
    <mergeCell ref="E66:F66"/>
    <mergeCell ref="H66:L66"/>
  </mergeCells>
  <pageMargins left="0.7" right="0.7" top="0.75" bottom="0.75" header="0.3" footer="0.3"/>
  <pageSetup fitToHeight="0" orientation="portrait" r:id="rId1"/>
  <headerFooter>
    <oddHeader>&amp;LGeorgia Department of Community Affairs&amp;ROffice of Housing Finance</oddHeader>
    <oddFooter>&amp;L&amp;A&amp;C&amp;9page &amp;P of &amp;N</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1A03-CF27-4BC5-A8A7-B34C6D4CAFE4}">
  <sheetPr codeName="Sheet31"/>
  <dimension ref="A1:OZ1679"/>
  <sheetViews>
    <sheetView workbookViewId="0">
      <selection sqref="A1:XFD1048576"/>
    </sheetView>
  </sheetViews>
  <sheetFormatPr defaultColWidth="9.21875" defaultRowHeight="13.2"/>
  <cols>
    <col min="1" max="8" width="9.21875" style="251" bestFit="1" customWidth="1"/>
    <col min="9" max="9" width="14.44140625" style="251" bestFit="1" customWidth="1"/>
    <col min="10" max="10" width="9.21875" style="251" bestFit="1" customWidth="1"/>
    <col min="11" max="11" width="9.44140625" style="251" bestFit="1" customWidth="1"/>
    <col min="12" max="15" width="9.21875" style="251" bestFit="1" customWidth="1"/>
    <col min="16" max="16" width="9.5546875" style="251" bestFit="1" customWidth="1"/>
    <col min="17" max="21" width="9.21875" style="251" bestFit="1" customWidth="1"/>
    <col min="22" max="22" width="9.5546875" style="251" customWidth="1"/>
    <col min="23" max="23" width="9.21875" style="251" bestFit="1" customWidth="1"/>
    <col min="24" max="24" width="11.44140625" style="251" customWidth="1"/>
    <col min="25" max="394" width="9.21875" style="251" bestFit="1" customWidth="1"/>
    <col min="395" max="415" width="9.21875" style="251"/>
    <col min="416" max="416" width="9.21875" style="251" bestFit="1" customWidth="1"/>
    <col min="417" max="16384" width="9.21875" style="251"/>
  </cols>
  <sheetData>
    <row r="1" spans="1:16" ht="13.8">
      <c r="A1" s="1815" t="str">
        <f>CONCATENATE("Part I-Project Identification"," - ",$O$7," ",$F$26,", ",$F$27,", ",J26," County")</f>
        <v>Part I-Project Identification -  Tifton, Unincorporated County, Tift County</v>
      </c>
      <c r="B1" s="1815"/>
      <c r="C1" s="1815"/>
      <c r="D1" s="1815"/>
      <c r="E1" s="1815"/>
      <c r="F1" s="1815"/>
      <c r="G1" s="1815"/>
      <c r="H1" s="1815"/>
      <c r="I1" s="1815"/>
      <c r="J1" s="1815"/>
      <c r="K1" s="1815"/>
      <c r="L1" s="1815"/>
      <c r="M1" s="1815"/>
      <c r="N1" s="1815"/>
      <c r="O1" s="1815"/>
      <c r="P1" s="1815"/>
    </row>
    <row r="2" spans="1:16" ht="13.8">
      <c r="A2" s="1816"/>
      <c r="B2" s="1816"/>
      <c r="C2" s="1816"/>
      <c r="D2" s="1816"/>
      <c r="E2" s="1816"/>
      <c r="F2" s="1816"/>
      <c r="G2" s="1816"/>
      <c r="H2" s="1816"/>
      <c r="I2" s="1816"/>
      <c r="J2" s="1816"/>
      <c r="K2" s="1816"/>
      <c r="L2" s="1816"/>
      <c r="M2" s="1816"/>
      <c r="N2" s="1816"/>
      <c r="O2" s="1816"/>
      <c r="P2" s="1816"/>
    </row>
    <row r="3" spans="1:16" ht="12.75" customHeight="1">
      <c r="A3" s="1815" t="s">
        <v>7509</v>
      </c>
      <c r="B3" s="1815"/>
      <c r="C3" s="1815"/>
      <c r="D3" s="1815"/>
      <c r="E3" s="1815"/>
      <c r="F3" s="1815"/>
      <c r="G3" s="1815"/>
      <c r="H3" s="1815"/>
      <c r="I3" s="1815"/>
      <c r="J3" s="1815"/>
      <c r="K3" s="1815"/>
      <c r="L3" s="1815"/>
      <c r="M3" s="1815"/>
      <c r="N3" s="1815"/>
      <c r="O3" s="1815"/>
      <c r="P3" s="1815"/>
    </row>
    <row r="4" spans="1:16" ht="13.8">
      <c r="A4" s="1816"/>
      <c r="B4" s="1816"/>
      <c r="C4" s="1816"/>
      <c r="D4" s="1816"/>
      <c r="E4" s="1816"/>
      <c r="F4" s="1816"/>
      <c r="G4" s="1816"/>
      <c r="H4" s="1816"/>
      <c r="I4" s="1816"/>
      <c r="J4" s="1816"/>
      <c r="K4" s="1816"/>
      <c r="L4" s="1816"/>
      <c r="M4" s="1816"/>
      <c r="N4" s="1816"/>
      <c r="O4" s="1816"/>
      <c r="P4" s="1816"/>
    </row>
    <row r="5" spans="1:16" ht="14.25" customHeight="1">
      <c r="A5" s="1817" t="str">
        <f>'Part I-Project Identification'!$A$6</f>
        <v>May XX, 2026</v>
      </c>
      <c r="B5" s="1817"/>
      <c r="C5" s="1817"/>
      <c r="D5" s="1817"/>
      <c r="E5" s="1235"/>
      <c r="F5" s="1816"/>
      <c r="G5" s="1818" t="s">
        <v>7510</v>
      </c>
      <c r="H5" s="1235"/>
      <c r="I5" s="1235"/>
      <c r="J5" s="1235"/>
      <c r="K5" s="1235"/>
      <c r="L5" s="1816"/>
      <c r="M5" s="1235"/>
      <c r="N5" s="1235"/>
      <c r="O5" s="1235"/>
      <c r="P5" s="1819" t="s">
        <v>16</v>
      </c>
    </row>
    <row r="6" spans="1:16" ht="14.25" customHeight="1">
      <c r="A6" s="1817"/>
      <c r="B6" s="1817"/>
      <c r="C6" s="1817"/>
      <c r="D6" s="1817"/>
      <c r="E6" s="253"/>
      <c r="F6" s="1816"/>
      <c r="G6" s="1818" t="s">
        <v>7511</v>
      </c>
      <c r="H6" s="1086"/>
      <c r="I6" s="1086"/>
      <c r="J6" s="1086"/>
      <c r="K6" s="1235"/>
      <c r="L6" s="1235"/>
      <c r="M6" s="1235"/>
      <c r="N6" s="1235"/>
      <c r="O6" s="1815" t="str">
        <f>'Part I-Project Identification'!O7</f>
        <v>2026-0xx</v>
      </c>
      <c r="P6" s="1815"/>
    </row>
    <row r="7" spans="1:16" ht="12.75" customHeight="1">
      <c r="A7" s="1817"/>
      <c r="B7" s="1817"/>
      <c r="C7" s="1817"/>
      <c r="D7" s="1817"/>
      <c r="E7" s="253"/>
      <c r="F7" s="1815"/>
      <c r="G7" s="1820" t="s">
        <v>20</v>
      </c>
      <c r="H7" s="1086"/>
      <c r="I7" s="1086"/>
      <c r="J7" s="1086"/>
      <c r="K7" s="1235"/>
      <c r="L7" s="1235"/>
      <c r="M7" s="1235"/>
      <c r="N7" s="1235"/>
      <c r="O7" s="1235"/>
      <c r="P7" s="1235"/>
    </row>
    <row r="8" spans="1:16" ht="13.8">
      <c r="A8" s="1816"/>
      <c r="B8" s="1235"/>
      <c r="C8" s="1235"/>
      <c r="D8" s="1235"/>
      <c r="E8" s="1086"/>
      <c r="F8" s="1235"/>
      <c r="G8" s="1235"/>
      <c r="H8" s="1086"/>
      <c r="I8" s="1086"/>
      <c r="J8" s="1235"/>
      <c r="K8" s="1235"/>
      <c r="L8" s="1235"/>
      <c r="M8" s="1086"/>
      <c r="N8" s="1235"/>
      <c r="O8" s="1235"/>
      <c r="P8" s="1235"/>
    </row>
    <row r="9" spans="1:16" ht="13.8">
      <c r="A9" s="1815" t="s">
        <v>21</v>
      </c>
      <c r="B9" s="1815" t="s">
        <v>22</v>
      </c>
      <c r="C9" s="1235"/>
      <c r="D9" s="270"/>
      <c r="E9" s="1086"/>
      <c r="F9" s="1821" t="s">
        <v>23</v>
      </c>
      <c r="G9" s="1235"/>
      <c r="H9" s="1235"/>
      <c r="I9" s="1822">
        <f>'Part III-A-Uses of Funds'!$J$192</f>
        <v>1145000</v>
      </c>
      <c r="J9" s="1822"/>
      <c r="K9" s="1235"/>
      <c r="L9" s="1235" t="s">
        <v>24</v>
      </c>
      <c r="M9" s="1235"/>
      <c r="N9" s="1235"/>
      <c r="O9" s="1823">
        <f>'Part II-Sources of Funds'!$H$6</f>
        <v>0</v>
      </c>
      <c r="P9" s="1823"/>
    </row>
    <row r="10" spans="1:16" ht="13.8">
      <c r="A10" s="1815"/>
      <c r="B10" s="1815"/>
      <c r="C10" s="1235"/>
      <c r="D10" s="270"/>
      <c r="E10" s="1086"/>
      <c r="F10" s="1086"/>
      <c r="G10" s="1235"/>
      <c r="H10" s="1235"/>
      <c r="I10" s="1824"/>
      <c r="J10" s="1235"/>
      <c r="K10" s="1235"/>
      <c r="L10" s="1235"/>
      <c r="M10" s="1235"/>
      <c r="N10" s="1825"/>
      <c r="O10" s="1235"/>
      <c r="P10" s="1235"/>
    </row>
    <row r="11" spans="1:16" ht="13.8">
      <c r="A11" s="1824" t="s">
        <v>25</v>
      </c>
      <c r="B11" s="1815" t="s">
        <v>26</v>
      </c>
      <c r="C11" s="1235"/>
      <c r="D11" s="1235"/>
      <c r="E11" s="1235"/>
      <c r="F11" s="1742" t="str">
        <f>'Part I-Project Identification'!F12</f>
        <v>9% Credits</v>
      </c>
      <c r="G11" s="1742"/>
      <c r="H11" s="1742"/>
      <c r="I11" s="1826" t="s">
        <v>7512</v>
      </c>
      <c r="J11" s="1742" t="s">
        <v>7513</v>
      </c>
      <c r="K11" s="1815"/>
      <c r="L11" s="1086"/>
      <c r="M11" s="1235"/>
      <c r="N11" s="1235"/>
      <c r="O11" s="1235" t="str">
        <f>'Part I-Project Identification'!O12</f>
        <v>&lt;&lt;Enter Pre-App Nbr&gt;&gt;</v>
      </c>
      <c r="P11" s="1235"/>
    </row>
    <row r="12" spans="1:16" ht="13.8">
      <c r="A12" s="1827"/>
      <c r="B12" s="1746"/>
      <c r="C12" s="1828"/>
      <c r="D12" s="1828"/>
      <c r="E12" s="1828"/>
      <c r="F12" s="1829" t="s">
        <v>30</v>
      </c>
      <c r="G12" s="1746"/>
      <c r="H12" s="1830"/>
      <c r="I12" s="1830"/>
      <c r="J12" s="1830"/>
      <c r="K12" s="1830"/>
      <c r="L12" s="1830"/>
      <c r="M12" s="1830"/>
      <c r="N12" s="1830"/>
      <c r="O12" s="1830"/>
      <c r="P12" s="1748">
        <f>'Part I-Project Identification'!P13</f>
        <v>0</v>
      </c>
    </row>
    <row r="13" spans="1:16" ht="13.8">
      <c r="A13" s="1816"/>
      <c r="B13" s="270"/>
      <c r="C13" s="270"/>
      <c r="D13" s="270"/>
      <c r="E13" s="270"/>
      <c r="F13" s="1235"/>
      <c r="G13" s="1235"/>
      <c r="H13" s="1086"/>
      <c r="I13" s="1235"/>
      <c r="J13" s="1821"/>
      <c r="K13" s="1824"/>
      <c r="L13" s="1235"/>
      <c r="M13" s="1086"/>
      <c r="N13" s="1235"/>
      <c r="O13" s="1235"/>
      <c r="P13" s="1235"/>
    </row>
    <row r="14" spans="1:16" ht="13.8">
      <c r="A14" s="1824" t="s">
        <v>32</v>
      </c>
      <c r="B14" s="1815" t="s">
        <v>33</v>
      </c>
      <c r="C14" s="1235"/>
      <c r="D14" s="1821"/>
      <c r="E14" s="1086"/>
      <c r="F14" s="1235"/>
      <c r="G14" s="1086"/>
      <c r="H14" s="1086"/>
      <c r="I14" s="1831" t="s">
        <v>34</v>
      </c>
      <c r="J14" s="1235"/>
      <c r="K14" s="1235"/>
      <c r="L14" s="1825"/>
      <c r="M14" s="1235"/>
      <c r="N14" s="1235"/>
      <c r="O14" s="1235"/>
      <c r="P14" s="1235"/>
    </row>
    <row r="15" spans="1:16" ht="13.8">
      <c r="A15" s="1235"/>
      <c r="B15" s="1235" t="s">
        <v>35</v>
      </c>
      <c r="C15" s="1235"/>
      <c r="D15" s="1235"/>
      <c r="E15" s="1235"/>
      <c r="F15" s="1235" t="str">
        <f>'Part I-Project Identification'!F17</f>
        <v>Hall Group, LLC</v>
      </c>
      <c r="G15" s="1235"/>
      <c r="H15" s="1235"/>
      <c r="I15" s="1235" t="s">
        <v>36</v>
      </c>
      <c r="J15" s="1235" t="str">
        <f>'Part I-Project Identification'!J17</f>
        <v>Gary Hall</v>
      </c>
      <c r="K15" s="1235"/>
      <c r="L15" s="1235"/>
      <c r="M15" s="1821" t="s">
        <v>37</v>
      </c>
      <c r="N15" s="1235" t="str">
        <f>'Part I-Project Identification'!N17</f>
        <v>President</v>
      </c>
      <c r="O15" s="1235"/>
      <c r="P15" s="1235"/>
    </row>
    <row r="16" spans="1:16" ht="13.8">
      <c r="A16" s="1235"/>
      <c r="B16" s="1821" t="s">
        <v>38</v>
      </c>
      <c r="C16" s="1235"/>
      <c r="D16" s="1235"/>
      <c r="E16" s="1235"/>
      <c r="F16" s="1832">
        <f>'Part I-Project Identification'!F18</f>
        <v>3347942678</v>
      </c>
      <c r="G16" s="1832"/>
      <c r="H16" s="1832"/>
      <c r="I16" s="1821" t="s">
        <v>39</v>
      </c>
      <c r="J16" s="1086">
        <f>'Part I-Project Identification'!J18</f>
        <v>0</v>
      </c>
      <c r="K16" s="1235"/>
      <c r="L16" s="1235"/>
      <c r="M16" s="1821" t="s">
        <v>40</v>
      </c>
      <c r="N16" s="1832">
        <f>'Part I-Project Identification'!N18</f>
        <v>3347942678</v>
      </c>
      <c r="O16" s="1832"/>
      <c r="P16" s="1832"/>
    </row>
    <row r="17" spans="1:16" ht="13.8">
      <c r="A17" s="1235"/>
      <c r="B17" s="1821" t="s">
        <v>41</v>
      </c>
      <c r="C17" s="1235"/>
      <c r="D17" s="1235"/>
      <c r="E17" s="1235"/>
      <c r="F17" s="1235" t="str">
        <f>'Part I-Project Identification'!F19</f>
        <v>ghall@hallhousing.net</v>
      </c>
      <c r="G17" s="1235"/>
      <c r="H17" s="1235"/>
      <c r="I17" s="1235"/>
      <c r="J17" s="1235"/>
      <c r="K17" s="1235"/>
      <c r="L17" s="1235"/>
      <c r="M17" s="1821" t="s">
        <v>42</v>
      </c>
      <c r="N17" s="1832">
        <f>'Part I-Project Identification'!N19</f>
        <v>0</v>
      </c>
      <c r="O17" s="1832"/>
      <c r="P17" s="1832"/>
    </row>
    <row r="18" spans="1:16" ht="13.8">
      <c r="A18" s="1816"/>
      <c r="B18" s="1815" t="s">
        <v>43</v>
      </c>
      <c r="C18" s="270"/>
      <c r="D18" s="1235"/>
      <c r="E18" s="1235"/>
      <c r="F18" s="1235"/>
      <c r="G18" s="1235"/>
      <c r="H18" s="1086"/>
      <c r="I18" s="1235"/>
      <c r="J18" s="270"/>
      <c r="K18" s="1235"/>
      <c r="L18" s="1235"/>
      <c r="M18" s="1235"/>
      <c r="N18" s="1235"/>
      <c r="O18" s="1235"/>
      <c r="P18" s="1086"/>
    </row>
    <row r="19" spans="1:16" ht="13.8">
      <c r="A19" s="1235"/>
      <c r="B19" s="1235" t="s">
        <v>35</v>
      </c>
      <c r="C19" s="1235"/>
      <c r="D19" s="1235"/>
      <c r="E19" s="1235"/>
      <c r="F19" s="1235" t="str">
        <f>'Part I-Project Identification'!F21</f>
        <v>Hall Group, LLC</v>
      </c>
      <c r="G19" s="1235"/>
      <c r="H19" s="1235"/>
      <c r="I19" s="1235" t="s">
        <v>36</v>
      </c>
      <c r="J19" s="1235" t="str">
        <f>'Part I-Project Identification'!J21</f>
        <v>John David Chambless</v>
      </c>
      <c r="K19" s="1235"/>
      <c r="L19" s="1235"/>
      <c r="M19" s="1821" t="s">
        <v>37</v>
      </c>
      <c r="N19" s="1235" t="str">
        <f>'Part I-Project Identification'!N21</f>
        <v>Director of Development</v>
      </c>
      <c r="O19" s="1235"/>
      <c r="P19" s="1235"/>
    </row>
    <row r="20" spans="1:16" ht="13.8">
      <c r="A20" s="1235"/>
      <c r="B20" s="1821" t="s">
        <v>38</v>
      </c>
      <c r="C20" s="1235"/>
      <c r="D20" s="1235"/>
      <c r="E20" s="1235"/>
      <c r="F20" s="1832">
        <f>'Part I-Project Identification'!F22</f>
        <v>2653035829</v>
      </c>
      <c r="G20" s="1832"/>
      <c r="H20" s="1832"/>
      <c r="I20" s="1821" t="s">
        <v>39</v>
      </c>
      <c r="J20" s="1086">
        <f>'Part I-Project Identification'!J22</f>
        <v>0</v>
      </c>
      <c r="K20" s="1235"/>
      <c r="L20" s="1235"/>
      <c r="M20" s="1821" t="s">
        <v>40</v>
      </c>
      <c r="N20" s="1832">
        <f>'Part I-Project Identification'!N22</f>
        <v>2563035829</v>
      </c>
      <c r="O20" s="1832"/>
      <c r="P20" s="1832"/>
    </row>
    <row r="21" spans="1:16" ht="13.8">
      <c r="A21" s="1235"/>
      <c r="B21" s="1821" t="s">
        <v>41</v>
      </c>
      <c r="C21" s="1235"/>
      <c r="D21" s="1235"/>
      <c r="E21" s="1235"/>
      <c r="F21" s="1235" t="str">
        <f>'Part I-Project Identification'!F23</f>
        <v>jdchambless@pwigc.net</v>
      </c>
      <c r="G21" s="1235"/>
      <c r="H21" s="1235"/>
      <c r="I21" s="1235"/>
      <c r="J21" s="1235"/>
      <c r="K21" s="1235"/>
      <c r="L21" s="1235"/>
      <c r="M21" s="1821" t="s">
        <v>42</v>
      </c>
      <c r="N21" s="1832">
        <f>'Part I-Project Identification'!N23</f>
        <v>0</v>
      </c>
      <c r="O21" s="1832"/>
      <c r="P21" s="1832"/>
    </row>
    <row r="22" spans="1:16" ht="13.8">
      <c r="A22" s="1235"/>
      <c r="B22" s="1235"/>
      <c r="C22" s="1235"/>
      <c r="D22" s="1235"/>
      <c r="E22" s="1235"/>
      <c r="F22" s="1235"/>
      <c r="G22" s="1235"/>
      <c r="H22" s="1235"/>
      <c r="I22" s="270"/>
      <c r="J22" s="270"/>
      <c r="K22" s="270"/>
      <c r="L22" s="270"/>
      <c r="M22" s="270"/>
      <c r="N22" s="270"/>
      <c r="O22" s="270"/>
      <c r="P22" s="270"/>
    </row>
    <row r="23" spans="1:16" ht="13.8">
      <c r="A23" s="1824" t="s">
        <v>44</v>
      </c>
      <c r="B23" s="1815" t="s">
        <v>45</v>
      </c>
      <c r="C23" s="1235"/>
      <c r="D23" s="270"/>
      <c r="E23" s="1086"/>
      <c r="F23" s="1086"/>
      <c r="G23" s="1821"/>
      <c r="H23" s="1086"/>
      <c r="I23" s="1086"/>
      <c r="J23" s="1086"/>
      <c r="K23" s="1235"/>
      <c r="L23" s="1235"/>
      <c r="M23" s="1235"/>
      <c r="N23" s="1235"/>
      <c r="O23" s="1235"/>
      <c r="P23" s="1235"/>
    </row>
    <row r="24" spans="1:16" ht="13.8">
      <c r="A24" s="1824"/>
      <c r="B24" s="1815"/>
      <c r="C24" s="1235"/>
      <c r="D24" s="270"/>
      <c r="E24" s="1086"/>
      <c r="F24" s="1086"/>
      <c r="G24" s="1821"/>
      <c r="H24" s="1086"/>
      <c r="I24" s="1086"/>
      <c r="J24" s="1086"/>
      <c r="K24" s="1235"/>
      <c r="L24" s="1825"/>
      <c r="M24" s="1825"/>
      <c r="N24" s="1235"/>
      <c r="O24" s="1235"/>
      <c r="P24" s="1235"/>
    </row>
    <row r="25" spans="1:16" ht="13.8">
      <c r="A25" s="1815"/>
      <c r="B25" s="1235" t="s">
        <v>46</v>
      </c>
      <c r="C25" s="1235"/>
      <c r="D25" s="1815"/>
      <c r="E25" s="1235"/>
      <c r="F25" s="1235" t="str">
        <f>'Part I-Project Identification'!F27</f>
        <v>The Groves</v>
      </c>
      <c r="G25" s="1235"/>
      <c r="H25" s="1235"/>
      <c r="I25" s="1235"/>
      <c r="J25" s="1235"/>
      <c r="K25" s="1235"/>
      <c r="L25" s="1235"/>
      <c r="M25" s="1821" t="s">
        <v>47</v>
      </c>
      <c r="N25" s="1235"/>
      <c r="O25" s="1235"/>
      <c r="P25" s="1833" t="str">
        <f>'Part I-Project Identification'!P27</f>
        <v>No</v>
      </c>
    </row>
    <row r="26" spans="1:16" ht="13.8">
      <c r="A26" s="1816"/>
      <c r="B26" s="1235" t="s">
        <v>48</v>
      </c>
      <c r="C26" s="1235"/>
      <c r="D26" s="1235"/>
      <c r="E26" s="1235"/>
      <c r="F26" s="1235" t="str">
        <f>'Part I-Project Identification'!F28</f>
        <v>Tifton</v>
      </c>
      <c r="G26" s="1235"/>
      <c r="H26" s="1235"/>
      <c r="I26" s="1834" t="s">
        <v>50</v>
      </c>
      <c r="J26" s="1235" t="str">
        <f>'Part I-Project Identification'!J28</f>
        <v>Tift</v>
      </c>
      <c r="K26" s="1235"/>
      <c r="L26" s="1235"/>
      <c r="M26" s="1821" t="s">
        <v>51</v>
      </c>
      <c r="N26" s="1235"/>
      <c r="O26" s="1235"/>
      <c r="P26" s="1833" t="str">
        <f>'Part I-Project Identification'!P28</f>
        <v>No</v>
      </c>
    </row>
    <row r="27" spans="1:16" ht="13.8">
      <c r="A27" s="1816"/>
      <c r="B27" s="1235" t="s">
        <v>52</v>
      </c>
      <c r="C27" s="1835"/>
      <c r="D27" s="1133"/>
      <c r="E27" s="1133"/>
      <c r="F27" s="1235" t="str">
        <f>'Part I-Project Identification'!F29</f>
        <v>Unincorporated County</v>
      </c>
      <c r="G27" s="1235"/>
      <c r="H27" s="1235"/>
      <c r="I27" s="1086"/>
      <c r="J27" s="271" t="s">
        <v>53</v>
      </c>
      <c r="K27" s="1086"/>
      <c r="L27" s="1235"/>
      <c r="M27" s="1821" t="s">
        <v>54</v>
      </c>
      <c r="N27" s="1235"/>
      <c r="O27" s="1836">
        <f>'Part I-Project Identification'!O29</f>
        <v>11.44</v>
      </c>
      <c r="P27" s="1836"/>
    </row>
    <row r="28" spans="1:16" ht="13.8">
      <c r="A28" s="1816"/>
      <c r="B28" s="1235" t="s">
        <v>55</v>
      </c>
      <c r="C28" s="1235"/>
      <c r="D28" s="1235"/>
      <c r="E28" s="1235"/>
      <c r="F28" s="1821" t="str">
        <f>'Part I-Project Identification'!F30</f>
        <v>Yes</v>
      </c>
      <c r="G28" s="1235"/>
      <c r="H28" s="1235"/>
      <c r="I28" s="1086"/>
      <c r="J28" s="1086" t="s">
        <v>56</v>
      </c>
      <c r="K28" s="1086" t="str">
        <f>'Part I-Project Identification'!K30</f>
        <v>Rural</v>
      </c>
      <c r="L28" s="1235"/>
      <c r="M28" s="1821" t="s">
        <v>57</v>
      </c>
      <c r="N28" s="1816" t="str">
        <f>'Part I-Project Identification'!N30</f>
        <v>Non-MSA</v>
      </c>
      <c r="O28" s="1235" t="str">
        <f>'Part I-Project Identification'!O30</f>
        <v>Tift Co.</v>
      </c>
      <c r="P28" s="1235"/>
    </row>
    <row r="29" spans="1:16" ht="13.8">
      <c r="A29" s="1816"/>
      <c r="B29" s="1816"/>
      <c r="C29" s="1835"/>
      <c r="D29" s="1133"/>
      <c r="E29" s="1133"/>
      <c r="F29" s="1086"/>
      <c r="G29" s="1086"/>
      <c r="H29" s="1086"/>
      <c r="I29" s="1086"/>
      <c r="J29" s="1133"/>
      <c r="K29" s="1086"/>
      <c r="L29" s="1086"/>
      <c r="M29" s="1235"/>
      <c r="N29" s="1235"/>
      <c r="O29" s="1235"/>
      <c r="P29" s="1086"/>
    </row>
    <row r="30" spans="1:16" ht="13.8">
      <c r="A30" s="1824" t="s">
        <v>58</v>
      </c>
      <c r="B30" s="1824" t="s">
        <v>59</v>
      </c>
      <c r="C30" s="1235"/>
      <c r="D30" s="269"/>
      <c r="E30" s="269"/>
      <c r="F30" s="269"/>
      <c r="G30" s="1086"/>
      <c r="H30" s="1086"/>
      <c r="I30" s="1086"/>
      <c r="J30" s="1133"/>
      <c r="K30" s="1086"/>
      <c r="L30" s="1086"/>
      <c r="M30" s="1235"/>
      <c r="N30" s="1235"/>
      <c r="O30" s="1235"/>
      <c r="P30" s="1086"/>
    </row>
    <row r="31" spans="1:16" ht="13.8">
      <c r="A31" s="1816"/>
      <c r="B31" s="1816"/>
      <c r="C31" s="1235"/>
      <c r="D31" s="1235"/>
      <c r="E31" s="1235"/>
      <c r="F31" s="1235"/>
      <c r="G31" s="1235"/>
      <c r="H31" s="1235"/>
      <c r="I31" s="1235"/>
      <c r="J31" s="1235"/>
      <c r="K31" s="1235"/>
      <c r="L31" s="1235"/>
      <c r="M31" s="1821"/>
      <c r="N31" s="1837"/>
      <c r="O31" s="1837"/>
      <c r="P31" s="1838"/>
    </row>
    <row r="32" spans="1:16" ht="13.8">
      <c r="A32" s="1816"/>
      <c r="B32" s="1824" t="s">
        <v>60</v>
      </c>
      <c r="C32" s="1235"/>
      <c r="D32" s="1839"/>
      <c r="E32" s="1839"/>
      <c r="F32" s="1839"/>
      <c r="G32" s="1839"/>
      <c r="H32" s="1086"/>
      <c r="I32" s="1235"/>
      <c r="J32" s="270"/>
      <c r="K32" s="1133"/>
      <c r="L32" s="1235"/>
      <c r="M32" s="1235"/>
      <c r="N32" s="1235"/>
      <c r="O32" s="1235"/>
      <c r="P32" s="1086"/>
    </row>
    <row r="33" spans="1:17" ht="13.8">
      <c r="A33" s="1816"/>
      <c r="B33" s="1816"/>
      <c r="C33" s="1824"/>
      <c r="D33" s="1839"/>
      <c r="E33" s="1839"/>
      <c r="F33" s="1839"/>
      <c r="G33" s="1839"/>
      <c r="H33" s="1086"/>
      <c r="I33" s="1235"/>
      <c r="J33" s="270"/>
      <c r="K33" s="1133"/>
      <c r="L33" s="1235"/>
      <c r="M33" s="1235"/>
      <c r="N33" s="1235"/>
      <c r="O33" s="1235"/>
      <c r="P33" s="1086"/>
    </row>
    <row r="34" spans="1:17" ht="13.8">
      <c r="A34" s="1816"/>
      <c r="B34" s="1816"/>
      <c r="C34" s="1235"/>
      <c r="D34" s="1742"/>
      <c r="E34" s="1235"/>
      <c r="F34" s="1235"/>
      <c r="G34" s="1235"/>
      <c r="H34" s="1235"/>
      <c r="J34" s="1235"/>
      <c r="K34" s="1815"/>
      <c r="L34" s="1235"/>
      <c r="M34" s="1235"/>
      <c r="N34" s="1235"/>
      <c r="O34" s="1235"/>
      <c r="P34" s="1133"/>
    </row>
    <row r="35" spans="1:17" ht="13.8">
      <c r="A35" s="1816"/>
      <c r="B35" s="1815"/>
      <c r="C35" s="1235"/>
      <c r="D35" s="1235"/>
      <c r="E35" s="1235"/>
      <c r="F35" s="1235"/>
      <c r="G35" s="1235"/>
      <c r="H35" s="1235"/>
      <c r="I35" s="1133"/>
      <c r="J35" s="1834"/>
      <c r="K35" s="1235"/>
      <c r="L35" s="1235"/>
      <c r="M35" s="1235"/>
      <c r="N35" s="1235"/>
      <c r="O35" s="1840"/>
      <c r="P35" s="1840"/>
    </row>
    <row r="36" spans="1:17" ht="13.8">
      <c r="A36" s="1816"/>
      <c r="B36" s="1815"/>
      <c r="C36" s="1235" t="s">
        <v>65</v>
      </c>
      <c r="D36" s="1235"/>
      <c r="E36" s="1235"/>
      <c r="F36" s="1235"/>
      <c r="G36" s="1235"/>
      <c r="H36" s="1235"/>
      <c r="I36" s="1133" t="str">
        <f>'Part I-Project Identification'!I38</f>
        <v>No</v>
      </c>
      <c r="J36" s="1834" t="s">
        <v>64</v>
      </c>
      <c r="K36" s="1235"/>
      <c r="L36" s="1235"/>
      <c r="M36" s="1235"/>
      <c r="N36" s="1235"/>
      <c r="O36" s="1840">
        <f>'Part I-Project Identification'!O38</f>
        <v>0</v>
      </c>
      <c r="P36" s="1840"/>
    </row>
    <row r="37" spans="1:17" ht="13.8">
      <c r="A37" s="1816"/>
      <c r="B37" s="1816"/>
      <c r="C37" s="1235" t="s">
        <v>66</v>
      </c>
      <c r="D37" s="1235"/>
      <c r="E37" s="1235"/>
      <c r="F37" s="1235"/>
      <c r="G37" s="1235"/>
      <c r="H37" s="1235"/>
      <c r="I37" s="1133" t="str">
        <f>'Part I-Project Identification'!I39</f>
        <v>No</v>
      </c>
      <c r="J37" s="1834" t="s">
        <v>64</v>
      </c>
      <c r="K37" s="1235"/>
      <c r="L37" s="1235"/>
      <c r="M37" s="1235"/>
      <c r="N37" s="1235"/>
      <c r="O37" s="1840">
        <f>'Part I-Project Identification'!O39</f>
        <v>0</v>
      </c>
      <c r="P37" s="1840"/>
    </row>
    <row r="38" spans="1:17" ht="13.8">
      <c r="A38" s="1816"/>
      <c r="B38" s="1816"/>
      <c r="C38" s="1235"/>
      <c r="D38" s="1235"/>
      <c r="E38" s="1235"/>
      <c r="F38" s="1235"/>
      <c r="G38" s="1235"/>
      <c r="H38" s="1235"/>
      <c r="I38" s="1235"/>
      <c r="J38" s="1235"/>
      <c r="K38" s="1235"/>
      <c r="L38" s="1235"/>
      <c r="M38" s="1235"/>
      <c r="N38" s="1235"/>
      <c r="O38" s="1235"/>
      <c r="P38" s="270"/>
    </row>
    <row r="39" spans="1:17" ht="13.8">
      <c r="A39" s="1235"/>
      <c r="B39" s="1815"/>
      <c r="C39" s="1235"/>
      <c r="D39" s="1235"/>
      <c r="E39" s="1235"/>
      <c r="F39" s="1235"/>
      <c r="G39" s="1235"/>
      <c r="H39" s="1235"/>
      <c r="I39" s="1235"/>
      <c r="J39" s="1235"/>
      <c r="K39" s="1235"/>
      <c r="L39" s="270"/>
      <c r="M39" s="270"/>
      <c r="N39" s="270"/>
      <c r="O39" s="270"/>
      <c r="P39" s="1825"/>
    </row>
    <row r="40" spans="1:17" ht="13.8">
      <c r="A40" s="1824" t="s">
        <v>67</v>
      </c>
      <c r="B40" s="269"/>
      <c r="C40" s="269" t="s">
        <v>68</v>
      </c>
      <c r="D40" s="270"/>
      <c r="E40" s="270"/>
      <c r="F40" s="270"/>
      <c r="G40" s="270"/>
      <c r="H40" s="270"/>
      <c r="I40" s="270"/>
      <c r="J40" s="270"/>
      <c r="K40" s="270"/>
      <c r="L40" s="270"/>
      <c r="M40" s="1824" t="s">
        <v>69</v>
      </c>
      <c r="N40" s="269" t="s">
        <v>70</v>
      </c>
      <c r="O40" s="270"/>
      <c r="P40" s="270"/>
    </row>
    <row r="41" spans="1:17" ht="13.8">
      <c r="A41" s="1824"/>
      <c r="B41" s="269"/>
      <c r="C41" s="269"/>
      <c r="D41" s="270"/>
      <c r="E41" s="270"/>
      <c r="F41" s="270"/>
      <c r="G41" s="270"/>
      <c r="H41" s="270"/>
      <c r="I41" s="270"/>
      <c r="J41" s="270"/>
      <c r="K41" s="270"/>
      <c r="L41" s="270"/>
      <c r="M41" s="1824"/>
      <c r="N41" s="269"/>
      <c r="O41" s="270"/>
      <c r="P41" s="270"/>
    </row>
    <row r="42" spans="1:17">
      <c r="A42" s="1841">
        <f>'Part I-Project Identification'!A44</f>
        <v>0</v>
      </c>
      <c r="B42" s="1841"/>
      <c r="C42" s="1841"/>
      <c r="D42" s="1841"/>
      <c r="E42" s="1841"/>
      <c r="F42" s="1841"/>
      <c r="G42" s="1841"/>
      <c r="H42" s="1841"/>
      <c r="I42" s="1841"/>
      <c r="J42" s="1841"/>
      <c r="K42" s="1841"/>
      <c r="L42" s="1841"/>
      <c r="M42" s="1841"/>
      <c r="N42" s="1841"/>
      <c r="O42" s="1841"/>
      <c r="P42" s="1841"/>
    </row>
    <row r="46" spans="1:17" ht="13.8">
      <c r="A46" s="1815" t="str">
        <f>CONCATENATE("PART TWO - SOURCES OF FUNDS (Proposed)","  -  ",'Part I-Project Identification'!$O$7," ",'Part I-Project Identification'!$F$27,", ",'Part I-Project Identification'!$F$28,", ",'Part I-Project Identification'!$J$28," County")</f>
        <v>PART TWO - SOURCES OF FUNDS (Proposed)  -  2026-0xx The Groves, Tifton, Tift County</v>
      </c>
      <c r="B46" s="1815"/>
      <c r="C46" s="1815"/>
      <c r="D46" s="1815"/>
      <c r="E46" s="1815"/>
      <c r="F46" s="1815"/>
      <c r="G46" s="1815"/>
      <c r="H46" s="1815"/>
      <c r="I46" s="1815"/>
      <c r="J46" s="1815"/>
      <c r="K46" s="1815"/>
      <c r="L46" s="1815"/>
      <c r="M46" s="1815"/>
      <c r="N46" s="1815"/>
      <c r="O46" s="1815"/>
      <c r="P46" s="1815"/>
      <c r="Q46" s="1815"/>
    </row>
    <row r="47" spans="1:17" ht="13.8">
      <c r="A47" s="270"/>
      <c r="B47" s="270"/>
      <c r="C47" s="270"/>
      <c r="D47" s="270"/>
      <c r="E47" s="270"/>
      <c r="F47" s="270"/>
      <c r="G47" s="253"/>
      <c r="H47" s="253"/>
      <c r="I47" s="253"/>
      <c r="J47" s="253"/>
      <c r="K47" s="253"/>
      <c r="L47" s="253"/>
      <c r="M47" s="1740"/>
      <c r="N47" s="1740"/>
      <c r="O47" s="1740"/>
      <c r="P47" s="1740"/>
      <c r="Q47" s="1740"/>
    </row>
    <row r="48" spans="1:17" ht="13.8">
      <c r="A48" s="1815" t="s">
        <v>21</v>
      </c>
      <c r="B48" s="1815" t="s">
        <v>349</v>
      </c>
      <c r="C48" s="1235"/>
      <c r="D48" s="1235"/>
      <c r="E48" s="1235"/>
      <c r="F48" s="1235"/>
      <c r="G48" s="1235"/>
      <c r="H48" s="1741"/>
      <c r="I48" s="1741"/>
      <c r="J48" s="1741"/>
      <c r="K48" s="1741"/>
      <c r="L48" s="1842" t="str">
        <f>'Part I-Project Identification'!$A$6</f>
        <v>May XX, 2026</v>
      </c>
      <c r="M48" s="1842"/>
      <c r="N48" s="1842"/>
      <c r="O48" s="1842"/>
      <c r="P48" s="1842"/>
      <c r="Q48" s="1741"/>
    </row>
    <row r="49" spans="1:17" ht="13.8">
      <c r="A49" s="269"/>
      <c r="B49" s="1816"/>
      <c r="C49" s="269"/>
      <c r="D49" s="1235"/>
      <c r="E49" s="1235"/>
      <c r="F49" s="1235"/>
      <c r="G49" s="1235"/>
      <c r="H49" s="1741"/>
      <c r="I49" s="1741"/>
      <c r="J49" s="1741"/>
      <c r="K49" s="1741"/>
      <c r="L49" s="1741"/>
      <c r="M49" s="1741"/>
      <c r="N49" s="1741"/>
      <c r="O49" s="1741"/>
      <c r="P49" s="1741"/>
      <c r="Q49" s="1741"/>
    </row>
    <row r="50" spans="1:17" ht="13.8">
      <c r="A50" s="1816"/>
      <c r="B50" s="1086" t="str">
        <f>'Part II-Sources of Funds'!B6</f>
        <v>Yes</v>
      </c>
      <c r="C50" s="1818" t="s">
        <v>351</v>
      </c>
      <c r="D50" s="1235"/>
      <c r="E50" s="1086" t="str">
        <f>'Part II-Sources of Funds'!E6</f>
        <v>Yes</v>
      </c>
      <c r="F50" s="1818" t="s">
        <v>352</v>
      </c>
      <c r="G50" s="1235"/>
      <c r="H50" s="1843">
        <f>'Part II-Sources of Funds'!H6</f>
        <v>0</v>
      </c>
      <c r="I50" s="1741"/>
      <c r="J50" s="1741"/>
      <c r="K50" s="1741"/>
      <c r="L50" s="1086" t="str">
        <f>'Part II-Sources of Funds'!L6</f>
        <v>No</v>
      </c>
      <c r="M50" s="1818" t="s">
        <v>353</v>
      </c>
      <c r="N50" s="1741"/>
      <c r="O50" s="1086" t="str">
        <f>'Part II-Sources of Funds'!O6</f>
        <v>No</v>
      </c>
      <c r="P50" s="1818" t="s">
        <v>354</v>
      </c>
      <c r="Q50" s="1741"/>
    </row>
    <row r="51" spans="1:17" ht="13.8">
      <c r="A51" s="1816"/>
      <c r="B51" s="1086" t="str">
        <f>'Part II-Sources of Funds'!B7</f>
        <v>No</v>
      </c>
      <c r="C51" s="1818" t="s">
        <v>355</v>
      </c>
      <c r="D51" s="1235"/>
      <c r="E51" s="1086" t="str">
        <f>'Part II-Sources of Funds'!E7</f>
        <v>Yes</v>
      </c>
      <c r="F51" s="1818" t="s">
        <v>356</v>
      </c>
      <c r="G51" s="1741"/>
      <c r="H51" s="1843">
        <f>'Part II-Sources of Funds'!H7</f>
        <v>1000000</v>
      </c>
      <c r="I51" s="1741"/>
      <c r="J51" s="1741"/>
      <c r="K51" s="1741"/>
      <c r="L51" s="1086" t="str">
        <f>'Part II-Sources of Funds'!L7</f>
        <v>No</v>
      </c>
      <c r="M51" s="1818" t="s">
        <v>357</v>
      </c>
      <c r="N51" s="1741"/>
      <c r="O51" s="1741"/>
      <c r="P51" s="1741"/>
      <c r="Q51" s="1741"/>
    </row>
    <row r="52" spans="1:17" ht="13.8">
      <c r="A52" s="1235"/>
      <c r="B52" s="1086" t="str">
        <f>'Part II-Sources of Funds'!B8</f>
        <v>No</v>
      </c>
      <c r="C52" s="1818" t="s">
        <v>358</v>
      </c>
      <c r="D52" s="1741"/>
      <c r="E52" s="1741"/>
      <c r="F52" s="1741" t="s">
        <v>359</v>
      </c>
      <c r="G52" s="1741"/>
      <c r="H52" s="1741" t="str">
        <f>'Part II-Sources of Funds'!H8</f>
        <v>DCA</v>
      </c>
      <c r="I52" s="1741"/>
      <c r="J52" s="1741"/>
      <c r="K52" s="1741"/>
      <c r="L52" s="1086" t="str">
        <f>'Part II-Sources of Funds'!L8</f>
        <v>No</v>
      </c>
      <c r="M52" s="1841" t="s">
        <v>360</v>
      </c>
      <c r="N52" s="1741"/>
      <c r="O52" s="1741"/>
      <c r="P52" s="1741"/>
      <c r="Q52" s="1741"/>
    </row>
    <row r="53" spans="1:17" ht="13.8">
      <c r="A53" s="1816"/>
      <c r="B53" s="1086" t="str">
        <f>'Part II-Sources of Funds'!B9</f>
        <v>No</v>
      </c>
      <c r="C53" s="1741" t="s">
        <v>361</v>
      </c>
      <c r="D53" s="1741"/>
      <c r="E53" s="1086" t="str">
        <f>'Part II-Sources of Funds'!E9</f>
        <v>No</v>
      </c>
      <c r="F53" s="1818" t="s">
        <v>362</v>
      </c>
      <c r="G53" s="1741"/>
      <c r="H53" s="1843">
        <f>'Part II-Sources of Funds'!H9</f>
        <v>0</v>
      </c>
      <c r="I53" s="1236"/>
      <c r="J53" s="1741"/>
      <c r="K53" s="1741"/>
      <c r="L53" s="1086" t="str">
        <f>'Part II-Sources of Funds'!L9</f>
        <v>No</v>
      </c>
      <c r="M53" s="1841" t="s">
        <v>363</v>
      </c>
      <c r="N53" s="1741"/>
      <c r="O53" s="1741"/>
      <c r="P53" s="1741"/>
      <c r="Q53" s="1841"/>
    </row>
    <row r="54" spans="1:17" ht="13.8">
      <c r="A54" s="1816"/>
      <c r="B54" s="1086" t="str">
        <f>'Part II-Sources of Funds'!B10</f>
        <v>No</v>
      </c>
      <c r="C54" s="1818" t="s">
        <v>364</v>
      </c>
      <c r="D54" s="1741"/>
      <c r="E54" s="1741"/>
      <c r="F54" s="1741"/>
      <c r="G54" s="1741"/>
      <c r="H54" s="1741"/>
      <c r="I54" s="1741"/>
      <c r="J54" s="1741"/>
      <c r="K54" s="1741"/>
      <c r="L54" s="1086" t="str">
        <f>'Part II-Sources of Funds'!L10</f>
        <v>No</v>
      </c>
      <c r="M54" s="1818" t="s">
        <v>365</v>
      </c>
      <c r="N54" s="1741"/>
      <c r="O54" s="1741"/>
      <c r="P54" s="1741"/>
      <c r="Q54" s="1841"/>
    </row>
    <row r="55" spans="1:17" ht="13.8">
      <c r="A55" s="1816"/>
      <c r="B55" s="1086" t="str">
        <f>'Part II-Sources of Funds'!B11</f>
        <v>No</v>
      </c>
      <c r="C55" s="1818" t="s">
        <v>366</v>
      </c>
      <c r="D55" s="1741"/>
      <c r="E55" s="1086" t="str">
        <f>'Part II-Sources of Funds'!E11</f>
        <v>No</v>
      </c>
      <c r="F55" s="1741" t="str">
        <f>'Part II-Sources of Funds'!F11</f>
        <v>Other Type of FEDERAL Funding * - describe type/program here</v>
      </c>
      <c r="G55" s="1741"/>
      <c r="H55" s="1741"/>
      <c r="I55" s="1741"/>
      <c r="J55" s="1741"/>
      <c r="K55" s="1741"/>
      <c r="L55" s="1086" t="str">
        <f>'Part II-Sources of Funds'!L11</f>
        <v>No</v>
      </c>
      <c r="M55" s="1818" t="s">
        <v>368</v>
      </c>
      <c r="N55" s="1741"/>
      <c r="O55" s="1741"/>
      <c r="P55" s="1741"/>
      <c r="Q55" s="1741"/>
    </row>
    <row r="56" spans="1:17" ht="13.8">
      <c r="A56" s="1816"/>
      <c r="B56" s="1086" t="str">
        <f>'Part II-Sources of Funds'!B12</f>
        <v>No</v>
      </c>
      <c r="C56" s="1818" t="s">
        <v>369</v>
      </c>
      <c r="D56" s="1741"/>
      <c r="E56" s="1741"/>
      <c r="F56" s="1741" t="str">
        <f>'Part II-Sources of Funds'!F12</f>
        <v>Specify Source/Administrator of Other FEDERAL Funding here</v>
      </c>
      <c r="G56" s="1741"/>
      <c r="H56" s="1741"/>
      <c r="I56" s="1741"/>
      <c r="J56" s="1741"/>
      <c r="K56" s="1741"/>
      <c r="L56" s="1086" t="str">
        <f>'Part II-Sources of Funds'!L12</f>
        <v>No</v>
      </c>
      <c r="M56" s="1818" t="s">
        <v>371</v>
      </c>
      <c r="N56" s="1741"/>
      <c r="O56" s="1741"/>
      <c r="P56" s="1741"/>
      <c r="Q56" s="1741"/>
    </row>
    <row r="57" spans="1:17" ht="13.8">
      <c r="A57" s="1816"/>
      <c r="B57" s="1086" t="str">
        <f>'Part II-Sources of Funds'!B13</f>
        <v>No</v>
      </c>
      <c r="C57" s="1818" t="s">
        <v>372</v>
      </c>
      <c r="D57" s="1741"/>
      <c r="E57" s="1086" t="str">
        <f>'Part II-Sources of Funds'!E13</f>
        <v>No</v>
      </c>
      <c r="F57" s="1741" t="str">
        <f>'Part II-Sources of Funds'!F13</f>
        <v>Other Type of STATE/LOCAL Funding * - describe type/program here</v>
      </c>
      <c r="G57" s="1741"/>
      <c r="H57" s="1741"/>
      <c r="I57" s="1741"/>
      <c r="J57" s="1741"/>
      <c r="K57" s="1741"/>
      <c r="L57" s="1086" t="str">
        <f>'Part II-Sources of Funds'!L13</f>
        <v>No</v>
      </c>
      <c r="M57" s="1741" t="s">
        <v>374</v>
      </c>
      <c r="N57" s="1741"/>
      <c r="O57" s="1741"/>
      <c r="P57" s="1741"/>
      <c r="Q57" s="1741"/>
    </row>
    <row r="58" spans="1:17" ht="13.8">
      <c r="A58" s="1816"/>
      <c r="B58" s="1086" t="str">
        <f>'Part II-Sources of Funds'!B14</f>
        <v>No</v>
      </c>
      <c r="C58" s="1741" t="s">
        <v>375</v>
      </c>
      <c r="D58" s="1741"/>
      <c r="E58" s="1741"/>
      <c r="F58" s="1741" t="str">
        <f>'Part II-Sources of Funds'!F14</f>
        <v>Specify Source/Administrator of Other STATE/LOCAL Funding here</v>
      </c>
      <c r="G58" s="1741"/>
      <c r="H58" s="1741"/>
      <c r="I58" s="1741"/>
      <c r="J58" s="1741"/>
      <c r="K58" s="1741"/>
      <c r="L58" s="1086" t="str">
        <f>'Part II-Sources of Funds'!L14</f>
        <v>No</v>
      </c>
      <c r="M58" s="1741" t="s">
        <v>377</v>
      </c>
      <c r="N58" s="1741"/>
      <c r="O58" s="1741"/>
      <c r="P58" s="1741"/>
      <c r="Q58" s="1741"/>
    </row>
    <row r="59" spans="1:17" ht="13.8">
      <c r="A59" s="1816"/>
      <c r="B59" s="1086" t="str">
        <f>'Part II-Sources of Funds'!B15</f>
        <v>No</v>
      </c>
      <c r="C59" s="1741" t="s">
        <v>378</v>
      </c>
      <c r="D59" s="1741"/>
      <c r="E59" s="1086" t="str">
        <f>'Part II-Sources of Funds'!E15</f>
        <v>No</v>
      </c>
      <c r="F59" s="1818" t="s">
        <v>379</v>
      </c>
      <c r="G59" s="1741"/>
      <c r="H59" s="1741" t="str">
        <f>'Part II-Sources of Funds'!H15</f>
        <v>Specify Other PBRA Source here</v>
      </c>
      <c r="I59" s="1741"/>
      <c r="J59" s="1741"/>
      <c r="K59" s="1741"/>
      <c r="L59" s="1086" t="str">
        <f>'Part II-Sources of Funds'!L15</f>
        <v>No</v>
      </c>
      <c r="M59" s="1741" t="s">
        <v>381</v>
      </c>
      <c r="N59" s="1741"/>
      <c r="O59" s="1741"/>
      <c r="P59" s="1741"/>
      <c r="Q59" s="1741"/>
    </row>
    <row r="60" spans="1:17" ht="13.8">
      <c r="A60" s="1816"/>
      <c r="B60" s="1086" t="str">
        <f>'Part II-Sources of Funds'!B16</f>
        <v>No</v>
      </c>
      <c r="C60" s="1818" t="s">
        <v>382</v>
      </c>
      <c r="D60" s="1741"/>
      <c r="E60" s="1086" t="str">
        <f>'Part II-Sources of Funds'!E16</f>
        <v>No</v>
      </c>
      <c r="F60" s="1818" t="s">
        <v>383</v>
      </c>
      <c r="G60" s="1741"/>
      <c r="H60" s="1741"/>
      <c r="I60" s="1741"/>
      <c r="J60" s="1741"/>
      <c r="K60" s="1741"/>
      <c r="L60" s="1086" t="str">
        <f>'Part II-Sources of Funds'!L16</f>
        <v>No</v>
      </c>
      <c r="M60" s="1741" t="s">
        <v>384</v>
      </c>
      <c r="N60" s="1741"/>
      <c r="O60" s="1741"/>
      <c r="P60" s="1741"/>
      <c r="Q60" s="1741"/>
    </row>
    <row r="61" spans="1:17" ht="13.8">
      <c r="A61" s="1816"/>
      <c r="B61" s="1086" t="str">
        <f>'Part II-Sources of Funds'!B17</f>
        <v>No</v>
      </c>
      <c r="C61" s="1818" t="s">
        <v>385</v>
      </c>
      <c r="D61" s="1741"/>
      <c r="E61" s="1086" t="str">
        <f>'Part II-Sources of Funds'!E17</f>
        <v>No</v>
      </c>
      <c r="F61" s="1818" t="s">
        <v>386</v>
      </c>
      <c r="G61" s="1741"/>
      <c r="H61" s="1741"/>
      <c r="I61" s="1741"/>
      <c r="J61" s="1741"/>
      <c r="K61" s="1741"/>
      <c r="L61" s="1086" t="str">
        <f>'Part II-Sources of Funds'!L17</f>
        <v>No</v>
      </c>
      <c r="M61" s="1841" t="s">
        <v>387</v>
      </c>
      <c r="N61" s="1741"/>
      <c r="O61" s="1741"/>
      <c r="P61" s="1741"/>
      <c r="Q61" s="1741"/>
    </row>
    <row r="62" spans="1:17" ht="13.8">
      <c r="A62" s="1816"/>
      <c r="B62" s="1818" t="s">
        <v>388</v>
      </c>
      <c r="C62" s="1741"/>
      <c r="D62" s="1236">
        <f>'Part II-Sources of Funds'!D18</f>
        <v>0</v>
      </c>
      <c r="E62" s="1236"/>
      <c r="F62" s="1818"/>
      <c r="G62" s="1741"/>
      <c r="H62" s="1741"/>
      <c r="I62" s="1741"/>
      <c r="J62" s="1741"/>
      <c r="K62" s="1741"/>
      <c r="L62" s="1086" t="str">
        <f>'Part II-Sources of Funds'!L18</f>
        <v>No</v>
      </c>
      <c r="M62" s="1841" t="s">
        <v>389</v>
      </c>
      <c r="N62" s="1741"/>
      <c r="O62" s="1741"/>
      <c r="P62" s="1741"/>
      <c r="Q62" s="1741"/>
    </row>
    <row r="63" spans="1:17" ht="13.8">
      <c r="A63" s="1816"/>
      <c r="B63" s="1741" t="s">
        <v>390</v>
      </c>
      <c r="C63" s="1235"/>
      <c r="D63" s="1235"/>
      <c r="E63" s="1235"/>
      <c r="F63" s="1235"/>
      <c r="G63" s="1235"/>
      <c r="H63" s="1235"/>
      <c r="I63" s="1235"/>
      <c r="J63" s="1235"/>
      <c r="K63" s="1235"/>
      <c r="L63" s="1235"/>
      <c r="M63" s="1740"/>
      <c r="N63" s="1235"/>
      <c r="O63" s="1235"/>
      <c r="P63" s="1235"/>
      <c r="Q63" s="1235"/>
    </row>
    <row r="64" spans="1:17" ht="13.8">
      <c r="A64" s="1816"/>
      <c r="B64" s="1741"/>
      <c r="C64" s="1741"/>
      <c r="D64" s="1741"/>
      <c r="E64" s="1741"/>
      <c r="F64" s="1741"/>
      <c r="G64" s="1741"/>
      <c r="H64" s="1741"/>
      <c r="I64" s="1741"/>
      <c r="J64" s="1741"/>
      <c r="K64" s="1741"/>
      <c r="L64" s="1235"/>
      <c r="M64" s="270"/>
      <c r="N64" s="1235"/>
      <c r="O64" s="1235"/>
      <c r="P64" s="1235"/>
      <c r="Q64" s="1235"/>
    </row>
    <row r="65" spans="1:17" ht="13.8">
      <c r="A65" s="1815" t="s">
        <v>25</v>
      </c>
      <c r="B65" s="1824" t="s">
        <v>391</v>
      </c>
      <c r="C65" s="1235"/>
      <c r="D65" s="1235"/>
      <c r="E65" s="1235"/>
      <c r="F65" s="1235"/>
      <c r="G65" s="1235"/>
      <c r="H65" s="1742"/>
      <c r="I65" s="1742"/>
      <c r="J65" s="1742"/>
      <c r="K65" s="1742"/>
      <c r="L65" s="1235"/>
      <c r="M65" s="1235"/>
      <c r="N65" s="1235"/>
      <c r="O65" s="1235"/>
      <c r="P65" s="1235"/>
      <c r="Q65" s="1235"/>
    </row>
    <row r="66" spans="1:17" ht="13.8">
      <c r="A66" s="1815"/>
      <c r="B66" s="1824"/>
      <c r="C66" s="1235"/>
      <c r="D66" s="1742"/>
      <c r="E66" s="1742"/>
      <c r="F66" s="1742"/>
      <c r="G66" s="1742"/>
      <c r="H66" s="1742"/>
      <c r="I66" s="1742"/>
      <c r="J66" s="1742"/>
      <c r="K66" s="1235"/>
      <c r="L66" s="1235"/>
      <c r="M66" s="1235"/>
      <c r="N66" s="1086"/>
      <c r="O66" s="1086"/>
      <c r="P66" s="1235"/>
      <c r="Q66" s="1235"/>
    </row>
    <row r="67" spans="1:17" ht="13.8">
      <c r="A67" s="1235"/>
      <c r="B67" s="1821" t="s">
        <v>392</v>
      </c>
      <c r="C67" s="1235"/>
      <c r="D67" s="1235"/>
      <c r="E67" s="1235"/>
      <c r="F67" s="1235"/>
      <c r="G67" s="1235" t="s">
        <v>393</v>
      </c>
      <c r="H67" s="1235"/>
      <c r="I67" s="1235"/>
      <c r="J67" s="1235"/>
      <c r="K67" s="1235"/>
      <c r="L67" s="1235" t="s">
        <v>394</v>
      </c>
      <c r="M67" s="1235"/>
      <c r="N67" s="1235" t="s">
        <v>395</v>
      </c>
      <c r="O67" s="1235"/>
      <c r="P67" s="1235" t="s">
        <v>396</v>
      </c>
      <c r="Q67" s="1235"/>
    </row>
    <row r="68" spans="1:17" ht="13.8">
      <c r="A68" s="1235"/>
      <c r="B68" s="1235" t="s">
        <v>398</v>
      </c>
      <c r="C68" s="1235"/>
      <c r="D68" s="1235"/>
      <c r="E68" s="1235"/>
      <c r="F68" s="1235"/>
      <c r="G68" s="1235" t="str">
        <f>'Part II-Sources of Funds'!G24</f>
        <v>ServisFirst</v>
      </c>
      <c r="H68" s="1235"/>
      <c r="I68" s="1235"/>
      <c r="J68" s="1235"/>
      <c r="K68" s="1235"/>
      <c r="L68" s="1844">
        <f>'Part II-Sources of Funds'!L24</f>
        <v>9750000</v>
      </c>
      <c r="M68" s="1844"/>
      <c r="N68" s="1845">
        <f>'Part II-Sources of Funds'!N24</f>
        <v>6.5000000000000002E-2</v>
      </c>
      <c r="O68" s="1845"/>
      <c r="P68" s="1846">
        <f>'Part II-Sources of Funds'!P24</f>
        <v>18</v>
      </c>
      <c r="Q68" s="1846"/>
    </row>
    <row r="69" spans="1:17" ht="13.8">
      <c r="A69" s="1235"/>
      <c r="B69" s="1235" t="s">
        <v>400</v>
      </c>
      <c r="C69" s="1235"/>
      <c r="D69" s="1235"/>
      <c r="E69" s="1235"/>
      <c r="F69" s="1235"/>
      <c r="G69" s="1235" t="str">
        <f>'Part II-Sources of Funds'!G25</f>
        <v>Seller Loan</v>
      </c>
      <c r="H69" s="1235"/>
      <c r="I69" s="1235"/>
      <c r="J69" s="1235"/>
      <c r="K69" s="1235"/>
      <c r="L69" s="1844">
        <f>'Part II-Sources of Funds'!L25</f>
        <v>1810132</v>
      </c>
      <c r="M69" s="1844"/>
      <c r="N69" s="1845">
        <f>'Part II-Sources of Funds'!N25</f>
        <v>0</v>
      </c>
      <c r="O69" s="1845"/>
      <c r="P69" s="1846">
        <f>'Part II-Sources of Funds'!P25</f>
        <v>18</v>
      </c>
      <c r="Q69" s="1236"/>
    </row>
    <row r="70" spans="1:17" ht="13.8">
      <c r="A70" s="1235"/>
      <c r="B70" s="1235" t="s">
        <v>402</v>
      </c>
      <c r="C70" s="1235"/>
      <c r="D70" s="1235"/>
      <c r="E70" s="1235"/>
      <c r="F70" s="1235"/>
      <c r="G70" s="1235" t="str">
        <f>'Part II-Sources of Funds'!G26</f>
        <v>DCA HOME Loan (Existing)</v>
      </c>
      <c r="H70" s="1235"/>
      <c r="I70" s="1235"/>
      <c r="J70" s="1235"/>
      <c r="K70" s="1235"/>
      <c r="L70" s="1844">
        <f>'Part II-Sources of Funds'!L26</f>
        <v>1000000</v>
      </c>
      <c r="M70" s="1844"/>
      <c r="N70" s="1845">
        <f>'Part II-Sources of Funds'!N26</f>
        <v>0.01</v>
      </c>
      <c r="O70" s="1845"/>
      <c r="P70" s="1846">
        <f>'Part II-Sources of Funds'!P26</f>
        <v>18</v>
      </c>
      <c r="Q70" s="1236"/>
    </row>
    <row r="71" spans="1:17" ht="13.8">
      <c r="A71" s="1235"/>
      <c r="B71" s="1235" t="s">
        <v>404</v>
      </c>
      <c r="C71" s="1235"/>
      <c r="D71" s="1235"/>
      <c r="E71" s="1235"/>
      <c r="F71" s="1235"/>
      <c r="G71" s="1235">
        <f>'Part II-Sources of Funds'!G27</f>
        <v>0</v>
      </c>
      <c r="H71" s="1235"/>
      <c r="I71" s="1235"/>
      <c r="J71" s="1235"/>
      <c r="K71" s="1235"/>
      <c r="L71" s="1844">
        <f>'Part II-Sources of Funds'!L27</f>
        <v>0</v>
      </c>
      <c r="M71" s="1844"/>
      <c r="N71" s="1845"/>
      <c r="O71" s="1845"/>
      <c r="P71" s="1235"/>
      <c r="Q71" s="1235"/>
    </row>
    <row r="72" spans="1:17" ht="13.8">
      <c r="A72" s="1235"/>
      <c r="B72" s="1235" t="s">
        <v>406</v>
      </c>
      <c r="C72" s="1235"/>
      <c r="D72" s="1235"/>
      <c r="E72" s="1235"/>
      <c r="F72" s="1741"/>
      <c r="G72" s="1235">
        <f>'Part II-Sources of Funds'!G28</f>
        <v>0</v>
      </c>
      <c r="H72" s="1235"/>
      <c r="I72" s="1235"/>
      <c r="J72" s="1235"/>
      <c r="K72" s="1235"/>
      <c r="L72" s="1844">
        <f>'Part II-Sources of Funds'!L28</f>
        <v>0</v>
      </c>
      <c r="M72" s="1844"/>
      <c r="N72" s="1845"/>
      <c r="O72" s="1845"/>
      <c r="P72" s="1235"/>
      <c r="Q72" s="1235"/>
    </row>
    <row r="73" spans="1:17" ht="13.8">
      <c r="A73" s="1235"/>
      <c r="B73" s="1235" t="s">
        <v>408</v>
      </c>
      <c r="C73" s="1235"/>
      <c r="D73" s="1235"/>
      <c r="E73" s="1235"/>
      <c r="F73" s="1741"/>
      <c r="G73" s="1235">
        <f>'Part II-Sources of Funds'!G29</f>
        <v>0</v>
      </c>
      <c r="H73" s="1235"/>
      <c r="I73" s="1235"/>
      <c r="J73" s="1235"/>
      <c r="K73" s="1235"/>
      <c r="L73" s="1844">
        <f>'Part II-Sources of Funds'!L29</f>
        <v>0</v>
      </c>
      <c r="M73" s="1844"/>
      <c r="N73" s="1845"/>
      <c r="O73" s="1845"/>
      <c r="P73" s="1235"/>
      <c r="Q73" s="1235"/>
    </row>
    <row r="74" spans="1:17" ht="13.8">
      <c r="A74" s="1235"/>
      <c r="B74" s="1235" t="s">
        <v>410</v>
      </c>
      <c r="C74" s="1235"/>
      <c r="D74" s="1235"/>
      <c r="E74" s="1235"/>
      <c r="F74" s="1741"/>
      <c r="G74" s="1235" t="str">
        <f>'Part II-Sources of Funds'!G30</f>
        <v>Raymond James</v>
      </c>
      <c r="H74" s="1235"/>
      <c r="I74" s="1235"/>
      <c r="J74" s="1235"/>
      <c r="K74" s="1235"/>
      <c r="L74" s="1844">
        <f>'Part II-Sources of Funds'!L30</f>
        <v>1832000</v>
      </c>
      <c r="M74" s="1844"/>
      <c r="N74" s="1235"/>
      <c r="O74" s="1741"/>
      <c r="P74" s="1741"/>
      <c r="Q74" s="1235"/>
    </row>
    <row r="75" spans="1:17" ht="13.8">
      <c r="A75" s="1235"/>
      <c r="B75" s="1235" t="s">
        <v>412</v>
      </c>
      <c r="C75" s="1235"/>
      <c r="D75" s="1235"/>
      <c r="E75" s="1235"/>
      <c r="F75" s="1741"/>
      <c r="G75" s="1235" t="str">
        <f>'Part II-Sources of Funds'!G31</f>
        <v>Cabretta Capital</v>
      </c>
      <c r="H75" s="1235"/>
      <c r="I75" s="1235"/>
      <c r="J75" s="1235"/>
      <c r="K75" s="1235"/>
      <c r="L75" s="1844">
        <f>'Part II-Sources of Funds'!L31</f>
        <v>1145000</v>
      </c>
      <c r="M75" s="1844"/>
      <c r="N75" s="1235"/>
      <c r="O75" s="1741"/>
      <c r="P75" s="1741"/>
      <c r="Q75" s="1235"/>
    </row>
    <row r="76" spans="1:17" ht="13.8">
      <c r="A76" s="1235"/>
      <c r="B76" s="1235" t="s">
        <v>414</v>
      </c>
      <c r="C76" s="1235"/>
      <c r="D76" s="1235">
        <f>'Part II-Sources of Funds'!D32</f>
        <v>0</v>
      </c>
      <c r="E76" s="1235"/>
      <c r="F76" s="1235"/>
      <c r="G76" s="1235">
        <f>'Part II-Sources of Funds'!G32</f>
        <v>0</v>
      </c>
      <c r="H76" s="1235"/>
      <c r="I76" s="1235"/>
      <c r="J76" s="1235"/>
      <c r="K76" s="1235"/>
      <c r="L76" s="1844">
        <f>'Part II-Sources of Funds'!L32</f>
        <v>0</v>
      </c>
      <c r="M76" s="1844"/>
      <c r="N76" s="1235"/>
      <c r="O76" s="1741"/>
      <c r="P76" s="1741"/>
      <c r="Q76" s="1235"/>
    </row>
    <row r="77" spans="1:17" ht="13.8">
      <c r="A77" s="1235"/>
      <c r="B77" s="1235" t="s">
        <v>414</v>
      </c>
      <c r="C77" s="1235"/>
      <c r="D77" s="1235">
        <f>'Part II-Sources of Funds'!D33</f>
        <v>0</v>
      </c>
      <c r="E77" s="1235"/>
      <c r="F77" s="1235"/>
      <c r="G77" s="1235">
        <f>'Part II-Sources of Funds'!G33</f>
        <v>0</v>
      </c>
      <c r="H77" s="1235"/>
      <c r="I77" s="1235"/>
      <c r="J77" s="1235"/>
      <c r="K77" s="1235"/>
      <c r="L77" s="1844">
        <f>'Part II-Sources of Funds'!L33</f>
        <v>0</v>
      </c>
      <c r="M77" s="1844"/>
      <c r="N77" s="1235"/>
      <c r="O77" s="1741"/>
      <c r="P77" s="1741"/>
      <c r="Q77" s="1741"/>
    </row>
    <row r="78" spans="1:17" ht="13.8">
      <c r="A78" s="1235"/>
      <c r="B78" s="1235" t="s">
        <v>414</v>
      </c>
      <c r="C78" s="1235"/>
      <c r="D78" s="1235">
        <f>'Part II-Sources of Funds'!D34</f>
        <v>0</v>
      </c>
      <c r="E78" s="1235"/>
      <c r="F78" s="1235"/>
      <c r="G78" s="1235">
        <f>'Part II-Sources of Funds'!G34</f>
        <v>0</v>
      </c>
      <c r="H78" s="1235"/>
      <c r="I78" s="1235"/>
      <c r="J78" s="1235"/>
      <c r="K78" s="1235"/>
      <c r="L78" s="1844">
        <f>'Part II-Sources of Funds'!L34</f>
        <v>0</v>
      </c>
      <c r="M78" s="1844"/>
      <c r="N78" s="1235"/>
      <c r="O78" s="1741"/>
      <c r="P78" s="1741"/>
      <c r="Q78" s="1741"/>
    </row>
    <row r="79" spans="1:17" ht="13.8">
      <c r="A79" s="1235"/>
      <c r="B79" s="1824" t="s">
        <v>417</v>
      </c>
      <c r="C79" s="1235"/>
      <c r="D79" s="1235"/>
      <c r="E79" s="1235"/>
      <c r="F79" s="1235"/>
      <c r="G79" s="1235"/>
      <c r="H79" s="1235"/>
      <c r="I79" s="1235"/>
      <c r="J79" s="1741"/>
      <c r="K79" s="1741"/>
      <c r="L79" s="1847">
        <f>SUM(L68:L78)</f>
        <v>15537132</v>
      </c>
      <c r="M79" s="1847"/>
      <c r="N79" s="270"/>
      <c r="O79" s="1741"/>
      <c r="P79" s="1741"/>
      <c r="Q79" s="1741"/>
    </row>
    <row r="80" spans="1:17" ht="13.8">
      <c r="A80" s="1235"/>
      <c r="B80" s="1821" t="s">
        <v>418</v>
      </c>
      <c r="C80" s="1235"/>
      <c r="D80" s="1235"/>
      <c r="E80" s="1235"/>
      <c r="F80" s="1235"/>
      <c r="G80" s="1235"/>
      <c r="H80" s="1235"/>
      <c r="I80" s="1235"/>
      <c r="J80" s="1741"/>
      <c r="K80" s="1741"/>
      <c r="L80" s="1847">
        <f>'Part II-Sources of Funds'!L36</f>
        <v>15353575.965999996</v>
      </c>
      <c r="M80" s="1847"/>
      <c r="N80" s="270"/>
      <c r="O80" s="1741"/>
      <c r="P80" s="1741"/>
      <c r="Q80" s="1741"/>
    </row>
    <row r="81" spans="1:17" ht="13.8">
      <c r="A81" s="1235"/>
      <c r="B81" s="1821" t="s">
        <v>419</v>
      </c>
      <c r="C81" s="1235"/>
      <c r="D81" s="1235"/>
      <c r="E81" s="1235"/>
      <c r="F81" s="1235"/>
      <c r="G81" s="1235"/>
      <c r="H81" s="1235"/>
      <c r="I81" s="1235"/>
      <c r="J81" s="1741"/>
      <c r="K81" s="1741"/>
      <c r="L81" s="1848">
        <f>L79-L80</f>
        <v>183556.03400000371</v>
      </c>
      <c r="M81" s="1848"/>
      <c r="N81" s="270"/>
      <c r="O81" s="1741"/>
      <c r="P81" s="1741"/>
      <c r="Q81" s="1741"/>
    </row>
    <row r="82" spans="1:17" ht="13.8">
      <c r="A82" s="269"/>
      <c r="B82" s="1824"/>
      <c r="C82" s="270"/>
      <c r="D82" s="270"/>
      <c r="E82" s="270"/>
      <c r="F82" s="270"/>
      <c r="G82" s="270"/>
      <c r="H82" s="270"/>
      <c r="I82" s="270"/>
      <c r="J82" s="270"/>
      <c r="K82" s="270"/>
      <c r="L82" s="270"/>
      <c r="M82" s="1086"/>
      <c r="N82" s="1086"/>
      <c r="O82" s="1740"/>
      <c r="P82" s="1740"/>
      <c r="Q82" s="1740"/>
    </row>
    <row r="83" spans="1:17" ht="13.8">
      <c r="A83" s="1815" t="s">
        <v>32</v>
      </c>
      <c r="B83" s="1824" t="s">
        <v>420</v>
      </c>
      <c r="C83" s="270"/>
      <c r="D83" s="270"/>
      <c r="E83" s="270"/>
      <c r="F83" s="270"/>
      <c r="G83" s="270"/>
      <c r="H83" s="270"/>
      <c r="I83" s="270"/>
      <c r="J83" s="270"/>
      <c r="K83" s="270"/>
      <c r="L83" s="270"/>
      <c r="M83" s="1086"/>
      <c r="N83" s="1086"/>
      <c r="O83" s="270"/>
      <c r="P83" s="1740"/>
      <c r="Q83" s="1740"/>
    </row>
    <row r="84" spans="1:17" ht="13.5" customHeight="1">
      <c r="A84" s="1235"/>
      <c r="B84" s="1235"/>
      <c r="C84" s="1235"/>
      <c r="D84" s="1235"/>
      <c r="E84" s="1235"/>
      <c r="F84" s="1086"/>
      <c r="G84" s="1086"/>
      <c r="H84" s="1235"/>
      <c r="I84" s="1235"/>
      <c r="J84" s="1741"/>
      <c r="K84" s="1133" t="s">
        <v>421</v>
      </c>
      <c r="L84" s="1086" t="s">
        <v>422</v>
      </c>
      <c r="M84" s="1086" t="s">
        <v>423</v>
      </c>
      <c r="N84" s="1741"/>
      <c r="O84" s="1741"/>
      <c r="P84" s="270" t="s">
        <v>424</v>
      </c>
      <c r="Q84" s="270"/>
    </row>
    <row r="85" spans="1:17" ht="13.8">
      <c r="A85" s="1235"/>
      <c r="B85" s="1821" t="s">
        <v>392</v>
      </c>
      <c r="C85" s="1235"/>
      <c r="D85" s="1235"/>
      <c r="E85" s="1235" t="s">
        <v>393</v>
      </c>
      <c r="F85" s="1235"/>
      <c r="G85" s="1235"/>
      <c r="H85" s="1235"/>
      <c r="I85" s="1235" t="s">
        <v>425</v>
      </c>
      <c r="J85" s="1235"/>
      <c r="K85" s="1086" t="s">
        <v>426</v>
      </c>
      <c r="L85" s="1086" t="s">
        <v>427</v>
      </c>
      <c r="M85" s="1086" t="s">
        <v>427</v>
      </c>
      <c r="N85" s="1235" t="s">
        <v>428</v>
      </c>
      <c r="O85" s="1235"/>
      <c r="P85" s="270"/>
      <c r="Q85" s="270"/>
    </row>
    <row r="86" spans="1:17" ht="13.8">
      <c r="A86" s="1235"/>
      <c r="B86" s="1235" t="s">
        <v>430</v>
      </c>
      <c r="C86" s="1235"/>
      <c r="D86" s="1235"/>
      <c r="E86" s="1235" t="str">
        <f>'Part II-Sources of Funds'!E42</f>
        <v>Seller Loan</v>
      </c>
      <c r="F86" s="1235"/>
      <c r="G86" s="1235"/>
      <c r="H86" s="1235"/>
      <c r="I86" s="1849">
        <f>'Part II-Sources of Funds'!I42</f>
        <v>1810132</v>
      </c>
      <c r="J86" s="1849"/>
      <c r="K86" s="1850">
        <f>'Part II-Sources of Funds'!K42</f>
        <v>0.06</v>
      </c>
      <c r="L86" s="1086">
        <f>'Part II-Sources of Funds'!L42</f>
        <v>15</v>
      </c>
      <c r="M86" s="1086">
        <f>'Part II-Sources of Funds'!M42</f>
        <v>30</v>
      </c>
      <c r="N86" s="1235" t="str">
        <f>'Part II-Sources of Funds'!N42</f>
        <v>Amortizing</v>
      </c>
      <c r="O86" s="1235"/>
      <c r="P86" s="1851">
        <f>'Part II-Sources of Funds'!P42</f>
        <v>130231.87094349621</v>
      </c>
      <c r="Q86" s="1851"/>
    </row>
    <row r="87" spans="1:17" ht="13.8">
      <c r="A87" s="1235"/>
      <c r="B87" s="1235" t="s">
        <v>432</v>
      </c>
      <c r="C87" s="1235"/>
      <c r="D87" s="1235"/>
      <c r="E87" s="1235" t="str">
        <f>'Part II-Sources of Funds'!E43</f>
        <v>DCA HOME Loan (Existing)</v>
      </c>
      <c r="F87" s="1235"/>
      <c r="G87" s="1235"/>
      <c r="H87" s="1235"/>
      <c r="I87" s="1849">
        <f>'Part II-Sources of Funds'!I43</f>
        <v>1000000</v>
      </c>
      <c r="J87" s="1849"/>
      <c r="K87" s="1850">
        <f>'Part II-Sources of Funds'!K43</f>
        <v>0.01</v>
      </c>
      <c r="L87" s="1086">
        <f>'Part II-Sources of Funds'!L43</f>
        <v>20</v>
      </c>
      <c r="M87" s="1086">
        <f>'Part II-Sources of Funds'!M43</f>
        <v>20</v>
      </c>
      <c r="N87" s="1235" t="str">
        <f>'Part II-Sources of Funds'!N43</f>
        <v>Amortizing</v>
      </c>
      <c r="O87" s="1235"/>
      <c r="P87" s="1851">
        <f>'Part II-Sources of Funds'!P43</f>
        <v>55187.316834935598</v>
      </c>
      <c r="Q87" s="1851"/>
    </row>
    <row r="88" spans="1:17" ht="13.8">
      <c r="A88" s="1235"/>
      <c r="B88" s="1235" t="s">
        <v>434</v>
      </c>
      <c r="C88" s="1235"/>
      <c r="D88" s="1235"/>
      <c r="E88" s="1235">
        <f>'Part II-Sources of Funds'!E44</f>
        <v>0</v>
      </c>
      <c r="F88" s="1235"/>
      <c r="G88" s="1235"/>
      <c r="H88" s="1235"/>
      <c r="I88" s="1849">
        <f>'Part II-Sources of Funds'!I44</f>
        <v>0</v>
      </c>
      <c r="J88" s="1849"/>
      <c r="K88" s="1850">
        <f>'Part II-Sources of Funds'!K44</f>
        <v>0</v>
      </c>
      <c r="L88" s="1086">
        <f>'Part II-Sources of Funds'!L44</f>
        <v>0</v>
      </c>
      <c r="M88" s="1086">
        <f>'Part II-Sources of Funds'!M44</f>
        <v>0</v>
      </c>
      <c r="N88" s="1235">
        <f>'Part II-Sources of Funds'!N44</f>
        <v>0</v>
      </c>
      <c r="O88" s="1235"/>
      <c r="P88" s="1851" t="str">
        <f>'Part II-Sources of Funds'!P44</f>
        <v/>
      </c>
      <c r="Q88" s="1851"/>
    </row>
    <row r="89" spans="1:17" ht="13.8">
      <c r="A89" s="1235"/>
      <c r="B89" s="1235" t="s">
        <v>436</v>
      </c>
      <c r="C89" s="1235">
        <f>'Part II-Sources of Funds'!C45</f>
        <v>0</v>
      </c>
      <c r="D89" s="1235"/>
      <c r="E89" s="1235">
        <f>'Part II-Sources of Funds'!E45</f>
        <v>0</v>
      </c>
      <c r="F89" s="1235"/>
      <c r="G89" s="1235"/>
      <c r="H89" s="1235"/>
      <c r="I89" s="1849">
        <f>'Part II-Sources of Funds'!I45</f>
        <v>0</v>
      </c>
      <c r="J89" s="1849"/>
      <c r="K89" s="1850">
        <f>'Part II-Sources of Funds'!K45</f>
        <v>0</v>
      </c>
      <c r="L89" s="1086">
        <f>'Part II-Sources of Funds'!L45</f>
        <v>0</v>
      </c>
      <c r="M89" s="1086">
        <f>'Part II-Sources of Funds'!M45</f>
        <v>0</v>
      </c>
      <c r="N89" s="1235">
        <f>'Part II-Sources of Funds'!N45</f>
        <v>0</v>
      </c>
      <c r="O89" s="1235"/>
      <c r="P89" s="1851" t="str">
        <f>'Part II-Sources of Funds'!P45</f>
        <v/>
      </c>
      <c r="Q89" s="1851"/>
    </row>
    <row r="90" spans="1:17" ht="13.8">
      <c r="A90" s="1235"/>
      <c r="B90" s="1235" t="s">
        <v>438</v>
      </c>
      <c r="C90" s="1235"/>
      <c r="D90" s="1235"/>
      <c r="E90" s="1235">
        <f>'Part II-Sources of Funds'!E46</f>
        <v>0</v>
      </c>
      <c r="F90" s="1235"/>
      <c r="G90" s="1235"/>
      <c r="H90" s="1235"/>
      <c r="I90" s="1849">
        <f>'Part II-Sources of Funds'!I46</f>
        <v>0</v>
      </c>
      <c r="J90" s="1849"/>
      <c r="K90" s="1850"/>
      <c r="L90" s="1086"/>
      <c r="M90" s="1086"/>
      <c r="N90" s="1235"/>
      <c r="O90" s="1235"/>
      <c r="P90" s="1851"/>
      <c r="Q90" s="1851"/>
    </row>
    <row r="91" spans="1:17" ht="13.8">
      <c r="A91" s="1235"/>
      <c r="B91" s="1235" t="s">
        <v>440</v>
      </c>
      <c r="C91" s="1235"/>
      <c r="D91" s="1852">
        <f>'Part II-Sources of Funds'!D47</f>
        <v>4.6913218146370558E-7</v>
      </c>
      <c r="E91" s="1235">
        <f>'Part II-Sources of Funds'!E47</f>
        <v>0</v>
      </c>
      <c r="F91" s="1235"/>
      <c r="G91" s="1235"/>
      <c r="H91" s="1235"/>
      <c r="I91" s="1849">
        <f>'Part II-Sources of Funds'!I47</f>
        <v>1</v>
      </c>
      <c r="J91" s="1236"/>
      <c r="K91" s="1850">
        <f>'Part II-Sources of Funds'!K47</f>
        <v>0</v>
      </c>
      <c r="L91" s="1086">
        <f>'Part II-Sources of Funds'!L47</f>
        <v>0</v>
      </c>
      <c r="M91" s="1086">
        <f>'Part II-Sources of Funds'!M47</f>
        <v>0</v>
      </c>
      <c r="N91" s="1235">
        <f>'Part II-Sources of Funds'!N47</f>
        <v>0</v>
      </c>
      <c r="O91" s="1235"/>
      <c r="P91" s="1851" t="str">
        <f>'Part II-Sources of Funds'!P47</f>
        <v/>
      </c>
      <c r="Q91" s="1851"/>
    </row>
    <row r="92" spans="1:17" ht="13.8">
      <c r="A92" s="1235"/>
      <c r="B92" s="1235"/>
      <c r="C92" s="1235"/>
      <c r="D92" s="1235"/>
      <c r="E92" s="1235"/>
      <c r="F92" s="1235"/>
      <c r="G92" s="1235"/>
      <c r="H92" s="1235"/>
      <c r="I92" s="1853"/>
      <c r="J92" s="1854"/>
      <c r="K92" s="1850"/>
      <c r="L92" s="1086"/>
      <c r="M92" s="1086"/>
      <c r="N92" s="1855"/>
      <c r="O92" s="1855"/>
      <c r="P92" s="1086"/>
      <c r="Q92" s="1086"/>
    </row>
    <row r="93" spans="1:17" ht="13.8">
      <c r="A93" s="1235"/>
      <c r="B93" s="1741" t="s">
        <v>441</v>
      </c>
      <c r="C93" s="1235"/>
      <c r="D93" s="1741"/>
      <c r="E93" s="1741" t="s">
        <v>442</v>
      </c>
      <c r="F93" s="1856" t="e">
        <f>'Part II-Sources of Funds'!F49</f>
        <v>#N/A</v>
      </c>
      <c r="G93" s="1856"/>
      <c r="H93" s="1857" t="s">
        <v>443</v>
      </c>
      <c r="I93" s="1856" t="str">
        <f>'Part II-Sources of Funds'!I49</f>
        <v/>
      </c>
      <c r="J93" s="1856"/>
      <c r="K93" s="1857" t="s">
        <v>444</v>
      </c>
      <c r="L93" s="1858" t="e">
        <f>'Part II-Sources of Funds'!L49</f>
        <v>#N/A</v>
      </c>
      <c r="M93" s="1858"/>
      <c r="N93" s="1851" t="s">
        <v>445</v>
      </c>
      <c r="O93" s="1851"/>
      <c r="P93" s="1236">
        <f>'Part II-Sources of Funds'!P49</f>
        <v>0</v>
      </c>
      <c r="Q93" s="1236"/>
    </row>
    <row r="94" spans="1:17" ht="13.8">
      <c r="A94" s="1235"/>
      <c r="B94" s="1235"/>
      <c r="C94" s="1235"/>
      <c r="D94" s="1235"/>
      <c r="E94" s="1235"/>
      <c r="F94" s="1235"/>
      <c r="G94" s="1235"/>
      <c r="H94" s="1235"/>
      <c r="I94" s="1853"/>
      <c r="J94" s="1854"/>
      <c r="K94" s="1850"/>
      <c r="L94" s="1086"/>
      <c r="M94" s="1086"/>
      <c r="N94" s="1855"/>
      <c r="O94" s="1855"/>
      <c r="P94" s="1086"/>
      <c r="Q94" s="1086"/>
    </row>
    <row r="95" spans="1:17" ht="13.8">
      <c r="A95" s="1235"/>
      <c r="B95" s="1235" t="s">
        <v>404</v>
      </c>
      <c r="C95" s="1235"/>
      <c r="D95" s="1235"/>
      <c r="E95" s="1235">
        <f>'Part II-Sources of Funds'!E51</f>
        <v>0</v>
      </c>
      <c r="F95" s="1235"/>
      <c r="G95" s="1235"/>
      <c r="H95" s="1235"/>
      <c r="I95" s="1849">
        <f>'Part II-Sources of Funds'!I51</f>
        <v>0</v>
      </c>
      <c r="J95" s="1849"/>
      <c r="K95" s="1235"/>
      <c r="L95" s="1235"/>
      <c r="M95" s="1235"/>
      <c r="N95" s="1235"/>
      <c r="O95" s="1235"/>
      <c r="P95" s="1086" t="s">
        <v>447</v>
      </c>
      <c r="Q95" s="1235"/>
    </row>
    <row r="96" spans="1:17" ht="13.8">
      <c r="A96" s="1235"/>
      <c r="B96" s="1235" t="s">
        <v>406</v>
      </c>
      <c r="C96" s="1235"/>
      <c r="D96" s="1235"/>
      <c r="E96" s="1235">
        <f>'Part II-Sources of Funds'!E52</f>
        <v>0</v>
      </c>
      <c r="F96" s="1235"/>
      <c r="G96" s="1235"/>
      <c r="H96" s="1235"/>
      <c r="I96" s="1849">
        <f>'Part II-Sources of Funds'!I52</f>
        <v>0</v>
      </c>
      <c r="J96" s="1849"/>
      <c r="K96" s="1741"/>
      <c r="L96" s="1859" t="s">
        <v>449</v>
      </c>
      <c r="M96" s="1859"/>
      <c r="N96" s="1860" t="s">
        <v>450</v>
      </c>
      <c r="O96" s="1860"/>
      <c r="P96" s="1861" t="s">
        <v>451</v>
      </c>
      <c r="Q96" s="1235"/>
    </row>
    <row r="97" spans="1:17" ht="13.8">
      <c r="A97" s="1235"/>
      <c r="B97" s="1235" t="s">
        <v>410</v>
      </c>
      <c r="C97" s="1235"/>
      <c r="D97" s="1235"/>
      <c r="E97" s="1235" t="str">
        <f>'Part II-Sources of Funds'!E53</f>
        <v>Raymond James</v>
      </c>
      <c r="F97" s="1235"/>
      <c r="G97" s="1235"/>
      <c r="H97" s="1235"/>
      <c r="I97" s="1849">
        <f>'Part II-Sources of Funds'!I53</f>
        <v>9160000</v>
      </c>
      <c r="J97" s="1849"/>
      <c r="K97" s="1741"/>
      <c r="L97" s="1862">
        <f>'Part III-A-Uses of Funds'!$J$192*10*'Part III-A-Uses of Funds'!$N$183</f>
        <v>9160000</v>
      </c>
      <c r="M97" s="1862"/>
      <c r="N97" s="1863">
        <f>I97-L97</f>
        <v>0</v>
      </c>
      <c r="O97" s="1863"/>
      <c r="P97" s="1864">
        <f>I97/I107</f>
        <v>0.50810244382489245</v>
      </c>
      <c r="Q97" s="1235"/>
    </row>
    <row r="98" spans="1:17" ht="13.8">
      <c r="A98" s="1235"/>
      <c r="B98" s="1235" t="s">
        <v>412</v>
      </c>
      <c r="C98" s="1235"/>
      <c r="D98" s="1235"/>
      <c r="E98" s="1235" t="str">
        <f>'Part II-Sources of Funds'!E54</f>
        <v>Cabretta Capital</v>
      </c>
      <c r="F98" s="1235"/>
      <c r="G98" s="1235"/>
      <c r="H98" s="1235"/>
      <c r="I98" s="1849">
        <f>'Part II-Sources of Funds'!I54</f>
        <v>5725000</v>
      </c>
      <c r="J98" s="1849"/>
      <c r="K98" s="1741"/>
      <c r="L98" s="1862">
        <f>'Part III-A-Uses of Funds'!$J$192*10*'Part III-A-Uses of Funds'!$Q$183</f>
        <v>5725000</v>
      </c>
      <c r="M98" s="1862"/>
      <c r="N98" s="1863">
        <f>I98-L98</f>
        <v>0</v>
      </c>
      <c r="O98" s="1863"/>
      <c r="P98" s="1864">
        <f>I98/I107</f>
        <v>0.31756402739055778</v>
      </c>
      <c r="Q98" s="1235"/>
    </row>
    <row r="99" spans="1:17" ht="13.8">
      <c r="A99" s="1235"/>
      <c r="B99" s="1235" t="s">
        <v>455</v>
      </c>
      <c r="C99" s="1235"/>
      <c r="D99" s="1235"/>
      <c r="E99" s="1235">
        <f>'Part II-Sources of Funds'!E55</f>
        <v>0</v>
      </c>
      <c r="F99" s="1235"/>
      <c r="G99" s="1235"/>
      <c r="H99" s="1235"/>
      <c r="I99" s="1849">
        <f>'Part II-Sources of Funds'!I55</f>
        <v>0</v>
      </c>
      <c r="J99" s="1849"/>
      <c r="K99" s="1741"/>
      <c r="L99" s="1741"/>
      <c r="M99" s="1741"/>
      <c r="N99" s="1741"/>
      <c r="O99" s="1741"/>
      <c r="P99" s="1864">
        <f>SUM(P97:P98)</f>
        <v>0.82566647121545023</v>
      </c>
      <c r="Q99" s="1235"/>
    </row>
    <row r="100" spans="1:17" ht="13.8">
      <c r="A100" s="1235"/>
      <c r="B100" s="1235" t="s">
        <v>456</v>
      </c>
      <c r="C100" s="1235"/>
      <c r="D100" s="1235"/>
      <c r="E100" s="1235">
        <f>'Part II-Sources of Funds'!E56</f>
        <v>0</v>
      </c>
      <c r="F100" s="1235"/>
      <c r="G100" s="1235"/>
      <c r="H100" s="1235"/>
      <c r="I100" s="1849">
        <f>'Part II-Sources of Funds'!I56</f>
        <v>0</v>
      </c>
      <c r="J100" s="1849"/>
      <c r="K100" s="1235"/>
      <c r="L100" s="1741"/>
      <c r="M100" s="1741"/>
      <c r="N100" s="1741"/>
      <c r="O100" s="1741"/>
      <c r="P100" s="1741"/>
      <c r="Q100" s="1235"/>
    </row>
    <row r="101" spans="1:17" ht="13.8">
      <c r="A101" s="1235"/>
      <c r="B101" s="1235" t="s">
        <v>457</v>
      </c>
      <c r="C101" s="1235"/>
      <c r="D101" s="1235"/>
      <c r="E101" s="1235">
        <f>'Part II-Sources of Funds'!E57</f>
        <v>0</v>
      </c>
      <c r="F101" s="1235"/>
      <c r="G101" s="1235"/>
      <c r="H101" s="1235"/>
      <c r="I101" s="1849">
        <f>'Part II-Sources of Funds'!I57</f>
        <v>0</v>
      </c>
      <c r="J101" s="1849"/>
      <c r="K101" s="1741"/>
      <c r="L101" s="1741"/>
      <c r="M101" s="1741"/>
      <c r="N101" s="1235"/>
      <c r="O101" s="1235"/>
      <c r="P101" s="1235"/>
      <c r="Q101" s="1235"/>
    </row>
    <row r="102" spans="1:17" ht="13.8">
      <c r="A102" s="1235"/>
      <c r="B102" s="1235" t="s">
        <v>458</v>
      </c>
      <c r="C102" s="1235"/>
      <c r="D102" s="1235"/>
      <c r="E102" s="1235">
        <f>'Part II-Sources of Funds'!E58</f>
        <v>0</v>
      </c>
      <c r="F102" s="1235"/>
      <c r="G102" s="1235"/>
      <c r="H102" s="1235"/>
      <c r="I102" s="1849">
        <f>'Part II-Sources of Funds'!I58</f>
        <v>0</v>
      </c>
      <c r="J102" s="1849"/>
      <c r="K102" s="1741"/>
      <c r="L102" s="1741"/>
      <c r="M102" s="1235"/>
      <c r="N102" s="1235"/>
      <c r="O102" s="1235"/>
      <c r="P102" s="1235"/>
      <c r="Q102" s="1235"/>
    </row>
    <row r="103" spans="1:17" ht="13.8">
      <c r="A103" s="1235"/>
      <c r="B103" s="1235" t="s">
        <v>436</v>
      </c>
      <c r="C103" s="1235">
        <f>'Part II-Sources of Funds'!C59</f>
        <v>0</v>
      </c>
      <c r="D103" s="1235"/>
      <c r="E103" s="1235" t="str">
        <f>'Part II-Sources of Funds'!E59</f>
        <v>Existing ODR &amp; Cash Flow Res.</v>
      </c>
      <c r="F103" s="1235"/>
      <c r="G103" s="1235"/>
      <c r="H103" s="1235"/>
      <c r="I103" s="1849">
        <f>'Part II-Sources of Funds'!I59</f>
        <v>332728</v>
      </c>
      <c r="J103" s="1849"/>
      <c r="K103" s="1741"/>
      <c r="L103" s="1741"/>
      <c r="M103" s="1235"/>
      <c r="N103" s="1235"/>
      <c r="O103" s="1235"/>
      <c r="P103" s="1235"/>
      <c r="Q103" s="1235"/>
    </row>
    <row r="104" spans="1:17" ht="13.8">
      <c r="A104" s="1235"/>
      <c r="B104" s="1235" t="s">
        <v>436</v>
      </c>
      <c r="C104" s="1235">
        <f>'Part II-Sources of Funds'!C60</f>
        <v>0</v>
      </c>
      <c r="D104" s="1235"/>
      <c r="E104" s="1235">
        <f>'Part II-Sources of Funds'!E60</f>
        <v>0</v>
      </c>
      <c r="F104" s="1235"/>
      <c r="G104" s="1235"/>
      <c r="H104" s="1235"/>
      <c r="I104" s="1849">
        <f>'Part II-Sources of Funds'!I60</f>
        <v>0</v>
      </c>
      <c r="J104" s="1849"/>
      <c r="K104" s="1235"/>
      <c r="L104" s="1086"/>
      <c r="M104" s="1235"/>
      <c r="N104" s="1235"/>
      <c r="O104" s="1235"/>
      <c r="P104" s="1235"/>
      <c r="Q104" s="1235"/>
    </row>
    <row r="105" spans="1:17" ht="13.8">
      <c r="A105" s="1235"/>
      <c r="B105" s="1235" t="s">
        <v>436</v>
      </c>
      <c r="C105" s="1235">
        <f>'Part II-Sources of Funds'!C61</f>
        <v>0</v>
      </c>
      <c r="D105" s="1235"/>
      <c r="E105" s="1235">
        <f>'Part II-Sources of Funds'!E61</f>
        <v>0</v>
      </c>
      <c r="F105" s="1235"/>
      <c r="G105" s="1235"/>
      <c r="H105" s="1235"/>
      <c r="I105" s="1849">
        <f>'Part II-Sources of Funds'!I61</f>
        <v>0</v>
      </c>
      <c r="J105" s="1849"/>
      <c r="K105" s="1235"/>
      <c r="L105" s="1086"/>
      <c r="M105" s="1235"/>
      <c r="N105" s="1235"/>
      <c r="O105" s="1235"/>
      <c r="P105" s="1235"/>
      <c r="Q105" s="1235"/>
    </row>
    <row r="106" spans="1:17" ht="13.8">
      <c r="A106" s="1235"/>
      <c r="B106" s="1821" t="s">
        <v>462</v>
      </c>
      <c r="C106" s="1235"/>
      <c r="D106" s="1235"/>
      <c r="E106" s="1235"/>
      <c r="F106" s="1235"/>
      <c r="G106" s="1235"/>
      <c r="H106" s="1741"/>
      <c r="I106" s="1847">
        <f>SUM(I86:J91)+SUM(I95:J105)</f>
        <v>18027861</v>
      </c>
      <c r="J106" s="1847"/>
      <c r="K106" s="1235"/>
      <c r="L106" s="1086"/>
      <c r="M106" s="1235"/>
      <c r="N106" s="1235"/>
      <c r="O106" s="1235"/>
      <c r="P106" s="1235"/>
      <c r="Q106" s="1235"/>
    </row>
    <row r="107" spans="1:17" ht="13.8">
      <c r="A107" s="1235"/>
      <c r="B107" s="1821" t="s">
        <v>463</v>
      </c>
      <c r="C107" s="1235"/>
      <c r="D107" s="1235"/>
      <c r="E107" s="1235"/>
      <c r="F107" s="1235"/>
      <c r="G107" s="1235"/>
      <c r="H107" s="1741"/>
      <c r="I107" s="1847">
        <f>'Part III-A-Uses of Funds'!$G$147</f>
        <v>18027860.545297466</v>
      </c>
      <c r="J107" s="1847"/>
      <c r="K107" s="1235"/>
      <c r="L107" s="1086"/>
      <c r="M107" s="1235"/>
      <c r="N107" s="1235"/>
      <c r="O107" s="1235"/>
      <c r="P107" s="1235"/>
      <c r="Q107" s="1235"/>
    </row>
    <row r="108" spans="1:17" ht="13.8">
      <c r="A108" s="1235"/>
      <c r="B108" s="1821" t="s">
        <v>464</v>
      </c>
      <c r="C108" s="1235"/>
      <c r="D108" s="1235"/>
      <c r="E108" s="1235"/>
      <c r="F108" s="1235"/>
      <c r="G108" s="1235"/>
      <c r="H108" s="1741"/>
      <c r="I108" s="1848">
        <f>I106-I107</f>
        <v>0.45470253378152847</v>
      </c>
      <c r="J108" s="1848"/>
      <c r="K108" s="1235"/>
      <c r="L108" s="1086"/>
      <c r="M108" s="1235"/>
      <c r="N108" s="1235"/>
      <c r="O108" s="1235"/>
      <c r="P108" s="1235"/>
      <c r="Q108" s="1235"/>
    </row>
    <row r="109" spans="1:17" ht="13.8">
      <c r="A109" s="1235" t="s">
        <v>465</v>
      </c>
      <c r="B109" s="1821"/>
      <c r="C109" s="1235"/>
      <c r="D109" s="1235"/>
      <c r="E109" s="1235"/>
      <c r="F109" s="1235"/>
      <c r="G109" s="1235"/>
      <c r="H109" s="1854"/>
      <c r="I109" s="1854"/>
      <c r="J109" s="270"/>
      <c r="K109" s="1235"/>
      <c r="L109" s="1086"/>
      <c r="M109" s="1235"/>
      <c r="N109" s="1235"/>
      <c r="O109" s="1235"/>
      <c r="P109" s="1235"/>
      <c r="Q109" s="1235"/>
    </row>
    <row r="110" spans="1:17" ht="13.8">
      <c r="A110" s="270"/>
      <c r="B110" s="270"/>
      <c r="C110" s="270"/>
      <c r="D110" s="270"/>
      <c r="E110" s="270"/>
      <c r="F110" s="270"/>
      <c r="G110" s="270"/>
      <c r="H110" s="270"/>
      <c r="I110" s="270"/>
      <c r="J110" s="270"/>
      <c r="K110" s="270"/>
      <c r="L110" s="270"/>
      <c r="M110" s="270"/>
      <c r="N110" s="270"/>
      <c r="O110" s="270"/>
      <c r="P110" s="270"/>
      <c r="Q110" s="270"/>
    </row>
    <row r="111" spans="1:17" ht="13.8">
      <c r="A111" s="1815" t="s">
        <v>44</v>
      </c>
      <c r="B111" s="1815" t="s">
        <v>68</v>
      </c>
      <c r="C111" s="270"/>
      <c r="D111" s="270"/>
      <c r="E111" s="270"/>
      <c r="F111" s="270"/>
      <c r="G111" s="270"/>
      <c r="H111" s="270"/>
      <c r="I111" s="270"/>
      <c r="J111" s="270"/>
      <c r="K111" s="1740"/>
      <c r="L111" s="1740"/>
      <c r="M111" s="1815" t="s">
        <v>44</v>
      </c>
      <c r="N111" s="1815" t="s">
        <v>70</v>
      </c>
      <c r="O111" s="270"/>
      <c r="P111" s="270"/>
      <c r="Q111" s="270"/>
    </row>
    <row r="112" spans="1:17">
      <c r="A112" s="1841">
        <f>'Part II-Sources of Funds'!A68</f>
        <v>0</v>
      </c>
      <c r="B112" s="1841"/>
      <c r="C112" s="1841"/>
      <c r="D112" s="1841"/>
      <c r="E112" s="1841"/>
      <c r="F112" s="1841"/>
      <c r="G112" s="1841"/>
      <c r="H112" s="1841"/>
      <c r="I112" s="1841"/>
      <c r="J112" s="1841"/>
      <c r="K112" s="1841"/>
      <c r="L112" s="1841"/>
      <c r="M112" s="1841"/>
      <c r="N112" s="1841"/>
      <c r="O112" s="1841"/>
      <c r="P112" s="1841"/>
      <c r="Q112" s="1841"/>
    </row>
    <row r="116" spans="1:35" ht="13.8">
      <c r="A116" s="1815" t="str">
        <f>CONCATENATE("PART THREE (A):  USES OF FUNDS","  -  ",'Part I-Project Identification'!$O$7," ",'Part I-Project Identification'!$F$27,", ",'Part I-Project Identification'!F142,", ",'Part I-Project Identification'!J142," County")</f>
        <v>PART THREE (A):  USES OF FUNDS  -  2026-0xx The Groves, ,  County</v>
      </c>
      <c r="B116" s="1815"/>
      <c r="C116" s="1815"/>
      <c r="D116" s="1815"/>
      <c r="E116" s="1815"/>
      <c r="F116" s="1815"/>
      <c r="G116" s="1815"/>
      <c r="H116" s="1815"/>
      <c r="I116" s="1815"/>
      <c r="J116" s="1815"/>
      <c r="K116" s="1815"/>
      <c r="L116" s="1815"/>
      <c r="M116" s="1815"/>
      <c r="N116" s="1815"/>
      <c r="O116" s="1815"/>
      <c r="P116" s="1815"/>
      <c r="Q116" s="1815"/>
      <c r="R116" s="1815"/>
      <c r="S116" s="1815"/>
      <c r="T116" s="1815"/>
      <c r="U116" s="1235"/>
      <c r="V116" s="1235"/>
      <c r="W116" s="1815" t="str">
        <f>A116</f>
        <v>PART THREE (A):  USES OF FUNDS  -  2026-0xx The Groves, ,  County</v>
      </c>
      <c r="X116" s="1815"/>
      <c r="Y116" s="1235"/>
      <c r="Z116" s="1235"/>
      <c r="AA116" s="1235"/>
      <c r="AB116" s="1235"/>
      <c r="AC116" s="1235"/>
      <c r="AD116" s="1235"/>
      <c r="AE116" s="1235"/>
      <c r="AF116" s="1235"/>
      <c r="AG116" s="1235"/>
      <c r="AH116" s="1235"/>
      <c r="AI116" s="1235"/>
    </row>
    <row r="117" spans="1:35" ht="13.8">
      <c r="A117" s="270"/>
      <c r="B117" s="270"/>
      <c r="C117" s="270"/>
      <c r="D117" s="270"/>
      <c r="E117" s="270"/>
      <c r="F117" s="270"/>
      <c r="G117" s="270"/>
      <c r="H117" s="270"/>
      <c r="I117" s="270"/>
      <c r="J117" s="270"/>
      <c r="K117" s="270"/>
      <c r="L117" s="270"/>
      <c r="M117" s="270"/>
      <c r="N117" s="270"/>
      <c r="O117" s="270"/>
      <c r="P117" s="270"/>
      <c r="Q117" s="270"/>
      <c r="R117" s="270"/>
      <c r="S117" s="270"/>
      <c r="T117" s="270"/>
      <c r="U117" s="270"/>
      <c r="V117" s="270"/>
      <c r="W117" s="270"/>
      <c r="X117" s="270"/>
      <c r="Y117" s="270"/>
      <c r="Z117" s="270"/>
      <c r="AA117" s="270"/>
      <c r="AB117" s="270"/>
      <c r="AC117" s="270"/>
      <c r="AD117" s="270"/>
      <c r="AE117" s="270"/>
      <c r="AF117" s="270"/>
      <c r="AG117" s="270"/>
      <c r="AH117" s="270"/>
      <c r="AI117" s="270"/>
    </row>
    <row r="118" spans="1:35" ht="13.8">
      <c r="A118" s="1815"/>
      <c r="B118" s="1815"/>
      <c r="C118" s="1815"/>
      <c r="D118" s="1815"/>
      <c r="E118" s="1815"/>
      <c r="F118" s="1815"/>
      <c r="G118" s="1815"/>
      <c r="H118" s="1815"/>
      <c r="I118" s="1815"/>
      <c r="J118" s="1815"/>
      <c r="K118" s="1815"/>
      <c r="L118" s="1815"/>
      <c r="M118" s="1815"/>
      <c r="N118" s="1815"/>
      <c r="O118" s="1815"/>
      <c r="P118" s="1815"/>
      <c r="Q118" s="1815"/>
      <c r="R118" s="1815"/>
      <c r="S118" s="1815"/>
      <c r="T118" s="1815"/>
      <c r="U118" s="1235"/>
      <c r="V118" s="1235"/>
      <c r="W118" s="1235"/>
      <c r="X118" s="1235"/>
      <c r="Y118" s="1235"/>
      <c r="Z118" s="1235"/>
      <c r="AA118" s="1235"/>
      <c r="AB118" s="1235"/>
      <c r="AC118" s="1235"/>
      <c r="AD118" s="1235"/>
      <c r="AE118" s="1235"/>
      <c r="AF118" s="1235"/>
      <c r="AG118" s="1235"/>
      <c r="AH118" s="1235"/>
      <c r="AI118" s="1235"/>
    </row>
    <row r="119" spans="1:35" ht="13.8">
      <c r="A119" s="1816"/>
      <c r="B119" s="1816"/>
      <c r="C119" s="1816"/>
      <c r="D119" s="1865"/>
      <c r="E119" s="1865"/>
      <c r="F119" s="1865"/>
      <c r="G119" s="1865"/>
      <c r="H119" s="1865"/>
      <c r="I119" s="1815"/>
      <c r="J119" s="1816"/>
      <c r="K119" s="1816"/>
      <c r="L119" s="1816"/>
      <c r="M119" s="1816"/>
      <c r="N119" s="1816"/>
      <c r="O119" s="1816"/>
      <c r="P119" s="1816"/>
      <c r="Q119" s="1816"/>
      <c r="R119" s="1816"/>
      <c r="S119" s="1816"/>
      <c r="T119" s="1816"/>
      <c r="U119" s="1235"/>
      <c r="V119" s="1235"/>
      <c r="W119" s="1235"/>
      <c r="X119" s="1235"/>
      <c r="Y119" s="1235"/>
      <c r="Z119" s="1235"/>
      <c r="AA119" s="1235"/>
      <c r="AB119" s="1235"/>
      <c r="AC119" s="1235"/>
      <c r="AD119" s="1235"/>
      <c r="AE119" s="1235"/>
      <c r="AF119" s="1235"/>
      <c r="AG119" s="1235"/>
      <c r="AH119" s="1235"/>
      <c r="AI119" s="1235"/>
    </row>
    <row r="120" spans="1:35" ht="17.25" customHeight="1">
      <c r="A120" s="1865" t="s">
        <v>21</v>
      </c>
      <c r="B120" s="1865" t="s">
        <v>512</v>
      </c>
      <c r="C120" s="1235"/>
      <c r="D120" s="1817" t="str">
        <f>'Part I-Project Identification'!$A$6</f>
        <v>May XX, 2026</v>
      </c>
      <c r="E120" s="1817"/>
      <c r="F120" s="1817"/>
      <c r="G120" s="1817"/>
      <c r="H120" s="1817"/>
      <c r="I120" s="1865"/>
      <c r="J120" s="1815" t="s">
        <v>513</v>
      </c>
      <c r="K120" s="1815"/>
      <c r="L120" s="1844"/>
      <c r="M120" s="1866" t="s">
        <v>514</v>
      </c>
      <c r="N120" s="1866"/>
      <c r="O120" s="1235"/>
      <c r="P120" s="1815" t="s">
        <v>515</v>
      </c>
      <c r="Q120" s="1815"/>
      <c r="R120" s="1235"/>
      <c r="S120" s="1815" t="s">
        <v>516</v>
      </c>
      <c r="T120" s="1815"/>
      <c r="U120" s="1235"/>
      <c r="V120" s="1867" t="str">
        <f>B120</f>
        <v>DEVELOPMENT BUDGET</v>
      </c>
      <c r="W120" s="1235"/>
      <c r="X120" s="1235"/>
      <c r="Y120" s="1235"/>
      <c r="Z120" s="1235"/>
      <c r="AA120" s="1235"/>
      <c r="AB120" s="1235"/>
      <c r="AC120" s="1235"/>
      <c r="AD120" s="1235"/>
      <c r="AE120" s="1235"/>
      <c r="AF120" s="1235"/>
      <c r="AG120" s="1235"/>
      <c r="AH120" s="1235"/>
      <c r="AI120" s="1235"/>
    </row>
    <row r="121" spans="1:35" ht="13.8">
      <c r="A121" s="1235"/>
      <c r="B121" s="1235"/>
      <c r="C121" s="1235"/>
      <c r="D121" s="1817"/>
      <c r="E121" s="1817"/>
      <c r="F121" s="1817"/>
      <c r="G121" s="1815" t="s">
        <v>517</v>
      </c>
      <c r="H121" s="1815"/>
      <c r="I121" s="1235"/>
      <c r="J121" s="1815"/>
      <c r="K121" s="1815"/>
      <c r="L121" s="1844"/>
      <c r="M121" s="1866"/>
      <c r="N121" s="1866"/>
      <c r="O121" s="1235"/>
      <c r="P121" s="1815"/>
      <c r="Q121" s="1815"/>
      <c r="R121" s="1235"/>
      <c r="S121" s="1815"/>
      <c r="T121" s="1815"/>
      <c r="U121" s="1235"/>
      <c r="V121" s="269" t="s">
        <v>350</v>
      </c>
      <c r="W121" s="1235"/>
      <c r="X121" s="269"/>
      <c r="Y121" s="1235"/>
      <c r="Z121" s="1235"/>
      <c r="AA121" s="1235"/>
      <c r="AB121" s="1235"/>
      <c r="AC121" s="1235"/>
      <c r="AD121" s="1235"/>
      <c r="AE121" s="1235"/>
      <c r="AF121" s="1235"/>
      <c r="AG121" s="1235"/>
      <c r="AH121" s="1235"/>
      <c r="AI121" s="1235"/>
    </row>
    <row r="122" spans="1:35" ht="13.8">
      <c r="A122" s="1235"/>
      <c r="B122" s="1815" t="s">
        <v>518</v>
      </c>
      <c r="C122" s="1235"/>
      <c r="D122" s="1235"/>
      <c r="E122" s="1235"/>
      <c r="F122" s="1235"/>
      <c r="G122" s="1235"/>
      <c r="H122" s="1235"/>
      <c r="I122" s="1235"/>
      <c r="J122" s="1235"/>
      <c r="K122" s="1235"/>
      <c r="L122" s="1235"/>
      <c r="M122" s="1235"/>
      <c r="N122" s="1235"/>
      <c r="O122" s="1816" t="str">
        <f>B122</f>
        <v>PRE-DEVELOPMENT COSTS</v>
      </c>
      <c r="P122" s="1235"/>
      <c r="Q122" s="1235"/>
      <c r="R122" s="1235"/>
      <c r="S122" s="1235"/>
      <c r="T122" s="1235"/>
      <c r="U122" s="1235"/>
      <c r="V122" s="1235"/>
      <c r="W122" s="1235" t="str">
        <f>B122</f>
        <v>PRE-DEVELOPMENT COSTS</v>
      </c>
      <c r="X122" s="1235"/>
      <c r="Y122" s="1235"/>
      <c r="Z122" s="1235"/>
      <c r="AA122" s="1235"/>
      <c r="AB122" s="1235"/>
      <c r="AC122" s="1235"/>
      <c r="AD122" s="1235"/>
      <c r="AE122" s="1235"/>
      <c r="AF122" s="1235"/>
      <c r="AG122" s="1235"/>
      <c r="AH122" s="1235"/>
      <c r="AI122" s="1235"/>
    </row>
    <row r="123" spans="1:35" ht="13.8">
      <c r="A123" s="1235"/>
      <c r="B123" s="1235" t="s">
        <v>519</v>
      </c>
      <c r="C123" s="1235"/>
      <c r="D123" s="1235"/>
      <c r="E123" s="1235"/>
      <c r="F123" s="1235"/>
      <c r="G123" s="1844">
        <f>'Part III-A-Uses of Funds'!G9</f>
        <v>10000</v>
      </c>
      <c r="H123" s="1844"/>
      <c r="I123" s="1235"/>
      <c r="J123" s="1844">
        <f>'Part III-A-Uses of Funds'!J9</f>
        <v>0</v>
      </c>
      <c r="K123" s="1844"/>
      <c r="L123" s="1833"/>
      <c r="M123" s="1844">
        <f>'Part III-A-Uses of Funds'!M9</f>
        <v>0</v>
      </c>
      <c r="N123" s="1844"/>
      <c r="O123" s="1235"/>
      <c r="P123" s="1844">
        <f>'Part III-A-Uses of Funds'!P9</f>
        <v>10000</v>
      </c>
      <c r="Q123" s="1844"/>
      <c r="R123" s="1235"/>
      <c r="S123" s="1844">
        <f>'Part III-A-Uses of Funds'!S9</f>
        <v>0</v>
      </c>
      <c r="T123" s="1844"/>
      <c r="U123" s="1235"/>
      <c r="V123" s="1868"/>
      <c r="W123" s="1869"/>
      <c r="X123" s="1869"/>
      <c r="Y123" s="1235"/>
      <c r="Z123" s="1235"/>
      <c r="AA123" s="1235"/>
      <c r="AB123" s="1235"/>
      <c r="AC123" s="1235"/>
      <c r="AD123" s="1235"/>
      <c r="AE123" s="1235"/>
      <c r="AF123" s="1235"/>
      <c r="AG123" s="1235"/>
      <c r="AH123" s="1235"/>
      <c r="AI123" s="1235"/>
    </row>
    <row r="124" spans="1:35" ht="13.8">
      <c r="A124" s="1235"/>
      <c r="B124" s="1235" t="s">
        <v>520</v>
      </c>
      <c r="C124" s="1235"/>
      <c r="D124" s="1235"/>
      <c r="E124" s="1235"/>
      <c r="F124" s="1235"/>
      <c r="G124" s="1844">
        <f>'Part III-A-Uses of Funds'!G10</f>
        <v>10000</v>
      </c>
      <c r="H124" s="1844"/>
      <c r="I124" s="1235"/>
      <c r="J124" s="1844">
        <f>'Part III-A-Uses of Funds'!J10</f>
        <v>0</v>
      </c>
      <c r="K124" s="1844"/>
      <c r="L124" s="1833"/>
      <c r="M124" s="1844">
        <f>'Part III-A-Uses of Funds'!M10</f>
        <v>0</v>
      </c>
      <c r="N124" s="1844"/>
      <c r="O124" s="1235"/>
      <c r="P124" s="1844">
        <f>'Part III-A-Uses of Funds'!P10</f>
        <v>10000</v>
      </c>
      <c r="Q124" s="1844"/>
      <c r="R124" s="1235"/>
      <c r="S124" s="1844">
        <f>'Part III-A-Uses of Funds'!S10</f>
        <v>0</v>
      </c>
      <c r="T124" s="1844"/>
      <c r="U124" s="1235"/>
      <c r="V124" s="1868"/>
      <c r="W124" s="1869"/>
      <c r="X124" s="1869"/>
      <c r="Y124" s="1235"/>
      <c r="Z124" s="1235"/>
      <c r="AA124" s="1235"/>
      <c r="AB124" s="1235"/>
      <c r="AC124" s="1235"/>
      <c r="AD124" s="1235"/>
      <c r="AE124" s="1235"/>
      <c r="AF124" s="1235"/>
      <c r="AG124" s="1235"/>
      <c r="AH124" s="1235"/>
      <c r="AI124" s="1235"/>
    </row>
    <row r="125" spans="1:35" ht="13.8">
      <c r="A125" s="1235"/>
      <c r="B125" s="1235" t="s">
        <v>521</v>
      </c>
      <c r="C125" s="1235"/>
      <c r="D125" s="1235"/>
      <c r="E125" s="1235"/>
      <c r="F125" s="1235"/>
      <c r="G125" s="1844">
        <f>'Part III-A-Uses of Funds'!G11</f>
        <v>35000</v>
      </c>
      <c r="H125" s="1844"/>
      <c r="I125" s="1235"/>
      <c r="J125" s="1844">
        <f>'Part III-A-Uses of Funds'!J11</f>
        <v>0</v>
      </c>
      <c r="K125" s="1844"/>
      <c r="L125" s="1833"/>
      <c r="M125" s="1844">
        <f>'Part III-A-Uses of Funds'!M11</f>
        <v>0</v>
      </c>
      <c r="N125" s="1844"/>
      <c r="O125" s="1235"/>
      <c r="P125" s="1844">
        <f>'Part III-A-Uses of Funds'!P11</f>
        <v>35000</v>
      </c>
      <c r="Q125" s="1844"/>
      <c r="R125" s="1235"/>
      <c r="S125" s="1844">
        <f>'Part III-A-Uses of Funds'!S11</f>
        <v>0</v>
      </c>
      <c r="T125" s="1844"/>
      <c r="U125" s="1235"/>
      <c r="V125" s="1868"/>
      <c r="W125" s="1869"/>
      <c r="X125" s="1869"/>
      <c r="Y125" s="1235"/>
      <c r="Z125" s="1235"/>
      <c r="AA125" s="1235"/>
      <c r="AB125" s="1235"/>
      <c r="AC125" s="1235"/>
      <c r="AD125" s="1235"/>
      <c r="AE125" s="1235"/>
      <c r="AF125" s="1235"/>
      <c r="AG125" s="1235"/>
      <c r="AH125" s="1235"/>
      <c r="AI125" s="1235"/>
    </row>
    <row r="126" spans="1:35" ht="13.8">
      <c r="A126" s="1235"/>
      <c r="B126" s="1235" t="s">
        <v>522</v>
      </c>
      <c r="C126" s="1235"/>
      <c r="D126" s="1235"/>
      <c r="E126" s="1235"/>
      <c r="F126" s="1235"/>
      <c r="G126" s="1844">
        <f>'Part III-A-Uses of Funds'!G12</f>
        <v>0</v>
      </c>
      <c r="H126" s="1844"/>
      <c r="I126" s="1235"/>
      <c r="J126" s="1844">
        <f>'Part III-A-Uses of Funds'!J12</f>
        <v>0</v>
      </c>
      <c r="K126" s="1844"/>
      <c r="L126" s="1833"/>
      <c r="M126" s="1844">
        <f>'Part III-A-Uses of Funds'!M12</f>
        <v>0</v>
      </c>
      <c r="N126" s="1844"/>
      <c r="O126" s="1235"/>
      <c r="P126" s="1844">
        <f>'Part III-A-Uses of Funds'!P12</f>
        <v>0</v>
      </c>
      <c r="Q126" s="1844"/>
      <c r="R126" s="1235"/>
      <c r="S126" s="1844">
        <f>'Part III-A-Uses of Funds'!S12</f>
        <v>0</v>
      </c>
      <c r="T126" s="1844"/>
      <c r="U126" s="1235"/>
      <c r="V126" s="1868"/>
      <c r="W126" s="1869"/>
      <c r="X126" s="1869"/>
      <c r="Y126" s="1235"/>
      <c r="Z126" s="1235"/>
      <c r="AA126" s="1235"/>
      <c r="AB126" s="1235"/>
      <c r="AC126" s="1235"/>
      <c r="AD126" s="1235"/>
      <c r="AE126" s="1235"/>
      <c r="AF126" s="1235"/>
      <c r="AG126" s="1235"/>
      <c r="AH126" s="1235"/>
      <c r="AI126" s="1235"/>
    </row>
    <row r="127" spans="1:35" ht="13.8">
      <c r="A127" s="1235"/>
      <c r="B127" s="1235" t="s">
        <v>523</v>
      </c>
      <c r="C127" s="1235"/>
      <c r="D127" s="1235"/>
      <c r="E127" s="1235"/>
      <c r="F127" s="1235"/>
      <c r="G127" s="1844">
        <f>'Part III-A-Uses of Funds'!G13</f>
        <v>15000</v>
      </c>
      <c r="H127" s="1844"/>
      <c r="I127" s="1235"/>
      <c r="J127" s="1844">
        <f>'Part III-A-Uses of Funds'!J13</f>
        <v>0</v>
      </c>
      <c r="K127" s="1844"/>
      <c r="L127" s="1833"/>
      <c r="M127" s="1844">
        <f>'Part III-A-Uses of Funds'!M13</f>
        <v>0</v>
      </c>
      <c r="N127" s="1844"/>
      <c r="O127" s="1235"/>
      <c r="P127" s="1844">
        <f>'Part III-A-Uses of Funds'!P13</f>
        <v>15000</v>
      </c>
      <c r="Q127" s="1844"/>
      <c r="R127" s="1235"/>
      <c r="S127" s="1844">
        <f>'Part III-A-Uses of Funds'!S13</f>
        <v>0</v>
      </c>
      <c r="T127" s="1844"/>
      <c r="U127" s="1235"/>
      <c r="V127" s="1868"/>
      <c r="W127" s="1869"/>
      <c r="X127" s="1869"/>
      <c r="Y127" s="1235"/>
      <c r="Z127" s="1235"/>
      <c r="AA127" s="1235"/>
      <c r="AB127" s="1235"/>
      <c r="AC127" s="1235"/>
      <c r="AD127" s="1235"/>
      <c r="AE127" s="1235"/>
      <c r="AF127" s="1235"/>
      <c r="AG127" s="1235"/>
      <c r="AH127" s="1235"/>
      <c r="AI127" s="1235"/>
    </row>
    <row r="128" spans="1:35" ht="13.8">
      <c r="A128" s="1235"/>
      <c r="B128" s="1235" t="s">
        <v>524</v>
      </c>
      <c r="C128" s="1235"/>
      <c r="D128" s="1235"/>
      <c r="E128" s="1235"/>
      <c r="F128" s="1235"/>
      <c r="G128" s="1844">
        <f>'Part III-A-Uses of Funds'!G14</f>
        <v>5000</v>
      </c>
      <c r="H128" s="1844"/>
      <c r="I128" s="1235"/>
      <c r="J128" s="1844">
        <f>'Part III-A-Uses of Funds'!J14</f>
        <v>0</v>
      </c>
      <c r="K128" s="1844"/>
      <c r="L128" s="1833"/>
      <c r="M128" s="1844">
        <f>'Part III-A-Uses of Funds'!M14</f>
        <v>0</v>
      </c>
      <c r="N128" s="1844"/>
      <c r="O128" s="1235"/>
      <c r="P128" s="1844">
        <f>'Part III-A-Uses of Funds'!P14</f>
        <v>5000</v>
      </c>
      <c r="Q128" s="1844"/>
      <c r="R128" s="1235"/>
      <c r="S128" s="1844">
        <f>'Part III-A-Uses of Funds'!S14</f>
        <v>0</v>
      </c>
      <c r="T128" s="1844"/>
      <c r="U128" s="1235"/>
      <c r="V128" s="1868"/>
      <c r="W128" s="1869"/>
      <c r="X128" s="1869"/>
      <c r="Y128" s="1235"/>
      <c r="Z128" s="1235"/>
      <c r="AA128" s="1235"/>
      <c r="AB128" s="1235"/>
      <c r="AC128" s="1235"/>
      <c r="AD128" s="1235"/>
      <c r="AE128" s="1235"/>
      <c r="AF128" s="1235"/>
      <c r="AG128" s="1235"/>
      <c r="AH128" s="1235"/>
      <c r="AI128" s="1235"/>
    </row>
    <row r="129" spans="1:35" ht="15.75" customHeight="1">
      <c r="A129" s="1870" t="str">
        <f>IF(AND(G129&gt;0,OR(C129="",C129="&lt;Enter detailed description here; use Comments section if needed&gt;")),"X","")</f>
        <v/>
      </c>
      <c r="B129" s="1820" t="s">
        <v>525</v>
      </c>
      <c r="C129" s="1741" t="str">
        <f>'Part III-A-Uses of Funds'!C15</f>
        <v>PNA</v>
      </c>
      <c r="D129" s="1741"/>
      <c r="E129" s="1741"/>
      <c r="F129" s="1741"/>
      <c r="G129" s="1844">
        <f>'Part III-A-Uses of Funds'!G15</f>
        <v>10000</v>
      </c>
      <c r="H129" s="1844"/>
      <c r="I129" s="1235"/>
      <c r="J129" s="1844">
        <f>'Part III-A-Uses of Funds'!J15</f>
        <v>0</v>
      </c>
      <c r="K129" s="1844"/>
      <c r="L129" s="1833"/>
      <c r="M129" s="1844">
        <f>'Part III-A-Uses of Funds'!M15</f>
        <v>0</v>
      </c>
      <c r="N129" s="1844"/>
      <c r="O129" s="1235"/>
      <c r="P129" s="1844">
        <f>'Part III-A-Uses of Funds'!P15</f>
        <v>10000</v>
      </c>
      <c r="Q129" s="1844"/>
      <c r="R129" s="1235"/>
      <c r="S129" s="1844">
        <f>'Part III-A-Uses of Funds'!S15</f>
        <v>0</v>
      </c>
      <c r="T129" s="1844"/>
      <c r="U129" s="1824" t="str">
        <f>IF(AND(G129&gt;0,OR(C129="",C129="&lt;Enter detailed description here; use Comments section if needed&gt;")),"NO DESCRIPTION PROVIDED - please enter detailed description in Other box at left; use Comments section below if needed.","")</f>
        <v/>
      </c>
      <c r="V129" s="1871"/>
      <c r="W129" s="1869"/>
      <c r="X129" s="1869"/>
      <c r="Y129" s="1235"/>
      <c r="Z129" s="1235"/>
      <c r="AA129" s="1235"/>
      <c r="AB129" s="1235"/>
      <c r="AC129" s="1235"/>
      <c r="AD129" s="1235"/>
      <c r="AE129" s="1235"/>
      <c r="AF129" s="1235"/>
      <c r="AG129" s="1235"/>
      <c r="AH129" s="1235"/>
      <c r="AI129" s="1235"/>
    </row>
    <row r="130" spans="1:35" ht="15.75" customHeight="1">
      <c r="A130" s="1870" t="str">
        <f>IF(AND(G130&gt;0,OR(C130="",C130="&lt;Enter detailed description here; use Comments section if needed&gt;")),"X","")</f>
        <v/>
      </c>
      <c r="B130" s="1820" t="s">
        <v>528</v>
      </c>
      <c r="C130" s="1741" t="str">
        <f>'Part III-A-Uses of Funds'!C16</f>
        <v>Front-End Cost Review</v>
      </c>
      <c r="D130" s="1741"/>
      <c r="E130" s="1741"/>
      <c r="F130" s="1741"/>
      <c r="G130" s="1844">
        <f>'Part III-A-Uses of Funds'!G16</f>
        <v>15000</v>
      </c>
      <c r="H130" s="1844"/>
      <c r="I130" s="1235"/>
      <c r="J130" s="1844">
        <f>'Part III-A-Uses of Funds'!J16</f>
        <v>0</v>
      </c>
      <c r="K130" s="1844"/>
      <c r="L130" s="1833"/>
      <c r="M130" s="1844">
        <f>'Part III-A-Uses of Funds'!M16</f>
        <v>0</v>
      </c>
      <c r="N130" s="1844"/>
      <c r="O130" s="1235"/>
      <c r="P130" s="1844">
        <f>'Part III-A-Uses of Funds'!P16</f>
        <v>15000</v>
      </c>
      <c r="Q130" s="1844"/>
      <c r="R130" s="1235"/>
      <c r="S130" s="1844">
        <f>'Part III-A-Uses of Funds'!S16</f>
        <v>0</v>
      </c>
      <c r="T130" s="1844"/>
      <c r="U130" s="1824" t="str">
        <f>IF(AND(G130&gt;0,OR(C130="",C130="&lt;Enter detailed description here; use Comments section if needed&gt;")),"NO DESCRIPTION PROVIDED - please enter detailed description in Other box at left; use Comments section below if needed.","")</f>
        <v/>
      </c>
      <c r="V130" s="1871"/>
      <c r="W130" s="1869"/>
      <c r="X130" s="1869"/>
      <c r="Y130" s="1235"/>
      <c r="Z130" s="1235"/>
      <c r="AA130" s="1235"/>
      <c r="AB130" s="1235"/>
      <c r="AC130" s="1235"/>
      <c r="AD130" s="1235"/>
      <c r="AE130" s="1235"/>
      <c r="AF130" s="1235"/>
      <c r="AG130" s="1235"/>
      <c r="AH130" s="1235"/>
      <c r="AI130" s="1235"/>
    </row>
    <row r="131" spans="1:35" ht="16.5" customHeight="1">
      <c r="A131" s="1870" t="str">
        <f>IF(AND(G131&gt;0,OR(C131="",C131="&lt;Enter detailed description here; use Comments section if needed&gt;")),"X","")</f>
        <v/>
      </c>
      <c r="B131" s="1820" t="s">
        <v>530</v>
      </c>
      <c r="C131" s="1741" t="str">
        <f>'Part III-A-Uses of Funds'!C17</f>
        <v>Energy Audit</v>
      </c>
      <c r="D131" s="1741"/>
      <c r="E131" s="1741"/>
      <c r="F131" s="1741"/>
      <c r="G131" s="1844">
        <f>'Part III-A-Uses of Funds'!G17</f>
        <v>10000</v>
      </c>
      <c r="H131" s="1844"/>
      <c r="I131" s="1235"/>
      <c r="J131" s="1844">
        <f>'Part III-A-Uses of Funds'!J17</f>
        <v>0</v>
      </c>
      <c r="K131" s="1844"/>
      <c r="L131" s="1833"/>
      <c r="M131" s="1844">
        <f>'Part III-A-Uses of Funds'!M17</f>
        <v>0</v>
      </c>
      <c r="N131" s="1844"/>
      <c r="O131" s="1235"/>
      <c r="P131" s="1844">
        <f>'Part III-A-Uses of Funds'!P17</f>
        <v>10000</v>
      </c>
      <c r="Q131" s="1844"/>
      <c r="R131" s="1235"/>
      <c r="S131" s="1844">
        <f>'Part III-A-Uses of Funds'!S17</f>
        <v>0</v>
      </c>
      <c r="T131" s="1844"/>
      <c r="U131" s="1824" t="str">
        <f>IF(AND(G131&gt;0,OR(C131="",C131="&lt;Enter detailed description here; use Comments section if needed&gt;")),"NO DESCRIPTION PROVIDED - please enter detailed description in Other box at left; use Comments section below if needed.","")</f>
        <v/>
      </c>
      <c r="V131" s="1871"/>
      <c r="W131" s="1869"/>
      <c r="X131" s="1869"/>
      <c r="Y131" s="1235"/>
      <c r="Z131" s="1235"/>
      <c r="AA131" s="1235"/>
      <c r="AB131" s="1235"/>
      <c r="AC131" s="1235"/>
      <c r="AD131" s="1235"/>
      <c r="AE131" s="1235"/>
      <c r="AF131" s="1235"/>
      <c r="AG131" s="1235"/>
      <c r="AH131" s="1235"/>
      <c r="AI131" s="1235"/>
    </row>
    <row r="132" spans="1:35" ht="13.8">
      <c r="A132" s="1235"/>
      <c r="B132" s="1235"/>
      <c r="C132" s="1235"/>
      <c r="D132" s="1235"/>
      <c r="E132" s="1235"/>
      <c r="F132" s="1872" t="s">
        <v>532</v>
      </c>
      <c r="G132" s="1844">
        <f>SUM(G123:G131)</f>
        <v>110000</v>
      </c>
      <c r="H132" s="1844"/>
      <c r="I132" s="1235"/>
      <c r="J132" s="1844">
        <f>SUM(J123:J131)</f>
        <v>0</v>
      </c>
      <c r="K132" s="1844"/>
      <c r="L132" s="1833"/>
      <c r="M132" s="1844">
        <f>SUM(M123:M131)</f>
        <v>0</v>
      </c>
      <c r="N132" s="1844"/>
      <c r="O132" s="1235"/>
      <c r="P132" s="1844">
        <f>SUM(P123:P131)</f>
        <v>110000</v>
      </c>
      <c r="Q132" s="1844"/>
      <c r="R132" s="1235"/>
      <c r="S132" s="1844">
        <f>SUM(S123:S131)</f>
        <v>0</v>
      </c>
      <c r="T132" s="1844"/>
      <c r="U132" s="1235"/>
      <c r="V132" s="1868">
        <f>SUM(V123:V131)</f>
        <v>0</v>
      </c>
      <c r="W132" s="1869"/>
      <c r="X132" s="1869"/>
      <c r="Y132" s="1235"/>
      <c r="Z132" s="1235"/>
      <c r="AA132" s="1235"/>
      <c r="AB132" s="1235"/>
      <c r="AC132" s="1235"/>
      <c r="AD132" s="1235"/>
      <c r="AE132" s="1235"/>
      <c r="AF132" s="1235"/>
      <c r="AG132" s="1235"/>
      <c r="AH132" s="1235"/>
      <c r="AI132" s="1235"/>
    </row>
    <row r="133" spans="1:35" ht="13.8">
      <c r="A133" s="1235"/>
      <c r="B133" s="1815" t="s">
        <v>534</v>
      </c>
      <c r="C133" s="1235"/>
      <c r="D133" s="1235"/>
      <c r="E133" s="1235"/>
      <c r="F133" s="1235"/>
      <c r="G133" s="1235"/>
      <c r="H133" s="1235"/>
      <c r="I133" s="1235"/>
      <c r="J133" s="1844"/>
      <c r="K133" s="1844"/>
      <c r="L133" s="1235"/>
      <c r="M133" s="1844"/>
      <c r="N133" s="1844"/>
      <c r="O133" s="1873" t="str">
        <f>B133</f>
        <v>ACQUISITION</v>
      </c>
      <c r="P133" s="1844"/>
      <c r="Q133" s="1844"/>
      <c r="R133" s="1235"/>
      <c r="S133" s="1844"/>
      <c r="T133" s="1844"/>
      <c r="U133" s="1235"/>
      <c r="V133" s="1868"/>
      <c r="W133" s="1235" t="str">
        <f>B133</f>
        <v>ACQUISITION</v>
      </c>
      <c r="X133" s="1235"/>
      <c r="Y133" s="1235"/>
      <c r="Z133" s="1235"/>
      <c r="AA133" s="1235"/>
      <c r="AB133" s="1235"/>
      <c r="AC133" s="1235"/>
      <c r="AD133" s="1235"/>
      <c r="AE133" s="1235"/>
      <c r="AF133" s="1235"/>
      <c r="AG133" s="1235"/>
      <c r="AH133" s="1235"/>
      <c r="AI133" s="1235"/>
    </row>
    <row r="134" spans="1:35" ht="13.8">
      <c r="A134" s="1235"/>
      <c r="B134" s="1235" t="s">
        <v>535</v>
      </c>
      <c r="C134" s="1235"/>
      <c r="D134" s="1235"/>
      <c r="E134" s="1874" t="s">
        <v>536</v>
      </c>
      <c r="F134" s="1875">
        <f>IF('Part I-Project Identification'!$O$29="","",G134/'Part I-Project Identification'!$O$29)</f>
        <v>43706.293706293705</v>
      </c>
      <c r="G134" s="1844">
        <f>'Part III-A-Uses of Funds'!G20</f>
        <v>500000</v>
      </c>
      <c r="H134" s="1844"/>
      <c r="I134" s="1235"/>
      <c r="J134" s="1833"/>
      <c r="K134" s="1844"/>
      <c r="L134" s="1833"/>
      <c r="M134" s="1833"/>
      <c r="N134" s="1844"/>
      <c r="O134" s="1235"/>
      <c r="P134" s="1833"/>
      <c r="Q134" s="1844"/>
      <c r="R134" s="1235"/>
      <c r="S134" s="1844">
        <f>'Part III-A-Uses of Funds'!S20</f>
        <v>500000</v>
      </c>
      <c r="T134" s="1844"/>
      <c r="U134" s="1235"/>
      <c r="V134" s="1868"/>
      <c r="W134" s="1869"/>
      <c r="X134" s="1869"/>
      <c r="Y134" s="1235"/>
      <c r="Z134" s="1235"/>
      <c r="AA134" s="1235"/>
      <c r="AB134" s="1235"/>
      <c r="AC134" s="1235"/>
      <c r="AD134" s="1235"/>
      <c r="AE134" s="1235"/>
      <c r="AF134" s="1235"/>
      <c r="AG134" s="1235"/>
      <c r="AH134" s="1235"/>
      <c r="AI134" s="1235"/>
    </row>
    <row r="135" spans="1:35" ht="13.8">
      <c r="A135" s="1235"/>
      <c r="B135" s="1235" t="s">
        <v>537</v>
      </c>
      <c r="C135" s="1235"/>
      <c r="D135" s="1235"/>
      <c r="E135" s="1235"/>
      <c r="F135" s="1235"/>
      <c r="G135" s="1844">
        <f>'Part III-A-Uses of Funds'!G21</f>
        <v>0</v>
      </c>
      <c r="H135" s="1844"/>
      <c r="I135" s="1235"/>
      <c r="J135" s="1833"/>
      <c r="K135" s="1844"/>
      <c r="L135" s="1833"/>
      <c r="M135" s="1833"/>
      <c r="N135" s="1844"/>
      <c r="O135" s="1235"/>
      <c r="P135" s="1833"/>
      <c r="Q135" s="1844"/>
      <c r="R135" s="1235"/>
      <c r="S135" s="1844">
        <f>'Part III-A-Uses of Funds'!S21</f>
        <v>0</v>
      </c>
      <c r="T135" s="1844"/>
      <c r="U135" s="1235"/>
      <c r="V135" s="1868"/>
      <c r="W135" s="1869"/>
      <c r="X135" s="1869"/>
      <c r="Y135" s="1235"/>
      <c r="Z135" s="1235"/>
      <c r="AA135" s="1235"/>
      <c r="AB135" s="1235"/>
      <c r="AC135" s="1235"/>
      <c r="AD135" s="1235"/>
      <c r="AE135" s="1235"/>
      <c r="AF135" s="1235"/>
      <c r="AG135" s="1235"/>
      <c r="AH135" s="1235"/>
      <c r="AI135" s="1235"/>
    </row>
    <row r="136" spans="1:35" ht="13.8">
      <c r="A136" s="1235"/>
      <c r="B136" s="1235" t="s">
        <v>538</v>
      </c>
      <c r="C136" s="1235"/>
      <c r="D136" s="1235"/>
      <c r="E136" s="1235"/>
      <c r="F136" s="1235"/>
      <c r="G136" s="1844">
        <f>'Part III-A-Uses of Funds'!G22</f>
        <v>0</v>
      </c>
      <c r="H136" s="1844"/>
      <c r="I136" s="1235"/>
      <c r="J136" s="1833"/>
      <c r="K136" s="1844"/>
      <c r="L136" s="1833"/>
      <c r="M136" s="1844">
        <f>'Part III-A-Uses of Funds'!M22</f>
        <v>0</v>
      </c>
      <c r="N136" s="1844"/>
      <c r="O136" s="1235"/>
      <c r="P136" s="1833"/>
      <c r="Q136" s="1844"/>
      <c r="R136" s="1235"/>
      <c r="S136" s="1844">
        <f>'Part III-A-Uses of Funds'!S22</f>
        <v>0</v>
      </c>
      <c r="T136" s="1844"/>
      <c r="U136" s="1235"/>
      <c r="V136" s="1868"/>
      <c r="W136" s="1869"/>
      <c r="X136" s="1869"/>
      <c r="Y136" s="1235"/>
      <c r="Z136" s="1235"/>
      <c r="AA136" s="1235"/>
      <c r="AB136" s="1235"/>
      <c r="AC136" s="1235"/>
      <c r="AD136" s="1235"/>
      <c r="AE136" s="1235"/>
      <c r="AF136" s="1235"/>
      <c r="AG136" s="1235"/>
      <c r="AH136" s="1235"/>
      <c r="AI136" s="1235"/>
    </row>
    <row r="137" spans="1:35" ht="13.8">
      <c r="A137" s="1235"/>
      <c r="B137" s="1235" t="s">
        <v>539</v>
      </c>
      <c r="C137" s="1235"/>
      <c r="D137" s="1235"/>
      <c r="E137" s="1235"/>
      <c r="F137" s="1235"/>
      <c r="G137" s="1844">
        <f>'Part III-A-Uses of Funds'!G23</f>
        <v>4000000</v>
      </c>
      <c r="H137" s="1844"/>
      <c r="I137" s="1235"/>
      <c r="J137" s="1833"/>
      <c r="K137" s="1844"/>
      <c r="L137" s="1833"/>
      <c r="M137" s="1844">
        <f>'Part III-A-Uses of Funds'!M23</f>
        <v>4000000</v>
      </c>
      <c r="N137" s="1844"/>
      <c r="O137" s="1235"/>
      <c r="P137" s="1833"/>
      <c r="Q137" s="1844"/>
      <c r="R137" s="1235"/>
      <c r="S137" s="1844">
        <f>'Part III-A-Uses of Funds'!S23</f>
        <v>0</v>
      </c>
      <c r="T137" s="1844"/>
      <c r="U137" s="1235"/>
      <c r="V137" s="1868"/>
      <c r="W137" s="1869"/>
      <c r="X137" s="1869"/>
      <c r="Y137" s="1235"/>
      <c r="Z137" s="1235"/>
      <c r="AA137" s="1235"/>
      <c r="AB137" s="1235"/>
      <c r="AC137" s="1235"/>
      <c r="AD137" s="1235"/>
      <c r="AE137" s="1235"/>
      <c r="AF137" s="1235"/>
      <c r="AG137" s="1235"/>
      <c r="AH137" s="1235"/>
      <c r="AI137" s="1235"/>
    </row>
    <row r="138" spans="1:35" ht="13.8">
      <c r="A138" s="1235"/>
      <c r="B138" s="1235"/>
      <c r="C138" s="1235"/>
      <c r="D138" s="1235"/>
      <c r="E138" s="1235"/>
      <c r="F138" s="1872" t="s">
        <v>532</v>
      </c>
      <c r="G138" s="1844">
        <f>SUM(G134:G137)</f>
        <v>4500000</v>
      </c>
      <c r="H138" s="1844"/>
      <c r="I138" s="1235"/>
      <c r="J138" s="1833"/>
      <c r="K138" s="1844"/>
      <c r="L138" s="1833"/>
      <c r="M138" s="1844">
        <f>SUM(M136:M137)</f>
        <v>4000000</v>
      </c>
      <c r="N138" s="1844"/>
      <c r="O138" s="1235"/>
      <c r="P138" s="1833"/>
      <c r="Q138" s="1844"/>
      <c r="R138" s="1235"/>
      <c r="S138" s="1844">
        <f>SUM(S134:S137)</f>
        <v>500000</v>
      </c>
      <c r="T138" s="1844"/>
      <c r="U138" s="1235"/>
      <c r="V138" s="1868">
        <f>SUM(V134:V137)</f>
        <v>0</v>
      </c>
      <c r="W138" s="1869"/>
      <c r="X138" s="1869"/>
      <c r="Y138" s="1235"/>
      <c r="Z138" s="1235"/>
      <c r="AA138" s="1235"/>
      <c r="AB138" s="1235"/>
      <c r="AC138" s="1235"/>
      <c r="AD138" s="1235"/>
      <c r="AE138" s="1235"/>
      <c r="AF138" s="1235"/>
      <c r="AG138" s="1235"/>
      <c r="AH138" s="1235"/>
      <c r="AI138" s="1235"/>
    </row>
    <row r="139" spans="1:35" ht="13.8">
      <c r="A139" s="1235"/>
      <c r="B139" s="1815" t="s">
        <v>541</v>
      </c>
      <c r="C139" s="1235"/>
      <c r="D139" s="1235"/>
      <c r="E139" s="1235"/>
      <c r="F139" s="1235"/>
      <c r="G139" s="1235"/>
      <c r="H139" s="1235"/>
      <c r="I139" s="1235"/>
      <c r="J139" s="1833"/>
      <c r="K139" s="1844"/>
      <c r="L139" s="1235"/>
      <c r="M139" s="1833"/>
      <c r="N139" s="1844"/>
      <c r="O139" s="1873" t="str">
        <f>B139</f>
        <v>LAND IMPROVEMENTS</v>
      </c>
      <c r="P139" s="1833"/>
      <c r="Q139" s="1844"/>
      <c r="R139" s="1235"/>
      <c r="S139" s="1833"/>
      <c r="T139" s="1844"/>
      <c r="U139" s="1235"/>
      <c r="V139" s="1868"/>
      <c r="W139" s="1235" t="str">
        <f>B139</f>
        <v>LAND IMPROVEMENTS</v>
      </c>
      <c r="X139" s="1235"/>
      <c r="Y139" s="1235"/>
      <c r="Z139" s="1235"/>
      <c r="AA139" s="1235"/>
      <c r="AB139" s="1235"/>
      <c r="AC139" s="1235"/>
      <c r="AD139" s="1235"/>
      <c r="AE139" s="1235"/>
      <c r="AF139" s="1235"/>
      <c r="AG139" s="1235"/>
      <c r="AH139" s="1235"/>
      <c r="AI139" s="1235"/>
    </row>
    <row r="140" spans="1:35" ht="13.8">
      <c r="A140" s="1235"/>
      <c r="B140" s="1235" t="s">
        <v>542</v>
      </c>
      <c r="C140" s="1235"/>
      <c r="D140" s="1235"/>
      <c r="E140" s="1874" t="s">
        <v>536</v>
      </c>
      <c r="F140" s="1875">
        <f>IF('Part I-Project Identification'!$O$29="","",G140/'Part I-Project Identification'!$O$29)</f>
        <v>46567.832167832166</v>
      </c>
      <c r="G140" s="1844">
        <f>'Part III-A-Uses of Funds'!G26</f>
        <v>532736</v>
      </c>
      <c r="H140" s="1844"/>
      <c r="I140" s="1235"/>
      <c r="J140" s="1844">
        <f>'Part III-A-Uses of Funds'!J26</f>
        <v>0</v>
      </c>
      <c r="K140" s="1844"/>
      <c r="L140" s="1833"/>
      <c r="M140" s="1844">
        <f>'Part III-A-Uses of Funds'!M26</f>
        <v>0</v>
      </c>
      <c r="N140" s="1844"/>
      <c r="O140" s="1235"/>
      <c r="P140" s="1844">
        <f>'Part III-A-Uses of Funds'!P26</f>
        <v>532736</v>
      </c>
      <c r="Q140" s="1844"/>
      <c r="R140" s="1235"/>
      <c r="S140" s="1844">
        <f>'Part III-A-Uses of Funds'!S26</f>
        <v>0</v>
      </c>
      <c r="T140" s="1844"/>
      <c r="U140" s="1235"/>
      <c r="V140" s="1868"/>
      <c r="W140" s="1869"/>
      <c r="X140" s="1869"/>
      <c r="Y140" s="1235"/>
      <c r="Z140" s="1235"/>
      <c r="AA140" s="1235"/>
      <c r="AB140" s="1235"/>
      <c r="AC140" s="1235"/>
      <c r="AD140" s="1235"/>
      <c r="AE140" s="1235"/>
      <c r="AF140" s="1235"/>
      <c r="AG140" s="1235"/>
      <c r="AH140" s="1235"/>
      <c r="AI140" s="1235"/>
    </row>
    <row r="141" spans="1:35" ht="13.8">
      <c r="A141" s="1235"/>
      <c r="B141" s="1235" t="s">
        <v>543</v>
      </c>
      <c r="C141" s="1235"/>
      <c r="D141" s="1235"/>
      <c r="E141" s="1235"/>
      <c r="F141" s="1235"/>
      <c r="G141" s="1844">
        <f>'Part III-A-Uses of Funds'!G27</f>
        <v>0</v>
      </c>
      <c r="H141" s="1844"/>
      <c r="I141" s="1235"/>
      <c r="J141" s="1844">
        <f>'Part III-A-Uses of Funds'!J27</f>
        <v>0</v>
      </c>
      <c r="K141" s="1844"/>
      <c r="L141" s="1876"/>
      <c r="M141" s="1844"/>
      <c r="N141" s="1844"/>
      <c r="O141" s="1235"/>
      <c r="P141" s="1844"/>
      <c r="Q141" s="1844"/>
      <c r="R141" s="1235"/>
      <c r="S141" s="1844">
        <f>'Part III-A-Uses of Funds'!S27</f>
        <v>0</v>
      </c>
      <c r="T141" s="1844"/>
      <c r="U141" s="1235"/>
      <c r="V141" s="1868"/>
      <c r="W141" s="1869"/>
      <c r="X141" s="1869"/>
      <c r="Y141" s="1235"/>
      <c r="Z141" s="1235"/>
      <c r="AA141" s="1235"/>
      <c r="AB141" s="1235"/>
      <c r="AC141" s="1235"/>
      <c r="AD141" s="1235"/>
      <c r="AE141" s="1235"/>
      <c r="AF141" s="1235"/>
      <c r="AG141" s="1235"/>
      <c r="AH141" s="1235"/>
      <c r="AI141" s="1235"/>
    </row>
    <row r="142" spans="1:35" ht="13.8">
      <c r="A142" s="1235"/>
      <c r="B142" s="1235"/>
      <c r="C142" s="1235"/>
      <c r="D142" s="1235"/>
      <c r="E142" s="1235"/>
      <c r="F142" s="1872" t="s">
        <v>532</v>
      </c>
      <c r="G142" s="1844">
        <f>SUM(G140:G141)</f>
        <v>532736</v>
      </c>
      <c r="H142" s="1844"/>
      <c r="I142" s="1235"/>
      <c r="J142" s="1844">
        <f>SUM(J140:J141)</f>
        <v>0</v>
      </c>
      <c r="K142" s="1844"/>
      <c r="L142" s="1833"/>
      <c r="M142" s="1844">
        <f>M140</f>
        <v>0</v>
      </c>
      <c r="N142" s="1844"/>
      <c r="O142" s="1235"/>
      <c r="P142" s="1844">
        <f>P140</f>
        <v>532736</v>
      </c>
      <c r="Q142" s="1844"/>
      <c r="R142" s="1235"/>
      <c r="S142" s="1844">
        <f>SUM(S140:S141)</f>
        <v>0</v>
      </c>
      <c r="T142" s="1844"/>
      <c r="U142" s="1235"/>
      <c r="V142" s="1868">
        <f>SUM(V140:V141)</f>
        <v>0</v>
      </c>
      <c r="W142" s="1869"/>
      <c r="X142" s="1869"/>
      <c r="Y142" s="1235"/>
      <c r="Z142" s="1235"/>
      <c r="AA142" s="1235"/>
      <c r="AB142" s="1235"/>
      <c r="AC142" s="1235"/>
      <c r="AD142" s="1235"/>
      <c r="AE142" s="1235"/>
      <c r="AF142" s="1235"/>
      <c r="AG142" s="1235"/>
      <c r="AH142" s="1235"/>
      <c r="AI142" s="1235"/>
    </row>
    <row r="143" spans="1:35" ht="13.8">
      <c r="A143" s="1235"/>
      <c r="B143" s="1815" t="s">
        <v>545</v>
      </c>
      <c r="C143" s="1235"/>
      <c r="D143" s="1235"/>
      <c r="E143" s="1235"/>
      <c r="F143" s="1235"/>
      <c r="G143" s="1235"/>
      <c r="H143" s="1235"/>
      <c r="I143" s="1235"/>
      <c r="J143" s="1833"/>
      <c r="K143" s="1844"/>
      <c r="L143" s="1235"/>
      <c r="M143" s="1833"/>
      <c r="N143" s="1844"/>
      <c r="O143" s="1873" t="str">
        <f>B143</f>
        <v>STRUCTURES</v>
      </c>
      <c r="P143" s="1833"/>
      <c r="Q143" s="1844"/>
      <c r="R143" s="1235"/>
      <c r="S143" s="1833"/>
      <c r="T143" s="1844"/>
      <c r="U143" s="1235"/>
      <c r="V143" s="1868"/>
      <c r="W143" s="1235" t="str">
        <f>B143</f>
        <v>STRUCTURES</v>
      </c>
      <c r="X143" s="1235"/>
      <c r="Y143" s="1235"/>
      <c r="Z143" s="1235"/>
      <c r="AA143" s="1235"/>
      <c r="AB143" s="1235"/>
      <c r="AC143" s="1235"/>
      <c r="AD143" s="1235"/>
      <c r="AE143" s="1235"/>
      <c r="AF143" s="1235"/>
      <c r="AG143" s="1235"/>
      <c r="AH143" s="1235"/>
      <c r="AI143" s="1235"/>
    </row>
    <row r="144" spans="1:35" ht="13.8">
      <c r="A144" s="1235"/>
      <c r="B144" s="1235" t="s">
        <v>546</v>
      </c>
      <c r="C144" s="1235"/>
      <c r="D144" s="1235"/>
      <c r="E144" s="1235"/>
      <c r="F144" s="1235"/>
      <c r="G144" s="1844">
        <f>'Part III-A-Uses of Funds'!G30</f>
        <v>0</v>
      </c>
      <c r="H144" s="1844"/>
      <c r="I144" s="1235"/>
      <c r="J144" s="1844">
        <f>'Part III-A-Uses of Funds'!J30</f>
        <v>0</v>
      </c>
      <c r="K144" s="1844"/>
      <c r="L144" s="1833"/>
      <c r="M144" s="1844">
        <f>'Part III-A-Uses of Funds'!M30</f>
        <v>0</v>
      </c>
      <c r="N144" s="1844"/>
      <c r="O144" s="1235"/>
      <c r="P144" s="1844">
        <f>'Part III-A-Uses of Funds'!P30</f>
        <v>0</v>
      </c>
      <c r="Q144" s="1844"/>
      <c r="R144" s="1235"/>
      <c r="S144" s="1844">
        <f>'Part III-A-Uses of Funds'!S30</f>
        <v>0</v>
      </c>
      <c r="T144" s="1844"/>
      <c r="U144" s="1235"/>
      <c r="V144" s="1868"/>
      <c r="W144" s="1869"/>
      <c r="X144" s="1869"/>
      <c r="Y144" s="1235"/>
      <c r="Z144" s="1235"/>
      <c r="AA144" s="1235"/>
      <c r="AB144" s="1235"/>
      <c r="AC144" s="1235"/>
      <c r="AD144" s="1235"/>
      <c r="AE144" s="1235"/>
      <c r="AF144" s="1235"/>
      <c r="AG144" s="1235"/>
      <c r="AH144" s="1235"/>
      <c r="AI144" s="1235"/>
    </row>
    <row r="145" spans="1:35" ht="13.8">
      <c r="A145" s="1235"/>
      <c r="B145" s="1235" t="s">
        <v>547</v>
      </c>
      <c r="C145" s="1235"/>
      <c r="D145" s="1235"/>
      <c r="E145" s="1235"/>
      <c r="F145" s="1235"/>
      <c r="G145" s="1844">
        <f>'Part III-A-Uses of Funds'!G31</f>
        <v>5500000</v>
      </c>
      <c r="H145" s="1844"/>
      <c r="I145" s="1235"/>
      <c r="J145" s="1844">
        <f>'Part III-A-Uses of Funds'!J31</f>
        <v>0</v>
      </c>
      <c r="K145" s="1844"/>
      <c r="L145" s="1833"/>
      <c r="M145" s="1844">
        <f>'Part III-A-Uses of Funds'!M31</f>
        <v>0</v>
      </c>
      <c r="N145" s="1844"/>
      <c r="O145" s="1235"/>
      <c r="P145" s="1844">
        <f>'Part III-A-Uses of Funds'!P31</f>
        <v>5500000</v>
      </c>
      <c r="Q145" s="1844"/>
      <c r="R145" s="1235"/>
      <c r="S145" s="1844">
        <f>'Part III-A-Uses of Funds'!S31</f>
        <v>0</v>
      </c>
      <c r="T145" s="1844"/>
      <c r="U145" s="1235"/>
      <c r="V145" s="1868"/>
      <c r="W145" s="1869"/>
      <c r="X145" s="1869"/>
      <c r="Y145" s="1235"/>
      <c r="Z145" s="1235"/>
      <c r="AA145" s="1235"/>
      <c r="AB145" s="1235"/>
      <c r="AC145" s="1235"/>
      <c r="AD145" s="1235"/>
      <c r="AE145" s="1235"/>
      <c r="AF145" s="1235"/>
      <c r="AG145" s="1235"/>
      <c r="AH145" s="1235"/>
      <c r="AI145" s="1235"/>
    </row>
    <row r="146" spans="1:35" ht="13.8">
      <c r="A146" s="1235"/>
      <c r="B146" s="1235" t="s">
        <v>548</v>
      </c>
      <c r="C146" s="1235"/>
      <c r="D146" s="1235"/>
      <c r="E146" s="1235"/>
      <c r="F146" s="1235"/>
      <c r="G146" s="1844">
        <f>'Part III-A-Uses of Funds'!G32</f>
        <v>0</v>
      </c>
      <c r="H146" s="1844"/>
      <c r="I146" s="1235"/>
      <c r="J146" s="1844">
        <f>'Part III-A-Uses of Funds'!J32</f>
        <v>0</v>
      </c>
      <c r="K146" s="1844"/>
      <c r="L146" s="1833"/>
      <c r="M146" s="1844">
        <f>'Part III-A-Uses of Funds'!M32</f>
        <v>0</v>
      </c>
      <c r="N146" s="1844"/>
      <c r="O146" s="1235"/>
      <c r="P146" s="1844">
        <f>'Part III-A-Uses of Funds'!P32</f>
        <v>0</v>
      </c>
      <c r="Q146" s="1844"/>
      <c r="R146" s="1235"/>
      <c r="S146" s="1844">
        <f>'Part III-A-Uses of Funds'!S32</f>
        <v>0</v>
      </c>
      <c r="T146" s="1844"/>
      <c r="U146" s="1235"/>
      <c r="V146" s="1868"/>
      <c r="W146" s="1869"/>
      <c r="X146" s="1869"/>
      <c r="Y146" s="1235"/>
      <c r="Z146" s="1235"/>
      <c r="AA146" s="1235"/>
      <c r="AB146" s="1235"/>
      <c r="AC146" s="1235"/>
      <c r="AD146" s="1235"/>
      <c r="AE146" s="1235"/>
      <c r="AF146" s="1235"/>
      <c r="AG146" s="1235"/>
      <c r="AH146" s="1235"/>
      <c r="AI146" s="1235"/>
    </row>
    <row r="147" spans="1:35" ht="13.8">
      <c r="A147" s="1235"/>
      <c r="B147" s="1235" t="s">
        <v>549</v>
      </c>
      <c r="C147" s="1235"/>
      <c r="D147" s="1235"/>
      <c r="E147" s="1235"/>
      <c r="F147" s="1235"/>
      <c r="G147" s="1844">
        <f>'Part III-A-Uses of Funds'!G33</f>
        <v>0</v>
      </c>
      <c r="H147" s="1844"/>
      <c r="I147" s="1235"/>
      <c r="J147" s="1844">
        <f>'Part III-A-Uses of Funds'!J33</f>
        <v>0</v>
      </c>
      <c r="K147" s="1844"/>
      <c r="L147" s="1833"/>
      <c r="M147" s="1844">
        <f>'Part III-A-Uses of Funds'!M33</f>
        <v>0</v>
      </c>
      <c r="N147" s="1844"/>
      <c r="O147" s="1235"/>
      <c r="P147" s="1844">
        <f>'Part III-A-Uses of Funds'!P33</f>
        <v>0</v>
      </c>
      <c r="Q147" s="1844"/>
      <c r="R147" s="1235"/>
      <c r="S147" s="1844">
        <f>'Part III-A-Uses of Funds'!S33</f>
        <v>0</v>
      </c>
      <c r="T147" s="1844"/>
      <c r="U147" s="1235"/>
      <c r="V147" s="1868"/>
      <c r="W147" s="1869"/>
      <c r="X147" s="1869"/>
      <c r="Y147" s="1235"/>
      <c r="Z147" s="1235"/>
      <c r="AA147" s="1235"/>
      <c r="AB147" s="1235"/>
      <c r="AC147" s="1235"/>
      <c r="AD147" s="1235"/>
      <c r="AE147" s="1235"/>
      <c r="AF147" s="1235"/>
      <c r="AG147" s="1235"/>
      <c r="AH147" s="1235"/>
      <c r="AI147" s="1235"/>
    </row>
    <row r="148" spans="1:35" ht="13.8">
      <c r="A148" s="270"/>
      <c r="B148" s="1235" t="s">
        <v>550</v>
      </c>
      <c r="C148" s="270"/>
      <c r="D148" s="270"/>
      <c r="E148" s="270"/>
      <c r="F148" s="270"/>
      <c r="G148" s="1844">
        <f>'Part III-A-Uses of Funds'!G34</f>
        <v>200000</v>
      </c>
      <c r="H148" s="1844"/>
      <c r="I148" s="1235"/>
      <c r="J148" s="1844">
        <f>'Part III-A-Uses of Funds'!J34</f>
        <v>0</v>
      </c>
      <c r="K148" s="1844"/>
      <c r="L148" s="1833"/>
      <c r="M148" s="1844">
        <f>'Part III-A-Uses of Funds'!M34</f>
        <v>0</v>
      </c>
      <c r="N148" s="1844"/>
      <c r="O148" s="1235"/>
      <c r="P148" s="1844">
        <f>'Part III-A-Uses of Funds'!P34</f>
        <v>200000</v>
      </c>
      <c r="Q148" s="1844"/>
      <c r="R148" s="1235"/>
      <c r="S148" s="1844">
        <f>'Part III-A-Uses of Funds'!S34</f>
        <v>0</v>
      </c>
      <c r="T148" s="1844"/>
      <c r="U148" s="270"/>
      <c r="V148" s="1868"/>
      <c r="W148" s="1869"/>
      <c r="X148" s="1869"/>
      <c r="Y148" s="270"/>
      <c r="Z148" s="270"/>
      <c r="AA148" s="270"/>
      <c r="AB148" s="270"/>
      <c r="AC148" s="270"/>
      <c r="AD148" s="270"/>
      <c r="AE148" s="270"/>
      <c r="AF148" s="270"/>
      <c r="AG148" s="270"/>
      <c r="AH148" s="270"/>
      <c r="AI148" s="270"/>
    </row>
    <row r="149" spans="1:35" ht="13.8">
      <c r="A149" s="270"/>
      <c r="B149" s="1235" t="s">
        <v>551</v>
      </c>
      <c r="C149" s="270"/>
      <c r="D149" s="270"/>
      <c r="E149" s="270"/>
      <c r="F149" s="270"/>
      <c r="G149" s="1844">
        <f>'Part III-A-Uses of Funds'!G35</f>
        <v>0</v>
      </c>
      <c r="H149" s="1844"/>
      <c r="I149" s="1235"/>
      <c r="J149" s="1844">
        <f>'Part III-A-Uses of Funds'!J35</f>
        <v>0</v>
      </c>
      <c r="K149" s="1844"/>
      <c r="L149" s="1833"/>
      <c r="M149" s="1844">
        <f>'Part III-A-Uses of Funds'!M35</f>
        <v>0</v>
      </c>
      <c r="N149" s="1844"/>
      <c r="O149" s="1235"/>
      <c r="P149" s="1844">
        <f>'Part III-A-Uses of Funds'!P35</f>
        <v>0</v>
      </c>
      <c r="Q149" s="1844"/>
      <c r="R149" s="1235"/>
      <c r="S149" s="1844">
        <f>'Part III-A-Uses of Funds'!S35</f>
        <v>0</v>
      </c>
      <c r="T149" s="1844"/>
      <c r="U149" s="270"/>
      <c r="V149" s="1868"/>
      <c r="W149" s="1869"/>
      <c r="X149" s="1869"/>
      <c r="Y149" s="270"/>
      <c r="Z149" s="270"/>
      <c r="AA149" s="270"/>
      <c r="AB149" s="270"/>
      <c r="AC149" s="270"/>
      <c r="AD149" s="270"/>
      <c r="AE149" s="270"/>
      <c r="AF149" s="270"/>
      <c r="AG149" s="270"/>
      <c r="AH149" s="270"/>
      <c r="AI149" s="270"/>
    </row>
    <row r="150" spans="1:35" ht="13.8">
      <c r="A150" s="1235"/>
      <c r="B150" s="1235"/>
      <c r="C150" s="1877"/>
      <c r="D150" s="1877"/>
      <c r="E150" s="1878"/>
      <c r="F150" s="1872" t="s">
        <v>532</v>
      </c>
      <c r="G150" s="1844">
        <f>SUM(G144:G149)</f>
        <v>5700000</v>
      </c>
      <c r="H150" s="1844"/>
      <c r="I150" s="1235"/>
      <c r="J150" s="1844">
        <f>SUM(J144:J149)</f>
        <v>0</v>
      </c>
      <c r="K150" s="1844"/>
      <c r="L150" s="1833"/>
      <c r="M150" s="1844">
        <f>SUM(M144:M149)</f>
        <v>0</v>
      </c>
      <c r="N150" s="1844"/>
      <c r="O150" s="1235"/>
      <c r="P150" s="1844">
        <f>SUM(P144:P149)</f>
        <v>5700000</v>
      </c>
      <c r="Q150" s="1844"/>
      <c r="R150" s="1235"/>
      <c r="S150" s="1844">
        <f>SUM(S144:S149)</f>
        <v>0</v>
      </c>
      <c r="T150" s="1844"/>
      <c r="U150" s="1235"/>
      <c r="V150" s="1868">
        <f>SUM(V144:V149)</f>
        <v>0</v>
      </c>
      <c r="W150" s="1869"/>
      <c r="X150" s="1869"/>
      <c r="Y150" s="1235"/>
      <c r="Z150" s="1235"/>
      <c r="AA150" s="1235"/>
      <c r="AB150" s="1235"/>
      <c r="AC150" s="1235"/>
      <c r="AD150" s="1235"/>
      <c r="AE150" s="1235"/>
      <c r="AF150" s="1235"/>
      <c r="AG150" s="1235"/>
      <c r="AH150" s="1235"/>
      <c r="AI150" s="1235"/>
    </row>
    <row r="151" spans="1:35" ht="13.8">
      <c r="A151" s="1235"/>
      <c r="B151" s="1815" t="s">
        <v>553</v>
      </c>
      <c r="C151" s="1235"/>
      <c r="D151" s="1742" t="s">
        <v>554</v>
      </c>
      <c r="E151" s="1742"/>
      <c r="F151" s="1879">
        <f>SUM(F152:F154)</f>
        <v>0</v>
      </c>
      <c r="G151" s="1880" t="str">
        <f>IF(G152&gt;E152,"Proposed Builder Profit exceeds DCA Maximum!!!",IF(G153&gt;E153,"Proposed Builder Overhead exceeds DCA Maximum!!!",IF(G154&gt;E154,"Proposed General Requirements exceeds DCA Maximum!!!",IF(G155&gt;E155,"Proposed Contractor Services amount exceeds DCA Maximum!!!",""))))</f>
        <v/>
      </c>
      <c r="H151" s="270"/>
      <c r="I151" s="270"/>
      <c r="J151" s="1833"/>
      <c r="K151" s="1844"/>
      <c r="L151" s="1235"/>
      <c r="M151" s="1833"/>
      <c r="N151" s="1844"/>
      <c r="O151" s="1873" t="str">
        <f>B151</f>
        <v>CONTRACTOR SERVICES</v>
      </c>
      <c r="P151" s="1833"/>
      <c r="Q151" s="1844"/>
      <c r="R151" s="1235"/>
      <c r="S151" s="1833"/>
      <c r="T151" s="1844"/>
      <c r="U151" s="1235"/>
      <c r="V151" s="1868"/>
      <c r="W151" s="1235" t="str">
        <f>B151</f>
        <v>CONTRACTOR SERVICES</v>
      </c>
      <c r="X151" s="1235"/>
      <c r="Y151" s="1235"/>
      <c r="Z151" s="1235"/>
      <c r="AA151" s="1235"/>
      <c r="AB151" s="1235"/>
      <c r="AC151" s="1235"/>
      <c r="AD151" s="1235"/>
      <c r="AE151" s="1235"/>
      <c r="AF151" s="1235"/>
      <c r="AG151" s="1235"/>
      <c r="AH151" s="1235"/>
      <c r="AI151" s="1235"/>
    </row>
    <row r="152" spans="1:35" ht="13.8">
      <c r="A152" s="1235"/>
      <c r="B152" s="1235" t="s">
        <v>555</v>
      </c>
      <c r="C152" s="1235"/>
      <c r="D152" s="1881">
        <f>'DCA Underwriting Assumptions'!$R$52</f>
        <v>0.06</v>
      </c>
      <c r="E152" s="1882">
        <f>ROUNDDOWN(D152*(G142+G150),0)</f>
        <v>373964</v>
      </c>
      <c r="F152" s="1881">
        <f>IF(($G$28+$G$36)=0,0,G152/($G$28+$G$36))</f>
        <v>0</v>
      </c>
      <c r="G152" s="1844">
        <f>'Part III-A-Uses of Funds'!G38</f>
        <v>373964</v>
      </c>
      <c r="H152" s="1844"/>
      <c r="I152" s="1235"/>
      <c r="J152" s="1844">
        <f>'Part III-A-Uses of Funds'!J38</f>
        <v>0</v>
      </c>
      <c r="K152" s="1844"/>
      <c r="L152" s="1833"/>
      <c r="M152" s="1844">
        <f>'Part III-A-Uses of Funds'!M38</f>
        <v>0</v>
      </c>
      <c r="N152" s="1844"/>
      <c r="O152" s="1235"/>
      <c r="P152" s="1844">
        <f>'Part III-A-Uses of Funds'!P38</f>
        <v>373964</v>
      </c>
      <c r="Q152" s="1844"/>
      <c r="R152" s="1235"/>
      <c r="S152" s="1844">
        <f>'Part III-A-Uses of Funds'!S38</f>
        <v>0</v>
      </c>
      <c r="T152" s="1844"/>
      <c r="U152" s="1235"/>
      <c r="V152" s="1868"/>
      <c r="W152" s="1869"/>
      <c r="X152" s="1869"/>
      <c r="Y152" s="1235"/>
      <c r="Z152" s="1235"/>
      <c r="AA152" s="1235"/>
      <c r="AB152" s="1235"/>
      <c r="AC152" s="1235"/>
      <c r="AD152" s="1235"/>
      <c r="AE152" s="1235"/>
      <c r="AF152" s="1235"/>
      <c r="AG152" s="1235"/>
      <c r="AH152" s="1235"/>
      <c r="AI152" s="1235"/>
    </row>
    <row r="153" spans="1:35" ht="13.8">
      <c r="A153" s="1235"/>
      <c r="B153" s="1235" t="s">
        <v>556</v>
      </c>
      <c r="C153" s="1235"/>
      <c r="D153" s="1881">
        <f>'DCA Underwriting Assumptions'!$R$53</f>
        <v>0.02</v>
      </c>
      <c r="E153" s="1882">
        <f>ROUNDDOWN(D153*(G142+G150),0)</f>
        <v>124654</v>
      </c>
      <c r="F153" s="1881">
        <f>IF(($G$28+$G$36)=0,0,G153/($G$28+$G$36))</f>
        <v>0</v>
      </c>
      <c r="G153" s="1844">
        <f>'Part III-A-Uses of Funds'!G39</f>
        <v>124654</v>
      </c>
      <c r="H153" s="1844"/>
      <c r="I153" s="1235"/>
      <c r="J153" s="1844">
        <f>'Part III-A-Uses of Funds'!J39</f>
        <v>0</v>
      </c>
      <c r="K153" s="1844"/>
      <c r="L153" s="1833"/>
      <c r="M153" s="1844">
        <f>'Part III-A-Uses of Funds'!M39</f>
        <v>0</v>
      </c>
      <c r="N153" s="1844"/>
      <c r="O153" s="1235"/>
      <c r="P153" s="1844">
        <f>'Part III-A-Uses of Funds'!P39</f>
        <v>124654</v>
      </c>
      <c r="Q153" s="1844"/>
      <c r="R153" s="1235"/>
      <c r="S153" s="1844">
        <f>'Part III-A-Uses of Funds'!S39</f>
        <v>0</v>
      </c>
      <c r="T153" s="1844"/>
      <c r="U153" s="1235"/>
      <c r="V153" s="1868"/>
      <c r="W153" s="1869"/>
      <c r="X153" s="1869"/>
      <c r="Y153" s="1235"/>
      <c r="Z153" s="1235"/>
      <c r="AA153" s="1235"/>
      <c r="AB153" s="1235"/>
      <c r="AC153" s="1235"/>
      <c r="AD153" s="1235"/>
      <c r="AE153" s="1235"/>
      <c r="AF153" s="1235"/>
      <c r="AG153" s="1235"/>
      <c r="AH153" s="1235"/>
      <c r="AI153" s="1235"/>
    </row>
    <row r="154" spans="1:35" ht="13.8">
      <c r="A154" s="1235"/>
      <c r="B154" s="1235" t="s">
        <v>557</v>
      </c>
      <c r="C154" s="1235"/>
      <c r="D154" s="1881">
        <f>'DCA Underwriting Assumptions'!$R$54</f>
        <v>0.06</v>
      </c>
      <c r="E154" s="1882">
        <f>ROUNDDOWN(D154*(G142+G150),0)</f>
        <v>373964</v>
      </c>
      <c r="F154" s="1881">
        <f>IF(($G$28+$G$36)=0,0,G154/($G$28+$G$36))</f>
        <v>0</v>
      </c>
      <c r="G154" s="1844">
        <f>'Part III-A-Uses of Funds'!G40</f>
        <v>373964</v>
      </c>
      <c r="H154" s="1844"/>
      <c r="I154" s="1235"/>
      <c r="J154" s="1844">
        <f>'Part III-A-Uses of Funds'!J40</f>
        <v>0</v>
      </c>
      <c r="K154" s="1844"/>
      <c r="L154" s="1833"/>
      <c r="M154" s="1844">
        <f>'Part III-A-Uses of Funds'!M40</f>
        <v>0</v>
      </c>
      <c r="N154" s="1844"/>
      <c r="O154" s="1235"/>
      <c r="P154" s="1844">
        <f>'Part III-A-Uses of Funds'!P40</f>
        <v>373964</v>
      </c>
      <c r="Q154" s="1844"/>
      <c r="R154" s="1235"/>
      <c r="S154" s="1844">
        <f>'Part III-A-Uses of Funds'!S40</f>
        <v>0</v>
      </c>
      <c r="T154" s="1844"/>
      <c r="U154" s="1235"/>
      <c r="V154" s="1868"/>
      <c r="W154" s="1869"/>
      <c r="X154" s="1869"/>
      <c r="Y154" s="1235"/>
      <c r="Z154" s="1235"/>
      <c r="AA154" s="1235"/>
      <c r="AB154" s="1235"/>
      <c r="AC154" s="1235"/>
      <c r="AD154" s="1235"/>
      <c r="AE154" s="1235"/>
      <c r="AF154" s="1235"/>
      <c r="AG154" s="1235"/>
      <c r="AH154" s="1235"/>
      <c r="AI154" s="1235"/>
    </row>
    <row r="155" spans="1:35" ht="13.8">
      <c r="A155" s="1235"/>
      <c r="B155" s="1820" t="s">
        <v>558</v>
      </c>
      <c r="C155" s="1235"/>
      <c r="D155" s="1879">
        <f>SUM(D152:D154)</f>
        <v>0.14000000000000001</v>
      </c>
      <c r="E155" s="1883">
        <f>SUM(E152:E154)</f>
        <v>872582</v>
      </c>
      <c r="F155" s="1872" t="s">
        <v>532</v>
      </c>
      <c r="G155" s="1844">
        <f>SUM(G152:G154)</f>
        <v>872582</v>
      </c>
      <c r="H155" s="1844"/>
      <c r="I155" s="1235"/>
      <c r="J155" s="1844">
        <f>SUM(J152:J154)</f>
        <v>0</v>
      </c>
      <c r="K155" s="1844"/>
      <c r="L155" s="1833"/>
      <c r="M155" s="1844">
        <f>SUM(M152:M154)</f>
        <v>0</v>
      </c>
      <c r="N155" s="1844"/>
      <c r="O155" s="1235"/>
      <c r="P155" s="1844">
        <f>SUM(P152:P154)</f>
        <v>872582</v>
      </c>
      <c r="Q155" s="1844"/>
      <c r="R155" s="1235"/>
      <c r="S155" s="1844">
        <f>SUM(S152:S154)</f>
        <v>0</v>
      </c>
      <c r="T155" s="1844"/>
      <c r="U155" s="1235"/>
      <c r="V155" s="1868">
        <f>SUM(V152:V154)</f>
        <v>0</v>
      </c>
      <c r="W155" s="1869"/>
      <c r="X155" s="1869"/>
      <c r="Y155" s="1235"/>
      <c r="Z155" s="1235"/>
      <c r="AA155" s="1235"/>
      <c r="AB155" s="1235"/>
      <c r="AC155" s="1235"/>
      <c r="AD155" s="1235"/>
      <c r="AE155" s="1235"/>
      <c r="AF155" s="1235"/>
      <c r="AG155" s="1235"/>
      <c r="AH155" s="1235"/>
      <c r="AI155" s="1235"/>
    </row>
    <row r="156" spans="1:35" ht="13.8">
      <c r="A156" s="1816"/>
      <c r="B156" s="1816"/>
      <c r="C156" s="1816"/>
      <c r="D156" s="1816"/>
      <c r="E156" s="1816"/>
      <c r="F156" s="1816"/>
      <c r="G156" s="1816"/>
      <c r="H156" s="1816"/>
      <c r="I156" s="1816"/>
      <c r="J156" s="1816"/>
      <c r="K156" s="1816"/>
      <c r="L156" s="1816"/>
      <c r="M156" s="1816"/>
      <c r="N156" s="1816"/>
      <c r="O156" s="1816"/>
      <c r="P156" s="1816"/>
      <c r="Q156" s="1816"/>
      <c r="R156" s="1816"/>
      <c r="S156" s="1816"/>
      <c r="T156" s="1816"/>
      <c r="U156" s="1235"/>
      <c r="V156" s="1868"/>
      <c r="W156" s="1235"/>
      <c r="X156" s="1235"/>
      <c r="Y156" s="1235"/>
      <c r="Z156" s="1235"/>
      <c r="AA156" s="1235"/>
      <c r="AB156" s="1235"/>
      <c r="AC156" s="1235"/>
      <c r="AD156" s="1235"/>
      <c r="AE156" s="1235"/>
      <c r="AF156" s="1235"/>
      <c r="AG156" s="1235"/>
      <c r="AH156" s="1235"/>
      <c r="AI156" s="1235"/>
    </row>
    <row r="157" spans="1:35" ht="13.8">
      <c r="A157" s="1816"/>
      <c r="B157" s="1235"/>
      <c r="C157" s="1884" t="s">
        <v>560</v>
      </c>
      <c r="D157" s="1235"/>
      <c r="E157" s="1816"/>
      <c r="F157" s="1816"/>
      <c r="G157" s="1885">
        <f>G142+G150+G155</f>
        <v>7105318</v>
      </c>
      <c r="H157" s="1885"/>
      <c r="I157" s="1816"/>
      <c r="J157" s="1816"/>
      <c r="K157" s="1816"/>
      <c r="L157" s="1816"/>
      <c r="M157" s="1816"/>
      <c r="N157" s="1816"/>
      <c r="O157" s="1816"/>
      <c r="P157" s="1816"/>
      <c r="Q157" s="1816"/>
      <c r="R157" s="1816"/>
      <c r="S157" s="1816"/>
      <c r="T157" s="1816"/>
      <c r="U157" s="1235"/>
      <c r="V157" s="1868"/>
      <c r="W157" s="1235"/>
      <c r="X157" s="1235"/>
      <c r="Y157" s="1235"/>
      <c r="Z157" s="1235"/>
      <c r="AA157" s="1235"/>
      <c r="AB157" s="1235"/>
      <c r="AC157" s="1235"/>
      <c r="AD157" s="1235"/>
      <c r="AE157" s="1235"/>
      <c r="AF157" s="1235"/>
      <c r="AG157" s="1235"/>
      <c r="AH157" s="1235"/>
      <c r="AI157" s="1235"/>
    </row>
    <row r="158" spans="1:35" ht="13.8">
      <c r="A158" s="1815"/>
      <c r="B158" s="1815"/>
      <c r="C158" s="1815"/>
      <c r="D158" s="1815"/>
      <c r="E158" s="1815"/>
      <c r="F158" s="1815"/>
      <c r="G158" s="1815"/>
      <c r="H158" s="1815"/>
      <c r="I158" s="1815"/>
      <c r="J158" s="1815"/>
      <c r="K158" s="1815"/>
      <c r="L158" s="1815"/>
      <c r="M158" s="1815"/>
      <c r="N158" s="1815"/>
      <c r="O158" s="1815"/>
      <c r="P158" s="1815"/>
      <c r="Q158" s="1815"/>
      <c r="R158" s="1815"/>
      <c r="S158" s="1815"/>
      <c r="T158" s="1815"/>
      <c r="U158" s="1235"/>
      <c r="V158" s="1235"/>
      <c r="W158" s="1235"/>
      <c r="X158" s="1235"/>
      <c r="Y158" s="1235"/>
      <c r="Z158" s="1235"/>
      <c r="AA158" s="1235"/>
      <c r="AB158" s="1235"/>
      <c r="AC158" s="1235"/>
      <c r="AD158" s="1235"/>
      <c r="AE158" s="1235"/>
      <c r="AF158" s="1235"/>
      <c r="AG158" s="1235"/>
      <c r="AH158" s="1235"/>
      <c r="AI158" s="1235"/>
    </row>
    <row r="159" spans="1:35" ht="13.8">
      <c r="A159" s="1235"/>
      <c r="B159" s="1815" t="s">
        <v>7514</v>
      </c>
      <c r="C159" s="1235"/>
      <c r="D159" s="1235"/>
      <c r="E159" s="1235"/>
      <c r="F159" s="1235"/>
      <c r="G159" s="1235"/>
      <c r="H159" s="1235"/>
      <c r="I159" s="1235"/>
      <c r="J159" s="1833"/>
      <c r="K159" s="1844"/>
      <c r="L159" s="1235"/>
      <c r="M159" s="1833"/>
      <c r="N159" s="1844"/>
      <c r="O159" s="1873" t="str">
        <f>B159</f>
        <v>OTHER CONSTRUCTION HARD COSTS (Non-GC work scope items done by Owner)</v>
      </c>
      <c r="P159" s="1833"/>
      <c r="Q159" s="1844"/>
      <c r="R159" s="1235"/>
      <c r="S159" s="1833"/>
      <c r="T159" s="1844"/>
      <c r="U159" s="1235"/>
      <c r="V159" s="1868"/>
      <c r="W159" s="1235" t="str">
        <f>B159</f>
        <v>OTHER CONSTRUCTION HARD COSTS (Non-GC work scope items done by Owner)</v>
      </c>
      <c r="X159" s="1235"/>
      <c r="Y159" s="1235"/>
      <c r="Z159" s="1235"/>
      <c r="AA159" s="1235"/>
      <c r="AB159" s="1235"/>
      <c r="AC159" s="1235"/>
      <c r="AD159" s="1235"/>
      <c r="AE159" s="1235"/>
      <c r="AF159" s="1235"/>
      <c r="AG159" s="1235"/>
      <c r="AH159" s="1235"/>
      <c r="AI159" s="1235"/>
    </row>
    <row r="160" spans="1:35" ht="12.75" customHeight="1">
      <c r="A160" s="270"/>
      <c r="B160" s="1820" t="s">
        <v>563</v>
      </c>
      <c r="C160" s="1741" t="str">
        <f>'Part III-A-Uses of Funds'!C46</f>
        <v>&lt;&lt; Enter description here; provide detail &amp; justification in tab Part III-b &gt;&gt;</v>
      </c>
      <c r="D160" s="254"/>
      <c r="E160" s="254"/>
      <c r="F160" s="254"/>
      <c r="G160" s="1844">
        <f>'Part III-A-Uses of Funds'!G46</f>
        <v>0</v>
      </c>
      <c r="H160" s="1844"/>
      <c r="I160" s="1235"/>
      <c r="J160" s="1844">
        <f>'Part III-A-Uses of Funds'!J46</f>
        <v>0</v>
      </c>
      <c r="K160" s="1844"/>
      <c r="L160" s="1833"/>
      <c r="M160" s="1844">
        <f>'Part III-A-Uses of Funds'!M46</f>
        <v>0</v>
      </c>
      <c r="N160" s="1844"/>
      <c r="O160" s="1235"/>
      <c r="P160" s="1844">
        <f>'Part III-A-Uses of Funds'!P46</f>
        <v>0</v>
      </c>
      <c r="Q160" s="1844"/>
      <c r="R160" s="1235"/>
      <c r="S160" s="1844">
        <f>'Part III-A-Uses of Funds'!S46</f>
        <v>0</v>
      </c>
      <c r="T160" s="1844"/>
      <c r="U160" s="270"/>
      <c r="V160" s="1868"/>
      <c r="W160" s="1869"/>
      <c r="X160" s="1869"/>
      <c r="Y160" s="270"/>
      <c r="Z160" s="270"/>
      <c r="AA160" s="270"/>
      <c r="AB160" s="270"/>
      <c r="AC160" s="270"/>
      <c r="AD160" s="270"/>
      <c r="AE160" s="270"/>
      <c r="AF160" s="270"/>
      <c r="AG160" s="270"/>
      <c r="AH160" s="270"/>
      <c r="AI160" s="270"/>
    </row>
    <row r="161" spans="1:35" ht="13.8">
      <c r="A161" s="1816"/>
      <c r="B161" s="1816"/>
      <c r="C161" s="1816"/>
      <c r="D161" s="1816"/>
      <c r="E161" s="1816"/>
      <c r="F161" s="1816"/>
      <c r="G161" s="1816"/>
      <c r="H161" s="1816"/>
      <c r="I161" s="1816"/>
      <c r="J161" s="1816"/>
      <c r="K161" s="1816"/>
      <c r="L161" s="1816"/>
      <c r="M161" s="1816"/>
      <c r="N161" s="1816"/>
      <c r="O161" s="1816"/>
      <c r="P161" s="1816"/>
      <c r="Q161" s="1816"/>
      <c r="R161" s="1816"/>
      <c r="S161" s="1816"/>
      <c r="T161" s="1816"/>
      <c r="U161" s="1235"/>
      <c r="V161" s="1868"/>
      <c r="W161" s="1869"/>
      <c r="X161" s="1869"/>
      <c r="Y161" s="1235"/>
      <c r="Z161" s="1235"/>
      <c r="AA161" s="1235"/>
      <c r="AB161" s="1235"/>
      <c r="AC161" s="1235"/>
      <c r="AD161" s="1235"/>
      <c r="AE161" s="1235"/>
      <c r="AF161" s="1235"/>
      <c r="AG161" s="1235"/>
      <c r="AH161" s="1235"/>
      <c r="AI161" s="1235"/>
    </row>
    <row r="162" spans="1:35" ht="12.75" customHeight="1">
      <c r="A162" s="1235"/>
      <c r="B162" s="1886" t="s">
        <v>7515</v>
      </c>
      <c r="C162" s="1887"/>
      <c r="D162" s="1235"/>
      <c r="E162" s="1815" t="s">
        <v>566</v>
      </c>
      <c r="F162" s="1888">
        <f>C163/'Part V-Revenues &amp; Expenses'!$P$74</f>
        <v>74013.729166666672</v>
      </c>
      <c r="G162" s="1889" t="s">
        <v>7516</v>
      </c>
      <c r="H162" s="1235"/>
      <c r="I162" s="1235"/>
      <c r="J162" s="1890">
        <f>C163/'Part V-Revenues &amp; Expenses'!$P$76</f>
        <v>74013.729166666672</v>
      </c>
      <c r="K162" s="1890"/>
      <c r="L162" s="1235"/>
      <c r="M162" s="1891" t="s">
        <v>568</v>
      </c>
      <c r="N162" s="1891"/>
      <c r="O162" s="1235"/>
      <c r="P162" s="1890">
        <f>C163/'Part V-Revenues &amp; Expenses'!$K$197</f>
        <v>71.407360508120277</v>
      </c>
      <c r="Q162" s="1890"/>
      <c r="R162" s="1235"/>
      <c r="S162" s="1892" t="s">
        <v>569</v>
      </c>
      <c r="T162" s="1892"/>
      <c r="U162" s="1235"/>
      <c r="V162" s="1868"/>
      <c r="W162" s="1869"/>
      <c r="X162" s="1869"/>
      <c r="Y162" s="1235"/>
      <c r="Z162" s="1235"/>
      <c r="AA162" s="1235"/>
      <c r="AB162" s="1235"/>
      <c r="AC162" s="1235"/>
      <c r="AD162" s="1235"/>
      <c r="AE162" s="1235"/>
      <c r="AF162" s="1235"/>
      <c r="AG162" s="1235"/>
      <c r="AH162" s="1235"/>
      <c r="AI162" s="1235"/>
    </row>
    <row r="163" spans="1:35" ht="13.8">
      <c r="A163" s="1235"/>
      <c r="B163" s="1893" t="s">
        <v>570</v>
      </c>
      <c r="C163" s="1894">
        <f>G142+G150+G155+G160</f>
        <v>7105318</v>
      </c>
      <c r="D163" s="1235"/>
      <c r="E163" s="1815"/>
      <c r="F163" s="1888">
        <f>C163/'Part V-Revenues &amp; Expenses'!$P$188</f>
        <v>73.627186437867863</v>
      </c>
      <c r="G163" s="1892" t="s">
        <v>7517</v>
      </c>
      <c r="H163" s="1235"/>
      <c r="I163" s="1235"/>
      <c r="J163" s="1890">
        <f>C163/'Part V-Revenues &amp; Expenses'!$P$190</f>
        <v>73.627186437867863</v>
      </c>
      <c r="K163" s="1890"/>
      <c r="L163" s="1235"/>
      <c r="M163" s="1892" t="s">
        <v>572</v>
      </c>
      <c r="N163" s="1892"/>
      <c r="O163" s="1235"/>
      <c r="P163" s="1235"/>
      <c r="Q163" s="1235"/>
      <c r="R163" s="1235"/>
      <c r="S163" s="1235"/>
      <c r="T163" s="1235"/>
      <c r="U163" s="1235"/>
      <c r="V163" s="1868"/>
      <c r="W163" s="1869"/>
      <c r="X163" s="1869"/>
      <c r="Y163" s="1235"/>
      <c r="Z163" s="1235"/>
      <c r="AA163" s="1235"/>
      <c r="AB163" s="1235"/>
      <c r="AC163" s="1235"/>
      <c r="AD163" s="1235"/>
      <c r="AE163" s="1235"/>
      <c r="AF163" s="1235"/>
      <c r="AG163" s="1235"/>
      <c r="AH163" s="1235"/>
      <c r="AI163" s="1235"/>
    </row>
    <row r="164" spans="1:35" ht="13.8">
      <c r="A164" s="1816"/>
      <c r="B164" s="1816"/>
      <c r="C164" s="1816"/>
      <c r="D164" s="1816"/>
      <c r="E164" s="1816"/>
      <c r="F164" s="1816"/>
      <c r="G164" s="1816"/>
      <c r="H164" s="1816"/>
      <c r="I164" s="1816"/>
      <c r="J164" s="1816"/>
      <c r="K164" s="1816"/>
      <c r="L164" s="1816"/>
      <c r="M164" s="1816"/>
      <c r="N164" s="1816"/>
      <c r="O164" s="1816"/>
      <c r="P164" s="1816"/>
      <c r="Q164" s="1816"/>
      <c r="R164" s="1816"/>
      <c r="S164" s="1816"/>
      <c r="T164" s="1816"/>
      <c r="U164" s="1235"/>
      <c r="V164" s="1868"/>
      <c r="W164" s="1235"/>
      <c r="X164" s="1235"/>
      <c r="Y164" s="1235"/>
      <c r="Z164" s="1235"/>
      <c r="AA164" s="1235"/>
      <c r="AB164" s="1235"/>
      <c r="AC164" s="1235"/>
      <c r="AD164" s="1235"/>
      <c r="AE164" s="1235"/>
      <c r="AF164" s="1235"/>
      <c r="AG164" s="1235"/>
      <c r="AH164" s="1235"/>
      <c r="AI164" s="1235"/>
    </row>
    <row r="165" spans="1:35" ht="17.25" customHeight="1">
      <c r="A165" s="1865" t="s">
        <v>21</v>
      </c>
      <c r="B165" s="1865" t="s">
        <v>7518</v>
      </c>
      <c r="C165" s="1235"/>
      <c r="D165" s="1235"/>
      <c r="E165" s="1235"/>
      <c r="F165" s="1235"/>
      <c r="G165" s="1235"/>
      <c r="H165" s="1235"/>
      <c r="I165" s="1235"/>
      <c r="J165" s="1815" t="s">
        <v>513</v>
      </c>
      <c r="K165" s="1815"/>
      <c r="L165" s="1844"/>
      <c r="M165" s="1866" t="s">
        <v>514</v>
      </c>
      <c r="N165" s="1866"/>
      <c r="O165" s="1235"/>
      <c r="P165" s="1815" t="s">
        <v>515</v>
      </c>
      <c r="Q165" s="1815"/>
      <c r="R165" s="1235"/>
      <c r="S165" s="1815" t="s">
        <v>516</v>
      </c>
      <c r="T165" s="1815"/>
      <c r="U165" s="1235"/>
      <c r="V165" s="1868"/>
      <c r="W165" s="1867" t="str">
        <f>B165</f>
        <v>DEVELOPMENT BUDGET (cont'd)</v>
      </c>
      <c r="X165" s="1235"/>
      <c r="Y165" s="1235"/>
      <c r="Z165" s="1235"/>
      <c r="AA165" s="1235"/>
      <c r="AB165" s="1235"/>
      <c r="AC165" s="1235"/>
      <c r="AD165" s="1235"/>
      <c r="AE165" s="1235"/>
      <c r="AF165" s="1235"/>
      <c r="AG165" s="1235"/>
      <c r="AH165" s="1235"/>
      <c r="AI165" s="1235"/>
    </row>
    <row r="166" spans="1:35" ht="13.8">
      <c r="A166" s="1235"/>
      <c r="B166" s="1235"/>
      <c r="C166" s="1235"/>
      <c r="D166" s="1235"/>
      <c r="E166" s="1235"/>
      <c r="F166" s="1235"/>
      <c r="G166" s="1815" t="s">
        <v>517</v>
      </c>
      <c r="H166" s="1815"/>
      <c r="I166" s="1235"/>
      <c r="J166" s="1815"/>
      <c r="K166" s="1815"/>
      <c r="L166" s="1844"/>
      <c r="M166" s="1866"/>
      <c r="N166" s="1866"/>
      <c r="O166" s="1235"/>
      <c r="P166" s="1815"/>
      <c r="Q166" s="1815"/>
      <c r="R166" s="1235"/>
      <c r="S166" s="1815"/>
      <c r="T166" s="1815"/>
      <c r="U166" s="1235"/>
      <c r="V166" s="1868"/>
      <c r="W166" s="269" t="s">
        <v>350</v>
      </c>
      <c r="X166" s="269"/>
      <c r="Y166" s="1235"/>
      <c r="Z166" s="1235"/>
      <c r="AA166" s="1235"/>
      <c r="AB166" s="1235"/>
      <c r="AC166" s="1235"/>
      <c r="AD166" s="1235"/>
      <c r="AE166" s="1235"/>
      <c r="AF166" s="1235"/>
      <c r="AG166" s="1235"/>
      <c r="AH166" s="1235"/>
      <c r="AI166" s="1235"/>
    </row>
    <row r="167" spans="1:35" ht="13.8">
      <c r="A167" s="1816"/>
      <c r="B167" s="1816"/>
      <c r="C167" s="1816"/>
      <c r="D167" s="1816"/>
      <c r="E167" s="1816"/>
      <c r="F167" s="1816"/>
      <c r="G167" s="1816"/>
      <c r="H167" s="1816"/>
      <c r="I167" s="1816"/>
      <c r="J167" s="1816"/>
      <c r="K167" s="1816"/>
      <c r="L167" s="1816"/>
      <c r="M167" s="1816"/>
      <c r="N167" s="1816"/>
      <c r="O167" s="1816"/>
      <c r="P167" s="1816"/>
      <c r="Q167" s="1816"/>
      <c r="R167" s="1816"/>
      <c r="S167" s="1816"/>
      <c r="T167" s="1816"/>
      <c r="U167" s="1235"/>
      <c r="V167" s="1868"/>
      <c r="W167" s="1235"/>
      <c r="X167" s="1235"/>
      <c r="Y167" s="1235"/>
      <c r="Z167" s="1235"/>
      <c r="AA167" s="1235"/>
      <c r="AB167" s="1235"/>
      <c r="AC167" s="1235"/>
      <c r="AD167" s="1235"/>
      <c r="AE167" s="1235"/>
      <c r="AF167" s="1235"/>
      <c r="AG167" s="1235"/>
      <c r="AH167" s="1235"/>
      <c r="AI167" s="1235"/>
    </row>
    <row r="168" spans="1:35" ht="13.8">
      <c r="A168" s="1235"/>
      <c r="B168" s="1815" t="s">
        <v>574</v>
      </c>
      <c r="C168" s="1235"/>
      <c r="D168" s="1235"/>
      <c r="E168" s="1235"/>
      <c r="F168" s="899" t="s">
        <v>575</v>
      </c>
      <c r="G168" s="1815" t="str">
        <f>IF(G169&gt;E169,"Check Contingency Amount!!!!","")</f>
        <v/>
      </c>
      <c r="H168" s="1235"/>
      <c r="I168" s="1235"/>
      <c r="J168" s="1833"/>
      <c r="K168" s="1844"/>
      <c r="L168" s="1235"/>
      <c r="M168" s="1833"/>
      <c r="N168" s="1844"/>
      <c r="O168" s="1873" t="str">
        <f>B168</f>
        <v>CONSTRUCTION CONTINGENCY (CC)</v>
      </c>
      <c r="P168" s="1833"/>
      <c r="Q168" s="1844"/>
      <c r="R168" s="1235"/>
      <c r="S168" s="1833"/>
      <c r="T168" s="1844"/>
      <c r="U168" s="1235"/>
      <c r="V168" s="1868"/>
      <c r="W168" s="1235" t="str">
        <f>B168</f>
        <v>CONSTRUCTION CONTINGENCY (CC)</v>
      </c>
      <c r="X168" s="1235"/>
      <c r="Y168" s="1235"/>
      <c r="Z168" s="1235"/>
      <c r="AA168" s="1235"/>
      <c r="AB168" s="1235"/>
      <c r="AC168" s="1235"/>
      <c r="AD168" s="1235"/>
      <c r="AE168" s="1235"/>
      <c r="AF168" s="1235"/>
      <c r="AG168" s="1235"/>
      <c r="AH168" s="1235"/>
      <c r="AI168" s="1235"/>
    </row>
    <row r="169" spans="1:35" ht="13.8">
      <c r="A169" s="270"/>
      <c r="B169" s="1235" t="s">
        <v>576</v>
      </c>
      <c r="C169" s="270"/>
      <c r="D169" s="1874" t="s">
        <v>577</v>
      </c>
      <c r="E169" s="1895">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710531.8</v>
      </c>
      <c r="F169" s="1852">
        <f>G169/C163</f>
        <v>0.1</v>
      </c>
      <c r="G169" s="1844">
        <f>'Part III-A-Uses of Funds'!G55</f>
        <v>710531.8</v>
      </c>
      <c r="H169" s="1844"/>
      <c r="I169" s="1235"/>
      <c r="J169" s="1844">
        <f>'Part III-A-Uses of Funds'!J55</f>
        <v>0</v>
      </c>
      <c r="K169" s="1844"/>
      <c r="L169" s="1833"/>
      <c r="M169" s="1844">
        <f>'Part III-A-Uses of Funds'!M55</f>
        <v>0</v>
      </c>
      <c r="N169" s="1844"/>
      <c r="O169" s="1235"/>
      <c r="P169" s="1844">
        <f>'Part III-A-Uses of Funds'!P55</f>
        <v>568425.44000000006</v>
      </c>
      <c r="Q169" s="1844"/>
      <c r="R169" s="1235"/>
      <c r="S169" s="1844">
        <f>'Part III-A-Uses of Funds'!S55</f>
        <v>142106.36000000002</v>
      </c>
      <c r="T169" s="1844"/>
      <c r="U169" s="270"/>
      <c r="V169" s="1868"/>
      <c r="W169" s="1869"/>
      <c r="X169" s="1869"/>
      <c r="Y169" s="270"/>
      <c r="Z169" s="270"/>
      <c r="AA169" s="270"/>
      <c r="AB169" s="270"/>
      <c r="AC169" s="270"/>
      <c r="AD169" s="270"/>
      <c r="AE169" s="270"/>
      <c r="AF169" s="270"/>
      <c r="AG169" s="270"/>
      <c r="AH169" s="270"/>
      <c r="AI169" s="270"/>
    </row>
    <row r="170" spans="1:35" ht="13.8">
      <c r="A170" s="1816"/>
      <c r="B170" s="1816"/>
      <c r="C170" s="1816"/>
      <c r="D170" s="1816"/>
      <c r="E170" s="1816"/>
      <c r="F170" s="1816"/>
      <c r="G170" s="1816"/>
      <c r="H170" s="1816"/>
      <c r="I170" s="1816"/>
      <c r="J170" s="1816"/>
      <c r="K170" s="1816"/>
      <c r="L170" s="1816"/>
      <c r="M170" s="1816"/>
      <c r="N170" s="1816"/>
      <c r="O170" s="1816"/>
      <c r="P170" s="1816"/>
      <c r="Q170" s="1816"/>
      <c r="R170" s="1816"/>
      <c r="S170" s="1816"/>
      <c r="T170" s="1816"/>
      <c r="U170" s="1235"/>
      <c r="V170" s="1868"/>
      <c r="W170" s="1869"/>
      <c r="X170" s="1869"/>
      <c r="Y170" s="1235"/>
      <c r="Z170" s="1235"/>
      <c r="AA170" s="1235"/>
      <c r="AB170" s="1235"/>
      <c r="AC170" s="1235"/>
      <c r="AD170" s="1235"/>
      <c r="AE170" s="1235"/>
      <c r="AF170" s="1235"/>
      <c r="AG170" s="1235"/>
      <c r="AH170" s="1235"/>
      <c r="AI170" s="1235"/>
    </row>
    <row r="171" spans="1:35" ht="12.75" customHeight="1">
      <c r="A171" s="1235"/>
      <c r="B171" s="1896" t="s">
        <v>578</v>
      </c>
      <c r="C171" s="1887"/>
      <c r="D171" s="1235"/>
      <c r="E171" s="1815" t="s">
        <v>579</v>
      </c>
      <c r="F171" s="1888">
        <f>B172/'Part V-Revenues &amp; Expenses'!$P$74</f>
        <v>81415.102083333331</v>
      </c>
      <c r="G171" s="1889" t="s">
        <v>7516</v>
      </c>
      <c r="H171" s="1235"/>
      <c r="I171" s="1235"/>
      <c r="J171" s="1890">
        <f>B172/'Part V-Revenues &amp; Expenses'!$P$76</f>
        <v>81415.102083333331</v>
      </c>
      <c r="K171" s="1890"/>
      <c r="L171" s="1235"/>
      <c r="M171" s="1891" t="s">
        <v>568</v>
      </c>
      <c r="N171" s="1891"/>
      <c r="O171" s="1235"/>
      <c r="P171" s="1890">
        <f>B172/'Part V-Revenues &amp; Expenses'!$K$197</f>
        <v>78.548096558932301</v>
      </c>
      <c r="Q171" s="1890"/>
      <c r="R171" s="1235"/>
      <c r="S171" s="1892" t="s">
        <v>569</v>
      </c>
      <c r="T171" s="1892"/>
      <c r="U171" s="1235"/>
      <c r="V171" s="1868"/>
      <c r="W171" s="1869"/>
      <c r="X171" s="1869"/>
      <c r="Y171" s="1235"/>
      <c r="Z171" s="1235"/>
      <c r="AA171" s="1235"/>
      <c r="AB171" s="1235"/>
      <c r="AC171" s="1235"/>
      <c r="AD171" s="1235"/>
      <c r="AE171" s="1235"/>
      <c r="AF171" s="1235"/>
      <c r="AG171" s="1235"/>
      <c r="AH171" s="1235"/>
      <c r="AI171" s="1235"/>
    </row>
    <row r="172" spans="1:35" ht="13.8">
      <c r="A172" s="1235"/>
      <c r="B172" s="1894">
        <f>C163+G169</f>
        <v>7815849.7999999998</v>
      </c>
      <c r="C172" s="1894"/>
      <c r="D172" s="1235"/>
      <c r="E172" s="1815"/>
      <c r="F172" s="1888">
        <f>B172/'Part V-Revenues &amp; Expenses'!$P$188</f>
        <v>80.989905081654641</v>
      </c>
      <c r="G172" s="1892" t="s">
        <v>7517</v>
      </c>
      <c r="H172" s="1235"/>
      <c r="I172" s="1235"/>
      <c r="J172" s="1890">
        <f>B172/'Part V-Revenues &amp; Expenses'!$P$190</f>
        <v>80.989905081654641</v>
      </c>
      <c r="K172" s="1890"/>
      <c r="L172" s="1235"/>
      <c r="M172" s="1892" t="s">
        <v>572</v>
      </c>
      <c r="N172" s="1892"/>
      <c r="O172" s="1235"/>
      <c r="P172" s="1235"/>
      <c r="Q172" s="1235"/>
      <c r="R172" s="1235"/>
      <c r="S172" s="1235"/>
      <c r="T172" s="1235"/>
      <c r="U172" s="1235"/>
      <c r="V172" s="1868"/>
      <c r="W172" s="1869"/>
      <c r="X172" s="1869"/>
      <c r="Y172" s="1235"/>
      <c r="Z172" s="1235"/>
      <c r="AA172" s="1235"/>
      <c r="AB172" s="1235"/>
      <c r="AC172" s="1235"/>
      <c r="AD172" s="1235"/>
      <c r="AE172" s="1235"/>
      <c r="AF172" s="1235"/>
      <c r="AG172" s="1235"/>
      <c r="AH172" s="1235"/>
      <c r="AI172" s="1235"/>
    </row>
    <row r="173" spans="1:35" ht="13.8">
      <c r="A173" s="1816"/>
      <c r="B173" s="1816"/>
      <c r="C173" s="1816"/>
      <c r="D173" s="1816"/>
      <c r="E173" s="1816"/>
      <c r="F173" s="1816"/>
      <c r="G173" s="1816"/>
      <c r="H173" s="1816"/>
      <c r="I173" s="1816"/>
      <c r="J173" s="1816"/>
      <c r="K173" s="1816"/>
      <c r="L173" s="1816"/>
      <c r="M173" s="1816"/>
      <c r="N173" s="1816"/>
      <c r="O173" s="1816"/>
      <c r="P173" s="1816"/>
      <c r="Q173" s="1816"/>
      <c r="R173" s="1816"/>
      <c r="S173" s="1816"/>
      <c r="T173" s="1816"/>
      <c r="U173" s="1235"/>
      <c r="V173" s="1868"/>
      <c r="W173" s="1869"/>
      <c r="X173" s="1869"/>
      <c r="Y173" s="1235"/>
      <c r="Z173" s="1235"/>
      <c r="AA173" s="1235"/>
      <c r="AB173" s="1235"/>
      <c r="AC173" s="1235"/>
      <c r="AD173" s="1235"/>
      <c r="AE173" s="1235"/>
      <c r="AF173" s="1235"/>
      <c r="AG173" s="1235"/>
      <c r="AH173" s="1235"/>
      <c r="AI173" s="1235"/>
    </row>
    <row r="174" spans="1:35" ht="13.8">
      <c r="A174" s="1235"/>
      <c r="B174" s="1815" t="s">
        <v>580</v>
      </c>
      <c r="C174" s="1235"/>
      <c r="D174" s="1235"/>
      <c r="E174" s="1235"/>
      <c r="F174" s="1235"/>
      <c r="G174" s="1235"/>
      <c r="H174" s="1235"/>
      <c r="I174" s="1235"/>
      <c r="J174" s="1833"/>
      <c r="K174" s="1844"/>
      <c r="L174" s="1235"/>
      <c r="M174" s="1833"/>
      <c r="N174" s="1844"/>
      <c r="O174" s="1873" t="str">
        <f>B174</f>
        <v>CONSTRUCTION PERIOD FINANCING</v>
      </c>
      <c r="P174" s="1833"/>
      <c r="Q174" s="1844"/>
      <c r="R174" s="1235"/>
      <c r="S174" s="1833"/>
      <c r="T174" s="1844"/>
      <c r="U174" s="1235"/>
      <c r="V174" s="1868"/>
      <c r="W174" s="1235" t="str">
        <f>B174</f>
        <v>CONSTRUCTION PERIOD FINANCING</v>
      </c>
      <c r="X174" s="1235"/>
      <c r="Y174" s="1235"/>
      <c r="Z174" s="1235"/>
      <c r="AA174" s="1235"/>
      <c r="AB174" s="1235"/>
      <c r="AC174" s="1235"/>
      <c r="AD174" s="1235"/>
      <c r="AE174" s="1235"/>
      <c r="AF174" s="1235"/>
      <c r="AG174" s="1235"/>
      <c r="AH174" s="1235"/>
      <c r="AI174" s="1235"/>
    </row>
    <row r="175" spans="1:35" ht="13.8">
      <c r="A175" s="1235"/>
      <c r="B175" s="1235" t="s">
        <v>581</v>
      </c>
      <c r="C175" s="1235"/>
      <c r="D175" s="1235"/>
      <c r="E175" s="1235"/>
      <c r="F175" s="1235"/>
      <c r="G175" s="1844">
        <f>'Part III-A-Uses of Funds'!G61</f>
        <v>0</v>
      </c>
      <c r="H175" s="1844"/>
      <c r="I175" s="1235"/>
      <c r="J175" s="1844">
        <f>'Part III-A-Uses of Funds'!J61</f>
        <v>0</v>
      </c>
      <c r="K175" s="1844"/>
      <c r="L175" s="1833"/>
      <c r="M175" s="1844">
        <f>'Part III-A-Uses of Funds'!M61</f>
        <v>0</v>
      </c>
      <c r="N175" s="1844"/>
      <c r="O175" s="1235"/>
      <c r="P175" s="1844">
        <f>'Part III-A-Uses of Funds'!P61</f>
        <v>0</v>
      </c>
      <c r="Q175" s="1844"/>
      <c r="R175" s="1235"/>
      <c r="S175" s="1844">
        <f>'Part III-A-Uses of Funds'!S61</f>
        <v>0</v>
      </c>
      <c r="T175" s="1844"/>
      <c r="U175" s="1235"/>
      <c r="V175" s="1868"/>
      <c r="W175" s="1869"/>
      <c r="X175" s="1869"/>
      <c r="Y175" s="1235"/>
      <c r="Z175" s="1235"/>
      <c r="AA175" s="1235"/>
      <c r="AB175" s="1235"/>
      <c r="AC175" s="1235"/>
      <c r="AD175" s="1235"/>
      <c r="AE175" s="1235"/>
      <c r="AF175" s="1235"/>
      <c r="AG175" s="1235"/>
      <c r="AH175" s="1235"/>
      <c r="AI175" s="1235"/>
    </row>
    <row r="176" spans="1:35" ht="13.8">
      <c r="A176" s="1235"/>
      <c r="B176" s="1235" t="s">
        <v>582</v>
      </c>
      <c r="C176" s="1235"/>
      <c r="D176" s="1235"/>
      <c r="E176" s="1235"/>
      <c r="F176" s="1235"/>
      <c r="G176" s="1844">
        <f>'Part III-A-Uses of Funds'!G62</f>
        <v>0</v>
      </c>
      <c r="H176" s="1844"/>
      <c r="I176" s="1235"/>
      <c r="J176" s="1844">
        <f>'Part III-A-Uses of Funds'!J62</f>
        <v>0</v>
      </c>
      <c r="K176" s="1844"/>
      <c r="L176" s="1833"/>
      <c r="M176" s="1844">
        <f>'Part III-A-Uses of Funds'!M62</f>
        <v>0</v>
      </c>
      <c r="N176" s="1844"/>
      <c r="O176" s="1235"/>
      <c r="P176" s="1844">
        <f>'Part III-A-Uses of Funds'!P62</f>
        <v>0</v>
      </c>
      <c r="Q176" s="1844"/>
      <c r="R176" s="1235"/>
      <c r="S176" s="1844">
        <f>'Part III-A-Uses of Funds'!S62</f>
        <v>0</v>
      </c>
      <c r="T176" s="1844"/>
      <c r="U176" s="1235"/>
      <c r="V176" s="1868"/>
      <c r="W176" s="1869"/>
      <c r="X176" s="1869"/>
      <c r="Y176" s="1235"/>
      <c r="Z176" s="1235"/>
      <c r="AA176" s="1235"/>
      <c r="AB176" s="1235"/>
      <c r="AC176" s="1235"/>
      <c r="AD176" s="1235"/>
      <c r="AE176" s="1235"/>
      <c r="AF176" s="1235"/>
      <c r="AG176" s="1235"/>
      <c r="AH176" s="1235"/>
      <c r="AI176" s="1235"/>
    </row>
    <row r="177" spans="1:35" ht="13.8">
      <c r="A177" s="1235"/>
      <c r="B177" s="1235" t="s">
        <v>583</v>
      </c>
      <c r="C177" s="1235"/>
      <c r="D177" s="1235"/>
      <c r="E177" s="1235"/>
      <c r="F177" s="1235"/>
      <c r="G177" s="1844">
        <f>'Part III-A-Uses of Funds'!G63</f>
        <v>127161.45200000002</v>
      </c>
      <c r="H177" s="1844"/>
      <c r="I177" s="1235"/>
      <c r="J177" s="1844">
        <f>'Part III-A-Uses of Funds'!J63</f>
        <v>0</v>
      </c>
      <c r="K177" s="1844"/>
      <c r="L177" s="1833"/>
      <c r="M177" s="1844">
        <f>'Part III-A-Uses of Funds'!M63</f>
        <v>0</v>
      </c>
      <c r="N177" s="1844"/>
      <c r="O177" s="1235"/>
      <c r="P177" s="1844">
        <f>'Part III-A-Uses of Funds'!P63</f>
        <v>89013.016400000008</v>
      </c>
      <c r="Q177" s="1844"/>
      <c r="R177" s="1235"/>
      <c r="S177" s="1844">
        <f>'Part III-A-Uses of Funds'!S63</f>
        <v>38148.435600000004</v>
      </c>
      <c r="T177" s="1844"/>
      <c r="U177" s="1235"/>
      <c r="V177" s="1868"/>
      <c r="W177" s="1869"/>
      <c r="X177" s="1869"/>
      <c r="Y177" s="1235"/>
      <c r="Z177" s="1235"/>
      <c r="AA177" s="1235"/>
      <c r="AB177" s="1235"/>
      <c r="AC177" s="1235"/>
      <c r="AD177" s="1235"/>
      <c r="AE177" s="1235"/>
      <c r="AF177" s="1235"/>
      <c r="AG177" s="1235"/>
      <c r="AH177" s="1235"/>
      <c r="AI177" s="1235"/>
    </row>
    <row r="178" spans="1:35" ht="13.8">
      <c r="A178" s="1235"/>
      <c r="B178" s="1235" t="s">
        <v>584</v>
      </c>
      <c r="C178" s="1235"/>
      <c r="D178" s="1235"/>
      <c r="E178" s="1235"/>
      <c r="F178" s="1235"/>
      <c r="G178" s="1844">
        <f>'Part III-A-Uses of Funds'!G64</f>
        <v>676777.5</v>
      </c>
      <c r="H178" s="1844"/>
      <c r="I178" s="1235"/>
      <c r="J178" s="1844">
        <f>'Part III-A-Uses of Funds'!J64</f>
        <v>0</v>
      </c>
      <c r="K178" s="1844"/>
      <c r="L178" s="1833"/>
      <c r="M178" s="1844">
        <f>'Part III-A-Uses of Funds'!M64</f>
        <v>0</v>
      </c>
      <c r="N178" s="1844"/>
      <c r="O178" s="1235"/>
      <c r="P178" s="1844">
        <f>'Part III-A-Uses of Funds'!P64</f>
        <v>465806.24999999994</v>
      </c>
      <c r="Q178" s="1844"/>
      <c r="R178" s="1235"/>
      <c r="S178" s="1844">
        <f>'Part III-A-Uses of Funds'!S64</f>
        <v>210971.25</v>
      </c>
      <c r="T178" s="1844"/>
      <c r="U178" s="1235"/>
      <c r="V178" s="1868"/>
      <c r="W178" s="1869"/>
      <c r="X178" s="1869"/>
      <c r="Y178" s="1235"/>
      <c r="Z178" s="1235"/>
      <c r="AA178" s="1235"/>
      <c r="AB178" s="1235"/>
      <c r="AC178" s="1235"/>
      <c r="AD178" s="1235"/>
      <c r="AE178" s="1235"/>
      <c r="AF178" s="1235"/>
      <c r="AG178" s="1235"/>
      <c r="AH178" s="1235"/>
      <c r="AI178" s="1235"/>
    </row>
    <row r="179" spans="1:35" ht="13.8">
      <c r="A179" s="1235"/>
      <c r="B179" s="1235" t="s">
        <v>585</v>
      </c>
      <c r="C179" s="1235"/>
      <c r="D179" s="1235"/>
      <c r="E179" s="1235"/>
      <c r="F179" s="1235"/>
      <c r="G179" s="1844">
        <f>'Part III-A-Uses of Funds'!G65</f>
        <v>100000</v>
      </c>
      <c r="H179" s="1844"/>
      <c r="I179" s="1235"/>
      <c r="J179" s="1844">
        <f>'Part III-A-Uses of Funds'!J65</f>
        <v>0</v>
      </c>
      <c r="K179" s="1844"/>
      <c r="L179" s="1833"/>
      <c r="M179" s="1844">
        <f>'Part III-A-Uses of Funds'!M65</f>
        <v>0</v>
      </c>
      <c r="N179" s="1844"/>
      <c r="O179" s="1235"/>
      <c r="P179" s="1844">
        <f>'Part III-A-Uses of Funds'!P65</f>
        <v>100000</v>
      </c>
      <c r="Q179" s="1844"/>
      <c r="R179" s="1235"/>
      <c r="S179" s="1844">
        <f>'Part III-A-Uses of Funds'!S65</f>
        <v>0</v>
      </c>
      <c r="T179" s="1844"/>
      <c r="U179" s="1235"/>
      <c r="V179" s="1868"/>
      <c r="W179" s="1869"/>
      <c r="X179" s="1869"/>
      <c r="Y179" s="1235"/>
      <c r="Z179" s="1235"/>
      <c r="AA179" s="1235"/>
      <c r="AB179" s="1235"/>
      <c r="AC179" s="1235"/>
      <c r="AD179" s="1235"/>
      <c r="AE179" s="1235"/>
      <c r="AF179" s="1235"/>
      <c r="AG179" s="1235"/>
      <c r="AH179" s="1235"/>
      <c r="AI179" s="1235"/>
    </row>
    <row r="180" spans="1:35" ht="13.8">
      <c r="A180" s="1235"/>
      <c r="B180" s="1235" t="s">
        <v>587</v>
      </c>
      <c r="C180" s="1235"/>
      <c r="D180" s="1235"/>
      <c r="E180" s="1235"/>
      <c r="F180" s="1235"/>
      <c r="G180" s="1844">
        <f>'Part III-A-Uses of Funds'!G66</f>
        <v>27000</v>
      </c>
      <c r="H180" s="1844"/>
      <c r="I180" s="1235"/>
      <c r="J180" s="1844">
        <f>'Part III-A-Uses of Funds'!J66</f>
        <v>0</v>
      </c>
      <c r="K180" s="1844"/>
      <c r="L180" s="1833"/>
      <c r="M180" s="1844">
        <f>'Part III-A-Uses of Funds'!M66</f>
        <v>0</v>
      </c>
      <c r="N180" s="1844"/>
      <c r="O180" s="1235"/>
      <c r="P180" s="1844">
        <f>'Part III-A-Uses of Funds'!P66</f>
        <v>27000</v>
      </c>
      <c r="Q180" s="1844"/>
      <c r="R180" s="1235"/>
      <c r="S180" s="1844">
        <f>'Part III-A-Uses of Funds'!S66</f>
        <v>0</v>
      </c>
      <c r="T180" s="1844"/>
      <c r="U180" s="1235"/>
      <c r="V180" s="1868"/>
      <c r="W180" s="1869"/>
      <c r="X180" s="1869"/>
      <c r="Y180" s="1235"/>
      <c r="Z180" s="1235"/>
      <c r="AA180" s="1235"/>
      <c r="AB180" s="1235"/>
      <c r="AC180" s="1235"/>
      <c r="AD180" s="1235"/>
      <c r="AE180" s="1235"/>
      <c r="AF180" s="1235"/>
      <c r="AG180" s="1235"/>
      <c r="AH180" s="1235"/>
      <c r="AI180" s="1235"/>
    </row>
    <row r="181" spans="1:35" ht="13.8">
      <c r="A181" s="1235"/>
      <c r="B181" s="1235" t="s">
        <v>589</v>
      </c>
      <c r="C181" s="1235"/>
      <c r="D181" s="1235"/>
      <c r="E181" s="1235"/>
      <c r="F181" s="1235"/>
      <c r="G181" s="1844">
        <f>'Part III-A-Uses of Funds'!G67</f>
        <v>36450</v>
      </c>
      <c r="H181" s="1844"/>
      <c r="I181" s="1235"/>
      <c r="J181" s="1844">
        <f>'Part III-A-Uses of Funds'!J67</f>
        <v>0</v>
      </c>
      <c r="K181" s="1844"/>
      <c r="L181" s="1833"/>
      <c r="M181" s="1844">
        <f>'Part III-A-Uses of Funds'!M67</f>
        <v>0</v>
      </c>
      <c r="N181" s="1844"/>
      <c r="O181" s="1235"/>
      <c r="P181" s="1844">
        <f>'Part III-A-Uses of Funds'!P67</f>
        <v>0</v>
      </c>
      <c r="Q181" s="1844"/>
      <c r="R181" s="1235"/>
      <c r="S181" s="1844">
        <f>'Part III-A-Uses of Funds'!S67</f>
        <v>36450</v>
      </c>
      <c r="T181" s="1844"/>
      <c r="U181" s="1235"/>
      <c r="V181" s="1868"/>
      <c r="W181" s="1869"/>
      <c r="X181" s="1869"/>
      <c r="Y181" s="1235"/>
      <c r="Z181" s="1235"/>
      <c r="AA181" s="1235"/>
      <c r="AB181" s="1235"/>
      <c r="AC181" s="1235"/>
      <c r="AD181" s="1235"/>
      <c r="AE181" s="1235"/>
      <c r="AF181" s="1235"/>
      <c r="AG181" s="1235"/>
      <c r="AH181" s="1235"/>
      <c r="AI181" s="1235"/>
    </row>
    <row r="182" spans="1:35" ht="13.8">
      <c r="A182" s="1235"/>
      <c r="B182" s="1235" t="s">
        <v>591</v>
      </c>
      <c r="C182" s="1235"/>
      <c r="D182" s="1235"/>
      <c r="E182" s="1235"/>
      <c r="F182" s="1235"/>
      <c r="G182" s="1844">
        <f>'Part III-A-Uses of Funds'!G68</f>
        <v>150000</v>
      </c>
      <c r="H182" s="1844"/>
      <c r="I182" s="1235"/>
      <c r="J182" s="1844">
        <f>'Part III-A-Uses of Funds'!J68</f>
        <v>0</v>
      </c>
      <c r="K182" s="1844"/>
      <c r="L182" s="1833"/>
      <c r="M182" s="1844">
        <f>'Part III-A-Uses of Funds'!M68</f>
        <v>0</v>
      </c>
      <c r="N182" s="1844"/>
      <c r="O182" s="1235"/>
      <c r="P182" s="1844">
        <f>'Part III-A-Uses of Funds'!P68</f>
        <v>150000</v>
      </c>
      <c r="Q182" s="1844"/>
      <c r="R182" s="1235"/>
      <c r="S182" s="1844">
        <f>'Part III-A-Uses of Funds'!S68</f>
        <v>0</v>
      </c>
      <c r="T182" s="1844"/>
      <c r="U182" s="1235"/>
      <c r="V182" s="1868"/>
      <c r="W182" s="1869"/>
      <c r="X182" s="1869"/>
      <c r="Y182" s="1235"/>
      <c r="Z182" s="1235"/>
      <c r="AA182" s="1235"/>
      <c r="AB182" s="1235"/>
      <c r="AC182" s="1235"/>
      <c r="AD182" s="1235"/>
      <c r="AE182" s="1235"/>
      <c r="AF182" s="1235"/>
      <c r="AG182" s="1235"/>
      <c r="AH182" s="1235"/>
      <c r="AI182" s="1235"/>
    </row>
    <row r="183" spans="1:35" ht="13.8">
      <c r="A183" s="1235"/>
      <c r="B183" s="1235" t="s">
        <v>592</v>
      </c>
      <c r="C183" s="1235"/>
      <c r="D183" s="1235"/>
      <c r="E183" s="1235"/>
      <c r="F183" s="1235"/>
      <c r="G183" s="1844">
        <f>'Part III-A-Uses of Funds'!G69</f>
        <v>100000</v>
      </c>
      <c r="H183" s="1844"/>
      <c r="I183" s="1235"/>
      <c r="J183" s="1844">
        <f>'Part III-A-Uses of Funds'!J69</f>
        <v>0</v>
      </c>
      <c r="K183" s="1844"/>
      <c r="L183" s="1833"/>
      <c r="M183" s="1844">
        <f>'Part III-A-Uses of Funds'!M69</f>
        <v>0</v>
      </c>
      <c r="N183" s="1844"/>
      <c r="O183" s="1235"/>
      <c r="P183" s="1844">
        <f>'Part III-A-Uses of Funds'!P69</f>
        <v>100000</v>
      </c>
      <c r="Q183" s="1844"/>
      <c r="R183" s="1235"/>
      <c r="S183" s="1844">
        <f>'Part III-A-Uses of Funds'!S69</f>
        <v>0</v>
      </c>
      <c r="T183" s="1844"/>
      <c r="U183" s="1235"/>
      <c r="V183" s="1868"/>
      <c r="W183" s="1869"/>
      <c r="X183" s="1869"/>
      <c r="Y183" s="1235"/>
      <c r="Z183" s="1235"/>
      <c r="AA183" s="1235"/>
      <c r="AB183" s="1235"/>
      <c r="AC183" s="1235"/>
      <c r="AD183" s="1235"/>
      <c r="AE183" s="1235"/>
      <c r="AF183" s="1235"/>
      <c r="AG183" s="1235"/>
      <c r="AH183" s="1235"/>
      <c r="AI183" s="1235"/>
    </row>
    <row r="184" spans="1:35" ht="13.8">
      <c r="A184" s="1235"/>
      <c r="B184" s="1897" t="s">
        <v>593</v>
      </c>
      <c r="C184" s="1235"/>
      <c r="D184" s="1898"/>
      <c r="E184" s="1898"/>
      <c r="F184" s="1899"/>
      <c r="G184" s="1844">
        <f>'Part III-A-Uses of Funds'!G70</f>
        <v>142106.36000000002</v>
      </c>
      <c r="H184" s="1844"/>
      <c r="I184" s="1235"/>
      <c r="J184" s="1844">
        <f>'Part III-A-Uses of Funds'!J70</f>
        <v>0</v>
      </c>
      <c r="K184" s="1844"/>
      <c r="L184" s="1833"/>
      <c r="M184" s="1844">
        <f>'Part III-A-Uses of Funds'!M70</f>
        <v>0</v>
      </c>
      <c r="N184" s="1844"/>
      <c r="O184" s="1235"/>
      <c r="P184" s="1844">
        <f>'Part III-A-Uses of Funds'!P70</f>
        <v>142106.36000000002</v>
      </c>
      <c r="Q184" s="1844"/>
      <c r="R184" s="1235"/>
      <c r="S184" s="1844">
        <f>'Part III-A-Uses of Funds'!S70</f>
        <v>0</v>
      </c>
      <c r="T184" s="1844"/>
      <c r="U184" s="1235"/>
      <c r="V184" s="1868"/>
      <c r="W184" s="1869"/>
      <c r="X184" s="1869"/>
      <c r="Y184" s="1235"/>
      <c r="Z184" s="1235"/>
      <c r="AA184" s="1235"/>
      <c r="AB184" s="1235"/>
      <c r="AC184" s="1235"/>
      <c r="AD184" s="1235"/>
      <c r="AE184" s="1235"/>
      <c r="AF184" s="1235"/>
      <c r="AG184" s="1235"/>
      <c r="AH184" s="1235"/>
      <c r="AI184" s="1235"/>
    </row>
    <row r="185" spans="1:35" ht="15.75" customHeight="1">
      <c r="A185" s="1870" t="str">
        <f>IF(AND(G185&gt;0,OR(C185="",C185="&lt;Enter detailed description here; use Comments section if needed&gt;")),"X","")</f>
        <v/>
      </c>
      <c r="B185" s="1820" t="s">
        <v>594</v>
      </c>
      <c r="C185" s="1741" t="str">
        <f>'Part III-A-Uses of Funds'!C71</f>
        <v>&lt;&lt; Enter description here; provide detail &amp; justification in tab Part III-b &gt;&gt;</v>
      </c>
      <c r="D185" s="1741"/>
      <c r="E185" s="1741"/>
      <c r="F185" s="1741"/>
      <c r="G185" s="1844">
        <f>'Part III-A-Uses of Funds'!G71</f>
        <v>0</v>
      </c>
      <c r="H185" s="1844"/>
      <c r="I185" s="1235"/>
      <c r="J185" s="1844">
        <f>'Part III-A-Uses of Funds'!J71</f>
        <v>0</v>
      </c>
      <c r="K185" s="1844"/>
      <c r="L185" s="1833"/>
      <c r="M185" s="1844">
        <f>'Part III-A-Uses of Funds'!M71</f>
        <v>0</v>
      </c>
      <c r="N185" s="1844"/>
      <c r="O185" s="1235"/>
      <c r="P185" s="1844">
        <f>'Part III-A-Uses of Funds'!P71</f>
        <v>0</v>
      </c>
      <c r="Q185" s="1844"/>
      <c r="R185" s="1235"/>
      <c r="S185" s="1844">
        <f>'Part III-A-Uses of Funds'!S71</f>
        <v>0</v>
      </c>
      <c r="T185" s="1844"/>
      <c r="U185" s="1824" t="str">
        <f>IF(AND(G185&gt;0,OR(C185="",C185="&lt;Enter detailed description here; use Comments section if needed&gt;")),"NO DESCRIPTION PROVIDED - please enter detailed description in Other box at left; use Comments section below if needed.","")</f>
        <v/>
      </c>
      <c r="V185" s="1868"/>
      <c r="W185" s="1869"/>
      <c r="X185" s="1869"/>
      <c r="Y185" s="1235"/>
      <c r="Z185" s="1235"/>
      <c r="AA185" s="1235"/>
      <c r="AB185" s="1235"/>
      <c r="AC185" s="1235"/>
      <c r="AD185" s="1235"/>
      <c r="AE185" s="1235"/>
      <c r="AF185" s="1235"/>
      <c r="AG185" s="1235"/>
      <c r="AH185" s="1235"/>
      <c r="AI185" s="1235"/>
    </row>
    <row r="186" spans="1:35" ht="16.5" customHeight="1">
      <c r="A186" s="1870" t="str">
        <f>IF(AND(G186&gt;0,OR(C186="",C186="&lt;Enter detailed description here; use Comments section if needed&gt;")),"X","")</f>
        <v/>
      </c>
      <c r="B186" s="1820" t="s">
        <v>595</v>
      </c>
      <c r="C186" s="1741" t="str">
        <f>'Part III-A-Uses of Funds'!C72</f>
        <v>&lt;&lt; Enter description here; provide detail &amp; justification in tab Part III-b &gt;&gt;</v>
      </c>
      <c r="D186" s="1741"/>
      <c r="E186" s="1741"/>
      <c r="F186" s="1741"/>
      <c r="G186" s="1844">
        <f>'Part III-A-Uses of Funds'!G72</f>
        <v>0</v>
      </c>
      <c r="H186" s="1844"/>
      <c r="I186" s="1235"/>
      <c r="J186" s="1844">
        <f>'Part III-A-Uses of Funds'!J72</f>
        <v>0</v>
      </c>
      <c r="K186" s="1844"/>
      <c r="L186" s="1833"/>
      <c r="M186" s="1844">
        <f>'Part III-A-Uses of Funds'!M72</f>
        <v>0</v>
      </c>
      <c r="N186" s="1844"/>
      <c r="O186" s="1235"/>
      <c r="P186" s="1844">
        <f>'Part III-A-Uses of Funds'!P72</f>
        <v>0</v>
      </c>
      <c r="Q186" s="1844"/>
      <c r="R186" s="1235"/>
      <c r="S186" s="1844">
        <f>'Part III-A-Uses of Funds'!S72</f>
        <v>0</v>
      </c>
      <c r="T186" s="1844"/>
      <c r="U186" s="1824" t="str">
        <f>IF(AND(G186&gt;0,OR(C186="",C186="&lt;Enter detailed description here; use Comments section if needed&gt;")),"NO DESCRIPTION PROVIDED - please enter detailed description in Other box at left; use Comments section below if needed.","")</f>
        <v/>
      </c>
      <c r="V186" s="1868"/>
      <c r="W186" s="1869"/>
      <c r="X186" s="1869"/>
      <c r="Y186" s="1235"/>
      <c r="Z186" s="1235"/>
      <c r="AA186" s="1235"/>
      <c r="AB186" s="1235"/>
      <c r="AC186" s="1235"/>
      <c r="AD186" s="1235"/>
      <c r="AE186" s="1235"/>
      <c r="AF186" s="1235"/>
      <c r="AG186" s="1235"/>
      <c r="AH186" s="1235"/>
      <c r="AI186" s="1235"/>
    </row>
    <row r="187" spans="1:35" ht="13.8">
      <c r="A187" s="1235"/>
      <c r="B187" s="1235"/>
      <c r="C187" s="1235"/>
      <c r="D187" s="1235"/>
      <c r="E187" s="1235"/>
      <c r="F187" s="1872" t="s">
        <v>532</v>
      </c>
      <c r="G187" s="1844">
        <f>SUM(G175:G186)</f>
        <v>1359495.3120000002</v>
      </c>
      <c r="H187" s="1844"/>
      <c r="I187" s="1235"/>
      <c r="J187" s="1844">
        <f>SUM(J175:J186)</f>
        <v>0</v>
      </c>
      <c r="K187" s="1844"/>
      <c r="L187" s="1833"/>
      <c r="M187" s="1844">
        <f>SUM(M175:M186)</f>
        <v>0</v>
      </c>
      <c r="N187" s="1844"/>
      <c r="O187" s="1235"/>
      <c r="P187" s="1844">
        <f>SUM(P175:P186)</f>
        <v>1073925.6264</v>
      </c>
      <c r="Q187" s="1844"/>
      <c r="R187" s="1235"/>
      <c r="S187" s="1844">
        <f>SUM(S175:S186)</f>
        <v>285569.68559999997</v>
      </c>
      <c r="T187" s="1844"/>
      <c r="U187" s="1235"/>
      <c r="V187" s="1868">
        <f>SUM(V175:V186)</f>
        <v>0</v>
      </c>
      <c r="W187" s="1869"/>
      <c r="X187" s="1869"/>
      <c r="Y187" s="1235"/>
      <c r="Z187" s="1235"/>
      <c r="AA187" s="1235"/>
      <c r="AB187" s="1235"/>
      <c r="AC187" s="1235"/>
      <c r="AD187" s="1235"/>
      <c r="AE187" s="1235"/>
      <c r="AF187" s="1235"/>
      <c r="AG187" s="1235"/>
      <c r="AH187" s="1235"/>
      <c r="AI187" s="1235"/>
    </row>
    <row r="188" spans="1:35" ht="13.8">
      <c r="A188" s="1235"/>
      <c r="B188" s="1815" t="s">
        <v>596</v>
      </c>
      <c r="C188" s="1235"/>
      <c r="D188" s="1235"/>
      <c r="E188" s="1235"/>
      <c r="F188" s="1235"/>
      <c r="G188" s="1844"/>
      <c r="H188" s="1844"/>
      <c r="I188" s="1235"/>
      <c r="J188" s="1844"/>
      <c r="K188" s="1844"/>
      <c r="L188" s="1235"/>
      <c r="M188" s="1844"/>
      <c r="N188" s="1844"/>
      <c r="O188" s="1873" t="str">
        <f>B188</f>
        <v>PROFESSIONAL SERVICES</v>
      </c>
      <c r="P188" s="1844"/>
      <c r="Q188" s="1844"/>
      <c r="R188" s="1235"/>
      <c r="S188" s="1844"/>
      <c r="T188" s="1844"/>
      <c r="U188" s="1235"/>
      <c r="V188" s="1868"/>
      <c r="W188" s="1235" t="str">
        <f>B188</f>
        <v>PROFESSIONAL SERVICES</v>
      </c>
      <c r="X188" s="1235"/>
      <c r="Y188" s="1235"/>
      <c r="Z188" s="1235"/>
      <c r="AA188" s="1235"/>
      <c r="AB188" s="1235"/>
      <c r="AC188" s="1235"/>
      <c r="AD188" s="1235"/>
      <c r="AE188" s="1235"/>
      <c r="AF188" s="1235"/>
      <c r="AG188" s="1235"/>
      <c r="AH188" s="1235"/>
      <c r="AI188" s="1235"/>
    </row>
    <row r="189" spans="1:35" ht="13.8">
      <c r="A189" s="1235"/>
      <c r="B189" s="1235" t="s">
        <v>597</v>
      </c>
      <c r="C189" s="1235"/>
      <c r="D189" s="1235"/>
      <c r="E189" s="1235"/>
      <c r="F189" s="1235"/>
      <c r="G189" s="1844">
        <f>'Part III-A-Uses of Funds'!G75</f>
        <v>284212.72000000003</v>
      </c>
      <c r="H189" s="1844"/>
      <c r="I189" s="1235"/>
      <c r="J189" s="1844">
        <f>'Part III-A-Uses of Funds'!J75</f>
        <v>0</v>
      </c>
      <c r="K189" s="1844"/>
      <c r="L189" s="1833"/>
      <c r="M189" s="1844">
        <f>'Part III-A-Uses of Funds'!M75</f>
        <v>0</v>
      </c>
      <c r="N189" s="1844"/>
      <c r="O189" s="1235"/>
      <c r="P189" s="1844">
        <f>'Part III-A-Uses of Funds'!P75</f>
        <v>284212.72000000003</v>
      </c>
      <c r="Q189" s="1844"/>
      <c r="R189" s="1235"/>
      <c r="S189" s="1844">
        <f>'Part III-A-Uses of Funds'!S75</f>
        <v>0</v>
      </c>
      <c r="T189" s="1844"/>
      <c r="U189" s="1235"/>
      <c r="V189" s="1868"/>
      <c r="W189" s="1869"/>
      <c r="X189" s="1869"/>
      <c r="Y189" s="1235"/>
      <c r="Z189" s="1235"/>
      <c r="AA189" s="1235"/>
      <c r="AB189" s="1235"/>
      <c r="AC189" s="1235"/>
      <c r="AD189" s="1235"/>
      <c r="AE189" s="1235"/>
      <c r="AF189" s="1235"/>
      <c r="AG189" s="1235"/>
      <c r="AH189" s="1235"/>
      <c r="AI189" s="1235"/>
    </row>
    <row r="190" spans="1:35" ht="13.8">
      <c r="A190" s="1235"/>
      <c r="B190" s="1235" t="s">
        <v>598</v>
      </c>
      <c r="C190" s="1235"/>
      <c r="D190" s="1235"/>
      <c r="E190" s="1235"/>
      <c r="F190" s="1235"/>
      <c r="G190" s="1844">
        <f>'Part III-A-Uses of Funds'!G76</f>
        <v>71053.180000000008</v>
      </c>
      <c r="H190" s="1844"/>
      <c r="I190" s="1235"/>
      <c r="J190" s="1844">
        <f>'Part III-A-Uses of Funds'!J76</f>
        <v>0</v>
      </c>
      <c r="K190" s="1844"/>
      <c r="L190" s="1833"/>
      <c r="M190" s="1844">
        <f>'Part III-A-Uses of Funds'!M76</f>
        <v>0</v>
      </c>
      <c r="N190" s="1844"/>
      <c r="O190" s="1235"/>
      <c r="P190" s="1844">
        <f>'Part III-A-Uses of Funds'!P76</f>
        <v>71053.180000000008</v>
      </c>
      <c r="Q190" s="1844"/>
      <c r="R190" s="1235"/>
      <c r="S190" s="1844">
        <f>'Part III-A-Uses of Funds'!S76</f>
        <v>0</v>
      </c>
      <c r="T190" s="1844"/>
      <c r="U190" s="1235"/>
      <c r="V190" s="1868"/>
      <c r="W190" s="1869"/>
      <c r="X190" s="1869"/>
      <c r="Y190" s="1235"/>
      <c r="Z190" s="1235"/>
      <c r="AA190" s="1235"/>
      <c r="AB190" s="1235"/>
      <c r="AC190" s="1235"/>
      <c r="AD190" s="1235"/>
      <c r="AE190" s="1235"/>
      <c r="AF190" s="1235"/>
      <c r="AG190" s="1235"/>
      <c r="AH190" s="1235"/>
      <c r="AI190" s="1235"/>
    </row>
    <row r="191" spans="1:35" ht="13.8">
      <c r="A191" s="1235"/>
      <c r="B191" s="1235" t="s">
        <v>599</v>
      </c>
      <c r="C191" s="1235"/>
      <c r="D191" s="1825"/>
      <c r="E191" s="1900"/>
      <c r="F191" s="1815"/>
      <c r="G191" s="1844">
        <f>'Part III-A-Uses of Funds'!G77</f>
        <v>20000</v>
      </c>
      <c r="H191" s="1844"/>
      <c r="I191" s="1235"/>
      <c r="J191" s="1844">
        <f>'Part III-A-Uses of Funds'!J77</f>
        <v>0</v>
      </c>
      <c r="K191" s="1844"/>
      <c r="L191" s="1833"/>
      <c r="M191" s="1844">
        <f>'Part III-A-Uses of Funds'!M77</f>
        <v>0</v>
      </c>
      <c r="N191" s="1844"/>
      <c r="O191" s="1235"/>
      <c r="P191" s="1844">
        <f>'Part III-A-Uses of Funds'!P77</f>
        <v>20000</v>
      </c>
      <c r="Q191" s="1844"/>
      <c r="R191" s="1235"/>
      <c r="S191" s="1844">
        <f>'Part III-A-Uses of Funds'!S77</f>
        <v>0</v>
      </c>
      <c r="T191" s="1844"/>
      <c r="U191" s="1235"/>
      <c r="V191" s="1868"/>
      <c r="W191" s="1869"/>
      <c r="X191" s="1869"/>
      <c r="Y191" s="1235"/>
      <c r="Z191" s="1235"/>
      <c r="AA191" s="1235"/>
      <c r="AB191" s="1235"/>
      <c r="AC191" s="1235"/>
      <c r="AD191" s="1235"/>
      <c r="AE191" s="1235"/>
      <c r="AF191" s="1235"/>
      <c r="AG191" s="1235"/>
      <c r="AH191" s="1235"/>
      <c r="AI191" s="1235"/>
    </row>
    <row r="192" spans="1:35" ht="13.8">
      <c r="A192" s="1235"/>
      <c r="B192" s="1235" t="s">
        <v>600</v>
      </c>
      <c r="C192" s="1235"/>
      <c r="D192" s="1235"/>
      <c r="E192" s="1235"/>
      <c r="F192" s="1235"/>
      <c r="G192" s="1844">
        <f>'Part III-A-Uses of Funds'!G78</f>
        <v>25000</v>
      </c>
      <c r="H192" s="1844"/>
      <c r="I192" s="1235"/>
      <c r="J192" s="1844">
        <f>'Part III-A-Uses of Funds'!J78</f>
        <v>0</v>
      </c>
      <c r="K192" s="1844"/>
      <c r="L192" s="1833"/>
      <c r="M192" s="1844">
        <f>'Part III-A-Uses of Funds'!M78</f>
        <v>0</v>
      </c>
      <c r="N192" s="1844"/>
      <c r="O192" s="1235"/>
      <c r="P192" s="1844">
        <f>'Part III-A-Uses of Funds'!P78</f>
        <v>25000</v>
      </c>
      <c r="Q192" s="1844"/>
      <c r="R192" s="1235"/>
      <c r="S192" s="1844">
        <f>'Part III-A-Uses of Funds'!S78</f>
        <v>0</v>
      </c>
      <c r="T192" s="1844"/>
      <c r="U192" s="1235"/>
      <c r="V192" s="1868"/>
      <c r="W192" s="1869"/>
      <c r="X192" s="1869"/>
      <c r="Y192" s="1235"/>
      <c r="Z192" s="1235"/>
      <c r="AA192" s="1235"/>
      <c r="AB192" s="1235"/>
      <c r="AC192" s="1235"/>
      <c r="AD192" s="1235"/>
      <c r="AE192" s="1235"/>
      <c r="AF192" s="1235"/>
      <c r="AG192" s="1235"/>
      <c r="AH192" s="1235"/>
      <c r="AI192" s="1235"/>
    </row>
    <row r="193" spans="1:35" ht="13.8">
      <c r="A193" s="1235"/>
      <c r="B193" s="1235" t="s">
        <v>601</v>
      </c>
      <c r="C193" s="1235"/>
      <c r="D193" s="1235"/>
      <c r="E193" s="1235"/>
      <c r="F193" s="1235"/>
      <c r="G193" s="1844">
        <f>'Part III-A-Uses of Funds'!G79</f>
        <v>20000</v>
      </c>
      <c r="H193" s="1844"/>
      <c r="I193" s="1235"/>
      <c r="J193" s="1844">
        <f>'Part III-A-Uses of Funds'!J79</f>
        <v>0</v>
      </c>
      <c r="K193" s="1844"/>
      <c r="L193" s="1833"/>
      <c r="M193" s="1844">
        <f>'Part III-A-Uses of Funds'!M79</f>
        <v>0</v>
      </c>
      <c r="N193" s="1844"/>
      <c r="O193" s="1235"/>
      <c r="P193" s="1844">
        <f>'Part III-A-Uses of Funds'!P79</f>
        <v>20000</v>
      </c>
      <c r="Q193" s="1844"/>
      <c r="R193" s="1235"/>
      <c r="S193" s="1844">
        <f>'Part III-A-Uses of Funds'!S79</f>
        <v>0</v>
      </c>
      <c r="T193" s="1844"/>
      <c r="U193" s="1235"/>
      <c r="V193" s="1868"/>
      <c r="W193" s="1869"/>
      <c r="X193" s="1869"/>
      <c r="Y193" s="1235"/>
      <c r="Z193" s="1235"/>
      <c r="AA193" s="1235"/>
      <c r="AB193" s="1235"/>
      <c r="AC193" s="1235"/>
      <c r="AD193" s="1235"/>
      <c r="AE193" s="1235"/>
      <c r="AF193" s="1235"/>
      <c r="AG193" s="1235"/>
      <c r="AH193" s="1235"/>
      <c r="AI193" s="1235"/>
    </row>
    <row r="194" spans="1:35" ht="13.8">
      <c r="A194" s="1235"/>
      <c r="B194" s="1235" t="s">
        <v>603</v>
      </c>
      <c r="C194" s="1235"/>
      <c r="D194" s="1235"/>
      <c r="E194" s="1235"/>
      <c r="F194" s="1235"/>
      <c r="G194" s="1844">
        <f>'Part III-A-Uses of Funds'!G80</f>
        <v>20000</v>
      </c>
      <c r="H194" s="1844"/>
      <c r="I194" s="1235"/>
      <c r="J194" s="1844">
        <f>'Part III-A-Uses of Funds'!J80</f>
        <v>0</v>
      </c>
      <c r="K194" s="1844"/>
      <c r="L194" s="1833"/>
      <c r="M194" s="1844">
        <f>'Part III-A-Uses of Funds'!M80</f>
        <v>0</v>
      </c>
      <c r="N194" s="1844"/>
      <c r="O194" s="1235"/>
      <c r="P194" s="1844">
        <f>'Part III-A-Uses of Funds'!P80</f>
        <v>20000</v>
      </c>
      <c r="Q194" s="1844"/>
      <c r="R194" s="1235"/>
      <c r="S194" s="1844">
        <f>'Part III-A-Uses of Funds'!S80</f>
        <v>0</v>
      </c>
      <c r="T194" s="1844"/>
      <c r="U194" s="1235"/>
      <c r="V194" s="1868"/>
      <c r="W194" s="1869"/>
      <c r="X194" s="1869"/>
      <c r="Y194" s="1235"/>
      <c r="Z194" s="1235"/>
      <c r="AA194" s="1235"/>
      <c r="AB194" s="1235"/>
      <c r="AC194" s="1235"/>
      <c r="AD194" s="1235"/>
      <c r="AE194" s="1235"/>
      <c r="AF194" s="1235"/>
      <c r="AG194" s="1235"/>
      <c r="AH194" s="1235"/>
      <c r="AI194" s="1235"/>
    </row>
    <row r="195" spans="1:35" ht="13.8">
      <c r="A195" s="1235"/>
      <c r="B195" s="1235" t="s">
        <v>605</v>
      </c>
      <c r="C195" s="1235"/>
      <c r="D195" s="1235"/>
      <c r="E195" s="1235"/>
      <c r="F195" s="1235"/>
      <c r="G195" s="1844">
        <f>'Part III-A-Uses of Funds'!G81</f>
        <v>35000</v>
      </c>
      <c r="H195" s="1844"/>
      <c r="I195" s="1235"/>
      <c r="J195" s="1844">
        <f>'Part III-A-Uses of Funds'!J81</f>
        <v>0</v>
      </c>
      <c r="K195" s="1844"/>
      <c r="L195" s="1833"/>
      <c r="M195" s="1844">
        <f>'Part III-A-Uses of Funds'!M81</f>
        <v>0</v>
      </c>
      <c r="N195" s="1844"/>
      <c r="O195" s="1235"/>
      <c r="P195" s="1844">
        <f>'Part III-A-Uses of Funds'!P81</f>
        <v>35000</v>
      </c>
      <c r="Q195" s="1844"/>
      <c r="R195" s="1235"/>
      <c r="S195" s="1844">
        <f>'Part III-A-Uses of Funds'!S81</f>
        <v>0</v>
      </c>
      <c r="T195" s="1844"/>
      <c r="U195" s="1235"/>
      <c r="V195" s="1868"/>
      <c r="W195" s="1869"/>
      <c r="X195" s="1869"/>
      <c r="Y195" s="1235"/>
      <c r="Z195" s="1235"/>
      <c r="AA195" s="1235"/>
      <c r="AB195" s="1235"/>
      <c r="AC195" s="1235"/>
      <c r="AD195" s="1235"/>
      <c r="AE195" s="1235"/>
      <c r="AF195" s="1235"/>
      <c r="AG195" s="1235"/>
      <c r="AH195" s="1235"/>
      <c r="AI195" s="1235"/>
    </row>
    <row r="196" spans="1:35" ht="13.8">
      <c r="A196" s="1235"/>
      <c r="B196" s="1235" t="s">
        <v>606</v>
      </c>
      <c r="C196" s="1235"/>
      <c r="D196" s="1235"/>
      <c r="E196" s="1235"/>
      <c r="F196" s="1235"/>
      <c r="G196" s="1844">
        <f>'Part III-A-Uses of Funds'!G82</f>
        <v>175000</v>
      </c>
      <c r="H196" s="1844"/>
      <c r="I196" s="1235"/>
      <c r="J196" s="1844">
        <f>'Part III-A-Uses of Funds'!J82</f>
        <v>0</v>
      </c>
      <c r="K196" s="1844"/>
      <c r="L196" s="1833"/>
      <c r="M196" s="1844">
        <f>'Part III-A-Uses of Funds'!M82</f>
        <v>0</v>
      </c>
      <c r="N196" s="1844"/>
      <c r="O196" s="1235"/>
      <c r="P196" s="1844">
        <f>'Part III-A-Uses of Funds'!P82</f>
        <v>175000</v>
      </c>
      <c r="Q196" s="1844"/>
      <c r="R196" s="1235"/>
      <c r="S196" s="1844">
        <f>'Part III-A-Uses of Funds'!S82</f>
        <v>0</v>
      </c>
      <c r="T196" s="1844"/>
      <c r="U196" s="1235"/>
      <c r="V196" s="1868"/>
      <c r="W196" s="1869"/>
      <c r="X196" s="1869"/>
      <c r="Y196" s="1235"/>
      <c r="Z196" s="1235"/>
      <c r="AA196" s="1235"/>
      <c r="AB196" s="1235"/>
      <c r="AC196" s="1235"/>
      <c r="AD196" s="1235"/>
      <c r="AE196" s="1235"/>
      <c r="AF196" s="1235"/>
      <c r="AG196" s="1235"/>
      <c r="AH196" s="1235"/>
      <c r="AI196" s="1235"/>
    </row>
    <row r="197" spans="1:35" ht="13.8">
      <c r="A197" s="1235"/>
      <c r="B197" s="1235" t="s">
        <v>607</v>
      </c>
      <c r="C197" s="1235"/>
      <c r="D197" s="1235"/>
      <c r="E197" s="1235"/>
      <c r="F197" s="1235"/>
      <c r="G197" s="1844">
        <f>'Part III-A-Uses of Funds'!G83</f>
        <v>27500</v>
      </c>
      <c r="H197" s="1844"/>
      <c r="I197" s="1235"/>
      <c r="J197" s="1844">
        <f>'Part III-A-Uses of Funds'!J83</f>
        <v>0</v>
      </c>
      <c r="K197" s="1844"/>
      <c r="L197" s="1833"/>
      <c r="M197" s="1844">
        <f>'Part III-A-Uses of Funds'!M83</f>
        <v>0</v>
      </c>
      <c r="N197" s="1844"/>
      <c r="O197" s="1235"/>
      <c r="P197" s="1844">
        <f>'Part III-A-Uses of Funds'!P83</f>
        <v>27500</v>
      </c>
      <c r="Q197" s="1844"/>
      <c r="R197" s="1235"/>
      <c r="S197" s="1844">
        <f>'Part III-A-Uses of Funds'!S83</f>
        <v>0</v>
      </c>
      <c r="T197" s="1844"/>
      <c r="U197" s="1235"/>
      <c r="V197" s="1868"/>
      <c r="W197" s="1869"/>
      <c r="X197" s="1869"/>
      <c r="Y197" s="1235"/>
      <c r="Z197" s="1235"/>
      <c r="AA197" s="1235"/>
      <c r="AB197" s="1235"/>
      <c r="AC197" s="1235"/>
      <c r="AD197" s="1235"/>
      <c r="AE197" s="1235"/>
      <c r="AF197" s="1235"/>
      <c r="AG197" s="1235"/>
      <c r="AH197" s="1235"/>
      <c r="AI197" s="1235"/>
    </row>
    <row r="198" spans="1:35" ht="13.8">
      <c r="A198" s="1235"/>
      <c r="B198" s="1235" t="s">
        <v>608</v>
      </c>
      <c r="C198" s="1235"/>
      <c r="D198" s="1235"/>
      <c r="E198" s="1235"/>
      <c r="F198" s="1235"/>
      <c r="G198" s="1844">
        <f>'Part III-A-Uses of Funds'!G84</f>
        <v>15000</v>
      </c>
      <c r="H198" s="1844"/>
      <c r="I198" s="1235"/>
      <c r="J198" s="1844">
        <f>'Part III-A-Uses of Funds'!J84</f>
        <v>0</v>
      </c>
      <c r="K198" s="1844"/>
      <c r="L198" s="1833"/>
      <c r="M198" s="1844">
        <f>'Part III-A-Uses of Funds'!M84</f>
        <v>0</v>
      </c>
      <c r="N198" s="1844"/>
      <c r="O198" s="1235"/>
      <c r="P198" s="1844">
        <f>'Part III-A-Uses of Funds'!P84</f>
        <v>15000</v>
      </c>
      <c r="Q198" s="1844"/>
      <c r="R198" s="1235"/>
      <c r="S198" s="1844">
        <f>'Part III-A-Uses of Funds'!S84</f>
        <v>0</v>
      </c>
      <c r="T198" s="1844"/>
      <c r="U198" s="1235"/>
      <c r="V198" s="1868"/>
      <c r="W198" s="1869"/>
      <c r="X198" s="1869"/>
      <c r="Y198" s="1235"/>
      <c r="Z198" s="1235"/>
      <c r="AA198" s="1235"/>
      <c r="AB198" s="1235"/>
      <c r="AC198" s="1235"/>
      <c r="AD198" s="1235"/>
      <c r="AE198" s="1235"/>
      <c r="AF198" s="1235"/>
      <c r="AG198" s="1235"/>
      <c r="AH198" s="1235"/>
      <c r="AI198" s="1235"/>
    </row>
    <row r="199" spans="1:35" ht="16.5" customHeight="1">
      <c r="A199" s="1870" t="str">
        <f>IF(AND(G199&gt;0,OR(C199="",C199="&lt;Enter detailed description here; use Comments section if needed&gt;")),"X","")</f>
        <v/>
      </c>
      <c r="B199" s="1820" t="s">
        <v>609</v>
      </c>
      <c r="C199" s="1741" t="str">
        <f>'Part III-A-Uses of Funds'!C85</f>
        <v>&lt;&lt; Enter description here; provide detail &amp; justification in tab Part III-b &gt;&gt;</v>
      </c>
      <c r="D199" s="1741"/>
      <c r="E199" s="1741"/>
      <c r="F199" s="1741"/>
      <c r="G199" s="1844">
        <f>'Part III-A-Uses of Funds'!G85</f>
        <v>0</v>
      </c>
      <c r="H199" s="1844"/>
      <c r="I199" s="1235"/>
      <c r="J199" s="1844">
        <f>'Part III-A-Uses of Funds'!J85</f>
        <v>0</v>
      </c>
      <c r="K199" s="1844"/>
      <c r="L199" s="1833"/>
      <c r="M199" s="1844">
        <f>'Part III-A-Uses of Funds'!M85</f>
        <v>0</v>
      </c>
      <c r="N199" s="1844"/>
      <c r="O199" s="1235"/>
      <c r="P199" s="1844">
        <f>'Part III-A-Uses of Funds'!P85</f>
        <v>0</v>
      </c>
      <c r="Q199" s="1844"/>
      <c r="R199" s="1235"/>
      <c r="S199" s="1844">
        <f>'Part III-A-Uses of Funds'!S85</f>
        <v>0</v>
      </c>
      <c r="T199" s="1844"/>
      <c r="U199" s="1824" t="str">
        <f>IF(AND(G199&gt;0,OR(C199="",C199="&lt;Enter detailed description here; use Comments section if needed&gt;")),"NO DESCRIPTION PROVIDED - please enter detailed description in Other box at left; use Comments section below if needed.","")</f>
        <v/>
      </c>
      <c r="V199" s="1868"/>
      <c r="W199" s="1869"/>
      <c r="X199" s="1869"/>
      <c r="Y199" s="1235"/>
      <c r="Z199" s="1235"/>
      <c r="AA199" s="1235"/>
      <c r="AB199" s="1235"/>
      <c r="AC199" s="1235"/>
      <c r="AD199" s="1235"/>
      <c r="AE199" s="1235"/>
      <c r="AF199" s="1235"/>
      <c r="AG199" s="1235"/>
      <c r="AH199" s="1235"/>
      <c r="AI199" s="1235"/>
    </row>
    <row r="200" spans="1:35" ht="13.8">
      <c r="A200" s="1235"/>
      <c r="B200" s="1235"/>
      <c r="C200" s="1235"/>
      <c r="D200" s="1235"/>
      <c r="E200" s="1235"/>
      <c r="F200" s="1872" t="s">
        <v>532</v>
      </c>
      <c r="G200" s="1844">
        <f>SUM(G189:G199)</f>
        <v>692765.9</v>
      </c>
      <c r="H200" s="1844"/>
      <c r="I200" s="1235"/>
      <c r="J200" s="1844">
        <f>SUM(J189:J199)</f>
        <v>0</v>
      </c>
      <c r="K200" s="1844"/>
      <c r="L200" s="1833"/>
      <c r="M200" s="1844">
        <f>SUM(M189:M199)</f>
        <v>0</v>
      </c>
      <c r="N200" s="1844"/>
      <c r="O200" s="1235"/>
      <c r="P200" s="1844">
        <f>SUM(P189:P199)</f>
        <v>692765.9</v>
      </c>
      <c r="Q200" s="1844"/>
      <c r="R200" s="1235"/>
      <c r="S200" s="1844">
        <f>SUM(S189:S199)</f>
        <v>0</v>
      </c>
      <c r="T200" s="1844"/>
      <c r="U200" s="1235"/>
      <c r="V200" s="1868">
        <f>SUM(V189:V199)</f>
        <v>0</v>
      </c>
      <c r="W200" s="1869"/>
      <c r="X200" s="1869"/>
      <c r="Y200" s="1235"/>
      <c r="Z200" s="1235"/>
      <c r="AA200" s="1235"/>
      <c r="AB200" s="1235"/>
      <c r="AC200" s="1235"/>
      <c r="AD200" s="1235"/>
      <c r="AE200" s="1235"/>
      <c r="AF200" s="1235"/>
      <c r="AG200" s="1235"/>
      <c r="AH200" s="1235"/>
      <c r="AI200" s="1235"/>
    </row>
    <row r="201" spans="1:35" ht="13.8">
      <c r="A201" s="1235"/>
      <c r="B201" s="1815" t="s">
        <v>611</v>
      </c>
      <c r="C201" s="1235"/>
      <c r="D201" s="1901" t="s">
        <v>612</v>
      </c>
      <c r="E201" s="1902">
        <f>G206/'Part V-Revenues &amp; Expenses'!$P$76</f>
        <v>229.63493750000001</v>
      </c>
      <c r="F201" s="1235"/>
      <c r="G201" s="1235"/>
      <c r="H201" s="1235"/>
      <c r="I201" s="1235"/>
      <c r="J201" s="1833"/>
      <c r="K201" s="1833"/>
      <c r="L201" s="270"/>
      <c r="M201" s="1833"/>
      <c r="N201" s="1833"/>
      <c r="O201" s="1873" t="str">
        <f>B201</f>
        <v>LOCAL GOVERNMENT FEES</v>
      </c>
      <c r="P201" s="1833"/>
      <c r="Q201" s="1833"/>
      <c r="R201" s="270"/>
      <c r="S201" s="1833"/>
      <c r="T201" s="1833"/>
      <c r="U201" s="270"/>
      <c r="V201" s="1868"/>
      <c r="W201" s="1235" t="str">
        <f>B201</f>
        <v>LOCAL GOVERNMENT FEES</v>
      </c>
      <c r="X201" s="270"/>
      <c r="Y201" s="270"/>
      <c r="Z201" s="270"/>
      <c r="AA201" s="270"/>
      <c r="AB201" s="270"/>
      <c r="AC201" s="270"/>
      <c r="AD201" s="270"/>
      <c r="AE201" s="270"/>
      <c r="AF201" s="270"/>
      <c r="AG201" s="270"/>
      <c r="AH201" s="270"/>
      <c r="AI201" s="270"/>
    </row>
    <row r="202" spans="1:35" ht="13.8">
      <c r="A202" s="1235"/>
      <c r="B202" s="1235" t="s">
        <v>613</v>
      </c>
      <c r="C202" s="1235"/>
      <c r="D202" s="1235"/>
      <c r="E202" s="1235"/>
      <c r="F202" s="1235"/>
      <c r="G202" s="1844">
        <f>'Part III-A-Uses of Funds'!G88</f>
        <v>22044.954000000002</v>
      </c>
      <c r="H202" s="1844"/>
      <c r="I202" s="1235"/>
      <c r="J202" s="1844">
        <f>'Part III-A-Uses of Funds'!J88</f>
        <v>0</v>
      </c>
      <c r="K202" s="1844"/>
      <c r="L202" s="1833"/>
      <c r="M202" s="1844">
        <f>'Part III-A-Uses of Funds'!M88</f>
        <v>0</v>
      </c>
      <c r="N202" s="1844"/>
      <c r="O202" s="1235"/>
      <c r="P202" s="1844">
        <f>'Part III-A-Uses of Funds'!P88</f>
        <v>22044.954000000002</v>
      </c>
      <c r="Q202" s="1844"/>
      <c r="R202" s="1235"/>
      <c r="S202" s="1844">
        <f>'Part III-A-Uses of Funds'!S88</f>
        <v>0</v>
      </c>
      <c r="T202" s="1844"/>
      <c r="U202" s="1235"/>
      <c r="V202" s="1868"/>
      <c r="W202" s="1869"/>
      <c r="X202" s="1869"/>
      <c r="Y202" s="1235"/>
      <c r="Z202" s="1235"/>
      <c r="AA202" s="1235"/>
      <c r="AB202" s="1235"/>
      <c r="AC202" s="1235"/>
      <c r="AD202" s="1235"/>
      <c r="AE202" s="1235"/>
      <c r="AF202" s="1235"/>
      <c r="AG202" s="1235"/>
      <c r="AH202" s="1235"/>
      <c r="AI202" s="1235"/>
    </row>
    <row r="203" spans="1:35" ht="13.8">
      <c r="A203" s="1235"/>
      <c r="B203" s="1235" t="s">
        <v>614</v>
      </c>
      <c r="C203" s="1235"/>
      <c r="D203" s="1235"/>
      <c r="E203" s="1235"/>
      <c r="F203" s="1235"/>
      <c r="G203" s="1844">
        <f>'Part III-A-Uses of Funds'!G89</f>
        <v>0</v>
      </c>
      <c r="H203" s="1844"/>
      <c r="I203" s="1235"/>
      <c r="J203" s="1844">
        <f>'Part III-A-Uses of Funds'!J89</f>
        <v>0</v>
      </c>
      <c r="K203" s="1844"/>
      <c r="L203" s="1833"/>
      <c r="M203" s="1844">
        <f>'Part III-A-Uses of Funds'!M89</f>
        <v>0</v>
      </c>
      <c r="N203" s="1844"/>
      <c r="O203" s="1235"/>
      <c r="P203" s="1844">
        <f>'Part III-A-Uses of Funds'!P89</f>
        <v>0</v>
      </c>
      <c r="Q203" s="1844"/>
      <c r="R203" s="1235"/>
      <c r="S203" s="1844">
        <f>'Part III-A-Uses of Funds'!S89</f>
        <v>0</v>
      </c>
      <c r="T203" s="1844"/>
      <c r="U203" s="1235"/>
      <c r="V203" s="1868"/>
      <c r="W203" s="1869"/>
      <c r="X203" s="1869"/>
      <c r="Y203" s="1235"/>
      <c r="Z203" s="1235"/>
      <c r="AA203" s="1235"/>
      <c r="AB203" s="1235"/>
      <c r="AC203" s="1235"/>
      <c r="AD203" s="1235"/>
      <c r="AE203" s="1235"/>
      <c r="AF203" s="1235"/>
      <c r="AG203" s="1235"/>
      <c r="AH203" s="1235"/>
      <c r="AI203" s="1235"/>
    </row>
    <row r="204" spans="1:35" ht="13.8">
      <c r="A204" s="1235"/>
      <c r="B204" s="1235" t="s">
        <v>615</v>
      </c>
      <c r="C204" s="1235"/>
      <c r="D204" s="1903" t="s">
        <v>616</v>
      </c>
      <c r="E204" s="1904"/>
      <c r="F204" s="1235"/>
      <c r="G204" s="1844">
        <f>'Part III-A-Uses of Funds'!G90</f>
        <v>0</v>
      </c>
      <c r="H204" s="1844"/>
      <c r="I204" s="1235"/>
      <c r="J204" s="1844">
        <f>'Part III-A-Uses of Funds'!J90</f>
        <v>0</v>
      </c>
      <c r="K204" s="1844"/>
      <c r="L204" s="1833"/>
      <c r="M204" s="1844">
        <f>'Part III-A-Uses of Funds'!M90</f>
        <v>0</v>
      </c>
      <c r="N204" s="1844"/>
      <c r="O204" s="1235"/>
      <c r="P204" s="1844">
        <f>'Part III-A-Uses of Funds'!P90</f>
        <v>0</v>
      </c>
      <c r="Q204" s="1844"/>
      <c r="R204" s="1235"/>
      <c r="S204" s="1844">
        <f>'Part III-A-Uses of Funds'!S90</f>
        <v>0</v>
      </c>
      <c r="T204" s="1844"/>
      <c r="U204" s="1235"/>
      <c r="V204" s="1868"/>
      <c r="W204" s="1869"/>
      <c r="X204" s="1869"/>
      <c r="Y204" s="1235"/>
      <c r="Z204" s="1235"/>
      <c r="AA204" s="1235"/>
      <c r="AB204" s="1235"/>
      <c r="AC204" s="1235"/>
      <c r="AD204" s="1235"/>
      <c r="AE204" s="1235"/>
      <c r="AF204" s="1235"/>
      <c r="AG204" s="1235"/>
      <c r="AH204" s="1235"/>
      <c r="AI204" s="1235"/>
    </row>
    <row r="205" spans="1:35" ht="13.8">
      <c r="A205" s="1235"/>
      <c r="B205" s="1235" t="s">
        <v>617</v>
      </c>
      <c r="C205" s="1235"/>
      <c r="D205" s="1903" t="s">
        <v>616</v>
      </c>
      <c r="E205" s="1904"/>
      <c r="F205" s="1235"/>
      <c r="G205" s="1844">
        <f>'Part III-A-Uses of Funds'!G91</f>
        <v>0</v>
      </c>
      <c r="H205" s="1844"/>
      <c r="I205" s="1235"/>
      <c r="J205" s="1844">
        <f>'Part III-A-Uses of Funds'!J91</f>
        <v>0</v>
      </c>
      <c r="K205" s="1844"/>
      <c r="L205" s="1833"/>
      <c r="M205" s="1844">
        <f>'Part III-A-Uses of Funds'!M91</f>
        <v>0</v>
      </c>
      <c r="N205" s="1844"/>
      <c r="O205" s="1235"/>
      <c r="P205" s="1844">
        <f>'Part III-A-Uses of Funds'!P91</f>
        <v>0</v>
      </c>
      <c r="Q205" s="1844"/>
      <c r="R205" s="1235"/>
      <c r="S205" s="1844">
        <f>'Part III-A-Uses of Funds'!S91</f>
        <v>0</v>
      </c>
      <c r="T205" s="1844"/>
      <c r="U205" s="1235"/>
      <c r="V205" s="1868"/>
      <c r="W205" s="1869"/>
      <c r="X205" s="1869"/>
      <c r="Y205" s="1235"/>
      <c r="Z205" s="1235"/>
      <c r="AA205" s="1235"/>
      <c r="AB205" s="1235"/>
      <c r="AC205" s="1235"/>
      <c r="AD205" s="1235"/>
      <c r="AE205" s="1235"/>
      <c r="AF205" s="1235"/>
      <c r="AG205" s="1235"/>
      <c r="AH205" s="1235"/>
      <c r="AI205" s="1235"/>
    </row>
    <row r="206" spans="1:35" ht="13.8">
      <c r="A206" s="1235"/>
      <c r="B206" s="1235"/>
      <c r="C206" s="1235"/>
      <c r="D206" s="1235"/>
      <c r="E206" s="1235"/>
      <c r="F206" s="1872" t="s">
        <v>532</v>
      </c>
      <c r="G206" s="1844">
        <f>SUM(G202:G205)</f>
        <v>22044.954000000002</v>
      </c>
      <c r="H206" s="1844"/>
      <c r="I206" s="1235"/>
      <c r="J206" s="1844">
        <f>SUM(J202:J205)</f>
        <v>0</v>
      </c>
      <c r="K206" s="1844"/>
      <c r="L206" s="1833"/>
      <c r="M206" s="1844">
        <f>SUM(M202:M205)</f>
        <v>0</v>
      </c>
      <c r="N206" s="1844"/>
      <c r="O206" s="1235"/>
      <c r="P206" s="1844">
        <f>SUM(P202:P205)</f>
        <v>22044.954000000002</v>
      </c>
      <c r="Q206" s="1844"/>
      <c r="R206" s="1235"/>
      <c r="S206" s="1844">
        <f>SUM(S202:S205)</f>
        <v>0</v>
      </c>
      <c r="T206" s="1844"/>
      <c r="U206" s="1235"/>
      <c r="V206" s="1868">
        <f>SUM(V202:V205)</f>
        <v>0</v>
      </c>
      <c r="W206" s="1869"/>
      <c r="X206" s="1869"/>
      <c r="Y206" s="1235"/>
      <c r="Z206" s="1235"/>
      <c r="AA206" s="1235"/>
      <c r="AB206" s="1235"/>
      <c r="AC206" s="1235"/>
      <c r="AD206" s="1235"/>
      <c r="AE206" s="1235"/>
      <c r="AF206" s="1235"/>
      <c r="AG206" s="1235"/>
      <c r="AH206" s="1235"/>
      <c r="AI206" s="1235"/>
    </row>
    <row r="207" spans="1:35" ht="13.8">
      <c r="A207" s="1816"/>
      <c r="B207" s="1816"/>
      <c r="C207" s="1816"/>
      <c r="D207" s="1816"/>
      <c r="E207" s="1816"/>
      <c r="F207" s="1816"/>
      <c r="G207" s="1816"/>
      <c r="H207" s="1816"/>
      <c r="I207" s="1816"/>
      <c r="J207" s="1816"/>
      <c r="K207" s="1816"/>
      <c r="L207" s="1816"/>
      <c r="M207" s="1816"/>
      <c r="N207" s="1816"/>
      <c r="O207" s="1816"/>
      <c r="P207" s="1816"/>
      <c r="Q207" s="1816"/>
      <c r="R207" s="1816"/>
      <c r="S207" s="1816"/>
      <c r="T207" s="1816"/>
      <c r="U207" s="1235"/>
      <c r="V207" s="1868"/>
      <c r="W207" s="1235"/>
      <c r="X207" s="1235"/>
      <c r="Y207" s="1235"/>
      <c r="Z207" s="1235"/>
      <c r="AA207" s="1235"/>
      <c r="AB207" s="1235"/>
      <c r="AC207" s="1235"/>
      <c r="AD207" s="1235"/>
      <c r="AE207" s="1235"/>
      <c r="AF207" s="1235"/>
      <c r="AG207" s="1235"/>
      <c r="AH207" s="1235"/>
      <c r="AI207" s="1235"/>
    </row>
    <row r="208" spans="1:35" ht="17.25" customHeight="1">
      <c r="A208" s="1865" t="s">
        <v>21</v>
      </c>
      <c r="B208" s="1865" t="s">
        <v>7519</v>
      </c>
      <c r="C208" s="1235"/>
      <c r="D208" s="1235"/>
      <c r="E208" s="1235"/>
      <c r="F208" s="1235"/>
      <c r="G208" s="1235"/>
      <c r="H208" s="1235"/>
      <c r="I208" s="1235"/>
      <c r="J208" s="1815" t="s">
        <v>513</v>
      </c>
      <c r="K208" s="1815"/>
      <c r="L208" s="1844"/>
      <c r="M208" s="1866" t="s">
        <v>514</v>
      </c>
      <c r="N208" s="1866"/>
      <c r="O208" s="1235"/>
      <c r="P208" s="1815" t="s">
        <v>515</v>
      </c>
      <c r="Q208" s="1815"/>
      <c r="R208" s="1235"/>
      <c r="S208" s="1815" t="s">
        <v>516</v>
      </c>
      <c r="T208" s="1815"/>
      <c r="U208" s="1235"/>
      <c r="V208" s="1867" t="str">
        <f>B208</f>
        <v>DEVELOPMENT BUDGET  (cont'd)</v>
      </c>
      <c r="W208" s="1235"/>
      <c r="X208" s="1235"/>
      <c r="Y208" s="1235"/>
      <c r="Z208" s="1235"/>
      <c r="AA208" s="1235"/>
      <c r="AB208" s="1235"/>
      <c r="AC208" s="1235"/>
      <c r="AD208" s="1235"/>
      <c r="AE208" s="1235"/>
      <c r="AF208" s="1235"/>
      <c r="AG208" s="1235"/>
      <c r="AH208" s="1235"/>
      <c r="AI208" s="1235"/>
    </row>
    <row r="209" spans="1:35" ht="13.8">
      <c r="A209" s="1235"/>
      <c r="B209" s="1235"/>
      <c r="C209" s="1235"/>
      <c r="D209" s="1235"/>
      <c r="E209" s="1235"/>
      <c r="F209" s="1235"/>
      <c r="G209" s="1815" t="s">
        <v>517</v>
      </c>
      <c r="H209" s="1815"/>
      <c r="I209" s="1235"/>
      <c r="J209" s="1815"/>
      <c r="K209" s="1815"/>
      <c r="L209" s="1844"/>
      <c r="M209" s="1866"/>
      <c r="N209" s="1866"/>
      <c r="O209" s="1235"/>
      <c r="P209" s="1815"/>
      <c r="Q209" s="1815"/>
      <c r="R209" s="1235"/>
      <c r="S209" s="1815"/>
      <c r="T209" s="1815"/>
      <c r="U209" s="1235"/>
      <c r="V209" s="269" t="s">
        <v>350</v>
      </c>
      <c r="W209" s="1235"/>
      <c r="X209" s="269"/>
      <c r="Y209" s="1235"/>
      <c r="Z209" s="1235"/>
      <c r="AA209" s="1235"/>
      <c r="AB209" s="1235"/>
      <c r="AC209" s="1235"/>
      <c r="AD209" s="1235"/>
      <c r="AE209" s="1235"/>
      <c r="AF209" s="1235"/>
      <c r="AG209" s="1235"/>
      <c r="AH209" s="1235"/>
      <c r="AI209" s="1235"/>
    </row>
    <row r="210" spans="1:35" ht="13.8">
      <c r="A210" s="1235"/>
      <c r="B210" s="1815" t="s">
        <v>619</v>
      </c>
      <c r="C210" s="1235"/>
      <c r="D210" s="1235"/>
      <c r="E210" s="1235"/>
      <c r="F210" s="1235"/>
      <c r="G210" s="1235"/>
      <c r="H210" s="1235"/>
      <c r="I210" s="1235"/>
      <c r="J210" s="1833"/>
      <c r="K210" s="1833"/>
      <c r="L210" s="1235"/>
      <c r="M210" s="1833"/>
      <c r="N210" s="1833"/>
      <c r="O210" s="1873" t="str">
        <f>B210</f>
        <v>PERMANENT FINANCING FEES</v>
      </c>
      <c r="P210" s="1833"/>
      <c r="Q210" s="1833"/>
      <c r="R210" s="1235"/>
      <c r="S210" s="1833"/>
      <c r="T210" s="1833"/>
      <c r="U210" s="1235"/>
      <c r="V210" s="1868"/>
      <c r="W210" s="1235" t="str">
        <f>B210</f>
        <v>PERMANENT FINANCING FEES</v>
      </c>
      <c r="X210" s="1235"/>
      <c r="Y210" s="1235"/>
      <c r="Z210" s="1235"/>
      <c r="AA210" s="1235"/>
      <c r="AB210" s="1235"/>
      <c r="AC210" s="1235"/>
      <c r="AD210" s="1235"/>
      <c r="AE210" s="1235"/>
      <c r="AF210" s="1235"/>
      <c r="AG210" s="1235"/>
      <c r="AH210" s="1235"/>
      <c r="AI210" s="1235"/>
    </row>
    <row r="211" spans="1:35" ht="13.8">
      <c r="A211" s="1235"/>
      <c r="B211" s="1235" t="s">
        <v>621</v>
      </c>
      <c r="C211" s="1235"/>
      <c r="D211" s="1235"/>
      <c r="E211" s="1235"/>
      <c r="F211" s="1235"/>
      <c r="G211" s="1844">
        <f>'Part III-A-Uses of Funds'!G97</f>
        <v>0</v>
      </c>
      <c r="H211" s="1844"/>
      <c r="I211" s="1235"/>
      <c r="J211" s="1844"/>
      <c r="K211" s="1844"/>
      <c r="L211" s="1833"/>
      <c r="M211" s="1844"/>
      <c r="N211" s="1844"/>
      <c r="O211" s="1235"/>
      <c r="P211" s="1844"/>
      <c r="Q211" s="1844"/>
      <c r="R211" s="1235"/>
      <c r="S211" s="1844">
        <f>'Part III-A-Uses of Funds'!S97</f>
        <v>0</v>
      </c>
      <c r="T211" s="1844"/>
      <c r="U211" s="1235"/>
      <c r="V211" s="1868"/>
      <c r="W211" s="1869"/>
      <c r="X211" s="1869"/>
      <c r="Y211" s="1235"/>
      <c r="Z211" s="1235"/>
      <c r="AA211" s="1235"/>
      <c r="AB211" s="1235"/>
      <c r="AC211" s="1235"/>
      <c r="AD211" s="1235"/>
      <c r="AE211" s="1235"/>
      <c r="AF211" s="1235"/>
      <c r="AG211" s="1235"/>
      <c r="AH211" s="1235"/>
      <c r="AI211" s="1235"/>
    </row>
    <row r="212" spans="1:35" ht="13.8">
      <c r="A212" s="1235"/>
      <c r="B212" s="1235" t="s">
        <v>623</v>
      </c>
      <c r="C212" s="1235"/>
      <c r="D212" s="1235"/>
      <c r="E212" s="1235"/>
      <c r="F212" s="1235"/>
      <c r="G212" s="1844">
        <f>'Part III-A-Uses of Funds'!G98</f>
        <v>0</v>
      </c>
      <c r="H212" s="1844"/>
      <c r="I212" s="1235"/>
      <c r="J212" s="1844"/>
      <c r="K212" s="1844"/>
      <c r="L212" s="1833"/>
      <c r="M212" s="1844"/>
      <c r="N212" s="1844"/>
      <c r="O212" s="1235"/>
      <c r="P212" s="1844"/>
      <c r="Q212" s="1844"/>
      <c r="R212" s="1235"/>
      <c r="S212" s="1844">
        <f>'Part III-A-Uses of Funds'!S98</f>
        <v>0</v>
      </c>
      <c r="T212" s="1844"/>
      <c r="U212" s="1235"/>
      <c r="V212" s="1868"/>
      <c r="W212" s="1869"/>
      <c r="X212" s="1869"/>
      <c r="Y212" s="1235"/>
      <c r="Z212" s="1235"/>
      <c r="AA212" s="1235"/>
      <c r="AB212" s="1235"/>
      <c r="AC212" s="1235"/>
      <c r="AD212" s="1235"/>
      <c r="AE212" s="1235"/>
      <c r="AF212" s="1235"/>
      <c r="AG212" s="1235"/>
      <c r="AH212" s="1235"/>
      <c r="AI212" s="1235"/>
    </row>
    <row r="213" spans="1:35" ht="13.8">
      <c r="A213" s="1235"/>
      <c r="B213" s="1235" t="s">
        <v>592</v>
      </c>
      <c r="C213" s="1235"/>
      <c r="D213" s="1235"/>
      <c r="E213" s="1235"/>
      <c r="F213" s="1235"/>
      <c r="G213" s="1844">
        <f>'Part III-A-Uses of Funds'!G99</f>
        <v>0</v>
      </c>
      <c r="H213" s="1844"/>
      <c r="I213" s="1235"/>
      <c r="J213" s="1844"/>
      <c r="K213" s="1844"/>
      <c r="L213" s="1833"/>
      <c r="M213" s="1844"/>
      <c r="N213" s="1844"/>
      <c r="O213" s="1235"/>
      <c r="P213" s="1844"/>
      <c r="Q213" s="1844"/>
      <c r="R213" s="1235"/>
      <c r="S213" s="1844">
        <f>'Part III-A-Uses of Funds'!S99</f>
        <v>0</v>
      </c>
      <c r="T213" s="1844"/>
      <c r="U213" s="1235"/>
      <c r="V213" s="1868"/>
      <c r="W213" s="1869"/>
      <c r="X213" s="1869"/>
      <c r="Y213" s="1235"/>
      <c r="Z213" s="1235"/>
      <c r="AA213" s="1235"/>
      <c r="AB213" s="1235"/>
      <c r="AC213" s="1235"/>
      <c r="AD213" s="1235"/>
      <c r="AE213" s="1235"/>
      <c r="AF213" s="1235"/>
      <c r="AG213" s="1235"/>
      <c r="AH213" s="1235"/>
      <c r="AI213" s="1235"/>
    </row>
    <row r="214" spans="1:35" ht="13.8">
      <c r="A214" s="1235"/>
      <c r="B214" s="1235" t="s">
        <v>624</v>
      </c>
      <c r="C214" s="1235"/>
      <c r="D214" s="1235"/>
      <c r="E214" s="1235"/>
      <c r="F214" s="1235"/>
      <c r="G214" s="1844">
        <f>'Part III-A-Uses of Funds'!G100</f>
        <v>0</v>
      </c>
      <c r="H214" s="1844"/>
      <c r="I214" s="1235"/>
      <c r="J214" s="1844"/>
      <c r="K214" s="1844"/>
      <c r="L214" s="1833"/>
      <c r="M214" s="1844"/>
      <c r="N214" s="1844"/>
      <c r="O214" s="1235"/>
      <c r="P214" s="1844"/>
      <c r="Q214" s="1844"/>
      <c r="R214" s="1235"/>
      <c r="S214" s="1844">
        <f>'Part III-A-Uses of Funds'!S100</f>
        <v>0</v>
      </c>
      <c r="T214" s="1844"/>
      <c r="U214" s="1235"/>
      <c r="V214" s="1868"/>
      <c r="W214" s="1869"/>
      <c r="X214" s="1869"/>
      <c r="Y214" s="1235"/>
      <c r="Z214" s="1235"/>
      <c r="AA214" s="1235"/>
      <c r="AB214" s="1235"/>
      <c r="AC214" s="1235"/>
      <c r="AD214" s="1235"/>
      <c r="AE214" s="1235"/>
      <c r="AF214" s="1235"/>
      <c r="AG214" s="1235"/>
      <c r="AH214" s="1235"/>
      <c r="AI214" s="1235"/>
    </row>
    <row r="215" spans="1:35" ht="13.8">
      <c r="A215" s="1235"/>
      <c r="B215" s="1235" t="s">
        <v>625</v>
      </c>
      <c r="C215" s="1235"/>
      <c r="D215" s="1235"/>
      <c r="E215" s="1235"/>
      <c r="F215" s="1235"/>
      <c r="G215" s="1844"/>
      <c r="H215" s="1844"/>
      <c r="I215" s="1235"/>
      <c r="J215" s="1844"/>
      <c r="K215" s="1844"/>
      <c r="L215" s="1833"/>
      <c r="M215" s="1844"/>
      <c r="N215" s="1844"/>
      <c r="O215" s="1235"/>
      <c r="P215" s="1844"/>
      <c r="Q215" s="1844"/>
      <c r="R215" s="1235"/>
      <c r="S215" s="1844"/>
      <c r="T215" s="1844"/>
      <c r="U215" s="1235"/>
      <c r="V215" s="1868"/>
      <c r="W215" s="1869"/>
      <c r="X215" s="1869"/>
      <c r="Y215" s="1235"/>
      <c r="Z215" s="1235"/>
      <c r="AA215" s="1235"/>
      <c r="AB215" s="1235"/>
      <c r="AC215" s="1235"/>
      <c r="AD215" s="1235"/>
      <c r="AE215" s="1235"/>
      <c r="AF215" s="1235"/>
      <c r="AG215" s="1235"/>
      <c r="AH215" s="1235"/>
      <c r="AI215" s="1235"/>
    </row>
    <row r="216" spans="1:35" ht="16.5" customHeight="1">
      <c r="A216" s="1870" t="str">
        <f>IF(AND(G216&gt;0,OR(C216="",C216="&lt;Enter detailed description here; use Comments section if needed&gt;")),"X","")</f>
        <v/>
      </c>
      <c r="B216" s="1820" t="s">
        <v>626</v>
      </c>
      <c r="C216" s="1741" t="str">
        <f>'Part III-A-Uses of Funds'!C102</f>
        <v>&lt;&lt; Enter description here; provide detail &amp; justification in tab Part III-b &gt;&gt;</v>
      </c>
      <c r="D216" s="1741"/>
      <c r="E216" s="1741"/>
      <c r="F216" s="1741"/>
      <c r="G216" s="1844"/>
      <c r="H216" s="1844"/>
      <c r="I216" s="1235"/>
      <c r="J216" s="1844"/>
      <c r="K216" s="1844"/>
      <c r="L216" s="1833"/>
      <c r="M216" s="1844"/>
      <c r="N216" s="1844"/>
      <c r="O216" s="1235"/>
      <c r="P216" s="1844"/>
      <c r="Q216" s="1844"/>
      <c r="R216" s="1235"/>
      <c r="S216" s="1844"/>
      <c r="T216" s="1844"/>
      <c r="U216" s="1824" t="str">
        <f>IF(AND(G216&gt;0,OR(C216="",C216="&lt;Enter detailed description here; use Comments section if needed&gt;")),"NO DESCRIPTION PROVIDED - please enter detailed description in Other box at left; use Comments section below if needed.","")</f>
        <v/>
      </c>
      <c r="V216" s="1868"/>
      <c r="W216" s="1869"/>
      <c r="X216" s="1869"/>
      <c r="Y216" s="1235"/>
      <c r="Z216" s="1235"/>
      <c r="AA216" s="1235"/>
      <c r="AB216" s="1235"/>
      <c r="AC216" s="1235"/>
      <c r="AD216" s="1235"/>
      <c r="AE216" s="1235"/>
      <c r="AF216" s="1235"/>
      <c r="AG216" s="1235"/>
      <c r="AH216" s="1235"/>
      <c r="AI216" s="1235"/>
    </row>
    <row r="217" spans="1:35" ht="13.8">
      <c r="A217" s="1235"/>
      <c r="B217" s="1235"/>
      <c r="C217" s="1235"/>
      <c r="D217" s="1235"/>
      <c r="E217" s="1235"/>
      <c r="F217" s="1872" t="s">
        <v>532</v>
      </c>
      <c r="G217" s="1844">
        <f>SUM(G211:G216)</f>
        <v>0</v>
      </c>
      <c r="H217" s="1844"/>
      <c r="I217" s="1235"/>
      <c r="J217" s="1844"/>
      <c r="K217" s="1844"/>
      <c r="L217" s="1833"/>
      <c r="M217" s="1844"/>
      <c r="N217" s="1844"/>
      <c r="O217" s="1235"/>
      <c r="P217" s="1844"/>
      <c r="Q217" s="1844"/>
      <c r="R217" s="1235"/>
      <c r="S217" s="1844">
        <f>SUM(S211:S216)</f>
        <v>0</v>
      </c>
      <c r="T217" s="1844"/>
      <c r="U217" s="1235"/>
      <c r="V217" s="1868">
        <f>SUM(V211:V216)</f>
        <v>0</v>
      </c>
      <c r="W217" s="1869"/>
      <c r="X217" s="1869"/>
      <c r="Y217" s="1235"/>
      <c r="Z217" s="1235"/>
      <c r="AA217" s="1235"/>
      <c r="AB217" s="1235"/>
      <c r="AC217" s="1235"/>
      <c r="AD217" s="1235"/>
      <c r="AE217" s="1235"/>
      <c r="AF217" s="1235"/>
      <c r="AG217" s="1235"/>
      <c r="AH217" s="1235"/>
      <c r="AI217" s="1235"/>
    </row>
    <row r="218" spans="1:35" ht="13.8">
      <c r="A218" s="1235"/>
      <c r="B218" s="1815" t="s">
        <v>627</v>
      </c>
      <c r="C218" s="1235"/>
      <c r="D218" s="1235"/>
      <c r="E218" s="1235"/>
      <c r="F218" s="1235"/>
      <c r="G218" s="1235"/>
      <c r="H218" s="1235"/>
      <c r="I218" s="1235"/>
      <c r="J218" s="1833"/>
      <c r="K218" s="1833"/>
      <c r="L218" s="1235"/>
      <c r="M218" s="1833"/>
      <c r="N218" s="1833"/>
      <c r="O218" s="1873" t="str">
        <f>B218</f>
        <v>DCA-RELATED COSTS</v>
      </c>
      <c r="P218" s="1833"/>
      <c r="Q218" s="1833"/>
      <c r="R218" s="1235"/>
      <c r="S218" s="1833"/>
      <c r="T218" s="1833"/>
      <c r="U218" s="1235"/>
      <c r="V218" s="1868"/>
      <c r="W218" s="1235" t="str">
        <f>B218</f>
        <v>DCA-RELATED COSTS</v>
      </c>
      <c r="X218" s="1235"/>
      <c r="Y218" s="1235"/>
      <c r="Z218" s="1235"/>
      <c r="AA218" s="1820" t="s">
        <v>628</v>
      </c>
      <c r="AB218" s="1820"/>
      <c r="AC218" s="1820"/>
      <c r="AD218" s="1905" t="str">
        <f>IF(OR($M$38="9% Credit Competitive Round only", $M$38="9% Credit &amp; HOME"),"9%",IF(OR($M$38="4% Credit/TE Bond", $M$38="4% Credit/TE Bond &amp; HOME", $M$38="4% Credit/TE Bond &amp; HOME NOFA", $M$38="4% Credit &amp; NHTF", $M$38="4% Credit &amp; NHTF &amp; HOME"),"4%",""))</f>
        <v/>
      </c>
      <c r="AE218" s="1235"/>
      <c r="AF218" s="1235"/>
      <c r="AG218" s="1235"/>
      <c r="AH218" s="1235"/>
      <c r="AI218" s="1235"/>
    </row>
    <row r="219" spans="1:35" ht="13.5" customHeight="1">
      <c r="A219" s="1235"/>
      <c r="B219" s="1235" t="s">
        <v>629</v>
      </c>
      <c r="C219" s="1235"/>
      <c r="D219" s="1235"/>
      <c r="E219" s="1235"/>
      <c r="F219" s="1235"/>
      <c r="G219" s="1844">
        <f>'Part III-A-Uses of Funds'!G105</f>
        <v>0</v>
      </c>
      <c r="H219" s="1844"/>
      <c r="I219" s="1235"/>
      <c r="J219" s="1833"/>
      <c r="K219" s="1833"/>
      <c r="L219" s="1833"/>
      <c r="M219" s="1833"/>
      <c r="N219" s="1833"/>
      <c r="O219" s="1235"/>
      <c r="P219" s="1833"/>
      <c r="Q219" s="1833"/>
      <c r="R219" s="1235"/>
      <c r="S219" s="1844">
        <f>'Part III-A-Uses of Funds'!S105</f>
        <v>0</v>
      </c>
      <c r="T219" s="1844"/>
      <c r="U219" s="1235"/>
      <c r="V219" s="1868"/>
      <c r="W219" s="1869"/>
      <c r="X219" s="1869"/>
      <c r="Y219" s="1235" t="s">
        <v>630</v>
      </c>
      <c r="Z219" s="1235"/>
      <c r="AA219" s="290" t="s">
        <v>631</v>
      </c>
      <c r="AB219" s="1820"/>
      <c r="AC219" s="1820"/>
      <c r="AD219" s="1906" t="str">
        <f>'Part V-Revenues &amp; Expenses'!$O$62</f>
        <v>40% of Units at 60% of AMI</v>
      </c>
      <c r="AE219" s="1907"/>
      <c r="AF219" s="1907"/>
      <c r="AG219" s="1235"/>
      <c r="AH219" s="1235"/>
      <c r="AI219" s="1235"/>
    </row>
    <row r="220" spans="1:35" ht="13.8">
      <c r="A220" s="1235"/>
      <c r="B220" s="1235" t="str">
        <f>CONCATENATE("Tax Credit Application Fee ($",'DCA Underwriting Assumptions'!$Q$58, " ForProf/JntVent, $",'DCA Underwriting Assumptions'!$Q$59, " NonProf)")</f>
        <v>Tax Credit Application Fee ($10000 ForProf/JntVent, $8000 NonProf)</v>
      </c>
      <c r="C220" s="1235"/>
      <c r="D220" s="1235"/>
      <c r="E220" s="1235"/>
      <c r="F220" s="1235"/>
      <c r="G220" s="1844">
        <f>'Part III-A-Uses of Funds'!G106</f>
        <v>10000</v>
      </c>
      <c r="H220" s="1844"/>
      <c r="I220" s="1235"/>
      <c r="J220" s="1833"/>
      <c r="K220" s="1833"/>
      <c r="L220" s="1908"/>
      <c r="M220" s="1833"/>
      <c r="N220" s="1833"/>
      <c r="O220" s="1235"/>
      <c r="P220" s="1833"/>
      <c r="Q220" s="1833"/>
      <c r="R220" s="1235"/>
      <c r="S220" s="1844">
        <f>'Part III-A-Uses of Funds'!S106</f>
        <v>10000</v>
      </c>
      <c r="T220" s="1844"/>
      <c r="U220" s="1235"/>
      <c r="V220" s="1868"/>
      <c r="W220" s="1869"/>
      <c r="X220" s="1869"/>
      <c r="Y220" s="1235"/>
      <c r="Z220" s="1235"/>
      <c r="AA220" s="1892" t="s">
        <v>632</v>
      </c>
      <c r="AB220" s="1892"/>
      <c r="AC220" s="1892"/>
      <c r="AD220" s="1909">
        <f>'Part V-Revenues &amp; Expenses'!$P$76</f>
        <v>96</v>
      </c>
      <c r="AE220" s="1235"/>
      <c r="AF220" s="1235"/>
      <c r="AG220" s="1235"/>
      <c r="AH220" s="1235"/>
      <c r="AI220" s="1235"/>
    </row>
    <row r="221" spans="1:35" ht="13.8">
      <c r="A221" s="1235"/>
      <c r="B221" s="1235" t="s">
        <v>634</v>
      </c>
      <c r="C221" s="1235"/>
      <c r="D221" s="1235"/>
      <c r="E221" s="1235"/>
      <c r="F221" s="1235"/>
      <c r="G221" s="1844">
        <f>'Part III-A-Uses of Funds'!G107</f>
        <v>2000</v>
      </c>
      <c r="H221" s="1844"/>
      <c r="I221" s="1235"/>
      <c r="J221" s="1833"/>
      <c r="K221" s="1833"/>
      <c r="L221" s="1908"/>
      <c r="M221" s="1833"/>
      <c r="N221" s="1833"/>
      <c r="O221" s="1235"/>
      <c r="P221" s="1833"/>
      <c r="Q221" s="1833"/>
      <c r="R221" s="1235"/>
      <c r="S221" s="1844">
        <f>'Part III-A-Uses of Funds'!S107</f>
        <v>2000</v>
      </c>
      <c r="T221" s="1844"/>
      <c r="U221" s="1235"/>
      <c r="V221" s="1868"/>
      <c r="W221" s="1869"/>
      <c r="X221" s="1869"/>
      <c r="Y221" s="1235"/>
      <c r="Z221" s="1235"/>
      <c r="AA221" s="1910" t="s">
        <v>635</v>
      </c>
      <c r="AB221" s="1820"/>
      <c r="AC221" s="1820"/>
      <c r="AD221" s="1820"/>
      <c r="AE221" s="1235"/>
      <c r="AF221" s="1911" t="s">
        <v>636</v>
      </c>
      <c r="AG221" s="1235"/>
      <c r="AH221" s="1235"/>
      <c r="AI221" s="1235"/>
    </row>
    <row r="222" spans="1:35" ht="13.8">
      <c r="A222" s="1235"/>
      <c r="B222" s="1235" t="s">
        <v>638</v>
      </c>
      <c r="C222" s="1235"/>
      <c r="D222" s="1235"/>
      <c r="E222" s="1912">
        <f>ROUNDUP('DCA Underwriting Assumptions'!$Q$70*J306,0)</f>
        <v>91600</v>
      </c>
      <c r="F222" s="1912"/>
      <c r="G222" s="1844">
        <f>'Part III-A-Uses of Funds'!G108</f>
        <v>91600</v>
      </c>
      <c r="H222" s="1844"/>
      <c r="I222" s="1235"/>
      <c r="J222" s="1913" t="str">
        <f>IF(E222&gt;G222,"WARNING!  LIHTC Allocation Fee proposed is below minimum required.","")</f>
        <v/>
      </c>
      <c r="K222" s="1833"/>
      <c r="L222" s="1833"/>
      <c r="M222" s="1833"/>
      <c r="N222" s="1833"/>
      <c r="O222" s="1235"/>
      <c r="P222" s="1833"/>
      <c r="Q222" s="1833"/>
      <c r="R222" s="1235"/>
      <c r="S222" s="1844">
        <f>'Part III-A-Uses of Funds'!S108</f>
        <v>91600</v>
      </c>
      <c r="T222" s="1844"/>
      <c r="U222" s="1235"/>
      <c r="V222" s="1868"/>
      <c r="W222" s="1869"/>
      <c r="X222" s="1869"/>
      <c r="Y222" s="1235"/>
      <c r="Z222" s="1235"/>
      <c r="AA222" s="1820" t="s">
        <v>639</v>
      </c>
      <c r="AB222" s="1820"/>
      <c r="AC222" s="1820"/>
      <c r="AD222" s="1914">
        <f>'Part V-Revenues &amp; Expenses'!P273+'Part V-Revenues &amp; Expenses'!P274</f>
        <v>0</v>
      </c>
      <c r="AE222" s="1235"/>
      <c r="AF222" s="1915">
        <f>AD222*'DCA Underwriting Assumptions'!$Q$77</f>
        <v>0</v>
      </c>
      <c r="AG222" s="1235"/>
      <c r="AH222" s="1235"/>
      <c r="AI222" s="1235"/>
    </row>
    <row r="223" spans="1:35" ht="13.8">
      <c r="A223" s="1235"/>
      <c r="B223" s="1235" t="s">
        <v>641</v>
      </c>
      <c r="C223" s="1235"/>
      <c r="D223" s="1235"/>
      <c r="E223" s="1912">
        <f>AF225+AF229</f>
        <v>76800</v>
      </c>
      <c r="F223" s="1912"/>
      <c r="G223" s="1844">
        <f>'Part III-A-Uses of Funds'!G109</f>
        <v>76800</v>
      </c>
      <c r="H223" s="1844"/>
      <c r="I223" s="1916" t="str">
        <f>IF(E223&gt;G223,"WARNING!  LIHTC Compliance Fee proposed is below minimum required.","")</f>
        <v/>
      </c>
      <c r="J223" s="1916"/>
      <c r="K223" s="1916"/>
      <c r="L223" s="1916"/>
      <c r="M223" s="1916"/>
      <c r="N223" s="1916"/>
      <c r="O223" s="1916"/>
      <c r="P223" s="1916"/>
      <c r="Q223" s="1916"/>
      <c r="R223" s="1916"/>
      <c r="S223" s="1844">
        <f>'Part III-A-Uses of Funds'!S109</f>
        <v>76800</v>
      </c>
      <c r="T223" s="1844"/>
      <c r="U223" s="1235"/>
      <c r="V223" s="1868"/>
      <c r="W223" s="1869"/>
      <c r="X223" s="1869"/>
      <c r="Y223" s="1235"/>
      <c r="Z223" s="1235"/>
      <c r="AA223" s="1820" t="s">
        <v>642</v>
      </c>
      <c r="AB223" s="1820"/>
      <c r="AC223" s="1820"/>
      <c r="AD223" s="1914">
        <f>'Part V-Revenues &amp; Expenses'!$P$163+'Part V-Revenues &amp; Expenses'!$P$164</f>
        <v>0</v>
      </c>
      <c r="AE223" s="1235"/>
      <c r="AF223" s="1915">
        <f>AD223*'DCA Underwriting Assumptions'!$Q$77</f>
        <v>0</v>
      </c>
      <c r="AG223" s="1235"/>
      <c r="AH223" s="1235"/>
      <c r="AI223" s="1235"/>
    </row>
    <row r="224" spans="1:35" ht="13.8">
      <c r="A224" s="1235"/>
      <c r="B224" s="1235" t="s">
        <v>643</v>
      </c>
      <c r="C224" s="1235"/>
      <c r="D224" s="1235"/>
      <c r="E224" s="1235"/>
      <c r="F224" s="1917"/>
      <c r="G224" s="1844">
        <f>'Part III-A-Uses of Funds'!G110</f>
        <v>3000</v>
      </c>
      <c r="H224" s="1844"/>
      <c r="I224" s="1916"/>
      <c r="J224" s="1916"/>
      <c r="K224" s="1916"/>
      <c r="L224" s="1916"/>
      <c r="M224" s="1916"/>
      <c r="N224" s="1916"/>
      <c r="O224" s="1916"/>
      <c r="P224" s="1916"/>
      <c r="Q224" s="1916"/>
      <c r="R224" s="1916"/>
      <c r="S224" s="1844">
        <f>'Part III-A-Uses of Funds'!S110</f>
        <v>3000</v>
      </c>
      <c r="T224" s="1844"/>
      <c r="U224" s="1235"/>
      <c r="V224" s="1868"/>
      <c r="W224" s="1869"/>
      <c r="X224" s="1869"/>
      <c r="Y224" s="1235"/>
      <c r="Z224" s="1235"/>
      <c r="AA224" s="1820" t="s">
        <v>644</v>
      </c>
      <c r="AB224" s="1820"/>
      <c r="AC224" s="1820"/>
      <c r="AD224" s="1914">
        <f>'Part V-Revenues &amp; Expenses'!$P$165+'Part V-Revenues &amp; Expenses'!$P$166</f>
        <v>0</v>
      </c>
      <c r="AE224" s="1235"/>
      <c r="AF224" s="1915">
        <f>AD224*'DCA Underwriting Assumptions'!$Q$77</f>
        <v>0</v>
      </c>
      <c r="AG224" s="1235"/>
      <c r="AH224" s="1235"/>
      <c r="AI224" s="1235"/>
    </row>
    <row r="225" spans="1:35" ht="13.8">
      <c r="A225" s="1235"/>
      <c r="B225" s="1235" t="s">
        <v>645</v>
      </c>
      <c r="C225" s="1235"/>
      <c r="D225" s="1235"/>
      <c r="E225" s="1235"/>
      <c r="F225" s="1917">
        <f>ROUNDUP('DCA Underwriting Assumptions'!$Q$73,0)</f>
        <v>8000</v>
      </c>
      <c r="G225" s="1844">
        <f>'Part III-A-Uses of Funds'!G111</f>
        <v>8000</v>
      </c>
      <c r="H225" s="1844"/>
      <c r="I225" s="1235"/>
      <c r="J225" s="270"/>
      <c r="K225" s="270"/>
      <c r="L225" s="270"/>
      <c r="M225" s="270"/>
      <c r="N225" s="270"/>
      <c r="O225" s="270"/>
      <c r="P225" s="270"/>
      <c r="Q225" s="270"/>
      <c r="R225" s="1235"/>
      <c r="S225" s="1844">
        <f>'Part III-A-Uses of Funds'!S111</f>
        <v>8000</v>
      </c>
      <c r="T225" s="1844"/>
      <c r="U225" s="1235"/>
      <c r="V225" s="1868"/>
      <c r="W225" s="1869"/>
      <c r="X225" s="1869"/>
      <c r="Y225" s="1235"/>
      <c r="Z225" s="1235"/>
      <c r="AA225" s="1820"/>
      <c r="AB225" s="1880" t="s">
        <v>646</v>
      </c>
      <c r="AC225" s="1820"/>
      <c r="AD225" s="1918">
        <f>SUM(AD222:AD224)</f>
        <v>0</v>
      </c>
      <c r="AE225" s="1235"/>
      <c r="AF225" s="1919">
        <f>SUM(AF222:AF224)</f>
        <v>0</v>
      </c>
      <c r="AG225" s="1235"/>
      <c r="AH225" s="1235"/>
      <c r="AI225" s="1235"/>
    </row>
    <row r="226" spans="1:35" ht="15.75" customHeight="1">
      <c r="A226" s="1870" t="str">
        <f>IF(AND(G226&gt;0,OR(C226="",C226="&lt;Enter detailed description here; use Comments section if needed&gt;")),"X","")</f>
        <v/>
      </c>
      <c r="B226" s="1820" t="s">
        <v>647</v>
      </c>
      <c r="C226" s="1741" t="str">
        <f>'Part III-A-Uses of Funds'!C112</f>
        <v>&lt;&lt; Enter description here; provide detail &amp; justification in tab Part III-b &gt;&gt;</v>
      </c>
      <c r="D226" s="1741"/>
      <c r="E226" s="1741"/>
      <c r="F226" s="1741"/>
      <c r="G226" s="1844">
        <f>'Part III-A-Uses of Funds'!G112</f>
        <v>0</v>
      </c>
      <c r="H226" s="1844"/>
      <c r="I226" s="1235"/>
      <c r="J226" s="270"/>
      <c r="K226" s="270"/>
      <c r="L226" s="270"/>
      <c r="M226" s="270"/>
      <c r="N226" s="270"/>
      <c r="O226" s="270"/>
      <c r="P226" s="270"/>
      <c r="Q226" s="270"/>
      <c r="R226" s="1235"/>
      <c r="S226" s="1844">
        <f>'Part III-A-Uses of Funds'!S112</f>
        <v>0</v>
      </c>
      <c r="T226" s="1844"/>
      <c r="U226" s="1824" t="str">
        <f>IF(AND(G226&gt;0,OR(C226="",C226="&lt;Enter detailed description here; use Comments section if needed&gt;")),"NO DESCRIPTION PROVIDED - please enter detailed description in Other box at left; use Comments section below if needed.","")</f>
        <v/>
      </c>
      <c r="V226" s="1868"/>
      <c r="W226" s="1869"/>
      <c r="X226" s="1869"/>
      <c r="Y226" s="1235"/>
      <c r="Z226" s="1235"/>
      <c r="AA226" s="1910" t="s">
        <v>648</v>
      </c>
      <c r="AB226" s="1820"/>
      <c r="AC226" s="899"/>
      <c r="AD226" s="1820"/>
      <c r="AE226" s="1235"/>
      <c r="AF226" s="1915"/>
      <c r="AG226" s="1235"/>
      <c r="AH226" s="1235"/>
      <c r="AI226" s="1235"/>
    </row>
    <row r="227" spans="1:35" ht="16.5" customHeight="1">
      <c r="A227" s="1870" t="str">
        <f>IF(AND(G227&gt;0,OR(C227="",C227="&lt;Enter detailed description here; use Comments section if needed&gt;")),"X","")</f>
        <v/>
      </c>
      <c r="B227" s="1820" t="s">
        <v>647</v>
      </c>
      <c r="C227" s="1741" t="str">
        <f>'Part III-A-Uses of Funds'!C113</f>
        <v>&lt;&lt; Enter description here; provide detail &amp; justification in tab Part III-b &gt;&gt;</v>
      </c>
      <c r="D227" s="1741"/>
      <c r="E227" s="1741"/>
      <c r="F227" s="1741"/>
      <c r="G227" s="1844">
        <f>'Part III-A-Uses of Funds'!G113</f>
        <v>0</v>
      </c>
      <c r="H227" s="1844"/>
      <c r="I227" s="1235"/>
      <c r="J227" s="270"/>
      <c r="K227" s="270"/>
      <c r="L227" s="270"/>
      <c r="M227" s="270"/>
      <c r="N227" s="270"/>
      <c r="O227" s="270"/>
      <c r="P227" s="270"/>
      <c r="Q227" s="270"/>
      <c r="R227" s="1235"/>
      <c r="S227" s="1844">
        <f>'Part III-A-Uses of Funds'!S113</f>
        <v>0</v>
      </c>
      <c r="T227" s="1844"/>
      <c r="U227" s="1824" t="str">
        <f>IF(AND(G227&gt;0,OR(C227="",C227="&lt;Enter detailed description here; use Comments section if needed&gt;")),"NO DESCRIPTION PROVIDED - please enter detailed description in Other box at left; use Comments section below if needed.","")</f>
        <v/>
      </c>
      <c r="V227" s="1868"/>
      <c r="W227" s="1869"/>
      <c r="X227" s="1869"/>
      <c r="Y227" s="1235"/>
      <c r="Z227" s="1235"/>
      <c r="AA227" s="1820" t="s">
        <v>649</v>
      </c>
      <c r="AB227" s="1820"/>
      <c r="AC227" s="899"/>
      <c r="AD227" s="1914">
        <f>'Part V-Revenues &amp; Expenses'!$P$150</f>
        <v>96</v>
      </c>
      <c r="AE227" s="1235"/>
      <c r="AF227" s="1915">
        <f>IF($AD$105="Income Averaging",AD227*'DCA Underwriting Assumptions'!$Q$75,AD227*'DCA Underwriting Assumptions'!$Q$74)</f>
        <v>76800</v>
      </c>
      <c r="AG227" s="1235"/>
      <c r="AH227" s="1235"/>
      <c r="AI227" s="1235"/>
    </row>
    <row r="228" spans="1:35" ht="13.8">
      <c r="A228" s="1235"/>
      <c r="B228" s="1235"/>
      <c r="C228" s="1235"/>
      <c r="D228" s="1235"/>
      <c r="E228" s="1235"/>
      <c r="F228" s="1872" t="s">
        <v>532</v>
      </c>
      <c r="G228" s="1844">
        <f>SUM(G219:G227)</f>
        <v>191400</v>
      </c>
      <c r="H228" s="1844"/>
      <c r="I228" s="1235"/>
      <c r="J228" s="1833"/>
      <c r="K228" s="1833"/>
      <c r="L228" s="1833"/>
      <c r="M228" s="1833"/>
      <c r="N228" s="1833"/>
      <c r="O228" s="1235"/>
      <c r="P228" s="1833"/>
      <c r="Q228" s="1833"/>
      <c r="R228" s="1235"/>
      <c r="S228" s="1844">
        <f>SUM(S219:S227)</f>
        <v>191400</v>
      </c>
      <c r="T228" s="1844"/>
      <c r="U228" s="1235"/>
      <c r="V228" s="1868">
        <f>SUM(V219:V227)</f>
        <v>0</v>
      </c>
      <c r="W228" s="1920"/>
      <c r="X228" s="1920"/>
      <c r="Y228" s="1235"/>
      <c r="Z228" s="1235"/>
      <c r="AA228" s="1820" t="s">
        <v>651</v>
      </c>
      <c r="AB228" s="1820"/>
      <c r="AC228" s="1921"/>
      <c r="AD228" s="1914">
        <f>'Part V-Revenues &amp; Expenses'!$P$161+'Part V-Revenues &amp; Expenses'!$P$162</f>
        <v>0</v>
      </c>
      <c r="AE228" s="1235"/>
      <c r="AF228" s="1915">
        <f>IF($AD$105="Income Averaging",AD228*'DCA Underwriting Assumptions'!$Q$75,AD228*'DCA Underwriting Assumptions'!$Q$74)</f>
        <v>0</v>
      </c>
      <c r="AG228" s="1235"/>
      <c r="AH228" s="1235"/>
      <c r="AI228" s="1235"/>
    </row>
    <row r="229" spans="1:35" ht="13.8">
      <c r="A229" s="1235"/>
      <c r="B229" s="1815" t="s">
        <v>653</v>
      </c>
      <c r="C229" s="1235"/>
      <c r="D229" s="1235"/>
      <c r="E229" s="1235"/>
      <c r="F229" s="1235"/>
      <c r="G229" s="1235"/>
      <c r="H229" s="1235"/>
      <c r="I229" s="1235"/>
      <c r="J229" s="1833"/>
      <c r="K229" s="1833"/>
      <c r="L229" s="1235"/>
      <c r="M229" s="1833"/>
      <c r="N229" s="1833"/>
      <c r="O229" s="1873" t="str">
        <f>B229</f>
        <v>EQUITY COSTS</v>
      </c>
      <c r="P229" s="1833"/>
      <c r="Q229" s="1833"/>
      <c r="R229" s="1235"/>
      <c r="S229" s="1833"/>
      <c r="T229" s="1833"/>
      <c r="U229" s="1235"/>
      <c r="V229" s="1868"/>
      <c r="W229" s="1235" t="str">
        <f>B229</f>
        <v>EQUITY COSTS</v>
      </c>
      <c r="X229" s="1235"/>
      <c r="Y229" s="1235"/>
      <c r="Z229" s="1235"/>
      <c r="AA229" s="1820"/>
      <c r="AB229" s="1880" t="s">
        <v>646</v>
      </c>
      <c r="AC229" s="1820"/>
      <c r="AD229" s="1918">
        <f>SUM(AD227:AD228)</f>
        <v>96</v>
      </c>
      <c r="AE229" s="1235"/>
      <c r="AF229" s="1919">
        <f>SUM(AF227:AF228)</f>
        <v>76800</v>
      </c>
      <c r="AG229" s="1235"/>
      <c r="AH229" s="1235"/>
      <c r="AI229" s="1235"/>
    </row>
    <row r="230" spans="1:35" ht="13.8">
      <c r="A230" s="1235"/>
      <c r="B230" s="1235" t="s">
        <v>654</v>
      </c>
      <c r="C230" s="1235"/>
      <c r="D230" s="1235"/>
      <c r="E230" s="1235"/>
      <c r="F230" s="1235"/>
      <c r="G230" s="1844">
        <f>'Part III-A-Uses of Funds'!G116</f>
        <v>10000</v>
      </c>
      <c r="H230" s="1844"/>
      <c r="I230" s="1235"/>
      <c r="J230" s="1844"/>
      <c r="K230" s="1844"/>
      <c r="L230" s="1833"/>
      <c r="M230" s="1844"/>
      <c r="N230" s="1844"/>
      <c r="O230" s="1235"/>
      <c r="P230" s="1844"/>
      <c r="Q230" s="1844"/>
      <c r="R230" s="1235"/>
      <c r="S230" s="1844">
        <f>'Part III-A-Uses of Funds'!S116</f>
        <v>10000</v>
      </c>
      <c r="T230" s="1844"/>
      <c r="U230" s="1235"/>
      <c r="V230" s="1868"/>
      <c r="W230" s="1869"/>
      <c r="X230" s="1869"/>
      <c r="Y230" s="1235"/>
      <c r="Z230" s="1235"/>
      <c r="AA230" s="1235"/>
      <c r="AB230" s="1235"/>
      <c r="AC230" s="1235"/>
      <c r="AD230" s="1235"/>
      <c r="AE230" s="1235"/>
      <c r="AF230" s="1235"/>
      <c r="AG230" s="1235"/>
      <c r="AH230" s="1235"/>
      <c r="AI230" s="1235"/>
    </row>
    <row r="231" spans="1:35" ht="13.8">
      <c r="A231" s="1235"/>
      <c r="B231" s="1235" t="s">
        <v>655</v>
      </c>
      <c r="C231" s="1235"/>
      <c r="D231" s="1235"/>
      <c r="E231" s="1235"/>
      <c r="F231" s="1235"/>
      <c r="G231" s="1844">
        <f>'Part III-A-Uses of Funds'!G117</f>
        <v>10000</v>
      </c>
      <c r="H231" s="1844"/>
      <c r="I231" s="1235"/>
      <c r="J231" s="1844"/>
      <c r="K231" s="1844"/>
      <c r="L231" s="1833"/>
      <c r="M231" s="1844"/>
      <c r="N231" s="1844"/>
      <c r="O231" s="1235"/>
      <c r="P231" s="1844"/>
      <c r="Q231" s="1844"/>
      <c r="R231" s="1235"/>
      <c r="S231" s="1844">
        <f>'Part III-A-Uses of Funds'!S117</f>
        <v>10000</v>
      </c>
      <c r="T231" s="1844"/>
      <c r="U231" s="1235"/>
      <c r="V231" s="1868"/>
      <c r="W231" s="1869"/>
      <c r="X231" s="1869"/>
      <c r="Y231" s="1235"/>
      <c r="Z231" s="1235"/>
      <c r="AA231" s="1235"/>
      <c r="AB231" s="1235"/>
      <c r="AC231" s="1235"/>
      <c r="AD231" s="1235"/>
      <c r="AE231" s="1235"/>
      <c r="AF231" s="1235"/>
      <c r="AG231" s="1235"/>
      <c r="AH231" s="1235"/>
      <c r="AI231" s="1235"/>
    </row>
    <row r="232" spans="1:35" ht="13.8">
      <c r="A232" s="1235"/>
      <c r="B232" s="1235" t="s">
        <v>656</v>
      </c>
      <c r="C232" s="1235"/>
      <c r="D232" s="1235"/>
      <c r="E232" s="1235"/>
      <c r="F232" s="1235"/>
      <c r="G232" s="1844">
        <f>'Part III-A-Uses of Funds'!G118</f>
        <v>75000</v>
      </c>
      <c r="H232" s="1844"/>
      <c r="I232" s="1235"/>
      <c r="J232" s="1844"/>
      <c r="K232" s="1844"/>
      <c r="L232" s="1833"/>
      <c r="M232" s="1844"/>
      <c r="N232" s="1844"/>
      <c r="O232" s="1235"/>
      <c r="P232" s="1844"/>
      <c r="Q232" s="1844"/>
      <c r="R232" s="1235"/>
      <c r="S232" s="1844">
        <f>'Part III-A-Uses of Funds'!S118</f>
        <v>75000</v>
      </c>
      <c r="T232" s="1844"/>
      <c r="U232" s="1235"/>
      <c r="V232" s="1868"/>
      <c r="W232" s="1869"/>
      <c r="X232" s="1869"/>
      <c r="Y232" s="1235"/>
      <c r="Z232" s="1235"/>
      <c r="AA232" s="1235"/>
      <c r="AB232" s="1235"/>
      <c r="AC232" s="1235"/>
      <c r="AD232" s="1235"/>
      <c r="AE232" s="1235"/>
      <c r="AF232" s="1235"/>
      <c r="AG232" s="1235"/>
      <c r="AH232" s="1235"/>
      <c r="AI232" s="1235"/>
    </row>
    <row r="233" spans="1:35" ht="16.5" customHeight="1">
      <c r="A233" s="1870" t="str">
        <f>IF(AND(G233&gt;0,OR(C233="",C233="&lt;Enter detailed description here; use Comments section if needed&gt;")),"X","")</f>
        <v/>
      </c>
      <c r="B233" s="1820" t="s">
        <v>647</v>
      </c>
      <c r="C233" s="1741" t="str">
        <f>'Part III-A-Uses of Funds'!C119</f>
        <v>&lt;&lt; Enter description here; provide detail &amp; justification in tab Part III-b &gt;&gt;</v>
      </c>
      <c r="D233" s="1741"/>
      <c r="E233" s="1741"/>
      <c r="F233" s="1741"/>
      <c r="G233" s="1844">
        <f>'Part III-A-Uses of Funds'!G119</f>
        <v>0</v>
      </c>
      <c r="H233" s="1844"/>
      <c r="I233" s="1235"/>
      <c r="J233" s="1844"/>
      <c r="K233" s="1844"/>
      <c r="L233" s="1833"/>
      <c r="M233" s="1844"/>
      <c r="N233" s="1844"/>
      <c r="O233" s="1235"/>
      <c r="P233" s="1844"/>
      <c r="Q233" s="1844"/>
      <c r="R233" s="1235"/>
      <c r="S233" s="1844">
        <f>'Part III-A-Uses of Funds'!S119</f>
        <v>0</v>
      </c>
      <c r="T233" s="1844"/>
      <c r="U233" s="1824" t="str">
        <f>IF(AND(G233&gt;0,OR(C233="",C233="&lt;Enter detailed description here; use Comments section if needed&gt;")),"NO DESCRIPTION PROVIDED - please enter detailed description in Other box at left; use Comments section below if needed.","")</f>
        <v/>
      </c>
      <c r="V233" s="1868"/>
      <c r="W233" s="1869"/>
      <c r="X233" s="1869"/>
      <c r="Y233" s="1235"/>
      <c r="Z233" s="1235"/>
      <c r="AA233" s="1235"/>
      <c r="AB233" s="1235"/>
      <c r="AC233" s="1235"/>
      <c r="AD233" s="1235"/>
      <c r="AE233" s="1235"/>
      <c r="AF233" s="1235"/>
      <c r="AG233" s="1235"/>
      <c r="AH233" s="1235"/>
      <c r="AI233" s="1235"/>
    </row>
    <row r="234" spans="1:35" ht="13.5" customHeight="1">
      <c r="A234" s="1235"/>
      <c r="B234" s="1235"/>
      <c r="C234" s="1235"/>
      <c r="D234" s="1235"/>
      <c r="E234" s="1235"/>
      <c r="F234" s="1872" t="s">
        <v>532</v>
      </c>
      <c r="G234" s="1844">
        <f>SUM(G230:G233)</f>
        <v>95000</v>
      </c>
      <c r="H234" s="1844"/>
      <c r="I234" s="1235"/>
      <c r="J234" s="1844"/>
      <c r="K234" s="1844"/>
      <c r="L234" s="1833"/>
      <c r="M234" s="1844"/>
      <c r="N234" s="1844"/>
      <c r="O234" s="1235"/>
      <c r="P234" s="1844"/>
      <c r="Q234" s="1844"/>
      <c r="R234" s="1235"/>
      <c r="S234" s="1844">
        <f>SUM(S230:S233)</f>
        <v>95000</v>
      </c>
      <c r="T234" s="1844"/>
      <c r="U234" s="1235"/>
      <c r="V234" s="1868">
        <f>SUM(V230:V233)</f>
        <v>0</v>
      </c>
      <c r="W234" s="1869"/>
      <c r="X234" s="1869"/>
      <c r="Y234" s="1235"/>
      <c r="Z234" s="1235"/>
      <c r="AA234" s="1235"/>
      <c r="AB234" s="1235"/>
      <c r="AC234" s="290" t="s">
        <v>7520</v>
      </c>
      <c r="AD234" s="290" t="s">
        <v>7521</v>
      </c>
      <c r="AE234" s="290" t="s">
        <v>7522</v>
      </c>
      <c r="AF234" s="1820" t="s">
        <v>7523</v>
      </c>
      <c r="AG234" s="290" t="s">
        <v>661</v>
      </c>
      <c r="AH234" s="291" t="s">
        <v>7524</v>
      </c>
      <c r="AI234" s="291"/>
    </row>
    <row r="235" spans="1:35" ht="13.8">
      <c r="A235" s="1235"/>
      <c r="B235" s="1815" t="s">
        <v>663</v>
      </c>
      <c r="C235" s="1235"/>
      <c r="D235" s="1235"/>
      <c r="E235" s="1857" t="s">
        <v>628</v>
      </c>
      <c r="F235" s="1818" t="str">
        <f>IF(OR('Part I-Project Identification'!F127="9% Credit Competitive Round only",'Part I-Project Identification'!F127="9% Credit &amp; HOME",'Part I-Project Identification'!F127="9% Credit &amp; NHTF",'Part I-Project Identification'!F127="9% Credit &amp; NHTF &amp; HOME"),"9%",IF(OR('Part I-Project Identification'!F127="4% Credit/TE Bond",'Part I-Project Identification'!F127="4% Credit/TE Bond &amp; HOME",'Part I-Project Identification'!F127="4% Credit/TE Bond &amp; HOME NOFA",'Part I-Project Identification'!F127="4% Credit &amp; NHTF &amp; HOME"),"4%",""))</f>
        <v/>
      </c>
      <c r="G235" s="1235"/>
      <c r="H235" s="1235"/>
      <c r="I235" s="1235"/>
      <c r="J235" s="1833"/>
      <c r="K235" s="1844"/>
      <c r="L235" s="1235"/>
      <c r="M235" s="1833"/>
      <c r="N235" s="1844"/>
      <c r="O235" s="1873" t="str">
        <f>B235</f>
        <v>DEVELOPER'S FEE</v>
      </c>
      <c r="P235" s="1833"/>
      <c r="Q235" s="1844"/>
      <c r="R235" s="1235"/>
      <c r="S235" s="1833"/>
      <c r="T235" s="1844"/>
      <c r="U235" s="1235"/>
      <c r="V235" s="1868"/>
      <c r="W235" s="1235" t="str">
        <f>B235</f>
        <v>DEVELOPER'S FEE</v>
      </c>
      <c r="X235" s="1235"/>
      <c r="Y235" s="290" t="s">
        <v>664</v>
      </c>
      <c r="Z235" s="290"/>
      <c r="AA235" s="899" t="s">
        <v>7525</v>
      </c>
      <c r="AB235" s="899" t="s">
        <v>7526</v>
      </c>
      <c r="AC235" s="290"/>
      <c r="AD235" s="290"/>
      <c r="AE235" s="290"/>
      <c r="AF235" s="1820"/>
      <c r="AG235" s="290"/>
      <c r="AH235" s="291"/>
      <c r="AI235" s="291"/>
    </row>
    <row r="236" spans="1:35" ht="13.8">
      <c r="A236" s="1235"/>
      <c r="B236" s="1235" t="s">
        <v>669</v>
      </c>
      <c r="C236" s="1235"/>
      <c r="D236" s="1235"/>
      <c r="E236" s="1235"/>
      <c r="F236" s="1850">
        <f>IF($G$127=0,0,G236/$G$127)</f>
        <v>0</v>
      </c>
      <c r="G236" s="1844">
        <f>'Part III-A-Uses of Funds'!G122</f>
        <v>0</v>
      </c>
      <c r="H236" s="1844"/>
      <c r="I236" s="1235"/>
      <c r="J236" s="1844">
        <f>'Part III-A-Uses of Funds'!J122</f>
        <v>0</v>
      </c>
      <c r="K236" s="1844"/>
      <c r="L236" s="1833"/>
      <c r="M236" s="1844">
        <f>'Part III-A-Uses of Funds'!M122</f>
        <v>0</v>
      </c>
      <c r="N236" s="1844"/>
      <c r="O236" s="1235"/>
      <c r="P236" s="1844">
        <f>'Part III-A-Uses of Funds'!P122</f>
        <v>0</v>
      </c>
      <c r="Q236" s="1844"/>
      <c r="R236" s="1235"/>
      <c r="S236" s="1844">
        <f>'Part III-A-Uses of Funds'!S122</f>
        <v>0</v>
      </c>
      <c r="T236" s="1844"/>
      <c r="U236" s="1235"/>
      <c r="V236" s="1868"/>
      <c r="W236" s="1869"/>
      <c r="X236" s="1869"/>
      <c r="Z236" s="1922">
        <v>0.09</v>
      </c>
      <c r="AA236" s="1923">
        <f>'DCA Underwriting Assumptions'!$J$82</f>
        <v>0</v>
      </c>
      <c r="AB236" s="1923">
        <f>'DCA Underwriting Assumptions'!$K$82</f>
        <v>0</v>
      </c>
      <c r="AC236" s="1914">
        <f>'DCA Underwriting Assumptions'!$Q$82</f>
        <v>38000</v>
      </c>
      <c r="AD236" s="1914">
        <f>AB236*AC236</f>
        <v>0</v>
      </c>
      <c r="AE236" s="1914">
        <f>IF('Part V-Revenues &amp; Expenses'!$P$76&lt;AA237,'Part V-Revenues &amp; Expenses'!$P$76*'Part III-A-Uses of Funds'!AC236,AB236*AC236)</f>
        <v>0</v>
      </c>
      <c r="AF236" s="1924">
        <f>SUM(AE236:AE238)</f>
        <v>28.799999999999997</v>
      </c>
      <c r="AG236" s="1924">
        <f>'DCA Underwriting Assumptions'!$Q$89</f>
        <v>2700000</v>
      </c>
      <c r="AH236" s="1848">
        <f>MIN(AF236,AG236)</f>
        <v>28.799999999999997</v>
      </c>
      <c r="AI236" s="1848"/>
    </row>
    <row r="237" spans="1:35" ht="13.8">
      <c r="A237" s="1235"/>
      <c r="B237" s="1235" t="s">
        <v>672</v>
      </c>
      <c r="C237" s="1235"/>
      <c r="D237" s="1235"/>
      <c r="E237" s="1235"/>
      <c r="F237" s="1925"/>
      <c r="G237" s="1921" t="s">
        <v>673</v>
      </c>
      <c r="H237" s="1235"/>
      <c r="I237" s="1235"/>
      <c r="J237" s="1235"/>
      <c r="K237" s="1235"/>
      <c r="L237" s="1235"/>
      <c r="M237" s="1235"/>
      <c r="N237" s="1235"/>
      <c r="O237" s="1235"/>
      <c r="P237" s="1235"/>
      <c r="Q237" s="1235"/>
      <c r="R237" s="1235"/>
      <c r="S237" s="1235"/>
      <c r="T237" s="1235"/>
      <c r="U237" s="1235"/>
      <c r="V237" s="1868"/>
      <c r="W237" s="1869"/>
      <c r="X237" s="1869"/>
      <c r="Z237" s="1185"/>
      <c r="AA237" s="1923">
        <f>'DCA Underwriting Assumptions'!$J$83</f>
        <v>0</v>
      </c>
      <c r="AB237" s="1923">
        <f>'DCA Underwriting Assumptions'!$K$83</f>
        <v>0</v>
      </c>
      <c r="AC237" s="1914">
        <f>'DCA Underwriting Assumptions'!$Q$83</f>
        <v>0.13</v>
      </c>
      <c r="AD237" s="1914">
        <f>(AB237-AB236)*AC237</f>
        <v>0</v>
      </c>
      <c r="AE237" s="1914">
        <f>IF(AND('Part V-Revenues &amp; Expenses'!$P$76&gt;AB236,'Part V-Revenues &amp; Expenses'!$P$76&lt;AA238),('Part V-Revenues &amp; Expenses'!$P$76-AB236)*'Part III-A-Uses of Funds'!AC237,IF(AND('Part V-Revenues &amp; Expenses'!$P$76&gt;AB236,'Part V-Revenues &amp; Expenses'!$P$76&gt;AB237),(AB237-AB236)*'Part III-A-Uses of Funds'!AC237,0))</f>
        <v>0</v>
      </c>
      <c r="AF237" s="1924"/>
      <c r="AG237" s="1924"/>
      <c r="AH237" s="1848"/>
      <c r="AI237" s="1848"/>
    </row>
    <row r="238" spans="1:35" ht="13.8">
      <c r="A238" s="1235"/>
      <c r="B238" s="1235" t="s">
        <v>675</v>
      </c>
      <c r="C238" s="1235"/>
      <c r="D238" s="1235"/>
      <c r="E238" s="1235"/>
      <c r="F238" s="1850">
        <f>IF($G$127=0,0,G238/$G$127)</f>
        <v>0</v>
      </c>
      <c r="G238" s="1844">
        <f>'Part III-A-Uses of Funds'!G124</f>
        <v>0</v>
      </c>
      <c r="H238" s="1844"/>
      <c r="I238" s="1235"/>
      <c r="J238" s="1844">
        <f>'Part III-A-Uses of Funds'!J124</f>
        <v>0</v>
      </c>
      <c r="K238" s="1844"/>
      <c r="L238" s="1833"/>
      <c r="M238" s="1844">
        <f>'Part III-A-Uses of Funds'!M124</f>
        <v>0</v>
      </c>
      <c r="N238" s="1844"/>
      <c r="O238" s="1235"/>
      <c r="P238" s="1844">
        <f>'Part III-A-Uses of Funds'!P124</f>
        <v>0</v>
      </c>
      <c r="Q238" s="1844"/>
      <c r="R238" s="1235"/>
      <c r="S238" s="1844">
        <f>'Part III-A-Uses of Funds'!S124</f>
        <v>0</v>
      </c>
      <c r="T238" s="1844"/>
      <c r="U238" s="1235"/>
      <c r="V238" s="1868"/>
      <c r="W238" s="1869"/>
      <c r="X238" s="1869"/>
      <c r="Z238" s="1185"/>
      <c r="AA238" s="1923">
        <f>'DCA Underwriting Assumptions'!$J$84</f>
        <v>0</v>
      </c>
      <c r="AB238" s="1185"/>
      <c r="AC238" s="1914">
        <f>'DCA Underwriting Assumptions'!$Q$84</f>
        <v>0.3</v>
      </c>
      <c r="AD238" s="1914">
        <f>AG236-AD237-AD236</f>
        <v>2700000</v>
      </c>
      <c r="AE238" s="1914">
        <f>MIN(AD238,IF('Part V-Revenues &amp; Expenses'!$P$76&gt;AB237,('Part V-Revenues &amp; Expenses'!$P$76-AB237)*AC238,0))</f>
        <v>28.799999999999997</v>
      </c>
      <c r="AF238" s="1924"/>
      <c r="AG238" s="1924"/>
      <c r="AH238" s="1848"/>
      <c r="AI238" s="1848"/>
    </row>
    <row r="239" spans="1:35" ht="13.8">
      <c r="A239" s="1235"/>
      <c r="B239" s="1235" t="s">
        <v>676</v>
      </c>
      <c r="C239" s="1235"/>
      <c r="D239" s="1235"/>
      <c r="E239" s="1235"/>
      <c r="F239" s="1850">
        <f>IF($G$127=0,0,G239/$G$127)</f>
        <v>0</v>
      </c>
      <c r="G239" s="1844">
        <f>'Part III-A-Uses of Funds'!G125</f>
        <v>0</v>
      </c>
      <c r="H239" s="1844"/>
      <c r="I239" s="1235"/>
      <c r="J239" s="1844">
        <f>'Part III-A-Uses of Funds'!J125</f>
        <v>0</v>
      </c>
      <c r="K239" s="1844"/>
      <c r="L239" s="1833"/>
      <c r="M239" s="1844">
        <f>'Part III-A-Uses of Funds'!M125</f>
        <v>0</v>
      </c>
      <c r="N239" s="1844"/>
      <c r="O239" s="1235"/>
      <c r="P239" s="1844">
        <f>'Part III-A-Uses of Funds'!P125</f>
        <v>0</v>
      </c>
      <c r="Q239" s="1844"/>
      <c r="R239" s="1235"/>
      <c r="S239" s="1844">
        <f>'Part III-A-Uses of Funds'!S125</f>
        <v>0</v>
      </c>
      <c r="T239" s="1844"/>
      <c r="U239" s="1235"/>
      <c r="V239" s="1868"/>
      <c r="W239" s="1869"/>
      <c r="X239" s="1869"/>
      <c r="Z239" s="1922">
        <v>0.04</v>
      </c>
      <c r="AA239" s="1923">
        <f>'DCA Underwriting Assumptions'!$J$85</f>
        <v>0</v>
      </c>
      <c r="AB239" s="1923">
        <f>'DCA Underwriting Assumptions'!$K$85</f>
        <v>0</v>
      </c>
      <c r="AC239" s="1914">
        <f>'DCA Underwriting Assumptions'!$Q$85</f>
        <v>38000</v>
      </c>
      <c r="AD239" s="1914">
        <f>AB239*AC239</f>
        <v>0</v>
      </c>
      <c r="AE239" s="1914">
        <f>IF('Part V-Revenues &amp; Expenses'!$P$76&lt;AA240,'Part V-Revenues &amp; Expenses'!$P$76*'Part III-A-Uses of Funds'!AC239,AB239*AC239)</f>
        <v>0</v>
      </c>
      <c r="AF239" s="1924">
        <f>SUM(AE239:AE241)</f>
        <v>28.799999999999997</v>
      </c>
      <c r="AG239" s="1924">
        <f>'DCA Underwriting Assumptions'!$Q$90</f>
        <v>4500000</v>
      </c>
      <c r="AH239" s="1848">
        <f>MIN(AF239,AG239)</f>
        <v>28.799999999999997</v>
      </c>
      <c r="AI239" s="1848"/>
    </row>
    <row r="240" spans="1:35" ht="13.8">
      <c r="A240" s="1235"/>
      <c r="B240" s="1235" t="s">
        <v>677</v>
      </c>
      <c r="C240" s="1235"/>
      <c r="D240" s="1235"/>
      <c r="E240" s="1235"/>
      <c r="F240" s="1850">
        <f>IF($G$127=0,0,G240/$G$127)</f>
        <v>142.10636</v>
      </c>
      <c r="G240" s="1844">
        <f>'Part III-A-Uses of Funds'!G126</f>
        <v>2131595.4</v>
      </c>
      <c r="H240" s="1844"/>
      <c r="I240" s="1235"/>
      <c r="J240" s="1844">
        <f>'Part III-A-Uses of Funds'!J126</f>
        <v>0</v>
      </c>
      <c r="K240" s="1844"/>
      <c r="L240" s="1833"/>
      <c r="M240" s="1844">
        <f>'Part III-A-Uses of Funds'!M126</f>
        <v>0</v>
      </c>
      <c r="N240" s="1844"/>
      <c r="O240" s="1235"/>
      <c r="P240" s="1844">
        <f>'Part III-A-Uses of Funds'!P126</f>
        <v>2131595.4</v>
      </c>
      <c r="Q240" s="1844"/>
      <c r="R240" s="1235"/>
      <c r="S240" s="1844">
        <f>'Part III-A-Uses of Funds'!S126</f>
        <v>0</v>
      </c>
      <c r="T240" s="1844"/>
      <c r="U240" s="1235"/>
      <c r="V240" s="1868"/>
      <c r="W240" s="1869"/>
      <c r="X240" s="1869"/>
      <c r="Z240" s="1185"/>
      <c r="AA240" s="1923">
        <f>'DCA Underwriting Assumptions'!$J$86</f>
        <v>0</v>
      </c>
      <c r="AB240" s="1923">
        <f>'DCA Underwriting Assumptions'!$K$86</f>
        <v>0</v>
      </c>
      <c r="AC240" s="1914">
        <f>'DCA Underwriting Assumptions'!$Q$86</f>
        <v>0.13</v>
      </c>
      <c r="AD240" s="1914">
        <f>(AB240-AB239)*AC240</f>
        <v>0</v>
      </c>
      <c r="AE240" s="1914">
        <f>IF(AND('Part V-Revenues &amp; Expenses'!$P$76&gt;AB239,'Part V-Revenues &amp; Expenses'!$P$76&lt;AA241),('Part V-Revenues &amp; Expenses'!$P$76-AB239)*'Part III-A-Uses of Funds'!AC240,IF(AND('Part V-Revenues &amp; Expenses'!$P$76&gt;AB239,'Part V-Revenues &amp; Expenses'!$P$76&gt;AB240),(AB240-AB239)*'Part III-A-Uses of Funds'!AC240,0))</f>
        <v>0</v>
      </c>
      <c r="AF240" s="1924"/>
      <c r="AG240" s="1924"/>
      <c r="AH240" s="1848"/>
      <c r="AI240" s="1848"/>
    </row>
    <row r="241" spans="1:35" ht="13.8">
      <c r="A241" s="1926" t="str">
        <f>IF(G241&gt;E241,"DF over limit!  Round down/Enter nbr.","")</f>
        <v/>
      </c>
      <c r="B241" s="1927"/>
      <c r="C241" s="1235"/>
      <c r="D241" s="1857" t="s">
        <v>679</v>
      </c>
      <c r="E241" s="1928" t="str">
        <f>IF(AF236+AF239=0,"Fill in Rent Chart!",IF(F235="9%",AH236,IF(F235="4%",AH239,"Select App Type!")))</f>
        <v>Select App Type!</v>
      </c>
      <c r="F241" s="1872" t="s">
        <v>532</v>
      </c>
      <c r="G241" s="1844">
        <f>SUM(G236:G240)</f>
        <v>2131595.4</v>
      </c>
      <c r="H241" s="1844"/>
      <c r="I241" s="1235"/>
      <c r="J241" s="1844">
        <f>SUM(J236:J240)</f>
        <v>0</v>
      </c>
      <c r="K241" s="1844"/>
      <c r="L241" s="1833"/>
      <c r="M241" s="1844">
        <f>SUM(M236:M240)</f>
        <v>0</v>
      </c>
      <c r="N241" s="1844"/>
      <c r="O241" s="1235"/>
      <c r="P241" s="1844">
        <f>SUM(P236:P240)</f>
        <v>2131595.4</v>
      </c>
      <c r="Q241" s="1844"/>
      <c r="R241" s="1235"/>
      <c r="S241" s="1844">
        <f>SUM(S236:S240)</f>
        <v>0</v>
      </c>
      <c r="T241" s="1844"/>
      <c r="U241" s="1235"/>
      <c r="V241" s="1868">
        <f>SUM(V236:V240)</f>
        <v>0</v>
      </c>
      <c r="W241" s="1869"/>
      <c r="X241" s="1869"/>
      <c r="Z241" s="1185"/>
      <c r="AA241" s="1923">
        <f>'DCA Underwriting Assumptions'!$J$87</f>
        <v>0</v>
      </c>
      <c r="AB241" s="1185"/>
      <c r="AC241" s="1914">
        <f>'DCA Underwriting Assumptions'!$Q$87</f>
        <v>0.3</v>
      </c>
      <c r="AD241" s="1914">
        <f>AG239-AD240-AD239</f>
        <v>4500000</v>
      </c>
      <c r="AE241" s="1914">
        <f>MIN(AD241,IF('Part V-Revenues &amp; Expenses'!$P$76&gt;AB240,('Part V-Revenues &amp; Expenses'!$P$76-AB240)*AC241,0))</f>
        <v>28.799999999999997</v>
      </c>
      <c r="AF241" s="1924"/>
      <c r="AG241" s="1924"/>
      <c r="AH241" s="1848"/>
      <c r="AI241" s="1848"/>
    </row>
    <row r="242" spans="1:35" ht="13.8">
      <c r="A242" s="1235"/>
      <c r="B242" s="1815" t="s">
        <v>681</v>
      </c>
      <c r="C242" s="1235"/>
      <c r="D242" s="1235"/>
      <c r="E242" s="1235"/>
      <c r="F242" s="1235"/>
      <c r="G242" s="1235"/>
      <c r="H242" s="1235"/>
      <c r="I242" s="1235"/>
      <c r="J242" s="1844"/>
      <c r="K242" s="1844"/>
      <c r="L242" s="1235"/>
      <c r="M242" s="1844"/>
      <c r="N242" s="1844"/>
      <c r="O242" s="1873" t="str">
        <f>B242</f>
        <v>START-UP AND RESERVES</v>
      </c>
      <c r="P242" s="1844"/>
      <c r="Q242" s="1844"/>
      <c r="R242" s="1235"/>
      <c r="S242" s="1844"/>
      <c r="T242" s="1844"/>
      <c r="U242" s="1235"/>
      <c r="V242" s="1868"/>
      <c r="W242" s="1235" t="str">
        <f>B242</f>
        <v>START-UP AND RESERVES</v>
      </c>
      <c r="X242" s="1235"/>
      <c r="Y242" s="590"/>
      <c r="Z242" s="591"/>
      <c r="AA242" s="1235"/>
      <c r="AB242" s="590"/>
      <c r="AE242" s="1235"/>
    </row>
    <row r="243" spans="1:35" ht="13.8">
      <c r="A243" s="1235"/>
      <c r="B243" s="1235" t="s">
        <v>685</v>
      </c>
      <c r="C243" s="1235"/>
      <c r="D243" s="1235"/>
      <c r="E243" s="1235"/>
      <c r="F243" s="1235"/>
      <c r="G243" s="1844">
        <f>'Part III-A-Uses of Funds'!G129</f>
        <v>20000</v>
      </c>
      <c r="H243" s="1844"/>
      <c r="I243" s="1235"/>
      <c r="J243" s="1908"/>
      <c r="K243" s="1908"/>
      <c r="L243" s="1908"/>
      <c r="M243" s="1908"/>
      <c r="N243" s="1908"/>
      <c r="O243" s="1235"/>
      <c r="P243" s="1908"/>
      <c r="Q243" s="1908"/>
      <c r="R243" s="1235"/>
      <c r="S243" s="1844">
        <f>'Part III-A-Uses of Funds'!S129</f>
        <v>20000</v>
      </c>
      <c r="T243" s="1844"/>
      <c r="U243" s="1235"/>
      <c r="V243" s="1868"/>
      <c r="W243" s="1869"/>
      <c r="X243" s="1869"/>
      <c r="Y243" s="1235"/>
      <c r="Z243" s="591"/>
      <c r="AA243" s="1235"/>
      <c r="AB243" s="590"/>
      <c r="AE243" s="1235"/>
    </row>
    <row r="244" spans="1:35" ht="13.8">
      <c r="A244" s="1235"/>
      <c r="B244" s="1235" t="s">
        <v>688</v>
      </c>
      <c r="C244" s="1235"/>
      <c r="D244" s="1235"/>
      <c r="E244" s="1235"/>
      <c r="F244" s="1929">
        <f>+'Part V-Revenues &amp; Expenses'!$Q$250*('DCA Underwriting Assumptions'!$Q$105/12)</f>
        <v>118321</v>
      </c>
      <c r="G244" s="1844">
        <f>'Part III-A-Uses of Funds'!G130</f>
        <v>118321</v>
      </c>
      <c r="H244" s="1844"/>
      <c r="I244" s="1235"/>
      <c r="J244" s="1930" t="str">
        <f>IF(E244&gt;G244,"WARNING! Rent-Up Reserves proposed is below minimum - add comment.","")</f>
        <v/>
      </c>
      <c r="K244" s="1930"/>
      <c r="L244" s="1833"/>
      <c r="M244" s="1844"/>
      <c r="N244" s="1844"/>
      <c r="O244" s="1235"/>
      <c r="P244" s="1844"/>
      <c r="Q244" s="1844"/>
      <c r="R244" s="1235"/>
      <c r="S244" s="1844">
        <f>'Part III-A-Uses of Funds'!S130</f>
        <v>118321</v>
      </c>
      <c r="T244" s="1844"/>
      <c r="U244" s="1235"/>
      <c r="V244" s="1868"/>
      <c r="W244" s="1869"/>
      <c r="X244" s="1869"/>
      <c r="Z244" s="1922"/>
      <c r="AA244" s="1235"/>
      <c r="AB244" s="290"/>
      <c r="AC244" s="1235"/>
      <c r="AE244" s="1235"/>
      <c r="AF244" s="1235"/>
    </row>
    <row r="245" spans="1:35" ht="13.8">
      <c r="A245" s="1235"/>
      <c r="B245" s="1235" t="s">
        <v>689</v>
      </c>
      <c r="C245" s="1235"/>
      <c r="D245" s="1235"/>
      <c r="E245" s="1235"/>
      <c r="F245" s="1929">
        <f>'Part V-Revenues &amp; Expenses'!$Q$250*('DCA Underwriting Assumptions'!$Q$103/12)+('Part VI-Pro Forma'!$B$26+'Part VI-Pro Forma'!$B$27+'Part VI-Pro Forma'!$B$28+'Part VI-Pro Forma'!$B$29)*'DCA Underwriting Assumptions'!$Q$102/(-12)</f>
        <v>347568.17929746775</v>
      </c>
      <c r="G245" s="1844">
        <f>'Part III-A-Uses of Funds'!G131</f>
        <v>347568.17929746775</v>
      </c>
      <c r="H245" s="1844"/>
      <c r="I245" s="1235"/>
      <c r="J245" s="1930" t="str">
        <f>IF(E245&gt;G245,"WARNING! ODR proposed is below minimum - add comment.","")</f>
        <v/>
      </c>
      <c r="K245" s="1908"/>
      <c r="L245" s="1908"/>
      <c r="M245" s="1908"/>
      <c r="N245" s="1908"/>
      <c r="O245" s="1235"/>
      <c r="P245" s="1908"/>
      <c r="Q245" s="1908"/>
      <c r="R245" s="1235"/>
      <c r="S245" s="1844">
        <f>'Part III-A-Uses of Funds'!S131</f>
        <v>347568.17929746775</v>
      </c>
      <c r="T245" s="1844"/>
      <c r="U245" s="1235"/>
      <c r="V245" s="1868"/>
      <c r="W245" s="1869"/>
      <c r="X245" s="1869"/>
      <c r="Z245" s="1922"/>
      <c r="AA245" s="1235"/>
      <c r="AB245" s="290"/>
      <c r="AC245" s="1235"/>
      <c r="AE245" s="1235"/>
      <c r="AF245" s="1235"/>
    </row>
    <row r="246" spans="1:35" ht="13.8">
      <c r="A246" s="1235"/>
      <c r="B246" s="1235" t="s">
        <v>690</v>
      </c>
      <c r="C246" s="1235"/>
      <c r="D246" s="1235"/>
      <c r="E246" s="1874" t="s">
        <v>691</v>
      </c>
      <c r="F246" s="1929">
        <f>'Part V-Revenues &amp; Expenses'!$L$266+'Part V-Revenues &amp; Expenses'!$L$267</f>
        <v>128820</v>
      </c>
      <c r="G246" s="1844">
        <f>'Part III-A-Uses of Funds'!G132</f>
        <v>128820</v>
      </c>
      <c r="H246" s="1844"/>
      <c r="I246" s="1235"/>
      <c r="J246" s="1930"/>
      <c r="K246" s="1908"/>
      <c r="L246" s="1908"/>
      <c r="M246" s="1908"/>
      <c r="N246" s="1908"/>
      <c r="O246" s="1235"/>
      <c r="P246" s="1908"/>
      <c r="Q246" s="1908"/>
      <c r="R246" s="1235"/>
      <c r="S246" s="1844">
        <f>'Part III-A-Uses of Funds'!S132</f>
        <v>128820</v>
      </c>
      <c r="T246" s="1844"/>
      <c r="U246" s="1235"/>
      <c r="V246" s="1868"/>
      <c r="W246" s="1869"/>
      <c r="X246" s="1869"/>
      <c r="Z246" s="1922"/>
      <c r="AA246" s="1235"/>
      <c r="AB246" s="290"/>
      <c r="AC246" s="1235"/>
      <c r="AE246" s="1235"/>
      <c r="AF246" s="1235"/>
    </row>
    <row r="247" spans="1:35" ht="13.8">
      <c r="A247" s="1235"/>
      <c r="B247" s="1235" t="s">
        <v>692</v>
      </c>
      <c r="C247" s="1235"/>
      <c r="D247" s="1235"/>
      <c r="E247" s="1235" t="s">
        <v>7527</v>
      </c>
      <c r="F247" s="1235"/>
      <c r="G247" s="1844">
        <f>'Part III-A-Uses of Funds'!G133</f>
        <v>0</v>
      </c>
      <c r="H247" s="1844"/>
      <c r="I247" s="1235"/>
      <c r="J247" s="1908"/>
      <c r="K247" s="1908"/>
      <c r="L247" s="1908"/>
      <c r="M247" s="1908"/>
      <c r="N247" s="1908"/>
      <c r="O247" s="1235"/>
      <c r="P247" s="1908"/>
      <c r="Q247" s="1908"/>
      <c r="R247" s="1235"/>
      <c r="S247" s="1844">
        <f>'Part III-A-Uses of Funds'!S133</f>
        <v>0</v>
      </c>
      <c r="T247" s="1844"/>
      <c r="U247" s="1235"/>
      <c r="V247" s="1868"/>
      <c r="W247" s="1869"/>
      <c r="X247" s="1869"/>
      <c r="Y247" s="1235"/>
      <c r="Z247" s="1235"/>
      <c r="AA247" s="1235"/>
      <c r="AB247" s="1235"/>
      <c r="AC247" s="1235"/>
      <c r="AD247" s="1235"/>
      <c r="AE247" s="1235"/>
      <c r="AF247" s="1235"/>
      <c r="AG247" s="1235"/>
      <c r="AH247" s="1235"/>
      <c r="AI247" s="1235"/>
    </row>
    <row r="248" spans="1:35" ht="13.8">
      <c r="A248" s="1235"/>
      <c r="B248" s="1235" t="s">
        <v>694</v>
      </c>
      <c r="C248" s="1235"/>
      <c r="D248" s="1235"/>
      <c r="E248" s="1874" t="s">
        <v>695</v>
      </c>
      <c r="F248" s="1929">
        <f>IF('Part V-Revenues &amp; Expenses'!$P$76=0,0,G248/'Part V-Revenues &amp; Expenses'!$P$76)</f>
        <v>833.33333333333337</v>
      </c>
      <c r="G248" s="1844">
        <f>'Part III-A-Uses of Funds'!G134</f>
        <v>80000</v>
      </c>
      <c r="H248" s="1844"/>
      <c r="I248" s="1235"/>
      <c r="J248" s="1844">
        <f>'Part III-A-Uses of Funds'!J134</f>
        <v>0</v>
      </c>
      <c r="K248" s="1844"/>
      <c r="L248" s="1833"/>
      <c r="M248" s="1844">
        <f>'Part III-A-Uses of Funds'!M134</f>
        <v>0</v>
      </c>
      <c r="N248" s="1844"/>
      <c r="O248" s="1235"/>
      <c r="P248" s="1844">
        <f>'Part III-A-Uses of Funds'!P134</f>
        <v>80000</v>
      </c>
      <c r="Q248" s="1844"/>
      <c r="R248" s="1235"/>
      <c r="S248" s="1844">
        <f>'Part III-A-Uses of Funds'!S134</f>
        <v>0</v>
      </c>
      <c r="T248" s="1844"/>
      <c r="U248" s="1235"/>
      <c r="V248" s="1868"/>
      <c r="W248" s="1869"/>
      <c r="X248" s="1869"/>
      <c r="Y248" s="1235"/>
      <c r="Z248" s="1235"/>
      <c r="AA248" s="1235"/>
      <c r="AB248" s="1235"/>
      <c r="AC248" s="1235"/>
      <c r="AD248" s="1235"/>
      <c r="AE248" s="1235"/>
      <c r="AF248" s="1235"/>
      <c r="AG248" s="1235"/>
      <c r="AH248" s="1235"/>
      <c r="AI248" s="1235"/>
    </row>
    <row r="249" spans="1:35" ht="16.5" customHeight="1">
      <c r="A249" s="1870" t="str">
        <f>IF(AND(G249&gt;0,OR(C249="",C249="&lt;Enter detailed description here; use Comments section if needed&gt;")),"X","")</f>
        <v/>
      </c>
      <c r="B249" s="1820" t="s">
        <v>647</v>
      </c>
      <c r="C249" s="1741" t="str">
        <f>'Part III-A-Uses of Funds'!C135</f>
        <v>&lt;&lt; Enter description here; provide detail &amp; justification in tab Part III-b &gt;&gt;</v>
      </c>
      <c r="D249" s="1741"/>
      <c r="E249" s="1741"/>
      <c r="F249" s="1741"/>
      <c r="G249" s="1844">
        <f>'Part III-A-Uses of Funds'!G135</f>
        <v>0</v>
      </c>
      <c r="H249" s="1844"/>
      <c r="I249" s="1235"/>
      <c r="J249" s="1844">
        <f>'Part III-A-Uses of Funds'!J135</f>
        <v>0</v>
      </c>
      <c r="K249" s="1844"/>
      <c r="L249" s="1833"/>
      <c r="M249" s="1844">
        <f>'Part III-A-Uses of Funds'!M135</f>
        <v>0</v>
      </c>
      <c r="N249" s="1844"/>
      <c r="O249" s="1235"/>
      <c r="P249" s="1844">
        <f>'Part III-A-Uses of Funds'!P135</f>
        <v>0</v>
      </c>
      <c r="Q249" s="1844"/>
      <c r="R249" s="1235"/>
      <c r="S249" s="1844">
        <f>'Part III-A-Uses of Funds'!S135</f>
        <v>0</v>
      </c>
      <c r="T249" s="1844"/>
      <c r="U249" s="1824" t="str">
        <f>IF(AND(G249&gt;0,OR(C249="",C249="&lt;Enter detailed description here; use Comments section if needed&gt;")),"NO DESCRIPTION PROVIDED - please enter detailed description in Other box at left; use Comments section below if needed.","")</f>
        <v/>
      </c>
      <c r="V249" s="1868"/>
      <c r="W249" s="1869"/>
      <c r="X249" s="1869"/>
      <c r="Y249" s="1235"/>
      <c r="Z249" s="1235"/>
      <c r="AA249" s="1235"/>
      <c r="AB249" s="1235"/>
      <c r="AC249" s="1235"/>
      <c r="AD249" s="1235"/>
      <c r="AE249" s="1235"/>
      <c r="AF249" s="1235"/>
      <c r="AG249" s="1235"/>
      <c r="AH249" s="1235"/>
      <c r="AI249" s="1235"/>
    </row>
    <row r="250" spans="1:35" ht="13.8">
      <c r="A250" s="1235"/>
      <c r="B250" s="1931"/>
      <c r="C250" s="1235"/>
      <c r="D250" s="1235"/>
      <c r="E250" s="1235"/>
      <c r="F250" s="1872" t="s">
        <v>532</v>
      </c>
      <c r="G250" s="1844">
        <f>SUM(G243:G249)</f>
        <v>694709.17929746769</v>
      </c>
      <c r="H250" s="1844"/>
      <c r="I250" s="1235"/>
      <c r="J250" s="1844">
        <f>SUM(J248:J249)</f>
        <v>0</v>
      </c>
      <c r="K250" s="1844"/>
      <c r="L250" s="1833"/>
      <c r="M250" s="1844">
        <f>SUM(M248:M249)</f>
        <v>0</v>
      </c>
      <c r="N250" s="1844"/>
      <c r="O250" s="1235"/>
      <c r="P250" s="1844">
        <f>SUM(P248:P249)</f>
        <v>80000</v>
      </c>
      <c r="Q250" s="1844"/>
      <c r="R250" s="1235"/>
      <c r="S250" s="1844">
        <f>SUM(S243:S249)</f>
        <v>614709.17929746769</v>
      </c>
      <c r="T250" s="1844"/>
      <c r="U250" s="1235"/>
      <c r="V250" s="1868">
        <f>SUM(V243:V249)</f>
        <v>0</v>
      </c>
      <c r="W250" s="1869"/>
      <c r="X250" s="1869"/>
      <c r="Y250" s="1235"/>
      <c r="Z250" s="1235"/>
      <c r="AA250" s="1235"/>
      <c r="AB250" s="1235"/>
      <c r="AC250" s="1235"/>
      <c r="AD250" s="1235"/>
      <c r="AE250" s="1235"/>
      <c r="AF250" s="1235"/>
      <c r="AG250" s="1235"/>
      <c r="AH250" s="1235"/>
      <c r="AI250" s="1235"/>
    </row>
    <row r="251" spans="1:35" ht="13.8">
      <c r="A251" s="1235"/>
      <c r="B251" s="1235"/>
      <c r="C251" s="1235"/>
      <c r="D251" s="1235"/>
      <c r="E251" s="1235"/>
      <c r="F251" s="1235"/>
      <c r="G251" s="1235"/>
      <c r="H251" s="1235"/>
      <c r="I251" s="1932"/>
      <c r="J251" s="1235"/>
      <c r="K251" s="1235"/>
      <c r="L251" s="1932"/>
      <c r="M251" s="1235"/>
      <c r="N251" s="1235"/>
      <c r="O251" s="1235"/>
      <c r="P251" s="1235"/>
      <c r="Q251" s="1235"/>
      <c r="R251" s="1235"/>
      <c r="S251" s="1235"/>
      <c r="T251" s="1235"/>
      <c r="U251" s="1235"/>
      <c r="V251" s="1868"/>
      <c r="W251" s="1235"/>
      <c r="X251" s="1235"/>
      <c r="Y251" s="1235"/>
      <c r="Z251" s="1235"/>
      <c r="AA251" s="1235"/>
      <c r="AB251" s="1235"/>
      <c r="AC251" s="1235"/>
      <c r="AD251" s="1235"/>
      <c r="AE251" s="1235"/>
      <c r="AF251" s="1235"/>
      <c r="AG251" s="1235"/>
      <c r="AH251" s="1235"/>
      <c r="AI251" s="1235"/>
    </row>
    <row r="252" spans="1:35" ht="13.8">
      <c r="A252" s="1235"/>
      <c r="B252" s="1235"/>
      <c r="C252" s="1235"/>
      <c r="D252" s="1821"/>
      <c r="E252" s="1821"/>
      <c r="F252" s="1235"/>
      <c r="G252" s="1235"/>
      <c r="H252" s="1235"/>
      <c r="I252" s="1933"/>
      <c r="J252" s="1933"/>
      <c r="K252" s="1934"/>
      <c r="L252" s="1821"/>
      <c r="M252" s="1235"/>
      <c r="N252" s="1235"/>
      <c r="O252" s="1235"/>
      <c r="P252" s="1235"/>
      <c r="Q252" s="1235"/>
      <c r="R252" s="1235"/>
      <c r="S252" s="1235"/>
      <c r="T252" s="1235"/>
      <c r="U252" s="1235"/>
      <c r="V252" s="1868"/>
      <c r="W252" s="1235"/>
      <c r="X252" s="1235"/>
      <c r="Y252" s="1235"/>
      <c r="Z252" s="1235"/>
      <c r="AA252" s="1235"/>
      <c r="AB252" s="1235"/>
      <c r="AC252" s="1235"/>
      <c r="AD252" s="1235"/>
      <c r="AE252" s="1235"/>
      <c r="AF252" s="1235"/>
      <c r="AG252" s="1235"/>
      <c r="AH252" s="1235"/>
      <c r="AI252" s="1235"/>
    </row>
    <row r="253" spans="1:35" ht="13.8">
      <c r="A253" s="1816"/>
      <c r="B253" s="1816"/>
      <c r="C253" s="1816"/>
      <c r="D253" s="1816"/>
      <c r="E253" s="1816"/>
      <c r="F253" s="1816"/>
      <c r="G253" s="1816"/>
      <c r="H253" s="1816"/>
      <c r="I253" s="1816"/>
      <c r="J253" s="1816"/>
      <c r="K253" s="1816"/>
      <c r="L253" s="1816"/>
      <c r="M253" s="1816"/>
      <c r="N253" s="1816"/>
      <c r="O253" s="1816"/>
      <c r="P253" s="1816"/>
      <c r="Q253" s="1816"/>
      <c r="R253" s="1816"/>
      <c r="S253" s="1816"/>
      <c r="T253" s="1816"/>
      <c r="U253" s="1235"/>
      <c r="V253" s="1868"/>
      <c r="W253" s="1235"/>
      <c r="X253" s="1235"/>
      <c r="Y253" s="1235"/>
      <c r="Z253" s="1235"/>
      <c r="AA253" s="1235"/>
      <c r="AB253" s="1235"/>
      <c r="AC253" s="1235"/>
      <c r="AD253" s="1235"/>
      <c r="AE253" s="1235"/>
      <c r="AF253" s="1235"/>
      <c r="AG253" s="1235"/>
      <c r="AH253" s="1235"/>
      <c r="AI253" s="1235"/>
    </row>
    <row r="254" spans="1:35" ht="17.25" customHeight="1">
      <c r="A254" s="1865" t="s">
        <v>21</v>
      </c>
      <c r="B254" s="1865" t="s">
        <v>7519</v>
      </c>
      <c r="C254" s="1235"/>
      <c r="D254" s="1235"/>
      <c r="E254" s="1235"/>
      <c r="F254" s="1235"/>
      <c r="G254" s="1235"/>
      <c r="H254" s="1235"/>
      <c r="I254" s="1235"/>
      <c r="J254" s="1815" t="s">
        <v>513</v>
      </c>
      <c r="K254" s="1815"/>
      <c r="L254" s="1844"/>
      <c r="M254" s="1866" t="s">
        <v>514</v>
      </c>
      <c r="N254" s="1866"/>
      <c r="O254" s="1235"/>
      <c r="P254" s="1815" t="s">
        <v>515</v>
      </c>
      <c r="Q254" s="1815"/>
      <c r="R254" s="1235"/>
      <c r="S254" s="1815" t="s">
        <v>516</v>
      </c>
      <c r="T254" s="1815"/>
      <c r="U254" s="1235"/>
      <c r="V254" s="1867" t="str">
        <f>B254</f>
        <v>DEVELOPMENT BUDGET  (cont'd)</v>
      </c>
      <c r="W254" s="1235"/>
      <c r="X254" s="1235"/>
      <c r="Y254" s="1235"/>
      <c r="Z254" s="1235"/>
      <c r="AA254" s="1235"/>
      <c r="AB254" s="1235"/>
      <c r="AC254" s="1235"/>
      <c r="AD254" s="1235"/>
      <c r="AE254" s="1235"/>
      <c r="AF254" s="1235"/>
      <c r="AG254" s="1235"/>
      <c r="AH254" s="1235"/>
      <c r="AI254" s="1235"/>
    </row>
    <row r="255" spans="1:35" ht="13.8">
      <c r="A255" s="1235"/>
      <c r="B255" s="1235"/>
      <c r="C255" s="1235"/>
      <c r="D255" s="1235"/>
      <c r="E255" s="1235"/>
      <c r="F255" s="1235"/>
      <c r="G255" s="1815" t="s">
        <v>517</v>
      </c>
      <c r="H255" s="1815"/>
      <c r="I255" s="1235"/>
      <c r="J255" s="1815"/>
      <c r="K255" s="1815"/>
      <c r="L255" s="1844"/>
      <c r="M255" s="1866"/>
      <c r="N255" s="1866"/>
      <c r="O255" s="1235"/>
      <c r="P255" s="1815"/>
      <c r="Q255" s="1815"/>
      <c r="R255" s="1235"/>
      <c r="S255" s="1815"/>
      <c r="T255" s="1815"/>
      <c r="U255" s="1235"/>
      <c r="V255" s="269" t="s">
        <v>350</v>
      </c>
      <c r="W255" s="1235"/>
      <c r="X255" s="269"/>
      <c r="Y255" s="1235"/>
      <c r="Z255" s="1235"/>
      <c r="AA255" s="1235"/>
      <c r="AB255" s="1235"/>
      <c r="AC255" s="1235"/>
      <c r="AD255" s="1235"/>
      <c r="AE255" s="1235"/>
      <c r="AF255" s="1235"/>
      <c r="AG255" s="1235"/>
      <c r="AH255" s="1235"/>
      <c r="AI255" s="1235"/>
    </row>
    <row r="256" spans="1:35" ht="13.8">
      <c r="A256" s="1235"/>
      <c r="B256" s="1815" t="s">
        <v>697</v>
      </c>
      <c r="C256" s="1821"/>
      <c r="D256" s="1235"/>
      <c r="E256" s="1235"/>
      <c r="F256" s="1235"/>
      <c r="G256" s="1235"/>
      <c r="H256" s="1933"/>
      <c r="I256" s="1933"/>
      <c r="J256" s="1844"/>
      <c r="K256" s="1844"/>
      <c r="L256" s="1235"/>
      <c r="M256" s="1844"/>
      <c r="N256" s="1844"/>
      <c r="O256" s="1873" t="str">
        <f>B256</f>
        <v>OTHER COSTS</v>
      </c>
      <c r="P256" s="1844"/>
      <c r="Q256" s="1844"/>
      <c r="R256" s="1235"/>
      <c r="S256" s="1844"/>
      <c r="T256" s="1844"/>
      <c r="U256" s="1235"/>
      <c r="V256" s="1868"/>
      <c r="W256" s="1235" t="str">
        <f>B256</f>
        <v>OTHER COSTS</v>
      </c>
      <c r="X256" s="1235"/>
      <c r="Y256" s="1235"/>
      <c r="Z256" s="1235"/>
      <c r="AA256" s="1235"/>
      <c r="AB256" s="1235"/>
      <c r="AC256" s="1235"/>
      <c r="AD256" s="1235"/>
      <c r="AE256" s="1235"/>
      <c r="AF256" s="1235"/>
      <c r="AG256" s="1235"/>
      <c r="AH256" s="1235"/>
      <c r="AI256" s="1235"/>
    </row>
    <row r="257" spans="1:35" ht="13.8">
      <c r="A257" s="1235"/>
      <c r="B257" s="1235" t="s">
        <v>698</v>
      </c>
      <c r="C257" s="1821"/>
      <c r="D257" s="1235"/>
      <c r="E257" s="1235"/>
      <c r="F257" s="1235"/>
      <c r="G257" s="1844">
        <f>'Part III-A-Uses of Funds'!G143</f>
        <v>415000</v>
      </c>
      <c r="H257" s="1844"/>
      <c r="I257" s="1235"/>
      <c r="J257" s="1844">
        <f>'Part III-A-Uses of Funds'!J143</f>
        <v>0</v>
      </c>
      <c r="K257" s="1844"/>
      <c r="L257" s="1833"/>
      <c r="M257" s="1844">
        <f>'Part III-A-Uses of Funds'!M143</f>
        <v>0</v>
      </c>
      <c r="N257" s="1844"/>
      <c r="O257" s="1235"/>
      <c r="P257" s="1844">
        <f>'Part III-A-Uses of Funds'!P143</f>
        <v>373500</v>
      </c>
      <c r="Q257" s="1844"/>
      <c r="R257" s="1235"/>
      <c r="S257" s="1844">
        <f>'Part III-A-Uses of Funds'!S143</f>
        <v>41500</v>
      </c>
      <c r="T257" s="1844"/>
      <c r="U257" s="1235"/>
      <c r="V257" s="1868"/>
      <c r="W257" s="1869"/>
      <c r="X257" s="1869"/>
      <c r="Y257" s="1235"/>
      <c r="Z257" s="1235"/>
      <c r="AA257" s="1235"/>
      <c r="AB257" s="1235"/>
      <c r="AC257" s="1235"/>
      <c r="AD257" s="1235"/>
      <c r="AE257" s="1235"/>
      <c r="AF257" s="1235"/>
      <c r="AG257" s="1235"/>
      <c r="AH257" s="1235"/>
      <c r="AI257" s="1235"/>
    </row>
    <row r="258" spans="1:35" ht="16.5" customHeight="1">
      <c r="A258" s="1870" t="str">
        <f>IF(AND(G258&gt;0,OR(C258="",C258="&lt;Enter detailed description here; use Comments section if needed&gt;")),"X","")</f>
        <v/>
      </c>
      <c r="B258" s="1820" t="s">
        <v>647</v>
      </c>
      <c r="C258" s="1741" t="str">
        <f>'Part III-A-Uses of Funds'!C144</f>
        <v>&lt;&lt; Enter description here; provide detail &amp; justification in tab Part III-b &gt;&gt;</v>
      </c>
      <c r="D258" s="1741"/>
      <c r="E258" s="1741"/>
      <c r="F258" s="1741"/>
      <c r="G258" s="1844">
        <f>'Part III-A-Uses of Funds'!G144</f>
        <v>0</v>
      </c>
      <c r="H258" s="1844"/>
      <c r="I258" s="1235"/>
      <c r="J258" s="1844">
        <f>'Part III-A-Uses of Funds'!J144</f>
        <v>0</v>
      </c>
      <c r="K258" s="1844"/>
      <c r="L258" s="1833"/>
      <c r="M258" s="1844">
        <f>'Part III-A-Uses of Funds'!M144</f>
        <v>0</v>
      </c>
      <c r="N258" s="1844"/>
      <c r="O258" s="1235"/>
      <c r="P258" s="1844">
        <f>'Part III-A-Uses of Funds'!P144</f>
        <v>0</v>
      </c>
      <c r="Q258" s="1844"/>
      <c r="R258" s="1235"/>
      <c r="S258" s="1844">
        <f>'Part III-A-Uses of Funds'!S144</f>
        <v>0</v>
      </c>
      <c r="T258" s="1844"/>
      <c r="U258" s="1824" t="str">
        <f>IF(AND(G258&gt;0,OR(C258="",C258="&lt;Enter detailed description here; use Comments section if needed&gt;")),"NO DESCRIPTION PROVIDED - please enter detailed description in Other box at left; use Comments section below if needed.","")</f>
        <v/>
      </c>
      <c r="V258" s="1868"/>
      <c r="W258" s="1869"/>
      <c r="X258" s="1869"/>
      <c r="Y258" s="1235"/>
      <c r="Z258" s="1235"/>
      <c r="AA258" s="1235"/>
      <c r="AB258" s="1235"/>
      <c r="AC258" s="1235"/>
      <c r="AD258" s="1235"/>
      <c r="AE258" s="1235"/>
      <c r="AF258" s="1235"/>
      <c r="AG258" s="1235"/>
      <c r="AH258" s="1235"/>
      <c r="AI258" s="1235"/>
    </row>
    <row r="259" spans="1:35" ht="13.8">
      <c r="A259" s="1235"/>
      <c r="B259" s="1235"/>
      <c r="C259" s="1821"/>
      <c r="D259" s="1235"/>
      <c r="E259" s="1235"/>
      <c r="F259" s="1872" t="s">
        <v>532</v>
      </c>
      <c r="G259" s="1844">
        <f>SUM(G257:G258)</f>
        <v>415000</v>
      </c>
      <c r="H259" s="1844"/>
      <c r="I259" s="1235"/>
      <c r="J259" s="1844">
        <f>SUM(J257:J258)</f>
        <v>0</v>
      </c>
      <c r="K259" s="1844"/>
      <c r="L259" s="1833"/>
      <c r="M259" s="1844">
        <f>SUM(M257:M258)</f>
        <v>0</v>
      </c>
      <c r="N259" s="1844"/>
      <c r="O259" s="1235"/>
      <c r="P259" s="1844">
        <f>SUM(P257:P258)</f>
        <v>373500</v>
      </c>
      <c r="Q259" s="1844"/>
      <c r="R259" s="1235"/>
      <c r="S259" s="1844">
        <f>SUM(S257:S258)</f>
        <v>41500</v>
      </c>
      <c r="T259" s="1844"/>
      <c r="U259" s="1235"/>
      <c r="V259" s="1868">
        <f>SUM(V257:V258)</f>
        <v>0</v>
      </c>
      <c r="W259" s="1869"/>
      <c r="X259" s="1869"/>
      <c r="Y259" s="1235"/>
      <c r="Z259" s="1235"/>
      <c r="AA259" s="1235"/>
      <c r="AB259" s="1235"/>
      <c r="AC259" s="1235"/>
      <c r="AD259" s="1235"/>
      <c r="AE259" s="1235"/>
      <c r="AF259" s="1235"/>
      <c r="AG259" s="1235"/>
      <c r="AH259" s="1235"/>
      <c r="AI259" s="1235"/>
    </row>
    <row r="260" spans="1:35" ht="13.8">
      <c r="A260" s="1235"/>
      <c r="B260" s="1235"/>
      <c r="C260" s="1821"/>
      <c r="D260" s="1235"/>
      <c r="E260" s="1235"/>
      <c r="F260" s="1235"/>
      <c r="G260" s="1235"/>
      <c r="H260" s="1933"/>
      <c r="I260" s="1933"/>
      <c r="J260" s="1235"/>
      <c r="K260" s="1235"/>
      <c r="L260" s="1235"/>
      <c r="M260" s="1235"/>
      <c r="N260" s="1235"/>
      <c r="O260" s="1235"/>
      <c r="P260" s="1235"/>
      <c r="Q260" s="1235"/>
      <c r="R260" s="1235"/>
      <c r="S260" s="1235"/>
      <c r="T260" s="1235"/>
      <c r="U260" s="1235"/>
      <c r="V260" s="1868"/>
      <c r="W260" s="1920"/>
      <c r="X260" s="1920"/>
      <c r="Y260" s="1235"/>
      <c r="Z260" s="1235"/>
      <c r="AA260" s="1235"/>
      <c r="AB260" s="1235"/>
      <c r="AC260" s="1235"/>
      <c r="AD260" s="1235"/>
      <c r="AE260" s="1235"/>
      <c r="AF260" s="1235"/>
      <c r="AG260" s="1235"/>
      <c r="AH260" s="1235"/>
      <c r="AI260" s="1235"/>
    </row>
    <row r="261" spans="1:35" ht="13.8">
      <c r="A261" s="1235"/>
      <c r="B261" s="1935" t="s">
        <v>7528</v>
      </c>
      <c r="C261" s="1235"/>
      <c r="D261" s="1235"/>
      <c r="E261" s="1874"/>
      <c r="F261" s="1936"/>
      <c r="G261" s="1866">
        <f>G132+G138+G142+G150+G155+G160+G169+G187+G200+G206+G217+G228+G234+G241+G250+G259</f>
        <v>18027860.545297466</v>
      </c>
      <c r="H261" s="1866"/>
      <c r="I261" s="1235"/>
      <c r="J261" s="1866">
        <f>J132+J138+J142+J150+J155+J160+J169+J187+J200+J206+J217+J228+J234+J241+J250+J259</f>
        <v>0</v>
      </c>
      <c r="K261" s="1866"/>
      <c r="L261" s="1235"/>
      <c r="M261" s="1866">
        <f>M132+M138+M142+M150+M155+M160+M169+M187+M200+M206+M217+M228+M234+M241+M250+M259</f>
        <v>4000000</v>
      </c>
      <c r="N261" s="1866"/>
      <c r="O261" s="1235"/>
      <c r="P261" s="1866">
        <f>P132+P138+P142+P150+P155+P160+P169+P187+P200+P206+P217+P228+P234+P241+P250+P259</f>
        <v>12157575.320400001</v>
      </c>
      <c r="Q261" s="1866"/>
      <c r="R261" s="1235"/>
      <c r="S261" s="1866">
        <f>S132+S138+S142+S150+S155+S160+S169+S187+S200+S206+S217+S228+S234+S241+S250+S259</f>
        <v>1870285.2248974675</v>
      </c>
      <c r="T261" s="1866"/>
      <c r="U261" s="1235"/>
      <c r="V261" s="1868">
        <f>V132+V138+V142+V150+V155+V160+V169+V187+V200+V206+V217+V228+V234+V241+V250+V259</f>
        <v>0</v>
      </c>
      <c r="W261" s="1869"/>
      <c r="X261" s="1869"/>
      <c r="Y261" s="1235"/>
      <c r="Z261" s="1235"/>
      <c r="AA261" s="1235"/>
      <c r="AB261" s="1235"/>
      <c r="AC261" s="1235"/>
      <c r="AD261" s="1235"/>
      <c r="AE261" s="1235"/>
      <c r="AF261" s="1235"/>
      <c r="AG261" s="1235"/>
      <c r="AH261" s="1235"/>
      <c r="AI261" s="1235"/>
    </row>
    <row r="262" spans="1:35" ht="13.8">
      <c r="A262" s="1235"/>
      <c r="B262" s="1235"/>
      <c r="C262" s="1821"/>
      <c r="D262" s="1235"/>
      <c r="E262" s="1235"/>
      <c r="F262" s="1235"/>
      <c r="G262" s="1235"/>
      <c r="H262" s="1933"/>
      <c r="I262" s="1933"/>
      <c r="J262" s="1235"/>
      <c r="K262" s="1235"/>
      <c r="L262" s="1235"/>
      <c r="M262" s="1235"/>
      <c r="N262" s="1235"/>
      <c r="O262" s="1235"/>
      <c r="P262" s="1235"/>
      <c r="Q262" s="1235"/>
      <c r="R262" s="1235"/>
      <c r="S262" s="1235"/>
      <c r="T262" s="1235"/>
      <c r="U262" s="1235"/>
      <c r="V262" s="1868"/>
      <c r="W262" s="1235"/>
      <c r="X262" s="1235"/>
      <c r="Y262" s="1235"/>
      <c r="Z262" s="1235"/>
      <c r="AA262" s="1235"/>
      <c r="AB262" s="1235"/>
      <c r="AC262" s="1235"/>
      <c r="AD262" s="1235"/>
      <c r="AE262" s="1235"/>
      <c r="AF262" s="1235"/>
      <c r="AG262" s="1235"/>
      <c r="AH262" s="1235"/>
      <c r="AI262" s="1235"/>
    </row>
    <row r="263" spans="1:35" ht="13.8">
      <c r="A263" s="1235"/>
      <c r="B263" s="1937" t="s">
        <v>7529</v>
      </c>
      <c r="C263" s="1887"/>
      <c r="D263" s="1938">
        <f>IF('Part V-Revenues &amp; Expenses'!$P$76=0,0,G261/'Part V-Revenues &amp; Expenses'!$P$76)</f>
        <v>187790.21401351527</v>
      </c>
      <c r="E263" s="1938"/>
      <c r="F263" s="1904" t="s">
        <v>701</v>
      </c>
      <c r="G263" s="1938">
        <f>IF('Part V-Revenues &amp; Expenses'!$K$197=0,0,G261/'Part V-Revenues &amp; Expenses'!$K$197)</f>
        <v>181.17724458612182</v>
      </c>
      <c r="H263" s="1938"/>
      <c r="I263" s="1932"/>
      <c r="J263" s="1235"/>
      <c r="K263" s="1235"/>
      <c r="L263" s="1235"/>
      <c r="M263" s="1235"/>
      <c r="N263" s="1235"/>
      <c r="O263" s="1235"/>
      <c r="P263" s="1235"/>
      <c r="Q263" s="1235"/>
      <c r="R263" s="1235"/>
      <c r="S263" s="1235"/>
      <c r="T263" s="1235"/>
      <c r="U263" s="1235"/>
      <c r="V263" s="1868"/>
      <c r="W263" s="1235"/>
      <c r="X263" s="1235"/>
      <c r="Y263" s="1235"/>
      <c r="Z263" s="1235"/>
      <c r="AA263" s="1235"/>
      <c r="AB263" s="1235"/>
      <c r="AC263" s="1235"/>
      <c r="AD263" s="1235"/>
      <c r="AE263" s="1235"/>
      <c r="AF263" s="1235"/>
      <c r="AG263" s="1235"/>
      <c r="AH263" s="1235"/>
      <c r="AI263" s="1235"/>
    </row>
    <row r="264" spans="1:35" ht="13.8">
      <c r="A264" s="1235"/>
      <c r="B264" s="1937"/>
      <c r="C264" s="1887"/>
      <c r="D264" s="1939"/>
      <c r="E264" s="1939"/>
      <c r="F264" s="1904"/>
      <c r="G264" s="1938"/>
      <c r="H264" s="1938"/>
      <c r="I264" s="1932"/>
      <c r="J264" s="1235"/>
      <c r="K264" s="1235"/>
      <c r="L264" s="1235"/>
      <c r="M264" s="1235"/>
      <c r="N264" s="1235"/>
      <c r="O264" s="1235"/>
      <c r="P264" s="1235"/>
      <c r="Q264" s="1235"/>
      <c r="R264" s="1235"/>
      <c r="S264" s="1235"/>
      <c r="T264" s="1235"/>
      <c r="U264" s="1235"/>
      <c r="V264" s="1868"/>
      <c r="W264" s="1235"/>
      <c r="X264" s="1235"/>
      <c r="Y264" s="1235"/>
      <c r="Z264" s="1235"/>
      <c r="AA264" s="1235"/>
      <c r="AB264" s="1235"/>
      <c r="AC264" s="1235"/>
      <c r="AD264" s="1235"/>
      <c r="AE264" s="1235"/>
      <c r="AF264" s="1235"/>
      <c r="AG264" s="1235"/>
      <c r="AH264" s="1235"/>
      <c r="AI264" s="1235"/>
    </row>
    <row r="265" spans="1:35" ht="16.5" customHeight="1">
      <c r="A265" s="1865" t="s">
        <v>25</v>
      </c>
      <c r="B265" s="1940" t="s">
        <v>702</v>
      </c>
      <c r="C265" s="1816"/>
      <c r="D265" s="1833"/>
      <c r="E265" s="1833"/>
      <c r="F265" s="1833"/>
      <c r="G265" s="1235"/>
      <c r="H265" s="1235"/>
      <c r="I265" s="1941"/>
      <c r="J265" s="1815" t="s">
        <v>513</v>
      </c>
      <c r="K265" s="1815"/>
      <c r="L265" s="1235"/>
      <c r="M265" s="1815" t="s">
        <v>703</v>
      </c>
      <c r="N265" s="1815"/>
      <c r="O265" s="1235"/>
      <c r="P265" s="1815" t="s">
        <v>515</v>
      </c>
      <c r="Q265" s="1815"/>
      <c r="R265" s="1235"/>
      <c r="S265" s="1235"/>
      <c r="T265" s="1235"/>
      <c r="U265" s="1235"/>
      <c r="V265" s="1868"/>
      <c r="W265" s="1867" t="str">
        <f>B265</f>
        <v>TAX CREDIT CALCULATION - BASIS METHOD</v>
      </c>
      <c r="X265" s="1235"/>
      <c r="Y265" s="1235"/>
      <c r="Z265" s="1235"/>
      <c r="AA265" s="1235"/>
      <c r="AB265" s="1235"/>
      <c r="AC265" s="1235"/>
      <c r="AD265" s="1235"/>
      <c r="AE265" s="1235"/>
      <c r="AF265" s="1235"/>
      <c r="AG265" s="1235"/>
      <c r="AH265" s="1235"/>
      <c r="AI265" s="1235"/>
    </row>
    <row r="266" spans="1:35" ht="13.8">
      <c r="A266" s="1235"/>
      <c r="B266" s="1824" t="s">
        <v>704</v>
      </c>
      <c r="C266" s="1235"/>
      <c r="D266" s="1833"/>
      <c r="E266" s="1833"/>
      <c r="F266" s="1235"/>
      <c r="G266" s="1235"/>
      <c r="H266" s="1235"/>
      <c r="I266" s="1941"/>
      <c r="J266" s="1815"/>
      <c r="K266" s="1815"/>
      <c r="L266" s="1816"/>
      <c r="M266" s="1815"/>
      <c r="N266" s="1815"/>
      <c r="O266" s="1235"/>
      <c r="P266" s="1815"/>
      <c r="Q266" s="1815"/>
      <c r="R266" s="1235"/>
      <c r="S266" s="1235"/>
      <c r="T266" s="1235"/>
      <c r="U266" s="1235"/>
      <c r="V266" s="1868"/>
      <c r="W266" s="1235" t="str">
        <f>B266</f>
        <v>Subtractions From Eligible Basis</v>
      </c>
      <c r="X266" s="269"/>
      <c r="Y266" s="1235"/>
      <c r="Z266" s="1235"/>
      <c r="AA266" s="1235"/>
      <c r="AB266" s="1235"/>
      <c r="AC266" s="1235"/>
      <c r="AD266" s="1235"/>
      <c r="AE266" s="1235"/>
      <c r="AF266" s="1235"/>
      <c r="AG266" s="1235"/>
      <c r="AH266" s="1235"/>
      <c r="AI266" s="1235"/>
    </row>
    <row r="267" spans="1:35" ht="13.8">
      <c r="A267" s="1235"/>
      <c r="B267" s="1235"/>
      <c r="C267" s="1235"/>
      <c r="D267" s="1821"/>
      <c r="E267" s="1821"/>
      <c r="F267" s="1235"/>
      <c r="G267" s="1235"/>
      <c r="H267" s="1235"/>
      <c r="I267" s="1933"/>
      <c r="J267" s="1933"/>
      <c r="K267" s="1934"/>
      <c r="L267" s="1821"/>
      <c r="M267" s="1235"/>
      <c r="N267" s="1235"/>
      <c r="O267" s="1235"/>
      <c r="P267" s="1235"/>
      <c r="Q267" s="1235"/>
      <c r="R267" s="1235"/>
      <c r="S267" s="1235"/>
      <c r="T267" s="1235"/>
      <c r="U267" s="1235"/>
      <c r="V267" s="1868"/>
      <c r="W267" s="1235"/>
      <c r="X267" s="1235"/>
      <c r="Y267" s="1235"/>
      <c r="Z267" s="1235"/>
      <c r="AA267" s="1235"/>
      <c r="AB267" s="1235"/>
      <c r="AC267" s="1235"/>
      <c r="AD267" s="1235"/>
      <c r="AE267" s="1235"/>
      <c r="AF267" s="1235"/>
      <c r="AG267" s="1235"/>
      <c r="AH267" s="1235"/>
      <c r="AI267" s="1235"/>
    </row>
    <row r="268" spans="1:35" ht="13.8">
      <c r="A268" s="1235"/>
      <c r="B268" s="1821" t="s">
        <v>705</v>
      </c>
      <c r="C268" s="1235"/>
      <c r="D268" s="1235"/>
      <c r="E268" s="1235"/>
      <c r="F268" s="1235"/>
      <c r="G268" s="1235"/>
      <c r="H268" s="1235"/>
      <c r="I268" s="1941"/>
      <c r="J268" s="1848">
        <f>'Part III-A-Uses of Funds'!J154</f>
        <v>0</v>
      </c>
      <c r="K268" s="1848"/>
      <c r="L268" s="1235"/>
      <c r="M268" s="1235"/>
      <c r="N268" s="1235"/>
      <c r="O268" s="1235"/>
      <c r="P268" s="1848">
        <f>'Part III-A-Uses of Funds'!P154</f>
        <v>0</v>
      </c>
      <c r="Q268" s="1848"/>
      <c r="R268" s="1235"/>
      <c r="S268" s="1235"/>
      <c r="T268" s="1235"/>
      <c r="U268" s="1235"/>
      <c r="V268" s="1868"/>
      <c r="W268" s="1869"/>
      <c r="X268" s="1869"/>
      <c r="Y268" s="1235"/>
      <c r="Z268" s="1235"/>
      <c r="AA268" s="1235"/>
      <c r="AB268" s="1235"/>
      <c r="AC268" s="1235"/>
      <c r="AD268" s="1235"/>
      <c r="AE268" s="1235"/>
      <c r="AF268" s="1235"/>
      <c r="AG268" s="1235"/>
      <c r="AH268" s="1235"/>
      <c r="AI268" s="1235"/>
    </row>
    <row r="269" spans="1:35" ht="13.8">
      <c r="A269" s="1235"/>
      <c r="B269" s="1235" t="s">
        <v>706</v>
      </c>
      <c r="C269" s="1235"/>
      <c r="D269" s="1235"/>
      <c r="E269" s="1235"/>
      <c r="F269" s="1235"/>
      <c r="G269" s="1235"/>
      <c r="H269" s="1235"/>
      <c r="I269" s="1941"/>
      <c r="J269" s="1848">
        <f>'Part III-A-Uses of Funds'!J155</f>
        <v>0</v>
      </c>
      <c r="K269" s="1848"/>
      <c r="L269" s="1235"/>
      <c r="M269" s="1235"/>
      <c r="N269" s="1235"/>
      <c r="O269" s="1235"/>
      <c r="P269" s="1848">
        <f>'Part III-A-Uses of Funds'!P155</f>
        <v>0</v>
      </c>
      <c r="Q269" s="1848"/>
      <c r="R269" s="1235"/>
      <c r="S269" s="1235"/>
      <c r="T269" s="1235"/>
      <c r="U269" s="1235"/>
      <c r="V269" s="1868"/>
      <c r="W269" s="1869"/>
      <c r="X269" s="1869"/>
      <c r="Y269" s="1235"/>
      <c r="Z269" s="1235"/>
      <c r="AA269" s="1235"/>
      <c r="AB269" s="1235"/>
      <c r="AC269" s="1235"/>
      <c r="AD269" s="1235"/>
      <c r="AE269" s="1235"/>
      <c r="AF269" s="1235"/>
      <c r="AG269" s="1235"/>
      <c r="AH269" s="1235"/>
      <c r="AI269" s="1235"/>
    </row>
    <row r="270" spans="1:35" ht="13.8">
      <c r="A270" s="1235"/>
      <c r="B270" s="1235" t="s">
        <v>707</v>
      </c>
      <c r="C270" s="1235"/>
      <c r="D270" s="1235"/>
      <c r="E270" s="1235"/>
      <c r="F270" s="1235"/>
      <c r="G270" s="1235"/>
      <c r="H270" s="1235"/>
      <c r="I270" s="1941"/>
      <c r="J270" s="1848">
        <f>'Part III-A-Uses of Funds'!J156</f>
        <v>0</v>
      </c>
      <c r="K270" s="1848"/>
      <c r="L270" s="1235"/>
      <c r="M270" s="1235"/>
      <c r="N270" s="1235"/>
      <c r="O270" s="1235"/>
      <c r="P270" s="1848">
        <f>'Part III-A-Uses of Funds'!P156</f>
        <v>0</v>
      </c>
      <c r="Q270" s="1848"/>
      <c r="R270" s="1235"/>
      <c r="S270" s="1235"/>
      <c r="T270" s="1235"/>
      <c r="U270" s="1235"/>
      <c r="V270" s="1868"/>
      <c r="W270" s="1869"/>
      <c r="X270" s="1869"/>
      <c r="Y270" s="1235"/>
      <c r="Z270" s="1235"/>
      <c r="AA270" s="1235"/>
      <c r="AB270" s="1235"/>
      <c r="AC270" s="1235"/>
      <c r="AD270" s="1235"/>
      <c r="AE270" s="1235"/>
      <c r="AF270" s="1235"/>
      <c r="AG270" s="1235"/>
      <c r="AH270" s="1235"/>
      <c r="AI270" s="1235"/>
    </row>
    <row r="271" spans="1:35" ht="13.8">
      <c r="A271" s="1235"/>
      <c r="B271" s="1235" t="s">
        <v>708</v>
      </c>
      <c r="C271" s="1235"/>
      <c r="D271" s="1235"/>
      <c r="E271" s="1235"/>
      <c r="F271" s="1235"/>
      <c r="G271" s="1235"/>
      <c r="H271" s="1235"/>
      <c r="I271" s="1941"/>
      <c r="J271" s="1848">
        <f>'Part III-A-Uses of Funds'!J157</f>
        <v>0</v>
      </c>
      <c r="K271" s="1848"/>
      <c r="L271" s="1235"/>
      <c r="M271" s="1235"/>
      <c r="N271" s="1235"/>
      <c r="O271" s="1235"/>
      <c r="P271" s="1848">
        <f>'Part III-A-Uses of Funds'!P157</f>
        <v>0</v>
      </c>
      <c r="Q271" s="1848"/>
      <c r="R271" s="1235"/>
      <c r="S271" s="1235"/>
      <c r="T271" s="1235"/>
      <c r="U271" s="1235"/>
      <c r="V271" s="1868"/>
      <c r="W271" s="1869"/>
      <c r="X271" s="1869"/>
      <c r="Y271" s="1235"/>
      <c r="Z271" s="1235"/>
      <c r="AA271" s="1235"/>
      <c r="AB271" s="1235"/>
      <c r="AC271" s="1235"/>
      <c r="AD271" s="1235"/>
      <c r="AE271" s="1235"/>
      <c r="AF271" s="1235"/>
      <c r="AG271" s="1235"/>
      <c r="AH271" s="1235"/>
      <c r="AI271" s="1235"/>
    </row>
    <row r="272" spans="1:35" ht="13.8">
      <c r="A272" s="1235"/>
      <c r="B272" s="1235" t="s">
        <v>709</v>
      </c>
      <c r="C272" s="1235"/>
      <c r="D272" s="1235"/>
      <c r="E272" s="1235"/>
      <c r="F272" s="1235"/>
      <c r="G272" s="1235"/>
      <c r="H272" s="1235"/>
      <c r="I272" s="1941"/>
      <c r="J272" s="1848">
        <f>'Part III-A-Uses of Funds'!J158</f>
        <v>0</v>
      </c>
      <c r="K272" s="1848"/>
      <c r="L272" s="1235"/>
      <c r="M272" s="1235"/>
      <c r="N272" s="1235"/>
      <c r="O272" s="1235"/>
      <c r="P272" s="1848">
        <f>'Part III-A-Uses of Funds'!P158</f>
        <v>0</v>
      </c>
      <c r="Q272" s="1848"/>
      <c r="R272" s="1235"/>
      <c r="S272" s="1235"/>
      <c r="T272" s="1235"/>
      <c r="U272" s="1235"/>
      <c r="V272" s="1868"/>
      <c r="W272" s="1869"/>
      <c r="X272" s="1869"/>
      <c r="Y272" s="1235"/>
      <c r="Z272" s="1235"/>
      <c r="AA272" s="1235"/>
      <c r="AB272" s="1235"/>
      <c r="AC272" s="1235"/>
      <c r="AD272" s="1235"/>
      <c r="AE272" s="1235"/>
      <c r="AF272" s="1235"/>
      <c r="AG272" s="1235"/>
      <c r="AH272" s="1235"/>
      <c r="AI272" s="1235"/>
    </row>
    <row r="273" spans="1:35" ht="13.5" customHeight="1">
      <c r="A273" s="1235"/>
      <c r="B273" s="1235" t="s">
        <v>710</v>
      </c>
      <c r="C273" s="1741" t="str">
        <f>'Part III-A-Uses of Funds'!C159</f>
        <v>&lt;Enter detailed description here; use Comments section if needed&gt;</v>
      </c>
      <c r="D273" s="1235"/>
      <c r="E273" s="1235"/>
      <c r="F273" s="1235"/>
      <c r="G273" s="1235"/>
      <c r="H273" s="1235"/>
      <c r="I273" s="1235"/>
      <c r="J273" s="1848">
        <f>'Part III-A-Uses of Funds'!J159</f>
        <v>0</v>
      </c>
      <c r="K273" s="1848"/>
      <c r="L273" s="1235"/>
      <c r="M273" s="1235"/>
      <c r="N273" s="1235"/>
      <c r="O273" s="1235"/>
      <c r="P273" s="1848">
        <f>'Part III-A-Uses of Funds'!P159</f>
        <v>0</v>
      </c>
      <c r="Q273" s="1848"/>
      <c r="R273" s="1235"/>
      <c r="S273" s="1235"/>
      <c r="T273" s="1235"/>
      <c r="U273" s="1235"/>
      <c r="V273" s="1868"/>
      <c r="W273" s="1869"/>
      <c r="X273" s="1869"/>
      <c r="Y273" s="1235"/>
      <c r="Z273" s="1235"/>
      <c r="AA273" s="1235"/>
      <c r="AB273" s="1235"/>
      <c r="AC273" s="1235"/>
      <c r="AD273" s="1235"/>
      <c r="AE273" s="1235"/>
      <c r="AF273" s="1235"/>
      <c r="AG273" s="1235"/>
      <c r="AH273" s="1235"/>
      <c r="AI273" s="1235"/>
    </row>
    <row r="274" spans="1:35" ht="13.8">
      <c r="A274" s="1235"/>
      <c r="B274" s="1815" t="s">
        <v>712</v>
      </c>
      <c r="C274" s="1942"/>
      <c r="D274" s="1235"/>
      <c r="E274" s="1235"/>
      <c r="F274" s="1235"/>
      <c r="G274" s="1235"/>
      <c r="H274" s="1235"/>
      <c r="I274" s="1235"/>
      <c r="J274" s="1848">
        <f>SUM(J268:K273)</f>
        <v>0</v>
      </c>
      <c r="K274" s="1848"/>
      <c r="L274" s="1235"/>
      <c r="M274" s="1235"/>
      <c r="N274" s="1235"/>
      <c r="O274" s="1235"/>
      <c r="P274" s="1848">
        <f>SUM(P268:Q273)</f>
        <v>0</v>
      </c>
      <c r="Q274" s="1848"/>
      <c r="R274" s="1235"/>
      <c r="S274" s="1235"/>
      <c r="T274" s="1235"/>
      <c r="U274" s="1235"/>
      <c r="V274" s="1868">
        <f>SUM(V268:V273)</f>
        <v>0</v>
      </c>
      <c r="W274" s="1869"/>
      <c r="X274" s="1869"/>
      <c r="Y274" s="1235"/>
      <c r="Z274" s="1235"/>
      <c r="AA274" s="1235"/>
      <c r="AB274" s="1235"/>
      <c r="AC274" s="1235"/>
      <c r="AD274" s="1235"/>
      <c r="AE274" s="1235"/>
      <c r="AF274" s="1235"/>
      <c r="AG274" s="1235"/>
      <c r="AH274" s="1235"/>
      <c r="AI274" s="1235"/>
    </row>
    <row r="275" spans="1:35" ht="13.8">
      <c r="A275" s="1235"/>
      <c r="B275" s="1235"/>
      <c r="C275" s="1235"/>
      <c r="D275" s="1235"/>
      <c r="E275" s="1235"/>
      <c r="F275" s="1235"/>
      <c r="G275" s="1235"/>
      <c r="H275" s="1235"/>
      <c r="I275" s="1235"/>
      <c r="J275" s="1235"/>
      <c r="K275" s="1235"/>
      <c r="L275" s="1235"/>
      <c r="M275" s="1235"/>
      <c r="N275" s="1235"/>
      <c r="O275" s="1235"/>
      <c r="P275" s="1235"/>
      <c r="Q275" s="1235"/>
      <c r="R275" s="1235"/>
      <c r="S275" s="1235"/>
      <c r="T275" s="1235"/>
      <c r="U275" s="1235"/>
      <c r="V275" s="1868"/>
      <c r="W275" s="1235"/>
      <c r="X275" s="1235"/>
      <c r="Y275" s="1235"/>
      <c r="Z275" s="1235"/>
      <c r="AA275" s="1235"/>
      <c r="AB275" s="1235"/>
      <c r="AC275" s="1235"/>
      <c r="AD275" s="1235"/>
      <c r="AE275" s="1235"/>
      <c r="AF275" s="1235"/>
      <c r="AG275" s="1235"/>
      <c r="AH275" s="1235"/>
      <c r="AI275" s="1235"/>
    </row>
    <row r="276" spans="1:35" ht="13.8">
      <c r="A276" s="1235"/>
      <c r="B276" s="1815" t="s">
        <v>713</v>
      </c>
      <c r="C276" s="1235"/>
      <c r="D276" s="1235"/>
      <c r="E276" s="1235"/>
      <c r="F276" s="1235"/>
      <c r="G276" s="1235"/>
      <c r="H276" s="1235"/>
      <c r="I276" s="1235"/>
      <c r="J276" s="1235"/>
      <c r="K276" s="1235"/>
      <c r="L276" s="1235"/>
      <c r="M276" s="1235"/>
      <c r="N276" s="1235"/>
      <c r="O276" s="1235"/>
      <c r="P276" s="1235"/>
      <c r="Q276" s="1235"/>
      <c r="R276" s="1235"/>
      <c r="S276" s="1235"/>
      <c r="T276" s="1235"/>
      <c r="U276" s="1235"/>
      <c r="V276" s="1868"/>
      <c r="W276" s="1235" t="str">
        <f>B276</f>
        <v>Eligible Basis Calculation</v>
      </c>
      <c r="X276" s="1235"/>
      <c r="Y276" s="1235"/>
      <c r="Z276" s="1235"/>
      <c r="AA276" s="1235"/>
      <c r="AB276" s="1235"/>
      <c r="AC276" s="1235"/>
      <c r="AD276" s="1235"/>
      <c r="AE276" s="1235"/>
      <c r="AF276" s="1235"/>
      <c r="AG276" s="1235"/>
      <c r="AH276" s="1235"/>
      <c r="AI276" s="1235"/>
    </row>
    <row r="277" spans="1:35" ht="12.75" customHeight="1">
      <c r="A277" s="1235"/>
      <c r="B277" s="1235" t="s">
        <v>714</v>
      </c>
      <c r="C277" s="1235"/>
      <c r="D277" s="1235"/>
      <c r="E277" s="1235"/>
      <c r="F277" s="1235"/>
      <c r="G277" s="1235"/>
      <c r="H277" s="1235"/>
      <c r="I277" s="1235"/>
      <c r="J277" s="1849">
        <f>J261</f>
        <v>0</v>
      </c>
      <c r="K277" s="1849"/>
      <c r="L277" s="1235"/>
      <c r="M277" s="1849">
        <f>M261</f>
        <v>4000000</v>
      </c>
      <c r="N277" s="1849"/>
      <c r="O277" s="1235"/>
      <c r="P277" s="1849">
        <f>P261</f>
        <v>12157575.320400001</v>
      </c>
      <c r="Q277" s="1849"/>
      <c r="R277" s="1943" t="s">
        <v>715</v>
      </c>
      <c r="S277" s="1943"/>
      <c r="T277" s="1943"/>
      <c r="U277" s="1235"/>
      <c r="V277" s="1868"/>
      <c r="W277" s="1869"/>
      <c r="X277" s="1869"/>
      <c r="Y277" s="1235"/>
      <c r="Z277" s="1235"/>
      <c r="AA277" s="1235"/>
      <c r="AB277" s="1235"/>
      <c r="AC277" s="1235"/>
      <c r="AD277" s="1235"/>
      <c r="AE277" s="1235"/>
      <c r="AF277" s="1235"/>
      <c r="AG277" s="1235"/>
      <c r="AH277" s="1235"/>
      <c r="AI277" s="1235"/>
    </row>
    <row r="278" spans="1:35" ht="13.8">
      <c r="A278" s="1235"/>
      <c r="B278" s="1235" t="s">
        <v>716</v>
      </c>
      <c r="C278" s="1235"/>
      <c r="D278" s="1235"/>
      <c r="E278" s="1235"/>
      <c r="F278" s="1235"/>
      <c r="G278" s="1235"/>
      <c r="H278" s="1235"/>
      <c r="I278" s="1235"/>
      <c r="J278" s="1849">
        <f>J274</f>
        <v>0</v>
      </c>
      <c r="K278" s="1849"/>
      <c r="L278" s="1235"/>
      <c r="M278" s="1849"/>
      <c r="N278" s="1849"/>
      <c r="O278" s="1235"/>
      <c r="P278" s="1849">
        <f>P274</f>
        <v>0</v>
      </c>
      <c r="Q278" s="1849"/>
      <c r="R278" s="1943"/>
      <c r="S278" s="1943"/>
      <c r="T278" s="1943"/>
      <c r="U278" s="1820"/>
      <c r="V278" s="1868"/>
      <c r="W278" s="1869"/>
      <c r="X278" s="1869"/>
      <c r="Y278" s="1235"/>
      <c r="Z278" s="1235"/>
      <c r="AA278" s="1235"/>
      <c r="AB278" s="1235"/>
      <c r="AC278" s="1235"/>
      <c r="AD278" s="1235"/>
      <c r="AE278" s="1235"/>
      <c r="AF278" s="1235"/>
      <c r="AG278" s="1235"/>
      <c r="AH278" s="1235"/>
      <c r="AI278" s="1235"/>
    </row>
    <row r="279" spans="1:35" ht="12.75" customHeight="1">
      <c r="A279" s="1235"/>
      <c r="B279" s="1235" t="s">
        <v>717</v>
      </c>
      <c r="C279" s="1235"/>
      <c r="D279" s="1235"/>
      <c r="E279" s="1235"/>
      <c r="F279" s="1235"/>
      <c r="G279" s="1235"/>
      <c r="H279" s="1235"/>
      <c r="I279" s="1235"/>
      <c r="J279" s="1849">
        <f>J277-J278</f>
        <v>0</v>
      </c>
      <c r="K279" s="1849"/>
      <c r="L279" s="1235"/>
      <c r="M279" s="1849">
        <f>M277</f>
        <v>4000000</v>
      </c>
      <c r="N279" s="1849"/>
      <c r="O279" s="1235"/>
      <c r="P279" s="1849">
        <f>P277-P278</f>
        <v>12157575.320400001</v>
      </c>
      <c r="Q279" s="1849"/>
      <c r="R279" s="1820" t="str">
        <f>'Part III-A-Uses of Funds'!R165</f>
        <v>&lt;&lt; Select Category of Eligibility&gt;&gt;</v>
      </c>
      <c r="S279" s="1820"/>
      <c r="T279" s="1820"/>
      <c r="U279" s="1820"/>
      <c r="V279" s="1868"/>
      <c r="W279" s="1869"/>
      <c r="X279" s="1869"/>
      <c r="Y279" s="1235"/>
      <c r="Z279" s="1235"/>
      <c r="AA279" s="1235"/>
      <c r="AB279" s="1235"/>
      <c r="AC279" s="1235"/>
      <c r="AD279" s="1235"/>
      <c r="AE279" s="1235"/>
      <c r="AF279" s="1235"/>
      <c r="AG279" s="1235"/>
      <c r="AH279" s="1235"/>
      <c r="AI279" s="1235"/>
    </row>
    <row r="280" spans="1:35" ht="13.8">
      <c r="A280" s="1235"/>
      <c r="B280" s="1235" t="s">
        <v>719</v>
      </c>
      <c r="C280" s="1235"/>
      <c r="D280" s="1235"/>
      <c r="E280" s="1235"/>
      <c r="F280" s="1235"/>
      <c r="G280" s="1086" t="s">
        <v>720</v>
      </c>
      <c r="H280" s="1235" t="str">
        <f>'Part III-A-Uses of Funds'!H166</f>
        <v>&lt;&lt;Select&gt;&gt;</v>
      </c>
      <c r="I280" s="1235"/>
      <c r="J280" s="1944">
        <f>'Part III-A-Uses of Funds'!J166</f>
        <v>1</v>
      </c>
      <c r="K280" s="1944"/>
      <c r="L280" s="1235"/>
      <c r="M280" s="1944"/>
      <c r="N280" s="1944"/>
      <c r="O280" s="1235"/>
      <c r="P280" s="1944">
        <f>'Part III-A-Uses of Funds'!P166</f>
        <v>1</v>
      </c>
      <c r="Q280" s="1944"/>
      <c r="R280" s="1820"/>
      <c r="S280" s="1820"/>
      <c r="T280" s="1820"/>
      <c r="U280" s="1235"/>
      <c r="V280" s="1868"/>
      <c r="W280" s="1869"/>
      <c r="X280" s="1869"/>
      <c r="Y280" s="1235"/>
      <c r="Z280" s="1235"/>
      <c r="AA280" s="1235"/>
      <c r="AB280" s="1235"/>
      <c r="AC280" s="1235"/>
      <c r="AD280" s="1235"/>
      <c r="AE280" s="1235"/>
      <c r="AF280" s="1235"/>
      <c r="AG280" s="1235"/>
      <c r="AH280" s="1235"/>
      <c r="AI280" s="1235"/>
    </row>
    <row r="281" spans="1:35" ht="13.8">
      <c r="A281" s="1235"/>
      <c r="B281" s="1235" t="s">
        <v>722</v>
      </c>
      <c r="C281" s="1235"/>
      <c r="D281" s="1235"/>
      <c r="E281" s="1235"/>
      <c r="F281" s="1235"/>
      <c r="G281" s="1235"/>
      <c r="H281" s="1235"/>
      <c r="I281" s="1235"/>
      <c r="J281" s="1849">
        <f>J279*J280</f>
        <v>0</v>
      </c>
      <c r="K281" s="1849"/>
      <c r="L281" s="1235"/>
      <c r="M281" s="1849">
        <f>+M279</f>
        <v>4000000</v>
      </c>
      <c r="N281" s="1849"/>
      <c r="O281" s="1235"/>
      <c r="P281" s="1849">
        <f>P279*P280</f>
        <v>12157575.320400001</v>
      </c>
      <c r="Q281" s="1849"/>
      <c r="R281" s="1820"/>
      <c r="S281" s="1820"/>
      <c r="T281" s="1820"/>
      <c r="U281" s="1235"/>
      <c r="V281" s="1868"/>
      <c r="W281" s="1869"/>
      <c r="X281" s="1869"/>
      <c r="Y281" s="1235"/>
      <c r="Z281" s="1235"/>
      <c r="AA281" s="1235"/>
      <c r="AB281" s="1235"/>
      <c r="AC281" s="1235"/>
      <c r="AD281" s="1235"/>
      <c r="AE281" s="1235"/>
      <c r="AF281" s="1235"/>
      <c r="AG281" s="1235"/>
      <c r="AH281" s="1235"/>
      <c r="AI281" s="1235"/>
    </row>
    <row r="282" spans="1:35" ht="13.8">
      <c r="A282" s="1235"/>
      <c r="B282" s="1235" t="s">
        <v>723</v>
      </c>
      <c r="C282" s="1235"/>
      <c r="D282" s="1235"/>
      <c r="E282" s="1235"/>
      <c r="F282" s="1235"/>
      <c r="G282" s="1235"/>
      <c r="H282" s="1235"/>
      <c r="I282" s="1235"/>
      <c r="J282" s="1945">
        <f>MIN('Part V-Revenues &amp; Expenses'!$P$72/'Part V-Revenues &amp; Expenses'!$P$74,'Part V-Revenues &amp; Expenses'!$P$186/'Part V-Revenues &amp; Expenses'!$P$188)</f>
        <v>1</v>
      </c>
      <c r="K282" s="1945"/>
      <c r="L282" s="1235"/>
      <c r="M282" s="1945">
        <f>MIN('Part V-Revenues &amp; Expenses'!$P$72/'Part V-Revenues &amp; Expenses'!$P$74,'Part V-Revenues &amp; Expenses'!$P$186/'Part V-Revenues &amp; Expenses'!$P$188)</f>
        <v>1</v>
      </c>
      <c r="N282" s="1945"/>
      <c r="O282" s="1235"/>
      <c r="P282" s="1945">
        <f>MIN('Part V-Revenues &amp; Expenses'!$P$72/'Part V-Revenues &amp; Expenses'!$P$74,'Part V-Revenues &amp; Expenses'!$P$186/'Part V-Revenues &amp; Expenses'!$P$188)</f>
        <v>1</v>
      </c>
      <c r="Q282" s="1945"/>
      <c r="R282" s="1946" t="str">
        <f>'Part III-A-Uses of Funds'!R168</f>
        <v>&lt;&lt;Select % of Eligible Basis&gt;&gt;</v>
      </c>
      <c r="S282" s="1946"/>
      <c r="T282" s="1946"/>
      <c r="U282" s="1235"/>
      <c r="V282" s="1868"/>
      <c r="W282" s="1869"/>
      <c r="X282" s="1869"/>
      <c r="Y282" s="1235"/>
      <c r="Z282" s="1235"/>
      <c r="AA282" s="1235"/>
      <c r="AB282" s="1235"/>
      <c r="AC282" s="1235"/>
      <c r="AD282" s="1235"/>
      <c r="AE282" s="1235"/>
      <c r="AF282" s="1235"/>
      <c r="AG282" s="1235"/>
      <c r="AH282" s="1235"/>
      <c r="AI282" s="1235"/>
    </row>
    <row r="283" spans="1:35" ht="13.8">
      <c r="A283" s="1235"/>
      <c r="B283" s="1235" t="s">
        <v>725</v>
      </c>
      <c r="C283" s="1235"/>
      <c r="D283" s="1235"/>
      <c r="E283" s="1235"/>
      <c r="F283" s="1235"/>
      <c r="G283" s="1235"/>
      <c r="H283" s="1235"/>
      <c r="I283" s="1235"/>
      <c r="J283" s="1849">
        <f>J281*J282</f>
        <v>0</v>
      </c>
      <c r="K283" s="1849"/>
      <c r="L283" s="1235"/>
      <c r="M283" s="1849">
        <f>M281*M282</f>
        <v>4000000</v>
      </c>
      <c r="N283" s="1849"/>
      <c r="O283" s="1235"/>
      <c r="P283" s="1849">
        <f>P281*P282</f>
        <v>12157575.320400001</v>
      </c>
      <c r="Q283" s="1849"/>
      <c r="R283" s="1235"/>
      <c r="S283" s="1235"/>
      <c r="T283" s="1235"/>
      <c r="U283" s="1235"/>
      <c r="V283" s="1868"/>
      <c r="W283" s="1869"/>
      <c r="X283" s="1869"/>
      <c r="Y283" s="1235"/>
      <c r="Z283" s="1235"/>
      <c r="AA283" s="1235"/>
      <c r="AB283" s="1235"/>
      <c r="AC283" s="1235"/>
      <c r="AD283" s="1235"/>
      <c r="AE283" s="1235"/>
      <c r="AF283" s="1235"/>
      <c r="AG283" s="1235"/>
      <c r="AH283" s="1235"/>
      <c r="AI283" s="1235"/>
    </row>
    <row r="284" spans="1:35" ht="13.8">
      <c r="A284" s="1235"/>
      <c r="B284" s="1235" t="s">
        <v>726</v>
      </c>
      <c r="C284" s="1235"/>
      <c r="D284" s="1235"/>
      <c r="E284" s="1235"/>
      <c r="F284" s="1235"/>
      <c r="G284" s="1235"/>
      <c r="H284" s="1235"/>
      <c r="I284" s="1235"/>
      <c r="J284" s="1944">
        <f>'Part III-A-Uses of Funds'!J170</f>
        <v>0.09</v>
      </c>
      <c r="K284" s="1944"/>
      <c r="L284" s="1235"/>
      <c r="M284" s="1944">
        <f>'Part III-A-Uses of Funds'!M170</f>
        <v>0.04</v>
      </c>
      <c r="N284" s="1944"/>
      <c r="O284" s="1235"/>
      <c r="P284" s="1944">
        <f>'Part III-A-Uses of Funds'!P170</f>
        <v>0.09</v>
      </c>
      <c r="Q284" s="1944"/>
      <c r="R284" s="1235"/>
      <c r="S284" s="1235"/>
      <c r="T284" s="1235"/>
      <c r="U284" s="1235"/>
      <c r="V284" s="1868"/>
      <c r="W284" s="1869"/>
      <c r="X284" s="1869"/>
      <c r="Y284" s="1235"/>
      <c r="Z284" s="1235"/>
      <c r="AA284" s="1235"/>
      <c r="AB284" s="1235"/>
      <c r="AC284" s="1235"/>
      <c r="AD284" s="1235"/>
      <c r="AE284" s="1235"/>
      <c r="AF284" s="1235"/>
      <c r="AG284" s="1235"/>
      <c r="AH284" s="1235"/>
      <c r="AI284" s="1235"/>
    </row>
    <row r="285" spans="1:35" ht="13.8">
      <c r="A285" s="1235"/>
      <c r="B285" s="1235" t="s">
        <v>727</v>
      </c>
      <c r="C285" s="1235"/>
      <c r="D285" s="1235"/>
      <c r="E285" s="1235"/>
      <c r="F285" s="1235"/>
      <c r="G285" s="1235"/>
      <c r="H285" s="1235"/>
      <c r="I285" s="1235"/>
      <c r="J285" s="1849">
        <f>J283*J284</f>
        <v>0</v>
      </c>
      <c r="K285" s="1849"/>
      <c r="L285" s="1235"/>
      <c r="M285" s="1849">
        <f>M283*M284</f>
        <v>160000</v>
      </c>
      <c r="N285" s="1849"/>
      <c r="O285" s="1235"/>
      <c r="P285" s="1849">
        <f>P283*P284</f>
        <v>1094181.778836</v>
      </c>
      <c r="Q285" s="1849"/>
      <c r="R285" s="1235"/>
      <c r="S285" s="1235"/>
      <c r="T285" s="1235"/>
      <c r="U285" s="1235"/>
      <c r="V285" s="1868"/>
      <c r="W285" s="1869"/>
      <c r="X285" s="1869"/>
      <c r="Y285" s="1235"/>
      <c r="Z285" s="1235"/>
      <c r="AA285" s="1235"/>
      <c r="AB285" s="1235"/>
      <c r="AC285" s="1235"/>
      <c r="AD285" s="1235"/>
      <c r="AE285" s="1235"/>
      <c r="AF285" s="1235"/>
      <c r="AG285" s="1235"/>
      <c r="AH285" s="1235"/>
      <c r="AI285" s="1235"/>
    </row>
    <row r="286" spans="1:35" ht="13.8">
      <c r="A286" s="1235"/>
      <c r="B286" s="1815" t="s">
        <v>728</v>
      </c>
      <c r="C286" s="1235"/>
      <c r="D286" s="1235"/>
      <c r="E286" s="1235"/>
      <c r="F286" s="1235"/>
      <c r="G286" s="1235"/>
      <c r="H286" s="1235"/>
      <c r="I286" s="1235"/>
      <c r="J286" s="1848">
        <f>ROUNDDOWN(J285+M285+P285,0)</f>
        <v>1254181</v>
      </c>
      <c r="K286" s="1848"/>
      <c r="L286" s="1848"/>
      <c r="M286" s="1848"/>
      <c r="N286" s="1848"/>
      <c r="O286" s="1848"/>
      <c r="P286" s="1848"/>
      <c r="Q286" s="1848"/>
      <c r="R286" s="1235"/>
      <c r="S286" s="1235"/>
      <c r="T286" s="1235"/>
      <c r="U286" s="1235"/>
      <c r="V286" s="1868"/>
      <c r="W286" s="1920"/>
      <c r="X286" s="1920"/>
      <c r="Y286" s="1235"/>
      <c r="Z286" s="1235"/>
      <c r="AA286" s="1235"/>
      <c r="AB286" s="1235"/>
      <c r="AC286" s="1235"/>
      <c r="AD286" s="1235"/>
      <c r="AE286" s="1235"/>
      <c r="AF286" s="1235"/>
      <c r="AG286" s="1235"/>
      <c r="AH286" s="1235"/>
      <c r="AI286" s="1235"/>
    </row>
    <row r="287" spans="1:35" ht="13.8">
      <c r="A287" s="1235"/>
      <c r="B287" s="1947"/>
      <c r="C287" s="1235"/>
      <c r="D287" s="1235"/>
      <c r="E287" s="1235"/>
      <c r="F287" s="1235"/>
      <c r="G287" s="1235"/>
      <c r="H287" s="1235"/>
      <c r="I287" s="1235"/>
      <c r="J287" s="1235"/>
      <c r="K287" s="1235"/>
      <c r="L287" s="1854"/>
      <c r="M287" s="1854"/>
      <c r="N287" s="1854"/>
      <c r="O287" s="1854"/>
      <c r="P287" s="1235"/>
      <c r="Q287" s="1235"/>
      <c r="R287" s="1235"/>
      <c r="S287" s="1235"/>
      <c r="T287" s="1235"/>
      <c r="U287" s="1235"/>
      <c r="V287" s="1868"/>
      <c r="W287" s="1235"/>
      <c r="X287" s="1235"/>
      <c r="Y287" s="1235"/>
      <c r="Z287" s="1235"/>
      <c r="AA287" s="1235"/>
      <c r="AB287" s="1235"/>
      <c r="AC287" s="1235"/>
      <c r="AD287" s="1235"/>
      <c r="AE287" s="1235"/>
      <c r="AF287" s="1235"/>
      <c r="AG287" s="1235"/>
      <c r="AH287" s="1235"/>
      <c r="AI287" s="1235"/>
    </row>
    <row r="288" spans="1:35" ht="13.8">
      <c r="A288" s="1867" t="s">
        <v>32</v>
      </c>
      <c r="B288" s="1867" t="s">
        <v>729</v>
      </c>
      <c r="C288" s="1235"/>
      <c r="D288" s="1235"/>
      <c r="E288" s="1235"/>
      <c r="F288" s="1235"/>
      <c r="G288" s="1235"/>
      <c r="H288" s="1933"/>
      <c r="I288" s="1933"/>
      <c r="J288" s="1235"/>
      <c r="K288" s="1235"/>
      <c r="L288" s="1235"/>
      <c r="M288" s="1948"/>
      <c r="N288" s="1235"/>
      <c r="O288" s="1235"/>
      <c r="P288" s="1235"/>
      <c r="Q288" s="1235"/>
      <c r="R288" s="1235"/>
      <c r="S288" s="1235"/>
      <c r="T288" s="1235"/>
      <c r="U288" s="1235"/>
      <c r="V288" s="1868"/>
      <c r="W288" s="1235"/>
      <c r="X288" s="1235"/>
      <c r="Y288" s="1235"/>
      <c r="Z288" s="1235"/>
      <c r="AA288" s="1235"/>
      <c r="AB288" s="1235"/>
      <c r="AC288" s="1235"/>
      <c r="AD288" s="1235"/>
      <c r="AE288" s="1235"/>
      <c r="AF288" s="1235"/>
      <c r="AG288" s="1235"/>
      <c r="AH288" s="1235"/>
      <c r="AI288" s="1235"/>
    </row>
    <row r="289" spans="1:35" ht="13.8">
      <c r="A289" s="1235"/>
      <c r="B289" s="1235"/>
      <c r="C289" s="1235"/>
      <c r="D289" s="1235"/>
      <c r="E289" s="1235"/>
      <c r="F289" s="1235"/>
      <c r="G289" s="1235"/>
      <c r="H289" s="1933"/>
      <c r="I289" s="1933"/>
      <c r="J289" s="1235"/>
      <c r="K289" s="1235"/>
      <c r="L289" s="1235"/>
      <c r="M289" s="1948"/>
      <c r="N289" s="1235"/>
      <c r="O289" s="1816"/>
      <c r="P289" s="1816"/>
      <c r="Q289" s="1816"/>
      <c r="R289" s="1816"/>
      <c r="S289" s="1816"/>
      <c r="T289" s="1816"/>
      <c r="U289" s="1816"/>
      <c r="V289" s="1816"/>
      <c r="W289" s="1235"/>
      <c r="X289" s="1235"/>
      <c r="Y289" s="1235"/>
      <c r="Z289" s="1235"/>
      <c r="AA289" s="1235"/>
      <c r="AB289" s="1235"/>
      <c r="AC289" s="1235"/>
      <c r="AD289" s="1235"/>
      <c r="AE289" s="1235"/>
      <c r="AF289" s="1235"/>
      <c r="AG289" s="1235"/>
      <c r="AH289" s="1235"/>
      <c r="AI289" s="1235"/>
    </row>
    <row r="290" spans="1:35" ht="13.8">
      <c r="A290" s="1235"/>
      <c r="B290" s="1815" t="s">
        <v>730</v>
      </c>
      <c r="C290" s="1235"/>
      <c r="D290" s="1235"/>
      <c r="E290" s="1235"/>
      <c r="F290" s="1235"/>
      <c r="G290" s="1235"/>
      <c r="H290" s="1235"/>
      <c r="I290" s="1235"/>
      <c r="J290" s="1235"/>
      <c r="K290" s="1235"/>
      <c r="L290" s="1235"/>
      <c r="M290" s="1235"/>
      <c r="N290" s="1235"/>
      <c r="O290" s="1235"/>
      <c r="P290" s="1235"/>
      <c r="Q290" s="1235"/>
      <c r="R290" s="1235"/>
      <c r="S290" s="1235"/>
      <c r="T290" s="1235"/>
      <c r="U290" s="1235"/>
      <c r="V290" s="1868"/>
      <c r="W290" s="1867" t="str">
        <f>B288</f>
        <v>TAX CREDIT CALCULATION - GAP METHOD</v>
      </c>
      <c r="X290" s="1235"/>
      <c r="Y290" s="1235"/>
      <c r="Z290" s="1235"/>
      <c r="AA290" s="1235"/>
      <c r="AB290" s="1235"/>
      <c r="AC290" s="1235"/>
      <c r="AD290" s="1235"/>
      <c r="AE290" s="1235"/>
      <c r="AF290" s="1235"/>
      <c r="AG290" s="1235"/>
      <c r="AH290" s="1235"/>
      <c r="AI290" s="1235"/>
    </row>
    <row r="291" spans="1:35" ht="12.75" customHeight="1">
      <c r="A291" s="1235"/>
      <c r="B291" s="1235" t="s">
        <v>7530</v>
      </c>
      <c r="C291" s="1235"/>
      <c r="D291" s="1235"/>
      <c r="E291" s="1235"/>
      <c r="F291" s="1235"/>
      <c r="G291" s="1235"/>
      <c r="H291" s="1235"/>
      <c r="I291" s="1235"/>
      <c r="J291" s="1849">
        <f>G261</f>
        <v>18027860.545297466</v>
      </c>
      <c r="K291" s="1849"/>
      <c r="L291" s="1849"/>
      <c r="M291" s="1235"/>
      <c r="N291" s="1943" t="s">
        <v>732</v>
      </c>
      <c r="O291" s="1943"/>
      <c r="P291" s="1943"/>
      <c r="Q291" s="1943"/>
      <c r="R291" s="1235"/>
      <c r="S291" s="1820" t="s">
        <v>733</v>
      </c>
      <c r="T291" s="1820"/>
      <c r="U291" s="1235"/>
      <c r="V291" s="1868"/>
      <c r="W291" s="1869"/>
      <c r="X291" s="1869"/>
      <c r="Y291" s="1235"/>
      <c r="Z291" s="1235"/>
      <c r="AA291" s="1235"/>
      <c r="AB291" s="1235"/>
      <c r="AC291" s="1235"/>
      <c r="AD291" s="1235"/>
      <c r="AE291" s="1235"/>
      <c r="AF291" s="1235"/>
      <c r="AG291" s="1235"/>
      <c r="AH291" s="1235"/>
      <c r="AI291" s="1235"/>
    </row>
    <row r="292" spans="1:35" ht="13.8">
      <c r="A292" s="1235"/>
      <c r="B292" s="1235" t="s">
        <v>734</v>
      </c>
      <c r="C292" s="1235"/>
      <c r="D292" s="1235"/>
      <c r="E292" s="1235"/>
      <c r="F292" s="1235"/>
      <c r="G292" s="1235"/>
      <c r="H292" s="1235"/>
      <c r="I292" s="1235"/>
      <c r="J292" s="1849">
        <f>'Part II-Sources of Funds'!$I$62-'Part II-Sources of Funds'!$I$46-'Part II-Sources of Funds'!$I$47-'Part II-Sources of Funds'!$I$53-'Part II-Sources of Funds'!$I$54</f>
        <v>3142860</v>
      </c>
      <c r="K292" s="1849"/>
      <c r="L292" s="1849"/>
      <c r="M292" s="1943"/>
      <c r="N292" s="1943"/>
      <c r="O292" s="1943"/>
      <c r="P292" s="1943"/>
      <c r="Q292" s="1943"/>
      <c r="R292" s="1235"/>
      <c r="S292" s="1820"/>
      <c r="T292" s="1820"/>
      <c r="U292" s="1235"/>
      <c r="V292" s="1868"/>
      <c r="W292" s="1869"/>
      <c r="X292" s="1869"/>
      <c r="Y292" s="1235"/>
      <c r="Z292" s="1235"/>
      <c r="AA292" s="1235"/>
      <c r="AB292" s="1235"/>
      <c r="AC292" s="1235"/>
      <c r="AD292" s="1235"/>
      <c r="AE292" s="1235"/>
      <c r="AF292" s="1235"/>
      <c r="AG292" s="1235"/>
      <c r="AH292" s="1235"/>
      <c r="AI292" s="1235"/>
    </row>
    <row r="293" spans="1:35" ht="13.8">
      <c r="A293" s="1235"/>
      <c r="B293" s="1235" t="s">
        <v>735</v>
      </c>
      <c r="C293" s="1235"/>
      <c r="D293" s="1235"/>
      <c r="E293" s="1235"/>
      <c r="F293" s="1235"/>
      <c r="G293" s="1235"/>
      <c r="H293" s="1235"/>
      <c r="I293" s="1235"/>
      <c r="J293" s="1849">
        <f>+J291-J292</f>
        <v>14885000.545297466</v>
      </c>
      <c r="K293" s="1849"/>
      <c r="L293" s="1849"/>
      <c r="M293" s="1943"/>
      <c r="N293" s="1943"/>
      <c r="O293" s="1943"/>
      <c r="P293" s="1943"/>
      <c r="Q293" s="1943"/>
      <c r="R293" s="1235"/>
      <c r="S293" s="1820"/>
      <c r="T293" s="1820"/>
      <c r="U293" s="1235"/>
      <c r="V293" s="1868"/>
      <c r="W293" s="1869"/>
      <c r="X293" s="1869"/>
      <c r="Y293" s="1235"/>
      <c r="Z293" s="1235"/>
      <c r="AA293" s="1235"/>
      <c r="AB293" s="1235"/>
      <c r="AC293" s="1235"/>
      <c r="AD293" s="1235"/>
      <c r="AE293" s="1235"/>
      <c r="AF293" s="1235"/>
      <c r="AG293" s="1235"/>
      <c r="AH293" s="1235"/>
      <c r="AI293" s="1235"/>
    </row>
    <row r="294" spans="1:35" ht="13.8">
      <c r="A294" s="1235"/>
      <c r="B294" s="1235" t="s">
        <v>736</v>
      </c>
      <c r="C294" s="1235"/>
      <c r="D294" s="1235"/>
      <c r="E294" s="1235"/>
      <c r="F294" s="1235"/>
      <c r="G294" s="1235"/>
      <c r="H294" s="1235"/>
      <c r="I294" s="1235"/>
      <c r="J294" s="1235" t="str">
        <f>"/ 10"</f>
        <v>/ 10</v>
      </c>
      <c r="K294" s="1235"/>
      <c r="L294" s="1235"/>
      <c r="M294" s="1741"/>
      <c r="N294" s="1949">
        <f>'Part II-Sources of Funds'!$I$46</f>
        <v>0</v>
      </c>
      <c r="O294" s="1949"/>
      <c r="P294" s="1949"/>
      <c r="Q294" s="1949"/>
      <c r="R294" s="1235"/>
      <c r="S294" s="1841" t="s">
        <v>737</v>
      </c>
      <c r="T294" s="1950">
        <f>'Part III-A-Uses of Funds'!T180</f>
        <v>0</v>
      </c>
      <c r="U294" s="1235"/>
      <c r="V294" s="1868"/>
      <c r="W294" s="1869"/>
      <c r="X294" s="1869"/>
      <c r="Y294" s="1235"/>
      <c r="Z294" s="1235"/>
      <c r="AA294" s="1235"/>
      <c r="AB294" s="1235"/>
      <c r="AC294" s="1235"/>
      <c r="AD294" s="1235"/>
      <c r="AE294" s="1235"/>
      <c r="AF294" s="1235"/>
      <c r="AG294" s="1235"/>
      <c r="AH294" s="1235"/>
      <c r="AI294" s="1235"/>
    </row>
    <row r="295" spans="1:35" ht="13.8">
      <c r="A295" s="1235"/>
      <c r="B295" s="1235" t="s">
        <v>738</v>
      </c>
      <c r="C295" s="1235"/>
      <c r="D295" s="1235"/>
      <c r="E295" s="1235"/>
      <c r="F295" s="1235"/>
      <c r="G295" s="1235"/>
      <c r="H295" s="1235"/>
      <c r="I295" s="1235"/>
      <c r="J295" s="1849">
        <f>J293/10</f>
        <v>1488500.0545297465</v>
      </c>
      <c r="K295" s="1849"/>
      <c r="L295" s="1849"/>
      <c r="M295" s="1235"/>
      <c r="N295" s="1949"/>
      <c r="O295" s="1949"/>
      <c r="P295" s="1949"/>
      <c r="Q295" s="1949"/>
      <c r="R295" s="1949"/>
      <c r="S295" s="1235"/>
      <c r="T295" s="1235"/>
      <c r="U295" s="1235"/>
      <c r="V295" s="1868"/>
      <c r="W295" s="1869"/>
      <c r="X295" s="1869"/>
      <c r="Y295" s="1235"/>
      <c r="Z295" s="1235"/>
      <c r="AA295" s="1235"/>
      <c r="AB295" s="1235"/>
      <c r="AC295" s="1235"/>
      <c r="AD295" s="1235"/>
      <c r="AE295" s="1235"/>
      <c r="AF295" s="1235"/>
      <c r="AG295" s="1235"/>
      <c r="AH295" s="1235"/>
      <c r="AI295" s="1235"/>
    </row>
    <row r="296" spans="1:35" ht="13.8">
      <c r="A296" s="1235"/>
      <c r="B296" s="1235"/>
      <c r="C296" s="1235"/>
      <c r="D296" s="1235"/>
      <c r="E296" s="1235"/>
      <c r="F296" s="1235"/>
      <c r="G296" s="1235"/>
      <c r="H296" s="1235"/>
      <c r="I296" s="1235"/>
      <c r="J296" s="1235"/>
      <c r="K296" s="1235"/>
      <c r="L296" s="1235"/>
      <c r="M296" s="270"/>
      <c r="N296" s="1235" t="s">
        <v>739</v>
      </c>
      <c r="O296" s="1235"/>
      <c r="P296" s="1235"/>
      <c r="Q296" s="1235" t="s">
        <v>193</v>
      </c>
      <c r="R296" s="1235"/>
      <c r="S296" s="1235"/>
      <c r="T296" s="1235"/>
      <c r="U296" s="1235"/>
      <c r="V296" s="1868"/>
      <c r="W296" s="1869"/>
      <c r="X296" s="1869"/>
      <c r="Y296" s="1235"/>
      <c r="Z296" s="1235" t="s">
        <v>721</v>
      </c>
      <c r="AA296" s="1235"/>
      <c r="AB296" s="1235"/>
      <c r="AC296" s="1235"/>
      <c r="AD296" s="1235"/>
      <c r="AE296" s="1235"/>
      <c r="AF296" s="1235"/>
      <c r="AG296" s="1235"/>
      <c r="AH296" s="1235"/>
      <c r="AI296" s="1235"/>
    </row>
    <row r="297" spans="1:35" ht="13.8">
      <c r="A297" s="1235"/>
      <c r="B297" s="1235" t="s">
        <v>7531</v>
      </c>
      <c r="C297" s="1235"/>
      <c r="D297" s="1235"/>
      <c r="E297" s="1235"/>
      <c r="F297" s="1235"/>
      <c r="G297" s="1235"/>
      <c r="H297" s="1235"/>
      <c r="I297" s="1235"/>
      <c r="J297" s="1951">
        <f>N297+Q297</f>
        <v>1.3</v>
      </c>
      <c r="K297" s="1951"/>
      <c r="L297" s="1951"/>
      <c r="M297" s="1086" t="s">
        <v>741</v>
      </c>
      <c r="N297" s="1952">
        <f>'Part III-A-Uses of Funds'!N183</f>
        <v>0.8</v>
      </c>
      <c r="O297" s="1952"/>
      <c r="P297" s="1086" t="s">
        <v>742</v>
      </c>
      <c r="Q297" s="1952">
        <f>'Part III-A-Uses of Funds'!Q183</f>
        <v>0.5</v>
      </c>
      <c r="R297" s="1952"/>
      <c r="S297" s="1235"/>
      <c r="T297" s="1235"/>
      <c r="U297" s="1235"/>
      <c r="V297" s="1868"/>
      <c r="W297" s="1869"/>
      <c r="X297" s="1869"/>
      <c r="Y297" s="1235"/>
      <c r="Z297" s="1236">
        <f>'DCA Underwriting Assumptions'!Q249</f>
        <v>0</v>
      </c>
      <c r="AA297" s="1235"/>
      <c r="AB297" s="1235"/>
      <c r="AC297" s="1235"/>
      <c r="AD297" s="1235"/>
      <c r="AE297" s="1235"/>
      <c r="AF297" s="1235"/>
      <c r="AG297" s="1235"/>
      <c r="AH297" s="1235"/>
      <c r="AI297" s="1235"/>
    </row>
    <row r="298" spans="1:35" ht="13.8">
      <c r="A298" s="1235"/>
      <c r="B298" s="1815" t="s">
        <v>743</v>
      </c>
      <c r="C298" s="1235"/>
      <c r="D298" s="1235"/>
      <c r="E298" s="1235"/>
      <c r="F298" s="1235"/>
      <c r="G298" s="1235"/>
      <c r="H298" s="1235"/>
      <c r="I298" s="1235"/>
      <c r="J298" s="1848">
        <f>ROUNDDOWN(IF(J297=0,"",J295/J297),0)</f>
        <v>1145000</v>
      </c>
      <c r="K298" s="1848"/>
      <c r="L298" s="1848"/>
      <c r="M298" s="270"/>
      <c r="N298" s="1235"/>
      <c r="O298" s="1235"/>
      <c r="P298" s="1235"/>
      <c r="Q298" s="1235"/>
      <c r="R298" s="1235"/>
      <c r="S298" s="1235"/>
      <c r="T298" s="1235"/>
      <c r="U298" s="1235"/>
      <c r="V298" s="1868"/>
      <c r="W298" s="1869"/>
      <c r="X298" s="1869"/>
      <c r="Y298" s="1235"/>
      <c r="Z298" s="1236">
        <f>'DCA Underwriting Assumptions'!Q250</f>
        <v>0</v>
      </c>
      <c r="AA298" s="1235"/>
      <c r="AB298" s="1235"/>
      <c r="AC298" s="1235"/>
      <c r="AD298" s="1235"/>
      <c r="AE298" s="1235"/>
      <c r="AF298" s="1235"/>
      <c r="AG298" s="1235"/>
      <c r="AH298" s="1235"/>
      <c r="AI298" s="1235"/>
    </row>
    <row r="299" spans="1:35" ht="13.8">
      <c r="A299" s="1235"/>
      <c r="B299" s="1235"/>
      <c r="C299" s="1235"/>
      <c r="D299" s="1235"/>
      <c r="E299" s="1235"/>
      <c r="F299" s="1235"/>
      <c r="G299" s="1235"/>
      <c r="H299" s="1235"/>
      <c r="I299" s="1235"/>
      <c r="J299" s="1953"/>
      <c r="K299" s="1953"/>
      <c r="L299" s="1953"/>
      <c r="M299" s="270"/>
      <c r="N299" s="1086"/>
      <c r="O299" s="1086"/>
      <c r="P299" s="1235"/>
      <c r="Q299" s="1235"/>
      <c r="R299" s="1235"/>
      <c r="S299" s="1235"/>
      <c r="T299" s="1235"/>
      <c r="U299" s="1235"/>
      <c r="V299" s="1868"/>
      <c r="W299" s="1869"/>
      <c r="X299" s="1869"/>
      <c r="Y299" s="1235"/>
      <c r="Z299" s="1235"/>
      <c r="AA299" s="1235"/>
      <c r="AB299" s="1235"/>
      <c r="AC299" s="1235"/>
      <c r="AD299" s="1235"/>
      <c r="AE299" s="1235"/>
      <c r="AF299" s="1235"/>
      <c r="AG299" s="1235"/>
      <c r="AH299" s="1235"/>
      <c r="AI299" s="1235"/>
    </row>
    <row r="300" spans="1:35" ht="13.8">
      <c r="A300" s="1867" t="s">
        <v>44</v>
      </c>
      <c r="B300" s="1867" t="s">
        <v>744</v>
      </c>
      <c r="C300" s="1235"/>
      <c r="D300" s="1235"/>
      <c r="E300" s="1235"/>
      <c r="F300" s="1235"/>
      <c r="G300" s="1235"/>
      <c r="H300" s="1933"/>
      <c r="I300" s="1933"/>
      <c r="J300" s="1235"/>
      <c r="K300" s="1235"/>
      <c r="L300" s="1235"/>
      <c r="M300" s="1235"/>
      <c r="N300" s="1235"/>
      <c r="O300" s="1235"/>
      <c r="P300" s="1235"/>
      <c r="Q300" s="1235"/>
      <c r="R300" s="1235"/>
      <c r="S300" s="1235"/>
      <c r="T300" s="1235"/>
      <c r="U300" s="1235"/>
      <c r="V300" s="1868"/>
      <c r="W300" s="1235"/>
      <c r="X300" s="1235"/>
      <c r="Y300" s="1235"/>
      <c r="Z300" s="1235"/>
      <c r="AA300" s="1235"/>
      <c r="AB300" s="1235"/>
      <c r="AC300" s="1235"/>
      <c r="AD300" s="1235"/>
      <c r="AE300" s="1235"/>
      <c r="AF300" s="1235"/>
      <c r="AG300" s="1235"/>
      <c r="AH300" s="1235"/>
      <c r="AI300" s="1235"/>
    </row>
    <row r="301" spans="1:35" ht="13.8">
      <c r="A301" s="1235"/>
      <c r="B301" s="1235"/>
      <c r="C301" s="1235"/>
      <c r="D301" s="1235"/>
      <c r="E301" s="1235"/>
      <c r="F301" s="1235"/>
      <c r="G301" s="1235"/>
      <c r="H301" s="1933"/>
      <c r="I301" s="1933"/>
      <c r="J301" s="1235"/>
      <c r="K301" s="1235"/>
      <c r="L301" s="1235"/>
      <c r="M301" s="1235"/>
      <c r="N301" s="1235"/>
      <c r="O301" s="1235"/>
      <c r="P301" s="1235"/>
      <c r="Q301" s="1880"/>
      <c r="R301" s="1880"/>
      <c r="S301" s="1954"/>
      <c r="T301" s="1954"/>
      <c r="U301" s="1815"/>
      <c r="V301" s="1815"/>
      <c r="W301" s="1235"/>
      <c r="X301" s="1235"/>
      <c r="Y301" s="1235"/>
      <c r="Z301" s="1235"/>
      <c r="AA301" s="1235"/>
      <c r="AB301" s="1235"/>
      <c r="AC301" s="1235"/>
      <c r="AD301" s="1235"/>
      <c r="AE301" s="1235"/>
      <c r="AF301" s="1235"/>
      <c r="AG301" s="1235"/>
      <c r="AH301" s="1235"/>
      <c r="AI301" s="1235"/>
    </row>
    <row r="302" spans="1:35" ht="13.8">
      <c r="A302" s="1235"/>
      <c r="B302" s="1815" t="s">
        <v>7532</v>
      </c>
      <c r="C302" s="1235"/>
      <c r="D302" s="1235"/>
      <c r="E302" s="1235"/>
      <c r="F302" s="1235"/>
      <c r="G302" s="1235"/>
      <c r="H302" s="1235"/>
      <c r="I302" s="1235"/>
      <c r="J302" s="1848">
        <f>'Part III-A-Uses of Funds'!J188</f>
        <v>1145000</v>
      </c>
      <c r="K302" s="1848"/>
      <c r="L302" s="1848"/>
      <c r="M302" s="1235"/>
      <c r="N302" s="1235"/>
      <c r="O302" s="1235"/>
      <c r="P302" s="1235"/>
      <c r="Q302" s="1820" t="s">
        <v>746</v>
      </c>
      <c r="R302" s="1820"/>
      <c r="S302" s="1820" t="str">
        <f>'Part VIII Scoring Criteria'!$X$11</f>
        <v>Rural</v>
      </c>
      <c r="T302" s="1820"/>
      <c r="U302" s="1086" t="str">
        <f>IF(OR(S302="Atlanta Metro", "Other Metro"), "Metro", IF(S302="Rural","Rural",""))</f>
        <v>Rural</v>
      </c>
      <c r="V302" s="1868"/>
      <c r="W302" s="1869"/>
      <c r="X302" s="1869"/>
      <c r="Y302" s="1235"/>
      <c r="Z302" s="1235"/>
      <c r="AA302" s="1235"/>
      <c r="AB302" s="1235"/>
      <c r="AC302" s="1235"/>
      <c r="AD302" s="1235"/>
      <c r="AE302" s="1235"/>
      <c r="AF302" s="1235"/>
      <c r="AG302" s="1235"/>
      <c r="AH302" s="1235"/>
      <c r="AI302" s="1235"/>
    </row>
    <row r="303" spans="1:35" ht="13.8">
      <c r="A303" s="1235"/>
      <c r="B303" s="1235"/>
      <c r="C303" s="1235"/>
      <c r="D303" s="1235"/>
      <c r="E303" s="1235"/>
      <c r="F303" s="1235"/>
      <c r="G303" s="1235"/>
      <c r="H303" s="1235"/>
      <c r="I303" s="1235"/>
      <c r="J303" s="1953"/>
      <c r="K303" s="1953"/>
      <c r="L303" s="1953"/>
      <c r="M303" s="270"/>
      <c r="N303" s="1086"/>
      <c r="O303" s="1086"/>
      <c r="P303" s="1235"/>
      <c r="Q303" s="1820"/>
      <c r="R303" s="1820"/>
      <c r="S303" s="1921"/>
      <c r="T303" s="1921"/>
      <c r="U303" s="1235"/>
      <c r="V303" s="1868"/>
      <c r="W303" s="1920"/>
      <c r="X303" s="1920"/>
      <c r="Y303" s="1235"/>
      <c r="Z303" s="1235"/>
      <c r="AA303" s="1235"/>
      <c r="AB303" s="1235"/>
      <c r="AC303" s="1235"/>
      <c r="AD303" s="1235"/>
      <c r="AE303" s="1235"/>
      <c r="AF303" s="1235"/>
      <c r="AG303" s="1235"/>
      <c r="AH303" s="1235"/>
      <c r="AI303" s="1235"/>
    </row>
    <row r="304" spans="1:35" ht="13.8">
      <c r="A304" s="1235"/>
      <c r="B304" s="1815" t="s">
        <v>7533</v>
      </c>
      <c r="C304" s="1235"/>
      <c r="D304" s="1235"/>
      <c r="E304" s="1235"/>
      <c r="F304" s="1235"/>
      <c r="G304" s="1235"/>
      <c r="H304" s="1235"/>
      <c r="I304" s="1235"/>
      <c r="J304" s="1848">
        <f>'Part III-A-Uses of Funds'!J190</f>
        <v>1145000</v>
      </c>
      <c r="K304" s="1848"/>
      <c r="L304" s="1848"/>
      <c r="M304" s="1955" t="str">
        <f>IF(J302=0,"",IF(J304&gt;J302,"Request can't exceed Maximum - REVISE (Try Round Down)!",""))</f>
        <v/>
      </c>
      <c r="N304" s="1955"/>
      <c r="O304" s="1955"/>
      <c r="P304" s="1955"/>
      <c r="Q304" s="1921" t="s">
        <v>748</v>
      </c>
      <c r="R304" s="1820"/>
      <c r="S304" s="1820" t="str">
        <f>'Part VIII Scoring Criteria'!$M$11</f>
        <v>Preservation</v>
      </c>
      <c r="T304" s="1820"/>
      <c r="U304" s="1235"/>
      <c r="V304" s="1868"/>
      <c r="W304" s="1869"/>
      <c r="X304" s="1869"/>
      <c r="Y304" s="1235"/>
      <c r="Z304" s="1235"/>
      <c r="AA304" s="1235"/>
      <c r="AB304" s="1235"/>
      <c r="AC304" s="1235"/>
      <c r="AD304" s="1235"/>
      <c r="AE304" s="1235"/>
      <c r="AF304" s="1235"/>
      <c r="AG304" s="1235"/>
      <c r="AH304" s="1235"/>
      <c r="AI304" s="1235"/>
    </row>
    <row r="305" spans="1:35" ht="13.8">
      <c r="A305" s="1235"/>
      <c r="B305" s="1235"/>
      <c r="C305" s="1235"/>
      <c r="D305" s="1235"/>
      <c r="E305" s="1235"/>
      <c r="F305" s="1235"/>
      <c r="G305" s="1235"/>
      <c r="H305" s="1235"/>
      <c r="I305" s="1235"/>
      <c r="J305" s="1953"/>
      <c r="K305" s="1953"/>
      <c r="L305" s="1953"/>
      <c r="M305" s="1955"/>
      <c r="N305" s="1955"/>
      <c r="O305" s="1955"/>
      <c r="P305" s="1955"/>
      <c r="Q305" s="1820"/>
      <c r="R305" s="1820"/>
      <c r="S305" s="1921"/>
      <c r="T305" s="1921"/>
      <c r="U305" s="1235"/>
      <c r="V305" s="1868"/>
      <c r="W305" s="1920"/>
      <c r="X305" s="1920"/>
      <c r="Y305" s="1235"/>
      <c r="Z305" s="1235"/>
      <c r="AA305" s="1235"/>
      <c r="AB305" s="1235"/>
      <c r="AC305" s="1235"/>
      <c r="AD305" s="1235"/>
      <c r="AE305" s="1235"/>
      <c r="AF305" s="1235"/>
      <c r="AG305" s="1235"/>
      <c r="AH305" s="1235"/>
      <c r="AI305" s="1235"/>
    </row>
    <row r="306" spans="1:35" ht="13.8">
      <c r="A306" s="1867"/>
      <c r="B306" s="1867" t="s">
        <v>7534</v>
      </c>
      <c r="C306" s="1235"/>
      <c r="D306" s="270"/>
      <c r="E306" s="270"/>
      <c r="F306" s="1821"/>
      <c r="G306" s="1235"/>
      <c r="H306" s="1235"/>
      <c r="I306" s="1235"/>
      <c r="J306" s="1848">
        <f>IF(J304="",0,+MIN(J302,J304))</f>
        <v>1145000</v>
      </c>
      <c r="K306" s="1848"/>
      <c r="L306" s="1848"/>
      <c r="M306" s="1955"/>
      <c r="N306" s="1955"/>
      <c r="O306" s="1955"/>
      <c r="P306" s="1955"/>
      <c r="Q306" s="290" t="s">
        <v>628</v>
      </c>
      <c r="R306" s="290"/>
      <c r="S306" s="1820" t="str">
        <f>IF(OR('Part I-Project Identification'!$F$12="9% Credit Competitive Round only", 'Part I-Project Identification'!$F$12="9% Credit &amp; HOME"),"9%",IF(OR('Part I-Project Identification'!$F$12="4% Credit/TE Bond", 'Part I-Project Identification'!$F$12="4% Credit/TE Bond &amp; HOME", 'Part I-Project Identification'!$F$12="4% Credit/TE Bond &amp; HOME NOFA", 'Part I-Project Identification'!$F$12="4% Credit &amp; NHTF", 'Part I-Project Identification'!$F$12="4% Credit &amp; NHTF &amp; HOME"),"4%",""))</f>
        <v/>
      </c>
      <c r="T306" s="1820"/>
      <c r="U306" s="1235"/>
      <c r="V306" s="1868"/>
      <c r="W306" s="1869"/>
      <c r="X306" s="1869"/>
      <c r="Y306" s="1235"/>
      <c r="Z306" s="1235"/>
      <c r="AA306" s="1235"/>
      <c r="AB306" s="1235"/>
      <c r="AC306" s="1235"/>
      <c r="AD306" s="1235"/>
      <c r="AE306" s="1235"/>
      <c r="AF306" s="1235"/>
      <c r="AG306" s="1235"/>
      <c r="AH306" s="1235"/>
      <c r="AI306" s="1235"/>
    </row>
    <row r="307" spans="1:35" ht="13.8">
      <c r="A307" s="270"/>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0"/>
      <c r="AG307" s="270"/>
      <c r="AH307" s="270"/>
      <c r="AI307" s="270"/>
    </row>
    <row r="308" spans="1:35" ht="13.8">
      <c r="A308" s="270"/>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0"/>
      <c r="AG308" s="270"/>
      <c r="AH308" s="270"/>
      <c r="AI308" s="270"/>
    </row>
    <row r="309" spans="1:35" ht="13.8">
      <c r="A309" s="1815" t="s">
        <v>58</v>
      </c>
      <c r="B309" s="269" t="s">
        <v>68</v>
      </c>
      <c r="C309" s="270"/>
      <c r="D309" s="270"/>
      <c r="E309" s="270"/>
      <c r="F309" s="270"/>
      <c r="G309" s="270"/>
      <c r="H309" s="270"/>
      <c r="I309" s="270"/>
      <c r="J309" s="270"/>
      <c r="K309" s="270"/>
      <c r="L309" s="270"/>
      <c r="M309" s="270"/>
      <c r="N309" s="1815" t="s">
        <v>67</v>
      </c>
      <c r="O309" s="1815" t="s">
        <v>70</v>
      </c>
      <c r="P309" s="270"/>
      <c r="Q309" s="270"/>
      <c r="R309" s="270"/>
      <c r="S309" s="270"/>
      <c r="T309" s="270"/>
      <c r="U309" s="270"/>
      <c r="V309" s="270"/>
      <c r="W309" s="270"/>
      <c r="X309" s="270"/>
      <c r="Y309" s="270"/>
      <c r="Z309" s="270"/>
      <c r="AA309" s="270"/>
      <c r="AB309" s="270"/>
      <c r="AC309" s="270"/>
      <c r="AD309" s="270"/>
      <c r="AE309" s="270"/>
      <c r="AF309" s="270"/>
      <c r="AG309" s="270"/>
      <c r="AH309" s="270"/>
      <c r="AI309" s="270"/>
    </row>
    <row r="310" spans="1:35" ht="15.75" customHeight="1">
      <c r="A310" s="1841" t="str">
        <f>'Part III-A-Uses of Funds'!A196</f>
        <v>* To all applicants: in addition to your other comments, please provide methodology for determining applicable construction hard costs.</v>
      </c>
      <c r="B310" s="1841"/>
      <c r="C310" s="1841"/>
      <c r="D310" s="1841"/>
      <c r="E310" s="1841"/>
      <c r="F310" s="1841"/>
      <c r="G310" s="1841"/>
      <c r="H310" s="1841"/>
      <c r="I310" s="1841"/>
      <c r="J310" s="1841"/>
      <c r="K310" s="1841"/>
      <c r="L310" s="1841"/>
      <c r="M310" s="1841"/>
      <c r="N310" s="1841"/>
      <c r="O310" s="1841"/>
      <c r="P310" s="1841"/>
      <c r="Q310" s="1841"/>
      <c r="R310" s="1841"/>
      <c r="S310" s="1841"/>
      <c r="T310" s="1841"/>
      <c r="U310" s="270"/>
      <c r="V310" s="1956"/>
      <c r="W310" s="1957" t="s">
        <v>289</v>
      </c>
      <c r="X310" s="1957"/>
      <c r="Y310" s="270"/>
      <c r="Z310" s="270"/>
      <c r="AA310" s="270"/>
      <c r="AB310" s="270"/>
      <c r="AC310" s="270"/>
      <c r="AD310" s="270"/>
      <c r="AE310" s="270"/>
      <c r="AF310" s="270"/>
      <c r="AG310" s="270"/>
      <c r="AH310" s="270"/>
      <c r="AI310" s="270"/>
    </row>
    <row r="315" spans="1:35" ht="15.6">
      <c r="A315" s="1958" t="str">
        <f>CONCATENATE("PART THREE (B) -  OTHER COSTS","  -  ",'Part I-Project Identification'!$O$7," - ",'Part I-Project Identification'!$F$27,"  -  ",'Part I-Project Identification'!$F$28,"  -  ",'Part I-Project Identification'!$J$28,",  ","County")</f>
        <v>PART THREE (B) -  OTHER COSTS  -  2026-0xx - The Groves  -  Tifton  -  Tift,  County</v>
      </c>
      <c r="B315" s="1958"/>
      <c r="C315" s="1958"/>
      <c r="D315" s="1958"/>
      <c r="E315" s="1958"/>
      <c r="F315" s="1958"/>
      <c r="G315" s="1958"/>
      <c r="H315" s="1958"/>
    </row>
    <row r="316" spans="1:35">
      <c r="A316" s="1959"/>
      <c r="B316" s="1959"/>
      <c r="C316" s="1959"/>
      <c r="D316" s="1959"/>
      <c r="E316" s="1959"/>
      <c r="F316" s="1959"/>
      <c r="G316" s="1959"/>
      <c r="H316" s="1959"/>
    </row>
    <row r="317" spans="1:35" ht="14.25" customHeight="1">
      <c r="A317" s="1960" t="s">
        <v>751</v>
      </c>
      <c r="B317" s="1960"/>
      <c r="C317" s="1960"/>
      <c r="D317" s="1960"/>
      <c r="E317" s="1960"/>
      <c r="F317" s="1960"/>
      <c r="G317" s="1960"/>
      <c r="H317" s="1960"/>
    </row>
    <row r="318" spans="1:35">
      <c r="A318" s="1959"/>
      <c r="B318" s="1959"/>
      <c r="C318" s="1959"/>
      <c r="D318" s="1959"/>
      <c r="E318" s="1959"/>
      <c r="F318" s="1959"/>
      <c r="G318" s="1959"/>
      <c r="H318" s="1959"/>
    </row>
    <row r="319" spans="1:35" ht="90" customHeight="1">
      <c r="A319" s="1961" t="s">
        <v>7535</v>
      </c>
      <c r="B319" s="1961"/>
      <c r="C319" s="1961"/>
      <c r="D319" s="1961"/>
      <c r="E319" s="1959"/>
      <c r="F319" s="1962" t="s">
        <v>753</v>
      </c>
      <c r="G319" s="1963"/>
      <c r="H319" s="1962" t="s">
        <v>754</v>
      </c>
    </row>
    <row r="320" spans="1:35">
      <c r="A320" s="1963"/>
      <c r="B320" s="1963"/>
      <c r="C320" s="1963"/>
      <c r="D320" s="1963"/>
      <c r="E320" s="1959"/>
      <c r="F320" s="1959"/>
      <c r="G320" s="1959"/>
      <c r="H320" s="1959"/>
    </row>
    <row r="321" spans="1:8">
      <c r="A321" s="1964"/>
      <c r="B321" s="1964"/>
      <c r="C321" s="1964"/>
      <c r="D321" s="1964"/>
      <c r="E321" s="1964"/>
      <c r="F321" s="1964"/>
      <c r="G321" s="1964"/>
      <c r="H321" s="1965"/>
    </row>
    <row r="322" spans="1:8">
      <c r="A322" s="1966" t="s">
        <v>518</v>
      </c>
      <c r="B322" s="1967"/>
      <c r="C322" s="1967"/>
      <c r="D322" s="1967"/>
      <c r="E322" s="1967"/>
      <c r="F322" s="1967"/>
      <c r="G322" s="1967"/>
      <c r="H322" s="1967"/>
    </row>
    <row r="323" spans="1:8" ht="13.5" customHeight="1">
      <c r="A323" s="1968" t="str">
        <f>'Part III-A-Uses of Funds'!$C$15</f>
        <v>PNA</v>
      </c>
      <c r="B323" s="1968"/>
      <c r="C323" s="1968"/>
      <c r="D323" s="1968"/>
      <c r="E323" s="1965"/>
      <c r="F323" s="1969" t="str">
        <f>'Part III-B-Other Items'!F9</f>
        <v>DCA-required due diligence report</v>
      </c>
      <c r="G323" s="1967"/>
      <c r="H323" s="1969" t="str">
        <f>'Part III-B-Other Items'!H9</f>
        <v>PNA is directly tied to the buildings in the project.</v>
      </c>
    </row>
    <row r="324" spans="1:8">
      <c r="A324" s="1968"/>
      <c r="B324" s="1968"/>
      <c r="C324" s="1968"/>
      <c r="D324" s="1968"/>
      <c r="E324" s="1965"/>
      <c r="F324" s="1969"/>
      <c r="G324" s="1967"/>
      <c r="H324" s="1969"/>
    </row>
    <row r="325" spans="1:8">
      <c r="A325" s="1965"/>
      <c r="B325" s="1965"/>
      <c r="C325" s="1965"/>
      <c r="D325" s="1965"/>
      <c r="E325" s="1965"/>
      <c r="F325" s="1969"/>
      <c r="G325" s="1967"/>
      <c r="H325" s="1969"/>
    </row>
    <row r="326" spans="1:8">
      <c r="A326" s="1970" t="s">
        <v>755</v>
      </c>
      <c r="B326" s="1971">
        <f>'Part III-A-Uses of Funds'!$G$15</f>
        <v>10000</v>
      </c>
      <c r="C326" s="1970" t="s">
        <v>714</v>
      </c>
      <c r="D326" s="1971">
        <f>'Part III-A-Uses of Funds'!$J$15+'Part III-A-Uses of Funds'!$M$15+'Part III-A-Uses of Funds'!$P$15</f>
        <v>10000</v>
      </c>
      <c r="E326" s="1965"/>
      <c r="F326" s="1969"/>
      <c r="G326" s="1967"/>
      <c r="H326" s="1969"/>
    </row>
    <row r="327" spans="1:8">
      <c r="A327" s="1967"/>
      <c r="B327" s="1972"/>
      <c r="C327" s="1967"/>
      <c r="D327" s="1967"/>
      <c r="E327" s="1965"/>
      <c r="F327" s="1969"/>
      <c r="G327" s="1973"/>
      <c r="H327" s="1969"/>
    </row>
    <row r="328" spans="1:8" ht="13.5" customHeight="1">
      <c r="A328" s="1968" t="str">
        <f>'Part III-A-Uses of Funds'!$C$16</f>
        <v>Front-End Cost Review</v>
      </c>
      <c r="B328" s="1968"/>
      <c r="C328" s="1968"/>
      <c r="D328" s="1968"/>
      <c r="E328" s="1965"/>
      <c r="F328" s="1969" t="str">
        <f>'Part III-B-Other Items'!F14</f>
        <v>DCA-required due diligence report</v>
      </c>
      <c r="G328" s="1967"/>
      <c r="H328" s="1969" t="str">
        <f>'Part III-B-Other Items'!H14</f>
        <v>Front-end cost review is directly tied to the buildings in the project.</v>
      </c>
    </row>
    <row r="329" spans="1:8">
      <c r="A329" s="1968"/>
      <c r="B329" s="1968"/>
      <c r="C329" s="1968"/>
      <c r="D329" s="1968"/>
      <c r="E329" s="1965"/>
      <c r="F329" s="1969"/>
      <c r="G329" s="1967"/>
      <c r="H329" s="1969"/>
    </row>
    <row r="330" spans="1:8">
      <c r="A330" s="1965"/>
      <c r="B330" s="1965"/>
      <c r="C330" s="1965"/>
      <c r="D330" s="1965"/>
      <c r="E330" s="1965"/>
      <c r="F330" s="1969"/>
      <c r="G330" s="1967"/>
      <c r="H330" s="1969"/>
    </row>
    <row r="331" spans="1:8">
      <c r="A331" s="1970" t="s">
        <v>755</v>
      </c>
      <c r="B331" s="1971">
        <f>'Part III-A-Uses of Funds'!$G$16</f>
        <v>15000</v>
      </c>
      <c r="C331" s="1970" t="s">
        <v>714</v>
      </c>
      <c r="D331" s="1971">
        <f>'Part III-A-Uses of Funds'!$J$16+'Part III-A-Uses of Funds'!$M$16+'Part III-A-Uses of Funds'!$P$16</f>
        <v>15000</v>
      </c>
      <c r="E331" s="1965"/>
      <c r="F331" s="1969"/>
      <c r="G331" s="1967"/>
      <c r="H331" s="1969"/>
    </row>
    <row r="332" spans="1:8">
      <c r="A332" s="1967"/>
      <c r="B332" s="1972"/>
      <c r="C332" s="1967"/>
      <c r="D332" s="1967"/>
      <c r="E332" s="1965"/>
      <c r="F332" s="1969"/>
      <c r="G332" s="1973"/>
      <c r="H332" s="1969"/>
    </row>
    <row r="333" spans="1:8" ht="13.5" customHeight="1">
      <c r="A333" s="1968" t="str">
        <f>'Part III-A-Uses of Funds'!$C$17</f>
        <v>Energy Audit</v>
      </c>
      <c r="B333" s="1968"/>
      <c r="C333" s="1968"/>
      <c r="D333" s="1968"/>
      <c r="E333" s="1965"/>
      <c r="F333" s="1969" t="str">
        <f>'Part III-B-Other Items'!F19</f>
        <v>DCA-required due diligence report</v>
      </c>
      <c r="G333" s="1967"/>
      <c r="H333" s="1969" t="str">
        <f>'Part III-B-Other Items'!H19</f>
        <v>Energy Audit is directly tied to the buildings in the project.</v>
      </c>
    </row>
    <row r="334" spans="1:8">
      <c r="A334" s="1968"/>
      <c r="B334" s="1968"/>
      <c r="C334" s="1968"/>
      <c r="D334" s="1968"/>
      <c r="E334" s="1965"/>
      <c r="F334" s="1969"/>
      <c r="G334" s="1967"/>
      <c r="H334" s="1969"/>
    </row>
    <row r="335" spans="1:8">
      <c r="A335" s="1965"/>
      <c r="B335" s="1965"/>
      <c r="C335" s="1965"/>
      <c r="D335" s="1965"/>
      <c r="E335" s="1965"/>
      <c r="F335" s="1969"/>
      <c r="G335" s="1967"/>
      <c r="H335" s="1969"/>
    </row>
    <row r="336" spans="1:8">
      <c r="A336" s="1970" t="s">
        <v>755</v>
      </c>
      <c r="B336" s="1971">
        <f>'Part III-A-Uses of Funds'!$G$17</f>
        <v>10000</v>
      </c>
      <c r="C336" s="1970" t="s">
        <v>714</v>
      </c>
      <c r="D336" s="1971">
        <f>'Part III-A-Uses of Funds'!$J$17+'Part III-A-Uses of Funds'!$M$17+'Part III-A-Uses of Funds'!$P$17</f>
        <v>10000</v>
      </c>
      <c r="E336" s="1965"/>
      <c r="F336" s="1969"/>
      <c r="G336" s="1967"/>
      <c r="H336" s="1969"/>
    </row>
    <row r="337" spans="1:8">
      <c r="A337" s="1967"/>
      <c r="B337" s="1972"/>
      <c r="C337" s="1967"/>
      <c r="D337" s="1967"/>
      <c r="E337" s="1965"/>
      <c r="F337" s="1969"/>
      <c r="G337" s="1973"/>
      <c r="H337" s="1969"/>
    </row>
    <row r="338" spans="1:8">
      <c r="A338" s="1966" t="s">
        <v>756</v>
      </c>
      <c r="B338" s="1967"/>
      <c r="C338" s="1967"/>
      <c r="D338" s="1967"/>
      <c r="E338" s="1967"/>
      <c r="F338" s="1967"/>
      <c r="G338" s="1967"/>
      <c r="H338" s="1965"/>
    </row>
    <row r="339" spans="1:8" ht="12.75" customHeight="1">
      <c r="A339" s="1968" t="str">
        <f>'Part III-A-Uses of Funds'!$C$46</f>
        <v>&lt;&lt; Enter description here; provide detail &amp; justification in tab Part III-b &gt;&gt;</v>
      </c>
      <c r="B339" s="1968"/>
      <c r="C339" s="1968"/>
      <c r="D339" s="1968"/>
      <c r="E339" s="1967"/>
      <c r="F339" s="1969">
        <f>'Part III-B-Other Items'!F25</f>
        <v>0</v>
      </c>
      <c r="G339" s="1967"/>
      <c r="H339" s="1969">
        <f>'Part III-B-Other Items'!H25</f>
        <v>0</v>
      </c>
    </row>
    <row r="340" spans="1:8" ht="12.75" customHeight="1">
      <c r="A340" s="1968"/>
      <c r="B340" s="1968"/>
      <c r="C340" s="1968"/>
      <c r="D340" s="1968"/>
      <c r="E340" s="1967"/>
      <c r="F340" s="1969"/>
      <c r="G340" s="1967"/>
      <c r="H340" s="1969"/>
    </row>
    <row r="341" spans="1:8">
      <c r="A341" s="1967"/>
      <c r="B341" s="1967"/>
      <c r="C341" s="1967"/>
      <c r="D341" s="1967"/>
      <c r="E341" s="1967"/>
      <c r="F341" s="1969"/>
      <c r="G341" s="1967"/>
      <c r="H341" s="1969"/>
    </row>
    <row r="342" spans="1:8">
      <c r="A342" s="1970" t="s">
        <v>755</v>
      </c>
      <c r="B342" s="1971">
        <f>'Part III-A-Uses of Funds'!$G$46</f>
        <v>0</v>
      </c>
      <c r="C342" s="1970" t="s">
        <v>714</v>
      </c>
      <c r="D342" s="1971">
        <f>'Part III-A-Uses of Funds'!$J$46+'Part III-A-Uses of Funds'!$M$46+'Part III-A-Uses of Funds'!$P$46</f>
        <v>0</v>
      </c>
      <c r="E342" s="1967"/>
      <c r="F342" s="1969"/>
      <c r="G342" s="1967"/>
      <c r="H342" s="1969"/>
    </row>
    <row r="343" spans="1:8">
      <c r="A343" s="1967"/>
      <c r="B343" s="1972"/>
      <c r="C343" s="1967"/>
      <c r="D343" s="1967"/>
      <c r="E343" s="1967"/>
      <c r="F343" s="1969"/>
      <c r="G343" s="1973"/>
      <c r="H343" s="1969"/>
    </row>
    <row r="344" spans="1:8">
      <c r="A344" s="1966" t="s">
        <v>580</v>
      </c>
      <c r="B344" s="1967"/>
      <c r="C344" s="1967"/>
      <c r="D344" s="1967"/>
      <c r="E344" s="1967"/>
      <c r="F344" s="1967"/>
      <c r="G344" s="1967"/>
      <c r="H344" s="1965"/>
    </row>
    <row r="345" spans="1:8" ht="12.75" customHeight="1">
      <c r="A345" s="1968" t="str">
        <f>'Part III-A-Uses of Funds'!$C$71</f>
        <v>&lt;&lt; Enter description here; provide detail &amp; justification in tab Part III-b &gt;&gt;</v>
      </c>
      <c r="B345" s="1968"/>
      <c r="C345" s="1968"/>
      <c r="D345" s="1968"/>
      <c r="E345" s="1967"/>
      <c r="F345" s="1969">
        <f>'Part III-B-Other Items'!F31</f>
        <v>0</v>
      </c>
      <c r="G345" s="1967"/>
      <c r="H345" s="1969">
        <f>'Part III-B-Other Items'!H31</f>
        <v>0</v>
      </c>
    </row>
    <row r="346" spans="1:8" ht="12.75" customHeight="1">
      <c r="A346" s="1968"/>
      <c r="B346" s="1968"/>
      <c r="C346" s="1968"/>
      <c r="D346" s="1968"/>
      <c r="E346" s="1967"/>
      <c r="F346" s="1969"/>
      <c r="G346" s="1967"/>
      <c r="H346" s="1969"/>
    </row>
    <row r="347" spans="1:8">
      <c r="A347" s="1967"/>
      <c r="B347" s="1967"/>
      <c r="C347" s="1967"/>
      <c r="D347" s="1967"/>
      <c r="E347" s="1967"/>
      <c r="F347" s="1969"/>
      <c r="G347" s="1967"/>
      <c r="H347" s="1969"/>
    </row>
    <row r="348" spans="1:8">
      <c r="A348" s="1970" t="s">
        <v>755</v>
      </c>
      <c r="B348" s="1971">
        <f>'Part III-A-Uses of Funds'!$G$71</f>
        <v>0</v>
      </c>
      <c r="C348" s="1970" t="s">
        <v>714</v>
      </c>
      <c r="D348" s="1971">
        <f>'Part III-A-Uses of Funds'!$J$71+'Part III-A-Uses of Funds'!$M$71+'Part III-A-Uses of Funds'!$P$71</f>
        <v>0</v>
      </c>
      <c r="E348" s="1967"/>
      <c r="F348" s="1969"/>
      <c r="G348" s="1967"/>
      <c r="H348" s="1969"/>
    </row>
    <row r="349" spans="1:8">
      <c r="A349" s="1965"/>
      <c r="B349" s="1965"/>
      <c r="C349" s="1965"/>
      <c r="D349" s="1967"/>
      <c r="E349" s="1967"/>
      <c r="F349" s="1969"/>
      <c r="G349" s="1973"/>
      <c r="H349" s="1969"/>
    </row>
    <row r="350" spans="1:8" ht="12.75" customHeight="1">
      <c r="A350" s="1968" t="str">
        <f>'Part III-A-Uses of Funds'!$C$72</f>
        <v>&lt;&lt; Enter description here; provide detail &amp; justification in tab Part III-b &gt;&gt;</v>
      </c>
      <c r="B350" s="1968"/>
      <c r="C350" s="1968"/>
      <c r="D350" s="1968"/>
      <c r="E350" s="1967"/>
      <c r="F350" s="1969">
        <f>'Part III-B-Other Items'!F36</f>
        <v>0</v>
      </c>
      <c r="G350" s="1967"/>
      <c r="H350" s="1969">
        <f>'Part III-B-Other Items'!H36</f>
        <v>0</v>
      </c>
    </row>
    <row r="351" spans="1:8" ht="12.75" customHeight="1">
      <c r="A351" s="1968"/>
      <c r="B351" s="1968"/>
      <c r="C351" s="1968"/>
      <c r="D351" s="1968"/>
      <c r="E351" s="1967"/>
      <c r="F351" s="1969"/>
      <c r="G351" s="1967"/>
      <c r="H351" s="1969"/>
    </row>
    <row r="352" spans="1:8">
      <c r="A352" s="1967"/>
      <c r="B352" s="1967"/>
      <c r="C352" s="1967"/>
      <c r="D352" s="1967"/>
      <c r="E352" s="1967"/>
      <c r="F352" s="1969"/>
      <c r="G352" s="1967"/>
      <c r="H352" s="1969"/>
    </row>
    <row r="353" spans="1:8">
      <c r="A353" s="1970" t="s">
        <v>755</v>
      </c>
      <c r="B353" s="1971">
        <f>'Part III-A-Uses of Funds'!$G$72</f>
        <v>0</v>
      </c>
      <c r="C353" s="1970" t="s">
        <v>714</v>
      </c>
      <c r="D353" s="1971">
        <f>'Part III-A-Uses of Funds'!$J$72+'Part III-A-Uses of Funds'!$M$72+'Part III-A-Uses of Funds'!$P$72</f>
        <v>0</v>
      </c>
      <c r="E353" s="1967"/>
      <c r="F353" s="1969"/>
      <c r="G353" s="1967"/>
      <c r="H353" s="1969"/>
    </row>
    <row r="354" spans="1:8">
      <c r="A354" s="1965"/>
      <c r="B354" s="1965"/>
      <c r="C354" s="1965"/>
      <c r="D354" s="1967"/>
      <c r="E354" s="1967"/>
      <c r="F354" s="1969"/>
      <c r="G354" s="1973"/>
      <c r="H354" s="1969"/>
    </row>
    <row r="355" spans="1:8">
      <c r="A355" s="1966" t="s">
        <v>596</v>
      </c>
      <c r="B355" s="1967"/>
      <c r="C355" s="1967"/>
      <c r="D355" s="1967"/>
      <c r="E355" s="1974"/>
      <c r="F355" s="1974"/>
      <c r="G355" s="1967"/>
      <c r="H355" s="1965"/>
    </row>
    <row r="356" spans="1:8" ht="13.5" customHeight="1">
      <c r="A356" s="1968" t="str">
        <f>'Part III-A-Uses of Funds'!$C$85</f>
        <v>&lt;&lt; Enter description here; provide detail &amp; justification in tab Part III-b &gt;&gt;</v>
      </c>
      <c r="B356" s="1968"/>
      <c r="C356" s="1968"/>
      <c r="D356" s="1968"/>
      <c r="E356" s="1965"/>
      <c r="F356" s="1969">
        <f>'Part III-B-Other Items'!F42</f>
        <v>0</v>
      </c>
      <c r="G356" s="1967"/>
      <c r="H356" s="1969">
        <f>'Part III-B-Other Items'!H42</f>
        <v>0</v>
      </c>
    </row>
    <row r="357" spans="1:8" ht="12.75" customHeight="1">
      <c r="A357" s="1968"/>
      <c r="B357" s="1968"/>
      <c r="C357" s="1968"/>
      <c r="D357" s="1968"/>
      <c r="E357" s="1967"/>
      <c r="F357" s="1969"/>
      <c r="G357" s="1967"/>
      <c r="H357" s="1969"/>
    </row>
    <row r="358" spans="1:8">
      <c r="A358" s="1967"/>
      <c r="B358" s="1967"/>
      <c r="C358" s="1967"/>
      <c r="D358" s="1967"/>
      <c r="E358" s="1967"/>
      <c r="F358" s="1969"/>
      <c r="G358" s="1967"/>
      <c r="H358" s="1969"/>
    </row>
    <row r="359" spans="1:8">
      <c r="A359" s="1970" t="s">
        <v>755</v>
      </c>
      <c r="B359" s="1971">
        <f>'Part III-A-Uses of Funds'!$G$85</f>
        <v>0</v>
      </c>
      <c r="C359" s="1970" t="s">
        <v>714</v>
      </c>
      <c r="D359" s="1971">
        <f>'Part III-A-Uses of Funds'!$J$85+'Part III-A-Uses of Funds'!$M$85+'Part III-A-Uses of Funds'!$P$85</f>
        <v>0</v>
      </c>
      <c r="E359" s="1967"/>
      <c r="F359" s="1969"/>
      <c r="G359" s="1967"/>
      <c r="H359" s="1969"/>
    </row>
    <row r="360" spans="1:8">
      <c r="A360" s="1967"/>
      <c r="B360" s="1972"/>
      <c r="C360" s="1967"/>
      <c r="D360" s="1967"/>
      <c r="E360" s="1967"/>
      <c r="F360" s="1969"/>
      <c r="G360" s="1973"/>
      <c r="H360" s="1969"/>
    </row>
    <row r="361" spans="1:8">
      <c r="A361" s="1966" t="s">
        <v>619</v>
      </c>
      <c r="B361" s="1967"/>
      <c r="C361" s="1967"/>
      <c r="D361" s="1967"/>
      <c r="E361" s="1967"/>
      <c r="F361" s="1967"/>
      <c r="G361" s="1967"/>
      <c r="H361" s="1965"/>
    </row>
    <row r="362" spans="1:8" ht="13.5" customHeight="1">
      <c r="A362" s="1968" t="str">
        <f>'Part III-A-Uses of Funds'!$C$102</f>
        <v>&lt;&lt; Enter description here; provide detail &amp; justification in tab Part III-b &gt;&gt;</v>
      </c>
      <c r="B362" s="1968"/>
      <c r="C362" s="1968"/>
      <c r="D362" s="1968"/>
      <c r="E362" s="1965"/>
      <c r="F362" s="1969">
        <f>'Part III-B-Other Items'!F48</f>
        <v>0</v>
      </c>
      <c r="G362" s="1967"/>
      <c r="H362" s="1965"/>
    </row>
    <row r="363" spans="1:8">
      <c r="A363" s="1968"/>
      <c r="B363" s="1968"/>
      <c r="C363" s="1968"/>
      <c r="D363" s="1968"/>
      <c r="E363" s="1967"/>
      <c r="F363" s="1969"/>
      <c r="G363" s="1967"/>
      <c r="H363" s="1965"/>
    </row>
    <row r="364" spans="1:8">
      <c r="A364" s="1967"/>
      <c r="B364" s="1967"/>
      <c r="C364" s="1967"/>
      <c r="D364" s="1967"/>
      <c r="E364" s="1967"/>
      <c r="F364" s="1969"/>
      <c r="G364" s="1967"/>
      <c r="H364" s="1965"/>
    </row>
    <row r="365" spans="1:8">
      <c r="A365" s="1970" t="s">
        <v>755</v>
      </c>
      <c r="B365" s="1971">
        <f>'Part III-A-Uses of Funds'!$G$102</f>
        <v>0</v>
      </c>
      <c r="C365" s="1975"/>
      <c r="D365" s="1975"/>
      <c r="E365" s="1967"/>
      <c r="F365" s="1969"/>
      <c r="G365" s="1967"/>
      <c r="H365" s="1965"/>
    </row>
    <row r="366" spans="1:8">
      <c r="A366" s="1967"/>
      <c r="B366" s="1967"/>
      <c r="C366" s="1967"/>
      <c r="D366" s="1967"/>
      <c r="E366" s="1967"/>
      <c r="F366" s="1969"/>
      <c r="G366" s="1973"/>
      <c r="H366" s="1965"/>
    </row>
    <row r="367" spans="1:8">
      <c r="A367" s="1966" t="s">
        <v>7536</v>
      </c>
      <c r="B367" s="1967"/>
      <c r="C367" s="1967"/>
      <c r="D367" s="1967"/>
      <c r="E367" s="1967"/>
      <c r="F367" s="1967"/>
      <c r="G367" s="1967"/>
      <c r="H367" s="1965"/>
    </row>
    <row r="368" spans="1:8" ht="13.5" customHeight="1">
      <c r="A368" s="1968" t="str">
        <f>'Part III-A-Uses of Funds'!$C$112</f>
        <v>&lt;&lt; Enter description here; provide detail &amp; justification in tab Part III-b &gt;&gt;</v>
      </c>
      <c r="B368" s="1968"/>
      <c r="C368" s="1968"/>
      <c r="D368" s="1968"/>
      <c r="E368" s="1965"/>
      <c r="F368" s="1969">
        <f>'Part III-B-Other Items'!F54</f>
        <v>0</v>
      </c>
      <c r="G368" s="1967"/>
      <c r="H368" s="1965"/>
    </row>
    <row r="369" spans="1:8">
      <c r="A369" s="1968"/>
      <c r="B369" s="1968"/>
      <c r="C369" s="1968"/>
      <c r="D369" s="1968"/>
      <c r="E369" s="1967"/>
      <c r="F369" s="1969"/>
      <c r="G369" s="1967"/>
      <c r="H369" s="1965"/>
    </row>
    <row r="370" spans="1:8">
      <c r="A370" s="1967"/>
      <c r="B370" s="1967"/>
      <c r="C370" s="1967"/>
      <c r="D370" s="1967"/>
      <c r="E370" s="1967"/>
      <c r="F370" s="1969"/>
      <c r="G370" s="1967"/>
      <c r="H370" s="1965"/>
    </row>
    <row r="371" spans="1:8">
      <c r="A371" s="1970" t="s">
        <v>755</v>
      </c>
      <c r="B371" s="1971">
        <f>'Part III-A-Uses of Funds'!$G$112</f>
        <v>0</v>
      </c>
      <c r="C371" s="1975"/>
      <c r="D371" s="1975"/>
      <c r="E371" s="1967"/>
      <c r="F371" s="1969"/>
      <c r="G371" s="1967"/>
      <c r="H371" s="1965"/>
    </row>
    <row r="372" spans="1:8">
      <c r="A372" s="1964"/>
      <c r="B372" s="1964"/>
      <c r="C372" s="1964"/>
      <c r="D372" s="1964"/>
      <c r="E372" s="1964"/>
      <c r="F372" s="1969"/>
      <c r="G372" s="1973"/>
      <c r="H372" s="1965"/>
    </row>
    <row r="373" spans="1:8" ht="13.5" customHeight="1">
      <c r="A373" s="1968" t="str">
        <f>'Part III-A-Uses of Funds'!$C$113</f>
        <v>&lt;&lt; Enter description here; provide detail &amp; justification in tab Part III-b &gt;&gt;</v>
      </c>
      <c r="B373" s="1968"/>
      <c r="C373" s="1968"/>
      <c r="D373" s="1968"/>
      <c r="E373" s="1965"/>
      <c r="F373" s="1969">
        <f>'Part III-B-Other Items'!F59</f>
        <v>0</v>
      </c>
      <c r="G373" s="1967"/>
      <c r="H373" s="1965"/>
    </row>
    <row r="374" spans="1:8">
      <c r="A374" s="1968"/>
      <c r="B374" s="1968"/>
      <c r="C374" s="1968"/>
      <c r="D374" s="1968"/>
      <c r="E374" s="1967"/>
      <c r="F374" s="1969"/>
      <c r="G374" s="1967"/>
      <c r="H374" s="1965"/>
    </row>
    <row r="375" spans="1:8">
      <c r="A375" s="1967"/>
      <c r="B375" s="1967"/>
      <c r="C375" s="1967"/>
      <c r="D375" s="1967"/>
      <c r="E375" s="1967"/>
      <c r="F375" s="1969"/>
      <c r="G375" s="1967"/>
      <c r="H375" s="1965"/>
    </row>
    <row r="376" spans="1:8">
      <c r="A376" s="1970" t="s">
        <v>755</v>
      </c>
      <c r="B376" s="1971">
        <f>'Part III-A-Uses of Funds'!$G$113</f>
        <v>0</v>
      </c>
      <c r="C376" s="1975"/>
      <c r="D376" s="1975"/>
      <c r="E376" s="1967"/>
      <c r="F376" s="1969"/>
      <c r="G376" s="1967"/>
      <c r="H376" s="1965"/>
    </row>
    <row r="377" spans="1:8">
      <c r="A377" s="1964"/>
      <c r="B377" s="1964"/>
      <c r="C377" s="1964"/>
      <c r="D377" s="1964"/>
      <c r="E377" s="1964"/>
      <c r="F377" s="1969"/>
      <c r="G377" s="1973"/>
      <c r="H377" s="1965"/>
    </row>
    <row r="378" spans="1:8">
      <c r="A378" s="1966" t="s">
        <v>7537</v>
      </c>
      <c r="B378" s="1967"/>
      <c r="C378" s="1967"/>
      <c r="D378" s="1967"/>
      <c r="E378" s="1967"/>
      <c r="F378" s="1967"/>
      <c r="G378" s="1967"/>
      <c r="H378" s="1965"/>
    </row>
    <row r="379" spans="1:8" ht="13.5" customHeight="1">
      <c r="A379" s="1968" t="str">
        <f>'Part III-A-Uses of Funds'!$C$119</f>
        <v>&lt;&lt; Enter description here; provide detail &amp; justification in tab Part III-b &gt;&gt;</v>
      </c>
      <c r="B379" s="1968"/>
      <c r="C379" s="1968"/>
      <c r="D379" s="1968"/>
      <c r="E379" s="1965"/>
      <c r="F379" s="1969">
        <f>'Part III-B-Other Items'!F65</f>
        <v>0</v>
      </c>
      <c r="G379" s="1967"/>
      <c r="H379" s="1965"/>
    </row>
    <row r="380" spans="1:8">
      <c r="A380" s="1968"/>
      <c r="B380" s="1968"/>
      <c r="C380" s="1968"/>
      <c r="D380" s="1968"/>
      <c r="E380" s="1967"/>
      <c r="F380" s="1969"/>
      <c r="G380" s="1967"/>
      <c r="H380" s="1965"/>
    </row>
    <row r="381" spans="1:8">
      <c r="A381" s="1967"/>
      <c r="B381" s="1967"/>
      <c r="C381" s="1967"/>
      <c r="D381" s="1967"/>
      <c r="E381" s="1967"/>
      <c r="F381" s="1969"/>
      <c r="G381" s="1967"/>
      <c r="H381" s="1965"/>
    </row>
    <row r="382" spans="1:8">
      <c r="A382" s="1970" t="s">
        <v>755</v>
      </c>
      <c r="B382" s="1971">
        <f>'Part III-A-Uses of Funds'!$G$119</f>
        <v>0</v>
      </c>
      <c r="C382" s="1975"/>
      <c r="D382" s="1975"/>
      <c r="E382" s="1967"/>
      <c r="F382" s="1969"/>
      <c r="G382" s="1967"/>
      <c r="H382" s="1965"/>
    </row>
    <row r="383" spans="1:8">
      <c r="A383" s="1967"/>
      <c r="B383" s="1972"/>
      <c r="C383" s="1967"/>
      <c r="D383" s="1967"/>
      <c r="E383" s="1967"/>
      <c r="F383" s="1969"/>
      <c r="G383" s="1973"/>
      <c r="H383" s="1965"/>
    </row>
    <row r="384" spans="1:8">
      <c r="A384" s="1966" t="s">
        <v>681</v>
      </c>
      <c r="B384" s="1967"/>
      <c r="C384" s="1967"/>
      <c r="D384" s="1967"/>
      <c r="E384" s="1967"/>
      <c r="F384" s="1967"/>
      <c r="G384" s="1967"/>
      <c r="H384" s="1965"/>
    </row>
    <row r="385" spans="1:13" ht="13.5" customHeight="1">
      <c r="A385" s="1968" t="str">
        <f>'Part III-A-Uses of Funds'!$C$135</f>
        <v>&lt;&lt; Enter description here; provide detail &amp; justification in tab Part III-b &gt;&gt;</v>
      </c>
      <c r="B385" s="1968"/>
      <c r="C385" s="1968"/>
      <c r="D385" s="1968"/>
      <c r="E385" s="1965"/>
      <c r="F385" s="1969">
        <f>'Part III-B-Other Items'!F71</f>
        <v>0</v>
      </c>
      <c r="G385" s="1967"/>
      <c r="H385" s="1969">
        <f>'Part III-B-Other Items'!H71</f>
        <v>0</v>
      </c>
    </row>
    <row r="386" spans="1:13" ht="12.75" customHeight="1">
      <c r="A386" s="1968"/>
      <c r="B386" s="1968"/>
      <c r="C386" s="1968"/>
      <c r="D386" s="1968"/>
      <c r="E386" s="1967"/>
      <c r="F386" s="1969"/>
      <c r="G386" s="1967"/>
      <c r="H386" s="1969"/>
    </row>
    <row r="387" spans="1:13">
      <c r="A387" s="1967"/>
      <c r="B387" s="1967"/>
      <c r="C387" s="1967"/>
      <c r="D387" s="1967"/>
      <c r="E387" s="1967"/>
      <c r="F387" s="1969"/>
      <c r="G387" s="1967"/>
      <c r="H387" s="1969"/>
    </row>
    <row r="388" spans="1:13">
      <c r="A388" s="1970" t="s">
        <v>755</v>
      </c>
      <c r="B388" s="1971">
        <f>'Part III-A-Uses of Funds'!$G$135</f>
        <v>0</v>
      </c>
      <c r="C388" s="1970" t="s">
        <v>714</v>
      </c>
      <c r="D388" s="1971">
        <f>'Part III-A-Uses of Funds'!$J$135+'Part III-A-Uses of Funds'!$M$135+'Part III-A-Uses of Funds'!$P$135</f>
        <v>0</v>
      </c>
      <c r="E388" s="1967"/>
      <c r="F388" s="1969"/>
      <c r="G388" s="1967"/>
      <c r="H388" s="1969"/>
    </row>
    <row r="389" spans="1:13">
      <c r="A389" s="1967"/>
      <c r="B389" s="1972"/>
      <c r="C389" s="1967"/>
      <c r="D389" s="1967"/>
      <c r="E389" s="1967"/>
      <c r="F389" s="1969"/>
      <c r="G389" s="1973"/>
      <c r="H389" s="1969"/>
    </row>
    <row r="390" spans="1:13">
      <c r="A390" s="1966" t="s">
        <v>7538</v>
      </c>
      <c r="B390" s="1972"/>
      <c r="C390" s="1967"/>
      <c r="D390" s="1967"/>
      <c r="E390" s="1967"/>
      <c r="F390" s="1967"/>
      <c r="G390" s="1973"/>
      <c r="H390" s="1965"/>
    </row>
    <row r="391" spans="1:13" ht="13.5" customHeight="1">
      <c r="A391" s="1968" t="str">
        <f>'Part III-A-Uses of Funds'!$C$144</f>
        <v>&lt;&lt; Enter description here; provide detail &amp; justification in tab Part III-b &gt;&gt;</v>
      </c>
      <c r="B391" s="1968"/>
      <c r="C391" s="1968"/>
      <c r="D391" s="1968"/>
      <c r="E391" s="1965"/>
      <c r="F391" s="1969">
        <f>'Part III-B-Other Items'!F77</f>
        <v>0</v>
      </c>
      <c r="G391" s="1967"/>
      <c r="H391" s="1969">
        <f>'Part III-B-Other Items'!H77</f>
        <v>0</v>
      </c>
    </row>
    <row r="392" spans="1:13" ht="12.75" customHeight="1">
      <c r="A392" s="1968"/>
      <c r="B392" s="1968"/>
      <c r="C392" s="1968"/>
      <c r="D392" s="1968"/>
      <c r="E392" s="1967"/>
      <c r="F392" s="1969"/>
      <c r="G392" s="1967"/>
      <c r="H392" s="1969"/>
    </row>
    <row r="393" spans="1:13">
      <c r="A393" s="1967"/>
      <c r="B393" s="1967"/>
      <c r="C393" s="1967"/>
      <c r="D393" s="1967"/>
      <c r="E393" s="1967"/>
      <c r="F393" s="1969"/>
      <c r="G393" s="1967"/>
      <c r="H393" s="1969"/>
    </row>
    <row r="394" spans="1:13">
      <c r="A394" s="1970" t="s">
        <v>755</v>
      </c>
      <c r="B394" s="1971">
        <f>'Part III-A-Uses of Funds'!$G$144</f>
        <v>0</v>
      </c>
      <c r="C394" s="1970" t="s">
        <v>714</v>
      </c>
      <c r="D394" s="1971">
        <f>'Part III-A-Uses of Funds'!$J$144+'Part III-A-Uses of Funds'!$M$144+'Part III-A-Uses of Funds'!$P$144</f>
        <v>0</v>
      </c>
      <c r="E394" s="1967"/>
      <c r="F394" s="1969"/>
      <c r="G394" s="1967"/>
      <c r="H394" s="1969"/>
    </row>
    <row r="395" spans="1:13">
      <c r="A395" s="1965"/>
      <c r="B395" s="1965"/>
      <c r="C395" s="1965"/>
      <c r="D395" s="1967"/>
      <c r="E395" s="1971"/>
      <c r="F395" s="1969"/>
      <c r="G395" s="1973"/>
      <c r="H395" s="1969"/>
    </row>
    <row r="400" spans="1:13">
      <c r="A400" s="1184" t="str">
        <f>CONCATENATE("PART FOUR - UTILITY ALLOWANCES","  -  ",'Part I-Project Identification'!$O$7," ",'Part I-Project Identification'!$F$27,", ",'Part I-Project Identification'!F427,", ",'Part I-Project Identification'!J427," County")</f>
        <v>PART FOUR - UTILITY ALLOWANCES  -  2026-0xx The Groves, ,  County</v>
      </c>
      <c r="B400" s="1184"/>
      <c r="C400" s="1184"/>
      <c r="D400" s="1184"/>
      <c r="E400" s="1184"/>
      <c r="F400" s="1184"/>
      <c r="G400" s="1184"/>
      <c r="H400" s="1184"/>
      <c r="I400" s="1184"/>
      <c r="J400" s="1184"/>
      <c r="K400" s="1184"/>
      <c r="L400" s="1184"/>
      <c r="M400" s="1184"/>
    </row>
    <row r="402" spans="1:13">
      <c r="B402" s="1976" t="str">
        <f>'Part I-Project Identification'!$A$6</f>
        <v>May XX, 2026</v>
      </c>
      <c r="C402" s="1976"/>
      <c r="D402" s="1976"/>
      <c r="E402" s="1976"/>
      <c r="F402" s="1184" t="s">
        <v>760</v>
      </c>
      <c r="I402" s="1184" t="str">
        <f>'Part IV-Utility Allowances'!I3</f>
        <v>South</v>
      </c>
      <c r="J402" s="1184"/>
    </row>
    <row r="404" spans="1:13">
      <c r="A404" s="1977" t="s">
        <v>7539</v>
      </c>
    </row>
    <row r="406" spans="1:13">
      <c r="A406" s="255" t="s">
        <v>21</v>
      </c>
      <c r="B406" s="255" t="s">
        <v>762</v>
      </c>
      <c r="F406" s="253" t="s">
        <v>763</v>
      </c>
      <c r="G406" s="253"/>
      <c r="H406" s="253"/>
      <c r="I406" s="253" t="str">
        <f>'Part IV-Utility Allowances'!I7</f>
        <v>DCA Utility Allowance Schedule</v>
      </c>
      <c r="J406" s="253"/>
      <c r="K406" s="253"/>
      <c r="L406" s="253"/>
      <c r="M406" s="253"/>
    </row>
    <row r="407" spans="1:13">
      <c r="A407" s="255"/>
      <c r="F407" s="253" t="s">
        <v>764</v>
      </c>
      <c r="G407" s="253"/>
      <c r="H407" s="253"/>
      <c r="I407" s="1978">
        <f>'Part IV-Utility Allowances'!I8</f>
        <v>46023</v>
      </c>
      <c r="J407" s="1978"/>
      <c r="K407" s="1296" t="s">
        <v>765</v>
      </c>
      <c r="L407" s="253" t="str">
        <f>'Part IV-Utility Allowances'!L8</f>
        <v>Low-Rise Apt</v>
      </c>
      <c r="M407" s="253"/>
    </row>
    <row r="408" spans="1:13">
      <c r="A408" s="255"/>
    </row>
    <row r="409" spans="1:13">
      <c r="A409" s="255"/>
      <c r="B409" s="255"/>
      <c r="C409" s="255"/>
      <c r="D409" s="255"/>
      <c r="E409" s="255"/>
      <c r="F409" s="255" t="s">
        <v>766</v>
      </c>
      <c r="G409" s="255"/>
      <c r="H409" s="255"/>
      <c r="I409" s="255" t="s">
        <v>767</v>
      </c>
      <c r="J409" s="255"/>
      <c r="K409" s="255"/>
      <c r="L409" s="255"/>
      <c r="M409" s="255"/>
    </row>
    <row r="410" spans="1:13">
      <c r="A410" s="255"/>
      <c r="B410" s="255" t="s">
        <v>768</v>
      </c>
      <c r="C410" s="255"/>
      <c r="D410" s="255" t="s">
        <v>769</v>
      </c>
      <c r="E410" s="255"/>
      <c r="F410" s="1773" t="s">
        <v>770</v>
      </c>
      <c r="G410" s="1773" t="s">
        <v>771</v>
      </c>
      <c r="H410" s="255"/>
      <c r="I410" s="1773" t="s">
        <v>772</v>
      </c>
      <c r="J410" s="1773">
        <v>1</v>
      </c>
      <c r="K410" s="1773">
        <v>2</v>
      </c>
      <c r="L410" s="1773">
        <v>3</v>
      </c>
      <c r="M410" s="1773">
        <v>4</v>
      </c>
    </row>
    <row r="411" spans="1:13">
      <c r="B411" s="253" t="s">
        <v>773</v>
      </c>
      <c r="C411" s="253"/>
      <c r="D411" s="253" t="str">
        <f>'Part IV-Utility Allowances'!D12</f>
        <v>Natural Gas</v>
      </c>
      <c r="E411" s="253"/>
      <c r="F411" s="1979" t="str">
        <f>'Part IV-Utility Allowances'!F12</f>
        <v>X</v>
      </c>
      <c r="G411" s="1979">
        <f>'Part IV-Utility Allowances'!G12</f>
        <v>0</v>
      </c>
      <c r="I411" s="1296">
        <f>'Part IV-Utility Allowances'!I12</f>
        <v>0</v>
      </c>
      <c r="J411" s="1296">
        <f>'Part IV-Utility Allowances'!J12</f>
        <v>11</v>
      </c>
      <c r="K411" s="1296">
        <f>'Part IV-Utility Allowances'!K12</f>
        <v>13</v>
      </c>
      <c r="L411" s="1296">
        <f>'Part IV-Utility Allowances'!L12</f>
        <v>17</v>
      </c>
      <c r="M411" s="1296">
        <f>'Part IV-Utility Allowances'!M12</f>
        <v>0</v>
      </c>
    </row>
    <row r="412" spans="1:13">
      <c r="B412" s="253" t="s">
        <v>774</v>
      </c>
      <c r="C412" s="253"/>
      <c r="D412" s="253" t="str">
        <f>'Part IV-Utility Allowances'!D13</f>
        <v>Electric</v>
      </c>
      <c r="E412" s="253"/>
      <c r="F412" s="1979" t="str">
        <f>'Part IV-Utility Allowances'!F13</f>
        <v>X</v>
      </c>
      <c r="G412" s="1979">
        <f>'Part IV-Utility Allowances'!G13</f>
        <v>0</v>
      </c>
      <c r="I412" s="1296">
        <f>'Part IV-Utility Allowances'!I13</f>
        <v>0</v>
      </c>
      <c r="J412" s="1296">
        <f>'Part IV-Utility Allowances'!J13</f>
        <v>8</v>
      </c>
      <c r="K412" s="1296">
        <f>'Part IV-Utility Allowances'!K13</f>
        <v>11</v>
      </c>
      <c r="L412" s="1296">
        <f>'Part IV-Utility Allowances'!L13</f>
        <v>13</v>
      </c>
      <c r="M412" s="1296">
        <f>'Part IV-Utility Allowances'!M13</f>
        <v>0</v>
      </c>
    </row>
    <row r="413" spans="1:13">
      <c r="B413" s="253" t="s">
        <v>776</v>
      </c>
      <c r="C413" s="253"/>
      <c r="D413" s="253" t="str">
        <f>'Part IV-Utility Allowances'!D14</f>
        <v>Natural Gas</v>
      </c>
      <c r="E413" s="253"/>
      <c r="F413" s="1979" t="str">
        <f>'Part IV-Utility Allowances'!F14</f>
        <v>X</v>
      </c>
      <c r="G413" s="1979">
        <f>'Part IV-Utility Allowances'!G14</f>
        <v>0</v>
      </c>
      <c r="I413" s="1296">
        <f>'Part IV-Utility Allowances'!I14</f>
        <v>0</v>
      </c>
      <c r="J413" s="1296">
        <f>'Part IV-Utility Allowances'!J14</f>
        <v>6</v>
      </c>
      <c r="K413" s="1296">
        <f>'Part IV-Utility Allowances'!K14</f>
        <v>8</v>
      </c>
      <c r="L413" s="1296">
        <f>'Part IV-Utility Allowances'!L14</f>
        <v>10</v>
      </c>
      <c r="M413" s="1296">
        <f>'Part IV-Utility Allowances'!M14</f>
        <v>0</v>
      </c>
    </row>
    <row r="414" spans="1:13">
      <c r="B414" s="253" t="s">
        <v>777</v>
      </c>
      <c r="C414" s="253"/>
      <c r="D414" s="253" t="s">
        <v>778</v>
      </c>
      <c r="F414" s="1979" t="str">
        <f>'Part IV-Utility Allowances'!F15</f>
        <v>X</v>
      </c>
      <c r="G414" s="1979">
        <f>'Part IV-Utility Allowances'!G15</f>
        <v>0</v>
      </c>
      <c r="I414" s="1296">
        <f>'Part IV-Utility Allowances'!I15</f>
        <v>0</v>
      </c>
      <c r="J414" s="1296">
        <f>'Part IV-Utility Allowances'!J15</f>
        <v>11</v>
      </c>
      <c r="K414" s="1296">
        <f>'Part IV-Utility Allowances'!K15</f>
        <v>14</v>
      </c>
      <c r="L414" s="1296">
        <f>'Part IV-Utility Allowances'!L15</f>
        <v>18</v>
      </c>
      <c r="M414" s="1296">
        <f>'Part IV-Utility Allowances'!M15</f>
        <v>0</v>
      </c>
    </row>
    <row r="415" spans="1:13">
      <c r="B415" s="253" t="s">
        <v>779</v>
      </c>
      <c r="C415" s="253"/>
      <c r="D415" s="253" t="s">
        <v>778</v>
      </c>
      <c r="F415" s="1979">
        <f>'Part IV-Utility Allowances'!F16</f>
        <v>0</v>
      </c>
      <c r="G415" s="1979" t="str">
        <f>'Part IV-Utility Allowances'!G16</f>
        <v>X</v>
      </c>
      <c r="I415" s="1296">
        <f>'Part IV-Utility Allowances'!I16</f>
        <v>0</v>
      </c>
      <c r="J415" s="1296">
        <f>'Part IV-Utility Allowances'!J16</f>
        <v>0</v>
      </c>
      <c r="K415" s="1296">
        <f>'Part IV-Utility Allowances'!K16</f>
        <v>0</v>
      </c>
      <c r="L415" s="1296">
        <f>'Part IV-Utility Allowances'!L16</f>
        <v>0</v>
      </c>
      <c r="M415" s="1296">
        <f>'Part IV-Utility Allowances'!M16</f>
        <v>0</v>
      </c>
    </row>
    <row r="416" spans="1:13">
      <c r="B416" s="253" t="s">
        <v>780</v>
      </c>
      <c r="C416" s="253"/>
      <c r="D416" s="253" t="s">
        <v>778</v>
      </c>
      <c r="F416" s="1979">
        <f>'Part IV-Utility Allowances'!F17</f>
        <v>0</v>
      </c>
      <c r="G416" s="1979" t="str">
        <f>'Part IV-Utility Allowances'!G17</f>
        <v>X</v>
      </c>
      <c r="I416" s="1296">
        <f>'Part IV-Utility Allowances'!I17</f>
        <v>0</v>
      </c>
      <c r="J416" s="1296">
        <f>'Part IV-Utility Allowances'!J17</f>
        <v>0</v>
      </c>
      <c r="K416" s="1296">
        <f>'Part IV-Utility Allowances'!K17</f>
        <v>0</v>
      </c>
      <c r="L416" s="1296">
        <f>'Part IV-Utility Allowances'!L17</f>
        <v>0</v>
      </c>
      <c r="M416" s="1296">
        <f>'Part IV-Utility Allowances'!M17</f>
        <v>0</v>
      </c>
    </row>
    <row r="417" spans="1:13">
      <c r="B417" s="253" t="s">
        <v>781</v>
      </c>
      <c r="C417" s="253"/>
      <c r="D417" s="253" t="s">
        <v>778</v>
      </c>
      <c r="F417" s="1979" t="str">
        <f>'Part IV-Utility Allowances'!F18</f>
        <v>X</v>
      </c>
      <c r="G417" s="1979">
        <f>'Part IV-Utility Allowances'!G18</f>
        <v>0</v>
      </c>
      <c r="I417" s="1296">
        <f>'Part IV-Utility Allowances'!I18</f>
        <v>0</v>
      </c>
      <c r="J417" s="1296">
        <f>'Part IV-Utility Allowances'!J18</f>
        <v>24</v>
      </c>
      <c r="K417" s="1296">
        <f>'Part IV-Utility Allowances'!K18</f>
        <v>31</v>
      </c>
      <c r="L417" s="1296">
        <f>'Part IV-Utility Allowances'!L18</f>
        <v>37</v>
      </c>
      <c r="M417" s="1296">
        <f>'Part IV-Utility Allowances'!M18</f>
        <v>0</v>
      </c>
    </row>
    <row r="418" spans="1:13">
      <c r="B418" s="253" t="s">
        <v>782</v>
      </c>
      <c r="C418" s="253"/>
      <c r="D418" s="253" t="s">
        <v>7540</v>
      </c>
      <c r="E418" s="1296" t="str">
        <f>'Part IV-Utility Allowances'!E19</f>
        <v>Yes</v>
      </c>
      <c r="F418" s="1979" t="str">
        <f>'Part IV-Utility Allowances'!F19</f>
        <v>X</v>
      </c>
      <c r="G418" s="1979">
        <f>'Part IV-Utility Allowances'!G19</f>
        <v>0</v>
      </c>
      <c r="I418" s="1296">
        <f>'Part IV-Utility Allowances'!I19</f>
        <v>0</v>
      </c>
      <c r="J418" s="1296">
        <f>'Part IV-Utility Allowances'!J19</f>
        <v>48</v>
      </c>
      <c r="K418" s="1296">
        <f>'Part IV-Utility Allowances'!K19</f>
        <v>61</v>
      </c>
      <c r="L418" s="1296">
        <f>'Part IV-Utility Allowances'!L19</f>
        <v>76</v>
      </c>
      <c r="M418" s="1296">
        <f>'Part IV-Utility Allowances'!M19</f>
        <v>0</v>
      </c>
    </row>
    <row r="419" spans="1:13">
      <c r="B419" s="253" t="s">
        <v>784</v>
      </c>
      <c r="C419" s="253"/>
      <c r="F419" s="1979">
        <f>'Part IV-Utility Allowances'!F20</f>
        <v>0</v>
      </c>
      <c r="G419" s="1979" t="str">
        <f>'Part IV-Utility Allowances'!G20</f>
        <v>X</v>
      </c>
      <c r="I419" s="1296">
        <f>'Part IV-Utility Allowances'!I20</f>
        <v>0</v>
      </c>
      <c r="J419" s="1296">
        <f>'Part IV-Utility Allowances'!J20</f>
        <v>0</v>
      </c>
      <c r="K419" s="1296">
        <f>'Part IV-Utility Allowances'!K20</f>
        <v>0</v>
      </c>
      <c r="L419" s="1296">
        <f>'Part IV-Utility Allowances'!L20</f>
        <v>0</v>
      </c>
      <c r="M419" s="1296">
        <f>'Part IV-Utility Allowances'!M20</f>
        <v>0</v>
      </c>
    </row>
    <row r="420" spans="1:13">
      <c r="B420" s="253" t="s">
        <v>785</v>
      </c>
    </row>
    <row r="421" spans="1:13">
      <c r="B421" s="1980" t="s">
        <v>786</v>
      </c>
      <c r="C421" s="253"/>
      <c r="D421" s="253" t="s">
        <v>787</v>
      </c>
      <c r="F421" s="1979" t="str">
        <f>'Part IV-Utility Allowances'!F22</f>
        <v>X</v>
      </c>
      <c r="G421" s="1979">
        <f>'Part IV-Utility Allowances'!G22</f>
        <v>0</v>
      </c>
      <c r="I421" s="1296">
        <f>'Part IV-Utility Allowances'!I22</f>
        <v>0</v>
      </c>
      <c r="J421" s="1296">
        <f>'Part IV-Utility Allowances'!J22</f>
        <v>45</v>
      </c>
      <c r="K421" s="1296">
        <f>'Part IV-Utility Allowances'!K22</f>
        <v>45</v>
      </c>
      <c r="L421" s="1296">
        <f>'Part IV-Utility Allowances'!L22</f>
        <v>45</v>
      </c>
      <c r="M421" s="1296">
        <f>'Part IV-Utility Allowances'!M22</f>
        <v>0</v>
      </c>
    </row>
    <row r="422" spans="1:13">
      <c r="B422" s="1980" t="s">
        <v>788</v>
      </c>
      <c r="C422" s="253"/>
      <c r="D422" s="253" t="s">
        <v>778</v>
      </c>
      <c r="F422" s="1979" t="str">
        <f>'Part IV-Utility Allowances'!F23</f>
        <v>X</v>
      </c>
      <c r="G422" s="1979">
        <f>'Part IV-Utility Allowances'!G23</f>
        <v>0</v>
      </c>
      <c r="I422" s="1296">
        <f>'Part IV-Utility Allowances'!I23</f>
        <v>0</v>
      </c>
      <c r="J422" s="1296">
        <f>'Part IV-Utility Allowances'!J23</f>
        <v>22</v>
      </c>
      <c r="K422" s="1296">
        <f>'Part IV-Utility Allowances'!K23</f>
        <v>22</v>
      </c>
      <c r="L422" s="1296">
        <f>'Part IV-Utility Allowances'!L23</f>
        <v>22</v>
      </c>
      <c r="M422" s="1296">
        <f>'Part IV-Utility Allowances'!M23</f>
        <v>0</v>
      </c>
    </row>
    <row r="423" spans="1:13">
      <c r="B423" s="253" t="s">
        <v>436</v>
      </c>
      <c r="C423" s="256">
        <f>'Part IV-Utility Allowances'!C24</f>
        <v>0</v>
      </c>
      <c r="D423" s="256"/>
      <c r="E423" s="256"/>
      <c r="F423" s="1979">
        <f>'Part IV-Utility Allowances'!F24</f>
        <v>0</v>
      </c>
      <c r="G423" s="1979">
        <f>'Part IV-Utility Allowances'!G24</f>
        <v>0</v>
      </c>
      <c r="I423" s="1296">
        <f>'Part IV-Utility Allowances'!I24</f>
        <v>0</v>
      </c>
      <c r="J423" s="1296">
        <f>'Part IV-Utility Allowances'!J24</f>
        <v>0</v>
      </c>
      <c r="K423" s="1296">
        <f>'Part IV-Utility Allowances'!K24</f>
        <v>0</v>
      </c>
      <c r="L423" s="1296">
        <f>'Part IV-Utility Allowances'!L24</f>
        <v>0</v>
      </c>
      <c r="M423" s="1296">
        <f>'Part IV-Utility Allowances'!M24</f>
        <v>0</v>
      </c>
    </row>
    <row r="424" spans="1:13">
      <c r="B424" s="255" t="s">
        <v>789</v>
      </c>
      <c r="F424" s="1185"/>
      <c r="G424" s="1185"/>
      <c r="I424" s="1979">
        <f>IF(SUM(I411:I423)=0,0,IF(OR($D411="&lt;&lt;Select Fuel &gt;&gt;",$D412="&lt;&lt;Select Fuel &gt;&gt;",$D413="&lt;&lt;Select Fuel &gt;&gt;"),"Select Fuel",IF($E418="&lt;Select&gt;","Submeter?",SUM(I411:I423))))</f>
        <v>0</v>
      </c>
      <c r="J424" s="1979">
        <f>IF(SUM(J411:J423)=0,0,IF(OR($D411="&lt;&lt;Select Fuel &gt;&gt;",$D412="&lt;&lt;Select Fuel &gt;&gt;",$D413="&lt;&lt;Select Fuel &gt;&gt;"),"Select Fuel",IF($E418="&lt;Select&gt;","Submeter?",SUM(J411:J423))))</f>
        <v>175</v>
      </c>
      <c r="K424" s="1979">
        <f>IF(SUM(K411:K423)=0,0,IF(OR($D411="&lt;&lt;Select Fuel &gt;&gt;",$D412="&lt;&lt;Select Fuel &gt;&gt;",$D413="&lt;&lt;Select Fuel &gt;&gt;"),"Select Fuel",IF($E418="&lt;Select&gt;","Submeter?",SUM(K411:K423))))</f>
        <v>205</v>
      </c>
      <c r="L424" s="1979">
        <f>IF(SUM(L411:L423)=0,0,IF(OR($D411="&lt;&lt;Select Fuel &gt;&gt;",$D412="&lt;&lt;Select Fuel &gt;&gt;",$D413="&lt;&lt;Select Fuel &gt;&gt;"),"Select Fuel",IF($E418="&lt;Select&gt;","Submeter?",SUM(L411:L423))))</f>
        <v>238</v>
      </c>
      <c r="M424" s="1979">
        <f>IF(SUM(M411:M423)=0,0,IF(OR($D411="&lt;&lt;Select Fuel &gt;&gt;",$D412="&lt;&lt;Select Fuel &gt;&gt;",$D413="&lt;&lt;Select Fuel &gt;&gt;"),"Select Fuel",IF($E418="&lt;Select&gt;","Submeter?",SUM(M411:M423))))</f>
        <v>0</v>
      </c>
    </row>
    <row r="426" spans="1:13">
      <c r="A426" s="255" t="s">
        <v>25</v>
      </c>
      <c r="B426" s="255" t="s">
        <v>790</v>
      </c>
      <c r="F426" s="253" t="s">
        <v>763</v>
      </c>
      <c r="G426" s="253"/>
      <c r="H426" s="253"/>
      <c r="I426" s="253">
        <f>'Part IV-Utility Allowances'!I27</f>
        <v>0</v>
      </c>
      <c r="J426" s="253"/>
      <c r="K426" s="253"/>
      <c r="L426" s="253"/>
      <c r="M426" s="253"/>
    </row>
    <row r="427" spans="1:13">
      <c r="A427" s="255"/>
      <c r="B427" s="255"/>
      <c r="F427" s="253" t="s">
        <v>764</v>
      </c>
      <c r="G427" s="253"/>
      <c r="H427" s="253"/>
      <c r="I427" s="1978">
        <f>'Part IV-Utility Allowances'!I28</f>
        <v>0</v>
      </c>
      <c r="J427" s="1978"/>
      <c r="K427" s="1296" t="s">
        <v>765</v>
      </c>
      <c r="L427" s="253">
        <f>'Part IV-Utility Allowances'!L28</f>
        <v>0</v>
      </c>
      <c r="M427" s="253"/>
    </row>
    <row r="428" spans="1:13">
      <c r="A428" s="255"/>
    </row>
    <row r="429" spans="1:13">
      <c r="A429" s="255"/>
      <c r="B429" s="255"/>
      <c r="C429" s="255"/>
      <c r="D429" s="255"/>
      <c r="E429" s="255"/>
      <c r="F429" s="255" t="s">
        <v>766</v>
      </c>
      <c r="G429" s="255"/>
      <c r="H429" s="255"/>
      <c r="I429" s="255" t="s">
        <v>767</v>
      </c>
      <c r="J429" s="255"/>
      <c r="K429" s="255"/>
      <c r="L429" s="255"/>
      <c r="M429" s="255"/>
    </row>
    <row r="430" spans="1:13">
      <c r="A430" s="255"/>
      <c r="B430" s="255" t="s">
        <v>768</v>
      </c>
      <c r="C430" s="255"/>
      <c r="D430" s="255" t="s">
        <v>769</v>
      </c>
      <c r="E430" s="255"/>
      <c r="F430" s="1773" t="s">
        <v>770</v>
      </c>
      <c r="G430" s="1773" t="s">
        <v>771</v>
      </c>
      <c r="H430" s="255"/>
      <c r="I430" s="1773" t="s">
        <v>772</v>
      </c>
      <c r="J430" s="1773">
        <v>1</v>
      </c>
      <c r="K430" s="1773">
        <v>2</v>
      </c>
      <c r="L430" s="1773">
        <v>3</v>
      </c>
      <c r="M430" s="1773">
        <v>4</v>
      </c>
    </row>
    <row r="431" spans="1:13">
      <c r="B431" s="253" t="s">
        <v>773</v>
      </c>
      <c r="C431" s="253"/>
      <c r="D431" s="253">
        <f>'Part IV-Utility Allowances'!D32</f>
        <v>0</v>
      </c>
      <c r="E431" s="253"/>
      <c r="F431" s="1979">
        <f>'Part IV-Utility Allowances'!F32</f>
        <v>0</v>
      </c>
      <c r="G431" s="1979">
        <f>'Part IV-Utility Allowances'!G32</f>
        <v>0</v>
      </c>
      <c r="I431" s="1296">
        <f>'Part IV-Utility Allowances'!I32</f>
        <v>0</v>
      </c>
      <c r="J431" s="1296">
        <f>'Part IV-Utility Allowances'!J32</f>
        <v>0</v>
      </c>
      <c r="K431" s="1296">
        <f>'Part IV-Utility Allowances'!K32</f>
        <v>0</v>
      </c>
      <c r="L431" s="1296">
        <f>'Part IV-Utility Allowances'!L32</f>
        <v>0</v>
      </c>
      <c r="M431" s="1296">
        <f>'Part IV-Utility Allowances'!M32</f>
        <v>0</v>
      </c>
    </row>
    <row r="432" spans="1:13">
      <c r="B432" s="253" t="s">
        <v>774</v>
      </c>
      <c r="C432" s="253"/>
      <c r="D432" s="253">
        <f>'Part IV-Utility Allowances'!D33</f>
        <v>0</v>
      </c>
      <c r="E432" s="253"/>
      <c r="F432" s="1979">
        <f>'Part IV-Utility Allowances'!F33</f>
        <v>0</v>
      </c>
      <c r="G432" s="1979">
        <f>'Part IV-Utility Allowances'!G33</f>
        <v>0</v>
      </c>
      <c r="I432" s="1296">
        <f>'Part IV-Utility Allowances'!I33</f>
        <v>0</v>
      </c>
      <c r="J432" s="1296">
        <f>'Part IV-Utility Allowances'!J33</f>
        <v>0</v>
      </c>
      <c r="K432" s="1296">
        <f>'Part IV-Utility Allowances'!K33</f>
        <v>0</v>
      </c>
      <c r="L432" s="1296">
        <f>'Part IV-Utility Allowances'!L33</f>
        <v>0</v>
      </c>
      <c r="M432" s="1296">
        <f>'Part IV-Utility Allowances'!M33</f>
        <v>0</v>
      </c>
    </row>
    <row r="433" spans="1:13">
      <c r="B433" s="253" t="s">
        <v>776</v>
      </c>
      <c r="C433" s="253"/>
      <c r="D433" s="253">
        <f>'Part IV-Utility Allowances'!D34</f>
        <v>0</v>
      </c>
      <c r="E433" s="253"/>
      <c r="F433" s="1979">
        <f>'Part IV-Utility Allowances'!F34</f>
        <v>0</v>
      </c>
      <c r="G433" s="1979">
        <f>'Part IV-Utility Allowances'!G34</f>
        <v>0</v>
      </c>
      <c r="I433" s="1296">
        <f>'Part IV-Utility Allowances'!I34</f>
        <v>0</v>
      </c>
      <c r="J433" s="1296">
        <f>'Part IV-Utility Allowances'!J34</f>
        <v>0</v>
      </c>
      <c r="K433" s="1296">
        <f>'Part IV-Utility Allowances'!K34</f>
        <v>0</v>
      </c>
      <c r="L433" s="1296">
        <f>'Part IV-Utility Allowances'!L34</f>
        <v>0</v>
      </c>
      <c r="M433" s="1296">
        <f>'Part IV-Utility Allowances'!M34</f>
        <v>0</v>
      </c>
    </row>
    <row r="434" spans="1:13">
      <c r="B434" s="253" t="s">
        <v>777</v>
      </c>
      <c r="C434" s="253"/>
      <c r="D434" s="253" t="s">
        <v>778</v>
      </c>
      <c r="F434" s="1979">
        <f>'Part IV-Utility Allowances'!F35</f>
        <v>0</v>
      </c>
      <c r="G434" s="1979">
        <f>'Part IV-Utility Allowances'!G35</f>
        <v>0</v>
      </c>
      <c r="I434" s="1296">
        <f>'Part IV-Utility Allowances'!I35</f>
        <v>0</v>
      </c>
      <c r="J434" s="1296">
        <f>'Part IV-Utility Allowances'!J35</f>
        <v>0</v>
      </c>
      <c r="K434" s="1296">
        <f>'Part IV-Utility Allowances'!K35</f>
        <v>0</v>
      </c>
      <c r="L434" s="1296">
        <f>'Part IV-Utility Allowances'!L35</f>
        <v>0</v>
      </c>
      <c r="M434" s="1296">
        <f>'Part IV-Utility Allowances'!M35</f>
        <v>0</v>
      </c>
    </row>
    <row r="435" spans="1:13">
      <c r="B435" s="253" t="s">
        <v>779</v>
      </c>
      <c r="C435" s="253"/>
      <c r="D435" s="253" t="s">
        <v>778</v>
      </c>
      <c r="F435" s="1979">
        <f>'Part IV-Utility Allowances'!F36</f>
        <v>0</v>
      </c>
      <c r="G435" s="1979">
        <f>'Part IV-Utility Allowances'!G36</f>
        <v>0</v>
      </c>
      <c r="I435" s="1296">
        <f>'Part IV-Utility Allowances'!I36</f>
        <v>0</v>
      </c>
      <c r="J435" s="1296">
        <f>'Part IV-Utility Allowances'!J36</f>
        <v>0</v>
      </c>
      <c r="K435" s="1296">
        <f>'Part IV-Utility Allowances'!K36</f>
        <v>0</v>
      </c>
      <c r="L435" s="1296">
        <f>'Part IV-Utility Allowances'!L36</f>
        <v>0</v>
      </c>
      <c r="M435" s="1296">
        <f>'Part IV-Utility Allowances'!M36</f>
        <v>0</v>
      </c>
    </row>
    <row r="436" spans="1:13">
      <c r="B436" s="253" t="s">
        <v>780</v>
      </c>
      <c r="C436" s="253"/>
      <c r="D436" s="253" t="s">
        <v>778</v>
      </c>
      <c r="F436" s="1979">
        <f>'Part IV-Utility Allowances'!F37</f>
        <v>0</v>
      </c>
      <c r="G436" s="1979">
        <f>'Part IV-Utility Allowances'!G37</f>
        <v>0</v>
      </c>
      <c r="I436" s="1296">
        <f>'Part IV-Utility Allowances'!I37</f>
        <v>0</v>
      </c>
      <c r="J436" s="1296">
        <f>'Part IV-Utility Allowances'!J37</f>
        <v>0</v>
      </c>
      <c r="K436" s="1296">
        <f>'Part IV-Utility Allowances'!K37</f>
        <v>0</v>
      </c>
      <c r="L436" s="1296">
        <f>'Part IV-Utility Allowances'!L37</f>
        <v>0</v>
      </c>
      <c r="M436" s="1296">
        <f>'Part IV-Utility Allowances'!M37</f>
        <v>0</v>
      </c>
    </row>
    <row r="437" spans="1:13">
      <c r="B437" s="253" t="s">
        <v>781</v>
      </c>
      <c r="C437" s="253"/>
      <c r="D437" s="253" t="s">
        <v>778</v>
      </c>
      <c r="F437" s="1979">
        <f>'Part IV-Utility Allowances'!F38</f>
        <v>0</v>
      </c>
      <c r="G437" s="1979">
        <f>'Part IV-Utility Allowances'!G38</f>
        <v>0</v>
      </c>
      <c r="I437" s="1296">
        <f>'Part IV-Utility Allowances'!I38</f>
        <v>0</v>
      </c>
      <c r="J437" s="1296">
        <f>'Part IV-Utility Allowances'!J38</f>
        <v>0</v>
      </c>
      <c r="K437" s="1296">
        <f>'Part IV-Utility Allowances'!K38</f>
        <v>0</v>
      </c>
      <c r="L437" s="1296">
        <f>'Part IV-Utility Allowances'!L38</f>
        <v>0</v>
      </c>
      <c r="M437" s="1296">
        <f>'Part IV-Utility Allowances'!M38</f>
        <v>0</v>
      </c>
    </row>
    <row r="438" spans="1:13">
      <c r="B438" s="253" t="s">
        <v>782</v>
      </c>
      <c r="C438" s="253"/>
      <c r="D438" s="253" t="s">
        <v>7540</v>
      </c>
      <c r="E438" s="1296">
        <f>'Part IV-Utility Allowances'!E39</f>
        <v>0</v>
      </c>
      <c r="F438" s="1979">
        <f>'Part IV-Utility Allowances'!F39</f>
        <v>0</v>
      </c>
      <c r="G438" s="1979">
        <f>'Part IV-Utility Allowances'!G39</f>
        <v>0</v>
      </c>
      <c r="I438" s="1296">
        <f>'Part IV-Utility Allowances'!I39</f>
        <v>0</v>
      </c>
      <c r="J438" s="1296">
        <f>'Part IV-Utility Allowances'!J39</f>
        <v>0</v>
      </c>
      <c r="K438" s="1296">
        <f>'Part IV-Utility Allowances'!K39</f>
        <v>0</v>
      </c>
      <c r="L438" s="1296">
        <f>'Part IV-Utility Allowances'!L39</f>
        <v>0</v>
      </c>
      <c r="M438" s="1296">
        <f>'Part IV-Utility Allowances'!M39</f>
        <v>0</v>
      </c>
    </row>
    <row r="439" spans="1:13">
      <c r="B439" s="253" t="s">
        <v>784</v>
      </c>
      <c r="C439" s="253"/>
      <c r="F439" s="1979">
        <f>'Part IV-Utility Allowances'!F40</f>
        <v>0</v>
      </c>
      <c r="G439" s="1979">
        <f>'Part IV-Utility Allowances'!G40</f>
        <v>0</v>
      </c>
      <c r="I439" s="1296">
        <f>'Part IV-Utility Allowances'!I40</f>
        <v>0</v>
      </c>
      <c r="J439" s="1296">
        <f>'Part IV-Utility Allowances'!J40</f>
        <v>0</v>
      </c>
      <c r="K439" s="1296">
        <f>'Part IV-Utility Allowances'!K40</f>
        <v>0</v>
      </c>
      <c r="L439" s="1296">
        <f>'Part IV-Utility Allowances'!L40</f>
        <v>0</v>
      </c>
      <c r="M439" s="1296">
        <f>'Part IV-Utility Allowances'!M40</f>
        <v>0</v>
      </c>
    </row>
    <row r="440" spans="1:13">
      <c r="B440" s="253" t="s">
        <v>785</v>
      </c>
    </row>
    <row r="441" spans="1:13">
      <c r="B441" s="1980" t="s">
        <v>791</v>
      </c>
      <c r="C441" s="253"/>
      <c r="D441" s="253" t="s">
        <v>787</v>
      </c>
      <c r="F441" s="1979">
        <f>'Part IV-Utility Allowances'!F42</f>
        <v>0</v>
      </c>
      <c r="G441" s="1979">
        <f>'Part IV-Utility Allowances'!G42</f>
        <v>0</v>
      </c>
      <c r="I441" s="1296">
        <f>'Part IV-Utility Allowances'!I42</f>
        <v>0</v>
      </c>
      <c r="J441" s="1296">
        <f>'Part IV-Utility Allowances'!J42</f>
        <v>0</v>
      </c>
      <c r="K441" s="1296">
        <f>'Part IV-Utility Allowances'!K42</f>
        <v>0</v>
      </c>
      <c r="L441" s="1296">
        <f>'Part IV-Utility Allowances'!L42</f>
        <v>0</v>
      </c>
      <c r="M441" s="1296">
        <f>'Part IV-Utility Allowances'!M42</f>
        <v>0</v>
      </c>
    </row>
    <row r="442" spans="1:13">
      <c r="B442" s="1980" t="s">
        <v>788</v>
      </c>
      <c r="C442" s="253"/>
      <c r="D442" s="253" t="s">
        <v>778</v>
      </c>
      <c r="F442" s="1979">
        <f>'Part IV-Utility Allowances'!F43</f>
        <v>0</v>
      </c>
      <c r="G442" s="1979">
        <f>'Part IV-Utility Allowances'!G43</f>
        <v>0</v>
      </c>
      <c r="I442" s="1296">
        <f>'Part IV-Utility Allowances'!I43</f>
        <v>0</v>
      </c>
      <c r="J442" s="1296">
        <f>'Part IV-Utility Allowances'!J43</f>
        <v>0</v>
      </c>
      <c r="K442" s="1296">
        <f>'Part IV-Utility Allowances'!K43</f>
        <v>0</v>
      </c>
      <c r="L442" s="1296">
        <f>'Part IV-Utility Allowances'!L43</f>
        <v>0</v>
      </c>
      <c r="M442" s="1296">
        <f>'Part IV-Utility Allowances'!M43</f>
        <v>0</v>
      </c>
    </row>
    <row r="443" spans="1:13">
      <c r="B443" s="253" t="s">
        <v>436</v>
      </c>
      <c r="C443" s="256">
        <f>'Part IV-Utility Allowances'!C44</f>
        <v>0</v>
      </c>
      <c r="D443" s="256"/>
      <c r="E443" s="256"/>
      <c r="F443" s="1979">
        <f>'Part IV-Utility Allowances'!F44</f>
        <v>0</v>
      </c>
      <c r="G443" s="1979">
        <f>'Part IV-Utility Allowances'!G44</f>
        <v>0</v>
      </c>
      <c r="I443" s="1296">
        <f>'Part IV-Utility Allowances'!I44</f>
        <v>0</v>
      </c>
      <c r="J443" s="1296">
        <f>'Part IV-Utility Allowances'!J44</f>
        <v>0</v>
      </c>
      <c r="K443" s="1296">
        <f>'Part IV-Utility Allowances'!K44</f>
        <v>0</v>
      </c>
      <c r="L443" s="1296">
        <f>'Part IV-Utility Allowances'!L44</f>
        <v>0</v>
      </c>
      <c r="M443" s="1296">
        <f>'Part IV-Utility Allowances'!M44</f>
        <v>0</v>
      </c>
    </row>
    <row r="444" spans="1:13">
      <c r="B444" s="255" t="s">
        <v>789</v>
      </c>
      <c r="F444" s="1185"/>
      <c r="G444" s="1185"/>
      <c r="I444" s="1979">
        <f>IF(SUM(I431:I443)=0,0,IF(OR($D431="&lt;&lt;Select Fuel &gt;&gt;",$D433="&lt;&lt;Select Fuel &gt;&gt;",$D434="&lt;&lt;Select Fuel &gt;&gt;"),"Select Fuel",IF($E438="&lt;Select&gt;","Submeter?",SUM(I431:I443))))</f>
        <v>0</v>
      </c>
      <c r="J444" s="1979">
        <f>IF(SUM(J431:J443)=0,0,IF(OR($D431="&lt;&lt;Select Fuel &gt;&gt;",$D433="&lt;&lt;Select Fuel &gt;&gt;",$D434="&lt;&lt;Select Fuel &gt;&gt;"),"Select Fuel",IF($E438="&lt;Select&gt;","Submeter?",SUM(J431:J443))))</f>
        <v>0</v>
      </c>
      <c r="K444" s="1979">
        <f>IF(SUM(K431:K443)=0,0,IF(OR($D431="&lt;&lt;Select Fuel &gt;&gt;",$D433="&lt;&lt;Select Fuel &gt;&gt;",$D434="&lt;&lt;Select Fuel &gt;&gt;"),"Select Fuel",IF($E438="&lt;Select&gt;","Submeter?",SUM(K431:K443))))</f>
        <v>0</v>
      </c>
      <c r="L444" s="1979">
        <f>IF(SUM(L431:L443)=0,0,IF(OR($D431="&lt;&lt;Select Fuel &gt;&gt;",$D433="&lt;&lt;Select Fuel &gt;&gt;",$D434="&lt;&lt;Select Fuel &gt;&gt;"),"Select Fuel",IF($E438="&lt;Select&gt;","Submeter?",SUM(L431:L443))))</f>
        <v>0</v>
      </c>
      <c r="M444" s="1979">
        <f>IF(SUM(M431:M443)=0,0,IF(OR($D431="&lt;&lt;Select Fuel &gt;&gt;",$D433="&lt;&lt;Select Fuel &gt;&gt;",$D434="&lt;&lt;Select Fuel &gt;&gt;"),"Select Fuel",IF($E438="&lt;Select&gt;","Submeter?",SUM(M431:M443))))</f>
        <v>0</v>
      </c>
    </row>
    <row r="446" spans="1:13">
      <c r="B446" s="590" t="s">
        <v>7541</v>
      </c>
      <c r="F446" s="1185"/>
      <c r="G446" s="1185"/>
      <c r="I446" s="1773"/>
      <c r="J446" s="1773"/>
      <c r="K446" s="1773"/>
      <c r="L446" s="1773"/>
      <c r="M446" s="1773"/>
    </row>
    <row r="447" spans="1:13">
      <c r="A447" s="255"/>
      <c r="B447" s="255" t="s">
        <v>68</v>
      </c>
    </row>
    <row r="448" spans="1:13">
      <c r="B448" s="1869">
        <f>'Part IV-Utility Allowances'!B49</f>
        <v>0</v>
      </c>
      <c r="C448" s="1869"/>
      <c r="D448" s="1869"/>
      <c r="E448" s="1869"/>
      <c r="F448" s="1869"/>
      <c r="G448" s="1869"/>
      <c r="H448" s="1869"/>
      <c r="I448" s="1869"/>
      <c r="J448" s="1869"/>
      <c r="K448" s="1869"/>
      <c r="L448" s="1869"/>
      <c r="M448" s="1869"/>
    </row>
    <row r="450" spans="1:416">
      <c r="A450" s="255"/>
      <c r="B450" s="255" t="s">
        <v>793</v>
      </c>
    </row>
    <row r="451" spans="1:416">
      <c r="B451" s="1869"/>
      <c r="C451" s="1869"/>
      <c r="D451" s="1869"/>
      <c r="E451" s="1869"/>
      <c r="F451" s="1869"/>
      <c r="G451" s="1869"/>
      <c r="H451" s="1869"/>
      <c r="I451" s="1869"/>
      <c r="J451" s="1869"/>
      <c r="K451" s="1869"/>
      <c r="L451" s="1869"/>
      <c r="M451" s="1869"/>
    </row>
    <row r="455" spans="1:416" s="253" customFormat="1" ht="14.1" customHeight="1">
      <c r="A455" s="1184" t="str">
        <f>CONCATENATE("PART FOUR - PROJECTED REVENUES &amp; EXPENSES","  -  ",'Part I-Project Identification'!$O$7," ",'Part I-Project Identification'!$F$27,", ",'Part I-Project Identification'!F481,", ",'Part I-Project Identification'!J481," County")</f>
        <v>PART FOUR - PROJECTED REVENUES &amp; EXPENSES  -  2026-0xx The Groves, ,  County</v>
      </c>
      <c r="B455" s="1184"/>
      <c r="C455" s="1184"/>
      <c r="D455" s="1184"/>
      <c r="E455" s="1184"/>
      <c r="F455" s="1184"/>
      <c r="G455" s="1184"/>
      <c r="H455" s="1184"/>
      <c r="I455" s="1184"/>
      <c r="J455" s="1184"/>
      <c r="K455" s="1184"/>
      <c r="L455" s="1184"/>
      <c r="M455" s="1184"/>
      <c r="N455" s="1184"/>
      <c r="O455" s="1184"/>
      <c r="P455" s="1184"/>
      <c r="Q455" s="1184"/>
      <c r="T455" s="1184" t="str">
        <f>A455</f>
        <v>PART FOUR - PROJECTED REVENUES &amp; EXPENSES  -  2026-0xx The Groves, ,  County</v>
      </c>
      <c r="U455" s="1184"/>
      <c r="V455" s="1184"/>
      <c r="W455" s="1184"/>
      <c r="JG455" s="1296"/>
      <c r="JH455" s="1296"/>
      <c r="JI455" s="1296"/>
      <c r="JJ455" s="1296"/>
      <c r="JK455" s="1296"/>
      <c r="JL455" s="1296"/>
      <c r="JM455" s="1296"/>
      <c r="JN455" s="1296"/>
      <c r="JO455" s="1296"/>
      <c r="JP455" s="1296"/>
      <c r="JQ455" s="1296"/>
      <c r="JR455" s="1296"/>
      <c r="JS455" s="1296"/>
      <c r="JT455" s="1296"/>
      <c r="JU455" s="1296"/>
      <c r="JV455" s="1296"/>
      <c r="JW455" s="1296"/>
      <c r="JX455" s="1296"/>
      <c r="JY455" s="1296"/>
      <c r="JZ455" s="1296"/>
      <c r="KA455" s="1296"/>
      <c r="KB455" s="1296"/>
      <c r="KC455" s="1296"/>
      <c r="KD455" s="1296"/>
      <c r="KE455" s="1296"/>
      <c r="KF455" s="1296"/>
      <c r="KG455" s="1296"/>
      <c r="KH455" s="1296"/>
      <c r="KI455" s="1296"/>
      <c r="KJ455" s="1296"/>
      <c r="KK455" s="1296"/>
      <c r="KL455" s="1296"/>
      <c r="KM455" s="1296"/>
      <c r="KN455" s="1296"/>
      <c r="KO455" s="1296"/>
      <c r="KP455" s="1296"/>
      <c r="KQ455" s="1296"/>
      <c r="KR455" s="1296"/>
      <c r="KS455" s="1296"/>
      <c r="KT455" s="1296"/>
      <c r="KU455" s="1296"/>
      <c r="KV455" s="1296"/>
      <c r="KW455" s="1296"/>
      <c r="KX455" s="1296"/>
      <c r="KY455" s="1296"/>
      <c r="KZ455" s="1296"/>
      <c r="LA455" s="1296"/>
      <c r="LB455" s="1296"/>
      <c r="LC455" s="1296"/>
      <c r="LD455" s="1296"/>
      <c r="LE455" s="1296"/>
      <c r="LF455" s="1296"/>
      <c r="LG455" s="1296"/>
      <c r="LH455" s="1296"/>
      <c r="LI455" s="1296"/>
      <c r="LJ455" s="1296"/>
      <c r="LK455" s="1296"/>
      <c r="LL455" s="1296"/>
      <c r="LM455" s="1296"/>
      <c r="LN455" s="1296"/>
      <c r="LO455" s="1296"/>
      <c r="LP455" s="1296"/>
      <c r="LQ455" s="1296"/>
      <c r="LR455" s="1296"/>
      <c r="LS455" s="1296"/>
      <c r="LT455" s="1296"/>
      <c r="LU455" s="1296"/>
      <c r="LX455" s="1184"/>
      <c r="MC455" s="1184"/>
      <c r="MH455" s="1184"/>
      <c r="MM455" s="1184"/>
      <c r="OZ455" s="1296">
        <v>2</v>
      </c>
    </row>
    <row r="456" spans="1:416" ht="4.5" customHeight="1">
      <c r="X456" s="254"/>
      <c r="Y456" s="254"/>
      <c r="Z456" s="254"/>
      <c r="AA456" s="254"/>
      <c r="AB456" s="254"/>
      <c r="AC456" s="254"/>
      <c r="AD456" s="254"/>
      <c r="AE456" s="254"/>
      <c r="AF456" s="254"/>
      <c r="AG456" s="254"/>
      <c r="AH456" s="254"/>
      <c r="AI456" s="254"/>
      <c r="AJ456" s="254"/>
      <c r="AK456" s="254"/>
      <c r="AL456" s="254"/>
      <c r="AM456" s="254"/>
      <c r="AN456" s="254"/>
      <c r="AO456" s="254"/>
      <c r="AP456" s="254"/>
      <c r="AQ456" s="254"/>
      <c r="AR456" s="254"/>
      <c r="AS456" s="254"/>
      <c r="AT456" s="254"/>
      <c r="AU456" s="254"/>
      <c r="AV456" s="254"/>
      <c r="AW456" s="254"/>
      <c r="AX456" s="254"/>
      <c r="AY456" s="254"/>
      <c r="AZ456" s="254"/>
      <c r="BA456" s="254"/>
      <c r="BB456" s="254"/>
      <c r="BC456" s="254"/>
      <c r="BD456" s="254"/>
      <c r="BE456" s="254"/>
      <c r="BF456" s="254"/>
      <c r="BG456" s="254"/>
      <c r="BH456" s="254"/>
      <c r="BI456" s="254"/>
      <c r="BJ456" s="254"/>
      <c r="BK456" s="254"/>
      <c r="BL456" s="254"/>
      <c r="BM456" s="254"/>
      <c r="BN456" s="254"/>
      <c r="BO456" s="254"/>
      <c r="BP456" s="254"/>
      <c r="BQ456" s="254"/>
      <c r="BR456" s="254"/>
      <c r="BS456" s="254"/>
      <c r="BT456" s="254"/>
      <c r="BU456" s="254"/>
      <c r="BV456" s="254"/>
      <c r="BW456" s="254"/>
      <c r="BX456" s="254"/>
      <c r="BY456" s="254"/>
      <c r="BZ456" s="254"/>
      <c r="CA456" s="254"/>
      <c r="CB456" s="254"/>
      <c r="CC456" s="254"/>
      <c r="CD456" s="254"/>
      <c r="CE456" s="254"/>
      <c r="CF456" s="254"/>
      <c r="CG456" s="254"/>
      <c r="CH456" s="254"/>
      <c r="CI456" s="254"/>
      <c r="CJ456" s="254"/>
      <c r="CK456" s="254"/>
      <c r="CL456" s="254"/>
      <c r="CM456" s="254"/>
      <c r="CN456" s="254"/>
      <c r="CO456" s="254"/>
      <c r="CP456" s="254"/>
      <c r="CQ456" s="254"/>
      <c r="CR456" s="254"/>
      <c r="CS456" s="254"/>
      <c r="CT456" s="254"/>
      <c r="CU456" s="254"/>
      <c r="CV456" s="254"/>
      <c r="CW456" s="254"/>
      <c r="CX456" s="254"/>
      <c r="CY456" s="254"/>
      <c r="CZ456" s="254"/>
      <c r="DA456" s="254"/>
      <c r="DB456" s="254"/>
      <c r="DC456" s="254"/>
      <c r="DD456" s="254"/>
      <c r="DE456" s="254"/>
      <c r="DF456" s="254"/>
      <c r="DG456" s="254"/>
      <c r="DH456" s="254"/>
      <c r="DI456" s="254"/>
      <c r="DJ456" s="254"/>
      <c r="DK456" s="254"/>
      <c r="DL456" s="254"/>
      <c r="DM456" s="254"/>
      <c r="DN456" s="254"/>
      <c r="DO456" s="254"/>
      <c r="DP456" s="254"/>
      <c r="DQ456" s="254"/>
      <c r="DR456" s="254"/>
      <c r="DS456" s="254"/>
      <c r="DT456" s="254"/>
      <c r="DU456" s="254"/>
      <c r="DV456" s="254"/>
      <c r="DW456" s="254"/>
      <c r="DX456" s="254"/>
      <c r="DY456" s="254"/>
      <c r="DZ456" s="254"/>
      <c r="EA456" s="254"/>
      <c r="EB456" s="254"/>
      <c r="EC456" s="254"/>
      <c r="ED456" s="254"/>
      <c r="EE456" s="254"/>
      <c r="EF456" s="254"/>
      <c r="EG456" s="254"/>
      <c r="EH456" s="254"/>
      <c r="EI456" s="254"/>
      <c r="EJ456" s="254"/>
      <c r="EK456" s="254"/>
      <c r="EL456" s="254"/>
      <c r="EM456" s="254"/>
      <c r="EN456" s="254"/>
      <c r="EO456" s="254"/>
      <c r="EP456" s="254"/>
      <c r="EQ456" s="254"/>
      <c r="ER456" s="254"/>
      <c r="ES456" s="254"/>
      <c r="ET456" s="254"/>
      <c r="EU456" s="254"/>
      <c r="EV456" s="254"/>
      <c r="EW456" s="254"/>
      <c r="EX456" s="254"/>
      <c r="EY456" s="254"/>
      <c r="EZ456" s="254"/>
      <c r="FA456" s="254"/>
      <c r="FB456" s="254"/>
      <c r="FC456" s="254"/>
      <c r="FD456" s="254"/>
      <c r="FE456" s="254"/>
      <c r="FF456" s="254"/>
      <c r="FG456" s="254"/>
      <c r="FH456" s="254"/>
      <c r="FI456" s="254"/>
      <c r="FJ456" s="254"/>
      <c r="FK456" s="254"/>
      <c r="FL456" s="254"/>
      <c r="FM456" s="254"/>
      <c r="FN456" s="254"/>
      <c r="FO456" s="254"/>
      <c r="FP456" s="254"/>
      <c r="FQ456" s="254"/>
      <c r="FR456" s="254"/>
      <c r="FS456" s="254"/>
      <c r="FT456" s="254"/>
      <c r="FU456" s="254"/>
      <c r="FV456" s="254"/>
      <c r="FW456" s="254"/>
      <c r="FX456" s="254"/>
      <c r="FY456" s="254"/>
      <c r="FZ456" s="254"/>
      <c r="GA456" s="254"/>
      <c r="GB456" s="254"/>
      <c r="GC456" s="254"/>
      <c r="GD456" s="254"/>
      <c r="GE456" s="254"/>
      <c r="GF456" s="254"/>
      <c r="GG456" s="254"/>
      <c r="GH456" s="254"/>
      <c r="GI456" s="254"/>
      <c r="GJ456" s="254"/>
      <c r="GK456" s="254"/>
      <c r="GL456" s="254"/>
      <c r="GM456" s="254"/>
      <c r="GN456" s="254"/>
      <c r="GO456" s="254"/>
      <c r="GP456" s="254"/>
      <c r="GQ456" s="254"/>
      <c r="GR456" s="254"/>
      <c r="GS456" s="254"/>
      <c r="GT456" s="254"/>
      <c r="GU456" s="254"/>
      <c r="GV456" s="254"/>
      <c r="GW456" s="254"/>
      <c r="GX456" s="254"/>
      <c r="GY456" s="254"/>
      <c r="GZ456" s="254"/>
      <c r="HA456" s="254"/>
      <c r="HB456" s="254"/>
      <c r="HC456" s="254"/>
      <c r="HD456" s="254"/>
      <c r="HE456" s="254"/>
      <c r="HF456" s="254"/>
      <c r="HG456" s="254"/>
      <c r="HH456" s="254"/>
      <c r="HI456" s="254"/>
      <c r="HJ456" s="254"/>
      <c r="HK456" s="254"/>
      <c r="HL456" s="254"/>
      <c r="HM456" s="254"/>
      <c r="HN456" s="254"/>
      <c r="HO456" s="254"/>
      <c r="HP456" s="254"/>
      <c r="HQ456" s="254"/>
      <c r="HR456" s="254"/>
      <c r="HS456" s="254"/>
      <c r="HT456" s="254"/>
      <c r="HU456" s="254"/>
      <c r="HV456" s="254"/>
      <c r="HW456" s="254"/>
      <c r="HX456" s="254"/>
      <c r="HY456" s="254"/>
      <c r="HZ456" s="254"/>
      <c r="IA456" s="254"/>
      <c r="IB456" s="254"/>
      <c r="IC456" s="254"/>
      <c r="ID456" s="254"/>
      <c r="IE456" s="254"/>
      <c r="IF456" s="254"/>
      <c r="IG456" s="254"/>
      <c r="IH456" s="254"/>
      <c r="II456" s="254"/>
      <c r="IJ456" s="254"/>
      <c r="IK456" s="254"/>
      <c r="IL456" s="254"/>
      <c r="IM456" s="254"/>
      <c r="IN456" s="254"/>
      <c r="IO456" s="254"/>
      <c r="IP456" s="254"/>
      <c r="IQ456" s="254"/>
      <c r="IR456" s="254"/>
      <c r="IS456" s="254"/>
      <c r="IT456" s="254"/>
      <c r="IU456" s="254"/>
      <c r="IV456" s="254"/>
      <c r="IW456" s="254"/>
      <c r="IX456" s="254"/>
      <c r="IY456" s="254"/>
      <c r="IZ456" s="254"/>
      <c r="JA456" s="254"/>
      <c r="JB456" s="254"/>
      <c r="JC456" s="254"/>
      <c r="JD456" s="254"/>
      <c r="JE456" s="254"/>
      <c r="JF456" s="254"/>
      <c r="JG456" s="254"/>
      <c r="JH456" s="254"/>
      <c r="JI456" s="1771"/>
      <c r="JJ456" s="1771"/>
      <c r="JK456" s="1771"/>
      <c r="JL456" s="1771"/>
      <c r="JM456" s="1771"/>
      <c r="JN456" s="1771"/>
      <c r="JO456" s="1771"/>
      <c r="JP456" s="1771"/>
      <c r="JQ456" s="1771"/>
      <c r="JR456" s="1771"/>
      <c r="JS456" s="1771"/>
      <c r="JT456" s="1771"/>
      <c r="JU456" s="1771"/>
      <c r="JV456" s="1771"/>
      <c r="JW456" s="1771"/>
      <c r="JX456" s="1771"/>
      <c r="JY456" s="1771"/>
      <c r="JZ456" s="1771"/>
      <c r="KA456" s="1771"/>
      <c r="KB456" s="1771"/>
      <c r="KC456" s="1771"/>
      <c r="KD456" s="1771"/>
      <c r="KE456" s="1771"/>
      <c r="KF456" s="1771"/>
      <c r="KG456" s="1771"/>
      <c r="KH456" s="1771"/>
      <c r="KI456" s="1771"/>
      <c r="KJ456" s="1771"/>
      <c r="KK456" s="1771"/>
      <c r="KL456" s="1771"/>
      <c r="KM456" s="1771"/>
      <c r="KN456" s="1771"/>
      <c r="KO456" s="1771"/>
      <c r="KP456" s="1771"/>
      <c r="KQ456" s="1771"/>
      <c r="KR456" s="1771"/>
      <c r="KS456" s="1771"/>
      <c r="KT456" s="1771"/>
      <c r="KU456" s="1771"/>
      <c r="KV456" s="1771"/>
      <c r="KW456" s="1771"/>
      <c r="KX456" s="1771"/>
      <c r="KY456" s="1771"/>
      <c r="KZ456" s="1771"/>
      <c r="LA456" s="1771"/>
      <c r="LB456" s="1771"/>
      <c r="LC456" s="1771"/>
      <c r="LD456" s="1771"/>
      <c r="LE456" s="1771"/>
      <c r="LF456" s="1771"/>
      <c r="LG456" s="1771"/>
      <c r="LH456" s="1771"/>
      <c r="LI456" s="1771"/>
      <c r="LJ456" s="1771"/>
      <c r="LK456" s="1771"/>
      <c r="LL456" s="1771"/>
      <c r="LM456" s="1771"/>
      <c r="LN456" s="1771"/>
      <c r="LO456" s="1771"/>
      <c r="LP456" s="1771"/>
      <c r="LQ456" s="1771"/>
      <c r="LR456" s="1771"/>
      <c r="LS456" s="1771"/>
      <c r="LT456" s="1771"/>
      <c r="LU456" s="1771"/>
      <c r="LV456" s="254"/>
      <c r="LW456" s="254"/>
      <c r="LX456" s="254"/>
      <c r="LY456" s="254"/>
      <c r="LZ456" s="254"/>
      <c r="MA456" s="254"/>
      <c r="MB456" s="254"/>
      <c r="MC456" s="254"/>
      <c r="MD456" s="254"/>
      <c r="ME456" s="254"/>
      <c r="MF456" s="254"/>
      <c r="MG456" s="254"/>
      <c r="MH456" s="254"/>
      <c r="MI456" s="254"/>
      <c r="MJ456" s="254"/>
      <c r="MK456" s="254"/>
      <c r="ML456" s="254"/>
      <c r="MM456" s="254"/>
      <c r="MN456" s="254"/>
      <c r="MO456" s="254"/>
      <c r="MU456" s="254"/>
      <c r="MV456" s="254"/>
      <c r="MW456" s="254"/>
      <c r="MX456" s="254"/>
      <c r="MY456" s="254"/>
      <c r="MZ456" s="254"/>
      <c r="NA456" s="254"/>
      <c r="NB456" s="254"/>
      <c r="NC456" s="254"/>
      <c r="ND456" s="254"/>
      <c r="NE456" s="254"/>
      <c r="NF456" s="254"/>
      <c r="NG456" s="254"/>
      <c r="NH456" s="254"/>
      <c r="NI456" s="254"/>
      <c r="NJ456" s="254"/>
      <c r="NK456" s="254"/>
      <c r="NL456" s="254"/>
      <c r="NM456" s="254"/>
      <c r="NN456" s="254"/>
      <c r="OZ456" s="1185">
        <v>3</v>
      </c>
    </row>
    <row r="457" spans="1:416" s="253" customFormat="1" ht="12.6" customHeight="1">
      <c r="A457" s="1184" t="s">
        <v>21</v>
      </c>
      <c r="B457" s="1184" t="s">
        <v>810</v>
      </c>
      <c r="D457" s="1831" t="s">
        <v>811</v>
      </c>
      <c r="E457" s="1831"/>
      <c r="F457" s="1831"/>
      <c r="G457" s="1831"/>
      <c r="H457" s="1831"/>
      <c r="I457" s="1831"/>
      <c r="J457" s="1831"/>
      <c r="K457" s="1184"/>
      <c r="L457" s="1184"/>
      <c r="M457" s="1184"/>
      <c r="O457" s="1981" t="s">
        <v>812</v>
      </c>
      <c r="P457" s="1982" t="str">
        <f>'Part I-Project Identification'!$O$30</f>
        <v>Tift Co.</v>
      </c>
      <c r="Q457" s="1982"/>
      <c r="T457" s="1184" t="str">
        <f>B457</f>
        <v>RENT SCHEDULE</v>
      </c>
      <c r="U457" s="1184"/>
      <c r="X457" s="1004"/>
      <c r="Y457" s="1004"/>
      <c r="Z457" s="1004"/>
      <c r="AA457" s="1004"/>
      <c r="AB457" s="1004"/>
      <c r="AC457" s="1004"/>
      <c r="AD457" s="1004"/>
      <c r="AE457" s="1004"/>
      <c r="AF457" s="1004"/>
      <c r="AG457" s="1004"/>
      <c r="AH457" s="1004"/>
      <c r="AI457" s="1004"/>
      <c r="AJ457" s="1004"/>
      <c r="AK457" s="1004"/>
      <c r="AL457" s="1004"/>
      <c r="AM457" s="1004"/>
      <c r="AN457" s="1004"/>
      <c r="AO457" s="1004"/>
      <c r="AP457" s="1004"/>
      <c r="AQ457" s="1004"/>
      <c r="AR457" s="1004"/>
      <c r="AS457" s="1004"/>
      <c r="AT457" s="1004"/>
      <c r="AU457" s="1004"/>
      <c r="AV457" s="1004"/>
      <c r="AW457" s="1004"/>
      <c r="AX457" s="1004"/>
      <c r="AY457" s="1004"/>
      <c r="AZ457" s="1004"/>
      <c r="BA457" s="1004"/>
      <c r="BB457" s="1004"/>
      <c r="BC457" s="1004"/>
      <c r="BD457" s="1004"/>
      <c r="BE457" s="1004"/>
      <c r="BF457" s="1004"/>
      <c r="BG457" s="1004"/>
      <c r="BH457" s="1004"/>
      <c r="BI457" s="1004"/>
      <c r="BJ457" s="1004"/>
      <c r="BK457" s="1004"/>
      <c r="BL457" s="1004"/>
      <c r="BM457" s="1004"/>
      <c r="BN457" s="1004"/>
      <c r="BO457" s="1004"/>
      <c r="BP457" s="1004"/>
      <c r="BQ457" s="1004"/>
      <c r="BR457" s="1004"/>
      <c r="BS457" s="1004"/>
      <c r="BT457" s="1004"/>
      <c r="BU457" s="1004"/>
      <c r="BV457" s="1004"/>
      <c r="BW457" s="1004"/>
      <c r="BX457" s="1004"/>
      <c r="BY457" s="1004"/>
      <c r="BZ457" s="1004"/>
      <c r="CA457" s="1004"/>
      <c r="CB457" s="1004"/>
      <c r="CC457" s="1004"/>
      <c r="CD457" s="1004"/>
      <c r="CE457" s="1004"/>
      <c r="CF457" s="1004"/>
      <c r="CG457" s="1004"/>
      <c r="CH457" s="1004"/>
      <c r="CI457" s="1004"/>
      <c r="CJ457" s="1004"/>
      <c r="CK457" s="1004"/>
      <c r="CL457" s="1004"/>
      <c r="CM457" s="1004"/>
      <c r="CN457" s="1004"/>
      <c r="CO457" s="1004"/>
      <c r="CP457" s="1004"/>
      <c r="CQ457" s="1004"/>
      <c r="CR457" s="1004"/>
      <c r="CS457" s="1004"/>
      <c r="CT457" s="1004"/>
      <c r="CU457" s="1004"/>
      <c r="CV457" s="1004"/>
      <c r="CW457" s="1004"/>
      <c r="CX457" s="1004"/>
      <c r="CY457" s="1004"/>
      <c r="CZ457" s="1004"/>
      <c r="DA457" s="1004"/>
      <c r="DB457" s="1004"/>
      <c r="DC457" s="1004"/>
      <c r="DD457" s="1004"/>
      <c r="DE457" s="1004"/>
      <c r="DF457" s="1004"/>
      <c r="DG457" s="1004"/>
      <c r="DH457" s="1004"/>
      <c r="DI457" s="1004"/>
      <c r="DJ457" s="1004"/>
      <c r="DK457" s="1004"/>
      <c r="DL457" s="1004"/>
      <c r="DM457" s="1004"/>
      <c r="DN457" s="1004"/>
      <c r="DO457" s="1004"/>
      <c r="DP457" s="1004"/>
      <c r="DQ457" s="1004"/>
      <c r="DR457" s="1004"/>
      <c r="DS457" s="1004"/>
      <c r="DT457" s="1004"/>
      <c r="DU457" s="1004"/>
      <c r="DV457" s="1004"/>
      <c r="DW457" s="1004"/>
      <c r="DX457" s="1004"/>
      <c r="DY457" s="1004"/>
      <c r="DZ457" s="1004"/>
      <c r="EA457" s="1004"/>
      <c r="EB457" s="1004"/>
      <c r="EC457" s="1004"/>
      <c r="ED457" s="1004"/>
      <c r="EE457" s="1004"/>
      <c r="EF457" s="1004"/>
      <c r="EG457" s="1004"/>
      <c r="EH457" s="1004"/>
      <c r="EI457" s="1004"/>
      <c r="EJ457" s="1004"/>
      <c r="EK457" s="1004"/>
      <c r="EL457" s="1004"/>
      <c r="EM457" s="1004"/>
      <c r="EN457" s="1004"/>
      <c r="EO457" s="1004"/>
      <c r="EP457" s="1004"/>
      <c r="EQ457" s="1004"/>
      <c r="ER457" s="1004"/>
      <c r="ES457" s="1004"/>
      <c r="ET457" s="1004"/>
      <c r="EU457" s="1004"/>
      <c r="EV457" s="1004"/>
      <c r="EW457" s="1004"/>
      <c r="EX457" s="1004"/>
      <c r="EY457" s="1004"/>
      <c r="EZ457" s="1004"/>
      <c r="FA457" s="1004"/>
      <c r="FB457" s="1004"/>
      <c r="FC457" s="1004"/>
      <c r="FD457" s="1004"/>
      <c r="FE457" s="1004"/>
      <c r="FF457" s="1004"/>
      <c r="FG457" s="1004"/>
      <c r="FH457" s="1004"/>
      <c r="FI457" s="1004"/>
      <c r="FJ457" s="1004"/>
      <c r="FK457" s="1004"/>
      <c r="FL457" s="1004"/>
      <c r="FM457" s="1004"/>
      <c r="FN457" s="1004"/>
      <c r="FO457" s="1004"/>
      <c r="FP457" s="1004"/>
      <c r="FQ457" s="1004"/>
      <c r="FR457" s="1004"/>
      <c r="FS457" s="1004"/>
      <c r="FT457" s="1004"/>
      <c r="FU457" s="1004"/>
      <c r="FV457" s="1004"/>
      <c r="FW457" s="1004"/>
      <c r="FX457" s="1004"/>
      <c r="FY457" s="1004"/>
      <c r="FZ457" s="1004"/>
      <c r="GA457" s="1004"/>
      <c r="GB457" s="1004"/>
      <c r="GC457" s="1004"/>
      <c r="GD457" s="1004"/>
      <c r="GE457" s="1004"/>
      <c r="GF457" s="1004"/>
      <c r="GG457" s="1004"/>
      <c r="GH457" s="1004"/>
      <c r="GI457" s="1004"/>
      <c r="GJ457" s="1004"/>
      <c r="GK457" s="1004"/>
      <c r="GL457" s="1004"/>
      <c r="GM457" s="1004"/>
      <c r="GN457" s="1004"/>
      <c r="GO457" s="1004"/>
      <c r="GP457" s="1004"/>
      <c r="GQ457" s="1004"/>
      <c r="GR457" s="1004"/>
      <c r="GS457" s="1004"/>
      <c r="GT457" s="1004"/>
      <c r="GU457" s="1004"/>
      <c r="GV457" s="1004"/>
      <c r="GW457" s="1004"/>
      <c r="GX457" s="1004"/>
      <c r="GY457" s="1004"/>
      <c r="GZ457" s="1004"/>
      <c r="HA457" s="1004"/>
      <c r="HB457" s="1004"/>
      <c r="HC457" s="1004"/>
      <c r="HD457" s="1004"/>
      <c r="HE457" s="1004"/>
      <c r="HF457" s="1004"/>
      <c r="HG457" s="1004"/>
      <c r="HH457" s="1004"/>
      <c r="HI457" s="1004"/>
      <c r="HJ457" s="1004"/>
      <c r="HK457" s="1004"/>
      <c r="HL457" s="1004"/>
      <c r="HM457" s="1004"/>
      <c r="HN457" s="1004"/>
      <c r="HO457" s="1004"/>
      <c r="HP457" s="1004"/>
      <c r="HQ457" s="1004"/>
      <c r="HR457" s="1004"/>
      <c r="HS457" s="1004"/>
      <c r="HT457" s="1004"/>
      <c r="HU457" s="1004"/>
      <c r="HV457" s="1004"/>
      <c r="HW457" s="1004"/>
      <c r="HX457" s="1004"/>
      <c r="HY457" s="1004"/>
      <c r="HZ457" s="1004"/>
      <c r="IA457" s="1004"/>
      <c r="IB457" s="1004"/>
      <c r="IC457" s="1004"/>
      <c r="ID457" s="1004"/>
      <c r="IE457" s="1004"/>
      <c r="IF457" s="1004"/>
      <c r="IG457" s="1004"/>
      <c r="IH457" s="1004"/>
      <c r="II457" s="1004"/>
      <c r="IJ457" s="1004"/>
      <c r="IK457" s="1004"/>
      <c r="IL457" s="1004"/>
      <c r="IM457" s="1004"/>
      <c r="IN457" s="1004"/>
      <c r="IO457" s="1004"/>
      <c r="IP457" s="1004"/>
      <c r="IQ457" s="1004"/>
      <c r="IR457" s="1004"/>
      <c r="IS457" s="1004"/>
      <c r="IT457" s="1004"/>
      <c r="IU457" s="1004"/>
      <c r="IV457" s="1004"/>
      <c r="IW457" s="1004"/>
      <c r="IX457" s="1004"/>
      <c r="IY457" s="1004"/>
      <c r="IZ457" s="1004"/>
      <c r="JA457" s="1004"/>
      <c r="JB457" s="1004"/>
      <c r="JC457" s="1004"/>
      <c r="JD457" s="1004"/>
      <c r="JE457" s="1004"/>
      <c r="JF457" s="1004"/>
      <c r="JG457" s="1004"/>
      <c r="JH457" s="1004"/>
      <c r="JI457" s="1772"/>
      <c r="JJ457" s="1772"/>
      <c r="JK457" s="1772"/>
      <c r="JL457" s="1772"/>
      <c r="JM457" s="1772"/>
      <c r="JN457" s="1771" t="s">
        <v>813</v>
      </c>
      <c r="JO457" s="1771" t="s">
        <v>814</v>
      </c>
      <c r="JP457" s="1771" t="s">
        <v>815</v>
      </c>
      <c r="JQ457" s="1771" t="s">
        <v>816</v>
      </c>
      <c r="JR457" s="1771" t="s">
        <v>817</v>
      </c>
      <c r="JS457" s="1771" t="s">
        <v>813</v>
      </c>
      <c r="JT457" s="1771" t="s">
        <v>814</v>
      </c>
      <c r="JU457" s="1771" t="s">
        <v>815</v>
      </c>
      <c r="JV457" s="1771" t="s">
        <v>816</v>
      </c>
      <c r="JW457" s="1771" t="s">
        <v>817</v>
      </c>
      <c r="JX457" s="1772"/>
      <c r="JY457" s="1772"/>
      <c r="JZ457" s="1772"/>
      <c r="KA457" s="1772"/>
      <c r="KB457" s="1772"/>
      <c r="KC457" s="1772"/>
      <c r="KD457" s="1772"/>
      <c r="KE457" s="1772"/>
      <c r="KF457" s="1772"/>
      <c r="KG457" s="1772"/>
      <c r="KH457" s="1771" t="s">
        <v>813</v>
      </c>
      <c r="KI457" s="1771" t="s">
        <v>814</v>
      </c>
      <c r="KJ457" s="1771" t="s">
        <v>815</v>
      </c>
      <c r="KK457" s="1771" t="s">
        <v>816</v>
      </c>
      <c r="KL457" s="1771" t="s">
        <v>817</v>
      </c>
      <c r="KM457" s="1771" t="s">
        <v>813</v>
      </c>
      <c r="KN457" s="1771" t="s">
        <v>814</v>
      </c>
      <c r="KO457" s="1771" t="s">
        <v>815</v>
      </c>
      <c r="KP457" s="1771" t="s">
        <v>816</v>
      </c>
      <c r="KQ457" s="1771" t="s">
        <v>817</v>
      </c>
      <c r="KR457" s="1771" t="s">
        <v>813</v>
      </c>
      <c r="KS457" s="1771" t="s">
        <v>814</v>
      </c>
      <c r="KT457" s="1771" t="s">
        <v>815</v>
      </c>
      <c r="KU457" s="1771" t="s">
        <v>816</v>
      </c>
      <c r="KV457" s="1771" t="s">
        <v>817</v>
      </c>
      <c r="KW457" s="1771" t="s">
        <v>813</v>
      </c>
      <c r="KX457" s="1771" t="s">
        <v>814</v>
      </c>
      <c r="KY457" s="1771" t="s">
        <v>815</v>
      </c>
      <c r="KZ457" s="1771" t="s">
        <v>816</v>
      </c>
      <c r="LA457" s="1771" t="s">
        <v>817</v>
      </c>
      <c r="LB457" s="1771" t="s">
        <v>813</v>
      </c>
      <c r="LC457" s="1771" t="s">
        <v>814</v>
      </c>
      <c r="LD457" s="1771" t="s">
        <v>815</v>
      </c>
      <c r="LE457" s="1771" t="s">
        <v>816</v>
      </c>
      <c r="LF457" s="1771" t="s">
        <v>817</v>
      </c>
      <c r="LG457" s="1771" t="s">
        <v>813</v>
      </c>
      <c r="LH457" s="1771" t="s">
        <v>814</v>
      </c>
      <c r="LI457" s="1771" t="s">
        <v>815</v>
      </c>
      <c r="LJ457" s="1771" t="s">
        <v>816</v>
      </c>
      <c r="LK457" s="1771" t="s">
        <v>817</v>
      </c>
      <c r="LL457" s="1771" t="s">
        <v>813</v>
      </c>
      <c r="LM457" s="1771" t="s">
        <v>814</v>
      </c>
      <c r="LN457" s="1771" t="s">
        <v>815</v>
      </c>
      <c r="LO457" s="1771" t="s">
        <v>816</v>
      </c>
      <c r="LP457" s="1771" t="s">
        <v>817</v>
      </c>
      <c r="LQ457" s="1771" t="s">
        <v>813</v>
      </c>
      <c r="LR457" s="1771" t="s">
        <v>814</v>
      </c>
      <c r="LS457" s="1771" t="s">
        <v>815</v>
      </c>
      <c r="LT457" s="1771" t="s">
        <v>816</v>
      </c>
      <c r="LU457" s="1771" t="s">
        <v>817</v>
      </c>
      <c r="LV457" s="1771" t="s">
        <v>813</v>
      </c>
      <c r="LW457" s="1771" t="s">
        <v>814</v>
      </c>
      <c r="LX457" s="1771" t="s">
        <v>815</v>
      </c>
      <c r="LY457" s="1771" t="s">
        <v>816</v>
      </c>
      <c r="LZ457" s="1771" t="s">
        <v>817</v>
      </c>
      <c r="MA457" s="1771" t="s">
        <v>813</v>
      </c>
      <c r="MB457" s="1771" t="s">
        <v>814</v>
      </c>
      <c r="MC457" s="1771" t="s">
        <v>815</v>
      </c>
      <c r="MD457" s="1771" t="s">
        <v>816</v>
      </c>
      <c r="ME457" s="1771" t="s">
        <v>817</v>
      </c>
      <c r="MF457" s="1771" t="s">
        <v>813</v>
      </c>
      <c r="MG457" s="1771" t="s">
        <v>814</v>
      </c>
      <c r="MH457" s="1771" t="s">
        <v>815</v>
      </c>
      <c r="MI457" s="1771" t="s">
        <v>816</v>
      </c>
      <c r="MJ457" s="1771" t="s">
        <v>817</v>
      </c>
      <c r="MK457" s="1771" t="s">
        <v>813</v>
      </c>
      <c r="ML457" s="1771" t="s">
        <v>814</v>
      </c>
      <c r="MM457" s="1771" t="s">
        <v>815</v>
      </c>
      <c r="MN457" s="1771" t="s">
        <v>816</v>
      </c>
      <c r="MO457" s="1771" t="s">
        <v>817</v>
      </c>
      <c r="MP457" s="1004"/>
      <c r="MQ457" s="1004"/>
      <c r="MR457" s="1004"/>
      <c r="MS457" s="1004"/>
      <c r="MT457" s="1004"/>
      <c r="MU457" s="1004"/>
      <c r="MV457" s="1004"/>
      <c r="MW457" s="1004"/>
      <c r="MX457" s="1004"/>
      <c r="MY457" s="1004"/>
      <c r="MZ457" s="1004"/>
      <c r="NA457" s="1004"/>
      <c r="NB457" s="1004"/>
      <c r="NC457" s="1004"/>
      <c r="ND457" s="1004"/>
      <c r="NE457" s="1004"/>
      <c r="NF457" s="1004"/>
      <c r="NG457" s="1004"/>
      <c r="NH457" s="1004"/>
      <c r="NI457" s="1004"/>
      <c r="NJ457" s="1004"/>
      <c r="NK457" s="1004"/>
      <c r="NL457" s="1004"/>
      <c r="NM457" s="1004"/>
      <c r="NN457" s="1004"/>
      <c r="NO457" s="254" t="s">
        <v>818</v>
      </c>
      <c r="NP457" s="254" t="s">
        <v>819</v>
      </c>
      <c r="NQ457" s="254" t="s">
        <v>820</v>
      </c>
      <c r="NR457" s="254" t="s">
        <v>821</v>
      </c>
      <c r="NS457" s="254" t="s">
        <v>822</v>
      </c>
      <c r="NT457" s="1004"/>
      <c r="NU457" s="1004"/>
      <c r="NV457" s="1004"/>
      <c r="NW457" s="1004"/>
      <c r="NX457" s="1004"/>
      <c r="NY457" s="1004"/>
      <c r="NZ457" s="1004"/>
      <c r="OA457" s="1004"/>
      <c r="OB457" s="1004"/>
      <c r="OC457" s="1004"/>
      <c r="OZ457" s="1296">
        <v>4</v>
      </c>
    </row>
    <row r="458" spans="1:416" s="253" customFormat="1" ht="3" customHeight="1">
      <c r="B458" s="1184"/>
      <c r="D458" s="1831"/>
      <c r="E458" s="1831"/>
      <c r="F458" s="1831"/>
      <c r="G458" s="1831"/>
      <c r="H458" s="1831"/>
      <c r="I458" s="1831"/>
      <c r="J458" s="1831"/>
      <c r="P458" s="1982"/>
      <c r="Q458" s="1983" t="s">
        <v>7542</v>
      </c>
      <c r="R458" s="1984"/>
      <c r="X458" s="254" t="s">
        <v>824</v>
      </c>
      <c r="Y458" s="254" t="s">
        <v>825</v>
      </c>
      <c r="Z458" s="254" t="s">
        <v>826</v>
      </c>
      <c r="AA458" s="254" t="s">
        <v>827</v>
      </c>
      <c r="AB458" s="254" t="s">
        <v>828</v>
      </c>
      <c r="AC458" s="254" t="s">
        <v>829</v>
      </c>
      <c r="AD458" s="254" t="s">
        <v>830</v>
      </c>
      <c r="AE458" s="254" t="s">
        <v>831</v>
      </c>
      <c r="AF458" s="254" t="s">
        <v>832</v>
      </c>
      <c r="AG458" s="254" t="s">
        <v>833</v>
      </c>
      <c r="AH458" s="254" t="s">
        <v>834</v>
      </c>
      <c r="AI458" s="254" t="s">
        <v>835</v>
      </c>
      <c r="AJ458" s="254" t="s">
        <v>836</v>
      </c>
      <c r="AK458" s="254" t="s">
        <v>837</v>
      </c>
      <c r="AL458" s="254" t="s">
        <v>838</v>
      </c>
      <c r="AM458" s="254" t="s">
        <v>839</v>
      </c>
      <c r="AN458" s="254" t="s">
        <v>840</v>
      </c>
      <c r="AO458" s="254" t="s">
        <v>841</v>
      </c>
      <c r="AP458" s="254" t="s">
        <v>842</v>
      </c>
      <c r="AQ458" s="254" t="s">
        <v>843</v>
      </c>
      <c r="AR458" s="254" t="s">
        <v>844</v>
      </c>
      <c r="AS458" s="254" t="s">
        <v>845</v>
      </c>
      <c r="AT458" s="254" t="s">
        <v>846</v>
      </c>
      <c r="AU458" s="254" t="s">
        <v>847</v>
      </c>
      <c r="AV458" s="254" t="s">
        <v>848</v>
      </c>
      <c r="AW458" s="254" t="s">
        <v>849</v>
      </c>
      <c r="AX458" s="254" t="s">
        <v>850</v>
      </c>
      <c r="AY458" s="254" t="s">
        <v>851</v>
      </c>
      <c r="AZ458" s="254" t="s">
        <v>852</v>
      </c>
      <c r="BA458" s="254" t="s">
        <v>853</v>
      </c>
      <c r="BB458" s="254" t="s">
        <v>854</v>
      </c>
      <c r="BC458" s="254" t="s">
        <v>855</v>
      </c>
      <c r="BD458" s="254" t="s">
        <v>856</v>
      </c>
      <c r="BE458" s="254" t="s">
        <v>857</v>
      </c>
      <c r="BF458" s="254" t="s">
        <v>858</v>
      </c>
      <c r="BG458" s="254" t="s">
        <v>859</v>
      </c>
      <c r="BH458" s="254" t="s">
        <v>860</v>
      </c>
      <c r="BI458" s="254" t="s">
        <v>861</v>
      </c>
      <c r="BJ458" s="254" t="s">
        <v>862</v>
      </c>
      <c r="BK458" s="254" t="s">
        <v>863</v>
      </c>
      <c r="BL458" s="254" t="s">
        <v>864</v>
      </c>
      <c r="BM458" s="254" t="s">
        <v>865</v>
      </c>
      <c r="BN458" s="254" t="s">
        <v>866</v>
      </c>
      <c r="BO458" s="254" t="s">
        <v>867</v>
      </c>
      <c r="BP458" s="254" t="s">
        <v>868</v>
      </c>
      <c r="BQ458" s="254" t="s">
        <v>869</v>
      </c>
      <c r="BR458" s="254" t="s">
        <v>870</v>
      </c>
      <c r="BS458" s="254" t="s">
        <v>871</v>
      </c>
      <c r="BT458" s="254" t="s">
        <v>872</v>
      </c>
      <c r="BU458" s="254" t="s">
        <v>873</v>
      </c>
      <c r="BV458" s="254" t="s">
        <v>874</v>
      </c>
      <c r="BW458" s="254" t="s">
        <v>875</v>
      </c>
      <c r="BX458" s="254" t="s">
        <v>876</v>
      </c>
      <c r="BY458" s="254" t="s">
        <v>877</v>
      </c>
      <c r="BZ458" s="254" t="s">
        <v>878</v>
      </c>
      <c r="CA458" s="254" t="s">
        <v>879</v>
      </c>
      <c r="CB458" s="254" t="s">
        <v>880</v>
      </c>
      <c r="CC458" s="254" t="s">
        <v>881</v>
      </c>
      <c r="CD458" s="254" t="s">
        <v>882</v>
      </c>
      <c r="CE458" s="254" t="s">
        <v>883</v>
      </c>
      <c r="CF458" s="254" t="s">
        <v>884</v>
      </c>
      <c r="CG458" s="254" t="s">
        <v>885</v>
      </c>
      <c r="CH458" s="254" t="s">
        <v>886</v>
      </c>
      <c r="CI458" s="254" t="s">
        <v>887</v>
      </c>
      <c r="CJ458" s="254" t="s">
        <v>888</v>
      </c>
      <c r="CK458" s="254" t="s">
        <v>889</v>
      </c>
      <c r="CL458" s="254" t="s">
        <v>890</v>
      </c>
      <c r="CM458" s="254" t="s">
        <v>891</v>
      </c>
      <c r="CN458" s="254" t="s">
        <v>892</v>
      </c>
      <c r="CO458" s="254" t="s">
        <v>893</v>
      </c>
      <c r="CP458" s="254" t="s">
        <v>894</v>
      </c>
      <c r="CQ458" s="254" t="s">
        <v>895</v>
      </c>
      <c r="CR458" s="254" t="s">
        <v>896</v>
      </c>
      <c r="CS458" s="254" t="s">
        <v>897</v>
      </c>
      <c r="CT458" s="254" t="s">
        <v>898</v>
      </c>
      <c r="CU458" s="254" t="s">
        <v>899</v>
      </c>
      <c r="CV458" s="254" t="s">
        <v>900</v>
      </c>
      <c r="CW458" s="254" t="s">
        <v>901</v>
      </c>
      <c r="CX458" s="254" t="s">
        <v>902</v>
      </c>
      <c r="CY458" s="254" t="s">
        <v>903</v>
      </c>
      <c r="CZ458" s="254" t="s">
        <v>904</v>
      </c>
      <c r="DA458" s="254" t="s">
        <v>905</v>
      </c>
      <c r="DB458" s="254" t="s">
        <v>906</v>
      </c>
      <c r="DC458" s="254" t="s">
        <v>907</v>
      </c>
      <c r="DD458" s="254" t="s">
        <v>908</v>
      </c>
      <c r="DE458" s="254" t="s">
        <v>909</v>
      </c>
      <c r="DF458" s="254" t="s">
        <v>910</v>
      </c>
      <c r="DG458" s="254" t="s">
        <v>911</v>
      </c>
      <c r="DH458" s="254" t="s">
        <v>912</v>
      </c>
      <c r="DI458" s="254" t="s">
        <v>913</v>
      </c>
      <c r="DJ458" s="254" t="s">
        <v>914</v>
      </c>
      <c r="DK458" s="254" t="s">
        <v>915</v>
      </c>
      <c r="DL458" s="254" t="s">
        <v>916</v>
      </c>
      <c r="DM458" s="254" t="s">
        <v>917</v>
      </c>
      <c r="DN458" s="254" t="s">
        <v>918</v>
      </c>
      <c r="DO458" s="254" t="s">
        <v>919</v>
      </c>
      <c r="DP458" s="254" t="s">
        <v>920</v>
      </c>
      <c r="DQ458" s="254" t="s">
        <v>921</v>
      </c>
      <c r="DR458" s="254" t="s">
        <v>922</v>
      </c>
      <c r="DS458" s="254" t="s">
        <v>923</v>
      </c>
      <c r="DT458" s="254" t="s">
        <v>924</v>
      </c>
      <c r="DU458" s="254" t="s">
        <v>925</v>
      </c>
      <c r="DV458" s="254" t="s">
        <v>926</v>
      </c>
      <c r="DW458" s="254" t="s">
        <v>927</v>
      </c>
      <c r="DX458" s="254" t="s">
        <v>928</v>
      </c>
      <c r="DY458" s="254" t="s">
        <v>929</v>
      </c>
      <c r="DZ458" s="254" t="s">
        <v>930</v>
      </c>
      <c r="EA458" s="254" t="s">
        <v>931</v>
      </c>
      <c r="EB458" s="254" t="s">
        <v>932</v>
      </c>
      <c r="EC458" s="254" t="s">
        <v>933</v>
      </c>
      <c r="ED458" s="254" t="s">
        <v>934</v>
      </c>
      <c r="EE458" s="254" t="s">
        <v>935</v>
      </c>
      <c r="EF458" s="254" t="s">
        <v>936</v>
      </c>
      <c r="EG458" s="254" t="s">
        <v>937</v>
      </c>
      <c r="EH458" s="254" t="s">
        <v>938</v>
      </c>
      <c r="EI458" s="254" t="s">
        <v>939</v>
      </c>
      <c r="EJ458" s="254" t="s">
        <v>940</v>
      </c>
      <c r="EK458" s="254" t="s">
        <v>941</v>
      </c>
      <c r="EL458" s="254" t="s">
        <v>942</v>
      </c>
      <c r="EM458" s="254" t="s">
        <v>943</v>
      </c>
      <c r="EN458" s="254" t="s">
        <v>944</v>
      </c>
      <c r="EO458" s="254" t="s">
        <v>945</v>
      </c>
      <c r="EP458" s="254" t="s">
        <v>946</v>
      </c>
      <c r="EQ458" s="254" t="s">
        <v>947</v>
      </c>
      <c r="ER458" s="254" t="s">
        <v>948</v>
      </c>
      <c r="ES458" s="254" t="s">
        <v>949</v>
      </c>
      <c r="ET458" s="254" t="s">
        <v>950</v>
      </c>
      <c r="EU458" s="254" t="s">
        <v>951</v>
      </c>
      <c r="EV458" s="254" t="s">
        <v>952</v>
      </c>
      <c r="EW458" s="254" t="s">
        <v>953</v>
      </c>
      <c r="EX458" s="254" t="s">
        <v>954</v>
      </c>
      <c r="EY458" s="254" t="s">
        <v>955</v>
      </c>
      <c r="EZ458" s="254" t="s">
        <v>956</v>
      </c>
      <c r="FA458" s="254" t="s">
        <v>957</v>
      </c>
      <c r="FB458" s="254" t="s">
        <v>958</v>
      </c>
      <c r="FC458" s="254" t="s">
        <v>959</v>
      </c>
      <c r="FD458" s="254" t="s">
        <v>960</v>
      </c>
      <c r="FE458" s="254" t="s">
        <v>961</v>
      </c>
      <c r="FF458" s="254" t="s">
        <v>962</v>
      </c>
      <c r="FG458" s="254" t="s">
        <v>963</v>
      </c>
      <c r="FH458" s="254" t="s">
        <v>964</v>
      </c>
      <c r="FI458" s="254" t="s">
        <v>965</v>
      </c>
      <c r="FJ458" s="254" t="s">
        <v>966</v>
      </c>
      <c r="FK458" s="254" t="s">
        <v>967</v>
      </c>
      <c r="FL458" s="254" t="s">
        <v>968</v>
      </c>
      <c r="FM458" s="254" t="s">
        <v>969</v>
      </c>
      <c r="FN458" s="254" t="s">
        <v>970</v>
      </c>
      <c r="FO458" s="254" t="s">
        <v>971</v>
      </c>
      <c r="FP458" s="254" t="s">
        <v>972</v>
      </c>
      <c r="FQ458" s="254" t="s">
        <v>973</v>
      </c>
      <c r="FR458" s="254" t="s">
        <v>974</v>
      </c>
      <c r="FS458" s="254" t="s">
        <v>975</v>
      </c>
      <c r="FT458" s="254" t="s">
        <v>976</v>
      </c>
      <c r="FU458" s="254" t="s">
        <v>977</v>
      </c>
      <c r="FV458" s="254" t="s">
        <v>978</v>
      </c>
      <c r="FW458" s="254" t="s">
        <v>979</v>
      </c>
      <c r="FX458" s="254" t="s">
        <v>980</v>
      </c>
      <c r="FY458" s="254" t="s">
        <v>981</v>
      </c>
      <c r="FZ458" s="254" t="s">
        <v>982</v>
      </c>
      <c r="GA458" s="254" t="s">
        <v>983</v>
      </c>
      <c r="GB458" s="254" t="s">
        <v>984</v>
      </c>
      <c r="GC458" s="254" t="s">
        <v>985</v>
      </c>
      <c r="GD458" s="254" t="s">
        <v>986</v>
      </c>
      <c r="GE458" s="254" t="s">
        <v>987</v>
      </c>
      <c r="GF458" s="254" t="s">
        <v>988</v>
      </c>
      <c r="GG458" s="254" t="s">
        <v>989</v>
      </c>
      <c r="GH458" s="254" t="s">
        <v>990</v>
      </c>
      <c r="GI458" s="254" t="s">
        <v>991</v>
      </c>
      <c r="GJ458" s="254" t="s">
        <v>992</v>
      </c>
      <c r="GK458" s="254" t="s">
        <v>993</v>
      </c>
      <c r="GL458" s="254" t="s">
        <v>994</v>
      </c>
      <c r="GM458" s="254" t="s">
        <v>995</v>
      </c>
      <c r="GN458" s="254" t="s">
        <v>996</v>
      </c>
      <c r="GO458" s="254" t="s">
        <v>997</v>
      </c>
      <c r="GP458" s="254" t="s">
        <v>998</v>
      </c>
      <c r="GQ458" s="254" t="s">
        <v>999</v>
      </c>
      <c r="GR458" s="254" t="s">
        <v>1000</v>
      </c>
      <c r="GS458" s="254" t="s">
        <v>1001</v>
      </c>
      <c r="GT458" s="254" t="s">
        <v>1002</v>
      </c>
      <c r="GU458" s="254" t="s">
        <v>1003</v>
      </c>
      <c r="GV458" s="254" t="s">
        <v>1004</v>
      </c>
      <c r="GW458" s="254" t="s">
        <v>1005</v>
      </c>
      <c r="GX458" s="254" t="s">
        <v>1006</v>
      </c>
      <c r="GY458" s="254" t="s">
        <v>1007</v>
      </c>
      <c r="GZ458" s="254" t="s">
        <v>1008</v>
      </c>
      <c r="HA458" s="254" t="s">
        <v>1009</v>
      </c>
      <c r="HB458" s="254" t="s">
        <v>1010</v>
      </c>
      <c r="HC458" s="254" t="s">
        <v>1011</v>
      </c>
      <c r="HD458" s="254" t="s">
        <v>1012</v>
      </c>
      <c r="HE458" s="254" t="s">
        <v>1013</v>
      </c>
      <c r="HF458" s="254" t="s">
        <v>1014</v>
      </c>
      <c r="HG458" s="254" t="s">
        <v>1015</v>
      </c>
      <c r="HH458" s="254" t="s">
        <v>1016</v>
      </c>
      <c r="HI458" s="254" t="s">
        <v>1017</v>
      </c>
      <c r="HJ458" s="254" t="s">
        <v>1018</v>
      </c>
      <c r="HK458" s="254" t="s">
        <v>1019</v>
      </c>
      <c r="HL458" s="254" t="s">
        <v>1020</v>
      </c>
      <c r="HM458" s="254" t="s">
        <v>1021</v>
      </c>
      <c r="HN458" s="254" t="s">
        <v>1022</v>
      </c>
      <c r="HO458" s="254" t="s">
        <v>1023</v>
      </c>
      <c r="HP458" s="254" t="s">
        <v>1024</v>
      </c>
      <c r="HQ458" s="254" t="s">
        <v>1025</v>
      </c>
      <c r="HR458" s="254" t="s">
        <v>1026</v>
      </c>
      <c r="HS458" s="254" t="s">
        <v>1027</v>
      </c>
      <c r="HT458" s="254" t="s">
        <v>1028</v>
      </c>
      <c r="HU458" s="254" t="s">
        <v>1029</v>
      </c>
      <c r="HV458" s="254" t="s">
        <v>1030</v>
      </c>
      <c r="HW458" s="254" t="s">
        <v>1031</v>
      </c>
      <c r="HX458" s="254" t="s">
        <v>1032</v>
      </c>
      <c r="HY458" s="254" t="s">
        <v>1033</v>
      </c>
      <c r="HZ458" s="254" t="s">
        <v>1034</v>
      </c>
      <c r="IA458" s="254" t="s">
        <v>1035</v>
      </c>
      <c r="IB458" s="254" t="s">
        <v>1036</v>
      </c>
      <c r="IC458" s="254" t="s">
        <v>1037</v>
      </c>
      <c r="ID458" s="254" t="s">
        <v>1038</v>
      </c>
      <c r="IE458" s="254" t="s">
        <v>1039</v>
      </c>
      <c r="IF458" s="254" t="s">
        <v>1040</v>
      </c>
      <c r="IG458" s="254" t="s">
        <v>1041</v>
      </c>
      <c r="IH458" s="254" t="s">
        <v>1042</v>
      </c>
      <c r="II458" s="254" t="s">
        <v>1043</v>
      </c>
      <c r="IJ458" s="254" t="s">
        <v>1044</v>
      </c>
      <c r="IK458" s="254" t="s">
        <v>1045</v>
      </c>
      <c r="IL458" s="254" t="s">
        <v>1046</v>
      </c>
      <c r="IM458" s="254" t="s">
        <v>1047</v>
      </c>
      <c r="IN458" s="254" t="s">
        <v>1048</v>
      </c>
      <c r="IO458" s="254" t="s">
        <v>1049</v>
      </c>
      <c r="IP458" s="254" t="s">
        <v>1050</v>
      </c>
      <c r="IQ458" s="254" t="s">
        <v>1051</v>
      </c>
      <c r="IR458" s="254" t="s">
        <v>1052</v>
      </c>
      <c r="IS458" s="254" t="s">
        <v>1053</v>
      </c>
      <c r="IT458" s="254" t="s">
        <v>1054</v>
      </c>
      <c r="IU458" s="254" t="s">
        <v>1055</v>
      </c>
      <c r="IV458" s="254" t="s">
        <v>1056</v>
      </c>
      <c r="IW458" s="254" t="s">
        <v>1057</v>
      </c>
      <c r="IX458" s="254" t="s">
        <v>1058</v>
      </c>
      <c r="IY458" s="254" t="s">
        <v>1059</v>
      </c>
      <c r="IZ458" s="254" t="s">
        <v>1060</v>
      </c>
      <c r="JA458" s="254" t="s">
        <v>1061</v>
      </c>
      <c r="JB458" s="254" t="s">
        <v>1062</v>
      </c>
      <c r="JC458" s="254" t="s">
        <v>1063</v>
      </c>
      <c r="JD458" s="254" t="s">
        <v>1064</v>
      </c>
      <c r="JE458" s="254" t="s">
        <v>1065</v>
      </c>
      <c r="JF458" s="254" t="s">
        <v>1066</v>
      </c>
      <c r="JG458" s="254" t="s">
        <v>1067</v>
      </c>
      <c r="JH458" s="254" t="s">
        <v>1068</v>
      </c>
      <c r="JI458" s="1772"/>
      <c r="JJ458" s="1772"/>
      <c r="JK458" s="1772"/>
      <c r="JL458" s="1772"/>
      <c r="JM458" s="1772"/>
      <c r="JN458" s="1772"/>
      <c r="JO458" s="1772"/>
      <c r="JP458" s="1772"/>
      <c r="JQ458" s="1772"/>
      <c r="JR458" s="1772"/>
      <c r="JS458" s="1772"/>
      <c r="JT458" s="1772"/>
      <c r="JU458" s="1772"/>
      <c r="JV458" s="1772"/>
      <c r="JW458" s="1772"/>
      <c r="JX458" s="1772"/>
      <c r="JY458" s="1772"/>
      <c r="JZ458" s="1772"/>
      <c r="KA458" s="1772"/>
      <c r="KB458" s="1772"/>
      <c r="KC458" s="1772"/>
      <c r="KD458" s="1772"/>
      <c r="KE458" s="1772"/>
      <c r="KF458" s="1772"/>
      <c r="KG458" s="1772"/>
      <c r="KH458" s="1772"/>
      <c r="KI458" s="1772"/>
      <c r="KJ458" s="1772"/>
      <c r="KK458" s="1772"/>
      <c r="KL458" s="1772"/>
      <c r="KM458" s="1772"/>
      <c r="KN458" s="1772"/>
      <c r="KO458" s="1772"/>
      <c r="KP458" s="1772"/>
      <c r="KQ458" s="1772"/>
      <c r="KR458" s="1772"/>
      <c r="KS458" s="1772"/>
      <c r="KT458" s="1772"/>
      <c r="KU458" s="1772"/>
      <c r="KV458" s="1772"/>
      <c r="KW458" s="1772"/>
      <c r="KX458" s="1772"/>
      <c r="KY458" s="1772"/>
      <c r="KZ458" s="1772"/>
      <c r="LA458" s="1772"/>
      <c r="LB458" s="1772"/>
      <c r="LC458" s="1772"/>
      <c r="LD458" s="1772"/>
      <c r="LE458" s="1772"/>
      <c r="LF458" s="1772"/>
      <c r="LG458" s="1772"/>
      <c r="LH458" s="1772"/>
      <c r="LI458" s="1772"/>
      <c r="LJ458" s="1772"/>
      <c r="LK458" s="1772"/>
      <c r="LL458" s="1772"/>
      <c r="LM458" s="1772"/>
      <c r="LN458" s="1772"/>
      <c r="LO458" s="1772"/>
      <c r="LP458" s="1772"/>
      <c r="LQ458" s="1772"/>
      <c r="LR458" s="1772"/>
      <c r="LS458" s="1772"/>
      <c r="LT458" s="1772"/>
      <c r="LU458" s="1772"/>
      <c r="LV458" s="1004"/>
      <c r="LW458" s="1004"/>
      <c r="LX458" s="1004"/>
      <c r="LY458" s="1004"/>
      <c r="LZ458" s="1004"/>
      <c r="MA458" s="1004"/>
      <c r="MB458" s="1004"/>
      <c r="MC458" s="1004"/>
      <c r="MD458" s="1004"/>
      <c r="ME458" s="1004"/>
      <c r="MF458" s="1004"/>
      <c r="MG458" s="1004"/>
      <c r="MH458" s="1004"/>
      <c r="MI458" s="1004"/>
      <c r="MJ458" s="1004"/>
      <c r="MK458" s="1004"/>
      <c r="ML458" s="1004"/>
      <c r="MM458" s="1004"/>
      <c r="MN458" s="1004"/>
      <c r="MO458" s="1004"/>
      <c r="MP458" s="254" t="s">
        <v>1069</v>
      </c>
      <c r="MQ458" s="254" t="s">
        <v>1070</v>
      </c>
      <c r="MR458" s="254" t="s">
        <v>1071</v>
      </c>
      <c r="MS458" s="254" t="s">
        <v>1072</v>
      </c>
      <c r="MT458" s="254" t="s">
        <v>1073</v>
      </c>
      <c r="MU458" s="254" t="s">
        <v>1074</v>
      </c>
      <c r="MV458" s="254" t="s">
        <v>1075</v>
      </c>
      <c r="MW458" s="254" t="s">
        <v>1076</v>
      </c>
      <c r="MX458" s="254" t="s">
        <v>1077</v>
      </c>
      <c r="MY458" s="254" t="s">
        <v>1078</v>
      </c>
      <c r="MZ458" s="254" t="s">
        <v>1079</v>
      </c>
      <c r="NA458" s="254" t="s">
        <v>1080</v>
      </c>
      <c r="NB458" s="254" t="s">
        <v>1081</v>
      </c>
      <c r="NC458" s="254" t="s">
        <v>1082</v>
      </c>
      <c r="ND458" s="254" t="s">
        <v>1083</v>
      </c>
      <c r="NE458" s="254" t="s">
        <v>1084</v>
      </c>
      <c r="NF458" s="254" t="s">
        <v>1085</v>
      </c>
      <c r="NG458" s="254" t="s">
        <v>1086</v>
      </c>
      <c r="NH458" s="254" t="s">
        <v>1087</v>
      </c>
      <c r="NI458" s="254" t="s">
        <v>1088</v>
      </c>
      <c r="NJ458" s="254" t="s">
        <v>1089</v>
      </c>
      <c r="NK458" s="254" t="s">
        <v>1090</v>
      </c>
      <c r="NL458" s="254" t="s">
        <v>1091</v>
      </c>
      <c r="NM458" s="254" t="s">
        <v>1092</v>
      </c>
      <c r="NN458" s="254" t="s">
        <v>1093</v>
      </c>
      <c r="NO458" s="254"/>
      <c r="NP458" s="254"/>
      <c r="NQ458" s="254"/>
      <c r="NR458" s="254"/>
      <c r="NS458" s="254"/>
      <c r="NT458" s="1004"/>
      <c r="NU458" s="1004"/>
      <c r="NV458" s="1004"/>
      <c r="NW458" s="1004"/>
      <c r="NX458" s="1004"/>
      <c r="NY458" s="1004"/>
      <c r="NZ458" s="1004"/>
      <c r="OA458" s="1004"/>
      <c r="OB458" s="1004"/>
      <c r="OC458" s="1004"/>
      <c r="OZ458" s="1296">
        <v>5</v>
      </c>
    </row>
    <row r="459" spans="1:416" s="253" customFormat="1" ht="12.6" customHeight="1">
      <c r="A459" s="1985" t="str">
        <f>IF(A511&gt;0,"Finish Row!","")</f>
        <v/>
      </c>
      <c r="B459" s="1097" t="s">
        <v>7543</v>
      </c>
      <c r="D459" s="1831"/>
      <c r="E459" s="1831"/>
      <c r="F459" s="1831"/>
      <c r="G459" s="1296" t="str">
        <f>'Part V-Revenues &amp; Expenses'!G6</f>
        <v>Fixed</v>
      </c>
      <c r="H459" s="1986" t="s">
        <v>1095</v>
      </c>
      <c r="I459" s="1986"/>
      <c r="J459" s="1986"/>
      <c r="K459" s="1987" t="s">
        <v>803</v>
      </c>
      <c r="L459" s="1988" t="str">
        <f>'Part I-Project Identification'!$A$6</f>
        <v>May XX, 2026</v>
      </c>
      <c r="M459" s="1988"/>
      <c r="N459" s="1988"/>
      <c r="O459" s="1989" t="s">
        <v>7544</v>
      </c>
      <c r="P459" s="1990">
        <f>'Part V-Revenues &amp; Expenses'!P6</f>
        <v>74700</v>
      </c>
      <c r="Q459" s="1983"/>
      <c r="R459" s="1984"/>
      <c r="X459" s="254"/>
      <c r="Y459" s="254"/>
      <c r="Z459" s="254"/>
      <c r="AA459" s="254"/>
      <c r="AB459" s="254"/>
      <c r="AC459" s="254"/>
      <c r="AD459" s="254"/>
      <c r="AE459" s="254"/>
      <c r="AF459" s="254"/>
      <c r="AG459" s="254"/>
      <c r="AH459" s="254"/>
      <c r="AI459" s="254"/>
      <c r="AJ459" s="254"/>
      <c r="AK459" s="254"/>
      <c r="AL459" s="254"/>
      <c r="AM459" s="254"/>
      <c r="AN459" s="254"/>
      <c r="AO459" s="254"/>
      <c r="AP459" s="254"/>
      <c r="AQ459" s="254"/>
      <c r="AR459" s="254"/>
      <c r="AS459" s="254"/>
      <c r="AT459" s="254"/>
      <c r="AU459" s="254"/>
      <c r="AV459" s="254"/>
      <c r="AW459" s="254"/>
      <c r="AX459" s="254"/>
      <c r="AY459" s="254"/>
      <c r="AZ459" s="254"/>
      <c r="BA459" s="254"/>
      <c r="BB459" s="254"/>
      <c r="BC459" s="254"/>
      <c r="BD459" s="254"/>
      <c r="BE459" s="254"/>
      <c r="BF459" s="254"/>
      <c r="BG459" s="254"/>
      <c r="BH459" s="254"/>
      <c r="BI459" s="254"/>
      <c r="BJ459" s="254"/>
      <c r="BK459" s="254"/>
      <c r="BL459" s="254"/>
      <c r="BM459" s="254"/>
      <c r="BN459" s="254"/>
      <c r="BO459" s="254"/>
      <c r="BP459" s="254"/>
      <c r="BQ459" s="254"/>
      <c r="BR459" s="254"/>
      <c r="BS459" s="254"/>
      <c r="BT459" s="254"/>
      <c r="BU459" s="254"/>
      <c r="BV459" s="254"/>
      <c r="BW459" s="254"/>
      <c r="BX459" s="254"/>
      <c r="BY459" s="254"/>
      <c r="BZ459" s="254"/>
      <c r="CA459" s="254"/>
      <c r="CB459" s="254"/>
      <c r="CC459" s="254"/>
      <c r="CD459" s="254"/>
      <c r="CE459" s="254"/>
      <c r="CF459" s="254"/>
      <c r="CG459" s="254"/>
      <c r="CH459" s="254"/>
      <c r="CI459" s="254"/>
      <c r="CJ459" s="254"/>
      <c r="CK459" s="254"/>
      <c r="CL459" s="254"/>
      <c r="CM459" s="254"/>
      <c r="CN459" s="254"/>
      <c r="CO459" s="254"/>
      <c r="CP459" s="254"/>
      <c r="CQ459" s="254"/>
      <c r="CR459" s="254"/>
      <c r="CS459" s="254"/>
      <c r="CT459" s="254"/>
      <c r="CU459" s="254"/>
      <c r="CV459" s="254"/>
      <c r="CW459" s="254"/>
      <c r="CX459" s="254"/>
      <c r="CY459" s="254"/>
      <c r="CZ459" s="254"/>
      <c r="DA459" s="254"/>
      <c r="DB459" s="254"/>
      <c r="DC459" s="254"/>
      <c r="DD459" s="254"/>
      <c r="DE459" s="254"/>
      <c r="DF459" s="254"/>
      <c r="DG459" s="254"/>
      <c r="DH459" s="254"/>
      <c r="DI459" s="254"/>
      <c r="DJ459" s="254"/>
      <c r="DK459" s="254"/>
      <c r="DL459" s="254"/>
      <c r="DM459" s="254"/>
      <c r="DN459" s="254"/>
      <c r="DO459" s="254"/>
      <c r="DP459" s="254"/>
      <c r="DQ459" s="254"/>
      <c r="DR459" s="254"/>
      <c r="DS459" s="254"/>
      <c r="DT459" s="254"/>
      <c r="DU459" s="254"/>
      <c r="DV459" s="254"/>
      <c r="DW459" s="254"/>
      <c r="DX459" s="254"/>
      <c r="DY459" s="254"/>
      <c r="DZ459" s="254"/>
      <c r="EA459" s="254"/>
      <c r="EB459" s="254"/>
      <c r="EC459" s="254"/>
      <c r="ED459" s="254"/>
      <c r="EE459" s="254"/>
      <c r="EF459" s="254"/>
      <c r="EG459" s="254"/>
      <c r="EH459" s="254"/>
      <c r="EI459" s="254"/>
      <c r="EJ459" s="254"/>
      <c r="EK459" s="254"/>
      <c r="EL459" s="254"/>
      <c r="EM459" s="254"/>
      <c r="EN459" s="254"/>
      <c r="EO459" s="254"/>
      <c r="EP459" s="254"/>
      <c r="EQ459" s="254"/>
      <c r="ER459" s="254"/>
      <c r="ES459" s="254"/>
      <c r="ET459" s="254"/>
      <c r="EU459" s="254"/>
      <c r="EV459" s="254"/>
      <c r="EW459" s="254"/>
      <c r="EX459" s="254"/>
      <c r="EY459" s="254"/>
      <c r="EZ459" s="254"/>
      <c r="FA459" s="254"/>
      <c r="FB459" s="254"/>
      <c r="FC459" s="254"/>
      <c r="FD459" s="254"/>
      <c r="FE459" s="254"/>
      <c r="FF459" s="254"/>
      <c r="FG459" s="254"/>
      <c r="FH459" s="254"/>
      <c r="FI459" s="254"/>
      <c r="FJ459" s="254"/>
      <c r="FK459" s="254"/>
      <c r="FL459" s="254"/>
      <c r="FM459" s="254"/>
      <c r="FN459" s="254"/>
      <c r="FO459" s="254"/>
      <c r="FP459" s="254"/>
      <c r="FQ459" s="254"/>
      <c r="FR459" s="254"/>
      <c r="FS459" s="254"/>
      <c r="FT459" s="254"/>
      <c r="FU459" s="254"/>
      <c r="FV459" s="254"/>
      <c r="FW459" s="254"/>
      <c r="FX459" s="254"/>
      <c r="FY459" s="254"/>
      <c r="FZ459" s="254"/>
      <c r="GA459" s="254"/>
      <c r="GB459" s="254"/>
      <c r="GC459" s="254"/>
      <c r="GD459" s="254"/>
      <c r="GE459" s="254"/>
      <c r="GF459" s="254"/>
      <c r="GG459" s="254"/>
      <c r="GH459" s="254"/>
      <c r="GI459" s="254"/>
      <c r="GJ459" s="254"/>
      <c r="GK459" s="254"/>
      <c r="GL459" s="254"/>
      <c r="GM459" s="254"/>
      <c r="GN459" s="254"/>
      <c r="GO459" s="254"/>
      <c r="GP459" s="254"/>
      <c r="GQ459" s="254"/>
      <c r="GR459" s="254"/>
      <c r="GS459" s="254"/>
      <c r="GT459" s="254"/>
      <c r="GU459" s="254"/>
      <c r="GV459" s="254"/>
      <c r="GW459" s="254"/>
      <c r="GX459" s="254"/>
      <c r="GY459" s="254"/>
      <c r="GZ459" s="254"/>
      <c r="HA459" s="254"/>
      <c r="HB459" s="254"/>
      <c r="HC459" s="254"/>
      <c r="HD459" s="254"/>
      <c r="HE459" s="254"/>
      <c r="HF459" s="254"/>
      <c r="HG459" s="254"/>
      <c r="HH459" s="254"/>
      <c r="HI459" s="254"/>
      <c r="HJ459" s="254"/>
      <c r="HK459" s="254"/>
      <c r="HL459" s="254"/>
      <c r="HM459" s="254"/>
      <c r="HN459" s="254"/>
      <c r="HO459" s="254"/>
      <c r="HP459" s="254"/>
      <c r="HQ459" s="254"/>
      <c r="HR459" s="254"/>
      <c r="HS459" s="254"/>
      <c r="HT459" s="254"/>
      <c r="HU459" s="254"/>
      <c r="HV459" s="254"/>
      <c r="HW459" s="254"/>
      <c r="HX459" s="254"/>
      <c r="HY459" s="254"/>
      <c r="HZ459" s="254"/>
      <c r="IA459" s="254"/>
      <c r="IB459" s="254"/>
      <c r="IC459" s="254"/>
      <c r="ID459" s="254"/>
      <c r="IE459" s="254"/>
      <c r="IF459" s="254"/>
      <c r="IG459" s="254"/>
      <c r="IH459" s="254"/>
      <c r="II459" s="254"/>
      <c r="IJ459" s="254"/>
      <c r="IK459" s="254"/>
      <c r="IL459" s="254"/>
      <c r="IM459" s="254"/>
      <c r="IN459" s="254"/>
      <c r="IO459" s="254"/>
      <c r="IP459" s="254"/>
      <c r="IQ459" s="254"/>
      <c r="IR459" s="254"/>
      <c r="IS459" s="254"/>
      <c r="IT459" s="254"/>
      <c r="IU459" s="254"/>
      <c r="IV459" s="254"/>
      <c r="IW459" s="254"/>
      <c r="IX459" s="254"/>
      <c r="IY459" s="254"/>
      <c r="IZ459" s="254"/>
      <c r="JA459" s="254"/>
      <c r="JB459" s="254"/>
      <c r="JC459" s="254"/>
      <c r="JD459" s="254"/>
      <c r="JE459" s="254"/>
      <c r="JF459" s="254"/>
      <c r="JG459" s="254"/>
      <c r="JH459" s="254"/>
      <c r="JI459" s="1772"/>
      <c r="JJ459" s="1772"/>
      <c r="JK459" s="1772"/>
      <c r="JL459" s="1772"/>
      <c r="JM459" s="1772"/>
      <c r="JN459" s="1772"/>
      <c r="JO459" s="1772"/>
      <c r="JP459" s="1772"/>
      <c r="JQ459" s="1772"/>
      <c r="JR459" s="1772"/>
      <c r="JS459" s="1772"/>
      <c r="JT459" s="1772"/>
      <c r="JU459" s="1772"/>
      <c r="JV459" s="1772"/>
      <c r="JW459" s="1772"/>
      <c r="JX459" s="1772"/>
      <c r="JY459" s="1772"/>
      <c r="JZ459" s="1772"/>
      <c r="KA459" s="1772"/>
      <c r="KB459" s="1772"/>
      <c r="KC459" s="1772"/>
      <c r="KD459" s="1772"/>
      <c r="KE459" s="1772"/>
      <c r="KF459" s="1772"/>
      <c r="KG459" s="1772"/>
      <c r="KH459" s="1772"/>
      <c r="KI459" s="1772"/>
      <c r="KJ459" s="1772"/>
      <c r="KK459" s="1772"/>
      <c r="KL459" s="1772"/>
      <c r="KM459" s="1772"/>
      <c r="KN459" s="1772"/>
      <c r="KO459" s="1772"/>
      <c r="KP459" s="1772"/>
      <c r="KQ459" s="1772"/>
      <c r="KR459" s="1772"/>
      <c r="KS459" s="1772"/>
      <c r="KT459" s="1772"/>
      <c r="KU459" s="1772"/>
      <c r="KV459" s="1772"/>
      <c r="KW459" s="1772"/>
      <c r="KX459" s="1772"/>
      <c r="KY459" s="1772"/>
      <c r="KZ459" s="1772"/>
      <c r="LA459" s="1772"/>
      <c r="LB459" s="1772"/>
      <c r="LC459" s="1772"/>
      <c r="LD459" s="1772"/>
      <c r="LE459" s="1772"/>
      <c r="LF459" s="1772"/>
      <c r="LG459" s="1772"/>
      <c r="LH459" s="1772"/>
      <c r="LI459" s="1772"/>
      <c r="LJ459" s="1772"/>
      <c r="LK459" s="1772"/>
      <c r="LL459" s="1772"/>
      <c r="LM459" s="1772"/>
      <c r="LN459" s="1772"/>
      <c r="LO459" s="1772"/>
      <c r="LP459" s="1772"/>
      <c r="LQ459" s="1772"/>
      <c r="LR459" s="1772"/>
      <c r="LS459" s="1772"/>
      <c r="LT459" s="1772"/>
      <c r="LU459" s="1772"/>
      <c r="LV459" s="1004"/>
      <c r="LW459" s="1004"/>
      <c r="LX459" s="1004"/>
      <c r="LY459" s="1004"/>
      <c r="LZ459" s="1004"/>
      <c r="MA459" s="1004"/>
      <c r="MB459" s="1004"/>
      <c r="MC459" s="1004"/>
      <c r="MD459" s="1004"/>
      <c r="ME459" s="1004"/>
      <c r="MF459" s="1004"/>
      <c r="MG459" s="1004"/>
      <c r="MH459" s="1004"/>
      <c r="MI459" s="1004"/>
      <c r="MJ459" s="1004"/>
      <c r="MK459" s="1004"/>
      <c r="ML459" s="1004"/>
      <c r="MM459" s="1004"/>
      <c r="MN459" s="1004"/>
      <c r="MO459" s="1004"/>
      <c r="MP459" s="254"/>
      <c r="MQ459" s="254"/>
      <c r="MR459" s="254"/>
      <c r="MS459" s="254"/>
      <c r="MT459" s="254"/>
      <c r="MU459" s="254"/>
      <c r="MV459" s="254"/>
      <c r="MW459" s="254"/>
      <c r="MX459" s="254"/>
      <c r="MY459" s="254"/>
      <c r="MZ459" s="254"/>
      <c r="NA459" s="254"/>
      <c r="NB459" s="254"/>
      <c r="NC459" s="254"/>
      <c r="ND459" s="254"/>
      <c r="NE459" s="254"/>
      <c r="NF459" s="254"/>
      <c r="NG459" s="254"/>
      <c r="NH459" s="254"/>
      <c r="NI459" s="254"/>
      <c r="NJ459" s="254"/>
      <c r="NK459" s="254"/>
      <c r="NL459" s="254"/>
      <c r="NM459" s="254"/>
      <c r="NN459" s="254"/>
      <c r="NO459" s="254"/>
      <c r="NP459" s="254"/>
      <c r="NQ459" s="254"/>
      <c r="NR459" s="254"/>
      <c r="NS459" s="254"/>
      <c r="NT459" s="1004" t="s">
        <v>1097</v>
      </c>
      <c r="NU459" s="1004" t="s">
        <v>1098</v>
      </c>
      <c r="NV459" s="1004" t="s">
        <v>1099</v>
      </c>
      <c r="NW459" s="1004" t="s">
        <v>1100</v>
      </c>
      <c r="NX459" s="1004" t="s">
        <v>1101</v>
      </c>
      <c r="NY459" s="254" t="s">
        <v>1102</v>
      </c>
      <c r="NZ459" s="254" t="s">
        <v>1103</v>
      </c>
      <c r="OA459" s="254" t="s">
        <v>1104</v>
      </c>
      <c r="OB459" s="254" t="s">
        <v>1105</v>
      </c>
      <c r="OC459" s="254" t="s">
        <v>1106</v>
      </c>
      <c r="OZ459" s="1296">
        <v>6</v>
      </c>
    </row>
    <row r="460" spans="1:416" s="253" customFormat="1" ht="12.6" customHeight="1">
      <c r="A460" s="1985"/>
      <c r="B460" s="1991" t="s">
        <v>1107</v>
      </c>
      <c r="E460" s="1184"/>
      <c r="G460" s="1296" t="str">
        <f>'Part V-Revenues &amp; Expenses'!G7</f>
        <v>No</v>
      </c>
      <c r="I460" s="1097" t="s">
        <v>1108</v>
      </c>
      <c r="J460" s="1987" t="s">
        <v>768</v>
      </c>
      <c r="K460" s="1987" t="s">
        <v>1109</v>
      </c>
      <c r="L460" s="1988"/>
      <c r="M460" s="1988"/>
      <c r="N460" s="1988"/>
      <c r="O460" s="1992" t="s">
        <v>1110</v>
      </c>
      <c r="P460" s="1993">
        <f>'Part V-Revenues &amp; Expenses'!P7</f>
        <v>46143</v>
      </c>
      <c r="Q460" s="1983"/>
      <c r="R460" s="1184" t="s">
        <v>1111</v>
      </c>
      <c r="S460" s="1184"/>
      <c r="X460" s="254"/>
      <c r="Y460" s="254"/>
      <c r="Z460" s="254"/>
      <c r="AA460" s="254"/>
      <c r="AB460" s="254"/>
      <c r="AC460" s="254"/>
      <c r="AD460" s="254"/>
      <c r="AE460" s="254"/>
      <c r="AF460" s="254"/>
      <c r="AG460" s="254"/>
      <c r="AH460" s="254"/>
      <c r="AI460" s="254"/>
      <c r="AJ460" s="254"/>
      <c r="AK460" s="254"/>
      <c r="AL460" s="254"/>
      <c r="AM460" s="254"/>
      <c r="AN460" s="254"/>
      <c r="AO460" s="254"/>
      <c r="AP460" s="254"/>
      <c r="AQ460" s="254"/>
      <c r="AR460" s="254"/>
      <c r="AS460" s="254"/>
      <c r="AT460" s="254"/>
      <c r="AU460" s="254"/>
      <c r="AV460" s="254"/>
      <c r="AW460" s="254"/>
      <c r="AX460" s="254"/>
      <c r="AY460" s="254"/>
      <c r="AZ460" s="254"/>
      <c r="BA460" s="254"/>
      <c r="BB460" s="254"/>
      <c r="BC460" s="254"/>
      <c r="BD460" s="254"/>
      <c r="BE460" s="254"/>
      <c r="BF460" s="254"/>
      <c r="BG460" s="254"/>
      <c r="BH460" s="254"/>
      <c r="BI460" s="254"/>
      <c r="BJ460" s="254"/>
      <c r="BK460" s="254"/>
      <c r="BL460" s="254"/>
      <c r="BM460" s="254"/>
      <c r="BN460" s="254"/>
      <c r="BO460" s="254"/>
      <c r="BP460" s="254"/>
      <c r="BQ460" s="254"/>
      <c r="BR460" s="254"/>
      <c r="BS460" s="254"/>
      <c r="BT460" s="254"/>
      <c r="BU460" s="254"/>
      <c r="BV460" s="254"/>
      <c r="BW460" s="254"/>
      <c r="BX460" s="254"/>
      <c r="BY460" s="254"/>
      <c r="BZ460" s="254"/>
      <c r="CA460" s="254"/>
      <c r="CB460" s="254"/>
      <c r="CC460" s="254"/>
      <c r="CD460" s="254"/>
      <c r="CE460" s="254"/>
      <c r="CF460" s="254"/>
      <c r="CG460" s="254"/>
      <c r="CH460" s="254"/>
      <c r="CI460" s="254"/>
      <c r="CJ460" s="254"/>
      <c r="CK460" s="254"/>
      <c r="CL460" s="254"/>
      <c r="CM460" s="254"/>
      <c r="CN460" s="254"/>
      <c r="CO460" s="254"/>
      <c r="CP460" s="254"/>
      <c r="CQ460" s="254"/>
      <c r="CR460" s="254"/>
      <c r="CS460" s="254"/>
      <c r="CT460" s="254"/>
      <c r="CU460" s="254"/>
      <c r="CV460" s="254"/>
      <c r="CW460" s="254"/>
      <c r="CX460" s="254"/>
      <c r="CY460" s="254"/>
      <c r="CZ460" s="254"/>
      <c r="DA460" s="254"/>
      <c r="DB460" s="254"/>
      <c r="DC460" s="254"/>
      <c r="DD460" s="254"/>
      <c r="DE460" s="254"/>
      <c r="DF460" s="254"/>
      <c r="DG460" s="254"/>
      <c r="DH460" s="254"/>
      <c r="DI460" s="254"/>
      <c r="DJ460" s="254"/>
      <c r="DK460" s="254"/>
      <c r="DL460" s="254"/>
      <c r="DM460" s="254"/>
      <c r="DN460" s="254"/>
      <c r="DO460" s="254"/>
      <c r="DP460" s="254"/>
      <c r="DQ460" s="254"/>
      <c r="DR460" s="254"/>
      <c r="DS460" s="254"/>
      <c r="DT460" s="254"/>
      <c r="DU460" s="254"/>
      <c r="DV460" s="254"/>
      <c r="DW460" s="254"/>
      <c r="DX460" s="254"/>
      <c r="DY460" s="254"/>
      <c r="DZ460" s="254"/>
      <c r="EA460" s="254"/>
      <c r="EB460" s="254"/>
      <c r="EC460" s="254"/>
      <c r="ED460" s="254"/>
      <c r="EE460" s="254"/>
      <c r="EF460" s="254"/>
      <c r="EG460" s="254"/>
      <c r="EH460" s="254"/>
      <c r="EI460" s="254"/>
      <c r="EJ460" s="254"/>
      <c r="EK460" s="254"/>
      <c r="EL460" s="254"/>
      <c r="EM460" s="254"/>
      <c r="EN460" s="254"/>
      <c r="EO460" s="254"/>
      <c r="EP460" s="254"/>
      <c r="EQ460" s="254"/>
      <c r="ER460" s="254"/>
      <c r="ES460" s="254"/>
      <c r="ET460" s="254"/>
      <c r="EU460" s="254"/>
      <c r="EV460" s="254"/>
      <c r="EW460" s="254"/>
      <c r="EX460" s="254"/>
      <c r="EY460" s="254"/>
      <c r="EZ460" s="254"/>
      <c r="FA460" s="254"/>
      <c r="FB460" s="254"/>
      <c r="FC460" s="254"/>
      <c r="FD460" s="254"/>
      <c r="FE460" s="254"/>
      <c r="FF460" s="254"/>
      <c r="FG460" s="254"/>
      <c r="FH460" s="254"/>
      <c r="FI460" s="254"/>
      <c r="FJ460" s="254"/>
      <c r="FK460" s="254"/>
      <c r="FL460" s="254"/>
      <c r="FM460" s="254"/>
      <c r="FN460" s="254"/>
      <c r="FO460" s="254"/>
      <c r="FP460" s="254"/>
      <c r="FQ460" s="254"/>
      <c r="FR460" s="254"/>
      <c r="FS460" s="254"/>
      <c r="FT460" s="254"/>
      <c r="FU460" s="254"/>
      <c r="FV460" s="254"/>
      <c r="FW460" s="254"/>
      <c r="FX460" s="254"/>
      <c r="FY460" s="254"/>
      <c r="FZ460" s="254"/>
      <c r="GA460" s="254"/>
      <c r="GB460" s="254"/>
      <c r="GC460" s="254"/>
      <c r="GD460" s="254"/>
      <c r="GE460" s="254"/>
      <c r="GF460" s="254"/>
      <c r="GG460" s="254"/>
      <c r="GH460" s="254"/>
      <c r="GI460" s="254"/>
      <c r="GJ460" s="254"/>
      <c r="GK460" s="254"/>
      <c r="GL460" s="254"/>
      <c r="GM460" s="254"/>
      <c r="GN460" s="254"/>
      <c r="GO460" s="254"/>
      <c r="GP460" s="254"/>
      <c r="GQ460" s="254"/>
      <c r="GR460" s="254"/>
      <c r="GS460" s="254"/>
      <c r="GT460" s="254"/>
      <c r="GU460" s="254"/>
      <c r="GV460" s="254"/>
      <c r="GW460" s="254"/>
      <c r="GX460" s="254"/>
      <c r="GY460" s="254"/>
      <c r="GZ460" s="254"/>
      <c r="HA460" s="254"/>
      <c r="HB460" s="254"/>
      <c r="HC460" s="254"/>
      <c r="HD460" s="254"/>
      <c r="HE460" s="254"/>
      <c r="HF460" s="254"/>
      <c r="HG460" s="254"/>
      <c r="HH460" s="254"/>
      <c r="HI460" s="254"/>
      <c r="HJ460" s="254"/>
      <c r="HK460" s="254"/>
      <c r="HL460" s="254"/>
      <c r="HM460" s="254"/>
      <c r="HN460" s="254"/>
      <c r="HO460" s="254"/>
      <c r="HP460" s="254"/>
      <c r="HQ460" s="254"/>
      <c r="HR460" s="254"/>
      <c r="HS460" s="254"/>
      <c r="HT460" s="254"/>
      <c r="HU460" s="254"/>
      <c r="HV460" s="254"/>
      <c r="HW460" s="254"/>
      <c r="HX460" s="254"/>
      <c r="HY460" s="254"/>
      <c r="HZ460" s="254"/>
      <c r="IA460" s="254"/>
      <c r="IB460" s="254"/>
      <c r="IC460" s="254"/>
      <c r="ID460" s="254"/>
      <c r="IE460" s="254"/>
      <c r="IF460" s="254"/>
      <c r="IG460" s="254"/>
      <c r="IH460" s="254"/>
      <c r="II460" s="254"/>
      <c r="IJ460" s="254"/>
      <c r="IK460" s="254"/>
      <c r="IL460" s="254"/>
      <c r="IM460" s="254"/>
      <c r="IN460" s="254"/>
      <c r="IO460" s="254"/>
      <c r="IP460" s="254"/>
      <c r="IQ460" s="254"/>
      <c r="IR460" s="254"/>
      <c r="IS460" s="254"/>
      <c r="IT460" s="254"/>
      <c r="IU460" s="254"/>
      <c r="IV460" s="254"/>
      <c r="IW460" s="254"/>
      <c r="IX460" s="254"/>
      <c r="IY460" s="254"/>
      <c r="IZ460" s="254"/>
      <c r="JA460" s="254"/>
      <c r="JB460" s="254"/>
      <c r="JC460" s="254"/>
      <c r="JD460" s="254"/>
      <c r="JE460" s="254"/>
      <c r="JF460" s="254"/>
      <c r="JG460" s="254"/>
      <c r="JH460" s="254"/>
      <c r="JI460" s="1772"/>
      <c r="JJ460" s="1772"/>
      <c r="JK460" s="1772"/>
      <c r="JL460" s="1772"/>
      <c r="JM460" s="1772"/>
      <c r="JN460" s="1772"/>
      <c r="JO460" s="1772"/>
      <c r="JP460" s="1772"/>
      <c r="JQ460" s="1772"/>
      <c r="JR460" s="1772"/>
      <c r="JS460" s="1772"/>
      <c r="JT460" s="1772"/>
      <c r="JU460" s="1772"/>
      <c r="JV460" s="1772"/>
      <c r="JW460" s="1772"/>
      <c r="JX460" s="1772"/>
      <c r="JY460" s="1772"/>
      <c r="JZ460" s="1772"/>
      <c r="KA460" s="1772"/>
      <c r="KB460" s="1772"/>
      <c r="KC460" s="1772"/>
      <c r="KD460" s="1772"/>
      <c r="KE460" s="1772"/>
      <c r="KF460" s="1772"/>
      <c r="KG460" s="1772"/>
      <c r="KH460" s="1772"/>
      <c r="KI460" s="1772"/>
      <c r="KJ460" s="1772"/>
      <c r="KK460" s="1772"/>
      <c r="KL460" s="1772"/>
      <c r="KM460" s="1772"/>
      <c r="KN460" s="1772"/>
      <c r="KO460" s="1772"/>
      <c r="KP460" s="1772"/>
      <c r="KQ460" s="1772"/>
      <c r="KR460" s="1772"/>
      <c r="KS460" s="1772"/>
      <c r="KT460" s="1772"/>
      <c r="KU460" s="1772"/>
      <c r="KV460" s="1772"/>
      <c r="KW460" s="1772"/>
      <c r="KX460" s="1772"/>
      <c r="KY460" s="1772"/>
      <c r="KZ460" s="1772"/>
      <c r="LA460" s="1772"/>
      <c r="LB460" s="1772"/>
      <c r="LC460" s="1772"/>
      <c r="LD460" s="1772"/>
      <c r="LE460" s="1772"/>
      <c r="LF460" s="1772"/>
      <c r="LG460" s="1772"/>
      <c r="LH460" s="1772"/>
      <c r="LI460" s="1772"/>
      <c r="LJ460" s="1772"/>
      <c r="LK460" s="1772"/>
      <c r="LL460" s="1772"/>
      <c r="LM460" s="1772"/>
      <c r="LN460" s="1772"/>
      <c r="LO460" s="1772"/>
      <c r="LP460" s="1772"/>
      <c r="LQ460" s="1772"/>
      <c r="LR460" s="1772"/>
      <c r="LS460" s="1772"/>
      <c r="LT460" s="1772"/>
      <c r="LU460" s="1772"/>
      <c r="LV460" s="1004"/>
      <c r="LW460" s="1004"/>
      <c r="LX460" s="1004"/>
      <c r="LY460" s="1004"/>
      <c r="LZ460" s="1004"/>
      <c r="MA460" s="1004"/>
      <c r="MB460" s="1004"/>
      <c r="MC460" s="1004"/>
      <c r="MD460" s="1004"/>
      <c r="ME460" s="1004"/>
      <c r="MF460" s="1004"/>
      <c r="MG460" s="1004"/>
      <c r="MH460" s="1004"/>
      <c r="MI460" s="1004"/>
      <c r="MJ460" s="1004"/>
      <c r="MK460" s="1004"/>
      <c r="ML460" s="1004"/>
      <c r="MM460" s="1004"/>
      <c r="MN460" s="1004"/>
      <c r="MO460" s="1004"/>
      <c r="MP460" s="254"/>
      <c r="MQ460" s="254"/>
      <c r="MR460" s="254"/>
      <c r="MS460" s="254"/>
      <c r="MT460" s="254"/>
      <c r="MU460" s="254"/>
      <c r="MV460" s="254"/>
      <c r="MW460" s="254"/>
      <c r="MX460" s="254"/>
      <c r="MY460" s="254"/>
      <c r="MZ460" s="254"/>
      <c r="NA460" s="254"/>
      <c r="NB460" s="254"/>
      <c r="NC460" s="254"/>
      <c r="ND460" s="254"/>
      <c r="NE460" s="254"/>
      <c r="NF460" s="254"/>
      <c r="NG460" s="254"/>
      <c r="NH460" s="254"/>
      <c r="NI460" s="254"/>
      <c r="NJ460" s="254"/>
      <c r="NK460" s="254"/>
      <c r="NL460" s="254"/>
      <c r="NM460" s="254"/>
      <c r="NN460" s="254"/>
      <c r="NO460" s="254"/>
      <c r="NP460" s="254"/>
      <c r="NQ460" s="254"/>
      <c r="NR460" s="254"/>
      <c r="NS460" s="254"/>
      <c r="NT460" s="1004"/>
      <c r="NU460" s="1004"/>
      <c r="NV460" s="1004"/>
      <c r="NW460" s="1004"/>
      <c r="NX460" s="1004"/>
      <c r="NY460" s="254"/>
      <c r="NZ460" s="254"/>
      <c r="OA460" s="254"/>
      <c r="OB460" s="254"/>
      <c r="OC460" s="254"/>
      <c r="OZ460" s="1296">
        <v>7</v>
      </c>
    </row>
    <row r="461" spans="1:416" s="253" customFormat="1" ht="12.6" customHeight="1">
      <c r="A461" s="1985"/>
      <c r="B461" s="1987" t="s">
        <v>1112</v>
      </c>
      <c r="I461" s="1097"/>
      <c r="J461" s="1987" t="s">
        <v>1113</v>
      </c>
      <c r="K461" s="1987" t="s">
        <v>1114</v>
      </c>
      <c r="N461" s="1994" t="s">
        <v>1115</v>
      </c>
      <c r="O461" s="1820" t="str">
        <f>'Part V-Revenues &amp; Expenses'!O8</f>
        <v>HUD</v>
      </c>
      <c r="P461" s="1820"/>
      <c r="Q461" s="1983"/>
      <c r="R461" s="1184"/>
      <c r="S461" s="1979" t="s">
        <v>1116</v>
      </c>
      <c r="X461" s="254"/>
      <c r="Y461" s="254"/>
      <c r="Z461" s="254"/>
      <c r="AA461" s="254"/>
      <c r="AB461" s="254"/>
      <c r="AC461" s="254"/>
      <c r="AD461" s="254"/>
      <c r="AE461" s="254"/>
      <c r="AF461" s="254"/>
      <c r="AG461" s="254"/>
      <c r="AH461" s="254"/>
      <c r="AI461" s="254"/>
      <c r="AJ461" s="254"/>
      <c r="AK461" s="254"/>
      <c r="AL461" s="254"/>
      <c r="AM461" s="254"/>
      <c r="AN461" s="254"/>
      <c r="AO461" s="254"/>
      <c r="AP461" s="254"/>
      <c r="AQ461" s="254"/>
      <c r="AR461" s="254"/>
      <c r="AS461" s="254"/>
      <c r="AT461" s="254"/>
      <c r="AU461" s="254"/>
      <c r="AV461" s="254"/>
      <c r="AW461" s="254"/>
      <c r="AX461" s="254"/>
      <c r="AY461" s="254"/>
      <c r="AZ461" s="254"/>
      <c r="BA461" s="254"/>
      <c r="BB461" s="254"/>
      <c r="BC461" s="254"/>
      <c r="BD461" s="254"/>
      <c r="BE461" s="254"/>
      <c r="BF461" s="254"/>
      <c r="BG461" s="254"/>
      <c r="BH461" s="254"/>
      <c r="BI461" s="254"/>
      <c r="BJ461" s="254"/>
      <c r="BK461" s="254"/>
      <c r="BL461" s="254"/>
      <c r="BM461" s="254"/>
      <c r="BN461" s="254"/>
      <c r="BO461" s="254"/>
      <c r="BP461" s="254"/>
      <c r="BQ461" s="254"/>
      <c r="BR461" s="254"/>
      <c r="BS461" s="254"/>
      <c r="BT461" s="254"/>
      <c r="BU461" s="254"/>
      <c r="BV461" s="254"/>
      <c r="BW461" s="254"/>
      <c r="BX461" s="254"/>
      <c r="BY461" s="254"/>
      <c r="BZ461" s="254"/>
      <c r="CA461" s="254"/>
      <c r="CB461" s="254"/>
      <c r="CC461" s="254"/>
      <c r="CD461" s="254"/>
      <c r="CE461" s="254"/>
      <c r="CF461" s="254"/>
      <c r="CG461" s="254"/>
      <c r="CH461" s="254"/>
      <c r="CI461" s="254"/>
      <c r="CJ461" s="254"/>
      <c r="CK461" s="254"/>
      <c r="CL461" s="254"/>
      <c r="CM461" s="254"/>
      <c r="CN461" s="254"/>
      <c r="CO461" s="254"/>
      <c r="CP461" s="254"/>
      <c r="CQ461" s="254"/>
      <c r="CR461" s="254"/>
      <c r="CS461" s="254"/>
      <c r="CT461" s="254"/>
      <c r="CU461" s="254"/>
      <c r="CV461" s="254"/>
      <c r="CW461" s="254"/>
      <c r="CX461" s="254"/>
      <c r="CY461" s="254"/>
      <c r="CZ461" s="254"/>
      <c r="DA461" s="254"/>
      <c r="DB461" s="254"/>
      <c r="DC461" s="254"/>
      <c r="DD461" s="254"/>
      <c r="DE461" s="254"/>
      <c r="DF461" s="254"/>
      <c r="DG461" s="254"/>
      <c r="DH461" s="254"/>
      <c r="DI461" s="254"/>
      <c r="DJ461" s="254"/>
      <c r="DK461" s="254"/>
      <c r="DL461" s="254"/>
      <c r="DM461" s="254"/>
      <c r="DN461" s="254"/>
      <c r="DO461" s="254"/>
      <c r="DP461" s="254"/>
      <c r="DQ461" s="254"/>
      <c r="DR461" s="254"/>
      <c r="DS461" s="254"/>
      <c r="DT461" s="254"/>
      <c r="DU461" s="254"/>
      <c r="DV461" s="254"/>
      <c r="DW461" s="254"/>
      <c r="DX461" s="254"/>
      <c r="DY461" s="254"/>
      <c r="DZ461" s="254"/>
      <c r="EA461" s="254"/>
      <c r="EB461" s="254"/>
      <c r="EC461" s="254"/>
      <c r="ED461" s="254"/>
      <c r="EE461" s="254"/>
      <c r="EF461" s="254"/>
      <c r="EG461" s="254"/>
      <c r="EH461" s="254"/>
      <c r="EI461" s="254"/>
      <c r="EJ461" s="254"/>
      <c r="EK461" s="254"/>
      <c r="EL461" s="254"/>
      <c r="EM461" s="254"/>
      <c r="EN461" s="254"/>
      <c r="EO461" s="254"/>
      <c r="EP461" s="254"/>
      <c r="EQ461" s="254"/>
      <c r="ER461" s="254"/>
      <c r="ES461" s="254"/>
      <c r="ET461" s="254"/>
      <c r="EU461" s="254"/>
      <c r="EV461" s="254"/>
      <c r="EW461" s="254"/>
      <c r="EX461" s="254"/>
      <c r="EY461" s="254"/>
      <c r="EZ461" s="254"/>
      <c r="FA461" s="254"/>
      <c r="FB461" s="254"/>
      <c r="FC461" s="254"/>
      <c r="FD461" s="254"/>
      <c r="FE461" s="254"/>
      <c r="FF461" s="254"/>
      <c r="FG461" s="254"/>
      <c r="FH461" s="254"/>
      <c r="FI461" s="254"/>
      <c r="FJ461" s="254"/>
      <c r="FK461" s="254"/>
      <c r="FL461" s="254"/>
      <c r="FM461" s="254"/>
      <c r="FN461" s="254"/>
      <c r="FO461" s="254"/>
      <c r="FP461" s="254"/>
      <c r="FQ461" s="254"/>
      <c r="FR461" s="254"/>
      <c r="FS461" s="254"/>
      <c r="FT461" s="254"/>
      <c r="FU461" s="254"/>
      <c r="FV461" s="254"/>
      <c r="FW461" s="254"/>
      <c r="FX461" s="254"/>
      <c r="FY461" s="254"/>
      <c r="FZ461" s="254"/>
      <c r="GA461" s="254"/>
      <c r="GB461" s="254"/>
      <c r="GC461" s="254"/>
      <c r="GD461" s="254"/>
      <c r="GE461" s="254"/>
      <c r="GF461" s="254"/>
      <c r="GG461" s="254"/>
      <c r="GH461" s="254"/>
      <c r="GI461" s="254"/>
      <c r="GJ461" s="254"/>
      <c r="GK461" s="254"/>
      <c r="GL461" s="254"/>
      <c r="GM461" s="254"/>
      <c r="GN461" s="254"/>
      <c r="GO461" s="254"/>
      <c r="GP461" s="254"/>
      <c r="GQ461" s="254"/>
      <c r="GR461" s="254"/>
      <c r="GS461" s="254"/>
      <c r="GT461" s="254"/>
      <c r="GU461" s="254"/>
      <c r="GV461" s="254"/>
      <c r="GW461" s="254"/>
      <c r="GX461" s="254"/>
      <c r="GY461" s="254"/>
      <c r="GZ461" s="254"/>
      <c r="HA461" s="254"/>
      <c r="HB461" s="254"/>
      <c r="HC461" s="254"/>
      <c r="HD461" s="254"/>
      <c r="HE461" s="254"/>
      <c r="HF461" s="254"/>
      <c r="HG461" s="254"/>
      <c r="HH461" s="254"/>
      <c r="HI461" s="254"/>
      <c r="HJ461" s="254"/>
      <c r="HK461" s="254"/>
      <c r="HL461" s="254"/>
      <c r="HM461" s="254"/>
      <c r="HN461" s="254"/>
      <c r="HO461" s="254"/>
      <c r="HP461" s="254"/>
      <c r="HQ461" s="254"/>
      <c r="HR461" s="254"/>
      <c r="HS461" s="254"/>
      <c r="HT461" s="254"/>
      <c r="HU461" s="254"/>
      <c r="HV461" s="254"/>
      <c r="HW461" s="254"/>
      <c r="HX461" s="254"/>
      <c r="HY461" s="254"/>
      <c r="HZ461" s="254"/>
      <c r="IA461" s="254"/>
      <c r="IB461" s="254"/>
      <c r="IC461" s="254"/>
      <c r="ID461" s="254"/>
      <c r="IE461" s="254"/>
      <c r="IF461" s="254"/>
      <c r="IG461" s="254"/>
      <c r="IH461" s="254"/>
      <c r="II461" s="254"/>
      <c r="IJ461" s="254"/>
      <c r="IK461" s="254"/>
      <c r="IL461" s="254"/>
      <c r="IM461" s="254"/>
      <c r="IN461" s="254"/>
      <c r="IO461" s="254"/>
      <c r="IP461" s="254"/>
      <c r="IQ461" s="254"/>
      <c r="IR461" s="254"/>
      <c r="IS461" s="254"/>
      <c r="IT461" s="254"/>
      <c r="IU461" s="254"/>
      <c r="IV461" s="254"/>
      <c r="IW461" s="254"/>
      <c r="IX461" s="254"/>
      <c r="IY461" s="254"/>
      <c r="IZ461" s="254"/>
      <c r="JA461" s="254"/>
      <c r="JB461" s="254"/>
      <c r="JC461" s="254"/>
      <c r="JD461" s="254"/>
      <c r="JE461" s="254"/>
      <c r="JF461" s="254"/>
      <c r="JG461" s="254"/>
      <c r="JH461" s="254"/>
      <c r="JI461" s="1772"/>
      <c r="JJ461" s="1772"/>
      <c r="JK461" s="1772"/>
      <c r="JL461" s="1772"/>
      <c r="JM461" s="1772"/>
      <c r="JN461" s="1772"/>
      <c r="JO461" s="1772"/>
      <c r="JP461" s="1772"/>
      <c r="JQ461" s="1772"/>
      <c r="JR461" s="1772"/>
      <c r="JS461" s="1772"/>
      <c r="JT461" s="1772"/>
      <c r="JU461" s="1772"/>
      <c r="JV461" s="1772"/>
      <c r="JW461" s="1772"/>
      <c r="JX461" s="1772"/>
      <c r="JY461" s="1772"/>
      <c r="JZ461" s="1772"/>
      <c r="KA461" s="1772"/>
      <c r="KB461" s="1772"/>
      <c r="KC461" s="1772"/>
      <c r="KD461" s="1772"/>
      <c r="KE461" s="1772"/>
      <c r="KF461" s="1772"/>
      <c r="KG461" s="1772"/>
      <c r="KH461" s="1771" t="s">
        <v>772</v>
      </c>
      <c r="KI461" s="1771" t="s">
        <v>814</v>
      </c>
      <c r="KJ461" s="1771" t="s">
        <v>815</v>
      </c>
      <c r="KK461" s="1771" t="s">
        <v>816</v>
      </c>
      <c r="KL461" s="1771" t="s">
        <v>817</v>
      </c>
      <c r="KM461" s="1771" t="s">
        <v>772</v>
      </c>
      <c r="KN461" s="1771" t="s">
        <v>814</v>
      </c>
      <c r="KO461" s="1771" t="s">
        <v>815</v>
      </c>
      <c r="KP461" s="1771" t="s">
        <v>816</v>
      </c>
      <c r="KQ461" s="1771" t="s">
        <v>817</v>
      </c>
      <c r="KR461" s="1771" t="s">
        <v>772</v>
      </c>
      <c r="KS461" s="1771" t="s">
        <v>814</v>
      </c>
      <c r="KT461" s="1771" t="s">
        <v>815</v>
      </c>
      <c r="KU461" s="1771" t="s">
        <v>816</v>
      </c>
      <c r="KV461" s="1771" t="s">
        <v>817</v>
      </c>
      <c r="KW461" s="1771" t="s">
        <v>772</v>
      </c>
      <c r="KX461" s="1771" t="s">
        <v>814</v>
      </c>
      <c r="KY461" s="1771" t="s">
        <v>815</v>
      </c>
      <c r="KZ461" s="1771" t="s">
        <v>816</v>
      </c>
      <c r="LA461" s="1771" t="s">
        <v>817</v>
      </c>
      <c r="LB461" s="1771" t="s">
        <v>772</v>
      </c>
      <c r="LC461" s="1771" t="s">
        <v>814</v>
      </c>
      <c r="LD461" s="1771" t="s">
        <v>815</v>
      </c>
      <c r="LE461" s="1771" t="s">
        <v>816</v>
      </c>
      <c r="LF461" s="1771" t="s">
        <v>817</v>
      </c>
      <c r="LG461" s="1771" t="s">
        <v>772</v>
      </c>
      <c r="LH461" s="1771" t="s">
        <v>814</v>
      </c>
      <c r="LI461" s="1771" t="s">
        <v>815</v>
      </c>
      <c r="LJ461" s="1771" t="s">
        <v>816</v>
      </c>
      <c r="LK461" s="1771" t="s">
        <v>817</v>
      </c>
      <c r="LL461" s="1771" t="s">
        <v>772</v>
      </c>
      <c r="LM461" s="1771" t="s">
        <v>814</v>
      </c>
      <c r="LN461" s="1771" t="s">
        <v>815</v>
      </c>
      <c r="LO461" s="1771" t="s">
        <v>816</v>
      </c>
      <c r="LP461" s="1771" t="s">
        <v>817</v>
      </c>
      <c r="LQ461" s="1771" t="s">
        <v>772</v>
      </c>
      <c r="LR461" s="1771" t="s">
        <v>814</v>
      </c>
      <c r="LS461" s="1771" t="s">
        <v>815</v>
      </c>
      <c r="LT461" s="1771" t="s">
        <v>816</v>
      </c>
      <c r="LU461" s="1771" t="s">
        <v>817</v>
      </c>
      <c r="LV461" s="1771" t="s">
        <v>772</v>
      </c>
      <c r="LW461" s="1771" t="s">
        <v>814</v>
      </c>
      <c r="LX461" s="1771" t="s">
        <v>815</v>
      </c>
      <c r="LY461" s="1771" t="s">
        <v>816</v>
      </c>
      <c r="LZ461" s="1771" t="s">
        <v>817</v>
      </c>
      <c r="MA461" s="1771" t="s">
        <v>772</v>
      </c>
      <c r="MB461" s="1771" t="s">
        <v>814</v>
      </c>
      <c r="MC461" s="1771" t="s">
        <v>815</v>
      </c>
      <c r="MD461" s="1771" t="s">
        <v>816</v>
      </c>
      <c r="ME461" s="1771" t="s">
        <v>817</v>
      </c>
      <c r="MF461" s="1771" t="s">
        <v>772</v>
      </c>
      <c r="MG461" s="1771" t="s">
        <v>814</v>
      </c>
      <c r="MH461" s="1771" t="s">
        <v>815</v>
      </c>
      <c r="MI461" s="1771" t="s">
        <v>816</v>
      </c>
      <c r="MJ461" s="1771" t="s">
        <v>817</v>
      </c>
      <c r="MK461" s="1771" t="s">
        <v>772</v>
      </c>
      <c r="ML461" s="1771" t="s">
        <v>814</v>
      </c>
      <c r="MM461" s="1771" t="s">
        <v>815</v>
      </c>
      <c r="MN461" s="1771" t="s">
        <v>816</v>
      </c>
      <c r="MO461" s="1771" t="s">
        <v>817</v>
      </c>
      <c r="MP461" s="254"/>
      <c r="MQ461" s="254"/>
      <c r="MR461" s="254"/>
      <c r="MS461" s="254"/>
      <c r="MT461" s="254"/>
      <c r="MU461" s="254"/>
      <c r="MV461" s="254"/>
      <c r="MW461" s="254"/>
      <c r="MX461" s="254"/>
      <c r="MY461" s="254"/>
      <c r="MZ461" s="254"/>
      <c r="NA461" s="254"/>
      <c r="NB461" s="254"/>
      <c r="NC461" s="254"/>
      <c r="ND461" s="254"/>
      <c r="NE461" s="254"/>
      <c r="NF461" s="254"/>
      <c r="NG461" s="254"/>
      <c r="NH461" s="254"/>
      <c r="NI461" s="254"/>
      <c r="NJ461" s="254"/>
      <c r="NK461" s="254"/>
      <c r="NL461" s="254"/>
      <c r="NM461" s="254"/>
      <c r="NN461" s="254"/>
      <c r="NO461" s="254"/>
      <c r="NP461" s="254"/>
      <c r="NQ461" s="254"/>
      <c r="NR461" s="254"/>
      <c r="NS461" s="254"/>
      <c r="NT461" s="1004"/>
      <c r="NU461" s="1004"/>
      <c r="NV461" s="1004"/>
      <c r="NW461" s="1004"/>
      <c r="NX461" s="1004"/>
      <c r="NY461" s="254"/>
      <c r="NZ461" s="254"/>
      <c r="OA461" s="254"/>
      <c r="OB461" s="254"/>
      <c r="OC461" s="254"/>
      <c r="OZ461" s="1296">
        <v>8</v>
      </c>
    </row>
    <row r="462" spans="1:416" s="254" customFormat="1" ht="11.25" customHeight="1">
      <c r="A462" s="1985"/>
      <c r="B462" s="1987" t="s">
        <v>1117</v>
      </c>
      <c r="C462" s="1987" t="s">
        <v>1118</v>
      </c>
      <c r="D462" s="1987" t="s">
        <v>1119</v>
      </c>
      <c r="E462" s="1987" t="s">
        <v>1120</v>
      </c>
      <c r="F462" s="1987" t="s">
        <v>1120</v>
      </c>
      <c r="G462" s="1097" t="s">
        <v>1121</v>
      </c>
      <c r="H462" s="1984" t="s">
        <v>1122</v>
      </c>
      <c r="I462" s="1097"/>
      <c r="J462" s="1995" t="s">
        <v>1123</v>
      </c>
      <c r="K462" s="1987" t="s">
        <v>7545</v>
      </c>
      <c r="L462" s="1097" t="s">
        <v>1125</v>
      </c>
      <c r="M462" s="1097"/>
      <c r="N462" s="1987" t="s">
        <v>1126</v>
      </c>
      <c r="O462" s="1987" t="s">
        <v>1127</v>
      </c>
      <c r="P462" s="1983" t="s">
        <v>7546</v>
      </c>
      <c r="Q462" s="1983"/>
      <c r="R462" s="1987" t="s">
        <v>1129</v>
      </c>
      <c r="S462" s="1987" t="s">
        <v>1130</v>
      </c>
      <c r="T462" s="1987"/>
      <c r="JI462" s="254" t="s">
        <v>1131</v>
      </c>
      <c r="JJ462" s="1771" t="s">
        <v>814</v>
      </c>
      <c r="JK462" s="1771" t="s">
        <v>815</v>
      </c>
      <c r="JL462" s="1771" t="s">
        <v>816</v>
      </c>
      <c r="JM462" s="1771" t="s">
        <v>817</v>
      </c>
      <c r="JN462" s="254" t="s">
        <v>1132</v>
      </c>
      <c r="JO462" s="254" t="s">
        <v>1132</v>
      </c>
      <c r="JP462" s="254" t="s">
        <v>1132</v>
      </c>
      <c r="JQ462" s="254" t="s">
        <v>1132</v>
      </c>
      <c r="JR462" s="254" t="s">
        <v>1132</v>
      </c>
      <c r="JS462" s="254" t="s">
        <v>1133</v>
      </c>
      <c r="JT462" s="254" t="s">
        <v>1133</v>
      </c>
      <c r="JU462" s="254" t="s">
        <v>1133</v>
      </c>
      <c r="JV462" s="254" t="s">
        <v>1133</v>
      </c>
      <c r="JW462" s="254" t="s">
        <v>1133</v>
      </c>
      <c r="JX462" s="1771" t="s">
        <v>772</v>
      </c>
      <c r="JY462" s="1771" t="s">
        <v>814</v>
      </c>
      <c r="JZ462" s="1771" t="s">
        <v>815</v>
      </c>
      <c r="KA462" s="1771" t="s">
        <v>816</v>
      </c>
      <c r="KB462" s="1771" t="s">
        <v>817</v>
      </c>
      <c r="KC462" s="1771" t="s">
        <v>772</v>
      </c>
      <c r="KD462" s="1771" t="s">
        <v>814</v>
      </c>
      <c r="KE462" s="1771" t="s">
        <v>815</v>
      </c>
      <c r="KF462" s="1771" t="s">
        <v>816</v>
      </c>
      <c r="KG462" s="1771" t="s">
        <v>817</v>
      </c>
      <c r="KH462" s="254" t="s">
        <v>1134</v>
      </c>
      <c r="KI462" s="254" t="s">
        <v>1134</v>
      </c>
      <c r="KJ462" s="254" t="s">
        <v>1134</v>
      </c>
      <c r="KK462" s="254" t="s">
        <v>1134</v>
      </c>
      <c r="KL462" s="254" t="s">
        <v>1134</v>
      </c>
      <c r="KM462" s="254" t="s">
        <v>1135</v>
      </c>
      <c r="KN462" s="254" t="s">
        <v>1135</v>
      </c>
      <c r="KO462" s="254" t="s">
        <v>1135</v>
      </c>
      <c r="KP462" s="254" t="s">
        <v>1135</v>
      </c>
      <c r="KQ462" s="254" t="s">
        <v>1135</v>
      </c>
      <c r="KR462" s="254" t="s">
        <v>1136</v>
      </c>
      <c r="KS462" s="254" t="s">
        <v>1136</v>
      </c>
      <c r="KT462" s="254" t="s">
        <v>1136</v>
      </c>
      <c r="KU462" s="254" t="s">
        <v>1136</v>
      </c>
      <c r="KV462" s="254" t="s">
        <v>1136</v>
      </c>
      <c r="KW462" s="254" t="s">
        <v>1137</v>
      </c>
      <c r="KX462" s="254" t="s">
        <v>1137</v>
      </c>
      <c r="KY462" s="254" t="s">
        <v>1137</v>
      </c>
      <c r="KZ462" s="254" t="s">
        <v>1137</v>
      </c>
      <c r="LA462" s="254" t="s">
        <v>1137</v>
      </c>
      <c r="LB462" s="254" t="s">
        <v>1138</v>
      </c>
      <c r="LC462" s="254" t="s">
        <v>1138</v>
      </c>
      <c r="LD462" s="254" t="s">
        <v>1138</v>
      </c>
      <c r="LE462" s="254" t="s">
        <v>1138</v>
      </c>
      <c r="LF462" s="254" t="s">
        <v>1138</v>
      </c>
      <c r="LG462" s="254" t="s">
        <v>1139</v>
      </c>
      <c r="LH462" s="254" t="s">
        <v>1139</v>
      </c>
      <c r="LI462" s="254" t="s">
        <v>1139</v>
      </c>
      <c r="LJ462" s="254" t="s">
        <v>1139</v>
      </c>
      <c r="LK462" s="254" t="s">
        <v>1139</v>
      </c>
      <c r="LL462" s="254" t="s">
        <v>1140</v>
      </c>
      <c r="LM462" s="254" t="s">
        <v>1140</v>
      </c>
      <c r="LN462" s="254" t="s">
        <v>1140</v>
      </c>
      <c r="LO462" s="254" t="s">
        <v>1140</v>
      </c>
      <c r="LP462" s="254" t="s">
        <v>1140</v>
      </c>
      <c r="LQ462" s="254" t="s">
        <v>1141</v>
      </c>
      <c r="LR462" s="254" t="s">
        <v>1141</v>
      </c>
      <c r="LS462" s="254" t="s">
        <v>1141</v>
      </c>
      <c r="LT462" s="254" t="s">
        <v>1141</v>
      </c>
      <c r="LU462" s="254" t="s">
        <v>1141</v>
      </c>
      <c r="LV462" s="254" t="s">
        <v>1142</v>
      </c>
      <c r="LW462" s="254" t="s">
        <v>1142</v>
      </c>
      <c r="LX462" s="254" t="s">
        <v>1142</v>
      </c>
      <c r="LY462" s="254" t="s">
        <v>1142</v>
      </c>
      <c r="LZ462" s="254" t="s">
        <v>1142</v>
      </c>
      <c r="MA462" s="254" t="s">
        <v>1143</v>
      </c>
      <c r="MB462" s="254" t="s">
        <v>1143</v>
      </c>
      <c r="MC462" s="254" t="s">
        <v>1143</v>
      </c>
      <c r="MD462" s="254" t="s">
        <v>1143</v>
      </c>
      <c r="ME462" s="254" t="s">
        <v>1143</v>
      </c>
      <c r="MF462" s="254" t="s">
        <v>1144</v>
      </c>
      <c r="MG462" s="254" t="s">
        <v>1144</v>
      </c>
      <c r="MH462" s="254" t="s">
        <v>1144</v>
      </c>
      <c r="MI462" s="254" t="s">
        <v>1144</v>
      </c>
      <c r="MJ462" s="254" t="s">
        <v>1144</v>
      </c>
      <c r="MK462" s="254" t="s">
        <v>1145</v>
      </c>
      <c r="ML462" s="254" t="s">
        <v>1145</v>
      </c>
      <c r="MM462" s="254" t="s">
        <v>1145</v>
      </c>
      <c r="MN462" s="254" t="s">
        <v>1145</v>
      </c>
      <c r="MO462" s="254" t="s">
        <v>1145</v>
      </c>
      <c r="NT462" s="1004"/>
      <c r="NU462" s="1004"/>
      <c r="NV462" s="1004"/>
      <c r="NW462" s="1004"/>
      <c r="NX462" s="1004"/>
      <c r="OZ462" s="1771">
        <v>9</v>
      </c>
    </row>
    <row r="463" spans="1:416" s="254" customFormat="1" ht="11.25" customHeight="1">
      <c r="A463" s="1985"/>
      <c r="B463" s="1996" t="s">
        <v>1146</v>
      </c>
      <c r="C463" s="1987" t="s">
        <v>795</v>
      </c>
      <c r="D463" s="1987" t="s">
        <v>796</v>
      </c>
      <c r="E463" s="1987" t="s">
        <v>1147</v>
      </c>
      <c r="F463" s="1987" t="s">
        <v>1148</v>
      </c>
      <c r="G463" s="1097"/>
      <c r="H463" s="1987" t="s">
        <v>1149</v>
      </c>
      <c r="I463" s="1097"/>
      <c r="J463" s="1995"/>
      <c r="K463" s="1997" t="s">
        <v>1150</v>
      </c>
      <c r="L463" s="1987" t="s">
        <v>680</v>
      </c>
      <c r="M463" s="1987" t="s">
        <v>288</v>
      </c>
      <c r="N463" s="1987" t="s">
        <v>1120</v>
      </c>
      <c r="O463" s="1987" t="s">
        <v>1151</v>
      </c>
      <c r="P463" s="1983"/>
      <c r="Q463" s="1983"/>
      <c r="R463" s="1987" t="s">
        <v>1152</v>
      </c>
      <c r="S463" s="1987" t="s">
        <v>1153</v>
      </c>
      <c r="T463" s="255" t="s">
        <v>793</v>
      </c>
      <c r="W463" s="255"/>
      <c r="JJ463" s="1771" t="s">
        <v>1154</v>
      </c>
      <c r="JK463" s="1771" t="s">
        <v>1154</v>
      </c>
      <c r="JL463" s="1771" t="s">
        <v>1154</v>
      </c>
      <c r="JM463" s="1771" t="s">
        <v>1154</v>
      </c>
      <c r="JX463" s="1771" t="s">
        <v>1155</v>
      </c>
      <c r="JY463" s="1771" t="s">
        <v>1155</v>
      </c>
      <c r="JZ463" s="1771" t="s">
        <v>1155</v>
      </c>
      <c r="KA463" s="1771" t="s">
        <v>1155</v>
      </c>
      <c r="KB463" s="1771" t="s">
        <v>1155</v>
      </c>
      <c r="KC463" s="1771" t="s">
        <v>1156</v>
      </c>
      <c r="KD463" s="1771" t="s">
        <v>1156</v>
      </c>
      <c r="KE463" s="1771" t="s">
        <v>1156</v>
      </c>
      <c r="KF463" s="1771" t="s">
        <v>1156</v>
      </c>
      <c r="KG463" s="1771" t="s">
        <v>1156</v>
      </c>
      <c r="NT463" s="1004"/>
      <c r="NU463" s="1004"/>
      <c r="NV463" s="1004"/>
      <c r="NW463" s="1004"/>
      <c r="NX463" s="1004"/>
      <c r="OZ463" s="1296">
        <v>10</v>
      </c>
    </row>
    <row r="464" spans="1:416" ht="12" customHeight="1">
      <c r="A464" s="1979" t="str">
        <f t="shared" ref="A464:A510" si="0">IF(AND(E464&gt;0,OR(B464="",C464="",D464="",F464="",G464="", H464="",I464="",N464="",O464="",P464="",Q464="")),1,"")</f>
        <v/>
      </c>
      <c r="B464" s="1998" t="str">
        <f>'Part V-Revenues &amp; Expenses'!B11</f>
        <v>N/A-CS</v>
      </c>
      <c r="C464" s="1999">
        <f>'Part V-Revenues &amp; Expenses'!C11</f>
        <v>0</v>
      </c>
      <c r="D464" s="2000">
        <f>'Part V-Revenues &amp; Expenses'!D11</f>
        <v>0</v>
      </c>
      <c r="E464" s="2001">
        <f>'Part V-Revenues &amp; Expenses'!E11</f>
        <v>0</v>
      </c>
      <c r="F464" s="2001">
        <f>'Part V-Revenues &amp; Expenses'!F11</f>
        <v>0</v>
      </c>
      <c r="G464" s="2001">
        <f>'Part V-Revenues &amp; Expenses'!G11</f>
        <v>0</v>
      </c>
      <c r="H464" s="2001">
        <f>'Part V-Revenues &amp; Expenses'!H11</f>
        <v>0</v>
      </c>
      <c r="I464" s="2001">
        <f>'Part V-Revenues &amp; Expenses'!I11</f>
        <v>0</v>
      </c>
      <c r="J464" s="2001">
        <f>'Part V-Revenues &amp; Expenses'!J11</f>
        <v>0</v>
      </c>
      <c r="K464" s="2002">
        <f>'Part V-Revenues &amp; Expenses'!K11</f>
        <v>0</v>
      </c>
      <c r="L464" s="2003">
        <f t="shared" ref="L464:L510" si="1">MAX(0,H464-I464-J464)</f>
        <v>0</v>
      </c>
      <c r="M464" s="2003">
        <f t="shared" ref="M464:M510" si="2">MAX(0,E464*L464)</f>
        <v>0</v>
      </c>
      <c r="N464" s="1853">
        <f>'Part V-Revenues &amp; Expenses'!N11</f>
        <v>0</v>
      </c>
      <c r="O464" s="899">
        <f>'Part V-Revenues &amp; Expenses'!O11</f>
        <v>0</v>
      </c>
      <c r="P464" s="1853">
        <f>'Part V-Revenues &amp; Expenses'!P11</f>
        <v>0</v>
      </c>
      <c r="Q464" s="1772">
        <f>'Part V-Revenues &amp; Expenses'!Q11</f>
        <v>0</v>
      </c>
      <c r="R464" s="2004"/>
      <c r="S464" s="2005"/>
      <c r="T464" s="1920"/>
      <c r="U464" s="1920"/>
      <c r="V464" s="1920"/>
      <c r="W464" s="1920"/>
      <c r="X464" s="251" t="str">
        <f t="shared" ref="X464:X510" si="3">IF(AND(C464="Efficiency",B464=80,NOT(N464="Common Space")),E464,"")</f>
        <v/>
      </c>
      <c r="Y464" s="251" t="str">
        <f t="shared" ref="Y464:Y510" si="4">IF(AND(C464=1,B464=80,NOT(N464="Common Space")),E464,"")</f>
        <v/>
      </c>
      <c r="Z464" s="251" t="str">
        <f t="shared" ref="Z464:Z510" si="5">IF(AND(C464=2,B464=80,NOT(N464="Common Space")),E464,"")</f>
        <v/>
      </c>
      <c r="AA464" s="251" t="str">
        <f t="shared" ref="AA464:AA510" si="6">IF(AND(C464=3,B464=80,NOT(N464="Common Space")),E464,"")</f>
        <v/>
      </c>
      <c r="AB464" s="251" t="str">
        <f t="shared" ref="AB464:AB510" si="7">IF(AND(C464=4,B464=80,NOT(N464="Common Space")),E464,"")</f>
        <v/>
      </c>
      <c r="AC464" s="251" t="str">
        <f t="shared" ref="AC464:AC510" si="8">IF(AND(C464="Efficiency",B464=70,NOT(N464="Common Space")),E464,"")</f>
        <v/>
      </c>
      <c r="AD464" s="251" t="str">
        <f t="shared" ref="AD464:AD510" si="9">IF(AND(C464=1,B464=70,NOT(N464="Common Space")),E464,"")</f>
        <v/>
      </c>
      <c r="AE464" s="251" t="str">
        <f t="shared" ref="AE464:AE510" si="10">IF(AND(C464=2,B464=70,NOT(N464="Common Space")),E464,"")</f>
        <v/>
      </c>
      <c r="AF464" s="251" t="str">
        <f t="shared" ref="AF464:AF510" si="11">IF(AND(C464=3,B464=70,NOT(N464="Common Space")),E464,"")</f>
        <v/>
      </c>
      <c r="AG464" s="251" t="str">
        <f t="shared" ref="AG464:AG510" si="12">IF(AND(C464=4,B464=70,NOT(N464="Common Space")),E464,"")</f>
        <v/>
      </c>
      <c r="AH464" s="251" t="str">
        <f t="shared" ref="AH464:AH510" si="13">IF(AND(C464="Efficiency",B464=60,NOT(N464="Common Space")),E464,"")</f>
        <v/>
      </c>
      <c r="AI464" s="251" t="str">
        <f t="shared" ref="AI464:AI510" si="14">IF(AND(C464=1,B464=60,NOT(N464="Common Space")),E464,"")</f>
        <v/>
      </c>
      <c r="AJ464" s="251" t="str">
        <f t="shared" ref="AJ464:AJ510" si="15">IF(AND(C464=2,B464=60,NOT(N464="Common Space")),E464,"")</f>
        <v/>
      </c>
      <c r="AK464" s="251" t="str">
        <f t="shared" ref="AK464:AK510" si="16">IF(AND(C464=3,B464=60,NOT(N464="Common Space")),E464,"")</f>
        <v/>
      </c>
      <c r="AL464" s="251" t="str">
        <f t="shared" ref="AL464:AL510" si="17">IF(AND(C464=4,B464=60,NOT(N464="Common Space")),E464,"")</f>
        <v/>
      </c>
      <c r="AM464" s="251" t="str">
        <f t="shared" ref="AM464:AM510" si="18">IF(AND(C464="Efficiency",B464=50,NOT(N464="Common Space")),E464,"")</f>
        <v/>
      </c>
      <c r="AN464" s="251" t="str">
        <f t="shared" ref="AN464:AN510" si="19">IF(AND(C464=1,B464=50,NOT(N464="Common Space")),E464,"")</f>
        <v/>
      </c>
      <c r="AO464" s="251" t="str">
        <f t="shared" ref="AO464:AO510" si="20">IF(AND(C464=2,B464=50,NOT(N464="Common Space")),E464,"")</f>
        <v/>
      </c>
      <c r="AP464" s="251" t="str">
        <f t="shared" ref="AP464:AP510" si="21">IF(AND(C464=3,B464=50,NOT(N464="Common Space")),E464,"")</f>
        <v/>
      </c>
      <c r="AQ464" s="251" t="str">
        <f t="shared" ref="AQ464:AQ510" si="22">IF(AND(C464=4,B464=50,NOT(N464="Common Space")),E464,"")</f>
        <v/>
      </c>
      <c r="AR464" s="251" t="str">
        <f t="shared" ref="AR464:AR510" si="23">IF(AND(C464="Efficiency",B464=40,NOT(N464="Common Space")),E464,"")</f>
        <v/>
      </c>
      <c r="AS464" s="251" t="str">
        <f t="shared" ref="AS464:AS510" si="24">IF(AND(C464=1,B464=40,NOT(N464="Common Space")),E464,"")</f>
        <v/>
      </c>
      <c r="AT464" s="251" t="str">
        <f t="shared" ref="AT464:AT510" si="25">IF(AND(C464=2,B464=40,NOT(N464="Common Space")),E464,"")</f>
        <v/>
      </c>
      <c r="AU464" s="251" t="str">
        <f t="shared" ref="AU464:AU510" si="26">IF(AND(C464=3,B464=40,NOT(N464="Common Space")),E464,"")</f>
        <v/>
      </c>
      <c r="AV464" s="251" t="str">
        <f t="shared" ref="AV464:AV510" si="27">IF(AND(C464=4,B464=40,NOT(N464="Common Space")),E464,"")</f>
        <v/>
      </c>
      <c r="AW464" s="251" t="str">
        <f t="shared" ref="AW464:AW510" si="28">IF(AND(C464="Efficiency",B464=30,NOT(N464="Common Space")),E464,"")</f>
        <v/>
      </c>
      <c r="AX464" s="251" t="str">
        <f t="shared" ref="AX464:AX510" si="29">IF(AND(C464=1,B464=30,NOT(N464="Common Space")),E464,"")</f>
        <v/>
      </c>
      <c r="AY464" s="251" t="str">
        <f t="shared" ref="AY464:AY510" si="30">IF(AND(C464=2,B464=30,NOT(N464="Common Space")),E464,"")</f>
        <v/>
      </c>
      <c r="AZ464" s="251" t="str">
        <f t="shared" ref="AZ464:AZ510" si="31">IF(AND(C464=3,B464=30,NOT(N464="Common Space")),E464,"")</f>
        <v/>
      </c>
      <c r="BA464" s="251" t="str">
        <f t="shared" ref="BA464:BA510" si="32">IF(AND(C464=4,B464=30,NOT(N464="Common Space")),E464,"")</f>
        <v/>
      </c>
      <c r="BB464" s="251" t="str">
        <f t="shared" ref="BB464:BB510" si="33">IF(AND(C464="Efficiency",B464=20,NOT(N464="Common Space")),E464,"")</f>
        <v/>
      </c>
      <c r="BC464" s="251" t="str">
        <f t="shared" ref="BC464:BC510" si="34">IF(AND(C464=1,B464=20,NOT(N464="Common Space")),E464,"")</f>
        <v/>
      </c>
      <c r="BD464" s="251" t="str">
        <f t="shared" ref="BD464:BD510" si="35">IF(AND(C464=2,B464=20,NOT(N464="Common Space")),E464,"")</f>
        <v/>
      </c>
      <c r="BE464" s="251" t="str">
        <f t="shared" ref="BE464:BE510" si="36">IF(AND(C464=3,B464=20,NOT(N464="Common Space")),E464,"")</f>
        <v/>
      </c>
      <c r="BF464" s="251" t="str">
        <f t="shared" ref="BF464:BF510" si="37">IF(AND(C464=4,B464=20,NOT(N464="Common Space")),E464,"")</f>
        <v/>
      </c>
      <c r="BG464" s="251" t="str">
        <f t="shared" ref="BG464:BG510" si="38">IF(AND(C464="Efficiency",B464="Unrestricted",NOT(N464="Common Space")),E464,"")</f>
        <v/>
      </c>
      <c r="BH464" s="251" t="str">
        <f t="shared" ref="BH464:BH510" si="39">IF(AND(C464=1,B464="Unrestricted",NOT(N464="Common Space")),E464,"")</f>
        <v/>
      </c>
      <c r="BI464" s="251" t="str">
        <f t="shared" ref="BI464:BI510" si="40">IF(AND(C464=2,B464="Unrestricted",NOT(N464="Common Space")),E464,"")</f>
        <v/>
      </c>
      <c r="BJ464" s="251" t="str">
        <f t="shared" ref="BJ464:BJ510" si="41">IF(AND(C464=3,B464="Unrestricted",NOT(N464="Common Space")),E464,"")</f>
        <v/>
      </c>
      <c r="BK464" s="251" t="str">
        <f t="shared" ref="BK464:BK510" si="42">IF(AND(C464=4,B464="Unrestricted",NOT(N464="Common Space")),E464,"")</f>
        <v/>
      </c>
      <c r="BL464" s="251" t="str">
        <f t="shared" ref="BL464:BL510" si="43">IF(OR(AND($C464="Efficiency",NOT($K464=""),NOT($K464="PHA Oper Sub"),$B464=20,NOT($N464="Common Space")),AND($C464="Efficiency",NOT($K464=""),NOT($K464="PHA Oper Sub"),$B464="HOME 20",NOT($N464="Common Space"))),$E464,"")</f>
        <v/>
      </c>
      <c r="BM464" s="251" t="str">
        <f t="shared" ref="BM464:BM510" si="44">IF(OR(AND($C464=1,NOT($K464=""),NOT($K464="PHA Oper Sub"),$B464=20,NOT($N464="Common Space")),AND($C464=1,NOT($K464=""),NOT($K464="PHA Oper Sub"),$B464="HOME 20",NOT($N464="Common Space"))),$E464,"")</f>
        <v/>
      </c>
      <c r="BN464" s="251" t="str">
        <f t="shared" ref="BN464:BN510" si="45">IF(OR(AND($C464=2,NOT($K464=""),NOT($K464="PHA Oper Sub"),$B464=20,NOT($N464="Common Space")),AND($C464=2,NOT($K464=""),NOT($K464="PHA Oper Sub"),$B464="HOME 20",NOT($N464="Common Space"))),$E464,"")</f>
        <v/>
      </c>
      <c r="BO464" s="251" t="str">
        <f t="shared" ref="BO464:BO510" si="46">IF(OR(AND($C464=3,NOT($K464=""),NOT($K464="PHA Oper Sub"),$B464=20,NOT($N464="Common Space")),AND($C464=3,NOT($K464=""),NOT($K464="PHA Oper Sub"),$B464="HOME 20",NOT($N464="Common Space"))),$E464,"")</f>
        <v/>
      </c>
      <c r="BP464" s="251" t="str">
        <f t="shared" ref="BP464:BP510" si="47">IF(OR(AND($C464=4,NOT($K464=""),NOT($K464="PHA Oper Sub"),$B464=20,NOT($N464="Common Space")),AND($C464=4,NOT($K464=""),NOT($K464="PHA Oper Sub"),$B464="HOME 20",NOT($N464="Common Space"))),$E464,"")</f>
        <v/>
      </c>
      <c r="BQ464" s="251" t="str">
        <f t="shared" ref="BQ464:BQ510" si="48">IF(OR(AND($C464="Efficiency",NOT($K464=""),NOT($K464="PHA Oper Sub"),$B464=30,NOT($N464="Common Space")),AND($C464="Efficiency",NOT($K464=""),NOT($K464="PHA Oper Sub"),$B464="HOME 30",NOT($N464="Common Space"))),$E464,"")</f>
        <v/>
      </c>
      <c r="BR464" s="251" t="str">
        <f t="shared" ref="BR464:BR510" si="49">IF(OR(AND($C464=1,NOT($K464=""),NOT($K464="PHA Oper Sub"),$B464=30,NOT($N464="Common Space")),AND($C464=1,NOT($K464=""),NOT($K464="PHA Oper Sub"),$B464="HOME 30",NOT($N464="Common Space"))),$E464,"")</f>
        <v/>
      </c>
      <c r="BS464" s="251" t="str">
        <f t="shared" ref="BS464:BS510" si="50">IF(OR(AND($C464=2,NOT($K464=""),NOT($K464="PHA Oper Sub"),$B464=30,NOT($N464="Common Space")),AND($C464=2,NOT($K464=""),NOT($K464="PHA Oper Sub"),$B464="HOME 30",NOT($N464="Common Space"))),$E464,"")</f>
        <v/>
      </c>
      <c r="BT464" s="251" t="str">
        <f t="shared" ref="BT464:BT510" si="51">IF(OR(AND($C464=3,NOT($K464=""),NOT($K464="PHA Oper Sub"),$B464=30,NOT($N464="Common Space")),AND($C464=3,NOT($K464=""),NOT($K464="PHA Oper Sub"),$B464="HOME 30",NOT($N464="Common Space"))),$E464,"")</f>
        <v/>
      </c>
      <c r="BU464" s="251" t="str">
        <f t="shared" ref="BU464:BU510" si="52">IF(OR(AND($C464=4,NOT($K464=""),NOT($K464="PHA Oper Sub"),$B464=30,NOT($N464="Common Space")),AND($C464=4,NOT($K464=""),NOT($K464="PHA Oper Sub"),$B464="HOME 30",NOT($N464="Common Space"))),$E464,"")</f>
        <v/>
      </c>
      <c r="BV464" s="251" t="str">
        <f t="shared" ref="BV464:BV510" si="53">IF(OR(AND($C464="Efficiency",NOT($K464=""),NOT($K464="PHA Oper Sub"),$B464=40,NOT($N464="Common Space")),AND($C464="Efficiency",NOT($K464=""),NOT($K464="PHA Oper Sub"),$B464="HOME 40",NOT($N464="Common Space"))),$E464,"")</f>
        <v/>
      </c>
      <c r="BW464" s="251" t="str">
        <f t="shared" ref="BW464:BW510" si="54">IF(OR(AND($C464=1,NOT($K464=""),NOT($K464="PHA Oper Sub"),$B464=40,NOT($N464="Common Space")),AND($C464=1,NOT($K464=""),NOT($K464="PHA Oper Sub"),$B464="HOME 40",NOT($N464="Common Space"))),$E464,"")</f>
        <v/>
      </c>
      <c r="BX464" s="251" t="str">
        <f t="shared" ref="BX464:BX510" si="55">IF(OR(AND($C464=2,NOT($K464=""),NOT($K464="PHA Oper Sub"),$B464=40,NOT($N464="Common Space")),AND($C464=2,NOT($K464=""),NOT($K464="PHA Oper Sub"),$B464="HOME 40",NOT($N464="Common Space"))),$E464,"")</f>
        <v/>
      </c>
      <c r="BY464" s="251" t="str">
        <f t="shared" ref="BY464:BY510" si="56">IF(OR(AND($C464=3,NOT($K464=""),NOT($K464="PHA Oper Sub"),$B464=40,NOT($N464="Common Space")),AND($C464=3,NOT($K464=""),NOT($K464="PHA Oper Sub"),$B464="HOME 40",NOT($N464="Common Space"))),$E464,"")</f>
        <v/>
      </c>
      <c r="BZ464" s="251" t="str">
        <f t="shared" ref="BZ464:BZ510" si="57">IF(OR(AND($C464=4,NOT($K464=""),NOT($K464="PHA Oper Sub"),$B464=40,NOT($N464="Common Space")),AND($C464=4,NOT($K464=""),NOT($K464="PHA Oper Sub"),$B464="HOME 40",NOT($N464="Common Space"))),$E464,"")</f>
        <v/>
      </c>
      <c r="CA464" s="251" t="str">
        <f t="shared" ref="CA464:CA510" si="58">IF(OR(AND($C464="Efficiency",NOT($K464=""),NOT($K464="PHA Oper Sub"),NOT($K464=0),$B464=50,NOT($N464="Common Space")),AND($C464="Efficiency",NOT($K464=""),NOT($K464=0),NOT($K464="PHA Oper Sub"),$B464="HOME 50",NOT($N464="Common Space"))),$E464,"")</f>
        <v/>
      </c>
      <c r="CB464" s="251" t="str">
        <f t="shared" ref="CB464:CB510" si="59">IF(OR(AND($C464=1,NOT($K464=""),NOT($K464=0),NOT($K464="PHA Oper Sub"),$B464=50,NOT($N464="Common Space")),AND($C464=1,NOT($K464=""),NOT($K464=0),NOT($K464="PHA Oper Sub"),$B464="HOME 50",NOT($N464="Common Space"))),$E464,"")</f>
        <v/>
      </c>
      <c r="CC464" s="251" t="str">
        <f t="shared" ref="CC464:CC510" si="60">IF(OR(AND($C464=2,NOT($K464=""),NOT($K464=0),NOT($K464="PHA Oper Sub"),$B464=50,NOT($N464="Common Space")),AND($C464=2,NOT($K464=""),NOT($K464=0),NOT($K464="PHA Oper Sub"),$B464="HOME 50",NOT($N464="Common Space"))),$E464,"")</f>
        <v/>
      </c>
      <c r="CD464" s="251" t="str">
        <f t="shared" ref="CD464:CD510" si="61">IF(OR(AND($C464=3,NOT($K464=""),NOT($K464=0),NOT($K464="PHA Oper Sub"),$B464=50,NOT($N464="Common Space")),AND($C464=3,NOT($K464=""),NOT($K464=0),NOT($K464="PHA Oper Sub"),$B464="HOME 50",NOT($N464="Common Space"))),$E464,"")</f>
        <v/>
      </c>
      <c r="CE464" s="251" t="str">
        <f t="shared" ref="CE464:CE510" si="62">IF(OR(AND($C464=4,NOT($K464=""),NOT($K464=0),NOT($K464="PHA Oper Sub"),$B464=50,NOT($N464="Common Space")),AND($C464=4,NOT($K464=""),NOT($K464=0),NOT($K464="PHA Oper Sub"),$B464="HOME 50",NOT($N464="Common Space"))),$E464,"")</f>
        <v/>
      </c>
      <c r="CF464" s="251" t="str">
        <f t="shared" ref="CF464:CF510" si="63">IF(OR(AND($C464="Efficiency",NOT($K464=""),NOT($K464=0),NOT($K464="PHA Oper Sub"),$B464=60,NOT($N464="Common Space")),AND($C464="Efficiency",NOT($K464=""),NOT($K464=0),NOT($K464="PHA Oper Sub"),$B464="HOME 60",NOT($N464="Common Space"))),$E464,"")</f>
        <v/>
      </c>
      <c r="CG464" s="251" t="str">
        <f t="shared" ref="CG464:CG510" si="64">IF(OR(AND($C464=1,NOT($K464=""),NOT($K464=0),NOT($K464="PHA Oper Sub"),$B464=60,NOT($N464="Common Space")),AND($C464=1,NOT($K464=""),NOT($K464=0),NOT($K464="PHA Oper Sub"),$B464="HOME 60",NOT($N464="Common Space"))),$E464,"")</f>
        <v/>
      </c>
      <c r="CH464" s="251" t="str">
        <f t="shared" ref="CH464:CH510" si="65">IF(OR(AND($C464=2,NOT($K464=""),NOT($K464=0),NOT($K464="PHA Oper Sub"),$B464=60,NOT($N464="Common Space")),AND($C464=2,NOT($K464=""),NOT($K464=0),NOT($K464="PHA Oper Sub"),$B464="HOME 60",NOT($N464="Common Space"))),$E464,"")</f>
        <v/>
      </c>
      <c r="CI464" s="251" t="str">
        <f t="shared" ref="CI464:CI510" si="66">IF(OR(AND($C464=3,NOT($K464=""),NOT($K464=0),NOT($K464="PHA Oper Sub"),$B464=60,NOT($N464="Common Space")),AND($C464=3,NOT($K464=""),NOT($K464=0),NOT($K464="PHA Oper Sub"),$B464="HOME 60",NOT($N464="Common Space"))),$E464,"")</f>
        <v/>
      </c>
      <c r="CJ464" s="251" t="str">
        <f t="shared" ref="CJ464:CJ510" si="67">IF(OR(AND($C464=4,NOT($K464=""),NOT($K464=0),NOT($K464="PHA Oper Sub"),$B464=60,NOT($N464="Common Space")),AND($C464=4,NOT($K464=""),NOT($K464=0),NOT($K464="PHA Oper Sub"),$B464="HOME 60",NOT($N464="Common Space"))),$E464,"")</f>
        <v/>
      </c>
      <c r="CK464" s="251" t="str">
        <f t="shared" ref="CK464:CK510" si="68">IF(OR(AND($C464="Efficiency",NOT($K464=""),NOT($K464="PHA Oper Sub"),$B464=70,NOT($N464="Common Space")),AND($C464="Efficiency",NOT($K464=""),NOT($K464="PHA Oper Sub"),$B464="HOME 70",NOT($N464="Common Space"))),$E464,"")</f>
        <v/>
      </c>
      <c r="CL464" s="251" t="str">
        <f t="shared" ref="CL464:CL510" si="69">IF(OR(AND($C464=1,NOT($K464=""),NOT($K464="PHA Oper Sub"),$B464=70,NOT($N464="Common Space")),AND($C464=1,NOT($K464=""),NOT($K464="PHA Oper Sub"),$B464="HOME 70",NOT($N464="Common Space"))),$E464,"")</f>
        <v/>
      </c>
      <c r="CM464" s="251" t="str">
        <f t="shared" ref="CM464:CM510" si="70">IF(OR(AND($C464=2,NOT($K464=""),NOT($K464="PHA Oper Sub"),$B464=70,NOT($N464="Common Space")),AND($C464=2,NOT($K464=""),NOT($K464="PHA Oper Sub"),$B464="HOME 70",NOT($N464="Common Space"))),$E464,"")</f>
        <v/>
      </c>
      <c r="CN464" s="251" t="str">
        <f t="shared" ref="CN464:CN510" si="71">IF(OR(AND($C464=3,NOT($K464=""),NOT($K464="PHA Oper Sub"),$B464=70,NOT($N464="Common Space")),AND($C464=3,NOT($K464=""),NOT($K464="PHA Oper Sub"),$B464="HOME 70",NOT($N464="Common Space"))),$E464,"")</f>
        <v/>
      </c>
      <c r="CO464" s="251" t="str">
        <f t="shared" ref="CO464:CO510" si="72">IF(OR(AND($C464=4,NOT($K464=""),NOT($K464="PHA Oper Sub"),$B464=70,NOT($N464="Common Space")),AND($C464=4,NOT($K464=""),NOT($K464="PHA Oper Sub"),$B464="HOME 70",NOT($N464="Common Space"))),$E464,"")</f>
        <v/>
      </c>
      <c r="CP464" s="251" t="str">
        <f t="shared" ref="CP464:CP510" si="73">IF(OR(AND($C464="Efficiency",NOT($K464=""),NOT($K464="PHA Oper Sub"),$B464=80,NOT($N464="Common Space")),AND($C464="Efficiency",NOT($K464=""),NOT($K464="PHA Oper Sub"),$B464="HOME 80",NOT($N464="Common Space"))),$E464,"")</f>
        <v/>
      </c>
      <c r="CQ464" s="251" t="str">
        <f t="shared" ref="CQ464:CQ510" si="74">IF(OR(AND($C464=1,NOT($K464=""),NOT($K464="PHA Oper Sub"),$B464=80,NOT($N464="Common Space")),AND($C464=1,NOT($K464=""),NOT($K464="PHA Oper Sub"),$B464="HOME 80",NOT($N464="Common Space"))),$E464,"")</f>
        <v/>
      </c>
      <c r="CR464" s="251" t="str">
        <f t="shared" ref="CR464:CR510" si="75">IF(OR(AND($C464=2,NOT($K464=""),NOT($K464="PHA Oper Sub"),$B464=80,NOT($N464="Common Space")),AND($C464=2,NOT($K464=""),NOT($K464="PHA Oper Sub"),$B464="HOME 80",NOT($N464="Common Space"))),$E464,"")</f>
        <v/>
      </c>
      <c r="CS464" s="251" t="str">
        <f t="shared" ref="CS464:CS510" si="76">IF(OR(AND($C464=3,NOT($K464=""),NOT($K464="PHA Oper Sub"),$B464=80,NOT($N464="Common Space")),AND($C464=3,NOT($K464=""),NOT($K464="PHA Oper Sub"),$B464="HOME 80",NOT($N464="Common Space"))),$E464,"")</f>
        <v/>
      </c>
      <c r="CT464" s="251" t="str">
        <f t="shared" ref="CT464:CT510" si="77">IF(OR(AND($C464=4,NOT($K464=""),NOT($K464="PHA Oper Sub"),$B464=80,NOT($N464="Common Space")),AND($C464=4,NOT($K464=""),NOT($K464="PHA Oper Sub"),$B464="HOME 80",NOT($N464="Common Space"))),$E464,"")</f>
        <v/>
      </c>
      <c r="CU464" s="251" t="str">
        <f t="shared" ref="CU464:CU510" si="78">IF(OR(AND($C464="Efficiency",$K464="PHA Oper Sub",$B464=20,NOT($N464="Common Space")),AND($C464="Efficiency",$K464="PHA Oper Sub",$B464="HOME 20",NOT($N464="Common Space"))),$E464,"")</f>
        <v/>
      </c>
      <c r="CV464" s="251" t="str">
        <f t="shared" ref="CV464:CV510" si="79">IF(OR(AND($C464=1,$K464="PHA Oper Sub",$B464=20,NOT($N464="Common Space")),AND($C464=1,$K464="PHA Oper Sub",$B464="HOME 20",NOT($N464="Common Space"))),$E464,"")</f>
        <v/>
      </c>
      <c r="CW464" s="251" t="str">
        <f t="shared" ref="CW464:CW510" si="80">IF(OR(AND($C464=2,$K464="PHA Oper Sub",$B464=20,NOT($N464="Common Space")),AND($C464=2,$K464="PHA Oper Sub",$B464="HOME 20",NOT($N464="Common Space"))),$E464,"")</f>
        <v/>
      </c>
      <c r="CX464" s="251" t="str">
        <f t="shared" ref="CX464:CX510" si="81">IF(OR(AND($C464=3,$K464="PHA Oper Sub",$B464=20,NOT($N464="Common Space")),AND($C464=3,$K464="PHA Oper Sub",$B464="HOME 20",NOT($N464="Common Space"))),$E464,"")</f>
        <v/>
      </c>
      <c r="CY464" s="251" t="str">
        <f t="shared" ref="CY464:CY510" si="82">IF(OR(AND($C464=4,$K464="PHA Oper Sub",$B464=20,NOT($N464="Common Space")),AND($C464=4,$K464="PHA Oper Sub",$B464="HOME 20",NOT($N464="Common Space"))),$E464,"")</f>
        <v/>
      </c>
      <c r="CZ464" s="251" t="str">
        <f t="shared" ref="CZ464:CZ510" si="83">IF(OR(AND($C464="Efficiency",$K464="PHA Oper Sub",$B464=30,NOT($N464="Common Space")),AND($C464="Efficiency",$K464="PHA Oper Sub",$B464="HOME 30",NOT($N464="Common Space"))),$E464,"")</f>
        <v/>
      </c>
      <c r="DA464" s="251" t="str">
        <f t="shared" ref="DA464:DA510" si="84">IF(OR(AND($C464=1,$K464="PHA Oper Sub",$B464=30,NOT($N464="Common Space")),AND($C464=1,$K464="PHA Oper Sub",$B464="HOME 30",NOT($N464="Common Space"))),$E464,"")</f>
        <v/>
      </c>
      <c r="DB464" s="251" t="str">
        <f t="shared" ref="DB464:DB510" si="85">IF(OR(AND($C464=2,$K464="PHA Oper Sub",$B464=30,NOT($N464="Common Space")),AND($C464=2,$K464="PHA Oper Sub",$B464="HOME 30",NOT($N464="Common Space"))),$E464,"")</f>
        <v/>
      </c>
      <c r="DC464" s="251" t="str">
        <f t="shared" ref="DC464:DC510" si="86">IF(OR(AND($C464=3,$K464="PHA Oper Sub",$B464=30,NOT($N464="Common Space")),AND($C464=3,$K464="PHA Oper Sub",$B464="HOME 30",NOT($N464="Common Space"))),$E464,"")</f>
        <v/>
      </c>
      <c r="DD464" s="251" t="str">
        <f t="shared" ref="DD464:DD510" si="87">IF(OR(AND($C464=4,$K464="PHA Oper Sub",$B464=30,NOT($N464="Common Space")),AND($C464=4,$K464="PHA Oper Sub",$B464="HOME 30",NOT($N464="Common Space"))),$E464,"")</f>
        <v/>
      </c>
      <c r="DE464" s="251" t="str">
        <f t="shared" ref="DE464:DE510" si="88">IF(OR(AND($C464="Efficiency",$K464="PHA Oper Sub",$B464=40,NOT($N464="Common Space")),AND($C464="Efficiency",$K464="PHA Oper Sub",$B464="HOME 40",NOT($N464="Common Space"))),$E464,"")</f>
        <v/>
      </c>
      <c r="DF464" s="251" t="str">
        <f t="shared" ref="DF464:DF510" si="89">IF(OR(AND($C464=1,$K464="PHA Oper Sub",$B464=40,NOT($N464="Common Space")),AND($C464=1,$K464="PHA Oper Sub",$B464="HOME 40",NOT($N464="Common Space"))),$E464,"")</f>
        <v/>
      </c>
      <c r="DG464" s="251" t="str">
        <f t="shared" ref="DG464:DG510" si="90">IF(OR(AND($C464=2,$K464="PHA Oper Sub",$B464=40,NOT($N464="Common Space")),AND($C464=2,$K464="PHA Oper Sub",$B464="HOME 40",NOT($N464="Common Space"))),$E464,"")</f>
        <v/>
      </c>
      <c r="DH464" s="251" t="str">
        <f t="shared" ref="DH464:DH510" si="91">IF(OR(AND($C464=3,$K464="PHA Oper Sub",$B464=40,NOT($N464="Common Space")),AND($C464=3,$K464="PHA Oper Sub",$B464="HOME 40",NOT($N464="Common Space"))),$E464,"")</f>
        <v/>
      </c>
      <c r="DI464" s="251" t="str">
        <f t="shared" ref="DI464:DI510" si="92">IF(OR(AND($C464=4,$K464="PHA Oper Sub",$B464=40,NOT($N464="Common Space")),AND($C464=4,$K464="PHA Oper Sub",$B464="HOME 40",NOT($N464="Common Space"))),$E464,"")</f>
        <v/>
      </c>
      <c r="DJ464" s="251" t="str">
        <f t="shared" ref="DJ464:DJ510" si="93">IF(OR(AND($C464="Efficiency",$K464="PHA Oper Sub",$B464=50,NOT($N464="Common Space")),AND($C464="Efficiency",$K464="PHA Oper Sub",$B464="HOME 50",NOT($N464="Common Space"))),$E464,"")</f>
        <v/>
      </c>
      <c r="DK464" s="251" t="str">
        <f t="shared" ref="DK464:DK510" si="94">IF(OR(AND($C464=1,$K464="PHA Oper Sub",$B464=50,NOT($N464="Common Space")),AND($C464=1,$K464="PHA Oper Sub",$B464="HOME 50",NOT($N464="Common Space"))),$E464,"")</f>
        <v/>
      </c>
      <c r="DL464" s="251" t="str">
        <f t="shared" ref="DL464:DL510" si="95">IF(OR(AND($C464=2,$K464="PHA Oper Sub",$B464=50,NOT($N464="Common Space")),AND($C464=2,$K464="PHA Oper Sub",$B464="HOME 50",NOT($N464="Common Space"))),$E464,"")</f>
        <v/>
      </c>
      <c r="DM464" s="251" t="str">
        <f t="shared" ref="DM464:DM510" si="96">IF(OR(AND($C464=3,$K464="PHA Oper Sub",$B464=50,NOT($N464="Common Space")),AND($C464=3,$K464="PHA Oper Sub",$B464="HOME 50",NOT($N464="Common Space"))),$E464,"")</f>
        <v/>
      </c>
      <c r="DN464" s="251" t="str">
        <f t="shared" ref="DN464:DN510" si="97">IF(OR(AND($C464=4,$K464="PHA Oper Sub",$B464=50,NOT($N464="Common Space")),AND($C464=4,$K464="PHA Oper Sub",$B464="HOME 50",NOT($N464="Common Space"))),$E464,"")</f>
        <v/>
      </c>
      <c r="DO464" s="251" t="str">
        <f t="shared" ref="DO464:DO510" si="98">IF(OR(AND($C464="Efficiency",$K464="PHA Oper Sub",$B464=60,NOT($N464="Common Space")),AND($C464="Efficiency",$K464="PHA Oper Sub",$B464="HOME 60",NOT($N464="Common Space"))),$E464,"")</f>
        <v/>
      </c>
      <c r="DP464" s="251" t="str">
        <f t="shared" ref="DP464:DP510" si="99">IF(OR(AND($C464=1,$K464="PHA Oper Sub",$B464=60,NOT($N464="Common Space")),AND($C464=1,$K464="PHA Oper Sub",$B464="HOME 60",NOT($N464="Common Space"))),$E464,"")</f>
        <v/>
      </c>
      <c r="DQ464" s="251" t="str">
        <f t="shared" ref="DQ464:DQ510" si="100">IF(OR(AND($C464=2,$K464="PHA Oper Sub",$B464=60,NOT($N464="Common Space")),AND($C464=2,$K464="PHA Oper Sub",$B464="HOME 60",NOT($N464="Common Space"))),$E464,"")</f>
        <v/>
      </c>
      <c r="DR464" s="251" t="str">
        <f t="shared" ref="DR464:DR510" si="101">IF(OR(AND($C464=3,$K464="PHA Oper Sub",$B464=60,NOT($N464="Common Space")),AND($C464=3,$K464="PHA Oper Sub",$B464="HOME 60",NOT($N464="Common Space"))),$E464,"")</f>
        <v/>
      </c>
      <c r="DS464" s="251" t="str">
        <f t="shared" ref="DS464:DS510" si="102">IF(OR(AND($C464=4,$K464="PHA Oper Sub",$B464=60,NOT($N464="Common Space")),AND($C464=4,$K464="PHA Oper Sub",$B464="HOME 60",NOT($N464="Common Space"))),$E464,"")</f>
        <v/>
      </c>
      <c r="DT464" s="251" t="str">
        <f t="shared" ref="DT464:DT510" si="103">IF(OR(AND($C464="Efficiency",$K464="PHA Oper Sub",$B464=70,NOT($N464="Common Space")),AND($C464="Efficiency",$K464="PHA Oper Sub",$B464="HOME 70",NOT($N464="Common Space"))),$E464,"")</f>
        <v/>
      </c>
      <c r="DU464" s="251" t="str">
        <f t="shared" ref="DU464:DU510" si="104">IF(OR(AND($C464=1,$K464="PHA Oper Sub",$B464=70,NOT($N464="Common Space")),AND($C464=1,$K464="PHA Oper Sub",$B464="HOME 70",NOT($N464="Common Space"))),$E464,"")</f>
        <v/>
      </c>
      <c r="DV464" s="251" t="str">
        <f t="shared" ref="DV464:DV510" si="105">IF(OR(AND($C464=2,$K464="PHA Oper Sub",$B464=70,NOT($N464="Common Space")),AND($C464=2,$K464="PHA Oper Sub",$B464="HOME 70",NOT($N464="Common Space"))),$E464,"")</f>
        <v/>
      </c>
      <c r="DW464" s="251" t="str">
        <f t="shared" ref="DW464:DW510" si="106">IF(OR(AND($C464=3,$K464="PHA Oper Sub",$B464=70,NOT($N464="Common Space")),AND($C464=3,$K464="PHA Oper Sub",$B464="HOME 70",NOT($N464="Common Space"))),$E464,"")</f>
        <v/>
      </c>
      <c r="DX464" s="251" t="str">
        <f t="shared" ref="DX464:DX510" si="107">IF(OR(AND($C464=4,$K464="PHA Oper Sub",$B464=70,NOT($N464="Common Space")),AND($C464=4,$K464="PHA Oper Sub",$B464="HOME 70",NOT($N464="Common Space"))),$E464,"")</f>
        <v/>
      </c>
      <c r="DY464" s="251" t="str">
        <f t="shared" ref="DY464:DY510" si="108">IF(OR(AND($C464="Efficiency",$K464="PHA Oper Sub",$B464=80,NOT($N464="Common Space")),AND($C464="Efficiency",$K464="PHA Oper Sub",$B464="HOME 80",NOT($N464="Common Space"))),$E464,"")</f>
        <v/>
      </c>
      <c r="DZ464" s="251" t="str">
        <f t="shared" ref="DZ464:DZ510" si="109">IF(OR(AND($C464=1,$K464="PHA Oper Sub",$B464=80,NOT($N464="Common Space")),AND($C464=1,$K464="PHA Oper Sub",$B464="HOME 80",NOT($N464="Common Space"))),$E464,"")</f>
        <v/>
      </c>
      <c r="EA464" s="251" t="str">
        <f t="shared" ref="EA464:EA510" si="110">IF(OR(AND($C464=2,$K464="PHA Oper Sub",$B464=80,NOT($N464="Common Space")),AND($C464=2,$K464="PHA Oper Sub",$B464="HOME 80",NOT($N464="Common Space"))),$E464,"")</f>
        <v/>
      </c>
      <c r="EB464" s="251" t="str">
        <f t="shared" ref="EB464:EB510" si="111">IF(OR(AND($C464=3,$K464="PHA Oper Sub",$B464=80,NOT($N464="Common Space")),AND($C464=3,$K464="PHA Oper Sub",$B464="HOME 80",NOT($N464="Common Space"))),$E464,"")</f>
        <v/>
      </c>
      <c r="EC464" s="251" t="str">
        <f t="shared" ref="EC464:EC510" si="112">IF(OR(AND($C464=4,$K464="PHA Oper Sub",$B464=80,NOT($N464="Common Space")),AND($C464=4,$K464="PHA Oper Sub",$B464="HOME 80",NOT($N464="Common Space"))),$E464,"")</f>
        <v/>
      </c>
      <c r="ED464" s="251" t="str">
        <f t="shared" ref="ED464:ED510" si="113">IF(OR(AND($C464="Efficiency",$K464="PBV",$B464=20,NOT($N464="Common Space")),AND($C464="Efficiency",$K464="PBV",$B464="HOME 20",NOT($N464="Common Space"))),$E464,"")</f>
        <v/>
      </c>
      <c r="EE464" s="251" t="str">
        <f t="shared" ref="EE464:EE510" si="114">IF(OR(AND($C464=1,$K464="PBV",$B464=20,NOT($N464="Common Space")),AND($C464=1,$K464="PBV",$B464="HOME 20",NOT($N464="Common Space"))),$E464,"")</f>
        <v/>
      </c>
      <c r="EF464" s="251" t="str">
        <f t="shared" ref="EF464:EF510" si="115">IF(OR(AND($C464=2,$K464="PBV",$B464=20,NOT($N464="Common Space")),AND($C464=2,$K464="PBV",$B464="HOME 20",NOT($N464="Common Space"))),$E464,"")</f>
        <v/>
      </c>
      <c r="EG464" s="251" t="str">
        <f t="shared" ref="EG464:EG510" si="116">IF(OR(AND($C464=3,$K464="PBV",$B464=20,NOT($N464="Common Space")),AND($C464=3,$K464="PBV",$B464="HOME 20",NOT($N464="Common Space"))),$E464,"")</f>
        <v/>
      </c>
      <c r="EH464" s="251" t="str">
        <f t="shared" ref="EH464:EH510" si="117">IF(OR(AND($C464=4,$K464="PBV",$B464=20,NOT($N464="Common Space")),AND($C464=4,$K464="PBV",$B464="HOME 20",NOT($N464="Common Space"))),$E464,"")</f>
        <v/>
      </c>
      <c r="EI464" s="251" t="str">
        <f t="shared" ref="EI464:EI510" si="118">IF(OR(AND($C464="Efficiency",$K464="PBV",$B464=30,NOT($N464="Common Space")),AND($C464="Efficiency",$K464="PBV",$B464="HOME 30",NOT($N464="Common Space"))),$E464,"")</f>
        <v/>
      </c>
      <c r="EJ464" s="251" t="str">
        <f t="shared" ref="EJ464:EJ510" si="119">IF(OR(AND($C464=1,$K464="PBV",$B464=30,NOT($N464="Common Space")),AND($C464=1,$K464="PBV",$B464="HOME 30",NOT($N464="Common Space"))),$E464,"")</f>
        <v/>
      </c>
      <c r="EK464" s="251" t="str">
        <f t="shared" ref="EK464:EK510" si="120">IF(OR(AND($C464=2,$K464="PBV",$B464=30,NOT($N464="Common Space")),AND($C464=2,$K464="PBV",$B464="HOME 30",NOT($N464="Common Space"))),$E464,"")</f>
        <v/>
      </c>
      <c r="EL464" s="251" t="str">
        <f t="shared" ref="EL464:EL510" si="121">IF(OR(AND($C464=3,$K464="PBV",$B464=30,NOT($N464="Common Space")),AND($C464=3,$K464="PBV",$B464="HOME 30",NOT($N464="Common Space"))),$E464,"")</f>
        <v/>
      </c>
      <c r="EM464" s="251" t="str">
        <f t="shared" ref="EM464:EM510" si="122">IF(OR(AND($C464=4,$K464="PBV",$B464=30,NOT($N464="Common Space")),AND($C464=4,$K464="PBV",$B464="HOME 30",NOT($N464="Common Space"))),$E464,"")</f>
        <v/>
      </c>
      <c r="EN464" s="251" t="str">
        <f t="shared" ref="EN464:EN510" si="123">IF(OR(AND($C464="Efficiency",$K464="PBV",$B464=40,NOT($N464="Common Space")),AND($C464="Efficiency",$K464="PBV",$B464="HOME 40",NOT($N464="Common Space"))),$E464,"")</f>
        <v/>
      </c>
      <c r="EO464" s="251" t="str">
        <f t="shared" ref="EO464:EO510" si="124">IF(OR(AND($C464=1,$K464="PBV",$B464=40,NOT($N464="Common Space")),AND($C464=1,$K464="PBV",$B464="HOME 40",NOT($N464="Common Space"))),$E464,"")</f>
        <v/>
      </c>
      <c r="EP464" s="251" t="str">
        <f t="shared" ref="EP464:EP510" si="125">IF(OR(AND($C464=2,$K464="PBV",$B464=40,NOT($N464="Common Space")),AND($C464=2,$K464="PBV",$B464="HOME 40",NOT($N464="Common Space"))),$E464,"")</f>
        <v/>
      </c>
      <c r="EQ464" s="251" t="str">
        <f t="shared" ref="EQ464:EQ510" si="126">IF(OR(AND($C464=3,$K464="PBV",$B464=40,NOT($N464="Common Space")),AND($C464=3,$K464="PBV",$B464="HOME 40",NOT($N464="Common Space"))),$E464,"")</f>
        <v/>
      </c>
      <c r="ER464" s="251" t="str">
        <f t="shared" ref="ER464:ER510" si="127">IF(OR(AND($C464=4,$K464="PBV",$B464=40,NOT($N464="Common Space")),AND($C464=4,$K464="PBV",$B464="HOME 40",NOT($N464="Common Space"))),$E464,"")</f>
        <v/>
      </c>
      <c r="ES464" s="251" t="str">
        <f t="shared" ref="ES464:ES510" si="128">IF(OR(AND($C464="Efficiency",$K464="PBV",$B464=50,NOT($N464="Common Space")),AND($C464="Efficiency",$K464="PBV",$B464="HOME 50",NOT($N464="Common Space"))),$E464,"")</f>
        <v/>
      </c>
      <c r="ET464" s="251" t="str">
        <f t="shared" ref="ET464:ET510" si="129">IF(OR(AND($C464=1,$K464="PBV",$B464=50,NOT($N464="Common Space")),AND($C464=1,$K464="PBV",$B464="HOME 50",NOT($N464="Common Space"))),$E464,"")</f>
        <v/>
      </c>
      <c r="EU464" s="251" t="str">
        <f t="shared" ref="EU464:EU510" si="130">IF(OR(AND($C464=2,$K464="PBV",$B464=50,NOT($N464="Common Space")),AND($C464=2,$K464="PBV",$B464="HOME 50",NOT($N464="Common Space"))),$E464,"")</f>
        <v/>
      </c>
      <c r="EV464" s="251" t="str">
        <f t="shared" ref="EV464:EV510" si="131">IF(OR(AND($C464=3,$K464="PBV",$B464=50,NOT($N464="Common Space")),AND($C464=3,$K464="PBV",$B464="HOME 50",NOT($N464="Common Space"))),$E464,"")</f>
        <v/>
      </c>
      <c r="EW464" s="251" t="str">
        <f t="shared" ref="EW464:EW510" si="132">IF(OR(AND($C464=4,$K464="PBV",$B464=50,NOT($N464="Common Space")),AND($C464=4,$K464="PBV",$B464="HOME 50",NOT($N464="Common Space"))),$E464,"")</f>
        <v/>
      </c>
      <c r="EX464" s="251" t="str">
        <f t="shared" ref="EX464:EX510" si="133">IF(OR(AND($C464="Efficiency",$K464="PBV",$B464=60,NOT($N464="Common Space")),AND($C464="Efficiency",$K464="PBV",$B464="HOME 60",NOT($N464="Common Space"))),$E464,"")</f>
        <v/>
      </c>
      <c r="EY464" s="251" t="str">
        <f t="shared" ref="EY464:EY510" si="134">IF(OR(AND($C464=1,$K464="PBV",$B464=60,NOT($N464="Common Space")),AND($C464=1,$K464="PBV",$B464="HOME 60",NOT($N464="Common Space"))),$E464,"")</f>
        <v/>
      </c>
      <c r="EZ464" s="251" t="str">
        <f t="shared" ref="EZ464:EZ510" si="135">IF(OR(AND($C464=2,$K464="PBV",$B464=60,NOT($N464="Common Space")),AND($C464=2,$K464="PBV",$B464="HOME 60",NOT($N464="Common Space"))),$E464,"")</f>
        <v/>
      </c>
      <c r="FA464" s="251" t="str">
        <f t="shared" ref="FA464:FA510" si="136">IF(OR(AND($C464=3,$K464="PBV",$B464=60,NOT($N464="Common Space")),AND($C464=3,$K464="PBV",$B464="HOME 60",NOT($N464="Common Space"))),$E464,"")</f>
        <v/>
      </c>
      <c r="FB464" s="251" t="str">
        <f t="shared" ref="FB464:FB510" si="137">IF(OR(AND($C464=4,$K464="PBV",$B464=60,NOT($N464="Common Space")),AND($C464=4,$K464="PBV",$B464="HOME 60",NOT($N464="Common Space"))),$E464,"")</f>
        <v/>
      </c>
      <c r="FC464" s="251" t="str">
        <f t="shared" ref="FC464:FC510" si="138">IF(OR(AND($C464="Efficiency",$K464="PBV",$B464=70,NOT($N464="Common Space")),AND($C464="Efficiency",$K464="PBV",$B464="HOME 70",NOT($N464="Common Space"))),$E464,"")</f>
        <v/>
      </c>
      <c r="FD464" s="251" t="str">
        <f t="shared" ref="FD464:FD510" si="139">IF(OR(AND($C464=1,$K464="PBV",$B464=70,NOT($N464="Common Space")),AND($C464=1,$K464="PBV",$B464="HOME 70",NOT($N464="Common Space"))),$E464,"")</f>
        <v/>
      </c>
      <c r="FE464" s="251" t="str">
        <f t="shared" ref="FE464:FE510" si="140">IF(OR(AND($C464=2,$K464="PBV",$B464=70,NOT($N464="Common Space")),AND($C464=2,$K464="PBV",$B464="HOME 70",NOT($N464="Common Space"))),$E464,"")</f>
        <v/>
      </c>
      <c r="FF464" s="251" t="str">
        <f t="shared" ref="FF464:FF510" si="141">IF(OR(AND($C464=3,$K464="PBV",$B464=70,NOT($N464="Common Space")),AND($C464=3,$K464="PBV",$B464="HOME 70",NOT($N464="Common Space"))),$E464,"")</f>
        <v/>
      </c>
      <c r="FG464" s="251" t="str">
        <f t="shared" ref="FG464:FG510" si="142">IF(OR(AND($C464=4,$K464="PBV",$B464=70,NOT($N464="Common Space")),AND($C464=4,$K464="PBV",$B464="HOME 70",NOT($N464="Common Space"))),$E464,"")</f>
        <v/>
      </c>
      <c r="FH464" s="251" t="str">
        <f t="shared" ref="FH464:FH510" si="143">IF(OR(AND($C464="Efficiency",$K464="PBV",$B464=80,NOT($N464="Common Space")),AND($C464="Efficiency",$K464="PBV",$B464="HOME 80",NOT($N464="Common Space"))),$E464,"")</f>
        <v/>
      </c>
      <c r="FI464" s="251" t="str">
        <f t="shared" ref="FI464:FI510" si="144">IF(OR(AND($C464=1,$K464="PBV",$B464=80,NOT($N464="Common Space")),AND($C464=1,$K464="PBV",$B464="HOME 80",NOT($N464="Common Space"))),$E464,"")</f>
        <v/>
      </c>
      <c r="FJ464" s="251" t="str">
        <f t="shared" ref="FJ464:FJ510" si="145">IF(OR(AND($C464=2,$K464="PBV",$B464=80,NOT($N464="Common Space")),AND($C464=2,$K464="PBV",$B464="HOME 80",NOT($N464="Common Space"))),$E464,"")</f>
        <v/>
      </c>
      <c r="FK464" s="251" t="str">
        <f t="shared" ref="FK464:FK510" si="146">IF(OR(AND($C464=3,$K464="PBV",$B464=80,NOT($N464="Common Space")),AND($C464=3,$K464="PBV",$B464="HOME 80",NOT($N464="Common Space"))),$E464,"")</f>
        <v/>
      </c>
      <c r="FL464" s="251" t="str">
        <f t="shared" ref="FL464:FL510" si="147">IF(OR(AND($C464=4,$K464="PBV",$B464=80,NOT($N464="Common Space")),AND($C464=4,$K464="PBV",$B464="HOME 80",NOT($N464="Common Space"))),$E464,"")</f>
        <v/>
      </c>
      <c r="FM464" s="251" t="str">
        <f t="shared" ref="FM464:FM510" si="148">IF(AND(C464="Efficiency",N464="Common Space"),E464,"")</f>
        <v/>
      </c>
      <c r="FN464" s="251" t="str">
        <f t="shared" ref="FN464:FN510" si="149">IF(AND(C464=1,N464="Common Space"),E464,"")</f>
        <v/>
      </c>
      <c r="FO464" s="251" t="str">
        <f t="shared" ref="FO464:FO510" si="150">IF(AND(C464=2,N464="Common Space"),E464,"")</f>
        <v/>
      </c>
      <c r="FP464" s="251" t="str">
        <f t="shared" ref="FP464:FP510" si="151">IF(AND(C464=3,N464="Common Space"),E464,"")</f>
        <v/>
      </c>
      <c r="FQ464" s="251" t="str">
        <f t="shared" ref="FQ464:FQ510" si="152">IF(AND(C464=4,N464="Common Space"),E464,"")</f>
        <v/>
      </c>
      <c r="FR464" s="251" t="str">
        <f t="shared" ref="FR464:FR510" si="153">IF(OR(AND($C464="Efficiency",$B464=80,NOT($N464="Common Space")),AND($C464="Efficiency",$B464="HOME 80",NOT($N464="Common Space"))),$E464*$F464,"")</f>
        <v/>
      </c>
      <c r="FS464" s="251" t="str">
        <f t="shared" ref="FS464:FS510" si="154">IF(OR(AND($C464=1,$B464=80,NOT($N464="Common Space")),AND($C464=1,$B464="HOME 80",NOT($N464="Common Space"))),$E464*$F464,"")</f>
        <v/>
      </c>
      <c r="FT464" s="251" t="str">
        <f t="shared" ref="FT464:FT510" si="155">IF(OR(AND($C464=2,$B464=80,NOT($N464="Common Space")),AND($C464=2,$B464="HOME 80",NOT($N464="Common Space"))),$E464*$F464,"")</f>
        <v/>
      </c>
      <c r="FU464" s="251" t="str">
        <f t="shared" ref="FU464:FU510" si="156">IF(OR(AND($C464=3,$B464=80,NOT($N464="Common Space")),AND($C464=3,$B464="HOME 80",NOT($N464="Common Space"))),$E464*$F464,"")</f>
        <v/>
      </c>
      <c r="FV464" s="251" t="str">
        <f t="shared" ref="FV464:FV510" si="157">IF(OR(AND($C464=4,$B464=80,NOT($N464="Common Space")),AND($C464=4,$B464="HOME 80",NOT($N464="Common Space"))),$E464*$F464,"")</f>
        <v/>
      </c>
      <c r="FW464" s="251" t="str">
        <f t="shared" ref="FW464:FW510" si="158">IF(OR(AND($C464="Efficiency",$B464=70,NOT($N464="Common Space")),AND($C464="Efficiency",$B464="HOME 70",NOT($N464="Common Space"))),$E464*$F464,"")</f>
        <v/>
      </c>
      <c r="FX464" s="251" t="str">
        <f t="shared" ref="FX464:FX510" si="159">IF(OR(AND($C464=1,$B464=70,NOT($N464="Common Space")),AND($C464=1,$B464="HOME 70",NOT($N464="Common Space"))),$E464*$F464,"")</f>
        <v/>
      </c>
      <c r="FY464" s="251" t="str">
        <f t="shared" ref="FY464:FY510" si="160">IF(OR(AND($C464=2,$B464=70,NOT($N464="Common Space")),AND($C464=2,$B464="HOME 70",NOT($N464="Common Space"))),$E464*$F464,"")</f>
        <v/>
      </c>
      <c r="FZ464" s="251" t="str">
        <f t="shared" ref="FZ464:FZ510" si="161">IF(OR(AND($C464=3,$B464=70,NOT($N464="Common Space")),AND($C464=3,$B464="HOME 70",NOT($N464="Common Space"))),$E464*$F464,"")</f>
        <v/>
      </c>
      <c r="GA464" s="251" t="str">
        <f t="shared" ref="GA464:GA510" si="162">IF(OR(AND($C464=4,$B464=70,NOT($N464="Common Space")),AND($C464=4,$B464="HOME 70",NOT($N464="Common Space"))),$E464*$F464,"")</f>
        <v/>
      </c>
      <c r="GB464" s="251" t="str">
        <f t="shared" ref="GB464:GB510" si="163">IF(OR(AND($C464="Efficiency",$B464=60,NOT($N464="Common Space")),AND($C464="Efficiency",$B464="HOME 60",NOT($N464="Common Space"))),$E464*$F464,"")</f>
        <v/>
      </c>
      <c r="GC464" s="251" t="str">
        <f t="shared" ref="GC464:GC510" si="164">IF(OR(AND($C464=1,$B464=60,NOT($N464="Common Space")),AND($C464=1,$B464="HOME 60",NOT($N464="Common Space"))),$E464*$F464,"")</f>
        <v/>
      </c>
      <c r="GD464" s="251" t="str">
        <f t="shared" ref="GD464:GD510" si="165">IF(OR(AND($C464=2,$B464=60,NOT($N464="Common Space")),AND($C464=2,$B464="HOME 60",NOT($N464="Common Space"))),$E464*$F464,"")</f>
        <v/>
      </c>
      <c r="GE464" s="251" t="str">
        <f t="shared" ref="GE464:GE510" si="166">IF(OR(AND($C464=3,$B464=60,NOT($N464="Common Space")),AND($C464=3,$B464="HOME 60",NOT($N464="Common Space"))),$E464*$F464,"")</f>
        <v/>
      </c>
      <c r="GF464" s="251" t="str">
        <f t="shared" ref="GF464:GF510" si="167">IF(OR(AND($C464=4,$B464=60,NOT($N464="Common Space")),AND($C464=4,$B464="HOME 60",NOT($N464="Common Space"))),$E464*$F464,"")</f>
        <v/>
      </c>
      <c r="GG464" s="251" t="str">
        <f t="shared" ref="GG464:GG510" si="168">IF(OR(AND($C464="Efficiency",$B464=50,NOT($N464="Common Space")),AND($C464="Efficiency",$B464="HOME 50",NOT($N464="Common Space"))),$E464*$F464,"")</f>
        <v/>
      </c>
      <c r="GH464" s="251" t="str">
        <f t="shared" ref="GH464:GH510" si="169">IF(OR(AND($C464=1,$B464=50,NOT($N464="Common Space")),AND($C464=1,$B464="HOME 50",NOT($N464="Common Space"))),$E464*$F464,"")</f>
        <v/>
      </c>
      <c r="GI464" s="251" t="str">
        <f t="shared" ref="GI464:GI510" si="170">IF(OR(AND($C464=2,$B464=50,NOT($N464="Common Space")),AND($C464=2,$B464="HOME 50",NOT($N464="Common Space"))),$E464*$F464,"")</f>
        <v/>
      </c>
      <c r="GJ464" s="251" t="str">
        <f t="shared" ref="GJ464:GJ510" si="171">IF(OR(AND($C464=3,$B464=50,NOT($N464="Common Space")),AND($C464=3,$B464="HOME 50",NOT($N464="Common Space"))),$E464*$F464,"")</f>
        <v/>
      </c>
      <c r="GK464" s="251" t="str">
        <f t="shared" ref="GK464:GK510" si="172">IF(OR(AND($C464=4,$B464=50,NOT($N464="Common Space")),AND($C464=4,$B464="HOME 50",NOT($N464="Common Space"))),$E464*$F464,"")</f>
        <v/>
      </c>
      <c r="GL464" s="251" t="str">
        <f t="shared" ref="GL464:GL510" si="173">IF(OR(AND($C464="Efficiency",$B464=40,NOT($N464="Common Space")),AND($C464="Efficiency",$B464="HOME 40",NOT($N464="Common Space"))),$E464*$F464,"")</f>
        <v/>
      </c>
      <c r="GM464" s="251" t="str">
        <f t="shared" ref="GM464:GM510" si="174">IF(OR(AND($C464=1,$B464=40,NOT($N464="Common Space")),AND($C464=1,$B464="HOME 40",NOT($N464="Common Space"))),$E464*$F464,"")</f>
        <v/>
      </c>
      <c r="GN464" s="251" t="str">
        <f t="shared" ref="GN464:GN510" si="175">IF(OR(AND($C464=2,$B464=40,NOT($N464="Common Space")),AND($C464=2,$B464="HOME 40",NOT($N464="Common Space"))),$E464*$F464,"")</f>
        <v/>
      </c>
      <c r="GO464" s="251" t="str">
        <f t="shared" ref="GO464:GO510" si="176">IF(OR(AND($C464=3,$B464=40,NOT($N464="Common Space")),AND($C464=3,$B464="HOME 40",NOT($N464="Common Space"))),$E464*$F464,"")</f>
        <v/>
      </c>
      <c r="GP464" s="251" t="str">
        <f t="shared" ref="GP464:GP510" si="177">IF(OR(AND($C464=4,$B464=40,NOT($N464="Common Space")),AND($C464=4,$B464="HOME 40",NOT($N464="Common Space"))),$E464*$F464,"")</f>
        <v/>
      </c>
      <c r="GQ464" s="251" t="str">
        <f t="shared" ref="GQ464:GQ510" si="178">IF(OR(AND($C464="Efficiency",$B464=30,NOT($N464="Common Space")),AND($C464="Efficiency",$B464="HOME 30",NOT($N464="Common Space"))),$E464*$F464,"")</f>
        <v/>
      </c>
      <c r="GR464" s="251" t="str">
        <f t="shared" ref="GR464:GR510" si="179">IF(OR(AND($C464=1,$B464=30,NOT($N464="Common Space")),AND($C464=1,$B464="HOME 30",NOT($N464="Common Space"))),$E464*$F464,"")</f>
        <v/>
      </c>
      <c r="GS464" s="251" t="str">
        <f t="shared" ref="GS464:GS510" si="180">IF(OR(AND($C464=2,$B464=30,NOT($N464="Common Space")),AND($C464=2,$B464="HOME 30",NOT($N464="Common Space"))),$E464*$F464,"")</f>
        <v/>
      </c>
      <c r="GT464" s="251" t="str">
        <f t="shared" ref="GT464:GT510" si="181">IF(OR(AND($C464=3,$B464=30,NOT($N464="Common Space")),AND($C464=3,$B464="HOME 30",NOT($N464="Common Space"))),$E464*$F464,"")</f>
        <v/>
      </c>
      <c r="GU464" s="251" t="str">
        <f t="shared" ref="GU464:GU510" si="182">IF(OR(AND($C464=4,$B464=30,NOT($N464="Common Space")),AND($C464=4,$B464="HOME 30",NOT($N464="Common Space"))),$E464*$F464,"")</f>
        <v/>
      </c>
      <c r="GV464" s="251" t="str">
        <f t="shared" ref="GV464:GV510" si="183">IF(OR(AND($C464="Efficiency",$B464=20,NOT($N464="Common Space")),AND($C464="Efficiency",$B464="HOME 20",NOT($N464="Common Space"))),$E464*$F464,"")</f>
        <v/>
      </c>
      <c r="GW464" s="251" t="str">
        <f t="shared" ref="GW464:GW510" si="184">IF(OR(AND($C464=1,$B464=20,NOT($N464="Common Space")),AND($C464=1,$B464="HOME 20",NOT($N464="Common Space"))),$E464*$F464,"")</f>
        <v/>
      </c>
      <c r="GX464" s="251" t="str">
        <f t="shared" ref="GX464:GX510" si="185">IF(OR(AND($C464=2,$B464=20,NOT($N464="Common Space")),AND($C464=2,$B464="HOME 20",NOT($N464="Common Space"))),$E464*$F464,"")</f>
        <v/>
      </c>
      <c r="GY464" s="251" t="str">
        <f t="shared" ref="GY464:GY510" si="186">IF(OR(AND($C464=3,$B464=20,NOT($N464="Common Space")),AND($C464=3,$B464="HOME 20",NOT($N464="Common Space"))),$E464*$F464,"")</f>
        <v/>
      </c>
      <c r="GZ464" s="251" t="str">
        <f t="shared" ref="GZ464:GZ510" si="187">IF(OR(AND($C464=4,$B464=20,NOT($N464="Common Space")),AND($C464=4,$B464="HOME 20",NOT($N464="Common Space"))),$E464*$F464,"")</f>
        <v/>
      </c>
      <c r="HA464" s="251" t="str">
        <f t="shared" ref="HA464:HA510" si="188">IF(AND(C464="Efficiency",B464="Unrestricted",NOT(N464="Common Space")),E464*F464,"")</f>
        <v/>
      </c>
      <c r="HB464" s="251" t="str">
        <f t="shared" ref="HB464:HB510" si="189">IF(AND(C464=1,B464="Unrestricted",NOT(N464="Common Space")),E464*F464,"")</f>
        <v/>
      </c>
      <c r="HC464" s="251" t="str">
        <f t="shared" ref="HC464:HC510" si="190">IF(AND(C464=2,B464="Unrestricted",NOT(N464="Common Space")),E464*F464,"")</f>
        <v/>
      </c>
      <c r="HD464" s="251" t="str">
        <f t="shared" ref="HD464:HD510" si="191">IF(AND(C464=3,B464="Unrestricted",NOT(N464="Common Space")),E464*F464,"")</f>
        <v/>
      </c>
      <c r="HE464" s="251" t="str">
        <f t="shared" ref="HE464:HE510" si="192">IF(AND(C464=4,B464="Unrestricted",NOT(N464="Common Space")),E464*F464,"")</f>
        <v/>
      </c>
      <c r="HF464" s="251" t="str">
        <f t="shared" ref="HF464:HF510" si="193">IF(AND(C464="Efficiency",NOT(K464=""),NOT($K464=0),NOT(N464="Common Space")),E464*F464,"")</f>
        <v/>
      </c>
      <c r="HG464" s="251" t="str">
        <f t="shared" ref="HG464:HG510" si="194">IF(AND(C464=1,NOT(K464=""),NOT($K464=0),NOT(N464="Common Space")),E464*F464,"")</f>
        <v/>
      </c>
      <c r="HH464" s="251" t="str">
        <f t="shared" ref="HH464:HH510" si="195">IF(AND(C464=2,NOT(K464=""),NOT($K464=0),NOT(N464="Common Space")),E464*F464,"")</f>
        <v/>
      </c>
      <c r="HI464" s="251" t="str">
        <f t="shared" ref="HI464:HI510" si="196">IF(AND(C464=3,NOT(K464=""),NOT($K464=0),NOT(N464="Common Space")),E464*F464,"")</f>
        <v/>
      </c>
      <c r="HJ464" s="251" t="str">
        <f t="shared" ref="HJ464:HJ510" si="197">IF(AND(C464=4,NOT(K464=""),NOT($K464=0),NOT(N464="Common Space")),E464*F464,"")</f>
        <v/>
      </c>
      <c r="HK464" s="251" t="str">
        <f t="shared" ref="HK464:HK510" si="198">IF(AND(C464="Efficiency",N464="Common Space"),E464*F464,"")</f>
        <v/>
      </c>
      <c r="HL464" s="251" t="str">
        <f t="shared" ref="HL464:HL510" si="199">IF(AND(C464=1,N464="Common Space"),E464*F464,"")</f>
        <v/>
      </c>
      <c r="HM464" s="251" t="str">
        <f t="shared" ref="HM464:HM510" si="200">IF(AND(C464=2,N464="Common Space"),E464*F464,"")</f>
        <v/>
      </c>
      <c r="HN464" s="251" t="str">
        <f t="shared" ref="HN464:HN510" si="201">IF(AND(C464=3,N464="Common Space"),E464*F464,"")</f>
        <v/>
      </c>
      <c r="HO464" s="251" t="str">
        <f t="shared" ref="HO464:HO510" si="202">IF(AND(C464=4,N464="Common Space"),E464*F464,"")</f>
        <v/>
      </c>
      <c r="HP464" s="251" t="str">
        <f t="shared" ref="HP464:HP510" si="203">IF(AND($C464="Efficiency", $P464="New Construction",NOT($B464="Unrestricted"),NOT($B464="NSP 120"),NOT($B464="N/A-CS"),NOT($N464="Common Space")),$E464,"")</f>
        <v/>
      </c>
      <c r="HQ464" s="251" t="str">
        <f t="shared" ref="HQ464:HQ510" si="204">IF(AND($C464=1, $P464="New Construction",NOT($B464="Unrestricted"),NOT($B464="NSP 120"),NOT($B464="N/A-CS"),NOT($N464="Common Space")),$E464,"")</f>
        <v/>
      </c>
      <c r="HR464" s="251" t="str">
        <f t="shared" ref="HR464:HR510" si="205">IF(AND($C464=2, $P464="New Construction",NOT($B464="Unrestricted"),NOT($B464="NSP 120"),NOT($B464="N/A-CS"),NOT($N464="Common Space")),$E464,"")</f>
        <v/>
      </c>
      <c r="HS464" s="251" t="str">
        <f t="shared" ref="HS464:HS510" si="206">IF(AND($C464=3, $P464="New Construction",NOT($B464="Unrestricted"),NOT($B464="NSP 120"),NOT($B464="N/A-CS"),NOT($N464="Common Space")),$E464,"")</f>
        <v/>
      </c>
      <c r="HT464" s="251" t="str">
        <f t="shared" ref="HT464:HT510" si="207">IF(AND($C464=4, $P464="New Construction",NOT($B464="Unrestricted"),NOT($B464="NSP 120"),NOT($B464="N/A-CS"),NOT($N464="Common Space")),$E464,"")</f>
        <v/>
      </c>
      <c r="HU464" s="251" t="str">
        <f t="shared" ref="HU464:HU510" si="208">IF(AND($C464="Efficiency", $P464="New Construction",$B464="Unrestricted",NOT($B464="N/A-CS"),NOT($N464="Common Space")),$E464,"")</f>
        <v/>
      </c>
      <c r="HV464" s="251" t="str">
        <f t="shared" ref="HV464:HV510" si="209">IF(AND($C464=1, $P464="New Construction",$B464="Unrestricted",NOT($B464="N/A-CS"),NOT($N464="Common Space")),$E464,"")</f>
        <v/>
      </c>
      <c r="HW464" s="251" t="str">
        <f t="shared" ref="HW464:HW510" si="210">IF(AND($C464=2, $P464="New Construction",$B464="Unrestricted",NOT($B464="N/A-CS"),NOT($N464="Common Space")),$E464,"")</f>
        <v/>
      </c>
      <c r="HX464" s="251" t="str">
        <f t="shared" ref="HX464:HX510" si="211">IF(AND($C464=3, $P464="New Construction",$B464="Unrestricted",NOT($B464="N/A-CS"),NOT($N464="Common Space")),$E464,"")</f>
        <v/>
      </c>
      <c r="HY464" s="251" t="str">
        <f t="shared" ref="HY464:HY510" si="212">IF(AND($C464=4, $P464="New Construction",$B464="Unrestricted",NOT($B464="N/A-CS"),NOT($N464="Common Space")),$E464,"")</f>
        <v/>
      </c>
      <c r="HZ464" s="251" t="str">
        <f t="shared" ref="HZ464:HZ510" si="213">IF(AND($C464="Efficiency", $P464="New Construction",$B464="N/A-CS",$N464="Common Space"),$E464,"")</f>
        <v/>
      </c>
      <c r="IA464" s="251" t="str">
        <f t="shared" ref="IA464:IA510" si="214">IF(AND($C464=1, $P464="New Construction",$B464="N/A-CS",$N464="Common Space"),$E464,"")</f>
        <v/>
      </c>
      <c r="IB464" s="251" t="str">
        <f t="shared" ref="IB464:IB510" si="215">IF(AND($C464=2, $P464="New Construction",$B464="N/A-CS",$N464="Common Space"),$E464,"")</f>
        <v/>
      </c>
      <c r="IC464" s="251" t="str">
        <f t="shared" ref="IC464:IC510" si="216">IF(AND($C464=3, $P464="New Construction",$B464="N/A-CS",$N464="Common Space"),$E464,"")</f>
        <v/>
      </c>
      <c r="ID464" s="251" t="str">
        <f t="shared" ref="ID464:ID510" si="217">IF(AND($C464=4, $P464="New Construction",$B464="N/A-CS",$N464="Common Space"),$E464,"")</f>
        <v/>
      </c>
      <c r="IE464" s="251" t="str">
        <f t="shared" ref="IE464:IE510" si="218">IF(AND($C464="Efficiency", $P464="Acquisition/Rehab",NOT($B464="Unrestricted"),NOT($B464="NSP 120"),NOT($B464="N/A-CS"),NOT($N464="Common Space")),$E464,"")</f>
        <v/>
      </c>
      <c r="IF464" s="251" t="str">
        <f t="shared" ref="IF464:IF510" si="219">IF(AND($C464=1, $P464="Acquisition/Rehab",NOT($B464="Unrestricted"),NOT($B464="NSP 120"),NOT($B464="N/A-CS"),NOT($N464="Common Space")),$E464,"")</f>
        <v/>
      </c>
      <c r="IG464" s="251" t="str">
        <f t="shared" ref="IG464:IG510" si="220">IF(AND($C464=2, $P464="Acquisition/Rehab",NOT($B464="Unrestricted"),NOT($B464="NSP 120"),NOT($B464="N/A-CS"),NOT($N464="Common Space")),$E464,"")</f>
        <v/>
      </c>
      <c r="IH464" s="251" t="str">
        <f t="shared" ref="IH464:IH510" si="221">IF(AND($C464=3, $P464="Acquisition/Rehab",NOT($B464="Unrestricted"),NOT($B464="NSP 120"),NOT($B464="N/A-CS"),NOT($N464="Common Space")),$E464,"")</f>
        <v/>
      </c>
      <c r="II464" s="251" t="str">
        <f t="shared" ref="II464:II510" si="222">IF(AND($C464=4, $P464="Acquisition/Rehab",NOT($B464="Unrestricted"),NOT($B464="NSP 120"),NOT($B464="N/A-CS"),NOT($N464="Common Space")),$E464,"")</f>
        <v/>
      </c>
      <c r="IJ464" s="251" t="str">
        <f t="shared" ref="IJ464:IJ510" si="223">IF(AND($C464="Efficiency", $P464="Acquisition/Rehab",$B464="Unrestricted",NOT($B464="N/A-CS"),NOT($N464="Common Space")),$E464,"")</f>
        <v/>
      </c>
      <c r="IK464" s="251" t="str">
        <f t="shared" ref="IK464:IK510" si="224">IF(AND($C464=1, $P464="Acquisition/Rehab",$B464="Unrestricted",NOT($B464="N/A-CS"),NOT($N464="Common Space")),$E464,"")</f>
        <v/>
      </c>
      <c r="IL464" s="251" t="str">
        <f t="shared" ref="IL464:IL510" si="225">IF(AND($C464=2, $P464="Acquisition/Rehab",$B464="Unrestricted",NOT($B464="N/A-CS"),NOT($N464="Common Space")),$E464,"")</f>
        <v/>
      </c>
      <c r="IM464" s="251" t="str">
        <f t="shared" ref="IM464:IM510" si="226">IF(AND($C464=3, $P464="Acquisition/Rehab",$B464="Unrestricted",NOT($B464="N/A-CS"),NOT($N464="Common Space")),$E464,"")</f>
        <v/>
      </c>
      <c r="IN464" s="251" t="str">
        <f t="shared" ref="IN464:IN510" si="227">IF(AND($C464=4, $P464="Acquisition/Rehab",$B464="Unrestricted",NOT($B464="N/A-CS"),NOT($N464="Common Space")),$E464,"")</f>
        <v/>
      </c>
      <c r="IO464" s="251" t="str">
        <f t="shared" ref="IO464:IO510" si="228">IF(AND($C464="Efficiency", $P464="Acquisition/Rehab",$B464="N/A-CS",$N464="Common Space"),$E464,"")</f>
        <v/>
      </c>
      <c r="IP464" s="251" t="str">
        <f t="shared" ref="IP464:IP510" si="229">IF(AND($C464=1, $P464="Acquisition/Rehab",$B464="N/A-CS",$N464="Common Space"),$E464,"")</f>
        <v/>
      </c>
      <c r="IQ464" s="251" t="str">
        <f t="shared" ref="IQ464:IQ510" si="230">IF(AND($C464=2, $P464="Acquisition/Rehab",$B464="N/A-CS",$N464="Common Space"),$E464,"")</f>
        <v/>
      </c>
      <c r="IR464" s="251" t="str">
        <f t="shared" ref="IR464:IR510" si="231">IF(AND($C464=3, $P464="Acquisition/Rehab",$B464="N/A-CS",$N464="Common Space"),$E464,"")</f>
        <v/>
      </c>
      <c r="IS464" s="251" t="str">
        <f t="shared" ref="IS464:IS510" si="232">IF(AND($C464=4, $P464="Acquisition/Rehab",$B464="N/A-CS",$N464="Common Space"),$E464,"")</f>
        <v/>
      </c>
      <c r="IT464" s="251" t="str">
        <f t="shared" ref="IT464:IT510" si="233">IF(AND($C464="Efficiency", $P464="Rehabilitation",NOT($B464="Unrestricted"),NOT($B464="NSP 120"),NOT($B464="N/A-CS"),NOT($N464="Common Space")),$E464,"")</f>
        <v/>
      </c>
      <c r="IU464" s="251" t="str">
        <f t="shared" ref="IU464:IU510" si="234">IF(AND($C464=1, $P464="Rehabilitation",NOT($B464="Unrestricted"),NOT($B464="NSP 120"),NOT($B464="N/A-CS"),NOT($N464="Common Space")),$E464,"")</f>
        <v/>
      </c>
      <c r="IV464" s="251" t="str">
        <f t="shared" ref="IV464:IV510" si="235">IF(AND($C464=2, $P464="Rehabilitation",NOT($B464="Unrestricted"),NOT($B464="NSP 120"),NOT($B464="N/A-CS"),NOT($N464="Common Space")),$E464,"")</f>
        <v/>
      </c>
      <c r="IW464" s="251" t="str">
        <f t="shared" ref="IW464:IW510" si="236">IF(AND($C464=3, $P464="Rehabilitation",NOT($B464="Unrestricted"),NOT($B464="NSP 120"),NOT($B464="N/A-CS"),NOT($N464="Common Space")),$E464,"")</f>
        <v/>
      </c>
      <c r="IX464" s="251" t="str">
        <f t="shared" ref="IX464:IX510" si="237">IF(AND($C464=4, $P464="Rehabilitation",NOT($B464="Unrestricted"),NOT($B464="NSP 120"),NOT($B464="N/A-CS"),NOT($N464="Common Space")),$E464,"")</f>
        <v/>
      </c>
      <c r="IY464" s="251" t="str">
        <f t="shared" ref="IY464:IY510" si="238">IF(AND($C464="Efficiency", $P464="Rehabilitation",$B464="Unrestricted",NOT($B464="N/A-CS"),NOT($N464="Common Space")),$E464,"")</f>
        <v/>
      </c>
      <c r="IZ464" s="251" t="str">
        <f t="shared" ref="IZ464:IZ510" si="239">IF(AND($C464=1, $P464="Rehabilitation",$B464="Unrestricted",NOT($B464="N/A-CS"),NOT($N464="Common Space")),$E464,"")</f>
        <v/>
      </c>
      <c r="JA464" s="251" t="str">
        <f t="shared" ref="JA464:JA510" si="240">IF(AND($C464=2, $P464="Rehabilitation",$B464="Unrestricted",NOT($B464="N/A-CS"),NOT($N464="Common Space")),$E464,"")</f>
        <v/>
      </c>
      <c r="JB464" s="251" t="str">
        <f t="shared" ref="JB464:JB510" si="241">IF(AND($C464=3, $P464="Rehabilitation",$B464="Unrestricted",NOT($B464="N/A-CS"),NOT($N464="Common Space")),$E464,"")</f>
        <v/>
      </c>
      <c r="JC464" s="251" t="str">
        <f t="shared" ref="JC464:JC510" si="242">IF(AND($C464=4, $P464="Rehabilitation",$B464="Unrestricted",NOT($B464="N/A-CS"),NOT($N464="Common Space")),$E464,"")</f>
        <v/>
      </c>
      <c r="JD464" s="251" t="str">
        <f t="shared" ref="JD464:JD510" si="243">IF(AND($C464="Efficiency", $P464="Rehabilitation",$B464="N/A-CS",$N464="Common Space"),$E464,"")</f>
        <v/>
      </c>
      <c r="JE464" s="251" t="str">
        <f t="shared" ref="JE464:JE510" si="244">IF(AND($C464=1, $P464="Rehabilitation",$B464="N/A-CS",$N464="Common Space"),$E464,"")</f>
        <v/>
      </c>
      <c r="JF464" s="251" t="str">
        <f t="shared" ref="JF464:JF510" si="245">IF(AND($C464=2, $P464="Rehabilitation",$B464="N/A-CS",$N464="Common Space"),$E464,"")</f>
        <v/>
      </c>
      <c r="JG464" s="251" t="str">
        <f t="shared" ref="JG464:JG510" si="246">IF(AND($C464=3, $P464="Rehabilitation",$B464="N/A-CS",$N464="Common Space"),$E464,"")</f>
        <v/>
      </c>
      <c r="JH464" s="251" t="str">
        <f t="shared" ref="JH464:JH510" si="247">IF(AND($C464=4, $P464="Rehabilitation",$B464="N/A-CS",$N464="Common Space"),$E464,"")</f>
        <v/>
      </c>
      <c r="JI464" s="1297" t="str">
        <f t="shared" ref="JI464:JI510" si="248">IF(AND($C464="Efficiency", NOT(OR($O464="SF Detached",$O464="Mfd Home",$O464="Semi-Detached",$O464="Row House/TH"))),$E464,"")</f>
        <v/>
      </c>
      <c r="JJ464" s="1297" t="str">
        <f t="shared" ref="JJ464:JJ510" si="249">IF(AND($C464=1, NOT(OR($O464="SF Detached",$O464="Mfd Home",$O464="Semi-Detached",$O464="Row House/TH"))),$E464,"")</f>
        <v/>
      </c>
      <c r="JK464" s="1297" t="str">
        <f t="shared" ref="JK464:JK510" si="250">IF(AND($C464=2, NOT(OR($O464="SF Detached",$O464="Mfd Home",$O464="Semi-Detached",$O464="Row House/TH"))),$E464,"")</f>
        <v/>
      </c>
      <c r="JL464" s="1297" t="str">
        <f t="shared" ref="JL464:JL510" si="251">IF(AND($C464=3, NOT(OR($O464="SF Detached",$O464="Mfd Home",$O464="Semi-Detached",$O464="Row House/TH"))),$E464,"")</f>
        <v/>
      </c>
      <c r="JM464" s="1297" t="str">
        <f t="shared" ref="JM464:JM510" si="252">IF(AND($C464=4, NOT(OR($O464="SF Detached",$O464="Mfd Home",$O464="Semi-Detached",$O464="Row House/TH"))),$E464,"")</f>
        <v/>
      </c>
      <c r="JN464" s="1297" t="str">
        <f t="shared" ref="JN464:JN510" si="253">IF(AND($C464="Efficiency", $O464="SF Detached",NOT($Q464="Yes")),$E464,"")</f>
        <v/>
      </c>
      <c r="JO464" s="1297" t="str">
        <f t="shared" ref="JO464:JO510" si="254">IF(AND($C464=1, $O464="SF Detached",NOT($Q464="Yes")),$E464,"")</f>
        <v/>
      </c>
      <c r="JP464" s="1297" t="str">
        <f t="shared" ref="JP464:JP510" si="255">IF(AND($C464=2, $O464="SF Detached",NOT($Q464="Yes")),$E464,"")</f>
        <v/>
      </c>
      <c r="JQ464" s="1297" t="str">
        <f t="shared" ref="JQ464:JQ510" si="256">IF(AND($C464=3, $O464="SF Detached",NOT($Q464="Yes")),$E464,"")</f>
        <v/>
      </c>
      <c r="JR464" s="1297" t="str">
        <f t="shared" ref="JR464:JR510" si="257">IF(AND($C464=4, $O464="SF Detached",NOT($Q464="Yes")),$E464,"")</f>
        <v/>
      </c>
      <c r="JS464" s="1297" t="str">
        <f t="shared" ref="JS464:JS510" si="258">IF(AND($C464="Efficiency", $O464="SF Detached",$Q464="Yes"),$E464,"")</f>
        <v/>
      </c>
      <c r="JT464" s="1297" t="str">
        <f t="shared" ref="JT464:JT510" si="259">IF(AND($C464=1, $O464="SF Detached",$Q464="Yes"),$E464,"")</f>
        <v/>
      </c>
      <c r="JU464" s="1297" t="str">
        <f t="shared" ref="JU464:JU510" si="260">IF(AND($C464=2, $O464="SF Detached",$Q464="Yes"),$E464,"")</f>
        <v/>
      </c>
      <c r="JV464" s="1297" t="str">
        <f t="shared" ref="JV464:JV510" si="261">IF(AND($C464=3, $O464="SF Detached",$Q464="Yes"),$E464,"")</f>
        <v/>
      </c>
      <c r="JW464" s="1297" t="str">
        <f t="shared" ref="JW464:JW510" si="262">IF(AND($C464=4, $O464="SF Detached",$Q464="Yes"),$E464,"")</f>
        <v/>
      </c>
      <c r="JX464" s="1297" t="str">
        <f t="shared" ref="JX464:JX510" si="263">IF(AND($C464="Efficiency", $O464="Mfd Home",NOT($Q464="Yes")),$E464,"")</f>
        <v/>
      </c>
      <c r="JY464" s="1297" t="str">
        <f t="shared" ref="JY464:JY510" si="264">IF(AND($C464=1, $O464="Mfd Home",NOT($Q464="Yes")),$E464,"")</f>
        <v/>
      </c>
      <c r="JZ464" s="1297" t="str">
        <f t="shared" ref="JZ464:JZ510" si="265">IF(AND($C464=2, $O464="Mfd Home",NOT($Q464="Yes")),$E464,"")</f>
        <v/>
      </c>
      <c r="KA464" s="1297" t="str">
        <f t="shared" ref="KA464:KA510" si="266">IF(AND($C464=3, $O464="Mfd Home",NOT($Q464="Yes")),$E464,"")</f>
        <v/>
      </c>
      <c r="KB464" s="1297" t="str">
        <f t="shared" ref="KB464:KB510" si="267">IF(AND($C464=4, $O464="Mfd Home",NOT($Q464="Yes")),$E464,"")</f>
        <v/>
      </c>
      <c r="KC464" s="1297" t="str">
        <f t="shared" ref="KC464:KC510" si="268">IF(AND($C464="Efficiency", $O464="Mfd Home",$Q464="Yes"),$E464,"")</f>
        <v/>
      </c>
      <c r="KD464" s="1297" t="str">
        <f t="shared" ref="KD464:KD510" si="269">IF(AND($C464=1, $O464="Mfd Home",$Q464="Yes"),$E464,"")</f>
        <v/>
      </c>
      <c r="KE464" s="1297" t="str">
        <f t="shared" ref="KE464:KE510" si="270">IF(AND($C464=2, $O464="Mfd Home",$Q464="Yes"),$E464,"")</f>
        <v/>
      </c>
      <c r="KF464" s="1297" t="str">
        <f t="shared" ref="KF464:KF510" si="271">IF(AND($C464=3, $O464="Mfd Home",$Q464="Yes"),$E464,"")</f>
        <v/>
      </c>
      <c r="KG464" s="1297" t="str">
        <f t="shared" ref="KG464:KG510" si="272">IF(AND($C464=4, $O464="Mfd Home",$Q464="Yes"),$E464,"")</f>
        <v/>
      </c>
      <c r="KH464" s="1297" t="str">
        <f t="shared" ref="KH464:KH510" si="273">IF(AND($C464="Efficiency", $O464="Semi-Detached",NOT($Q464="Yes")),$E464,"")</f>
        <v/>
      </c>
      <c r="KI464" s="1297" t="str">
        <f t="shared" ref="KI464:KI510" si="274">IF(AND($C464=1, $O464="Semi-Detached",NOT($Q464="Yes")),$E464,"")</f>
        <v/>
      </c>
      <c r="KJ464" s="1297" t="str">
        <f t="shared" ref="KJ464:KJ510" si="275">IF(AND($C464=2, $O464="Semi-Detached",NOT($Q464="Yes")),$E464,"")</f>
        <v/>
      </c>
      <c r="KK464" s="1297" t="str">
        <f t="shared" ref="KK464:KK510" si="276">IF(AND($C464=3, $O464="Semi-Detached",NOT($Q464="Yes")),$E464,"")</f>
        <v/>
      </c>
      <c r="KL464" s="1297" t="str">
        <f t="shared" ref="KL464:KL510" si="277">IF(AND($C464=4, $O464="Semi-Detached",NOT($Q464="Yes")),$E464,"")</f>
        <v/>
      </c>
      <c r="KM464" s="1297" t="str">
        <f t="shared" ref="KM464:KM510" si="278">IF(AND($C464="Efficiency", $O464="Semi-Detached",$Q464="Yes"),$E464,"")</f>
        <v/>
      </c>
      <c r="KN464" s="1297" t="str">
        <f t="shared" ref="KN464:KN510" si="279">IF(AND($C464=1, $O464="Semi-Detached",$Q464="Yes"),$E464,"")</f>
        <v/>
      </c>
      <c r="KO464" s="1297" t="str">
        <f t="shared" ref="KO464:KO510" si="280">IF(AND($C464=2, $O464="Semi-Detached",$Q464="Yes"),$E464,"")</f>
        <v/>
      </c>
      <c r="KP464" s="1297" t="str">
        <f t="shared" ref="KP464:KP510" si="281">IF(AND($C464=3, $O464="Semi-Detached",$Q464="Yes"),$E464,"")</f>
        <v/>
      </c>
      <c r="KQ464" s="1297" t="str">
        <f t="shared" ref="KQ464:KQ510" si="282">IF(AND($C464=4, $O464="Semi-Detached",$Q464="Yes"),$E464,"")</f>
        <v/>
      </c>
      <c r="KR464" s="1297" t="str">
        <f t="shared" ref="KR464:KR510" si="283">IF(AND($C464="Efficiency", $O464="Row House/TH",NOT($Q464="Yes")),$E464,"")</f>
        <v/>
      </c>
      <c r="KS464" s="1297" t="str">
        <f t="shared" ref="KS464:KS510" si="284">IF(AND($C464=1, $O464="Row House/TH",NOT($Q464="Yes")),$E464,"")</f>
        <v/>
      </c>
      <c r="KT464" s="1297" t="str">
        <f t="shared" ref="KT464:KT510" si="285">IF(AND($C464=2, $O464="Row House/TH",NOT($Q464="Yes")),$E464,"")</f>
        <v/>
      </c>
      <c r="KU464" s="1297" t="str">
        <f t="shared" ref="KU464:KU510" si="286">IF(AND($C464=3, $O464="Row House/TH",NOT($Q464="Yes")),$E464,"")</f>
        <v/>
      </c>
      <c r="KV464" s="1297" t="str">
        <f t="shared" ref="KV464:KV510" si="287">IF(AND($C464=4, $O464="Row House/TH",NOT($Q464="Yes")),$E464,"")</f>
        <v/>
      </c>
      <c r="KW464" s="1297" t="str">
        <f t="shared" ref="KW464:KW510" si="288">IF(AND($C464="Efficiency", $O464="Row House/TH",$Q464="Yes"),$E464,"")</f>
        <v/>
      </c>
      <c r="KX464" s="1297" t="str">
        <f t="shared" ref="KX464:KX510" si="289">IF(AND($C464=1, $O464="Row House/TH",$Q464="Yes"),$E464,"")</f>
        <v/>
      </c>
      <c r="KY464" s="1297" t="str">
        <f t="shared" ref="KY464:KY510" si="290">IF(AND($C464=2, $O464="Row House/TH",$Q464="Yes"),$E464,"")</f>
        <v/>
      </c>
      <c r="KZ464" s="1297" t="str">
        <f t="shared" ref="KZ464:KZ510" si="291">IF(AND($C464=3, $O464="Row House/TH",$Q464="Yes"),$E464,"")</f>
        <v/>
      </c>
      <c r="LA464" s="1297" t="str">
        <f t="shared" ref="LA464:LA510" si="292">IF(AND($C464=4, $O464="Row House/TH",$Q464="Yes"),$E464,"")</f>
        <v/>
      </c>
      <c r="LB464" s="1297" t="str">
        <f t="shared" ref="LB464:LB510" si="293">IF(AND($C464="Efficiency", $O464="Low-Rise Apt",NOT($Q464="Yes")),$E464,"")</f>
        <v/>
      </c>
      <c r="LC464" s="1297" t="str">
        <f t="shared" ref="LC464:LC510" si="294">IF(AND($C464=1, $O464="Low-Rise Apt",NOT($Q464="Yes")),$E464,"")</f>
        <v/>
      </c>
      <c r="LD464" s="1297" t="str">
        <f t="shared" ref="LD464:LD510" si="295">IF(AND($C464=2, $O464="Low-Rise Apt",NOT($Q464="Yes")),$E464,"")</f>
        <v/>
      </c>
      <c r="LE464" s="1297" t="str">
        <f t="shared" ref="LE464:LE510" si="296">IF(AND($C464=3, $O464="Low-Rise Apt",NOT($Q464="Yes")),$E464,"")</f>
        <v/>
      </c>
      <c r="LF464" s="1297" t="str">
        <f t="shared" ref="LF464:LF510" si="297">IF(AND($C464=4, $O464="Low-Rise Apt",NOT($Q464="Yes")),$E464,"")</f>
        <v/>
      </c>
      <c r="LG464" s="1297" t="str">
        <f t="shared" ref="LG464:LG510" si="298">IF(AND($C464="Efficiency", $O464="Low-Rise Elevator",NOT($Q464="Yes")),$E464,"")</f>
        <v/>
      </c>
      <c r="LH464" s="1297" t="str">
        <f t="shared" ref="LH464:LH510" si="299">IF(AND($C464=1, $O464="Low-Rise Elevator",NOT($Q464="Yes")),$E464,"")</f>
        <v/>
      </c>
      <c r="LI464" s="1297" t="str">
        <f t="shared" ref="LI464:LI510" si="300">IF(AND($C464=2, $O464="Low-Rise Elevator",NOT($Q464="Yes")),$E464,"")</f>
        <v/>
      </c>
      <c r="LJ464" s="1297" t="str">
        <f t="shared" ref="LJ464:LJ510" si="301">IF(AND($C464=3, $O464="Low-Rise Elevator",NOT($Q464="Yes")),$E464,"")</f>
        <v/>
      </c>
      <c r="LK464" s="1297" t="str">
        <f t="shared" ref="LK464:LK510" si="302">IF(AND($C464=4, $O464="Low-Rise Elevator",NOT($Q464="Yes")),$E464,"")</f>
        <v/>
      </c>
      <c r="LL464" s="1297" t="str">
        <f t="shared" ref="LL464:LL510" si="303">IF(AND($C464="Efficiency", $O464="Low-Rise Apt",$Q464="Yes"),$E464,"")</f>
        <v/>
      </c>
      <c r="LM464" s="1297" t="str">
        <f t="shared" ref="LM464:LM510" si="304">IF(AND($C464=1, $O464="Low-Rise Apt",$Q464="Yes"),$E464,"")</f>
        <v/>
      </c>
      <c r="LN464" s="1297" t="str">
        <f t="shared" ref="LN464:LN510" si="305">IF(AND($C464=2, $O464="Low-Rise Apt",$Q464="Yes"),$E464,"")</f>
        <v/>
      </c>
      <c r="LO464" s="1297" t="str">
        <f t="shared" ref="LO464:LO510" si="306">IF(AND($C464=3, $O464="Low-Rise Apt",$Q464="Yes"),$E464,"")</f>
        <v/>
      </c>
      <c r="LP464" s="1297" t="str">
        <f t="shared" ref="LP464:LP510" si="307">IF(AND($C464=4, $O464="Low-Rise Apt",$Q464="Yes"),$E464,"")</f>
        <v/>
      </c>
      <c r="LQ464" s="1297" t="str">
        <f t="shared" ref="LQ464:LQ510" si="308">IF(AND($C464="Efficiency", $O464="Low-Rise Elevator",$Q464="Yes"),$E464,"")</f>
        <v/>
      </c>
      <c r="LR464" s="1297" t="str">
        <f t="shared" ref="LR464:LR510" si="309">IF(AND($C464=1, $O464="Low-Rise Elevator",$Q464="Yes"),$E464,"")</f>
        <v/>
      </c>
      <c r="LS464" s="1297" t="str">
        <f t="shared" ref="LS464:LS510" si="310">IF(AND($C464=2, $O464="Low-Rise Elevator",$Q464="Yes"),$E464,"")</f>
        <v/>
      </c>
      <c r="LT464" s="1297" t="str">
        <f t="shared" ref="LT464:LT510" si="311">IF(AND($C464=3, $O464="Low-Rise Elevator",$Q464="Yes"),$E464,"")</f>
        <v/>
      </c>
      <c r="LU464" s="1297" t="str">
        <f t="shared" ref="LU464:LU510" si="312">IF(AND($C464=4, $O464="Low-Rise Elevator",$Q464="Yes"),$E464,"")</f>
        <v/>
      </c>
      <c r="LV464" s="1297" t="str">
        <f t="shared" ref="LV464:LV510" si="313">IF(AND($C464="Efficiency", $O464="High-Rise Apt",NOT($Q464="Yes")),$E464,"")</f>
        <v/>
      </c>
      <c r="LW464" s="1297" t="str">
        <f t="shared" ref="LW464:LW510" si="314">IF(AND($C464=1, $O464="High-Rise Apt",NOT($Q464="Yes")),$E464,"")</f>
        <v/>
      </c>
      <c r="LX464" s="1297" t="str">
        <f t="shared" ref="LX464:LX510" si="315">IF(AND($C464=2, $O464="High-Rise Apt",NOT($Q464="Yes")),$E464,"")</f>
        <v/>
      </c>
      <c r="LY464" s="1297" t="str">
        <f t="shared" ref="LY464:LY510" si="316">IF(AND($C464=3, $O464="High-Rise Apt",NOT($Q464="Yes")),$E464,"")</f>
        <v/>
      </c>
      <c r="LZ464" s="1297" t="str">
        <f t="shared" ref="LZ464:LZ510" si="317">IF(AND($C464=4, $O464="High-Rise Apt",NOT($Q464="Yes")),$E464,"")</f>
        <v/>
      </c>
      <c r="MA464" s="1297" t="str">
        <f t="shared" ref="MA464:MA510" si="318">IF(AND($C464="Efficiency", $O464="High-Rise Elevator",NOT($Q464="Yes")),$E464,"")</f>
        <v/>
      </c>
      <c r="MB464" s="1297" t="str">
        <f t="shared" ref="MB464:MB510" si="319">IF(AND($C464=1, $O464="High-Rise Elevator",NOT($Q464="Yes")),$E464,"")</f>
        <v/>
      </c>
      <c r="MC464" s="1297" t="str">
        <f t="shared" ref="MC464:MC510" si="320">IF(AND($C464=2, $O464="High-Rise Elevator",NOT($Q464="Yes")),$E464,"")</f>
        <v/>
      </c>
      <c r="MD464" s="1297" t="str">
        <f t="shared" ref="MD464:MD510" si="321">IF(AND($C464=3, $O464="High-Rise Elevator",NOT($Q464="Yes")),$E464,"")</f>
        <v/>
      </c>
      <c r="ME464" s="1297" t="str">
        <f t="shared" ref="ME464:ME510" si="322">IF(AND($C464=4, $O464="High-Rise Elevator",NOT($Q464="Yes")),$E464,"")</f>
        <v/>
      </c>
      <c r="MF464" s="1297" t="str">
        <f t="shared" ref="MF464:MF510" si="323">IF(AND($C464="Efficiency", $O464="High-Rise Apt",$Q464="Yes"),$E464,"")</f>
        <v/>
      </c>
      <c r="MG464" s="1297" t="str">
        <f t="shared" ref="MG464:MG510" si="324">IF(AND($C464=1, $O464="High-Rise Apt",$Q464="Yes"),$E464,"")</f>
        <v/>
      </c>
      <c r="MH464" s="1297" t="str">
        <f t="shared" ref="MH464:MH510" si="325">IF(AND($C464=2, $O464="High-Rise Apt",$Q464="Yes"),$E464,"")</f>
        <v/>
      </c>
      <c r="MI464" s="1297" t="str">
        <f t="shared" ref="MI464:MI510" si="326">IF(AND($C464=3, $O464="High-Rise Apt",$Q464="Yes"),$E464,"")</f>
        <v/>
      </c>
      <c r="MJ464" s="1297" t="str">
        <f t="shared" ref="MJ464:MJ510" si="327">IF(AND($C464=4, $O464="High-Rise Apt",$Q464="Yes"),$E464,"")</f>
        <v/>
      </c>
      <c r="MK464" s="1297" t="str">
        <f t="shared" ref="MK464:MK510" si="328">IF(AND($C464="Efficiency", $O464="High-Rise Elevator",$Q464="Yes"),$E464,"")</f>
        <v/>
      </c>
      <c r="ML464" s="1297" t="str">
        <f t="shared" ref="ML464:ML510" si="329">IF(AND($C464=1, $O464="High-Rise Elevator",$Q464="Yes"),$E464,"")</f>
        <v/>
      </c>
      <c r="MM464" s="1297" t="str">
        <f t="shared" ref="MM464:MM510" si="330">IF(AND($C464=2, $O464="High-Rise Elevator",$Q464="Yes"),$E464,"")</f>
        <v/>
      </c>
      <c r="MN464" s="1297" t="str">
        <f t="shared" ref="MN464:MN510" si="331">IF(AND($C464=3, $O464="High-Rise Elevator",$Q464="Yes"),$E464,"")</f>
        <v/>
      </c>
      <c r="MO464" s="1297" t="str">
        <f t="shared" ref="MO464:MO510" si="332">IF(AND($C464=4, $O464="High-Rise Elevator",$Q464="Yes"),$E464,"")</f>
        <v/>
      </c>
      <c r="MP464" s="1773" t="str">
        <f t="shared" ref="MP464:MP510" si="333">IF(AND($B464="NSP 120% AMI",$C464="Efficiency", NOT($N464="Common Space")),$E464,"")</f>
        <v/>
      </c>
      <c r="MQ464" s="1773" t="str">
        <f t="shared" ref="MQ464:MQ510" si="334">IF(AND($B464="NSP 120% AMI",$C464=1,NOT($N464="Common Space")),$E464,"")</f>
        <v/>
      </c>
      <c r="MR464" s="1773" t="str">
        <f t="shared" ref="MR464:MR510" si="335">IF(AND($B464="NSP 120% AMI",$C464=2,NOT($N464="Common Space")),$E464,"")</f>
        <v/>
      </c>
      <c r="MS464" s="1773" t="str">
        <f t="shared" ref="MS464:MS510" si="336">IF(AND($B464="NSP 120% AMI",$C464=3,NOT($N464="Common Space")),$E464,"")</f>
        <v/>
      </c>
      <c r="MT464" s="1773" t="str">
        <f t="shared" ref="MT464:MT510" si="337">IF(AND($B464="NSP 120% AMI",$C464=4,NOT($N464="Common Space")),$E464,"")</f>
        <v/>
      </c>
      <c r="MU464" s="251" t="str">
        <f t="shared" ref="MU464:MU510" si="338">IF(AND(C464="Efficiency",B464="NSP 120% AMI",NOT(N464="Common Space")),E464*F464,"")</f>
        <v/>
      </c>
      <c r="MV464" s="251" t="str">
        <f t="shared" ref="MV464:MV510" si="339">IF(AND(C464=1,B464="NSP 120% AMI",NOT(N464="Common Space")),E464*F464,"")</f>
        <v/>
      </c>
      <c r="MW464" s="251" t="str">
        <f t="shared" ref="MW464:MW510" si="340">IF(AND(C464=2,B464="NSP 120% AMI",NOT(N464="Common Space")),E464*F464,"")</f>
        <v/>
      </c>
      <c r="MX464" s="251" t="str">
        <f t="shared" ref="MX464:MX510" si="341">IF(AND(C464=3,B464="NSP 120% AMI",NOT(N464="Common Space")),E464*F464,"")</f>
        <v/>
      </c>
      <c r="MY464" s="251" t="str">
        <f t="shared" ref="MY464:MY510" si="342">IF(AND(C464=4,B464="NSP 120% AMI",NOT(N464="Common Space")),E464*F464,"")</f>
        <v/>
      </c>
      <c r="MZ464" s="251" t="str">
        <f t="shared" ref="MZ464:MZ510" si="343">IF(AND($C464="Efficiency", $P464="New Construction",$B464="NSP 120% AMI",NOT($N464="Common Space")),$E464,"")</f>
        <v/>
      </c>
      <c r="NA464" s="251" t="str">
        <f t="shared" ref="NA464:NA510" si="344">IF(AND($C464=1, $P464="New Construction",$B464="NSP 120% AMI",NOT($N464="Common Space")),$E464,"")</f>
        <v/>
      </c>
      <c r="NB464" s="251" t="str">
        <f t="shared" ref="NB464:NB510" si="345">IF(AND($C464=2, $P464="New Construction",$B464="NSP 120% AMI",NOT($N464="Common Space")),$E464,"")</f>
        <v/>
      </c>
      <c r="NC464" s="251" t="str">
        <f t="shared" ref="NC464:NC510" si="346">IF(AND($C464=3, $P464="New Construction",$B464="NSP 120% AMI",NOT($N464="Common Space")),$E464,"")</f>
        <v/>
      </c>
      <c r="ND464" s="251" t="str">
        <f t="shared" ref="ND464:ND510" si="347">IF(AND($C464=4, $P464="New Construction",$B464="NSP 120% AMI",NOT($N464="Common Space")),$E464,"")</f>
        <v/>
      </c>
      <c r="NE464" s="251" t="str">
        <f t="shared" ref="NE464:NE510" si="348">IF(AND($C464="Efficiency", $P464="Acquisition/Rehab",$B464="NSP 120% AMI",NOT($N464="Common Space")),$E464,"")</f>
        <v/>
      </c>
      <c r="NF464" s="251" t="str">
        <f t="shared" ref="NF464:NF510" si="349">IF(AND($C464=1, $P464="Acquisition/Rehab",$B464="NSP 120% AMI",NOT($N464="Common Space")),$E464,"")</f>
        <v/>
      </c>
      <c r="NG464" s="251" t="str">
        <f t="shared" ref="NG464:NG510" si="350">IF(AND($C464=2, $P464="Acquisition/Rehab",$B464="NSP 120% AMI",NOT($N464="Common Space")),$E464,"")</f>
        <v/>
      </c>
      <c r="NH464" s="251" t="str">
        <f t="shared" ref="NH464:NH510" si="351">IF(AND($C464=3, $P464="Acquisition/Rehab",$B464="NSP 120% AMI",NOT($N464="Common Space")),$E464,"")</f>
        <v/>
      </c>
      <c r="NI464" s="251" t="str">
        <f t="shared" ref="NI464:NI510" si="352">IF(AND($C464=4, $P464="Acquisition/Rehab",$B464="NSP 120% AMI",NOT($N464="Common Space")),$E464,"")</f>
        <v/>
      </c>
      <c r="NJ464" s="251" t="str">
        <f t="shared" ref="NJ464:NJ510" si="353">IF(AND($C464="Efficiency", $P464="Rehabilitation",$B464="NSP 120% AMI",NOT($N464="Common Space")),$E464,"")</f>
        <v/>
      </c>
      <c r="NK464" s="251" t="str">
        <f t="shared" ref="NK464:NK510" si="354">IF(AND($C464=1, $P464="Rehabilitation",$B464="NSP 120% AMI",NOT($N464="Common Space")),$E464,"")</f>
        <v/>
      </c>
      <c r="NL464" s="251" t="str">
        <f t="shared" ref="NL464:NL510" si="355">IF(AND($C464=2, $P464="Rehabilitation",$B464="NSP 120% AMI",NOT($N464="Common Space")),$E464,"")</f>
        <v/>
      </c>
      <c r="NM464" s="251" t="str">
        <f t="shared" ref="NM464:NM510" si="356">IF(AND($C464=3, $P464="Rehabilitation",$B464="NSP 120% AMI",NOT($N464="Common Space")),$E464,"")</f>
        <v/>
      </c>
      <c r="NN464" s="251" t="str">
        <f t="shared" ref="NN464:NN510" si="357">IF(AND($C464=4, $P464="Rehabilitation",$B464="NSP 120% AMI",NOT($N464="Common Space")),$E464,"")</f>
        <v/>
      </c>
      <c r="NO464" s="1185">
        <f t="shared" ref="NO464:NO510" si="358">IF(AND($C464="Efficiency",$E464&gt;0,OR($O464="Low-Rise Apt",$O464="Low-Rise Elevator",$O464="High-Rise Apt",$O464="High-Rise Elevator",$O464="Row House/TH"),OR($P464="Acquisition/Rehab",$P464="Rehabilitation"),NOT($Q464="Yes")),$E464,0)</f>
        <v>0</v>
      </c>
      <c r="NP464" s="1185">
        <f t="shared" ref="NP464:NP510" si="359">IF(AND($C464=1,$E464&gt;0,OR($O464="Low-Rise Apt",$O464="Low-Rise Elevator",$O464="High-Rise Apt",$O464="High-Rise Elevator",$O464="Row House/TH"),OR($P464="Acquisition/Rehab",$P464="Rehabilitation"),NOT($Q464="Yes")),$E464,0)</f>
        <v>0</v>
      </c>
      <c r="NQ464" s="1185">
        <f t="shared" ref="NQ464:NQ510" si="360">IF(AND($C464=2,$E464&gt;0,OR($O464="Low-Rise Apt",$O464="Low-Rise Elevator",$O464="High-Rise Apt",$O464="High-Rise Elevator",$O464="Row House/TH"),OR($P464="Acquisition/Rehab",$P464="Rehabilitation"),NOT($Q464="Yes")),$E464,0)</f>
        <v>0</v>
      </c>
      <c r="NR464" s="1185">
        <f t="shared" ref="NR464:NR510" si="361">IF(AND($C464=3,$E464&gt;0,OR($O464="Low-Rise Apt",$O464="Low-Rise Elevator",$O464="High-Rise Apt",$O464="High-Rise Elevator",$O464="Row House/TH"),OR($P464="Acquisition/Rehab",$P464="Rehabilitation"),NOT($Q464="Yes")),$E464,0)</f>
        <v>0</v>
      </c>
      <c r="NS464" s="1185">
        <f t="shared" ref="NS464:NS510" si="362">IF(AND($C464=4,$E464&gt;0,OR($O464="Low-Rise Apt",$O464="Low-Rise Elevator",$O464="High-Rise Apt",$O464="High-Rise Elevator",$O464="Row House/TH"),OR($P464="Acquisition/Rehab",$P464="Rehabilitation"),NOT($Q464="Yes")),$E464,0)</f>
        <v>0</v>
      </c>
      <c r="NT464" s="1185">
        <f>IF(AND($C464="Efficiency",$E464&gt;0,OR($O464="Low-Rise Apt",$O464="Low-Rise Elevator",$O464="High-Rise Apt",$O464="High-Rise Elevator",$O464="Row House/TH"),$P464="New Construction"),$E464,0)</f>
        <v>0</v>
      </c>
      <c r="NU464" s="1185">
        <f>IF(AND($C464=1,$E464&gt;0,OR($O464="Low-Rise Apt",$O464="Low-Rise Elevator",$O464="High-Rise Apt",$O464="High-Rise Elevator",$O464="Row House/TH"),$P464="New Construction"),$E464,0)</f>
        <v>0</v>
      </c>
      <c r="NV464" s="1185">
        <f>IF(AND($C464=2,$E464&gt;0,OR($O464="Low-Rise Apt",$O464="Low-Rise Elevator",$O464="High-Rise Apt",$O464="High-Rise Elevator",$O464="Row House/TH"),$P464="New Construction"),$E464,0)</f>
        <v>0</v>
      </c>
      <c r="NW464" s="1185">
        <f>IF(AND($C464=3,$E464&gt;0,OR($O464="Low-Rise Apt",$O464="Low-Rise Elevator",$O464="High-Rise Apt",$O464="High-Rise Elevator",$O464="Row House/TH"),$P464="New Construction"),$E464,0)</f>
        <v>0</v>
      </c>
      <c r="NX464" s="1185">
        <f>IF(AND($C464=4,$E464&gt;0,OR($O464="Low-Rise Apt",$O464="Low-Rise Elevator",$O464="High-Rise Apt",$O464="High-Rise Elevator",$O464="Row House/TH"),$P464="New Construction"),$E464,0)</f>
        <v>0</v>
      </c>
      <c r="NY464" s="1185">
        <f t="shared" ref="NY464:NY510" si="363">IF(AND($C464="Efficiency",$E464&gt;0,OR($O464="SF Detached",$O464="Semi-Detached",$O464="Mfd Home"),NOT($Q464="Yes")),$E464,0)</f>
        <v>0</v>
      </c>
      <c r="NZ464" s="1185">
        <f t="shared" ref="NZ464:NZ510" si="364">IF(AND($C464=1,$E464&gt;0,OR($O464="SF Detached",$O464="Semi-Detached",$O464="Mfd Home"),NOT($Q464="Yes")),$E464,0)</f>
        <v>0</v>
      </c>
      <c r="OA464" s="1185">
        <f t="shared" ref="OA464:OA510" si="365">IF(AND($C464=2,$E464&gt;0,OR($O464="SF Detached",$O464="Semi-Detached",$O464="Mfd Home"),NOT($Q464="Yes")),$E464,0)</f>
        <v>0</v>
      </c>
      <c r="OB464" s="1185">
        <f t="shared" ref="OB464:OB510" si="366">IF(AND($C464=3,$E464&gt;0,OR($O464="SF Detached",$O464="Semi-Detached",$O464="Mfd Home"),NOT($Q464="Yes")),$E464,0)</f>
        <v>0</v>
      </c>
      <c r="OC464" s="1185">
        <f t="shared" ref="OC464:OC510" si="367">IF(AND($C464=4,$E464&gt;0,OR($O464="SF Detached",$O464="Semi-Detached",$O464="Mfd Home"),NOT($Q464="Yes")),$E464,0)</f>
        <v>0</v>
      </c>
      <c r="OY464" s="251" t="s">
        <v>1158</v>
      </c>
      <c r="OZ464" s="1185">
        <v>11</v>
      </c>
    </row>
    <row r="465" spans="1:416" ht="12" customHeight="1">
      <c r="A465" s="1979" t="str">
        <f t="shared" si="0"/>
        <v/>
      </c>
      <c r="B465" s="1998" t="str">
        <f>'Part V-Revenues &amp; Expenses'!B12</f>
        <v>N/A-CS</v>
      </c>
      <c r="C465" s="1999">
        <f>'Part V-Revenues &amp; Expenses'!C12</f>
        <v>0</v>
      </c>
      <c r="D465" s="2000">
        <f>'Part V-Revenues &amp; Expenses'!D12</f>
        <v>0</v>
      </c>
      <c r="E465" s="2001">
        <f>'Part V-Revenues &amp; Expenses'!E12</f>
        <v>0</v>
      </c>
      <c r="F465" s="2001">
        <f>'Part V-Revenues &amp; Expenses'!F12</f>
        <v>0</v>
      </c>
      <c r="G465" s="2001">
        <f>'Part V-Revenues &amp; Expenses'!G12</f>
        <v>0</v>
      </c>
      <c r="H465" s="2001">
        <f>'Part V-Revenues &amp; Expenses'!H12</f>
        <v>0</v>
      </c>
      <c r="I465" s="2001">
        <f>'Part V-Revenues &amp; Expenses'!I12</f>
        <v>0</v>
      </c>
      <c r="J465" s="2001">
        <f>'Part V-Revenues &amp; Expenses'!J12</f>
        <v>0</v>
      </c>
      <c r="K465" s="2002">
        <f>'Part V-Revenues &amp; Expenses'!K12</f>
        <v>0</v>
      </c>
      <c r="L465" s="2003">
        <f t="shared" si="1"/>
        <v>0</v>
      </c>
      <c r="M465" s="2003">
        <f t="shared" si="2"/>
        <v>0</v>
      </c>
      <c r="N465" s="1853">
        <f>'Part V-Revenues &amp; Expenses'!N12</f>
        <v>0</v>
      </c>
      <c r="O465" s="899">
        <f>'Part V-Revenues &amp; Expenses'!O12</f>
        <v>0</v>
      </c>
      <c r="P465" s="1853">
        <f>'Part V-Revenues &amp; Expenses'!P12</f>
        <v>0</v>
      </c>
      <c r="Q465" s="1772">
        <f>'Part V-Revenues &amp; Expenses'!Q12</f>
        <v>0</v>
      </c>
      <c r="R465" s="2004"/>
      <c r="S465" s="2005"/>
      <c r="T465" s="1920"/>
      <c r="U465" s="1920"/>
      <c r="V465" s="1920"/>
      <c r="W465" s="1920"/>
      <c r="X465" s="251" t="str">
        <f t="shared" si="3"/>
        <v/>
      </c>
      <c r="Y465" s="251" t="str">
        <f t="shared" si="4"/>
        <v/>
      </c>
      <c r="Z465" s="251" t="str">
        <f t="shared" si="5"/>
        <v/>
      </c>
      <c r="AA465" s="251" t="str">
        <f t="shared" si="6"/>
        <v/>
      </c>
      <c r="AB465" s="251" t="str">
        <f t="shared" si="7"/>
        <v/>
      </c>
      <c r="AC465" s="251" t="str">
        <f t="shared" si="8"/>
        <v/>
      </c>
      <c r="AD465" s="251" t="str">
        <f t="shared" si="9"/>
        <v/>
      </c>
      <c r="AE465" s="251" t="str">
        <f t="shared" si="10"/>
        <v/>
      </c>
      <c r="AF465" s="251" t="str">
        <f t="shared" si="11"/>
        <v/>
      </c>
      <c r="AG465" s="251" t="str">
        <f t="shared" si="12"/>
        <v/>
      </c>
      <c r="AH465" s="251" t="str">
        <f t="shared" si="13"/>
        <v/>
      </c>
      <c r="AI465" s="251" t="str">
        <f t="shared" si="14"/>
        <v/>
      </c>
      <c r="AJ465" s="251" t="str">
        <f t="shared" si="15"/>
        <v/>
      </c>
      <c r="AK465" s="251" t="str">
        <f t="shared" si="16"/>
        <v/>
      </c>
      <c r="AL465" s="251" t="str">
        <f t="shared" si="17"/>
        <v/>
      </c>
      <c r="AM465" s="251" t="str">
        <f t="shared" si="18"/>
        <v/>
      </c>
      <c r="AN465" s="251" t="str">
        <f t="shared" si="19"/>
        <v/>
      </c>
      <c r="AO465" s="251" t="str">
        <f t="shared" si="20"/>
        <v/>
      </c>
      <c r="AP465" s="251" t="str">
        <f t="shared" si="21"/>
        <v/>
      </c>
      <c r="AQ465" s="251" t="str">
        <f t="shared" si="22"/>
        <v/>
      </c>
      <c r="AR465" s="251" t="str">
        <f t="shared" si="23"/>
        <v/>
      </c>
      <c r="AS465" s="251" t="str">
        <f t="shared" si="24"/>
        <v/>
      </c>
      <c r="AT465" s="251" t="str">
        <f t="shared" si="25"/>
        <v/>
      </c>
      <c r="AU465" s="251" t="str">
        <f t="shared" si="26"/>
        <v/>
      </c>
      <c r="AV465" s="251" t="str">
        <f t="shared" si="27"/>
        <v/>
      </c>
      <c r="AW465" s="251" t="str">
        <f t="shared" si="28"/>
        <v/>
      </c>
      <c r="AX465" s="251" t="str">
        <f t="shared" si="29"/>
        <v/>
      </c>
      <c r="AY465" s="251" t="str">
        <f t="shared" si="30"/>
        <v/>
      </c>
      <c r="AZ465" s="251" t="str">
        <f t="shared" si="31"/>
        <v/>
      </c>
      <c r="BA465" s="251" t="str">
        <f t="shared" si="32"/>
        <v/>
      </c>
      <c r="BB465" s="251" t="str">
        <f t="shared" si="33"/>
        <v/>
      </c>
      <c r="BC465" s="251" t="str">
        <f t="shared" si="34"/>
        <v/>
      </c>
      <c r="BD465" s="251" t="str">
        <f t="shared" si="35"/>
        <v/>
      </c>
      <c r="BE465" s="251" t="str">
        <f t="shared" si="36"/>
        <v/>
      </c>
      <c r="BF465" s="251" t="str">
        <f t="shared" si="37"/>
        <v/>
      </c>
      <c r="BG465" s="251" t="str">
        <f t="shared" si="38"/>
        <v/>
      </c>
      <c r="BH465" s="251" t="str">
        <f t="shared" si="39"/>
        <v/>
      </c>
      <c r="BI465" s="251" t="str">
        <f t="shared" si="40"/>
        <v/>
      </c>
      <c r="BJ465" s="251" t="str">
        <f t="shared" si="41"/>
        <v/>
      </c>
      <c r="BK465" s="251" t="str">
        <f t="shared" si="42"/>
        <v/>
      </c>
      <c r="BL465" s="251" t="str">
        <f t="shared" si="43"/>
        <v/>
      </c>
      <c r="BM465" s="251" t="str">
        <f t="shared" si="44"/>
        <v/>
      </c>
      <c r="BN465" s="251" t="str">
        <f t="shared" si="45"/>
        <v/>
      </c>
      <c r="BO465" s="251" t="str">
        <f t="shared" si="46"/>
        <v/>
      </c>
      <c r="BP465" s="251" t="str">
        <f t="shared" si="47"/>
        <v/>
      </c>
      <c r="BQ465" s="251" t="str">
        <f t="shared" si="48"/>
        <v/>
      </c>
      <c r="BR465" s="251" t="str">
        <f t="shared" si="49"/>
        <v/>
      </c>
      <c r="BS465" s="251" t="str">
        <f t="shared" si="50"/>
        <v/>
      </c>
      <c r="BT465" s="251" t="str">
        <f t="shared" si="51"/>
        <v/>
      </c>
      <c r="BU465" s="251" t="str">
        <f t="shared" si="52"/>
        <v/>
      </c>
      <c r="BV465" s="251" t="str">
        <f t="shared" si="53"/>
        <v/>
      </c>
      <c r="BW465" s="251" t="str">
        <f t="shared" si="54"/>
        <v/>
      </c>
      <c r="BX465" s="251" t="str">
        <f t="shared" si="55"/>
        <v/>
      </c>
      <c r="BY465" s="251" t="str">
        <f t="shared" si="56"/>
        <v/>
      </c>
      <c r="BZ465" s="251" t="str">
        <f t="shared" si="57"/>
        <v/>
      </c>
      <c r="CA465" s="251" t="str">
        <f t="shared" si="58"/>
        <v/>
      </c>
      <c r="CB465" s="251" t="str">
        <f t="shared" si="59"/>
        <v/>
      </c>
      <c r="CC465" s="251" t="str">
        <f t="shared" si="60"/>
        <v/>
      </c>
      <c r="CD465" s="251" t="str">
        <f t="shared" si="61"/>
        <v/>
      </c>
      <c r="CE465" s="251" t="str">
        <f t="shared" si="62"/>
        <v/>
      </c>
      <c r="CF465" s="251" t="str">
        <f t="shared" si="63"/>
        <v/>
      </c>
      <c r="CG465" s="251" t="str">
        <f t="shared" si="64"/>
        <v/>
      </c>
      <c r="CH465" s="251" t="str">
        <f t="shared" si="65"/>
        <v/>
      </c>
      <c r="CI465" s="251" t="str">
        <f t="shared" si="66"/>
        <v/>
      </c>
      <c r="CJ465" s="251" t="str">
        <f t="shared" si="67"/>
        <v/>
      </c>
      <c r="CK465" s="251" t="str">
        <f t="shared" si="68"/>
        <v/>
      </c>
      <c r="CL465" s="251" t="str">
        <f t="shared" si="69"/>
        <v/>
      </c>
      <c r="CM465" s="251" t="str">
        <f t="shared" si="70"/>
        <v/>
      </c>
      <c r="CN465" s="251" t="str">
        <f t="shared" si="71"/>
        <v/>
      </c>
      <c r="CO465" s="251" t="str">
        <f t="shared" si="72"/>
        <v/>
      </c>
      <c r="CP465" s="251" t="str">
        <f t="shared" si="73"/>
        <v/>
      </c>
      <c r="CQ465" s="251" t="str">
        <f t="shared" si="74"/>
        <v/>
      </c>
      <c r="CR465" s="251" t="str">
        <f t="shared" si="75"/>
        <v/>
      </c>
      <c r="CS465" s="251" t="str">
        <f t="shared" si="76"/>
        <v/>
      </c>
      <c r="CT465" s="251" t="str">
        <f t="shared" si="77"/>
        <v/>
      </c>
      <c r="CU465" s="251" t="str">
        <f t="shared" si="78"/>
        <v/>
      </c>
      <c r="CV465" s="251" t="str">
        <f t="shared" si="79"/>
        <v/>
      </c>
      <c r="CW465" s="251" t="str">
        <f t="shared" si="80"/>
        <v/>
      </c>
      <c r="CX465" s="251" t="str">
        <f t="shared" si="81"/>
        <v/>
      </c>
      <c r="CY465" s="251" t="str">
        <f t="shared" si="82"/>
        <v/>
      </c>
      <c r="CZ465" s="251" t="str">
        <f t="shared" si="83"/>
        <v/>
      </c>
      <c r="DA465" s="251" t="str">
        <f t="shared" si="84"/>
        <v/>
      </c>
      <c r="DB465" s="251" t="str">
        <f t="shared" si="85"/>
        <v/>
      </c>
      <c r="DC465" s="251" t="str">
        <f t="shared" si="86"/>
        <v/>
      </c>
      <c r="DD465" s="251" t="str">
        <f t="shared" si="87"/>
        <v/>
      </c>
      <c r="DE465" s="251" t="str">
        <f t="shared" si="88"/>
        <v/>
      </c>
      <c r="DF465" s="251" t="str">
        <f t="shared" si="89"/>
        <v/>
      </c>
      <c r="DG465" s="251" t="str">
        <f t="shared" si="90"/>
        <v/>
      </c>
      <c r="DH465" s="251" t="str">
        <f t="shared" si="91"/>
        <v/>
      </c>
      <c r="DI465" s="251" t="str">
        <f t="shared" si="92"/>
        <v/>
      </c>
      <c r="DJ465" s="251" t="str">
        <f t="shared" si="93"/>
        <v/>
      </c>
      <c r="DK465" s="251" t="str">
        <f t="shared" si="94"/>
        <v/>
      </c>
      <c r="DL465" s="251" t="str">
        <f t="shared" si="95"/>
        <v/>
      </c>
      <c r="DM465" s="251" t="str">
        <f t="shared" si="96"/>
        <v/>
      </c>
      <c r="DN465" s="251" t="str">
        <f t="shared" si="97"/>
        <v/>
      </c>
      <c r="DO465" s="251" t="str">
        <f t="shared" si="98"/>
        <v/>
      </c>
      <c r="DP465" s="251" t="str">
        <f t="shared" si="99"/>
        <v/>
      </c>
      <c r="DQ465" s="251" t="str">
        <f t="shared" si="100"/>
        <v/>
      </c>
      <c r="DR465" s="251" t="str">
        <f t="shared" si="101"/>
        <v/>
      </c>
      <c r="DS465" s="251" t="str">
        <f t="shared" si="102"/>
        <v/>
      </c>
      <c r="DT465" s="251" t="str">
        <f t="shared" si="103"/>
        <v/>
      </c>
      <c r="DU465" s="251" t="str">
        <f t="shared" si="104"/>
        <v/>
      </c>
      <c r="DV465" s="251" t="str">
        <f t="shared" si="105"/>
        <v/>
      </c>
      <c r="DW465" s="251" t="str">
        <f t="shared" si="106"/>
        <v/>
      </c>
      <c r="DX465" s="251" t="str">
        <f t="shared" si="107"/>
        <v/>
      </c>
      <c r="DY465" s="251" t="str">
        <f t="shared" si="108"/>
        <v/>
      </c>
      <c r="DZ465" s="251" t="str">
        <f t="shared" si="109"/>
        <v/>
      </c>
      <c r="EA465" s="251" t="str">
        <f t="shared" si="110"/>
        <v/>
      </c>
      <c r="EB465" s="251" t="str">
        <f t="shared" si="111"/>
        <v/>
      </c>
      <c r="EC465" s="251" t="str">
        <f t="shared" si="112"/>
        <v/>
      </c>
      <c r="ED465" s="251" t="str">
        <f t="shared" si="113"/>
        <v/>
      </c>
      <c r="EE465" s="251" t="str">
        <f t="shared" si="114"/>
        <v/>
      </c>
      <c r="EF465" s="251" t="str">
        <f t="shared" si="115"/>
        <v/>
      </c>
      <c r="EG465" s="251" t="str">
        <f t="shared" si="116"/>
        <v/>
      </c>
      <c r="EH465" s="251" t="str">
        <f t="shared" si="117"/>
        <v/>
      </c>
      <c r="EI465" s="251" t="str">
        <f t="shared" si="118"/>
        <v/>
      </c>
      <c r="EJ465" s="251" t="str">
        <f t="shared" si="119"/>
        <v/>
      </c>
      <c r="EK465" s="251" t="str">
        <f t="shared" si="120"/>
        <v/>
      </c>
      <c r="EL465" s="251" t="str">
        <f t="shared" si="121"/>
        <v/>
      </c>
      <c r="EM465" s="251" t="str">
        <f t="shared" si="122"/>
        <v/>
      </c>
      <c r="EN465" s="251" t="str">
        <f t="shared" si="123"/>
        <v/>
      </c>
      <c r="EO465" s="251" t="str">
        <f t="shared" si="124"/>
        <v/>
      </c>
      <c r="EP465" s="251" t="str">
        <f t="shared" si="125"/>
        <v/>
      </c>
      <c r="EQ465" s="251" t="str">
        <f t="shared" si="126"/>
        <v/>
      </c>
      <c r="ER465" s="251" t="str">
        <f t="shared" si="127"/>
        <v/>
      </c>
      <c r="ES465" s="251" t="str">
        <f t="shared" si="128"/>
        <v/>
      </c>
      <c r="ET465" s="251" t="str">
        <f t="shared" si="129"/>
        <v/>
      </c>
      <c r="EU465" s="251" t="str">
        <f t="shared" si="130"/>
        <v/>
      </c>
      <c r="EV465" s="251" t="str">
        <f t="shared" si="131"/>
        <v/>
      </c>
      <c r="EW465" s="251" t="str">
        <f t="shared" si="132"/>
        <v/>
      </c>
      <c r="EX465" s="251" t="str">
        <f t="shared" si="133"/>
        <v/>
      </c>
      <c r="EY465" s="251" t="str">
        <f t="shared" si="134"/>
        <v/>
      </c>
      <c r="EZ465" s="251" t="str">
        <f t="shared" si="135"/>
        <v/>
      </c>
      <c r="FA465" s="251" t="str">
        <f t="shared" si="136"/>
        <v/>
      </c>
      <c r="FB465" s="251" t="str">
        <f t="shared" si="137"/>
        <v/>
      </c>
      <c r="FC465" s="251" t="str">
        <f t="shared" si="138"/>
        <v/>
      </c>
      <c r="FD465" s="251" t="str">
        <f t="shared" si="139"/>
        <v/>
      </c>
      <c r="FE465" s="251" t="str">
        <f t="shared" si="140"/>
        <v/>
      </c>
      <c r="FF465" s="251" t="str">
        <f t="shared" si="141"/>
        <v/>
      </c>
      <c r="FG465" s="251" t="str">
        <f t="shared" si="142"/>
        <v/>
      </c>
      <c r="FH465" s="251" t="str">
        <f t="shared" si="143"/>
        <v/>
      </c>
      <c r="FI465" s="251" t="str">
        <f t="shared" si="144"/>
        <v/>
      </c>
      <c r="FJ465" s="251" t="str">
        <f t="shared" si="145"/>
        <v/>
      </c>
      <c r="FK465" s="251" t="str">
        <f t="shared" si="146"/>
        <v/>
      </c>
      <c r="FL465" s="251" t="str">
        <f t="shared" si="147"/>
        <v/>
      </c>
      <c r="FM465" s="251" t="str">
        <f t="shared" si="148"/>
        <v/>
      </c>
      <c r="FN465" s="251" t="str">
        <f t="shared" si="149"/>
        <v/>
      </c>
      <c r="FO465" s="251" t="str">
        <f t="shared" si="150"/>
        <v/>
      </c>
      <c r="FP465" s="251" t="str">
        <f t="shared" si="151"/>
        <v/>
      </c>
      <c r="FQ465" s="251" t="str">
        <f t="shared" si="152"/>
        <v/>
      </c>
      <c r="FR465" s="251" t="str">
        <f t="shared" si="153"/>
        <v/>
      </c>
      <c r="FS465" s="251" t="str">
        <f t="shared" si="154"/>
        <v/>
      </c>
      <c r="FT465" s="251" t="str">
        <f t="shared" si="155"/>
        <v/>
      </c>
      <c r="FU465" s="251" t="str">
        <f t="shared" si="156"/>
        <v/>
      </c>
      <c r="FV465" s="251" t="str">
        <f t="shared" si="157"/>
        <v/>
      </c>
      <c r="FW465" s="251" t="str">
        <f t="shared" si="158"/>
        <v/>
      </c>
      <c r="FX465" s="251" t="str">
        <f t="shared" si="159"/>
        <v/>
      </c>
      <c r="FY465" s="251" t="str">
        <f t="shared" si="160"/>
        <v/>
      </c>
      <c r="FZ465" s="251" t="str">
        <f t="shared" si="161"/>
        <v/>
      </c>
      <c r="GA465" s="251" t="str">
        <f t="shared" si="162"/>
        <v/>
      </c>
      <c r="GB465" s="251" t="str">
        <f t="shared" si="163"/>
        <v/>
      </c>
      <c r="GC465" s="251" t="str">
        <f t="shared" si="164"/>
        <v/>
      </c>
      <c r="GD465" s="251" t="str">
        <f t="shared" si="165"/>
        <v/>
      </c>
      <c r="GE465" s="251" t="str">
        <f t="shared" si="166"/>
        <v/>
      </c>
      <c r="GF465" s="251" t="str">
        <f t="shared" si="167"/>
        <v/>
      </c>
      <c r="GG465" s="251" t="str">
        <f t="shared" si="168"/>
        <v/>
      </c>
      <c r="GH465" s="251" t="str">
        <f t="shared" si="169"/>
        <v/>
      </c>
      <c r="GI465" s="251" t="str">
        <f t="shared" si="170"/>
        <v/>
      </c>
      <c r="GJ465" s="251" t="str">
        <f t="shared" si="171"/>
        <v/>
      </c>
      <c r="GK465" s="251" t="str">
        <f t="shared" si="172"/>
        <v/>
      </c>
      <c r="GL465" s="251" t="str">
        <f t="shared" si="173"/>
        <v/>
      </c>
      <c r="GM465" s="251" t="str">
        <f t="shared" si="174"/>
        <v/>
      </c>
      <c r="GN465" s="251" t="str">
        <f t="shared" si="175"/>
        <v/>
      </c>
      <c r="GO465" s="251" t="str">
        <f t="shared" si="176"/>
        <v/>
      </c>
      <c r="GP465" s="251" t="str">
        <f t="shared" si="177"/>
        <v/>
      </c>
      <c r="GQ465" s="251" t="str">
        <f t="shared" si="178"/>
        <v/>
      </c>
      <c r="GR465" s="251" t="str">
        <f t="shared" si="179"/>
        <v/>
      </c>
      <c r="GS465" s="251" t="str">
        <f t="shared" si="180"/>
        <v/>
      </c>
      <c r="GT465" s="251" t="str">
        <f t="shared" si="181"/>
        <v/>
      </c>
      <c r="GU465" s="251" t="str">
        <f t="shared" si="182"/>
        <v/>
      </c>
      <c r="GV465" s="251" t="str">
        <f t="shared" si="183"/>
        <v/>
      </c>
      <c r="GW465" s="251" t="str">
        <f t="shared" si="184"/>
        <v/>
      </c>
      <c r="GX465" s="251" t="str">
        <f t="shared" si="185"/>
        <v/>
      </c>
      <c r="GY465" s="251" t="str">
        <f t="shared" si="186"/>
        <v/>
      </c>
      <c r="GZ465" s="251" t="str">
        <f t="shared" si="187"/>
        <v/>
      </c>
      <c r="HA465" s="251" t="str">
        <f t="shared" si="188"/>
        <v/>
      </c>
      <c r="HB465" s="251" t="str">
        <f t="shared" si="189"/>
        <v/>
      </c>
      <c r="HC465" s="251" t="str">
        <f t="shared" si="190"/>
        <v/>
      </c>
      <c r="HD465" s="251" t="str">
        <f t="shared" si="191"/>
        <v/>
      </c>
      <c r="HE465" s="251" t="str">
        <f t="shared" si="192"/>
        <v/>
      </c>
      <c r="HF465" s="251" t="str">
        <f t="shared" si="193"/>
        <v/>
      </c>
      <c r="HG465" s="251" t="str">
        <f t="shared" si="194"/>
        <v/>
      </c>
      <c r="HH465" s="251" t="str">
        <f t="shared" si="195"/>
        <v/>
      </c>
      <c r="HI465" s="251" t="str">
        <f t="shared" si="196"/>
        <v/>
      </c>
      <c r="HJ465" s="251" t="str">
        <f t="shared" si="197"/>
        <v/>
      </c>
      <c r="HK465" s="251" t="str">
        <f t="shared" si="198"/>
        <v/>
      </c>
      <c r="HL465" s="251" t="str">
        <f t="shared" si="199"/>
        <v/>
      </c>
      <c r="HM465" s="251" t="str">
        <f t="shared" si="200"/>
        <v/>
      </c>
      <c r="HN465" s="251" t="str">
        <f t="shared" si="201"/>
        <v/>
      </c>
      <c r="HO465" s="251" t="str">
        <f t="shared" si="202"/>
        <v/>
      </c>
      <c r="HP465" s="251" t="str">
        <f t="shared" si="203"/>
        <v/>
      </c>
      <c r="HQ465" s="251" t="str">
        <f t="shared" si="204"/>
        <v/>
      </c>
      <c r="HR465" s="251" t="str">
        <f t="shared" si="205"/>
        <v/>
      </c>
      <c r="HS465" s="251" t="str">
        <f t="shared" si="206"/>
        <v/>
      </c>
      <c r="HT465" s="251" t="str">
        <f t="shared" si="207"/>
        <v/>
      </c>
      <c r="HU465" s="251" t="str">
        <f t="shared" si="208"/>
        <v/>
      </c>
      <c r="HV465" s="251" t="str">
        <f t="shared" si="209"/>
        <v/>
      </c>
      <c r="HW465" s="251" t="str">
        <f t="shared" si="210"/>
        <v/>
      </c>
      <c r="HX465" s="251" t="str">
        <f t="shared" si="211"/>
        <v/>
      </c>
      <c r="HY465" s="251" t="str">
        <f t="shared" si="212"/>
        <v/>
      </c>
      <c r="HZ465" s="251" t="str">
        <f t="shared" si="213"/>
        <v/>
      </c>
      <c r="IA465" s="251" t="str">
        <f t="shared" si="214"/>
        <v/>
      </c>
      <c r="IB465" s="251" t="str">
        <f t="shared" si="215"/>
        <v/>
      </c>
      <c r="IC465" s="251" t="str">
        <f t="shared" si="216"/>
        <v/>
      </c>
      <c r="ID465" s="251" t="str">
        <f t="shared" si="217"/>
        <v/>
      </c>
      <c r="IE465" s="251" t="str">
        <f t="shared" si="218"/>
        <v/>
      </c>
      <c r="IF465" s="251" t="str">
        <f t="shared" si="219"/>
        <v/>
      </c>
      <c r="IG465" s="251" t="str">
        <f t="shared" si="220"/>
        <v/>
      </c>
      <c r="IH465" s="251" t="str">
        <f t="shared" si="221"/>
        <v/>
      </c>
      <c r="II465" s="251" t="str">
        <f t="shared" si="222"/>
        <v/>
      </c>
      <c r="IJ465" s="251" t="str">
        <f t="shared" si="223"/>
        <v/>
      </c>
      <c r="IK465" s="251" t="str">
        <f t="shared" si="224"/>
        <v/>
      </c>
      <c r="IL465" s="251" t="str">
        <f t="shared" si="225"/>
        <v/>
      </c>
      <c r="IM465" s="251" t="str">
        <f t="shared" si="226"/>
        <v/>
      </c>
      <c r="IN465" s="251" t="str">
        <f t="shared" si="227"/>
        <v/>
      </c>
      <c r="IO465" s="251" t="str">
        <f t="shared" si="228"/>
        <v/>
      </c>
      <c r="IP465" s="251" t="str">
        <f t="shared" si="229"/>
        <v/>
      </c>
      <c r="IQ465" s="251" t="str">
        <f t="shared" si="230"/>
        <v/>
      </c>
      <c r="IR465" s="251" t="str">
        <f t="shared" si="231"/>
        <v/>
      </c>
      <c r="IS465" s="251" t="str">
        <f t="shared" si="232"/>
        <v/>
      </c>
      <c r="IT465" s="251" t="str">
        <f t="shared" si="233"/>
        <v/>
      </c>
      <c r="IU465" s="251" t="str">
        <f t="shared" si="234"/>
        <v/>
      </c>
      <c r="IV465" s="251" t="str">
        <f t="shared" si="235"/>
        <v/>
      </c>
      <c r="IW465" s="251" t="str">
        <f t="shared" si="236"/>
        <v/>
      </c>
      <c r="IX465" s="251" t="str">
        <f t="shared" si="237"/>
        <v/>
      </c>
      <c r="IY465" s="251" t="str">
        <f t="shared" si="238"/>
        <v/>
      </c>
      <c r="IZ465" s="251" t="str">
        <f t="shared" si="239"/>
        <v/>
      </c>
      <c r="JA465" s="251" t="str">
        <f t="shared" si="240"/>
        <v/>
      </c>
      <c r="JB465" s="251" t="str">
        <f t="shared" si="241"/>
        <v/>
      </c>
      <c r="JC465" s="251" t="str">
        <f t="shared" si="242"/>
        <v/>
      </c>
      <c r="JD465" s="251" t="str">
        <f t="shared" si="243"/>
        <v/>
      </c>
      <c r="JE465" s="251" t="str">
        <f t="shared" si="244"/>
        <v/>
      </c>
      <c r="JF465" s="251" t="str">
        <f t="shared" si="245"/>
        <v/>
      </c>
      <c r="JG465" s="251" t="str">
        <f t="shared" si="246"/>
        <v/>
      </c>
      <c r="JH465" s="251" t="str">
        <f t="shared" si="247"/>
        <v/>
      </c>
      <c r="JI465" s="1297" t="str">
        <f t="shared" si="248"/>
        <v/>
      </c>
      <c r="JJ465" s="1297" t="str">
        <f t="shared" si="249"/>
        <v/>
      </c>
      <c r="JK465" s="1297" t="str">
        <f t="shared" si="250"/>
        <v/>
      </c>
      <c r="JL465" s="1297" t="str">
        <f t="shared" si="251"/>
        <v/>
      </c>
      <c r="JM465" s="1297" t="str">
        <f t="shared" si="252"/>
        <v/>
      </c>
      <c r="JN465" s="1297" t="str">
        <f t="shared" si="253"/>
        <v/>
      </c>
      <c r="JO465" s="1297" t="str">
        <f t="shared" si="254"/>
        <v/>
      </c>
      <c r="JP465" s="1297" t="str">
        <f t="shared" si="255"/>
        <v/>
      </c>
      <c r="JQ465" s="1297" t="str">
        <f t="shared" si="256"/>
        <v/>
      </c>
      <c r="JR465" s="1297" t="str">
        <f t="shared" si="257"/>
        <v/>
      </c>
      <c r="JS465" s="1297" t="str">
        <f t="shared" si="258"/>
        <v/>
      </c>
      <c r="JT465" s="1297" t="str">
        <f t="shared" si="259"/>
        <v/>
      </c>
      <c r="JU465" s="1297" t="str">
        <f t="shared" si="260"/>
        <v/>
      </c>
      <c r="JV465" s="1297" t="str">
        <f t="shared" si="261"/>
        <v/>
      </c>
      <c r="JW465" s="1297" t="str">
        <f t="shared" si="262"/>
        <v/>
      </c>
      <c r="JX465" s="1297" t="str">
        <f t="shared" si="263"/>
        <v/>
      </c>
      <c r="JY465" s="1297" t="str">
        <f t="shared" si="264"/>
        <v/>
      </c>
      <c r="JZ465" s="1297" t="str">
        <f t="shared" si="265"/>
        <v/>
      </c>
      <c r="KA465" s="1297" t="str">
        <f t="shared" si="266"/>
        <v/>
      </c>
      <c r="KB465" s="1297" t="str">
        <f t="shared" si="267"/>
        <v/>
      </c>
      <c r="KC465" s="1297" t="str">
        <f t="shared" si="268"/>
        <v/>
      </c>
      <c r="KD465" s="1297" t="str">
        <f t="shared" si="269"/>
        <v/>
      </c>
      <c r="KE465" s="1297" t="str">
        <f t="shared" si="270"/>
        <v/>
      </c>
      <c r="KF465" s="1297" t="str">
        <f t="shared" si="271"/>
        <v/>
      </c>
      <c r="KG465" s="1297" t="str">
        <f t="shared" si="272"/>
        <v/>
      </c>
      <c r="KH465" s="1297" t="str">
        <f t="shared" si="273"/>
        <v/>
      </c>
      <c r="KI465" s="1297" t="str">
        <f t="shared" si="274"/>
        <v/>
      </c>
      <c r="KJ465" s="1297" t="str">
        <f t="shared" si="275"/>
        <v/>
      </c>
      <c r="KK465" s="1297" t="str">
        <f t="shared" si="276"/>
        <v/>
      </c>
      <c r="KL465" s="1297" t="str">
        <f t="shared" si="277"/>
        <v/>
      </c>
      <c r="KM465" s="1297" t="str">
        <f t="shared" si="278"/>
        <v/>
      </c>
      <c r="KN465" s="1297" t="str">
        <f t="shared" si="279"/>
        <v/>
      </c>
      <c r="KO465" s="1297" t="str">
        <f t="shared" si="280"/>
        <v/>
      </c>
      <c r="KP465" s="1297" t="str">
        <f t="shared" si="281"/>
        <v/>
      </c>
      <c r="KQ465" s="1297" t="str">
        <f t="shared" si="282"/>
        <v/>
      </c>
      <c r="KR465" s="1297" t="str">
        <f t="shared" si="283"/>
        <v/>
      </c>
      <c r="KS465" s="1297" t="str">
        <f t="shared" si="284"/>
        <v/>
      </c>
      <c r="KT465" s="1297" t="str">
        <f t="shared" si="285"/>
        <v/>
      </c>
      <c r="KU465" s="1297" t="str">
        <f t="shared" si="286"/>
        <v/>
      </c>
      <c r="KV465" s="1297" t="str">
        <f t="shared" si="287"/>
        <v/>
      </c>
      <c r="KW465" s="1297" t="str">
        <f t="shared" si="288"/>
        <v/>
      </c>
      <c r="KX465" s="1297" t="str">
        <f t="shared" si="289"/>
        <v/>
      </c>
      <c r="KY465" s="1297" t="str">
        <f t="shared" si="290"/>
        <v/>
      </c>
      <c r="KZ465" s="1297" t="str">
        <f t="shared" si="291"/>
        <v/>
      </c>
      <c r="LA465" s="1297" t="str">
        <f t="shared" si="292"/>
        <v/>
      </c>
      <c r="LB465" s="1297" t="str">
        <f t="shared" si="293"/>
        <v/>
      </c>
      <c r="LC465" s="1297" t="str">
        <f t="shared" si="294"/>
        <v/>
      </c>
      <c r="LD465" s="1297" t="str">
        <f t="shared" si="295"/>
        <v/>
      </c>
      <c r="LE465" s="1297" t="str">
        <f t="shared" si="296"/>
        <v/>
      </c>
      <c r="LF465" s="1297" t="str">
        <f t="shared" si="297"/>
        <v/>
      </c>
      <c r="LG465" s="1297" t="str">
        <f t="shared" si="298"/>
        <v/>
      </c>
      <c r="LH465" s="1297" t="str">
        <f t="shared" si="299"/>
        <v/>
      </c>
      <c r="LI465" s="1297" t="str">
        <f t="shared" si="300"/>
        <v/>
      </c>
      <c r="LJ465" s="1297" t="str">
        <f t="shared" si="301"/>
        <v/>
      </c>
      <c r="LK465" s="1297" t="str">
        <f t="shared" si="302"/>
        <v/>
      </c>
      <c r="LL465" s="1297" t="str">
        <f t="shared" si="303"/>
        <v/>
      </c>
      <c r="LM465" s="1297" t="str">
        <f t="shared" si="304"/>
        <v/>
      </c>
      <c r="LN465" s="1297" t="str">
        <f t="shared" si="305"/>
        <v/>
      </c>
      <c r="LO465" s="1297" t="str">
        <f t="shared" si="306"/>
        <v/>
      </c>
      <c r="LP465" s="1297" t="str">
        <f t="shared" si="307"/>
        <v/>
      </c>
      <c r="LQ465" s="1297" t="str">
        <f t="shared" si="308"/>
        <v/>
      </c>
      <c r="LR465" s="1297" t="str">
        <f t="shared" si="309"/>
        <v/>
      </c>
      <c r="LS465" s="1297" t="str">
        <f t="shared" si="310"/>
        <v/>
      </c>
      <c r="LT465" s="1297" t="str">
        <f t="shared" si="311"/>
        <v/>
      </c>
      <c r="LU465" s="1297" t="str">
        <f t="shared" si="312"/>
        <v/>
      </c>
      <c r="LV465" s="1297" t="str">
        <f t="shared" si="313"/>
        <v/>
      </c>
      <c r="LW465" s="1297" t="str">
        <f t="shared" si="314"/>
        <v/>
      </c>
      <c r="LX465" s="1297" t="str">
        <f t="shared" si="315"/>
        <v/>
      </c>
      <c r="LY465" s="1297" t="str">
        <f t="shared" si="316"/>
        <v/>
      </c>
      <c r="LZ465" s="1297" t="str">
        <f t="shared" si="317"/>
        <v/>
      </c>
      <c r="MA465" s="1297" t="str">
        <f t="shared" si="318"/>
        <v/>
      </c>
      <c r="MB465" s="1297" t="str">
        <f t="shared" si="319"/>
        <v/>
      </c>
      <c r="MC465" s="1297" t="str">
        <f t="shared" si="320"/>
        <v/>
      </c>
      <c r="MD465" s="1297" t="str">
        <f t="shared" si="321"/>
        <v/>
      </c>
      <c r="ME465" s="1297" t="str">
        <f t="shared" si="322"/>
        <v/>
      </c>
      <c r="MF465" s="1297" t="str">
        <f t="shared" si="323"/>
        <v/>
      </c>
      <c r="MG465" s="1297" t="str">
        <f t="shared" si="324"/>
        <v/>
      </c>
      <c r="MH465" s="1297" t="str">
        <f t="shared" si="325"/>
        <v/>
      </c>
      <c r="MI465" s="1297" t="str">
        <f t="shared" si="326"/>
        <v/>
      </c>
      <c r="MJ465" s="1297" t="str">
        <f t="shared" si="327"/>
        <v/>
      </c>
      <c r="MK465" s="1297" t="str">
        <f t="shared" si="328"/>
        <v/>
      </c>
      <c r="ML465" s="1297" t="str">
        <f t="shared" si="329"/>
        <v/>
      </c>
      <c r="MM465" s="1297" t="str">
        <f t="shared" si="330"/>
        <v/>
      </c>
      <c r="MN465" s="1297" t="str">
        <f t="shared" si="331"/>
        <v/>
      </c>
      <c r="MO465" s="1297" t="str">
        <f t="shared" si="332"/>
        <v/>
      </c>
      <c r="MP465" s="1773" t="str">
        <f t="shared" si="333"/>
        <v/>
      </c>
      <c r="MQ465" s="1773" t="str">
        <f t="shared" si="334"/>
        <v/>
      </c>
      <c r="MR465" s="1773" t="str">
        <f t="shared" si="335"/>
        <v/>
      </c>
      <c r="MS465" s="1773" t="str">
        <f t="shared" si="336"/>
        <v/>
      </c>
      <c r="MT465" s="1773" t="str">
        <f t="shared" si="337"/>
        <v/>
      </c>
      <c r="MU465" s="251" t="str">
        <f t="shared" si="338"/>
        <v/>
      </c>
      <c r="MV465" s="251" t="str">
        <f t="shared" si="339"/>
        <v/>
      </c>
      <c r="MW465" s="251" t="str">
        <f t="shared" si="340"/>
        <v/>
      </c>
      <c r="MX465" s="251" t="str">
        <f t="shared" si="341"/>
        <v/>
      </c>
      <c r="MY465" s="251" t="str">
        <f t="shared" si="342"/>
        <v/>
      </c>
      <c r="MZ465" s="251" t="str">
        <f t="shared" si="343"/>
        <v/>
      </c>
      <c r="NA465" s="251" t="str">
        <f t="shared" si="344"/>
        <v/>
      </c>
      <c r="NB465" s="251" t="str">
        <f t="shared" si="345"/>
        <v/>
      </c>
      <c r="NC465" s="251" t="str">
        <f t="shared" si="346"/>
        <v/>
      </c>
      <c r="ND465" s="251" t="str">
        <f t="shared" si="347"/>
        <v/>
      </c>
      <c r="NE465" s="251" t="str">
        <f t="shared" si="348"/>
        <v/>
      </c>
      <c r="NF465" s="251" t="str">
        <f t="shared" si="349"/>
        <v/>
      </c>
      <c r="NG465" s="251" t="str">
        <f t="shared" si="350"/>
        <v/>
      </c>
      <c r="NH465" s="251" t="str">
        <f t="shared" si="351"/>
        <v/>
      </c>
      <c r="NI465" s="251" t="str">
        <f t="shared" si="352"/>
        <v/>
      </c>
      <c r="NJ465" s="251" t="str">
        <f t="shared" si="353"/>
        <v/>
      </c>
      <c r="NK465" s="251" t="str">
        <f t="shared" si="354"/>
        <v/>
      </c>
      <c r="NL465" s="251" t="str">
        <f t="shared" si="355"/>
        <v/>
      </c>
      <c r="NM465" s="251" t="str">
        <f t="shared" si="356"/>
        <v/>
      </c>
      <c r="NN465" s="251" t="str">
        <f t="shared" si="357"/>
        <v/>
      </c>
      <c r="NO465" s="1185">
        <f t="shared" si="358"/>
        <v>0</v>
      </c>
      <c r="NP465" s="1185">
        <f t="shared" si="359"/>
        <v>0</v>
      </c>
      <c r="NQ465" s="1185">
        <f t="shared" si="360"/>
        <v>0</v>
      </c>
      <c r="NR465" s="1185">
        <f t="shared" si="361"/>
        <v>0</v>
      </c>
      <c r="NS465" s="1185">
        <f t="shared" si="362"/>
        <v>0</v>
      </c>
      <c r="NT465" s="1185">
        <f t="shared" ref="NT465:NT510" si="368">IF(AND($C465="Efficiency",$E465&gt;0,OR($O465="Low-Rise Apt",$O465="Low-Rise Elevator",$O465="High-Rise Apt",$O465="High-Rise Elevator",$O465="Row House/TH"),$P465="New Construction"),$E465,0)</f>
        <v>0</v>
      </c>
      <c r="NU465" s="1185">
        <f t="shared" ref="NU465:NU510" si="369">IF(AND($C465=1,$E465&gt;0,OR($O465="Low-Rise Apt",$O465="Low-Rise Elevator",$O465="High-Rise Apt",$O465="High-Rise Elevator",$O465="Row House/TH"),$P465="New Construction"),$E465,0)</f>
        <v>0</v>
      </c>
      <c r="NV465" s="1185">
        <f t="shared" ref="NV465:NV510" si="370">IF(AND($C465=2,$E465&gt;0,OR($O465="Low-Rise Apt",$O465="Low-Rise Elevator",$O465="High-Rise Apt",$O465="High-Rise Elevator",$O465="Row House/TH"),$P465="New Construction"),$E465,0)</f>
        <v>0</v>
      </c>
      <c r="NW465" s="1185">
        <f t="shared" ref="NW465:NW510" si="371">IF(AND($C465=3,$E465&gt;0,OR($O465="Low-Rise Apt",$O465="Low-Rise Elevator",$O465="High-Rise Apt",$O465="High-Rise Elevator",$O465="Row House/TH"),$P465="New Construction"),$E465,0)</f>
        <v>0</v>
      </c>
      <c r="NX465" s="1185">
        <f t="shared" ref="NX465:NX510" si="372">IF(AND($C465=4,$E465&gt;0,OR($O465="Low-Rise Apt",$O465="Low-Rise Elevator",$O465="High-Rise Apt",$O465="High-Rise Elevator",$O465="Row House/TH"),$P465="New Construction"),$E465,0)</f>
        <v>0</v>
      </c>
      <c r="NY465" s="1185">
        <f t="shared" si="363"/>
        <v>0</v>
      </c>
      <c r="NZ465" s="1185">
        <f t="shared" si="364"/>
        <v>0</v>
      </c>
      <c r="OA465" s="1185">
        <f t="shared" si="365"/>
        <v>0</v>
      </c>
      <c r="OB465" s="1185">
        <f t="shared" si="366"/>
        <v>0</v>
      </c>
      <c r="OC465" s="1185">
        <f t="shared" si="367"/>
        <v>0</v>
      </c>
      <c r="OY465" s="251" t="s">
        <v>1159</v>
      </c>
      <c r="OZ465" s="1296">
        <v>12</v>
      </c>
    </row>
    <row r="466" spans="1:416" ht="12" customHeight="1">
      <c r="A466" s="1979" t="str">
        <f t="shared" si="0"/>
        <v/>
      </c>
      <c r="B466" s="1998" t="str">
        <f>'Part V-Revenues &amp; Expenses'!B13</f>
        <v>Unrestricted</v>
      </c>
      <c r="C466" s="1999">
        <f>'Part V-Revenues &amp; Expenses'!C13</f>
        <v>0</v>
      </c>
      <c r="D466" s="2000">
        <f>'Part V-Revenues &amp; Expenses'!D13</f>
        <v>0</v>
      </c>
      <c r="E466" s="2001">
        <f>'Part V-Revenues &amp; Expenses'!E13</f>
        <v>0</v>
      </c>
      <c r="F466" s="2001">
        <f>'Part V-Revenues &amp; Expenses'!F13</f>
        <v>0</v>
      </c>
      <c r="G466" s="2001">
        <f>'Part V-Revenues &amp; Expenses'!G13</f>
        <v>0</v>
      </c>
      <c r="H466" s="2001">
        <f>'Part V-Revenues &amp; Expenses'!H13</f>
        <v>0</v>
      </c>
      <c r="I466" s="2001">
        <f>'Part V-Revenues &amp; Expenses'!I13</f>
        <v>0</v>
      </c>
      <c r="J466" s="2001">
        <f>'Part V-Revenues &amp; Expenses'!J13</f>
        <v>0</v>
      </c>
      <c r="K466" s="2002">
        <f>'Part V-Revenues &amp; Expenses'!K13</f>
        <v>0</v>
      </c>
      <c r="L466" s="2003">
        <f t="shared" si="1"/>
        <v>0</v>
      </c>
      <c r="M466" s="2003">
        <f t="shared" si="2"/>
        <v>0</v>
      </c>
      <c r="N466" s="1853">
        <f>'Part V-Revenues &amp; Expenses'!N13</f>
        <v>0</v>
      </c>
      <c r="O466" s="899">
        <f>'Part V-Revenues &amp; Expenses'!O13</f>
        <v>0</v>
      </c>
      <c r="P466" s="1853">
        <f>'Part V-Revenues &amp; Expenses'!P13</f>
        <v>0</v>
      </c>
      <c r="Q466" s="1772">
        <f>'Part V-Revenues &amp; Expenses'!Q13</f>
        <v>0</v>
      </c>
      <c r="R466" s="2004"/>
      <c r="S466" s="2005"/>
      <c r="T466" s="1920"/>
      <c r="U466" s="1920"/>
      <c r="V466" s="1920"/>
      <c r="W466" s="1920"/>
      <c r="X466" s="251" t="str">
        <f t="shared" si="3"/>
        <v/>
      </c>
      <c r="Y466" s="251" t="str">
        <f t="shared" si="4"/>
        <v/>
      </c>
      <c r="Z466" s="251" t="str">
        <f t="shared" si="5"/>
        <v/>
      </c>
      <c r="AA466" s="251" t="str">
        <f t="shared" si="6"/>
        <v/>
      </c>
      <c r="AB466" s="251" t="str">
        <f t="shared" si="7"/>
        <v/>
      </c>
      <c r="AC466" s="251" t="str">
        <f t="shared" si="8"/>
        <v/>
      </c>
      <c r="AD466" s="251" t="str">
        <f t="shared" si="9"/>
        <v/>
      </c>
      <c r="AE466" s="251" t="str">
        <f t="shared" si="10"/>
        <v/>
      </c>
      <c r="AF466" s="251" t="str">
        <f t="shared" si="11"/>
        <v/>
      </c>
      <c r="AG466" s="251" t="str">
        <f t="shared" si="12"/>
        <v/>
      </c>
      <c r="AH466" s="251" t="str">
        <f t="shared" si="13"/>
        <v/>
      </c>
      <c r="AI466" s="251" t="str">
        <f t="shared" si="14"/>
        <v/>
      </c>
      <c r="AJ466" s="251" t="str">
        <f t="shared" si="15"/>
        <v/>
      </c>
      <c r="AK466" s="251" t="str">
        <f t="shared" si="16"/>
        <v/>
      </c>
      <c r="AL466" s="251" t="str">
        <f t="shared" si="17"/>
        <v/>
      </c>
      <c r="AM466" s="251" t="str">
        <f t="shared" si="18"/>
        <v/>
      </c>
      <c r="AN466" s="251" t="str">
        <f t="shared" si="19"/>
        <v/>
      </c>
      <c r="AO466" s="251" t="str">
        <f t="shared" si="20"/>
        <v/>
      </c>
      <c r="AP466" s="251" t="str">
        <f t="shared" si="21"/>
        <v/>
      </c>
      <c r="AQ466" s="251" t="str">
        <f t="shared" si="22"/>
        <v/>
      </c>
      <c r="AR466" s="251" t="str">
        <f t="shared" si="23"/>
        <v/>
      </c>
      <c r="AS466" s="251" t="str">
        <f t="shared" si="24"/>
        <v/>
      </c>
      <c r="AT466" s="251" t="str">
        <f t="shared" si="25"/>
        <v/>
      </c>
      <c r="AU466" s="251" t="str">
        <f t="shared" si="26"/>
        <v/>
      </c>
      <c r="AV466" s="251" t="str">
        <f t="shared" si="27"/>
        <v/>
      </c>
      <c r="AW466" s="251" t="str">
        <f t="shared" si="28"/>
        <v/>
      </c>
      <c r="AX466" s="251" t="str">
        <f t="shared" si="29"/>
        <v/>
      </c>
      <c r="AY466" s="251" t="str">
        <f t="shared" si="30"/>
        <v/>
      </c>
      <c r="AZ466" s="251" t="str">
        <f t="shared" si="31"/>
        <v/>
      </c>
      <c r="BA466" s="251" t="str">
        <f t="shared" si="32"/>
        <v/>
      </c>
      <c r="BB466" s="251" t="str">
        <f t="shared" si="33"/>
        <v/>
      </c>
      <c r="BC466" s="251" t="str">
        <f t="shared" si="34"/>
        <v/>
      </c>
      <c r="BD466" s="251" t="str">
        <f t="shared" si="35"/>
        <v/>
      </c>
      <c r="BE466" s="251" t="str">
        <f t="shared" si="36"/>
        <v/>
      </c>
      <c r="BF466" s="251" t="str">
        <f t="shared" si="37"/>
        <v/>
      </c>
      <c r="BG466" s="251" t="str">
        <f t="shared" si="38"/>
        <v/>
      </c>
      <c r="BH466" s="251" t="str">
        <f t="shared" si="39"/>
        <v/>
      </c>
      <c r="BI466" s="251" t="str">
        <f t="shared" si="40"/>
        <v/>
      </c>
      <c r="BJ466" s="251" t="str">
        <f t="shared" si="41"/>
        <v/>
      </c>
      <c r="BK466" s="251" t="str">
        <f t="shared" si="42"/>
        <v/>
      </c>
      <c r="BL466" s="251" t="str">
        <f t="shared" si="43"/>
        <v/>
      </c>
      <c r="BM466" s="251" t="str">
        <f t="shared" si="44"/>
        <v/>
      </c>
      <c r="BN466" s="251" t="str">
        <f t="shared" si="45"/>
        <v/>
      </c>
      <c r="BO466" s="251" t="str">
        <f t="shared" si="46"/>
        <v/>
      </c>
      <c r="BP466" s="251" t="str">
        <f t="shared" si="47"/>
        <v/>
      </c>
      <c r="BQ466" s="251" t="str">
        <f t="shared" si="48"/>
        <v/>
      </c>
      <c r="BR466" s="251" t="str">
        <f t="shared" si="49"/>
        <v/>
      </c>
      <c r="BS466" s="251" t="str">
        <f t="shared" si="50"/>
        <v/>
      </c>
      <c r="BT466" s="251" t="str">
        <f t="shared" si="51"/>
        <v/>
      </c>
      <c r="BU466" s="251" t="str">
        <f t="shared" si="52"/>
        <v/>
      </c>
      <c r="BV466" s="251" t="str">
        <f t="shared" si="53"/>
        <v/>
      </c>
      <c r="BW466" s="251" t="str">
        <f t="shared" si="54"/>
        <v/>
      </c>
      <c r="BX466" s="251" t="str">
        <f t="shared" si="55"/>
        <v/>
      </c>
      <c r="BY466" s="251" t="str">
        <f t="shared" si="56"/>
        <v/>
      </c>
      <c r="BZ466" s="251" t="str">
        <f t="shared" si="57"/>
        <v/>
      </c>
      <c r="CA466" s="251" t="str">
        <f t="shared" si="58"/>
        <v/>
      </c>
      <c r="CB466" s="251" t="str">
        <f t="shared" si="59"/>
        <v/>
      </c>
      <c r="CC466" s="251" t="str">
        <f t="shared" si="60"/>
        <v/>
      </c>
      <c r="CD466" s="251" t="str">
        <f t="shared" si="61"/>
        <v/>
      </c>
      <c r="CE466" s="251" t="str">
        <f t="shared" si="62"/>
        <v/>
      </c>
      <c r="CF466" s="251" t="str">
        <f t="shared" si="63"/>
        <v/>
      </c>
      <c r="CG466" s="251" t="str">
        <f t="shared" si="64"/>
        <v/>
      </c>
      <c r="CH466" s="251" t="str">
        <f t="shared" si="65"/>
        <v/>
      </c>
      <c r="CI466" s="251" t="str">
        <f t="shared" si="66"/>
        <v/>
      </c>
      <c r="CJ466" s="251" t="str">
        <f t="shared" si="67"/>
        <v/>
      </c>
      <c r="CK466" s="251" t="str">
        <f t="shared" si="68"/>
        <v/>
      </c>
      <c r="CL466" s="251" t="str">
        <f t="shared" si="69"/>
        <v/>
      </c>
      <c r="CM466" s="251" t="str">
        <f t="shared" si="70"/>
        <v/>
      </c>
      <c r="CN466" s="251" t="str">
        <f t="shared" si="71"/>
        <v/>
      </c>
      <c r="CO466" s="251" t="str">
        <f t="shared" si="72"/>
        <v/>
      </c>
      <c r="CP466" s="251" t="str">
        <f t="shared" si="73"/>
        <v/>
      </c>
      <c r="CQ466" s="251" t="str">
        <f t="shared" si="74"/>
        <v/>
      </c>
      <c r="CR466" s="251" t="str">
        <f t="shared" si="75"/>
        <v/>
      </c>
      <c r="CS466" s="251" t="str">
        <f t="shared" si="76"/>
        <v/>
      </c>
      <c r="CT466" s="251" t="str">
        <f t="shared" si="77"/>
        <v/>
      </c>
      <c r="CU466" s="251" t="str">
        <f t="shared" si="78"/>
        <v/>
      </c>
      <c r="CV466" s="251" t="str">
        <f t="shared" si="79"/>
        <v/>
      </c>
      <c r="CW466" s="251" t="str">
        <f t="shared" si="80"/>
        <v/>
      </c>
      <c r="CX466" s="251" t="str">
        <f t="shared" si="81"/>
        <v/>
      </c>
      <c r="CY466" s="251" t="str">
        <f t="shared" si="82"/>
        <v/>
      </c>
      <c r="CZ466" s="251" t="str">
        <f t="shared" si="83"/>
        <v/>
      </c>
      <c r="DA466" s="251" t="str">
        <f t="shared" si="84"/>
        <v/>
      </c>
      <c r="DB466" s="251" t="str">
        <f t="shared" si="85"/>
        <v/>
      </c>
      <c r="DC466" s="251" t="str">
        <f t="shared" si="86"/>
        <v/>
      </c>
      <c r="DD466" s="251" t="str">
        <f t="shared" si="87"/>
        <v/>
      </c>
      <c r="DE466" s="251" t="str">
        <f t="shared" si="88"/>
        <v/>
      </c>
      <c r="DF466" s="251" t="str">
        <f t="shared" si="89"/>
        <v/>
      </c>
      <c r="DG466" s="251" t="str">
        <f t="shared" si="90"/>
        <v/>
      </c>
      <c r="DH466" s="251" t="str">
        <f t="shared" si="91"/>
        <v/>
      </c>
      <c r="DI466" s="251" t="str">
        <f t="shared" si="92"/>
        <v/>
      </c>
      <c r="DJ466" s="251" t="str">
        <f t="shared" si="93"/>
        <v/>
      </c>
      <c r="DK466" s="251" t="str">
        <f t="shared" si="94"/>
        <v/>
      </c>
      <c r="DL466" s="251" t="str">
        <f t="shared" si="95"/>
        <v/>
      </c>
      <c r="DM466" s="251" t="str">
        <f t="shared" si="96"/>
        <v/>
      </c>
      <c r="DN466" s="251" t="str">
        <f t="shared" si="97"/>
        <v/>
      </c>
      <c r="DO466" s="251" t="str">
        <f t="shared" si="98"/>
        <v/>
      </c>
      <c r="DP466" s="251" t="str">
        <f t="shared" si="99"/>
        <v/>
      </c>
      <c r="DQ466" s="251" t="str">
        <f t="shared" si="100"/>
        <v/>
      </c>
      <c r="DR466" s="251" t="str">
        <f t="shared" si="101"/>
        <v/>
      </c>
      <c r="DS466" s="251" t="str">
        <f t="shared" si="102"/>
        <v/>
      </c>
      <c r="DT466" s="251" t="str">
        <f t="shared" si="103"/>
        <v/>
      </c>
      <c r="DU466" s="251" t="str">
        <f t="shared" si="104"/>
        <v/>
      </c>
      <c r="DV466" s="251" t="str">
        <f t="shared" si="105"/>
        <v/>
      </c>
      <c r="DW466" s="251" t="str">
        <f t="shared" si="106"/>
        <v/>
      </c>
      <c r="DX466" s="251" t="str">
        <f t="shared" si="107"/>
        <v/>
      </c>
      <c r="DY466" s="251" t="str">
        <f t="shared" si="108"/>
        <v/>
      </c>
      <c r="DZ466" s="251" t="str">
        <f t="shared" si="109"/>
        <v/>
      </c>
      <c r="EA466" s="251" t="str">
        <f t="shared" si="110"/>
        <v/>
      </c>
      <c r="EB466" s="251" t="str">
        <f t="shared" si="111"/>
        <v/>
      </c>
      <c r="EC466" s="251" t="str">
        <f t="shared" si="112"/>
        <v/>
      </c>
      <c r="ED466" s="251" t="str">
        <f t="shared" si="113"/>
        <v/>
      </c>
      <c r="EE466" s="251" t="str">
        <f t="shared" si="114"/>
        <v/>
      </c>
      <c r="EF466" s="251" t="str">
        <f t="shared" si="115"/>
        <v/>
      </c>
      <c r="EG466" s="251" t="str">
        <f t="shared" si="116"/>
        <v/>
      </c>
      <c r="EH466" s="251" t="str">
        <f t="shared" si="117"/>
        <v/>
      </c>
      <c r="EI466" s="251" t="str">
        <f t="shared" si="118"/>
        <v/>
      </c>
      <c r="EJ466" s="251" t="str">
        <f t="shared" si="119"/>
        <v/>
      </c>
      <c r="EK466" s="251" t="str">
        <f t="shared" si="120"/>
        <v/>
      </c>
      <c r="EL466" s="251" t="str">
        <f t="shared" si="121"/>
        <v/>
      </c>
      <c r="EM466" s="251" t="str">
        <f t="shared" si="122"/>
        <v/>
      </c>
      <c r="EN466" s="251" t="str">
        <f t="shared" si="123"/>
        <v/>
      </c>
      <c r="EO466" s="251" t="str">
        <f t="shared" si="124"/>
        <v/>
      </c>
      <c r="EP466" s="251" t="str">
        <f t="shared" si="125"/>
        <v/>
      </c>
      <c r="EQ466" s="251" t="str">
        <f t="shared" si="126"/>
        <v/>
      </c>
      <c r="ER466" s="251" t="str">
        <f t="shared" si="127"/>
        <v/>
      </c>
      <c r="ES466" s="251" t="str">
        <f t="shared" si="128"/>
        <v/>
      </c>
      <c r="ET466" s="251" t="str">
        <f t="shared" si="129"/>
        <v/>
      </c>
      <c r="EU466" s="251" t="str">
        <f t="shared" si="130"/>
        <v/>
      </c>
      <c r="EV466" s="251" t="str">
        <f t="shared" si="131"/>
        <v/>
      </c>
      <c r="EW466" s="251" t="str">
        <f t="shared" si="132"/>
        <v/>
      </c>
      <c r="EX466" s="251" t="str">
        <f t="shared" si="133"/>
        <v/>
      </c>
      <c r="EY466" s="251" t="str">
        <f t="shared" si="134"/>
        <v/>
      </c>
      <c r="EZ466" s="251" t="str">
        <f t="shared" si="135"/>
        <v/>
      </c>
      <c r="FA466" s="251" t="str">
        <f t="shared" si="136"/>
        <v/>
      </c>
      <c r="FB466" s="251" t="str">
        <f t="shared" si="137"/>
        <v/>
      </c>
      <c r="FC466" s="251" t="str">
        <f t="shared" si="138"/>
        <v/>
      </c>
      <c r="FD466" s="251" t="str">
        <f t="shared" si="139"/>
        <v/>
      </c>
      <c r="FE466" s="251" t="str">
        <f t="shared" si="140"/>
        <v/>
      </c>
      <c r="FF466" s="251" t="str">
        <f t="shared" si="141"/>
        <v/>
      </c>
      <c r="FG466" s="251" t="str">
        <f t="shared" si="142"/>
        <v/>
      </c>
      <c r="FH466" s="251" t="str">
        <f t="shared" si="143"/>
        <v/>
      </c>
      <c r="FI466" s="251" t="str">
        <f t="shared" si="144"/>
        <v/>
      </c>
      <c r="FJ466" s="251" t="str">
        <f t="shared" si="145"/>
        <v/>
      </c>
      <c r="FK466" s="251" t="str">
        <f t="shared" si="146"/>
        <v/>
      </c>
      <c r="FL466" s="251" t="str">
        <f t="shared" si="147"/>
        <v/>
      </c>
      <c r="FM466" s="251" t="str">
        <f t="shared" si="148"/>
        <v/>
      </c>
      <c r="FN466" s="251" t="str">
        <f t="shared" si="149"/>
        <v/>
      </c>
      <c r="FO466" s="251" t="str">
        <f t="shared" si="150"/>
        <v/>
      </c>
      <c r="FP466" s="251" t="str">
        <f t="shared" si="151"/>
        <v/>
      </c>
      <c r="FQ466" s="251" t="str">
        <f t="shared" si="152"/>
        <v/>
      </c>
      <c r="FR466" s="251" t="str">
        <f t="shared" si="153"/>
        <v/>
      </c>
      <c r="FS466" s="251" t="str">
        <f t="shared" si="154"/>
        <v/>
      </c>
      <c r="FT466" s="251" t="str">
        <f t="shared" si="155"/>
        <v/>
      </c>
      <c r="FU466" s="251" t="str">
        <f t="shared" si="156"/>
        <v/>
      </c>
      <c r="FV466" s="251" t="str">
        <f t="shared" si="157"/>
        <v/>
      </c>
      <c r="FW466" s="251" t="str">
        <f t="shared" si="158"/>
        <v/>
      </c>
      <c r="FX466" s="251" t="str">
        <f t="shared" si="159"/>
        <v/>
      </c>
      <c r="FY466" s="251" t="str">
        <f t="shared" si="160"/>
        <v/>
      </c>
      <c r="FZ466" s="251" t="str">
        <f t="shared" si="161"/>
        <v/>
      </c>
      <c r="GA466" s="251" t="str">
        <f t="shared" si="162"/>
        <v/>
      </c>
      <c r="GB466" s="251" t="str">
        <f t="shared" si="163"/>
        <v/>
      </c>
      <c r="GC466" s="251" t="str">
        <f t="shared" si="164"/>
        <v/>
      </c>
      <c r="GD466" s="251" t="str">
        <f t="shared" si="165"/>
        <v/>
      </c>
      <c r="GE466" s="251" t="str">
        <f t="shared" si="166"/>
        <v/>
      </c>
      <c r="GF466" s="251" t="str">
        <f t="shared" si="167"/>
        <v/>
      </c>
      <c r="GG466" s="251" t="str">
        <f t="shared" si="168"/>
        <v/>
      </c>
      <c r="GH466" s="251" t="str">
        <f t="shared" si="169"/>
        <v/>
      </c>
      <c r="GI466" s="251" t="str">
        <f t="shared" si="170"/>
        <v/>
      </c>
      <c r="GJ466" s="251" t="str">
        <f t="shared" si="171"/>
        <v/>
      </c>
      <c r="GK466" s="251" t="str">
        <f t="shared" si="172"/>
        <v/>
      </c>
      <c r="GL466" s="251" t="str">
        <f t="shared" si="173"/>
        <v/>
      </c>
      <c r="GM466" s="251" t="str">
        <f t="shared" si="174"/>
        <v/>
      </c>
      <c r="GN466" s="251" t="str">
        <f t="shared" si="175"/>
        <v/>
      </c>
      <c r="GO466" s="251" t="str">
        <f t="shared" si="176"/>
        <v/>
      </c>
      <c r="GP466" s="251" t="str">
        <f t="shared" si="177"/>
        <v/>
      </c>
      <c r="GQ466" s="251" t="str">
        <f t="shared" si="178"/>
        <v/>
      </c>
      <c r="GR466" s="251" t="str">
        <f t="shared" si="179"/>
        <v/>
      </c>
      <c r="GS466" s="251" t="str">
        <f t="shared" si="180"/>
        <v/>
      </c>
      <c r="GT466" s="251" t="str">
        <f t="shared" si="181"/>
        <v/>
      </c>
      <c r="GU466" s="251" t="str">
        <f t="shared" si="182"/>
        <v/>
      </c>
      <c r="GV466" s="251" t="str">
        <f t="shared" si="183"/>
        <v/>
      </c>
      <c r="GW466" s="251" t="str">
        <f t="shared" si="184"/>
        <v/>
      </c>
      <c r="GX466" s="251" t="str">
        <f t="shared" si="185"/>
        <v/>
      </c>
      <c r="GY466" s="251" t="str">
        <f t="shared" si="186"/>
        <v/>
      </c>
      <c r="GZ466" s="251" t="str">
        <f t="shared" si="187"/>
        <v/>
      </c>
      <c r="HA466" s="251" t="str">
        <f t="shared" si="188"/>
        <v/>
      </c>
      <c r="HB466" s="251" t="str">
        <f t="shared" si="189"/>
        <v/>
      </c>
      <c r="HC466" s="251" t="str">
        <f t="shared" si="190"/>
        <v/>
      </c>
      <c r="HD466" s="251" t="str">
        <f t="shared" si="191"/>
        <v/>
      </c>
      <c r="HE466" s="251" t="str">
        <f t="shared" si="192"/>
        <v/>
      </c>
      <c r="HF466" s="251" t="str">
        <f t="shared" si="193"/>
        <v/>
      </c>
      <c r="HG466" s="251" t="str">
        <f t="shared" si="194"/>
        <v/>
      </c>
      <c r="HH466" s="251" t="str">
        <f t="shared" si="195"/>
        <v/>
      </c>
      <c r="HI466" s="251" t="str">
        <f t="shared" si="196"/>
        <v/>
      </c>
      <c r="HJ466" s="251" t="str">
        <f t="shared" si="197"/>
        <v/>
      </c>
      <c r="HK466" s="251" t="str">
        <f t="shared" si="198"/>
        <v/>
      </c>
      <c r="HL466" s="251" t="str">
        <f t="shared" si="199"/>
        <v/>
      </c>
      <c r="HM466" s="251" t="str">
        <f t="shared" si="200"/>
        <v/>
      </c>
      <c r="HN466" s="251" t="str">
        <f t="shared" si="201"/>
        <v/>
      </c>
      <c r="HO466" s="251" t="str">
        <f t="shared" si="202"/>
        <v/>
      </c>
      <c r="HP466" s="251" t="str">
        <f t="shared" si="203"/>
        <v/>
      </c>
      <c r="HQ466" s="251" t="str">
        <f t="shared" si="204"/>
        <v/>
      </c>
      <c r="HR466" s="251" t="str">
        <f t="shared" si="205"/>
        <v/>
      </c>
      <c r="HS466" s="251" t="str">
        <f t="shared" si="206"/>
        <v/>
      </c>
      <c r="HT466" s="251" t="str">
        <f t="shared" si="207"/>
        <v/>
      </c>
      <c r="HU466" s="251" t="str">
        <f t="shared" si="208"/>
        <v/>
      </c>
      <c r="HV466" s="251" t="str">
        <f t="shared" si="209"/>
        <v/>
      </c>
      <c r="HW466" s="251" t="str">
        <f t="shared" si="210"/>
        <v/>
      </c>
      <c r="HX466" s="251" t="str">
        <f t="shared" si="211"/>
        <v/>
      </c>
      <c r="HY466" s="251" t="str">
        <f t="shared" si="212"/>
        <v/>
      </c>
      <c r="HZ466" s="251" t="str">
        <f t="shared" si="213"/>
        <v/>
      </c>
      <c r="IA466" s="251" t="str">
        <f t="shared" si="214"/>
        <v/>
      </c>
      <c r="IB466" s="251" t="str">
        <f t="shared" si="215"/>
        <v/>
      </c>
      <c r="IC466" s="251" t="str">
        <f t="shared" si="216"/>
        <v/>
      </c>
      <c r="ID466" s="251" t="str">
        <f t="shared" si="217"/>
        <v/>
      </c>
      <c r="IE466" s="251" t="str">
        <f t="shared" si="218"/>
        <v/>
      </c>
      <c r="IF466" s="251" t="str">
        <f t="shared" si="219"/>
        <v/>
      </c>
      <c r="IG466" s="251" t="str">
        <f t="shared" si="220"/>
        <v/>
      </c>
      <c r="IH466" s="251" t="str">
        <f t="shared" si="221"/>
        <v/>
      </c>
      <c r="II466" s="251" t="str">
        <f t="shared" si="222"/>
        <v/>
      </c>
      <c r="IJ466" s="251" t="str">
        <f t="shared" si="223"/>
        <v/>
      </c>
      <c r="IK466" s="251" t="str">
        <f t="shared" si="224"/>
        <v/>
      </c>
      <c r="IL466" s="251" t="str">
        <f t="shared" si="225"/>
        <v/>
      </c>
      <c r="IM466" s="251" t="str">
        <f t="shared" si="226"/>
        <v/>
      </c>
      <c r="IN466" s="251" t="str">
        <f t="shared" si="227"/>
        <v/>
      </c>
      <c r="IO466" s="251" t="str">
        <f t="shared" si="228"/>
        <v/>
      </c>
      <c r="IP466" s="251" t="str">
        <f t="shared" si="229"/>
        <v/>
      </c>
      <c r="IQ466" s="251" t="str">
        <f t="shared" si="230"/>
        <v/>
      </c>
      <c r="IR466" s="251" t="str">
        <f t="shared" si="231"/>
        <v/>
      </c>
      <c r="IS466" s="251" t="str">
        <f t="shared" si="232"/>
        <v/>
      </c>
      <c r="IT466" s="251" t="str">
        <f t="shared" si="233"/>
        <v/>
      </c>
      <c r="IU466" s="251" t="str">
        <f t="shared" si="234"/>
        <v/>
      </c>
      <c r="IV466" s="251" t="str">
        <f t="shared" si="235"/>
        <v/>
      </c>
      <c r="IW466" s="251" t="str">
        <f t="shared" si="236"/>
        <v/>
      </c>
      <c r="IX466" s="251" t="str">
        <f t="shared" si="237"/>
        <v/>
      </c>
      <c r="IY466" s="251" t="str">
        <f t="shared" si="238"/>
        <v/>
      </c>
      <c r="IZ466" s="251" t="str">
        <f t="shared" si="239"/>
        <v/>
      </c>
      <c r="JA466" s="251" t="str">
        <f t="shared" si="240"/>
        <v/>
      </c>
      <c r="JB466" s="251" t="str">
        <f t="shared" si="241"/>
        <v/>
      </c>
      <c r="JC466" s="251" t="str">
        <f t="shared" si="242"/>
        <v/>
      </c>
      <c r="JD466" s="251" t="str">
        <f t="shared" si="243"/>
        <v/>
      </c>
      <c r="JE466" s="251" t="str">
        <f t="shared" si="244"/>
        <v/>
      </c>
      <c r="JF466" s="251" t="str">
        <f t="shared" si="245"/>
        <v/>
      </c>
      <c r="JG466" s="251" t="str">
        <f t="shared" si="246"/>
        <v/>
      </c>
      <c r="JH466" s="251" t="str">
        <f t="shared" si="247"/>
        <v/>
      </c>
      <c r="JI466" s="1297" t="str">
        <f t="shared" si="248"/>
        <v/>
      </c>
      <c r="JJ466" s="1297" t="str">
        <f t="shared" si="249"/>
        <v/>
      </c>
      <c r="JK466" s="1297" t="str">
        <f t="shared" si="250"/>
        <v/>
      </c>
      <c r="JL466" s="1297" t="str">
        <f t="shared" si="251"/>
        <v/>
      </c>
      <c r="JM466" s="1297" t="str">
        <f t="shared" si="252"/>
        <v/>
      </c>
      <c r="JN466" s="1297" t="str">
        <f t="shared" si="253"/>
        <v/>
      </c>
      <c r="JO466" s="1297" t="str">
        <f t="shared" si="254"/>
        <v/>
      </c>
      <c r="JP466" s="1297" t="str">
        <f t="shared" si="255"/>
        <v/>
      </c>
      <c r="JQ466" s="1297" t="str">
        <f t="shared" si="256"/>
        <v/>
      </c>
      <c r="JR466" s="1297" t="str">
        <f t="shared" si="257"/>
        <v/>
      </c>
      <c r="JS466" s="1297" t="str">
        <f t="shared" si="258"/>
        <v/>
      </c>
      <c r="JT466" s="1297" t="str">
        <f t="shared" si="259"/>
        <v/>
      </c>
      <c r="JU466" s="1297" t="str">
        <f t="shared" si="260"/>
        <v/>
      </c>
      <c r="JV466" s="1297" t="str">
        <f t="shared" si="261"/>
        <v/>
      </c>
      <c r="JW466" s="1297" t="str">
        <f t="shared" si="262"/>
        <v/>
      </c>
      <c r="JX466" s="1297" t="str">
        <f t="shared" si="263"/>
        <v/>
      </c>
      <c r="JY466" s="1297" t="str">
        <f t="shared" si="264"/>
        <v/>
      </c>
      <c r="JZ466" s="1297" t="str">
        <f t="shared" si="265"/>
        <v/>
      </c>
      <c r="KA466" s="1297" t="str">
        <f t="shared" si="266"/>
        <v/>
      </c>
      <c r="KB466" s="1297" t="str">
        <f t="shared" si="267"/>
        <v/>
      </c>
      <c r="KC466" s="1297" t="str">
        <f t="shared" si="268"/>
        <v/>
      </c>
      <c r="KD466" s="1297" t="str">
        <f t="shared" si="269"/>
        <v/>
      </c>
      <c r="KE466" s="1297" t="str">
        <f t="shared" si="270"/>
        <v/>
      </c>
      <c r="KF466" s="1297" t="str">
        <f t="shared" si="271"/>
        <v/>
      </c>
      <c r="KG466" s="1297" t="str">
        <f t="shared" si="272"/>
        <v/>
      </c>
      <c r="KH466" s="1297" t="str">
        <f t="shared" si="273"/>
        <v/>
      </c>
      <c r="KI466" s="1297" t="str">
        <f t="shared" si="274"/>
        <v/>
      </c>
      <c r="KJ466" s="1297" t="str">
        <f t="shared" si="275"/>
        <v/>
      </c>
      <c r="KK466" s="1297" t="str">
        <f t="shared" si="276"/>
        <v/>
      </c>
      <c r="KL466" s="1297" t="str">
        <f t="shared" si="277"/>
        <v/>
      </c>
      <c r="KM466" s="1297" t="str">
        <f t="shared" si="278"/>
        <v/>
      </c>
      <c r="KN466" s="1297" t="str">
        <f t="shared" si="279"/>
        <v/>
      </c>
      <c r="KO466" s="1297" t="str">
        <f t="shared" si="280"/>
        <v/>
      </c>
      <c r="KP466" s="1297" t="str">
        <f t="shared" si="281"/>
        <v/>
      </c>
      <c r="KQ466" s="1297" t="str">
        <f t="shared" si="282"/>
        <v/>
      </c>
      <c r="KR466" s="1297" t="str">
        <f t="shared" si="283"/>
        <v/>
      </c>
      <c r="KS466" s="1297" t="str">
        <f t="shared" si="284"/>
        <v/>
      </c>
      <c r="KT466" s="1297" t="str">
        <f t="shared" si="285"/>
        <v/>
      </c>
      <c r="KU466" s="1297" t="str">
        <f t="shared" si="286"/>
        <v/>
      </c>
      <c r="KV466" s="1297" t="str">
        <f t="shared" si="287"/>
        <v/>
      </c>
      <c r="KW466" s="1297" t="str">
        <f t="shared" si="288"/>
        <v/>
      </c>
      <c r="KX466" s="1297" t="str">
        <f t="shared" si="289"/>
        <v/>
      </c>
      <c r="KY466" s="1297" t="str">
        <f t="shared" si="290"/>
        <v/>
      </c>
      <c r="KZ466" s="1297" t="str">
        <f t="shared" si="291"/>
        <v/>
      </c>
      <c r="LA466" s="1297" t="str">
        <f t="shared" si="292"/>
        <v/>
      </c>
      <c r="LB466" s="1297" t="str">
        <f t="shared" si="293"/>
        <v/>
      </c>
      <c r="LC466" s="1297" t="str">
        <f t="shared" si="294"/>
        <v/>
      </c>
      <c r="LD466" s="1297" t="str">
        <f t="shared" si="295"/>
        <v/>
      </c>
      <c r="LE466" s="1297" t="str">
        <f t="shared" si="296"/>
        <v/>
      </c>
      <c r="LF466" s="1297" t="str">
        <f t="shared" si="297"/>
        <v/>
      </c>
      <c r="LG466" s="1297" t="str">
        <f t="shared" si="298"/>
        <v/>
      </c>
      <c r="LH466" s="1297" t="str">
        <f t="shared" si="299"/>
        <v/>
      </c>
      <c r="LI466" s="1297" t="str">
        <f t="shared" si="300"/>
        <v/>
      </c>
      <c r="LJ466" s="1297" t="str">
        <f t="shared" si="301"/>
        <v/>
      </c>
      <c r="LK466" s="1297" t="str">
        <f t="shared" si="302"/>
        <v/>
      </c>
      <c r="LL466" s="1297" t="str">
        <f t="shared" si="303"/>
        <v/>
      </c>
      <c r="LM466" s="1297" t="str">
        <f t="shared" si="304"/>
        <v/>
      </c>
      <c r="LN466" s="1297" t="str">
        <f t="shared" si="305"/>
        <v/>
      </c>
      <c r="LO466" s="1297" t="str">
        <f t="shared" si="306"/>
        <v/>
      </c>
      <c r="LP466" s="1297" t="str">
        <f t="shared" si="307"/>
        <v/>
      </c>
      <c r="LQ466" s="1297" t="str">
        <f t="shared" si="308"/>
        <v/>
      </c>
      <c r="LR466" s="1297" t="str">
        <f t="shared" si="309"/>
        <v/>
      </c>
      <c r="LS466" s="1297" t="str">
        <f t="shared" si="310"/>
        <v/>
      </c>
      <c r="LT466" s="1297" t="str">
        <f t="shared" si="311"/>
        <v/>
      </c>
      <c r="LU466" s="1297" t="str">
        <f t="shared" si="312"/>
        <v/>
      </c>
      <c r="LV466" s="1297" t="str">
        <f t="shared" si="313"/>
        <v/>
      </c>
      <c r="LW466" s="1297" t="str">
        <f t="shared" si="314"/>
        <v/>
      </c>
      <c r="LX466" s="1297" t="str">
        <f t="shared" si="315"/>
        <v/>
      </c>
      <c r="LY466" s="1297" t="str">
        <f t="shared" si="316"/>
        <v/>
      </c>
      <c r="LZ466" s="1297" t="str">
        <f t="shared" si="317"/>
        <v/>
      </c>
      <c r="MA466" s="1297" t="str">
        <f t="shared" si="318"/>
        <v/>
      </c>
      <c r="MB466" s="1297" t="str">
        <f t="shared" si="319"/>
        <v/>
      </c>
      <c r="MC466" s="1297" t="str">
        <f t="shared" si="320"/>
        <v/>
      </c>
      <c r="MD466" s="1297" t="str">
        <f t="shared" si="321"/>
        <v/>
      </c>
      <c r="ME466" s="1297" t="str">
        <f t="shared" si="322"/>
        <v/>
      </c>
      <c r="MF466" s="1297" t="str">
        <f t="shared" si="323"/>
        <v/>
      </c>
      <c r="MG466" s="1297" t="str">
        <f t="shared" si="324"/>
        <v/>
      </c>
      <c r="MH466" s="1297" t="str">
        <f t="shared" si="325"/>
        <v/>
      </c>
      <c r="MI466" s="1297" t="str">
        <f t="shared" si="326"/>
        <v/>
      </c>
      <c r="MJ466" s="1297" t="str">
        <f t="shared" si="327"/>
        <v/>
      </c>
      <c r="MK466" s="1297" t="str">
        <f t="shared" si="328"/>
        <v/>
      </c>
      <c r="ML466" s="1297" t="str">
        <f t="shared" si="329"/>
        <v/>
      </c>
      <c r="MM466" s="1297" t="str">
        <f t="shared" si="330"/>
        <v/>
      </c>
      <c r="MN466" s="1297" t="str">
        <f t="shared" si="331"/>
        <v/>
      </c>
      <c r="MO466" s="1297" t="str">
        <f t="shared" si="332"/>
        <v/>
      </c>
      <c r="MP466" s="1773" t="str">
        <f t="shared" si="333"/>
        <v/>
      </c>
      <c r="MQ466" s="1773" t="str">
        <f t="shared" si="334"/>
        <v/>
      </c>
      <c r="MR466" s="1773" t="str">
        <f t="shared" si="335"/>
        <v/>
      </c>
      <c r="MS466" s="1773" t="str">
        <f t="shared" si="336"/>
        <v/>
      </c>
      <c r="MT466" s="1773" t="str">
        <f t="shared" si="337"/>
        <v/>
      </c>
      <c r="MU466" s="251" t="str">
        <f t="shared" si="338"/>
        <v/>
      </c>
      <c r="MV466" s="251" t="str">
        <f t="shared" si="339"/>
        <v/>
      </c>
      <c r="MW466" s="251" t="str">
        <f t="shared" si="340"/>
        <v/>
      </c>
      <c r="MX466" s="251" t="str">
        <f t="shared" si="341"/>
        <v/>
      </c>
      <c r="MY466" s="251" t="str">
        <f t="shared" si="342"/>
        <v/>
      </c>
      <c r="MZ466" s="251" t="str">
        <f t="shared" si="343"/>
        <v/>
      </c>
      <c r="NA466" s="251" t="str">
        <f t="shared" si="344"/>
        <v/>
      </c>
      <c r="NB466" s="251" t="str">
        <f t="shared" si="345"/>
        <v/>
      </c>
      <c r="NC466" s="251" t="str">
        <f t="shared" si="346"/>
        <v/>
      </c>
      <c r="ND466" s="251" t="str">
        <f t="shared" si="347"/>
        <v/>
      </c>
      <c r="NE466" s="251" t="str">
        <f t="shared" si="348"/>
        <v/>
      </c>
      <c r="NF466" s="251" t="str">
        <f t="shared" si="349"/>
        <v/>
      </c>
      <c r="NG466" s="251" t="str">
        <f t="shared" si="350"/>
        <v/>
      </c>
      <c r="NH466" s="251" t="str">
        <f t="shared" si="351"/>
        <v/>
      </c>
      <c r="NI466" s="251" t="str">
        <f t="shared" si="352"/>
        <v/>
      </c>
      <c r="NJ466" s="251" t="str">
        <f t="shared" si="353"/>
        <v/>
      </c>
      <c r="NK466" s="251" t="str">
        <f t="shared" si="354"/>
        <v/>
      </c>
      <c r="NL466" s="251" t="str">
        <f t="shared" si="355"/>
        <v/>
      </c>
      <c r="NM466" s="251" t="str">
        <f t="shared" si="356"/>
        <v/>
      </c>
      <c r="NN466" s="251" t="str">
        <f t="shared" si="357"/>
        <v/>
      </c>
      <c r="NO466" s="1185">
        <f t="shared" si="358"/>
        <v>0</v>
      </c>
      <c r="NP466" s="1185">
        <f t="shared" si="359"/>
        <v>0</v>
      </c>
      <c r="NQ466" s="1185">
        <f t="shared" si="360"/>
        <v>0</v>
      </c>
      <c r="NR466" s="1185">
        <f t="shared" si="361"/>
        <v>0</v>
      </c>
      <c r="NS466" s="1185">
        <f t="shared" si="362"/>
        <v>0</v>
      </c>
      <c r="NT466" s="1185">
        <f t="shared" si="368"/>
        <v>0</v>
      </c>
      <c r="NU466" s="1185">
        <f t="shared" si="369"/>
        <v>0</v>
      </c>
      <c r="NV466" s="1185">
        <f t="shared" si="370"/>
        <v>0</v>
      </c>
      <c r="NW466" s="1185">
        <f t="shared" si="371"/>
        <v>0</v>
      </c>
      <c r="NX466" s="1185">
        <f t="shared" si="372"/>
        <v>0</v>
      </c>
      <c r="NY466" s="1185">
        <f t="shared" si="363"/>
        <v>0</v>
      </c>
      <c r="NZ466" s="1185">
        <f t="shared" si="364"/>
        <v>0</v>
      </c>
      <c r="OA466" s="1185">
        <f t="shared" si="365"/>
        <v>0</v>
      </c>
      <c r="OB466" s="1185">
        <f t="shared" si="366"/>
        <v>0</v>
      </c>
      <c r="OC466" s="1185">
        <f t="shared" si="367"/>
        <v>0</v>
      </c>
      <c r="OY466" s="251" t="s">
        <v>1161</v>
      </c>
      <c r="OZ466" s="1296">
        <v>13</v>
      </c>
    </row>
    <row r="467" spans="1:416" ht="12" customHeight="1">
      <c r="A467" s="1979" t="str">
        <f t="shared" si="0"/>
        <v/>
      </c>
      <c r="B467" s="1998" t="str">
        <f>'Part V-Revenues &amp; Expenses'!B14</f>
        <v>Unrestricted</v>
      </c>
      <c r="C467" s="1999">
        <f>'Part V-Revenues &amp; Expenses'!C14</f>
        <v>0</v>
      </c>
      <c r="D467" s="2000">
        <f>'Part V-Revenues &amp; Expenses'!D14</f>
        <v>0</v>
      </c>
      <c r="E467" s="2001">
        <f>'Part V-Revenues &amp; Expenses'!E14</f>
        <v>0</v>
      </c>
      <c r="F467" s="2001">
        <f>'Part V-Revenues &amp; Expenses'!F14</f>
        <v>0</v>
      </c>
      <c r="G467" s="2001">
        <f>'Part V-Revenues &amp; Expenses'!G14</f>
        <v>0</v>
      </c>
      <c r="H467" s="2001">
        <f>'Part V-Revenues &amp; Expenses'!H14</f>
        <v>0</v>
      </c>
      <c r="I467" s="2001">
        <f>'Part V-Revenues &amp; Expenses'!I14</f>
        <v>0</v>
      </c>
      <c r="J467" s="2001">
        <f>'Part V-Revenues &amp; Expenses'!J14</f>
        <v>0</v>
      </c>
      <c r="K467" s="2002">
        <f>'Part V-Revenues &amp; Expenses'!K14</f>
        <v>0</v>
      </c>
      <c r="L467" s="2003">
        <f t="shared" si="1"/>
        <v>0</v>
      </c>
      <c r="M467" s="2003">
        <f t="shared" si="2"/>
        <v>0</v>
      </c>
      <c r="N467" s="1853">
        <f>'Part V-Revenues &amp; Expenses'!N14</f>
        <v>0</v>
      </c>
      <c r="O467" s="899">
        <f>'Part V-Revenues &amp; Expenses'!O14</f>
        <v>0</v>
      </c>
      <c r="P467" s="1853">
        <f>'Part V-Revenues &amp; Expenses'!P14</f>
        <v>0</v>
      </c>
      <c r="Q467" s="1772">
        <f>'Part V-Revenues &amp; Expenses'!Q14</f>
        <v>0</v>
      </c>
      <c r="R467" s="2004"/>
      <c r="S467" s="2005"/>
      <c r="T467" s="1920"/>
      <c r="U467" s="1920"/>
      <c r="V467" s="1920"/>
      <c r="W467" s="1920"/>
      <c r="X467" s="251" t="str">
        <f t="shared" si="3"/>
        <v/>
      </c>
      <c r="Y467" s="251" t="str">
        <f t="shared" si="4"/>
        <v/>
      </c>
      <c r="Z467" s="251" t="str">
        <f t="shared" si="5"/>
        <v/>
      </c>
      <c r="AA467" s="251" t="str">
        <f t="shared" si="6"/>
        <v/>
      </c>
      <c r="AB467" s="251" t="str">
        <f t="shared" si="7"/>
        <v/>
      </c>
      <c r="AC467" s="251" t="str">
        <f t="shared" si="8"/>
        <v/>
      </c>
      <c r="AD467" s="251" t="str">
        <f t="shared" si="9"/>
        <v/>
      </c>
      <c r="AE467" s="251" t="str">
        <f t="shared" si="10"/>
        <v/>
      </c>
      <c r="AF467" s="251" t="str">
        <f t="shared" si="11"/>
        <v/>
      </c>
      <c r="AG467" s="251" t="str">
        <f t="shared" si="12"/>
        <v/>
      </c>
      <c r="AH467" s="251" t="str">
        <f t="shared" si="13"/>
        <v/>
      </c>
      <c r="AI467" s="251" t="str">
        <f t="shared" si="14"/>
        <v/>
      </c>
      <c r="AJ467" s="251" t="str">
        <f t="shared" si="15"/>
        <v/>
      </c>
      <c r="AK467" s="251" t="str">
        <f t="shared" si="16"/>
        <v/>
      </c>
      <c r="AL467" s="251" t="str">
        <f t="shared" si="17"/>
        <v/>
      </c>
      <c r="AM467" s="251" t="str">
        <f t="shared" si="18"/>
        <v/>
      </c>
      <c r="AN467" s="251" t="str">
        <f t="shared" si="19"/>
        <v/>
      </c>
      <c r="AO467" s="251" t="str">
        <f t="shared" si="20"/>
        <v/>
      </c>
      <c r="AP467" s="251" t="str">
        <f t="shared" si="21"/>
        <v/>
      </c>
      <c r="AQ467" s="251" t="str">
        <f t="shared" si="22"/>
        <v/>
      </c>
      <c r="AR467" s="251" t="str">
        <f t="shared" si="23"/>
        <v/>
      </c>
      <c r="AS467" s="251" t="str">
        <f t="shared" si="24"/>
        <v/>
      </c>
      <c r="AT467" s="251" t="str">
        <f t="shared" si="25"/>
        <v/>
      </c>
      <c r="AU467" s="251" t="str">
        <f t="shared" si="26"/>
        <v/>
      </c>
      <c r="AV467" s="251" t="str">
        <f t="shared" si="27"/>
        <v/>
      </c>
      <c r="AW467" s="251" t="str">
        <f t="shared" si="28"/>
        <v/>
      </c>
      <c r="AX467" s="251" t="str">
        <f t="shared" si="29"/>
        <v/>
      </c>
      <c r="AY467" s="251" t="str">
        <f t="shared" si="30"/>
        <v/>
      </c>
      <c r="AZ467" s="251" t="str">
        <f t="shared" si="31"/>
        <v/>
      </c>
      <c r="BA467" s="251" t="str">
        <f t="shared" si="32"/>
        <v/>
      </c>
      <c r="BB467" s="251" t="str">
        <f t="shared" si="33"/>
        <v/>
      </c>
      <c r="BC467" s="251" t="str">
        <f t="shared" si="34"/>
        <v/>
      </c>
      <c r="BD467" s="251" t="str">
        <f t="shared" si="35"/>
        <v/>
      </c>
      <c r="BE467" s="251" t="str">
        <f t="shared" si="36"/>
        <v/>
      </c>
      <c r="BF467" s="251" t="str">
        <f t="shared" si="37"/>
        <v/>
      </c>
      <c r="BG467" s="251" t="str">
        <f t="shared" si="38"/>
        <v/>
      </c>
      <c r="BH467" s="251" t="str">
        <f t="shared" si="39"/>
        <v/>
      </c>
      <c r="BI467" s="251" t="str">
        <f t="shared" si="40"/>
        <v/>
      </c>
      <c r="BJ467" s="251" t="str">
        <f t="shared" si="41"/>
        <v/>
      </c>
      <c r="BK467" s="251" t="str">
        <f t="shared" si="42"/>
        <v/>
      </c>
      <c r="BL467" s="251" t="str">
        <f t="shared" si="43"/>
        <v/>
      </c>
      <c r="BM467" s="251" t="str">
        <f t="shared" si="44"/>
        <v/>
      </c>
      <c r="BN467" s="251" t="str">
        <f t="shared" si="45"/>
        <v/>
      </c>
      <c r="BO467" s="251" t="str">
        <f t="shared" si="46"/>
        <v/>
      </c>
      <c r="BP467" s="251" t="str">
        <f t="shared" si="47"/>
        <v/>
      </c>
      <c r="BQ467" s="251" t="str">
        <f t="shared" si="48"/>
        <v/>
      </c>
      <c r="BR467" s="251" t="str">
        <f t="shared" si="49"/>
        <v/>
      </c>
      <c r="BS467" s="251" t="str">
        <f t="shared" si="50"/>
        <v/>
      </c>
      <c r="BT467" s="251" t="str">
        <f t="shared" si="51"/>
        <v/>
      </c>
      <c r="BU467" s="251" t="str">
        <f t="shared" si="52"/>
        <v/>
      </c>
      <c r="BV467" s="251" t="str">
        <f t="shared" si="53"/>
        <v/>
      </c>
      <c r="BW467" s="251" t="str">
        <f t="shared" si="54"/>
        <v/>
      </c>
      <c r="BX467" s="251" t="str">
        <f t="shared" si="55"/>
        <v/>
      </c>
      <c r="BY467" s="251" t="str">
        <f t="shared" si="56"/>
        <v/>
      </c>
      <c r="BZ467" s="251" t="str">
        <f t="shared" si="57"/>
        <v/>
      </c>
      <c r="CA467" s="251" t="str">
        <f t="shared" si="58"/>
        <v/>
      </c>
      <c r="CB467" s="251" t="str">
        <f t="shared" si="59"/>
        <v/>
      </c>
      <c r="CC467" s="251" t="str">
        <f t="shared" si="60"/>
        <v/>
      </c>
      <c r="CD467" s="251" t="str">
        <f t="shared" si="61"/>
        <v/>
      </c>
      <c r="CE467" s="251" t="str">
        <f t="shared" si="62"/>
        <v/>
      </c>
      <c r="CF467" s="251" t="str">
        <f t="shared" si="63"/>
        <v/>
      </c>
      <c r="CG467" s="251" t="str">
        <f t="shared" si="64"/>
        <v/>
      </c>
      <c r="CH467" s="251" t="str">
        <f t="shared" si="65"/>
        <v/>
      </c>
      <c r="CI467" s="251" t="str">
        <f t="shared" si="66"/>
        <v/>
      </c>
      <c r="CJ467" s="251" t="str">
        <f t="shared" si="67"/>
        <v/>
      </c>
      <c r="CK467" s="251" t="str">
        <f t="shared" si="68"/>
        <v/>
      </c>
      <c r="CL467" s="251" t="str">
        <f t="shared" si="69"/>
        <v/>
      </c>
      <c r="CM467" s="251" t="str">
        <f t="shared" si="70"/>
        <v/>
      </c>
      <c r="CN467" s="251" t="str">
        <f t="shared" si="71"/>
        <v/>
      </c>
      <c r="CO467" s="251" t="str">
        <f t="shared" si="72"/>
        <v/>
      </c>
      <c r="CP467" s="251" t="str">
        <f t="shared" si="73"/>
        <v/>
      </c>
      <c r="CQ467" s="251" t="str">
        <f t="shared" si="74"/>
        <v/>
      </c>
      <c r="CR467" s="251" t="str">
        <f t="shared" si="75"/>
        <v/>
      </c>
      <c r="CS467" s="251" t="str">
        <f t="shared" si="76"/>
        <v/>
      </c>
      <c r="CT467" s="251" t="str">
        <f t="shared" si="77"/>
        <v/>
      </c>
      <c r="CU467" s="251" t="str">
        <f t="shared" si="78"/>
        <v/>
      </c>
      <c r="CV467" s="251" t="str">
        <f t="shared" si="79"/>
        <v/>
      </c>
      <c r="CW467" s="251" t="str">
        <f t="shared" si="80"/>
        <v/>
      </c>
      <c r="CX467" s="251" t="str">
        <f t="shared" si="81"/>
        <v/>
      </c>
      <c r="CY467" s="251" t="str">
        <f t="shared" si="82"/>
        <v/>
      </c>
      <c r="CZ467" s="251" t="str">
        <f t="shared" si="83"/>
        <v/>
      </c>
      <c r="DA467" s="251" t="str">
        <f t="shared" si="84"/>
        <v/>
      </c>
      <c r="DB467" s="251" t="str">
        <f t="shared" si="85"/>
        <v/>
      </c>
      <c r="DC467" s="251" t="str">
        <f t="shared" si="86"/>
        <v/>
      </c>
      <c r="DD467" s="251" t="str">
        <f t="shared" si="87"/>
        <v/>
      </c>
      <c r="DE467" s="251" t="str">
        <f t="shared" si="88"/>
        <v/>
      </c>
      <c r="DF467" s="251" t="str">
        <f t="shared" si="89"/>
        <v/>
      </c>
      <c r="DG467" s="251" t="str">
        <f t="shared" si="90"/>
        <v/>
      </c>
      <c r="DH467" s="251" t="str">
        <f t="shared" si="91"/>
        <v/>
      </c>
      <c r="DI467" s="251" t="str">
        <f t="shared" si="92"/>
        <v/>
      </c>
      <c r="DJ467" s="251" t="str">
        <f t="shared" si="93"/>
        <v/>
      </c>
      <c r="DK467" s="251" t="str">
        <f t="shared" si="94"/>
        <v/>
      </c>
      <c r="DL467" s="251" t="str">
        <f t="shared" si="95"/>
        <v/>
      </c>
      <c r="DM467" s="251" t="str">
        <f t="shared" si="96"/>
        <v/>
      </c>
      <c r="DN467" s="251" t="str">
        <f t="shared" si="97"/>
        <v/>
      </c>
      <c r="DO467" s="251" t="str">
        <f t="shared" si="98"/>
        <v/>
      </c>
      <c r="DP467" s="251" t="str">
        <f t="shared" si="99"/>
        <v/>
      </c>
      <c r="DQ467" s="251" t="str">
        <f t="shared" si="100"/>
        <v/>
      </c>
      <c r="DR467" s="251" t="str">
        <f t="shared" si="101"/>
        <v/>
      </c>
      <c r="DS467" s="251" t="str">
        <f t="shared" si="102"/>
        <v/>
      </c>
      <c r="DT467" s="251" t="str">
        <f t="shared" si="103"/>
        <v/>
      </c>
      <c r="DU467" s="251" t="str">
        <f t="shared" si="104"/>
        <v/>
      </c>
      <c r="DV467" s="251" t="str">
        <f t="shared" si="105"/>
        <v/>
      </c>
      <c r="DW467" s="251" t="str">
        <f t="shared" si="106"/>
        <v/>
      </c>
      <c r="DX467" s="251" t="str">
        <f t="shared" si="107"/>
        <v/>
      </c>
      <c r="DY467" s="251" t="str">
        <f t="shared" si="108"/>
        <v/>
      </c>
      <c r="DZ467" s="251" t="str">
        <f t="shared" si="109"/>
        <v/>
      </c>
      <c r="EA467" s="251" t="str">
        <f t="shared" si="110"/>
        <v/>
      </c>
      <c r="EB467" s="251" t="str">
        <f t="shared" si="111"/>
        <v/>
      </c>
      <c r="EC467" s="251" t="str">
        <f t="shared" si="112"/>
        <v/>
      </c>
      <c r="ED467" s="251" t="str">
        <f t="shared" si="113"/>
        <v/>
      </c>
      <c r="EE467" s="251" t="str">
        <f t="shared" si="114"/>
        <v/>
      </c>
      <c r="EF467" s="251" t="str">
        <f t="shared" si="115"/>
        <v/>
      </c>
      <c r="EG467" s="251" t="str">
        <f t="shared" si="116"/>
        <v/>
      </c>
      <c r="EH467" s="251" t="str">
        <f t="shared" si="117"/>
        <v/>
      </c>
      <c r="EI467" s="251" t="str">
        <f t="shared" si="118"/>
        <v/>
      </c>
      <c r="EJ467" s="251" t="str">
        <f t="shared" si="119"/>
        <v/>
      </c>
      <c r="EK467" s="251" t="str">
        <f t="shared" si="120"/>
        <v/>
      </c>
      <c r="EL467" s="251" t="str">
        <f t="shared" si="121"/>
        <v/>
      </c>
      <c r="EM467" s="251" t="str">
        <f t="shared" si="122"/>
        <v/>
      </c>
      <c r="EN467" s="251" t="str">
        <f t="shared" si="123"/>
        <v/>
      </c>
      <c r="EO467" s="251" t="str">
        <f t="shared" si="124"/>
        <v/>
      </c>
      <c r="EP467" s="251" t="str">
        <f t="shared" si="125"/>
        <v/>
      </c>
      <c r="EQ467" s="251" t="str">
        <f t="shared" si="126"/>
        <v/>
      </c>
      <c r="ER467" s="251" t="str">
        <f t="shared" si="127"/>
        <v/>
      </c>
      <c r="ES467" s="251" t="str">
        <f t="shared" si="128"/>
        <v/>
      </c>
      <c r="ET467" s="251" t="str">
        <f t="shared" si="129"/>
        <v/>
      </c>
      <c r="EU467" s="251" t="str">
        <f t="shared" si="130"/>
        <v/>
      </c>
      <c r="EV467" s="251" t="str">
        <f t="shared" si="131"/>
        <v/>
      </c>
      <c r="EW467" s="251" t="str">
        <f t="shared" si="132"/>
        <v/>
      </c>
      <c r="EX467" s="251" t="str">
        <f t="shared" si="133"/>
        <v/>
      </c>
      <c r="EY467" s="251" t="str">
        <f t="shared" si="134"/>
        <v/>
      </c>
      <c r="EZ467" s="251" t="str">
        <f t="shared" si="135"/>
        <v/>
      </c>
      <c r="FA467" s="251" t="str">
        <f t="shared" si="136"/>
        <v/>
      </c>
      <c r="FB467" s="251" t="str">
        <f t="shared" si="137"/>
        <v/>
      </c>
      <c r="FC467" s="251" t="str">
        <f t="shared" si="138"/>
        <v/>
      </c>
      <c r="FD467" s="251" t="str">
        <f t="shared" si="139"/>
        <v/>
      </c>
      <c r="FE467" s="251" t="str">
        <f t="shared" si="140"/>
        <v/>
      </c>
      <c r="FF467" s="251" t="str">
        <f t="shared" si="141"/>
        <v/>
      </c>
      <c r="FG467" s="251" t="str">
        <f t="shared" si="142"/>
        <v/>
      </c>
      <c r="FH467" s="251" t="str">
        <f t="shared" si="143"/>
        <v/>
      </c>
      <c r="FI467" s="251" t="str">
        <f t="shared" si="144"/>
        <v/>
      </c>
      <c r="FJ467" s="251" t="str">
        <f t="shared" si="145"/>
        <v/>
      </c>
      <c r="FK467" s="251" t="str">
        <f t="shared" si="146"/>
        <v/>
      </c>
      <c r="FL467" s="251" t="str">
        <f t="shared" si="147"/>
        <v/>
      </c>
      <c r="FM467" s="251" t="str">
        <f t="shared" si="148"/>
        <v/>
      </c>
      <c r="FN467" s="251" t="str">
        <f t="shared" si="149"/>
        <v/>
      </c>
      <c r="FO467" s="251" t="str">
        <f t="shared" si="150"/>
        <v/>
      </c>
      <c r="FP467" s="251" t="str">
        <f t="shared" si="151"/>
        <v/>
      </c>
      <c r="FQ467" s="251" t="str">
        <f t="shared" si="152"/>
        <v/>
      </c>
      <c r="FR467" s="251" t="str">
        <f t="shared" si="153"/>
        <v/>
      </c>
      <c r="FS467" s="251" t="str">
        <f t="shared" si="154"/>
        <v/>
      </c>
      <c r="FT467" s="251" t="str">
        <f t="shared" si="155"/>
        <v/>
      </c>
      <c r="FU467" s="251" t="str">
        <f t="shared" si="156"/>
        <v/>
      </c>
      <c r="FV467" s="251" t="str">
        <f t="shared" si="157"/>
        <v/>
      </c>
      <c r="FW467" s="251" t="str">
        <f t="shared" si="158"/>
        <v/>
      </c>
      <c r="FX467" s="251" t="str">
        <f t="shared" si="159"/>
        <v/>
      </c>
      <c r="FY467" s="251" t="str">
        <f t="shared" si="160"/>
        <v/>
      </c>
      <c r="FZ467" s="251" t="str">
        <f t="shared" si="161"/>
        <v/>
      </c>
      <c r="GA467" s="251" t="str">
        <f t="shared" si="162"/>
        <v/>
      </c>
      <c r="GB467" s="251" t="str">
        <f t="shared" si="163"/>
        <v/>
      </c>
      <c r="GC467" s="251" t="str">
        <f t="shared" si="164"/>
        <v/>
      </c>
      <c r="GD467" s="251" t="str">
        <f t="shared" si="165"/>
        <v/>
      </c>
      <c r="GE467" s="251" t="str">
        <f t="shared" si="166"/>
        <v/>
      </c>
      <c r="GF467" s="251" t="str">
        <f t="shared" si="167"/>
        <v/>
      </c>
      <c r="GG467" s="251" t="str">
        <f t="shared" si="168"/>
        <v/>
      </c>
      <c r="GH467" s="251" t="str">
        <f t="shared" si="169"/>
        <v/>
      </c>
      <c r="GI467" s="251" t="str">
        <f t="shared" si="170"/>
        <v/>
      </c>
      <c r="GJ467" s="251" t="str">
        <f t="shared" si="171"/>
        <v/>
      </c>
      <c r="GK467" s="251" t="str">
        <f t="shared" si="172"/>
        <v/>
      </c>
      <c r="GL467" s="251" t="str">
        <f t="shared" si="173"/>
        <v/>
      </c>
      <c r="GM467" s="251" t="str">
        <f t="shared" si="174"/>
        <v/>
      </c>
      <c r="GN467" s="251" t="str">
        <f t="shared" si="175"/>
        <v/>
      </c>
      <c r="GO467" s="251" t="str">
        <f t="shared" si="176"/>
        <v/>
      </c>
      <c r="GP467" s="251" t="str">
        <f t="shared" si="177"/>
        <v/>
      </c>
      <c r="GQ467" s="251" t="str">
        <f t="shared" si="178"/>
        <v/>
      </c>
      <c r="GR467" s="251" t="str">
        <f t="shared" si="179"/>
        <v/>
      </c>
      <c r="GS467" s="251" t="str">
        <f t="shared" si="180"/>
        <v/>
      </c>
      <c r="GT467" s="251" t="str">
        <f t="shared" si="181"/>
        <v/>
      </c>
      <c r="GU467" s="251" t="str">
        <f t="shared" si="182"/>
        <v/>
      </c>
      <c r="GV467" s="251" t="str">
        <f t="shared" si="183"/>
        <v/>
      </c>
      <c r="GW467" s="251" t="str">
        <f t="shared" si="184"/>
        <v/>
      </c>
      <c r="GX467" s="251" t="str">
        <f t="shared" si="185"/>
        <v/>
      </c>
      <c r="GY467" s="251" t="str">
        <f t="shared" si="186"/>
        <v/>
      </c>
      <c r="GZ467" s="251" t="str">
        <f t="shared" si="187"/>
        <v/>
      </c>
      <c r="HA467" s="251" t="str">
        <f t="shared" si="188"/>
        <v/>
      </c>
      <c r="HB467" s="251" t="str">
        <f t="shared" si="189"/>
        <v/>
      </c>
      <c r="HC467" s="251" t="str">
        <f t="shared" si="190"/>
        <v/>
      </c>
      <c r="HD467" s="251" t="str">
        <f t="shared" si="191"/>
        <v/>
      </c>
      <c r="HE467" s="251" t="str">
        <f t="shared" si="192"/>
        <v/>
      </c>
      <c r="HF467" s="251" t="str">
        <f t="shared" si="193"/>
        <v/>
      </c>
      <c r="HG467" s="251" t="str">
        <f t="shared" si="194"/>
        <v/>
      </c>
      <c r="HH467" s="251" t="str">
        <f t="shared" si="195"/>
        <v/>
      </c>
      <c r="HI467" s="251" t="str">
        <f t="shared" si="196"/>
        <v/>
      </c>
      <c r="HJ467" s="251" t="str">
        <f t="shared" si="197"/>
        <v/>
      </c>
      <c r="HK467" s="251" t="str">
        <f t="shared" si="198"/>
        <v/>
      </c>
      <c r="HL467" s="251" t="str">
        <f t="shared" si="199"/>
        <v/>
      </c>
      <c r="HM467" s="251" t="str">
        <f t="shared" si="200"/>
        <v/>
      </c>
      <c r="HN467" s="251" t="str">
        <f t="shared" si="201"/>
        <v/>
      </c>
      <c r="HO467" s="251" t="str">
        <f t="shared" si="202"/>
        <v/>
      </c>
      <c r="HP467" s="251" t="str">
        <f t="shared" si="203"/>
        <v/>
      </c>
      <c r="HQ467" s="251" t="str">
        <f t="shared" si="204"/>
        <v/>
      </c>
      <c r="HR467" s="251" t="str">
        <f t="shared" si="205"/>
        <v/>
      </c>
      <c r="HS467" s="251" t="str">
        <f t="shared" si="206"/>
        <v/>
      </c>
      <c r="HT467" s="251" t="str">
        <f t="shared" si="207"/>
        <v/>
      </c>
      <c r="HU467" s="251" t="str">
        <f t="shared" si="208"/>
        <v/>
      </c>
      <c r="HV467" s="251" t="str">
        <f t="shared" si="209"/>
        <v/>
      </c>
      <c r="HW467" s="251" t="str">
        <f t="shared" si="210"/>
        <v/>
      </c>
      <c r="HX467" s="251" t="str">
        <f t="shared" si="211"/>
        <v/>
      </c>
      <c r="HY467" s="251" t="str">
        <f t="shared" si="212"/>
        <v/>
      </c>
      <c r="HZ467" s="251" t="str">
        <f t="shared" si="213"/>
        <v/>
      </c>
      <c r="IA467" s="251" t="str">
        <f t="shared" si="214"/>
        <v/>
      </c>
      <c r="IB467" s="251" t="str">
        <f t="shared" si="215"/>
        <v/>
      </c>
      <c r="IC467" s="251" t="str">
        <f t="shared" si="216"/>
        <v/>
      </c>
      <c r="ID467" s="251" t="str">
        <f t="shared" si="217"/>
        <v/>
      </c>
      <c r="IE467" s="251" t="str">
        <f t="shared" si="218"/>
        <v/>
      </c>
      <c r="IF467" s="251" t="str">
        <f t="shared" si="219"/>
        <v/>
      </c>
      <c r="IG467" s="251" t="str">
        <f t="shared" si="220"/>
        <v/>
      </c>
      <c r="IH467" s="251" t="str">
        <f t="shared" si="221"/>
        <v/>
      </c>
      <c r="II467" s="251" t="str">
        <f t="shared" si="222"/>
        <v/>
      </c>
      <c r="IJ467" s="251" t="str">
        <f t="shared" si="223"/>
        <v/>
      </c>
      <c r="IK467" s="251" t="str">
        <f t="shared" si="224"/>
        <v/>
      </c>
      <c r="IL467" s="251" t="str">
        <f t="shared" si="225"/>
        <v/>
      </c>
      <c r="IM467" s="251" t="str">
        <f t="shared" si="226"/>
        <v/>
      </c>
      <c r="IN467" s="251" t="str">
        <f t="shared" si="227"/>
        <v/>
      </c>
      <c r="IO467" s="251" t="str">
        <f t="shared" si="228"/>
        <v/>
      </c>
      <c r="IP467" s="251" t="str">
        <f t="shared" si="229"/>
        <v/>
      </c>
      <c r="IQ467" s="251" t="str">
        <f t="shared" si="230"/>
        <v/>
      </c>
      <c r="IR467" s="251" t="str">
        <f t="shared" si="231"/>
        <v/>
      </c>
      <c r="IS467" s="251" t="str">
        <f t="shared" si="232"/>
        <v/>
      </c>
      <c r="IT467" s="251" t="str">
        <f t="shared" si="233"/>
        <v/>
      </c>
      <c r="IU467" s="251" t="str">
        <f t="shared" si="234"/>
        <v/>
      </c>
      <c r="IV467" s="251" t="str">
        <f t="shared" si="235"/>
        <v/>
      </c>
      <c r="IW467" s="251" t="str">
        <f t="shared" si="236"/>
        <v/>
      </c>
      <c r="IX467" s="251" t="str">
        <f t="shared" si="237"/>
        <v/>
      </c>
      <c r="IY467" s="251" t="str">
        <f t="shared" si="238"/>
        <v/>
      </c>
      <c r="IZ467" s="251" t="str">
        <f t="shared" si="239"/>
        <v/>
      </c>
      <c r="JA467" s="251" t="str">
        <f t="shared" si="240"/>
        <v/>
      </c>
      <c r="JB467" s="251" t="str">
        <f t="shared" si="241"/>
        <v/>
      </c>
      <c r="JC467" s="251" t="str">
        <f t="shared" si="242"/>
        <v/>
      </c>
      <c r="JD467" s="251" t="str">
        <f t="shared" si="243"/>
        <v/>
      </c>
      <c r="JE467" s="251" t="str">
        <f t="shared" si="244"/>
        <v/>
      </c>
      <c r="JF467" s="251" t="str">
        <f t="shared" si="245"/>
        <v/>
      </c>
      <c r="JG467" s="251" t="str">
        <f t="shared" si="246"/>
        <v/>
      </c>
      <c r="JH467" s="251" t="str">
        <f t="shared" si="247"/>
        <v/>
      </c>
      <c r="JI467" s="1297" t="str">
        <f t="shared" si="248"/>
        <v/>
      </c>
      <c r="JJ467" s="1297" t="str">
        <f t="shared" si="249"/>
        <v/>
      </c>
      <c r="JK467" s="1297" t="str">
        <f t="shared" si="250"/>
        <v/>
      </c>
      <c r="JL467" s="1297" t="str">
        <f t="shared" si="251"/>
        <v/>
      </c>
      <c r="JM467" s="1297" t="str">
        <f t="shared" si="252"/>
        <v/>
      </c>
      <c r="JN467" s="1297" t="str">
        <f t="shared" si="253"/>
        <v/>
      </c>
      <c r="JO467" s="1297" t="str">
        <f t="shared" si="254"/>
        <v/>
      </c>
      <c r="JP467" s="1297" t="str">
        <f t="shared" si="255"/>
        <v/>
      </c>
      <c r="JQ467" s="1297" t="str">
        <f t="shared" si="256"/>
        <v/>
      </c>
      <c r="JR467" s="1297" t="str">
        <f t="shared" si="257"/>
        <v/>
      </c>
      <c r="JS467" s="1297" t="str">
        <f t="shared" si="258"/>
        <v/>
      </c>
      <c r="JT467" s="1297" t="str">
        <f t="shared" si="259"/>
        <v/>
      </c>
      <c r="JU467" s="1297" t="str">
        <f t="shared" si="260"/>
        <v/>
      </c>
      <c r="JV467" s="1297" t="str">
        <f t="shared" si="261"/>
        <v/>
      </c>
      <c r="JW467" s="1297" t="str">
        <f t="shared" si="262"/>
        <v/>
      </c>
      <c r="JX467" s="1297" t="str">
        <f t="shared" si="263"/>
        <v/>
      </c>
      <c r="JY467" s="1297" t="str">
        <f t="shared" si="264"/>
        <v/>
      </c>
      <c r="JZ467" s="1297" t="str">
        <f t="shared" si="265"/>
        <v/>
      </c>
      <c r="KA467" s="1297" t="str">
        <f t="shared" si="266"/>
        <v/>
      </c>
      <c r="KB467" s="1297" t="str">
        <f t="shared" si="267"/>
        <v/>
      </c>
      <c r="KC467" s="1297" t="str">
        <f t="shared" si="268"/>
        <v/>
      </c>
      <c r="KD467" s="1297" t="str">
        <f t="shared" si="269"/>
        <v/>
      </c>
      <c r="KE467" s="1297" t="str">
        <f t="shared" si="270"/>
        <v/>
      </c>
      <c r="KF467" s="1297" t="str">
        <f t="shared" si="271"/>
        <v/>
      </c>
      <c r="KG467" s="1297" t="str">
        <f t="shared" si="272"/>
        <v/>
      </c>
      <c r="KH467" s="1297" t="str">
        <f t="shared" si="273"/>
        <v/>
      </c>
      <c r="KI467" s="1297" t="str">
        <f t="shared" si="274"/>
        <v/>
      </c>
      <c r="KJ467" s="1297" t="str">
        <f t="shared" si="275"/>
        <v/>
      </c>
      <c r="KK467" s="1297" t="str">
        <f t="shared" si="276"/>
        <v/>
      </c>
      <c r="KL467" s="1297" t="str">
        <f t="shared" si="277"/>
        <v/>
      </c>
      <c r="KM467" s="1297" t="str">
        <f t="shared" si="278"/>
        <v/>
      </c>
      <c r="KN467" s="1297" t="str">
        <f t="shared" si="279"/>
        <v/>
      </c>
      <c r="KO467" s="1297" t="str">
        <f t="shared" si="280"/>
        <v/>
      </c>
      <c r="KP467" s="1297" t="str">
        <f t="shared" si="281"/>
        <v/>
      </c>
      <c r="KQ467" s="1297" t="str">
        <f t="shared" si="282"/>
        <v/>
      </c>
      <c r="KR467" s="1297" t="str">
        <f t="shared" si="283"/>
        <v/>
      </c>
      <c r="KS467" s="1297" t="str">
        <f t="shared" si="284"/>
        <v/>
      </c>
      <c r="KT467" s="1297" t="str">
        <f t="shared" si="285"/>
        <v/>
      </c>
      <c r="KU467" s="1297" t="str">
        <f t="shared" si="286"/>
        <v/>
      </c>
      <c r="KV467" s="1297" t="str">
        <f t="shared" si="287"/>
        <v/>
      </c>
      <c r="KW467" s="1297" t="str">
        <f t="shared" si="288"/>
        <v/>
      </c>
      <c r="KX467" s="1297" t="str">
        <f t="shared" si="289"/>
        <v/>
      </c>
      <c r="KY467" s="1297" t="str">
        <f t="shared" si="290"/>
        <v/>
      </c>
      <c r="KZ467" s="1297" t="str">
        <f t="shared" si="291"/>
        <v/>
      </c>
      <c r="LA467" s="1297" t="str">
        <f t="shared" si="292"/>
        <v/>
      </c>
      <c r="LB467" s="1297" t="str">
        <f t="shared" si="293"/>
        <v/>
      </c>
      <c r="LC467" s="1297" t="str">
        <f t="shared" si="294"/>
        <v/>
      </c>
      <c r="LD467" s="1297" t="str">
        <f t="shared" si="295"/>
        <v/>
      </c>
      <c r="LE467" s="1297" t="str">
        <f t="shared" si="296"/>
        <v/>
      </c>
      <c r="LF467" s="1297" t="str">
        <f t="shared" si="297"/>
        <v/>
      </c>
      <c r="LG467" s="1297" t="str">
        <f t="shared" si="298"/>
        <v/>
      </c>
      <c r="LH467" s="1297" t="str">
        <f t="shared" si="299"/>
        <v/>
      </c>
      <c r="LI467" s="1297" t="str">
        <f t="shared" si="300"/>
        <v/>
      </c>
      <c r="LJ467" s="1297" t="str">
        <f t="shared" si="301"/>
        <v/>
      </c>
      <c r="LK467" s="1297" t="str">
        <f t="shared" si="302"/>
        <v/>
      </c>
      <c r="LL467" s="1297" t="str">
        <f t="shared" si="303"/>
        <v/>
      </c>
      <c r="LM467" s="1297" t="str">
        <f t="shared" si="304"/>
        <v/>
      </c>
      <c r="LN467" s="1297" t="str">
        <f t="shared" si="305"/>
        <v/>
      </c>
      <c r="LO467" s="1297" t="str">
        <f t="shared" si="306"/>
        <v/>
      </c>
      <c r="LP467" s="1297" t="str">
        <f t="shared" si="307"/>
        <v/>
      </c>
      <c r="LQ467" s="1297" t="str">
        <f t="shared" si="308"/>
        <v/>
      </c>
      <c r="LR467" s="1297" t="str">
        <f t="shared" si="309"/>
        <v/>
      </c>
      <c r="LS467" s="1297" t="str">
        <f t="shared" si="310"/>
        <v/>
      </c>
      <c r="LT467" s="1297" t="str">
        <f t="shared" si="311"/>
        <v/>
      </c>
      <c r="LU467" s="1297" t="str">
        <f t="shared" si="312"/>
        <v/>
      </c>
      <c r="LV467" s="1297" t="str">
        <f t="shared" si="313"/>
        <v/>
      </c>
      <c r="LW467" s="1297" t="str">
        <f t="shared" si="314"/>
        <v/>
      </c>
      <c r="LX467" s="1297" t="str">
        <f t="shared" si="315"/>
        <v/>
      </c>
      <c r="LY467" s="1297" t="str">
        <f t="shared" si="316"/>
        <v/>
      </c>
      <c r="LZ467" s="1297" t="str">
        <f t="shared" si="317"/>
        <v/>
      </c>
      <c r="MA467" s="1297" t="str">
        <f t="shared" si="318"/>
        <v/>
      </c>
      <c r="MB467" s="1297" t="str">
        <f t="shared" si="319"/>
        <v/>
      </c>
      <c r="MC467" s="1297" t="str">
        <f t="shared" si="320"/>
        <v/>
      </c>
      <c r="MD467" s="1297" t="str">
        <f t="shared" si="321"/>
        <v/>
      </c>
      <c r="ME467" s="1297" t="str">
        <f t="shared" si="322"/>
        <v/>
      </c>
      <c r="MF467" s="1297" t="str">
        <f t="shared" si="323"/>
        <v/>
      </c>
      <c r="MG467" s="1297" t="str">
        <f t="shared" si="324"/>
        <v/>
      </c>
      <c r="MH467" s="1297" t="str">
        <f t="shared" si="325"/>
        <v/>
      </c>
      <c r="MI467" s="1297" t="str">
        <f t="shared" si="326"/>
        <v/>
      </c>
      <c r="MJ467" s="1297" t="str">
        <f t="shared" si="327"/>
        <v/>
      </c>
      <c r="MK467" s="1297" t="str">
        <f t="shared" si="328"/>
        <v/>
      </c>
      <c r="ML467" s="1297" t="str">
        <f t="shared" si="329"/>
        <v/>
      </c>
      <c r="MM467" s="1297" t="str">
        <f t="shared" si="330"/>
        <v/>
      </c>
      <c r="MN467" s="1297" t="str">
        <f t="shared" si="331"/>
        <v/>
      </c>
      <c r="MO467" s="1297" t="str">
        <f t="shared" si="332"/>
        <v/>
      </c>
      <c r="MP467" s="1773" t="str">
        <f t="shared" si="333"/>
        <v/>
      </c>
      <c r="MQ467" s="1773" t="str">
        <f t="shared" si="334"/>
        <v/>
      </c>
      <c r="MR467" s="1773" t="str">
        <f t="shared" si="335"/>
        <v/>
      </c>
      <c r="MS467" s="1773" t="str">
        <f t="shared" si="336"/>
        <v/>
      </c>
      <c r="MT467" s="1773" t="str">
        <f t="shared" si="337"/>
        <v/>
      </c>
      <c r="MU467" s="251" t="str">
        <f t="shared" si="338"/>
        <v/>
      </c>
      <c r="MV467" s="251" t="str">
        <f t="shared" si="339"/>
        <v/>
      </c>
      <c r="MW467" s="251" t="str">
        <f t="shared" si="340"/>
        <v/>
      </c>
      <c r="MX467" s="251" t="str">
        <f t="shared" si="341"/>
        <v/>
      </c>
      <c r="MY467" s="251" t="str">
        <f t="shared" si="342"/>
        <v/>
      </c>
      <c r="MZ467" s="251" t="str">
        <f t="shared" si="343"/>
        <v/>
      </c>
      <c r="NA467" s="251" t="str">
        <f t="shared" si="344"/>
        <v/>
      </c>
      <c r="NB467" s="251" t="str">
        <f t="shared" si="345"/>
        <v/>
      </c>
      <c r="NC467" s="251" t="str">
        <f t="shared" si="346"/>
        <v/>
      </c>
      <c r="ND467" s="251" t="str">
        <f t="shared" si="347"/>
        <v/>
      </c>
      <c r="NE467" s="251" t="str">
        <f t="shared" si="348"/>
        <v/>
      </c>
      <c r="NF467" s="251" t="str">
        <f t="shared" si="349"/>
        <v/>
      </c>
      <c r="NG467" s="251" t="str">
        <f t="shared" si="350"/>
        <v/>
      </c>
      <c r="NH467" s="251" t="str">
        <f t="shared" si="351"/>
        <v/>
      </c>
      <c r="NI467" s="251" t="str">
        <f t="shared" si="352"/>
        <v/>
      </c>
      <c r="NJ467" s="251" t="str">
        <f t="shared" si="353"/>
        <v/>
      </c>
      <c r="NK467" s="251" t="str">
        <f t="shared" si="354"/>
        <v/>
      </c>
      <c r="NL467" s="251" t="str">
        <f t="shared" si="355"/>
        <v/>
      </c>
      <c r="NM467" s="251" t="str">
        <f t="shared" si="356"/>
        <v/>
      </c>
      <c r="NN467" s="251" t="str">
        <f t="shared" si="357"/>
        <v/>
      </c>
      <c r="NO467" s="1185">
        <f t="shared" si="358"/>
        <v>0</v>
      </c>
      <c r="NP467" s="1185">
        <f t="shared" si="359"/>
        <v>0</v>
      </c>
      <c r="NQ467" s="1185">
        <f t="shared" si="360"/>
        <v>0</v>
      </c>
      <c r="NR467" s="1185">
        <f t="shared" si="361"/>
        <v>0</v>
      </c>
      <c r="NS467" s="1185">
        <f t="shared" si="362"/>
        <v>0</v>
      </c>
      <c r="NT467" s="1185">
        <f t="shared" si="368"/>
        <v>0</v>
      </c>
      <c r="NU467" s="1185">
        <f t="shared" si="369"/>
        <v>0</v>
      </c>
      <c r="NV467" s="1185">
        <f t="shared" si="370"/>
        <v>0</v>
      </c>
      <c r="NW467" s="1185">
        <f t="shared" si="371"/>
        <v>0</v>
      </c>
      <c r="NX467" s="1185">
        <f t="shared" si="372"/>
        <v>0</v>
      </c>
      <c r="NY467" s="1185">
        <f t="shared" si="363"/>
        <v>0</v>
      </c>
      <c r="NZ467" s="1185">
        <f t="shared" si="364"/>
        <v>0</v>
      </c>
      <c r="OA467" s="1185">
        <f t="shared" si="365"/>
        <v>0</v>
      </c>
      <c r="OB467" s="1185">
        <f t="shared" si="366"/>
        <v>0</v>
      </c>
      <c r="OC467" s="1185">
        <f t="shared" si="367"/>
        <v>0</v>
      </c>
      <c r="OY467" s="251" t="s">
        <v>1162</v>
      </c>
      <c r="OZ467" s="1185">
        <v>14</v>
      </c>
    </row>
    <row r="468" spans="1:416" ht="12" customHeight="1">
      <c r="A468" s="1979" t="str">
        <f t="shared" si="0"/>
        <v/>
      </c>
      <c r="B468" s="1998" t="str">
        <f>'Part V-Revenues &amp; Expenses'!B15</f>
        <v>Unrestricted</v>
      </c>
      <c r="C468" s="1999">
        <f>'Part V-Revenues &amp; Expenses'!C15</f>
        <v>0</v>
      </c>
      <c r="D468" s="2000">
        <f>'Part V-Revenues &amp; Expenses'!D15</f>
        <v>0</v>
      </c>
      <c r="E468" s="2001">
        <f>'Part V-Revenues &amp; Expenses'!E15</f>
        <v>0</v>
      </c>
      <c r="F468" s="2001">
        <f>'Part V-Revenues &amp; Expenses'!F15</f>
        <v>0</v>
      </c>
      <c r="G468" s="2001">
        <f>'Part V-Revenues &amp; Expenses'!G15</f>
        <v>0</v>
      </c>
      <c r="H468" s="2001">
        <f>'Part V-Revenues &amp; Expenses'!H15</f>
        <v>0</v>
      </c>
      <c r="I468" s="2001">
        <f>'Part V-Revenues &amp; Expenses'!I15</f>
        <v>0</v>
      </c>
      <c r="J468" s="2001">
        <f>'Part V-Revenues &amp; Expenses'!J15</f>
        <v>0</v>
      </c>
      <c r="K468" s="2002">
        <f>'Part V-Revenues &amp; Expenses'!K15</f>
        <v>0</v>
      </c>
      <c r="L468" s="2003">
        <f t="shared" si="1"/>
        <v>0</v>
      </c>
      <c r="M468" s="2003">
        <f t="shared" si="2"/>
        <v>0</v>
      </c>
      <c r="N468" s="1853">
        <f>'Part V-Revenues &amp; Expenses'!N15</f>
        <v>0</v>
      </c>
      <c r="O468" s="899">
        <f>'Part V-Revenues &amp; Expenses'!O15</f>
        <v>0</v>
      </c>
      <c r="P468" s="1853">
        <f>'Part V-Revenues &amp; Expenses'!P15</f>
        <v>0</v>
      </c>
      <c r="Q468" s="1772">
        <f>'Part V-Revenues &amp; Expenses'!Q15</f>
        <v>0</v>
      </c>
      <c r="R468" s="2004"/>
      <c r="S468" s="2005"/>
      <c r="T468" s="1920"/>
      <c r="U468" s="1920"/>
      <c r="V468" s="1920"/>
      <c r="W468" s="1920"/>
      <c r="X468" s="251" t="str">
        <f t="shared" si="3"/>
        <v/>
      </c>
      <c r="Y468" s="251" t="str">
        <f t="shared" si="4"/>
        <v/>
      </c>
      <c r="Z468" s="251" t="str">
        <f t="shared" si="5"/>
        <v/>
      </c>
      <c r="AA468" s="251" t="str">
        <f t="shared" si="6"/>
        <v/>
      </c>
      <c r="AB468" s="251" t="str">
        <f t="shared" si="7"/>
        <v/>
      </c>
      <c r="AC468" s="251" t="str">
        <f t="shared" si="8"/>
        <v/>
      </c>
      <c r="AD468" s="251" t="str">
        <f t="shared" si="9"/>
        <v/>
      </c>
      <c r="AE468" s="251" t="str">
        <f t="shared" si="10"/>
        <v/>
      </c>
      <c r="AF468" s="251" t="str">
        <f t="shared" si="11"/>
        <v/>
      </c>
      <c r="AG468" s="251" t="str">
        <f t="shared" si="12"/>
        <v/>
      </c>
      <c r="AH468" s="251" t="str">
        <f t="shared" si="13"/>
        <v/>
      </c>
      <c r="AI468" s="251" t="str">
        <f t="shared" si="14"/>
        <v/>
      </c>
      <c r="AJ468" s="251" t="str">
        <f t="shared" si="15"/>
        <v/>
      </c>
      <c r="AK468" s="251" t="str">
        <f t="shared" si="16"/>
        <v/>
      </c>
      <c r="AL468" s="251" t="str">
        <f t="shared" si="17"/>
        <v/>
      </c>
      <c r="AM468" s="251" t="str">
        <f t="shared" si="18"/>
        <v/>
      </c>
      <c r="AN468" s="251" t="str">
        <f t="shared" si="19"/>
        <v/>
      </c>
      <c r="AO468" s="251" t="str">
        <f t="shared" si="20"/>
        <v/>
      </c>
      <c r="AP468" s="251" t="str">
        <f t="shared" si="21"/>
        <v/>
      </c>
      <c r="AQ468" s="251" t="str">
        <f t="shared" si="22"/>
        <v/>
      </c>
      <c r="AR468" s="251" t="str">
        <f t="shared" si="23"/>
        <v/>
      </c>
      <c r="AS468" s="251" t="str">
        <f t="shared" si="24"/>
        <v/>
      </c>
      <c r="AT468" s="251" t="str">
        <f t="shared" si="25"/>
        <v/>
      </c>
      <c r="AU468" s="251" t="str">
        <f t="shared" si="26"/>
        <v/>
      </c>
      <c r="AV468" s="251" t="str">
        <f t="shared" si="27"/>
        <v/>
      </c>
      <c r="AW468" s="251" t="str">
        <f t="shared" si="28"/>
        <v/>
      </c>
      <c r="AX468" s="251" t="str">
        <f t="shared" si="29"/>
        <v/>
      </c>
      <c r="AY468" s="251" t="str">
        <f t="shared" si="30"/>
        <v/>
      </c>
      <c r="AZ468" s="251" t="str">
        <f t="shared" si="31"/>
        <v/>
      </c>
      <c r="BA468" s="251" t="str">
        <f t="shared" si="32"/>
        <v/>
      </c>
      <c r="BB468" s="251" t="str">
        <f t="shared" si="33"/>
        <v/>
      </c>
      <c r="BC468" s="251" t="str">
        <f t="shared" si="34"/>
        <v/>
      </c>
      <c r="BD468" s="251" t="str">
        <f t="shared" si="35"/>
        <v/>
      </c>
      <c r="BE468" s="251" t="str">
        <f t="shared" si="36"/>
        <v/>
      </c>
      <c r="BF468" s="251" t="str">
        <f t="shared" si="37"/>
        <v/>
      </c>
      <c r="BG468" s="251" t="str">
        <f t="shared" si="38"/>
        <v/>
      </c>
      <c r="BH468" s="251" t="str">
        <f t="shared" si="39"/>
        <v/>
      </c>
      <c r="BI468" s="251" t="str">
        <f t="shared" si="40"/>
        <v/>
      </c>
      <c r="BJ468" s="251" t="str">
        <f t="shared" si="41"/>
        <v/>
      </c>
      <c r="BK468" s="251" t="str">
        <f t="shared" si="42"/>
        <v/>
      </c>
      <c r="BL468" s="251" t="str">
        <f t="shared" si="43"/>
        <v/>
      </c>
      <c r="BM468" s="251" t="str">
        <f t="shared" si="44"/>
        <v/>
      </c>
      <c r="BN468" s="251" t="str">
        <f t="shared" si="45"/>
        <v/>
      </c>
      <c r="BO468" s="251" t="str">
        <f t="shared" si="46"/>
        <v/>
      </c>
      <c r="BP468" s="251" t="str">
        <f t="shared" si="47"/>
        <v/>
      </c>
      <c r="BQ468" s="251" t="str">
        <f t="shared" si="48"/>
        <v/>
      </c>
      <c r="BR468" s="251" t="str">
        <f t="shared" si="49"/>
        <v/>
      </c>
      <c r="BS468" s="251" t="str">
        <f t="shared" si="50"/>
        <v/>
      </c>
      <c r="BT468" s="251" t="str">
        <f t="shared" si="51"/>
        <v/>
      </c>
      <c r="BU468" s="251" t="str">
        <f t="shared" si="52"/>
        <v/>
      </c>
      <c r="BV468" s="251" t="str">
        <f t="shared" si="53"/>
        <v/>
      </c>
      <c r="BW468" s="251" t="str">
        <f t="shared" si="54"/>
        <v/>
      </c>
      <c r="BX468" s="251" t="str">
        <f t="shared" si="55"/>
        <v/>
      </c>
      <c r="BY468" s="251" t="str">
        <f t="shared" si="56"/>
        <v/>
      </c>
      <c r="BZ468" s="251" t="str">
        <f t="shared" si="57"/>
        <v/>
      </c>
      <c r="CA468" s="251" t="str">
        <f t="shared" si="58"/>
        <v/>
      </c>
      <c r="CB468" s="251" t="str">
        <f t="shared" si="59"/>
        <v/>
      </c>
      <c r="CC468" s="251" t="str">
        <f t="shared" si="60"/>
        <v/>
      </c>
      <c r="CD468" s="251" t="str">
        <f t="shared" si="61"/>
        <v/>
      </c>
      <c r="CE468" s="251" t="str">
        <f t="shared" si="62"/>
        <v/>
      </c>
      <c r="CF468" s="251" t="str">
        <f t="shared" si="63"/>
        <v/>
      </c>
      <c r="CG468" s="251" t="str">
        <f t="shared" si="64"/>
        <v/>
      </c>
      <c r="CH468" s="251" t="str">
        <f t="shared" si="65"/>
        <v/>
      </c>
      <c r="CI468" s="251" t="str">
        <f t="shared" si="66"/>
        <v/>
      </c>
      <c r="CJ468" s="251" t="str">
        <f t="shared" si="67"/>
        <v/>
      </c>
      <c r="CK468" s="251" t="str">
        <f t="shared" si="68"/>
        <v/>
      </c>
      <c r="CL468" s="251" t="str">
        <f t="shared" si="69"/>
        <v/>
      </c>
      <c r="CM468" s="251" t="str">
        <f t="shared" si="70"/>
        <v/>
      </c>
      <c r="CN468" s="251" t="str">
        <f t="shared" si="71"/>
        <v/>
      </c>
      <c r="CO468" s="251" t="str">
        <f t="shared" si="72"/>
        <v/>
      </c>
      <c r="CP468" s="251" t="str">
        <f t="shared" si="73"/>
        <v/>
      </c>
      <c r="CQ468" s="251" t="str">
        <f t="shared" si="74"/>
        <v/>
      </c>
      <c r="CR468" s="251" t="str">
        <f t="shared" si="75"/>
        <v/>
      </c>
      <c r="CS468" s="251" t="str">
        <f t="shared" si="76"/>
        <v/>
      </c>
      <c r="CT468" s="251" t="str">
        <f t="shared" si="77"/>
        <v/>
      </c>
      <c r="CU468" s="251" t="str">
        <f t="shared" si="78"/>
        <v/>
      </c>
      <c r="CV468" s="251" t="str">
        <f t="shared" si="79"/>
        <v/>
      </c>
      <c r="CW468" s="251" t="str">
        <f t="shared" si="80"/>
        <v/>
      </c>
      <c r="CX468" s="251" t="str">
        <f t="shared" si="81"/>
        <v/>
      </c>
      <c r="CY468" s="251" t="str">
        <f t="shared" si="82"/>
        <v/>
      </c>
      <c r="CZ468" s="251" t="str">
        <f t="shared" si="83"/>
        <v/>
      </c>
      <c r="DA468" s="251" t="str">
        <f t="shared" si="84"/>
        <v/>
      </c>
      <c r="DB468" s="251" t="str">
        <f t="shared" si="85"/>
        <v/>
      </c>
      <c r="DC468" s="251" t="str">
        <f t="shared" si="86"/>
        <v/>
      </c>
      <c r="DD468" s="251" t="str">
        <f t="shared" si="87"/>
        <v/>
      </c>
      <c r="DE468" s="251" t="str">
        <f t="shared" si="88"/>
        <v/>
      </c>
      <c r="DF468" s="251" t="str">
        <f t="shared" si="89"/>
        <v/>
      </c>
      <c r="DG468" s="251" t="str">
        <f t="shared" si="90"/>
        <v/>
      </c>
      <c r="DH468" s="251" t="str">
        <f t="shared" si="91"/>
        <v/>
      </c>
      <c r="DI468" s="251" t="str">
        <f t="shared" si="92"/>
        <v/>
      </c>
      <c r="DJ468" s="251" t="str">
        <f t="shared" si="93"/>
        <v/>
      </c>
      <c r="DK468" s="251" t="str">
        <f t="shared" si="94"/>
        <v/>
      </c>
      <c r="DL468" s="251" t="str">
        <f t="shared" si="95"/>
        <v/>
      </c>
      <c r="DM468" s="251" t="str">
        <f t="shared" si="96"/>
        <v/>
      </c>
      <c r="DN468" s="251" t="str">
        <f t="shared" si="97"/>
        <v/>
      </c>
      <c r="DO468" s="251" t="str">
        <f t="shared" si="98"/>
        <v/>
      </c>
      <c r="DP468" s="251" t="str">
        <f t="shared" si="99"/>
        <v/>
      </c>
      <c r="DQ468" s="251" t="str">
        <f t="shared" si="100"/>
        <v/>
      </c>
      <c r="DR468" s="251" t="str">
        <f t="shared" si="101"/>
        <v/>
      </c>
      <c r="DS468" s="251" t="str">
        <f t="shared" si="102"/>
        <v/>
      </c>
      <c r="DT468" s="251" t="str">
        <f t="shared" si="103"/>
        <v/>
      </c>
      <c r="DU468" s="251" t="str">
        <f t="shared" si="104"/>
        <v/>
      </c>
      <c r="DV468" s="251" t="str">
        <f t="shared" si="105"/>
        <v/>
      </c>
      <c r="DW468" s="251" t="str">
        <f t="shared" si="106"/>
        <v/>
      </c>
      <c r="DX468" s="251" t="str">
        <f t="shared" si="107"/>
        <v/>
      </c>
      <c r="DY468" s="251" t="str">
        <f t="shared" si="108"/>
        <v/>
      </c>
      <c r="DZ468" s="251" t="str">
        <f t="shared" si="109"/>
        <v/>
      </c>
      <c r="EA468" s="251" t="str">
        <f t="shared" si="110"/>
        <v/>
      </c>
      <c r="EB468" s="251" t="str">
        <f t="shared" si="111"/>
        <v/>
      </c>
      <c r="EC468" s="251" t="str">
        <f t="shared" si="112"/>
        <v/>
      </c>
      <c r="ED468" s="251" t="str">
        <f t="shared" si="113"/>
        <v/>
      </c>
      <c r="EE468" s="251" t="str">
        <f t="shared" si="114"/>
        <v/>
      </c>
      <c r="EF468" s="251" t="str">
        <f t="shared" si="115"/>
        <v/>
      </c>
      <c r="EG468" s="251" t="str">
        <f t="shared" si="116"/>
        <v/>
      </c>
      <c r="EH468" s="251" t="str">
        <f t="shared" si="117"/>
        <v/>
      </c>
      <c r="EI468" s="251" t="str">
        <f t="shared" si="118"/>
        <v/>
      </c>
      <c r="EJ468" s="251" t="str">
        <f t="shared" si="119"/>
        <v/>
      </c>
      <c r="EK468" s="251" t="str">
        <f t="shared" si="120"/>
        <v/>
      </c>
      <c r="EL468" s="251" t="str">
        <f t="shared" si="121"/>
        <v/>
      </c>
      <c r="EM468" s="251" t="str">
        <f t="shared" si="122"/>
        <v/>
      </c>
      <c r="EN468" s="251" t="str">
        <f t="shared" si="123"/>
        <v/>
      </c>
      <c r="EO468" s="251" t="str">
        <f t="shared" si="124"/>
        <v/>
      </c>
      <c r="EP468" s="251" t="str">
        <f t="shared" si="125"/>
        <v/>
      </c>
      <c r="EQ468" s="251" t="str">
        <f t="shared" si="126"/>
        <v/>
      </c>
      <c r="ER468" s="251" t="str">
        <f t="shared" si="127"/>
        <v/>
      </c>
      <c r="ES468" s="251" t="str">
        <f t="shared" si="128"/>
        <v/>
      </c>
      <c r="ET468" s="251" t="str">
        <f t="shared" si="129"/>
        <v/>
      </c>
      <c r="EU468" s="251" t="str">
        <f t="shared" si="130"/>
        <v/>
      </c>
      <c r="EV468" s="251" t="str">
        <f t="shared" si="131"/>
        <v/>
      </c>
      <c r="EW468" s="251" t="str">
        <f t="shared" si="132"/>
        <v/>
      </c>
      <c r="EX468" s="251" t="str">
        <f t="shared" si="133"/>
        <v/>
      </c>
      <c r="EY468" s="251" t="str">
        <f t="shared" si="134"/>
        <v/>
      </c>
      <c r="EZ468" s="251" t="str">
        <f t="shared" si="135"/>
        <v/>
      </c>
      <c r="FA468" s="251" t="str">
        <f t="shared" si="136"/>
        <v/>
      </c>
      <c r="FB468" s="251" t="str">
        <f t="shared" si="137"/>
        <v/>
      </c>
      <c r="FC468" s="251" t="str">
        <f t="shared" si="138"/>
        <v/>
      </c>
      <c r="FD468" s="251" t="str">
        <f t="shared" si="139"/>
        <v/>
      </c>
      <c r="FE468" s="251" t="str">
        <f t="shared" si="140"/>
        <v/>
      </c>
      <c r="FF468" s="251" t="str">
        <f t="shared" si="141"/>
        <v/>
      </c>
      <c r="FG468" s="251" t="str">
        <f t="shared" si="142"/>
        <v/>
      </c>
      <c r="FH468" s="251" t="str">
        <f t="shared" si="143"/>
        <v/>
      </c>
      <c r="FI468" s="251" t="str">
        <f t="shared" si="144"/>
        <v/>
      </c>
      <c r="FJ468" s="251" t="str">
        <f t="shared" si="145"/>
        <v/>
      </c>
      <c r="FK468" s="251" t="str">
        <f t="shared" si="146"/>
        <v/>
      </c>
      <c r="FL468" s="251" t="str">
        <f t="shared" si="147"/>
        <v/>
      </c>
      <c r="FM468" s="251" t="str">
        <f t="shared" si="148"/>
        <v/>
      </c>
      <c r="FN468" s="251" t="str">
        <f t="shared" si="149"/>
        <v/>
      </c>
      <c r="FO468" s="251" t="str">
        <f t="shared" si="150"/>
        <v/>
      </c>
      <c r="FP468" s="251" t="str">
        <f t="shared" si="151"/>
        <v/>
      </c>
      <c r="FQ468" s="251" t="str">
        <f t="shared" si="152"/>
        <v/>
      </c>
      <c r="FR468" s="251" t="str">
        <f t="shared" si="153"/>
        <v/>
      </c>
      <c r="FS468" s="251" t="str">
        <f t="shared" si="154"/>
        <v/>
      </c>
      <c r="FT468" s="251" t="str">
        <f t="shared" si="155"/>
        <v/>
      </c>
      <c r="FU468" s="251" t="str">
        <f t="shared" si="156"/>
        <v/>
      </c>
      <c r="FV468" s="251" t="str">
        <f t="shared" si="157"/>
        <v/>
      </c>
      <c r="FW468" s="251" t="str">
        <f t="shared" si="158"/>
        <v/>
      </c>
      <c r="FX468" s="251" t="str">
        <f t="shared" si="159"/>
        <v/>
      </c>
      <c r="FY468" s="251" t="str">
        <f t="shared" si="160"/>
        <v/>
      </c>
      <c r="FZ468" s="251" t="str">
        <f t="shared" si="161"/>
        <v/>
      </c>
      <c r="GA468" s="251" t="str">
        <f t="shared" si="162"/>
        <v/>
      </c>
      <c r="GB468" s="251" t="str">
        <f t="shared" si="163"/>
        <v/>
      </c>
      <c r="GC468" s="251" t="str">
        <f t="shared" si="164"/>
        <v/>
      </c>
      <c r="GD468" s="251" t="str">
        <f t="shared" si="165"/>
        <v/>
      </c>
      <c r="GE468" s="251" t="str">
        <f t="shared" si="166"/>
        <v/>
      </c>
      <c r="GF468" s="251" t="str">
        <f t="shared" si="167"/>
        <v/>
      </c>
      <c r="GG468" s="251" t="str">
        <f t="shared" si="168"/>
        <v/>
      </c>
      <c r="GH468" s="251" t="str">
        <f t="shared" si="169"/>
        <v/>
      </c>
      <c r="GI468" s="251" t="str">
        <f t="shared" si="170"/>
        <v/>
      </c>
      <c r="GJ468" s="251" t="str">
        <f t="shared" si="171"/>
        <v/>
      </c>
      <c r="GK468" s="251" t="str">
        <f t="shared" si="172"/>
        <v/>
      </c>
      <c r="GL468" s="251" t="str">
        <f t="shared" si="173"/>
        <v/>
      </c>
      <c r="GM468" s="251" t="str">
        <f t="shared" si="174"/>
        <v/>
      </c>
      <c r="GN468" s="251" t="str">
        <f t="shared" si="175"/>
        <v/>
      </c>
      <c r="GO468" s="251" t="str">
        <f t="shared" si="176"/>
        <v/>
      </c>
      <c r="GP468" s="251" t="str">
        <f t="shared" si="177"/>
        <v/>
      </c>
      <c r="GQ468" s="251" t="str">
        <f t="shared" si="178"/>
        <v/>
      </c>
      <c r="GR468" s="251" t="str">
        <f t="shared" si="179"/>
        <v/>
      </c>
      <c r="GS468" s="251" t="str">
        <f t="shared" si="180"/>
        <v/>
      </c>
      <c r="GT468" s="251" t="str">
        <f t="shared" si="181"/>
        <v/>
      </c>
      <c r="GU468" s="251" t="str">
        <f t="shared" si="182"/>
        <v/>
      </c>
      <c r="GV468" s="251" t="str">
        <f t="shared" si="183"/>
        <v/>
      </c>
      <c r="GW468" s="251" t="str">
        <f t="shared" si="184"/>
        <v/>
      </c>
      <c r="GX468" s="251" t="str">
        <f t="shared" si="185"/>
        <v/>
      </c>
      <c r="GY468" s="251" t="str">
        <f t="shared" si="186"/>
        <v/>
      </c>
      <c r="GZ468" s="251" t="str">
        <f t="shared" si="187"/>
        <v/>
      </c>
      <c r="HA468" s="251" t="str">
        <f t="shared" si="188"/>
        <v/>
      </c>
      <c r="HB468" s="251" t="str">
        <f t="shared" si="189"/>
        <v/>
      </c>
      <c r="HC468" s="251" t="str">
        <f t="shared" si="190"/>
        <v/>
      </c>
      <c r="HD468" s="251" t="str">
        <f t="shared" si="191"/>
        <v/>
      </c>
      <c r="HE468" s="251" t="str">
        <f t="shared" si="192"/>
        <v/>
      </c>
      <c r="HF468" s="251" t="str">
        <f t="shared" si="193"/>
        <v/>
      </c>
      <c r="HG468" s="251" t="str">
        <f t="shared" si="194"/>
        <v/>
      </c>
      <c r="HH468" s="251" t="str">
        <f t="shared" si="195"/>
        <v/>
      </c>
      <c r="HI468" s="251" t="str">
        <f t="shared" si="196"/>
        <v/>
      </c>
      <c r="HJ468" s="251" t="str">
        <f t="shared" si="197"/>
        <v/>
      </c>
      <c r="HK468" s="251" t="str">
        <f t="shared" si="198"/>
        <v/>
      </c>
      <c r="HL468" s="251" t="str">
        <f t="shared" si="199"/>
        <v/>
      </c>
      <c r="HM468" s="251" t="str">
        <f t="shared" si="200"/>
        <v/>
      </c>
      <c r="HN468" s="251" t="str">
        <f t="shared" si="201"/>
        <v/>
      </c>
      <c r="HO468" s="251" t="str">
        <f t="shared" si="202"/>
        <v/>
      </c>
      <c r="HP468" s="251" t="str">
        <f t="shared" si="203"/>
        <v/>
      </c>
      <c r="HQ468" s="251" t="str">
        <f t="shared" si="204"/>
        <v/>
      </c>
      <c r="HR468" s="251" t="str">
        <f t="shared" si="205"/>
        <v/>
      </c>
      <c r="HS468" s="251" t="str">
        <f t="shared" si="206"/>
        <v/>
      </c>
      <c r="HT468" s="251" t="str">
        <f t="shared" si="207"/>
        <v/>
      </c>
      <c r="HU468" s="251" t="str">
        <f t="shared" si="208"/>
        <v/>
      </c>
      <c r="HV468" s="251" t="str">
        <f t="shared" si="209"/>
        <v/>
      </c>
      <c r="HW468" s="251" t="str">
        <f t="shared" si="210"/>
        <v/>
      </c>
      <c r="HX468" s="251" t="str">
        <f t="shared" si="211"/>
        <v/>
      </c>
      <c r="HY468" s="251" t="str">
        <f t="shared" si="212"/>
        <v/>
      </c>
      <c r="HZ468" s="251" t="str">
        <f t="shared" si="213"/>
        <v/>
      </c>
      <c r="IA468" s="251" t="str">
        <f t="shared" si="214"/>
        <v/>
      </c>
      <c r="IB468" s="251" t="str">
        <f t="shared" si="215"/>
        <v/>
      </c>
      <c r="IC468" s="251" t="str">
        <f t="shared" si="216"/>
        <v/>
      </c>
      <c r="ID468" s="251" t="str">
        <f t="shared" si="217"/>
        <v/>
      </c>
      <c r="IE468" s="251" t="str">
        <f t="shared" si="218"/>
        <v/>
      </c>
      <c r="IF468" s="251" t="str">
        <f t="shared" si="219"/>
        <v/>
      </c>
      <c r="IG468" s="251" t="str">
        <f t="shared" si="220"/>
        <v/>
      </c>
      <c r="IH468" s="251" t="str">
        <f t="shared" si="221"/>
        <v/>
      </c>
      <c r="II468" s="251" t="str">
        <f t="shared" si="222"/>
        <v/>
      </c>
      <c r="IJ468" s="251" t="str">
        <f t="shared" si="223"/>
        <v/>
      </c>
      <c r="IK468" s="251" t="str">
        <f t="shared" si="224"/>
        <v/>
      </c>
      <c r="IL468" s="251" t="str">
        <f t="shared" si="225"/>
        <v/>
      </c>
      <c r="IM468" s="251" t="str">
        <f t="shared" si="226"/>
        <v/>
      </c>
      <c r="IN468" s="251" t="str">
        <f t="shared" si="227"/>
        <v/>
      </c>
      <c r="IO468" s="251" t="str">
        <f t="shared" si="228"/>
        <v/>
      </c>
      <c r="IP468" s="251" t="str">
        <f t="shared" si="229"/>
        <v/>
      </c>
      <c r="IQ468" s="251" t="str">
        <f t="shared" si="230"/>
        <v/>
      </c>
      <c r="IR468" s="251" t="str">
        <f t="shared" si="231"/>
        <v/>
      </c>
      <c r="IS468" s="251" t="str">
        <f t="shared" si="232"/>
        <v/>
      </c>
      <c r="IT468" s="251" t="str">
        <f t="shared" si="233"/>
        <v/>
      </c>
      <c r="IU468" s="251" t="str">
        <f t="shared" si="234"/>
        <v/>
      </c>
      <c r="IV468" s="251" t="str">
        <f t="shared" si="235"/>
        <v/>
      </c>
      <c r="IW468" s="251" t="str">
        <f t="shared" si="236"/>
        <v/>
      </c>
      <c r="IX468" s="251" t="str">
        <f t="shared" si="237"/>
        <v/>
      </c>
      <c r="IY468" s="251" t="str">
        <f t="shared" si="238"/>
        <v/>
      </c>
      <c r="IZ468" s="251" t="str">
        <f t="shared" si="239"/>
        <v/>
      </c>
      <c r="JA468" s="251" t="str">
        <f t="shared" si="240"/>
        <v/>
      </c>
      <c r="JB468" s="251" t="str">
        <f t="shared" si="241"/>
        <v/>
      </c>
      <c r="JC468" s="251" t="str">
        <f t="shared" si="242"/>
        <v/>
      </c>
      <c r="JD468" s="251" t="str">
        <f t="shared" si="243"/>
        <v/>
      </c>
      <c r="JE468" s="251" t="str">
        <f t="shared" si="244"/>
        <v/>
      </c>
      <c r="JF468" s="251" t="str">
        <f t="shared" si="245"/>
        <v/>
      </c>
      <c r="JG468" s="251" t="str">
        <f t="shared" si="246"/>
        <v/>
      </c>
      <c r="JH468" s="251" t="str">
        <f t="shared" si="247"/>
        <v/>
      </c>
      <c r="JI468" s="1297" t="str">
        <f t="shared" si="248"/>
        <v/>
      </c>
      <c r="JJ468" s="1297" t="str">
        <f t="shared" si="249"/>
        <v/>
      </c>
      <c r="JK468" s="1297" t="str">
        <f t="shared" si="250"/>
        <v/>
      </c>
      <c r="JL468" s="1297" t="str">
        <f t="shared" si="251"/>
        <v/>
      </c>
      <c r="JM468" s="1297" t="str">
        <f t="shared" si="252"/>
        <v/>
      </c>
      <c r="JN468" s="1297" t="str">
        <f t="shared" si="253"/>
        <v/>
      </c>
      <c r="JO468" s="1297" t="str">
        <f t="shared" si="254"/>
        <v/>
      </c>
      <c r="JP468" s="1297" t="str">
        <f t="shared" si="255"/>
        <v/>
      </c>
      <c r="JQ468" s="1297" t="str">
        <f t="shared" si="256"/>
        <v/>
      </c>
      <c r="JR468" s="1297" t="str">
        <f t="shared" si="257"/>
        <v/>
      </c>
      <c r="JS468" s="1297" t="str">
        <f t="shared" si="258"/>
        <v/>
      </c>
      <c r="JT468" s="1297" t="str">
        <f t="shared" si="259"/>
        <v/>
      </c>
      <c r="JU468" s="1297" t="str">
        <f t="shared" si="260"/>
        <v/>
      </c>
      <c r="JV468" s="1297" t="str">
        <f t="shared" si="261"/>
        <v/>
      </c>
      <c r="JW468" s="1297" t="str">
        <f t="shared" si="262"/>
        <v/>
      </c>
      <c r="JX468" s="1297" t="str">
        <f t="shared" si="263"/>
        <v/>
      </c>
      <c r="JY468" s="1297" t="str">
        <f t="shared" si="264"/>
        <v/>
      </c>
      <c r="JZ468" s="1297" t="str">
        <f t="shared" si="265"/>
        <v/>
      </c>
      <c r="KA468" s="1297" t="str">
        <f t="shared" si="266"/>
        <v/>
      </c>
      <c r="KB468" s="1297" t="str">
        <f t="shared" si="267"/>
        <v/>
      </c>
      <c r="KC468" s="1297" t="str">
        <f t="shared" si="268"/>
        <v/>
      </c>
      <c r="KD468" s="1297" t="str">
        <f t="shared" si="269"/>
        <v/>
      </c>
      <c r="KE468" s="1297" t="str">
        <f t="shared" si="270"/>
        <v/>
      </c>
      <c r="KF468" s="1297" t="str">
        <f t="shared" si="271"/>
        <v/>
      </c>
      <c r="KG468" s="1297" t="str">
        <f t="shared" si="272"/>
        <v/>
      </c>
      <c r="KH468" s="1297" t="str">
        <f t="shared" si="273"/>
        <v/>
      </c>
      <c r="KI468" s="1297" t="str">
        <f t="shared" si="274"/>
        <v/>
      </c>
      <c r="KJ468" s="1297" t="str">
        <f t="shared" si="275"/>
        <v/>
      </c>
      <c r="KK468" s="1297" t="str">
        <f t="shared" si="276"/>
        <v/>
      </c>
      <c r="KL468" s="1297" t="str">
        <f t="shared" si="277"/>
        <v/>
      </c>
      <c r="KM468" s="1297" t="str">
        <f t="shared" si="278"/>
        <v/>
      </c>
      <c r="KN468" s="1297" t="str">
        <f t="shared" si="279"/>
        <v/>
      </c>
      <c r="KO468" s="1297" t="str">
        <f t="shared" si="280"/>
        <v/>
      </c>
      <c r="KP468" s="1297" t="str">
        <f t="shared" si="281"/>
        <v/>
      </c>
      <c r="KQ468" s="1297" t="str">
        <f t="shared" si="282"/>
        <v/>
      </c>
      <c r="KR468" s="1297" t="str">
        <f t="shared" si="283"/>
        <v/>
      </c>
      <c r="KS468" s="1297" t="str">
        <f t="shared" si="284"/>
        <v/>
      </c>
      <c r="KT468" s="1297" t="str">
        <f t="shared" si="285"/>
        <v/>
      </c>
      <c r="KU468" s="1297" t="str">
        <f t="shared" si="286"/>
        <v/>
      </c>
      <c r="KV468" s="1297" t="str">
        <f t="shared" si="287"/>
        <v/>
      </c>
      <c r="KW468" s="1297" t="str">
        <f t="shared" si="288"/>
        <v/>
      </c>
      <c r="KX468" s="1297" t="str">
        <f t="shared" si="289"/>
        <v/>
      </c>
      <c r="KY468" s="1297" t="str">
        <f t="shared" si="290"/>
        <v/>
      </c>
      <c r="KZ468" s="1297" t="str">
        <f t="shared" si="291"/>
        <v/>
      </c>
      <c r="LA468" s="1297" t="str">
        <f t="shared" si="292"/>
        <v/>
      </c>
      <c r="LB468" s="1297" t="str">
        <f t="shared" si="293"/>
        <v/>
      </c>
      <c r="LC468" s="1297" t="str">
        <f t="shared" si="294"/>
        <v/>
      </c>
      <c r="LD468" s="1297" t="str">
        <f t="shared" si="295"/>
        <v/>
      </c>
      <c r="LE468" s="1297" t="str">
        <f t="shared" si="296"/>
        <v/>
      </c>
      <c r="LF468" s="1297" t="str">
        <f t="shared" si="297"/>
        <v/>
      </c>
      <c r="LG468" s="1297" t="str">
        <f t="shared" si="298"/>
        <v/>
      </c>
      <c r="LH468" s="1297" t="str">
        <f t="shared" si="299"/>
        <v/>
      </c>
      <c r="LI468" s="1297" t="str">
        <f t="shared" si="300"/>
        <v/>
      </c>
      <c r="LJ468" s="1297" t="str">
        <f t="shared" si="301"/>
        <v/>
      </c>
      <c r="LK468" s="1297" t="str">
        <f t="shared" si="302"/>
        <v/>
      </c>
      <c r="LL468" s="1297" t="str">
        <f t="shared" si="303"/>
        <v/>
      </c>
      <c r="LM468" s="1297" t="str">
        <f t="shared" si="304"/>
        <v/>
      </c>
      <c r="LN468" s="1297" t="str">
        <f t="shared" si="305"/>
        <v/>
      </c>
      <c r="LO468" s="1297" t="str">
        <f t="shared" si="306"/>
        <v/>
      </c>
      <c r="LP468" s="1297" t="str">
        <f t="shared" si="307"/>
        <v/>
      </c>
      <c r="LQ468" s="1297" t="str">
        <f t="shared" si="308"/>
        <v/>
      </c>
      <c r="LR468" s="1297" t="str">
        <f t="shared" si="309"/>
        <v/>
      </c>
      <c r="LS468" s="1297" t="str">
        <f t="shared" si="310"/>
        <v/>
      </c>
      <c r="LT468" s="1297" t="str">
        <f t="shared" si="311"/>
        <v/>
      </c>
      <c r="LU468" s="1297" t="str">
        <f t="shared" si="312"/>
        <v/>
      </c>
      <c r="LV468" s="1297" t="str">
        <f t="shared" si="313"/>
        <v/>
      </c>
      <c r="LW468" s="1297" t="str">
        <f t="shared" si="314"/>
        <v/>
      </c>
      <c r="LX468" s="1297" t="str">
        <f t="shared" si="315"/>
        <v/>
      </c>
      <c r="LY468" s="1297" t="str">
        <f t="shared" si="316"/>
        <v/>
      </c>
      <c r="LZ468" s="1297" t="str">
        <f t="shared" si="317"/>
        <v/>
      </c>
      <c r="MA468" s="1297" t="str">
        <f t="shared" si="318"/>
        <v/>
      </c>
      <c r="MB468" s="1297" t="str">
        <f t="shared" si="319"/>
        <v/>
      </c>
      <c r="MC468" s="1297" t="str">
        <f t="shared" si="320"/>
        <v/>
      </c>
      <c r="MD468" s="1297" t="str">
        <f t="shared" si="321"/>
        <v/>
      </c>
      <c r="ME468" s="1297" t="str">
        <f t="shared" si="322"/>
        <v/>
      </c>
      <c r="MF468" s="1297" t="str">
        <f t="shared" si="323"/>
        <v/>
      </c>
      <c r="MG468" s="1297" t="str">
        <f t="shared" si="324"/>
        <v/>
      </c>
      <c r="MH468" s="1297" t="str">
        <f t="shared" si="325"/>
        <v/>
      </c>
      <c r="MI468" s="1297" t="str">
        <f t="shared" si="326"/>
        <v/>
      </c>
      <c r="MJ468" s="1297" t="str">
        <f t="shared" si="327"/>
        <v/>
      </c>
      <c r="MK468" s="1297" t="str">
        <f t="shared" si="328"/>
        <v/>
      </c>
      <c r="ML468" s="1297" t="str">
        <f t="shared" si="329"/>
        <v/>
      </c>
      <c r="MM468" s="1297" t="str">
        <f t="shared" si="330"/>
        <v/>
      </c>
      <c r="MN468" s="1297" t="str">
        <f t="shared" si="331"/>
        <v/>
      </c>
      <c r="MO468" s="1297" t="str">
        <f t="shared" si="332"/>
        <v/>
      </c>
      <c r="MP468" s="1773" t="str">
        <f t="shared" si="333"/>
        <v/>
      </c>
      <c r="MQ468" s="1773" t="str">
        <f t="shared" si="334"/>
        <v/>
      </c>
      <c r="MR468" s="1773" t="str">
        <f t="shared" si="335"/>
        <v/>
      </c>
      <c r="MS468" s="1773" t="str">
        <f t="shared" si="336"/>
        <v/>
      </c>
      <c r="MT468" s="1773" t="str">
        <f t="shared" si="337"/>
        <v/>
      </c>
      <c r="MU468" s="251" t="str">
        <f t="shared" si="338"/>
        <v/>
      </c>
      <c r="MV468" s="251" t="str">
        <f t="shared" si="339"/>
        <v/>
      </c>
      <c r="MW468" s="251" t="str">
        <f t="shared" si="340"/>
        <v/>
      </c>
      <c r="MX468" s="251" t="str">
        <f t="shared" si="341"/>
        <v/>
      </c>
      <c r="MY468" s="251" t="str">
        <f t="shared" si="342"/>
        <v/>
      </c>
      <c r="MZ468" s="251" t="str">
        <f t="shared" si="343"/>
        <v/>
      </c>
      <c r="NA468" s="251" t="str">
        <f t="shared" si="344"/>
        <v/>
      </c>
      <c r="NB468" s="251" t="str">
        <f t="shared" si="345"/>
        <v/>
      </c>
      <c r="NC468" s="251" t="str">
        <f t="shared" si="346"/>
        <v/>
      </c>
      <c r="ND468" s="251" t="str">
        <f t="shared" si="347"/>
        <v/>
      </c>
      <c r="NE468" s="251" t="str">
        <f t="shared" si="348"/>
        <v/>
      </c>
      <c r="NF468" s="251" t="str">
        <f t="shared" si="349"/>
        <v/>
      </c>
      <c r="NG468" s="251" t="str">
        <f t="shared" si="350"/>
        <v/>
      </c>
      <c r="NH468" s="251" t="str">
        <f t="shared" si="351"/>
        <v/>
      </c>
      <c r="NI468" s="251" t="str">
        <f t="shared" si="352"/>
        <v/>
      </c>
      <c r="NJ468" s="251" t="str">
        <f t="shared" si="353"/>
        <v/>
      </c>
      <c r="NK468" s="251" t="str">
        <f t="shared" si="354"/>
        <v/>
      </c>
      <c r="NL468" s="251" t="str">
        <f t="shared" si="355"/>
        <v/>
      </c>
      <c r="NM468" s="251" t="str">
        <f t="shared" si="356"/>
        <v/>
      </c>
      <c r="NN468" s="251" t="str">
        <f t="shared" si="357"/>
        <v/>
      </c>
      <c r="NO468" s="1185">
        <f t="shared" si="358"/>
        <v>0</v>
      </c>
      <c r="NP468" s="1185">
        <f t="shared" si="359"/>
        <v>0</v>
      </c>
      <c r="NQ468" s="1185">
        <f t="shared" si="360"/>
        <v>0</v>
      </c>
      <c r="NR468" s="1185">
        <f t="shared" si="361"/>
        <v>0</v>
      </c>
      <c r="NS468" s="1185">
        <f t="shared" si="362"/>
        <v>0</v>
      </c>
      <c r="NT468" s="1185">
        <f t="shared" si="368"/>
        <v>0</v>
      </c>
      <c r="NU468" s="1185">
        <f t="shared" si="369"/>
        <v>0</v>
      </c>
      <c r="NV468" s="1185">
        <f t="shared" si="370"/>
        <v>0</v>
      </c>
      <c r="NW468" s="1185">
        <f t="shared" si="371"/>
        <v>0</v>
      </c>
      <c r="NX468" s="1185">
        <f t="shared" si="372"/>
        <v>0</v>
      </c>
      <c r="NY468" s="1185">
        <f t="shared" si="363"/>
        <v>0</v>
      </c>
      <c r="NZ468" s="1185">
        <f t="shared" si="364"/>
        <v>0</v>
      </c>
      <c r="OA468" s="1185">
        <f t="shared" si="365"/>
        <v>0</v>
      </c>
      <c r="OB468" s="1185">
        <f t="shared" si="366"/>
        <v>0</v>
      </c>
      <c r="OC468" s="1185">
        <f t="shared" si="367"/>
        <v>0</v>
      </c>
      <c r="OY468" s="251" t="s">
        <v>1163</v>
      </c>
      <c r="OZ468" s="1296">
        <v>15</v>
      </c>
    </row>
    <row r="469" spans="1:416" ht="12" customHeight="1">
      <c r="A469" s="1979" t="str">
        <f t="shared" si="0"/>
        <v/>
      </c>
      <c r="B469" s="1998" t="str">
        <f>'Part V-Revenues &amp; Expenses'!B16</f>
        <v>Unrestricted</v>
      </c>
      <c r="C469" s="1999">
        <f>'Part V-Revenues &amp; Expenses'!C16</f>
        <v>0</v>
      </c>
      <c r="D469" s="2000">
        <f>'Part V-Revenues &amp; Expenses'!D16</f>
        <v>0</v>
      </c>
      <c r="E469" s="2001">
        <f>'Part V-Revenues &amp; Expenses'!E16</f>
        <v>0</v>
      </c>
      <c r="F469" s="2001">
        <f>'Part V-Revenues &amp; Expenses'!F16</f>
        <v>0</v>
      </c>
      <c r="G469" s="2001">
        <f>'Part V-Revenues &amp; Expenses'!G16</f>
        <v>0</v>
      </c>
      <c r="H469" s="2001">
        <f>'Part V-Revenues &amp; Expenses'!H16</f>
        <v>0</v>
      </c>
      <c r="I469" s="2001">
        <f>'Part V-Revenues &amp; Expenses'!I16</f>
        <v>0</v>
      </c>
      <c r="J469" s="2001">
        <f>'Part V-Revenues &amp; Expenses'!J16</f>
        <v>0</v>
      </c>
      <c r="K469" s="2002">
        <f>'Part V-Revenues &amp; Expenses'!K16</f>
        <v>0</v>
      </c>
      <c r="L469" s="2003">
        <f t="shared" si="1"/>
        <v>0</v>
      </c>
      <c r="M469" s="2003">
        <f t="shared" si="2"/>
        <v>0</v>
      </c>
      <c r="N469" s="1853">
        <f>'Part V-Revenues &amp; Expenses'!N16</f>
        <v>0</v>
      </c>
      <c r="O469" s="899">
        <f>'Part V-Revenues &amp; Expenses'!O16</f>
        <v>0</v>
      </c>
      <c r="P469" s="1853">
        <f>'Part V-Revenues &amp; Expenses'!P16</f>
        <v>0</v>
      </c>
      <c r="Q469" s="1772">
        <f>'Part V-Revenues &amp; Expenses'!Q16</f>
        <v>0</v>
      </c>
      <c r="R469" s="2004"/>
      <c r="S469" s="2005"/>
      <c r="T469" s="1920"/>
      <c r="U469" s="1920"/>
      <c r="V469" s="1920"/>
      <c r="W469" s="1920"/>
      <c r="X469" s="251" t="str">
        <f t="shared" si="3"/>
        <v/>
      </c>
      <c r="Y469" s="251" t="str">
        <f t="shared" si="4"/>
        <v/>
      </c>
      <c r="Z469" s="251" t="str">
        <f t="shared" si="5"/>
        <v/>
      </c>
      <c r="AA469" s="251" t="str">
        <f t="shared" si="6"/>
        <v/>
      </c>
      <c r="AB469" s="251" t="str">
        <f t="shared" si="7"/>
        <v/>
      </c>
      <c r="AC469" s="251" t="str">
        <f t="shared" si="8"/>
        <v/>
      </c>
      <c r="AD469" s="251" t="str">
        <f t="shared" si="9"/>
        <v/>
      </c>
      <c r="AE469" s="251" t="str">
        <f t="shared" si="10"/>
        <v/>
      </c>
      <c r="AF469" s="251" t="str">
        <f t="shared" si="11"/>
        <v/>
      </c>
      <c r="AG469" s="251" t="str">
        <f t="shared" si="12"/>
        <v/>
      </c>
      <c r="AH469" s="251" t="str">
        <f t="shared" si="13"/>
        <v/>
      </c>
      <c r="AI469" s="251" t="str">
        <f t="shared" si="14"/>
        <v/>
      </c>
      <c r="AJ469" s="251" t="str">
        <f t="shared" si="15"/>
        <v/>
      </c>
      <c r="AK469" s="251" t="str">
        <f t="shared" si="16"/>
        <v/>
      </c>
      <c r="AL469" s="251" t="str">
        <f t="shared" si="17"/>
        <v/>
      </c>
      <c r="AM469" s="251" t="str">
        <f t="shared" si="18"/>
        <v/>
      </c>
      <c r="AN469" s="251" t="str">
        <f t="shared" si="19"/>
        <v/>
      </c>
      <c r="AO469" s="251" t="str">
        <f t="shared" si="20"/>
        <v/>
      </c>
      <c r="AP469" s="251" t="str">
        <f t="shared" si="21"/>
        <v/>
      </c>
      <c r="AQ469" s="251" t="str">
        <f t="shared" si="22"/>
        <v/>
      </c>
      <c r="AR469" s="251" t="str">
        <f t="shared" si="23"/>
        <v/>
      </c>
      <c r="AS469" s="251" t="str">
        <f t="shared" si="24"/>
        <v/>
      </c>
      <c r="AT469" s="251" t="str">
        <f t="shared" si="25"/>
        <v/>
      </c>
      <c r="AU469" s="251" t="str">
        <f t="shared" si="26"/>
        <v/>
      </c>
      <c r="AV469" s="251" t="str">
        <f t="shared" si="27"/>
        <v/>
      </c>
      <c r="AW469" s="251" t="str">
        <f t="shared" si="28"/>
        <v/>
      </c>
      <c r="AX469" s="251" t="str">
        <f t="shared" si="29"/>
        <v/>
      </c>
      <c r="AY469" s="251" t="str">
        <f t="shared" si="30"/>
        <v/>
      </c>
      <c r="AZ469" s="251" t="str">
        <f t="shared" si="31"/>
        <v/>
      </c>
      <c r="BA469" s="251" t="str">
        <f t="shared" si="32"/>
        <v/>
      </c>
      <c r="BB469" s="251" t="str">
        <f t="shared" si="33"/>
        <v/>
      </c>
      <c r="BC469" s="251" t="str">
        <f t="shared" si="34"/>
        <v/>
      </c>
      <c r="BD469" s="251" t="str">
        <f t="shared" si="35"/>
        <v/>
      </c>
      <c r="BE469" s="251" t="str">
        <f t="shared" si="36"/>
        <v/>
      </c>
      <c r="BF469" s="251" t="str">
        <f t="shared" si="37"/>
        <v/>
      </c>
      <c r="BG469" s="251" t="str">
        <f t="shared" si="38"/>
        <v/>
      </c>
      <c r="BH469" s="251" t="str">
        <f t="shared" si="39"/>
        <v/>
      </c>
      <c r="BI469" s="251" t="str">
        <f t="shared" si="40"/>
        <v/>
      </c>
      <c r="BJ469" s="251" t="str">
        <f t="shared" si="41"/>
        <v/>
      </c>
      <c r="BK469" s="251" t="str">
        <f t="shared" si="42"/>
        <v/>
      </c>
      <c r="BL469" s="251" t="str">
        <f t="shared" si="43"/>
        <v/>
      </c>
      <c r="BM469" s="251" t="str">
        <f t="shared" si="44"/>
        <v/>
      </c>
      <c r="BN469" s="251" t="str">
        <f t="shared" si="45"/>
        <v/>
      </c>
      <c r="BO469" s="251" t="str">
        <f t="shared" si="46"/>
        <v/>
      </c>
      <c r="BP469" s="251" t="str">
        <f t="shared" si="47"/>
        <v/>
      </c>
      <c r="BQ469" s="251" t="str">
        <f t="shared" si="48"/>
        <v/>
      </c>
      <c r="BR469" s="251" t="str">
        <f t="shared" si="49"/>
        <v/>
      </c>
      <c r="BS469" s="251" t="str">
        <f t="shared" si="50"/>
        <v/>
      </c>
      <c r="BT469" s="251" t="str">
        <f t="shared" si="51"/>
        <v/>
      </c>
      <c r="BU469" s="251" t="str">
        <f t="shared" si="52"/>
        <v/>
      </c>
      <c r="BV469" s="251" t="str">
        <f t="shared" si="53"/>
        <v/>
      </c>
      <c r="BW469" s="251" t="str">
        <f t="shared" si="54"/>
        <v/>
      </c>
      <c r="BX469" s="251" t="str">
        <f t="shared" si="55"/>
        <v/>
      </c>
      <c r="BY469" s="251" t="str">
        <f t="shared" si="56"/>
        <v/>
      </c>
      <c r="BZ469" s="251" t="str">
        <f t="shared" si="57"/>
        <v/>
      </c>
      <c r="CA469" s="251" t="str">
        <f t="shared" si="58"/>
        <v/>
      </c>
      <c r="CB469" s="251" t="str">
        <f t="shared" si="59"/>
        <v/>
      </c>
      <c r="CC469" s="251" t="str">
        <f t="shared" si="60"/>
        <v/>
      </c>
      <c r="CD469" s="251" t="str">
        <f t="shared" si="61"/>
        <v/>
      </c>
      <c r="CE469" s="251" t="str">
        <f t="shared" si="62"/>
        <v/>
      </c>
      <c r="CF469" s="251" t="str">
        <f t="shared" si="63"/>
        <v/>
      </c>
      <c r="CG469" s="251" t="str">
        <f t="shared" si="64"/>
        <v/>
      </c>
      <c r="CH469" s="251" t="str">
        <f t="shared" si="65"/>
        <v/>
      </c>
      <c r="CI469" s="251" t="str">
        <f t="shared" si="66"/>
        <v/>
      </c>
      <c r="CJ469" s="251" t="str">
        <f t="shared" si="67"/>
        <v/>
      </c>
      <c r="CK469" s="251" t="str">
        <f t="shared" si="68"/>
        <v/>
      </c>
      <c r="CL469" s="251" t="str">
        <f t="shared" si="69"/>
        <v/>
      </c>
      <c r="CM469" s="251" t="str">
        <f t="shared" si="70"/>
        <v/>
      </c>
      <c r="CN469" s="251" t="str">
        <f t="shared" si="71"/>
        <v/>
      </c>
      <c r="CO469" s="251" t="str">
        <f t="shared" si="72"/>
        <v/>
      </c>
      <c r="CP469" s="251" t="str">
        <f t="shared" si="73"/>
        <v/>
      </c>
      <c r="CQ469" s="251" t="str">
        <f t="shared" si="74"/>
        <v/>
      </c>
      <c r="CR469" s="251" t="str">
        <f t="shared" si="75"/>
        <v/>
      </c>
      <c r="CS469" s="251" t="str">
        <f t="shared" si="76"/>
        <v/>
      </c>
      <c r="CT469" s="251" t="str">
        <f t="shared" si="77"/>
        <v/>
      </c>
      <c r="CU469" s="251" t="str">
        <f t="shared" si="78"/>
        <v/>
      </c>
      <c r="CV469" s="251" t="str">
        <f t="shared" si="79"/>
        <v/>
      </c>
      <c r="CW469" s="251" t="str">
        <f t="shared" si="80"/>
        <v/>
      </c>
      <c r="CX469" s="251" t="str">
        <f t="shared" si="81"/>
        <v/>
      </c>
      <c r="CY469" s="251" t="str">
        <f t="shared" si="82"/>
        <v/>
      </c>
      <c r="CZ469" s="251" t="str">
        <f t="shared" si="83"/>
        <v/>
      </c>
      <c r="DA469" s="251" t="str">
        <f t="shared" si="84"/>
        <v/>
      </c>
      <c r="DB469" s="251" t="str">
        <f t="shared" si="85"/>
        <v/>
      </c>
      <c r="DC469" s="251" t="str">
        <f t="shared" si="86"/>
        <v/>
      </c>
      <c r="DD469" s="251" t="str">
        <f t="shared" si="87"/>
        <v/>
      </c>
      <c r="DE469" s="251" t="str">
        <f t="shared" si="88"/>
        <v/>
      </c>
      <c r="DF469" s="251" t="str">
        <f t="shared" si="89"/>
        <v/>
      </c>
      <c r="DG469" s="251" t="str">
        <f t="shared" si="90"/>
        <v/>
      </c>
      <c r="DH469" s="251" t="str">
        <f t="shared" si="91"/>
        <v/>
      </c>
      <c r="DI469" s="251" t="str">
        <f t="shared" si="92"/>
        <v/>
      </c>
      <c r="DJ469" s="251" t="str">
        <f t="shared" si="93"/>
        <v/>
      </c>
      <c r="DK469" s="251" t="str">
        <f t="shared" si="94"/>
        <v/>
      </c>
      <c r="DL469" s="251" t="str">
        <f t="shared" si="95"/>
        <v/>
      </c>
      <c r="DM469" s="251" t="str">
        <f t="shared" si="96"/>
        <v/>
      </c>
      <c r="DN469" s="251" t="str">
        <f t="shared" si="97"/>
        <v/>
      </c>
      <c r="DO469" s="251" t="str">
        <f t="shared" si="98"/>
        <v/>
      </c>
      <c r="DP469" s="251" t="str">
        <f t="shared" si="99"/>
        <v/>
      </c>
      <c r="DQ469" s="251" t="str">
        <f t="shared" si="100"/>
        <v/>
      </c>
      <c r="DR469" s="251" t="str">
        <f t="shared" si="101"/>
        <v/>
      </c>
      <c r="DS469" s="251" t="str">
        <f t="shared" si="102"/>
        <v/>
      </c>
      <c r="DT469" s="251" t="str">
        <f t="shared" si="103"/>
        <v/>
      </c>
      <c r="DU469" s="251" t="str">
        <f t="shared" si="104"/>
        <v/>
      </c>
      <c r="DV469" s="251" t="str">
        <f t="shared" si="105"/>
        <v/>
      </c>
      <c r="DW469" s="251" t="str">
        <f t="shared" si="106"/>
        <v/>
      </c>
      <c r="DX469" s="251" t="str">
        <f t="shared" si="107"/>
        <v/>
      </c>
      <c r="DY469" s="251" t="str">
        <f t="shared" si="108"/>
        <v/>
      </c>
      <c r="DZ469" s="251" t="str">
        <f t="shared" si="109"/>
        <v/>
      </c>
      <c r="EA469" s="251" t="str">
        <f t="shared" si="110"/>
        <v/>
      </c>
      <c r="EB469" s="251" t="str">
        <f t="shared" si="111"/>
        <v/>
      </c>
      <c r="EC469" s="251" t="str">
        <f t="shared" si="112"/>
        <v/>
      </c>
      <c r="ED469" s="251" t="str">
        <f t="shared" si="113"/>
        <v/>
      </c>
      <c r="EE469" s="251" t="str">
        <f t="shared" si="114"/>
        <v/>
      </c>
      <c r="EF469" s="251" t="str">
        <f t="shared" si="115"/>
        <v/>
      </c>
      <c r="EG469" s="251" t="str">
        <f t="shared" si="116"/>
        <v/>
      </c>
      <c r="EH469" s="251" t="str">
        <f t="shared" si="117"/>
        <v/>
      </c>
      <c r="EI469" s="251" t="str">
        <f t="shared" si="118"/>
        <v/>
      </c>
      <c r="EJ469" s="251" t="str">
        <f t="shared" si="119"/>
        <v/>
      </c>
      <c r="EK469" s="251" t="str">
        <f t="shared" si="120"/>
        <v/>
      </c>
      <c r="EL469" s="251" t="str">
        <f t="shared" si="121"/>
        <v/>
      </c>
      <c r="EM469" s="251" t="str">
        <f t="shared" si="122"/>
        <v/>
      </c>
      <c r="EN469" s="251" t="str">
        <f t="shared" si="123"/>
        <v/>
      </c>
      <c r="EO469" s="251" t="str">
        <f t="shared" si="124"/>
        <v/>
      </c>
      <c r="EP469" s="251" t="str">
        <f t="shared" si="125"/>
        <v/>
      </c>
      <c r="EQ469" s="251" t="str">
        <f t="shared" si="126"/>
        <v/>
      </c>
      <c r="ER469" s="251" t="str">
        <f t="shared" si="127"/>
        <v/>
      </c>
      <c r="ES469" s="251" t="str">
        <f t="shared" si="128"/>
        <v/>
      </c>
      <c r="ET469" s="251" t="str">
        <f t="shared" si="129"/>
        <v/>
      </c>
      <c r="EU469" s="251" t="str">
        <f t="shared" si="130"/>
        <v/>
      </c>
      <c r="EV469" s="251" t="str">
        <f t="shared" si="131"/>
        <v/>
      </c>
      <c r="EW469" s="251" t="str">
        <f t="shared" si="132"/>
        <v/>
      </c>
      <c r="EX469" s="251" t="str">
        <f t="shared" si="133"/>
        <v/>
      </c>
      <c r="EY469" s="251" t="str">
        <f t="shared" si="134"/>
        <v/>
      </c>
      <c r="EZ469" s="251" t="str">
        <f t="shared" si="135"/>
        <v/>
      </c>
      <c r="FA469" s="251" t="str">
        <f t="shared" si="136"/>
        <v/>
      </c>
      <c r="FB469" s="251" t="str">
        <f t="shared" si="137"/>
        <v/>
      </c>
      <c r="FC469" s="251" t="str">
        <f t="shared" si="138"/>
        <v/>
      </c>
      <c r="FD469" s="251" t="str">
        <f t="shared" si="139"/>
        <v/>
      </c>
      <c r="FE469" s="251" t="str">
        <f t="shared" si="140"/>
        <v/>
      </c>
      <c r="FF469" s="251" t="str">
        <f t="shared" si="141"/>
        <v/>
      </c>
      <c r="FG469" s="251" t="str">
        <f t="shared" si="142"/>
        <v/>
      </c>
      <c r="FH469" s="251" t="str">
        <f t="shared" si="143"/>
        <v/>
      </c>
      <c r="FI469" s="251" t="str">
        <f t="shared" si="144"/>
        <v/>
      </c>
      <c r="FJ469" s="251" t="str">
        <f t="shared" si="145"/>
        <v/>
      </c>
      <c r="FK469" s="251" t="str">
        <f t="shared" si="146"/>
        <v/>
      </c>
      <c r="FL469" s="251" t="str">
        <f t="shared" si="147"/>
        <v/>
      </c>
      <c r="FM469" s="251" t="str">
        <f t="shared" si="148"/>
        <v/>
      </c>
      <c r="FN469" s="251" t="str">
        <f t="shared" si="149"/>
        <v/>
      </c>
      <c r="FO469" s="251" t="str">
        <f t="shared" si="150"/>
        <v/>
      </c>
      <c r="FP469" s="251" t="str">
        <f t="shared" si="151"/>
        <v/>
      </c>
      <c r="FQ469" s="251" t="str">
        <f t="shared" si="152"/>
        <v/>
      </c>
      <c r="FR469" s="251" t="str">
        <f t="shared" si="153"/>
        <v/>
      </c>
      <c r="FS469" s="251" t="str">
        <f t="shared" si="154"/>
        <v/>
      </c>
      <c r="FT469" s="251" t="str">
        <f t="shared" si="155"/>
        <v/>
      </c>
      <c r="FU469" s="251" t="str">
        <f t="shared" si="156"/>
        <v/>
      </c>
      <c r="FV469" s="251" t="str">
        <f t="shared" si="157"/>
        <v/>
      </c>
      <c r="FW469" s="251" t="str">
        <f t="shared" si="158"/>
        <v/>
      </c>
      <c r="FX469" s="251" t="str">
        <f t="shared" si="159"/>
        <v/>
      </c>
      <c r="FY469" s="251" t="str">
        <f t="shared" si="160"/>
        <v/>
      </c>
      <c r="FZ469" s="251" t="str">
        <f t="shared" si="161"/>
        <v/>
      </c>
      <c r="GA469" s="251" t="str">
        <f t="shared" si="162"/>
        <v/>
      </c>
      <c r="GB469" s="251" t="str">
        <f t="shared" si="163"/>
        <v/>
      </c>
      <c r="GC469" s="251" t="str">
        <f t="shared" si="164"/>
        <v/>
      </c>
      <c r="GD469" s="251" t="str">
        <f t="shared" si="165"/>
        <v/>
      </c>
      <c r="GE469" s="251" t="str">
        <f t="shared" si="166"/>
        <v/>
      </c>
      <c r="GF469" s="251" t="str">
        <f t="shared" si="167"/>
        <v/>
      </c>
      <c r="GG469" s="251" t="str">
        <f t="shared" si="168"/>
        <v/>
      </c>
      <c r="GH469" s="251" t="str">
        <f t="shared" si="169"/>
        <v/>
      </c>
      <c r="GI469" s="251" t="str">
        <f t="shared" si="170"/>
        <v/>
      </c>
      <c r="GJ469" s="251" t="str">
        <f t="shared" si="171"/>
        <v/>
      </c>
      <c r="GK469" s="251" t="str">
        <f t="shared" si="172"/>
        <v/>
      </c>
      <c r="GL469" s="251" t="str">
        <f t="shared" si="173"/>
        <v/>
      </c>
      <c r="GM469" s="251" t="str">
        <f t="shared" si="174"/>
        <v/>
      </c>
      <c r="GN469" s="251" t="str">
        <f t="shared" si="175"/>
        <v/>
      </c>
      <c r="GO469" s="251" t="str">
        <f t="shared" si="176"/>
        <v/>
      </c>
      <c r="GP469" s="251" t="str">
        <f t="shared" si="177"/>
        <v/>
      </c>
      <c r="GQ469" s="251" t="str">
        <f t="shared" si="178"/>
        <v/>
      </c>
      <c r="GR469" s="251" t="str">
        <f t="shared" si="179"/>
        <v/>
      </c>
      <c r="GS469" s="251" t="str">
        <f t="shared" si="180"/>
        <v/>
      </c>
      <c r="GT469" s="251" t="str">
        <f t="shared" si="181"/>
        <v/>
      </c>
      <c r="GU469" s="251" t="str">
        <f t="shared" si="182"/>
        <v/>
      </c>
      <c r="GV469" s="251" t="str">
        <f t="shared" si="183"/>
        <v/>
      </c>
      <c r="GW469" s="251" t="str">
        <f t="shared" si="184"/>
        <v/>
      </c>
      <c r="GX469" s="251" t="str">
        <f t="shared" si="185"/>
        <v/>
      </c>
      <c r="GY469" s="251" t="str">
        <f t="shared" si="186"/>
        <v/>
      </c>
      <c r="GZ469" s="251" t="str">
        <f t="shared" si="187"/>
        <v/>
      </c>
      <c r="HA469" s="251" t="str">
        <f t="shared" si="188"/>
        <v/>
      </c>
      <c r="HB469" s="251" t="str">
        <f t="shared" si="189"/>
        <v/>
      </c>
      <c r="HC469" s="251" t="str">
        <f t="shared" si="190"/>
        <v/>
      </c>
      <c r="HD469" s="251" t="str">
        <f t="shared" si="191"/>
        <v/>
      </c>
      <c r="HE469" s="251" t="str">
        <f t="shared" si="192"/>
        <v/>
      </c>
      <c r="HF469" s="251" t="str">
        <f t="shared" si="193"/>
        <v/>
      </c>
      <c r="HG469" s="251" t="str">
        <f t="shared" si="194"/>
        <v/>
      </c>
      <c r="HH469" s="251" t="str">
        <f t="shared" si="195"/>
        <v/>
      </c>
      <c r="HI469" s="251" t="str">
        <f t="shared" si="196"/>
        <v/>
      </c>
      <c r="HJ469" s="251" t="str">
        <f t="shared" si="197"/>
        <v/>
      </c>
      <c r="HK469" s="251" t="str">
        <f t="shared" si="198"/>
        <v/>
      </c>
      <c r="HL469" s="251" t="str">
        <f t="shared" si="199"/>
        <v/>
      </c>
      <c r="HM469" s="251" t="str">
        <f t="shared" si="200"/>
        <v/>
      </c>
      <c r="HN469" s="251" t="str">
        <f t="shared" si="201"/>
        <v/>
      </c>
      <c r="HO469" s="251" t="str">
        <f t="shared" si="202"/>
        <v/>
      </c>
      <c r="HP469" s="251" t="str">
        <f t="shared" si="203"/>
        <v/>
      </c>
      <c r="HQ469" s="251" t="str">
        <f t="shared" si="204"/>
        <v/>
      </c>
      <c r="HR469" s="251" t="str">
        <f t="shared" si="205"/>
        <v/>
      </c>
      <c r="HS469" s="251" t="str">
        <f t="shared" si="206"/>
        <v/>
      </c>
      <c r="HT469" s="251" t="str">
        <f t="shared" si="207"/>
        <v/>
      </c>
      <c r="HU469" s="251" t="str">
        <f t="shared" si="208"/>
        <v/>
      </c>
      <c r="HV469" s="251" t="str">
        <f t="shared" si="209"/>
        <v/>
      </c>
      <c r="HW469" s="251" t="str">
        <f t="shared" si="210"/>
        <v/>
      </c>
      <c r="HX469" s="251" t="str">
        <f t="shared" si="211"/>
        <v/>
      </c>
      <c r="HY469" s="251" t="str">
        <f t="shared" si="212"/>
        <v/>
      </c>
      <c r="HZ469" s="251" t="str">
        <f t="shared" si="213"/>
        <v/>
      </c>
      <c r="IA469" s="251" t="str">
        <f t="shared" si="214"/>
        <v/>
      </c>
      <c r="IB469" s="251" t="str">
        <f t="shared" si="215"/>
        <v/>
      </c>
      <c r="IC469" s="251" t="str">
        <f t="shared" si="216"/>
        <v/>
      </c>
      <c r="ID469" s="251" t="str">
        <f t="shared" si="217"/>
        <v/>
      </c>
      <c r="IE469" s="251" t="str">
        <f t="shared" si="218"/>
        <v/>
      </c>
      <c r="IF469" s="251" t="str">
        <f t="shared" si="219"/>
        <v/>
      </c>
      <c r="IG469" s="251" t="str">
        <f t="shared" si="220"/>
        <v/>
      </c>
      <c r="IH469" s="251" t="str">
        <f t="shared" si="221"/>
        <v/>
      </c>
      <c r="II469" s="251" t="str">
        <f t="shared" si="222"/>
        <v/>
      </c>
      <c r="IJ469" s="251" t="str">
        <f t="shared" si="223"/>
        <v/>
      </c>
      <c r="IK469" s="251" t="str">
        <f t="shared" si="224"/>
        <v/>
      </c>
      <c r="IL469" s="251" t="str">
        <f t="shared" si="225"/>
        <v/>
      </c>
      <c r="IM469" s="251" t="str">
        <f t="shared" si="226"/>
        <v/>
      </c>
      <c r="IN469" s="251" t="str">
        <f t="shared" si="227"/>
        <v/>
      </c>
      <c r="IO469" s="251" t="str">
        <f t="shared" si="228"/>
        <v/>
      </c>
      <c r="IP469" s="251" t="str">
        <f t="shared" si="229"/>
        <v/>
      </c>
      <c r="IQ469" s="251" t="str">
        <f t="shared" si="230"/>
        <v/>
      </c>
      <c r="IR469" s="251" t="str">
        <f t="shared" si="231"/>
        <v/>
      </c>
      <c r="IS469" s="251" t="str">
        <f t="shared" si="232"/>
        <v/>
      </c>
      <c r="IT469" s="251" t="str">
        <f t="shared" si="233"/>
        <v/>
      </c>
      <c r="IU469" s="251" t="str">
        <f t="shared" si="234"/>
        <v/>
      </c>
      <c r="IV469" s="251" t="str">
        <f t="shared" si="235"/>
        <v/>
      </c>
      <c r="IW469" s="251" t="str">
        <f t="shared" si="236"/>
        <v/>
      </c>
      <c r="IX469" s="251" t="str">
        <f t="shared" si="237"/>
        <v/>
      </c>
      <c r="IY469" s="251" t="str">
        <f t="shared" si="238"/>
        <v/>
      </c>
      <c r="IZ469" s="251" t="str">
        <f t="shared" si="239"/>
        <v/>
      </c>
      <c r="JA469" s="251" t="str">
        <f t="shared" si="240"/>
        <v/>
      </c>
      <c r="JB469" s="251" t="str">
        <f t="shared" si="241"/>
        <v/>
      </c>
      <c r="JC469" s="251" t="str">
        <f t="shared" si="242"/>
        <v/>
      </c>
      <c r="JD469" s="251" t="str">
        <f t="shared" si="243"/>
        <v/>
      </c>
      <c r="JE469" s="251" t="str">
        <f t="shared" si="244"/>
        <v/>
      </c>
      <c r="JF469" s="251" t="str">
        <f t="shared" si="245"/>
        <v/>
      </c>
      <c r="JG469" s="251" t="str">
        <f t="shared" si="246"/>
        <v/>
      </c>
      <c r="JH469" s="251" t="str">
        <f t="shared" si="247"/>
        <v/>
      </c>
      <c r="JI469" s="1297" t="str">
        <f t="shared" si="248"/>
        <v/>
      </c>
      <c r="JJ469" s="1297" t="str">
        <f t="shared" si="249"/>
        <v/>
      </c>
      <c r="JK469" s="1297" t="str">
        <f t="shared" si="250"/>
        <v/>
      </c>
      <c r="JL469" s="1297" t="str">
        <f t="shared" si="251"/>
        <v/>
      </c>
      <c r="JM469" s="1297" t="str">
        <f t="shared" si="252"/>
        <v/>
      </c>
      <c r="JN469" s="1297" t="str">
        <f t="shared" si="253"/>
        <v/>
      </c>
      <c r="JO469" s="1297" t="str">
        <f t="shared" si="254"/>
        <v/>
      </c>
      <c r="JP469" s="1297" t="str">
        <f t="shared" si="255"/>
        <v/>
      </c>
      <c r="JQ469" s="1297" t="str">
        <f t="shared" si="256"/>
        <v/>
      </c>
      <c r="JR469" s="1297" t="str">
        <f t="shared" si="257"/>
        <v/>
      </c>
      <c r="JS469" s="1297" t="str">
        <f t="shared" si="258"/>
        <v/>
      </c>
      <c r="JT469" s="1297" t="str">
        <f t="shared" si="259"/>
        <v/>
      </c>
      <c r="JU469" s="1297" t="str">
        <f t="shared" si="260"/>
        <v/>
      </c>
      <c r="JV469" s="1297" t="str">
        <f t="shared" si="261"/>
        <v/>
      </c>
      <c r="JW469" s="1297" t="str">
        <f t="shared" si="262"/>
        <v/>
      </c>
      <c r="JX469" s="1297" t="str">
        <f t="shared" si="263"/>
        <v/>
      </c>
      <c r="JY469" s="1297" t="str">
        <f t="shared" si="264"/>
        <v/>
      </c>
      <c r="JZ469" s="1297" t="str">
        <f t="shared" si="265"/>
        <v/>
      </c>
      <c r="KA469" s="1297" t="str">
        <f t="shared" si="266"/>
        <v/>
      </c>
      <c r="KB469" s="1297" t="str">
        <f t="shared" si="267"/>
        <v/>
      </c>
      <c r="KC469" s="1297" t="str">
        <f t="shared" si="268"/>
        <v/>
      </c>
      <c r="KD469" s="1297" t="str">
        <f t="shared" si="269"/>
        <v/>
      </c>
      <c r="KE469" s="1297" t="str">
        <f t="shared" si="270"/>
        <v/>
      </c>
      <c r="KF469" s="1297" t="str">
        <f t="shared" si="271"/>
        <v/>
      </c>
      <c r="KG469" s="1297" t="str">
        <f t="shared" si="272"/>
        <v/>
      </c>
      <c r="KH469" s="1297" t="str">
        <f t="shared" si="273"/>
        <v/>
      </c>
      <c r="KI469" s="1297" t="str">
        <f t="shared" si="274"/>
        <v/>
      </c>
      <c r="KJ469" s="1297" t="str">
        <f t="shared" si="275"/>
        <v/>
      </c>
      <c r="KK469" s="1297" t="str">
        <f t="shared" si="276"/>
        <v/>
      </c>
      <c r="KL469" s="1297" t="str">
        <f t="shared" si="277"/>
        <v/>
      </c>
      <c r="KM469" s="1297" t="str">
        <f t="shared" si="278"/>
        <v/>
      </c>
      <c r="KN469" s="1297" t="str">
        <f t="shared" si="279"/>
        <v/>
      </c>
      <c r="KO469" s="1297" t="str">
        <f t="shared" si="280"/>
        <v/>
      </c>
      <c r="KP469" s="1297" t="str">
        <f t="shared" si="281"/>
        <v/>
      </c>
      <c r="KQ469" s="1297" t="str">
        <f t="shared" si="282"/>
        <v/>
      </c>
      <c r="KR469" s="1297" t="str">
        <f t="shared" si="283"/>
        <v/>
      </c>
      <c r="KS469" s="1297" t="str">
        <f t="shared" si="284"/>
        <v/>
      </c>
      <c r="KT469" s="1297" t="str">
        <f t="shared" si="285"/>
        <v/>
      </c>
      <c r="KU469" s="1297" t="str">
        <f t="shared" si="286"/>
        <v/>
      </c>
      <c r="KV469" s="1297" t="str">
        <f t="shared" si="287"/>
        <v/>
      </c>
      <c r="KW469" s="1297" t="str">
        <f t="shared" si="288"/>
        <v/>
      </c>
      <c r="KX469" s="1297" t="str">
        <f t="shared" si="289"/>
        <v/>
      </c>
      <c r="KY469" s="1297" t="str">
        <f t="shared" si="290"/>
        <v/>
      </c>
      <c r="KZ469" s="1297" t="str">
        <f t="shared" si="291"/>
        <v/>
      </c>
      <c r="LA469" s="1297" t="str">
        <f t="shared" si="292"/>
        <v/>
      </c>
      <c r="LB469" s="1297" t="str">
        <f t="shared" si="293"/>
        <v/>
      </c>
      <c r="LC469" s="1297" t="str">
        <f t="shared" si="294"/>
        <v/>
      </c>
      <c r="LD469" s="1297" t="str">
        <f t="shared" si="295"/>
        <v/>
      </c>
      <c r="LE469" s="1297" t="str">
        <f t="shared" si="296"/>
        <v/>
      </c>
      <c r="LF469" s="1297" t="str">
        <f t="shared" si="297"/>
        <v/>
      </c>
      <c r="LG469" s="1297" t="str">
        <f t="shared" si="298"/>
        <v/>
      </c>
      <c r="LH469" s="1297" t="str">
        <f t="shared" si="299"/>
        <v/>
      </c>
      <c r="LI469" s="1297" t="str">
        <f t="shared" si="300"/>
        <v/>
      </c>
      <c r="LJ469" s="1297" t="str">
        <f t="shared" si="301"/>
        <v/>
      </c>
      <c r="LK469" s="1297" t="str">
        <f t="shared" si="302"/>
        <v/>
      </c>
      <c r="LL469" s="1297" t="str">
        <f t="shared" si="303"/>
        <v/>
      </c>
      <c r="LM469" s="1297" t="str">
        <f t="shared" si="304"/>
        <v/>
      </c>
      <c r="LN469" s="1297" t="str">
        <f t="shared" si="305"/>
        <v/>
      </c>
      <c r="LO469" s="1297" t="str">
        <f t="shared" si="306"/>
        <v/>
      </c>
      <c r="LP469" s="1297" t="str">
        <f t="shared" si="307"/>
        <v/>
      </c>
      <c r="LQ469" s="1297" t="str">
        <f t="shared" si="308"/>
        <v/>
      </c>
      <c r="LR469" s="1297" t="str">
        <f t="shared" si="309"/>
        <v/>
      </c>
      <c r="LS469" s="1297" t="str">
        <f t="shared" si="310"/>
        <v/>
      </c>
      <c r="LT469" s="1297" t="str">
        <f t="shared" si="311"/>
        <v/>
      </c>
      <c r="LU469" s="1297" t="str">
        <f t="shared" si="312"/>
        <v/>
      </c>
      <c r="LV469" s="1297" t="str">
        <f t="shared" si="313"/>
        <v/>
      </c>
      <c r="LW469" s="1297" t="str">
        <f t="shared" si="314"/>
        <v/>
      </c>
      <c r="LX469" s="1297" t="str">
        <f t="shared" si="315"/>
        <v/>
      </c>
      <c r="LY469" s="1297" t="str">
        <f t="shared" si="316"/>
        <v/>
      </c>
      <c r="LZ469" s="1297" t="str">
        <f t="shared" si="317"/>
        <v/>
      </c>
      <c r="MA469" s="1297" t="str">
        <f t="shared" si="318"/>
        <v/>
      </c>
      <c r="MB469" s="1297" t="str">
        <f t="shared" si="319"/>
        <v/>
      </c>
      <c r="MC469" s="1297" t="str">
        <f t="shared" si="320"/>
        <v/>
      </c>
      <c r="MD469" s="1297" t="str">
        <f t="shared" si="321"/>
        <v/>
      </c>
      <c r="ME469" s="1297" t="str">
        <f t="shared" si="322"/>
        <v/>
      </c>
      <c r="MF469" s="1297" t="str">
        <f t="shared" si="323"/>
        <v/>
      </c>
      <c r="MG469" s="1297" t="str">
        <f t="shared" si="324"/>
        <v/>
      </c>
      <c r="MH469" s="1297" t="str">
        <f t="shared" si="325"/>
        <v/>
      </c>
      <c r="MI469" s="1297" t="str">
        <f t="shared" si="326"/>
        <v/>
      </c>
      <c r="MJ469" s="1297" t="str">
        <f t="shared" si="327"/>
        <v/>
      </c>
      <c r="MK469" s="1297" t="str">
        <f t="shared" si="328"/>
        <v/>
      </c>
      <c r="ML469" s="1297" t="str">
        <f t="shared" si="329"/>
        <v/>
      </c>
      <c r="MM469" s="1297" t="str">
        <f t="shared" si="330"/>
        <v/>
      </c>
      <c r="MN469" s="1297" t="str">
        <f t="shared" si="331"/>
        <v/>
      </c>
      <c r="MO469" s="1297" t="str">
        <f t="shared" si="332"/>
        <v/>
      </c>
      <c r="MP469" s="1773" t="str">
        <f t="shared" si="333"/>
        <v/>
      </c>
      <c r="MQ469" s="1773" t="str">
        <f t="shared" si="334"/>
        <v/>
      </c>
      <c r="MR469" s="1773" t="str">
        <f t="shared" si="335"/>
        <v/>
      </c>
      <c r="MS469" s="1773" t="str">
        <f t="shared" si="336"/>
        <v/>
      </c>
      <c r="MT469" s="1773" t="str">
        <f t="shared" si="337"/>
        <v/>
      </c>
      <c r="MU469" s="251" t="str">
        <f t="shared" si="338"/>
        <v/>
      </c>
      <c r="MV469" s="251" t="str">
        <f t="shared" si="339"/>
        <v/>
      </c>
      <c r="MW469" s="251" t="str">
        <f t="shared" si="340"/>
        <v/>
      </c>
      <c r="MX469" s="251" t="str">
        <f t="shared" si="341"/>
        <v/>
      </c>
      <c r="MY469" s="251" t="str">
        <f t="shared" si="342"/>
        <v/>
      </c>
      <c r="MZ469" s="251" t="str">
        <f t="shared" si="343"/>
        <v/>
      </c>
      <c r="NA469" s="251" t="str">
        <f t="shared" si="344"/>
        <v/>
      </c>
      <c r="NB469" s="251" t="str">
        <f t="shared" si="345"/>
        <v/>
      </c>
      <c r="NC469" s="251" t="str">
        <f t="shared" si="346"/>
        <v/>
      </c>
      <c r="ND469" s="251" t="str">
        <f t="shared" si="347"/>
        <v/>
      </c>
      <c r="NE469" s="251" t="str">
        <f t="shared" si="348"/>
        <v/>
      </c>
      <c r="NF469" s="251" t="str">
        <f t="shared" si="349"/>
        <v/>
      </c>
      <c r="NG469" s="251" t="str">
        <f t="shared" si="350"/>
        <v/>
      </c>
      <c r="NH469" s="251" t="str">
        <f t="shared" si="351"/>
        <v/>
      </c>
      <c r="NI469" s="251" t="str">
        <f t="shared" si="352"/>
        <v/>
      </c>
      <c r="NJ469" s="251" t="str">
        <f t="shared" si="353"/>
        <v/>
      </c>
      <c r="NK469" s="251" t="str">
        <f t="shared" si="354"/>
        <v/>
      </c>
      <c r="NL469" s="251" t="str">
        <f t="shared" si="355"/>
        <v/>
      </c>
      <c r="NM469" s="251" t="str">
        <f t="shared" si="356"/>
        <v/>
      </c>
      <c r="NN469" s="251" t="str">
        <f t="shared" si="357"/>
        <v/>
      </c>
      <c r="NO469" s="1185">
        <f t="shared" si="358"/>
        <v>0</v>
      </c>
      <c r="NP469" s="1185">
        <f t="shared" si="359"/>
        <v>0</v>
      </c>
      <c r="NQ469" s="1185">
        <f t="shared" si="360"/>
        <v>0</v>
      </c>
      <c r="NR469" s="1185">
        <f t="shared" si="361"/>
        <v>0</v>
      </c>
      <c r="NS469" s="1185">
        <f t="shared" si="362"/>
        <v>0</v>
      </c>
      <c r="NT469" s="1185">
        <f t="shared" si="368"/>
        <v>0</v>
      </c>
      <c r="NU469" s="1185">
        <f t="shared" si="369"/>
        <v>0</v>
      </c>
      <c r="NV469" s="1185">
        <f t="shared" si="370"/>
        <v>0</v>
      </c>
      <c r="NW469" s="1185">
        <f t="shared" si="371"/>
        <v>0</v>
      </c>
      <c r="NX469" s="1185">
        <f t="shared" si="372"/>
        <v>0</v>
      </c>
      <c r="NY469" s="1185">
        <f t="shared" si="363"/>
        <v>0</v>
      </c>
      <c r="NZ469" s="1185">
        <f t="shared" si="364"/>
        <v>0</v>
      </c>
      <c r="OA469" s="1185">
        <f t="shared" si="365"/>
        <v>0</v>
      </c>
      <c r="OB469" s="1185">
        <f t="shared" si="366"/>
        <v>0</v>
      </c>
      <c r="OC469" s="1185">
        <f t="shared" si="367"/>
        <v>0</v>
      </c>
      <c r="OY469" s="251" t="s">
        <v>1164</v>
      </c>
      <c r="OZ469" s="1296">
        <v>16</v>
      </c>
    </row>
    <row r="470" spans="1:416" ht="12" customHeight="1">
      <c r="A470" s="1979" t="str">
        <f t="shared" si="0"/>
        <v/>
      </c>
      <c r="B470" s="1998" t="str">
        <f>'Part V-Revenues &amp; Expenses'!B17</f>
        <v>Unrestricted</v>
      </c>
      <c r="C470" s="1999">
        <f>'Part V-Revenues &amp; Expenses'!C17</f>
        <v>0</v>
      </c>
      <c r="D470" s="2000">
        <f>'Part V-Revenues &amp; Expenses'!D17</f>
        <v>0</v>
      </c>
      <c r="E470" s="2001">
        <f>'Part V-Revenues &amp; Expenses'!E17</f>
        <v>0</v>
      </c>
      <c r="F470" s="2001">
        <f>'Part V-Revenues &amp; Expenses'!F17</f>
        <v>0</v>
      </c>
      <c r="G470" s="2001">
        <f>'Part V-Revenues &amp; Expenses'!G17</f>
        <v>0</v>
      </c>
      <c r="H470" s="2001">
        <f>'Part V-Revenues &amp; Expenses'!H17</f>
        <v>0</v>
      </c>
      <c r="I470" s="2001">
        <f>'Part V-Revenues &amp; Expenses'!I17</f>
        <v>0</v>
      </c>
      <c r="J470" s="2001">
        <f>'Part V-Revenues &amp; Expenses'!J17</f>
        <v>0</v>
      </c>
      <c r="K470" s="2002">
        <f>'Part V-Revenues &amp; Expenses'!K17</f>
        <v>0</v>
      </c>
      <c r="L470" s="2003">
        <f t="shared" si="1"/>
        <v>0</v>
      </c>
      <c r="M470" s="2003">
        <f t="shared" si="2"/>
        <v>0</v>
      </c>
      <c r="N470" s="1853">
        <f>'Part V-Revenues &amp; Expenses'!N17</f>
        <v>0</v>
      </c>
      <c r="O470" s="899">
        <f>'Part V-Revenues &amp; Expenses'!O17</f>
        <v>0</v>
      </c>
      <c r="P470" s="1853">
        <f>'Part V-Revenues &amp; Expenses'!P17</f>
        <v>0</v>
      </c>
      <c r="Q470" s="1772">
        <f>'Part V-Revenues &amp; Expenses'!Q17</f>
        <v>0</v>
      </c>
      <c r="R470" s="2004"/>
      <c r="S470" s="2005"/>
      <c r="T470" s="1920"/>
      <c r="U470" s="1920"/>
      <c r="V470" s="1920"/>
      <c r="W470" s="1920"/>
      <c r="X470" s="251" t="str">
        <f t="shared" si="3"/>
        <v/>
      </c>
      <c r="Y470" s="251" t="str">
        <f t="shared" si="4"/>
        <v/>
      </c>
      <c r="Z470" s="251" t="str">
        <f t="shared" si="5"/>
        <v/>
      </c>
      <c r="AA470" s="251" t="str">
        <f t="shared" si="6"/>
        <v/>
      </c>
      <c r="AB470" s="251" t="str">
        <f t="shared" si="7"/>
        <v/>
      </c>
      <c r="AC470" s="251" t="str">
        <f t="shared" si="8"/>
        <v/>
      </c>
      <c r="AD470" s="251" t="str">
        <f t="shared" si="9"/>
        <v/>
      </c>
      <c r="AE470" s="251" t="str">
        <f t="shared" si="10"/>
        <v/>
      </c>
      <c r="AF470" s="251" t="str">
        <f t="shared" si="11"/>
        <v/>
      </c>
      <c r="AG470" s="251" t="str">
        <f t="shared" si="12"/>
        <v/>
      </c>
      <c r="AH470" s="251" t="str">
        <f t="shared" si="13"/>
        <v/>
      </c>
      <c r="AI470" s="251" t="str">
        <f t="shared" si="14"/>
        <v/>
      </c>
      <c r="AJ470" s="251" t="str">
        <f t="shared" si="15"/>
        <v/>
      </c>
      <c r="AK470" s="251" t="str">
        <f t="shared" si="16"/>
        <v/>
      </c>
      <c r="AL470" s="251" t="str">
        <f t="shared" si="17"/>
        <v/>
      </c>
      <c r="AM470" s="251" t="str">
        <f t="shared" si="18"/>
        <v/>
      </c>
      <c r="AN470" s="251" t="str">
        <f t="shared" si="19"/>
        <v/>
      </c>
      <c r="AO470" s="251" t="str">
        <f t="shared" si="20"/>
        <v/>
      </c>
      <c r="AP470" s="251" t="str">
        <f t="shared" si="21"/>
        <v/>
      </c>
      <c r="AQ470" s="251" t="str">
        <f t="shared" si="22"/>
        <v/>
      </c>
      <c r="AR470" s="251" t="str">
        <f t="shared" si="23"/>
        <v/>
      </c>
      <c r="AS470" s="251" t="str">
        <f t="shared" si="24"/>
        <v/>
      </c>
      <c r="AT470" s="251" t="str">
        <f t="shared" si="25"/>
        <v/>
      </c>
      <c r="AU470" s="251" t="str">
        <f t="shared" si="26"/>
        <v/>
      </c>
      <c r="AV470" s="251" t="str">
        <f t="shared" si="27"/>
        <v/>
      </c>
      <c r="AW470" s="251" t="str">
        <f t="shared" si="28"/>
        <v/>
      </c>
      <c r="AX470" s="251" t="str">
        <f t="shared" si="29"/>
        <v/>
      </c>
      <c r="AY470" s="251" t="str">
        <f t="shared" si="30"/>
        <v/>
      </c>
      <c r="AZ470" s="251" t="str">
        <f t="shared" si="31"/>
        <v/>
      </c>
      <c r="BA470" s="251" t="str">
        <f t="shared" si="32"/>
        <v/>
      </c>
      <c r="BB470" s="251" t="str">
        <f t="shared" si="33"/>
        <v/>
      </c>
      <c r="BC470" s="251" t="str">
        <f t="shared" si="34"/>
        <v/>
      </c>
      <c r="BD470" s="251" t="str">
        <f t="shared" si="35"/>
        <v/>
      </c>
      <c r="BE470" s="251" t="str">
        <f t="shared" si="36"/>
        <v/>
      </c>
      <c r="BF470" s="251" t="str">
        <f t="shared" si="37"/>
        <v/>
      </c>
      <c r="BG470" s="251" t="str">
        <f t="shared" si="38"/>
        <v/>
      </c>
      <c r="BH470" s="251" t="str">
        <f t="shared" si="39"/>
        <v/>
      </c>
      <c r="BI470" s="251" t="str">
        <f t="shared" si="40"/>
        <v/>
      </c>
      <c r="BJ470" s="251" t="str">
        <f t="shared" si="41"/>
        <v/>
      </c>
      <c r="BK470" s="251" t="str">
        <f t="shared" si="42"/>
        <v/>
      </c>
      <c r="BL470" s="251" t="str">
        <f t="shared" si="43"/>
        <v/>
      </c>
      <c r="BM470" s="251" t="str">
        <f t="shared" si="44"/>
        <v/>
      </c>
      <c r="BN470" s="251" t="str">
        <f t="shared" si="45"/>
        <v/>
      </c>
      <c r="BO470" s="251" t="str">
        <f t="shared" si="46"/>
        <v/>
      </c>
      <c r="BP470" s="251" t="str">
        <f t="shared" si="47"/>
        <v/>
      </c>
      <c r="BQ470" s="251" t="str">
        <f t="shared" si="48"/>
        <v/>
      </c>
      <c r="BR470" s="251" t="str">
        <f t="shared" si="49"/>
        <v/>
      </c>
      <c r="BS470" s="251" t="str">
        <f t="shared" si="50"/>
        <v/>
      </c>
      <c r="BT470" s="251" t="str">
        <f t="shared" si="51"/>
        <v/>
      </c>
      <c r="BU470" s="251" t="str">
        <f t="shared" si="52"/>
        <v/>
      </c>
      <c r="BV470" s="251" t="str">
        <f t="shared" si="53"/>
        <v/>
      </c>
      <c r="BW470" s="251" t="str">
        <f t="shared" si="54"/>
        <v/>
      </c>
      <c r="BX470" s="251" t="str">
        <f t="shared" si="55"/>
        <v/>
      </c>
      <c r="BY470" s="251" t="str">
        <f t="shared" si="56"/>
        <v/>
      </c>
      <c r="BZ470" s="251" t="str">
        <f t="shared" si="57"/>
        <v/>
      </c>
      <c r="CA470" s="251" t="str">
        <f t="shared" si="58"/>
        <v/>
      </c>
      <c r="CB470" s="251" t="str">
        <f t="shared" si="59"/>
        <v/>
      </c>
      <c r="CC470" s="251" t="str">
        <f t="shared" si="60"/>
        <v/>
      </c>
      <c r="CD470" s="251" t="str">
        <f t="shared" si="61"/>
        <v/>
      </c>
      <c r="CE470" s="251" t="str">
        <f t="shared" si="62"/>
        <v/>
      </c>
      <c r="CF470" s="251" t="str">
        <f t="shared" si="63"/>
        <v/>
      </c>
      <c r="CG470" s="251" t="str">
        <f t="shared" si="64"/>
        <v/>
      </c>
      <c r="CH470" s="251" t="str">
        <f t="shared" si="65"/>
        <v/>
      </c>
      <c r="CI470" s="251" t="str">
        <f t="shared" si="66"/>
        <v/>
      </c>
      <c r="CJ470" s="251" t="str">
        <f t="shared" si="67"/>
        <v/>
      </c>
      <c r="CK470" s="251" t="str">
        <f t="shared" si="68"/>
        <v/>
      </c>
      <c r="CL470" s="251" t="str">
        <f t="shared" si="69"/>
        <v/>
      </c>
      <c r="CM470" s="251" t="str">
        <f t="shared" si="70"/>
        <v/>
      </c>
      <c r="CN470" s="251" t="str">
        <f t="shared" si="71"/>
        <v/>
      </c>
      <c r="CO470" s="251" t="str">
        <f t="shared" si="72"/>
        <v/>
      </c>
      <c r="CP470" s="251" t="str">
        <f t="shared" si="73"/>
        <v/>
      </c>
      <c r="CQ470" s="251" t="str">
        <f t="shared" si="74"/>
        <v/>
      </c>
      <c r="CR470" s="251" t="str">
        <f t="shared" si="75"/>
        <v/>
      </c>
      <c r="CS470" s="251" t="str">
        <f t="shared" si="76"/>
        <v/>
      </c>
      <c r="CT470" s="251" t="str">
        <f t="shared" si="77"/>
        <v/>
      </c>
      <c r="CU470" s="251" t="str">
        <f t="shared" si="78"/>
        <v/>
      </c>
      <c r="CV470" s="251" t="str">
        <f t="shared" si="79"/>
        <v/>
      </c>
      <c r="CW470" s="251" t="str">
        <f t="shared" si="80"/>
        <v/>
      </c>
      <c r="CX470" s="251" t="str">
        <f t="shared" si="81"/>
        <v/>
      </c>
      <c r="CY470" s="251" t="str">
        <f t="shared" si="82"/>
        <v/>
      </c>
      <c r="CZ470" s="251" t="str">
        <f t="shared" si="83"/>
        <v/>
      </c>
      <c r="DA470" s="251" t="str">
        <f t="shared" si="84"/>
        <v/>
      </c>
      <c r="DB470" s="251" t="str">
        <f t="shared" si="85"/>
        <v/>
      </c>
      <c r="DC470" s="251" t="str">
        <f t="shared" si="86"/>
        <v/>
      </c>
      <c r="DD470" s="251" t="str">
        <f t="shared" si="87"/>
        <v/>
      </c>
      <c r="DE470" s="251" t="str">
        <f t="shared" si="88"/>
        <v/>
      </c>
      <c r="DF470" s="251" t="str">
        <f t="shared" si="89"/>
        <v/>
      </c>
      <c r="DG470" s="251" t="str">
        <f t="shared" si="90"/>
        <v/>
      </c>
      <c r="DH470" s="251" t="str">
        <f t="shared" si="91"/>
        <v/>
      </c>
      <c r="DI470" s="251" t="str">
        <f t="shared" si="92"/>
        <v/>
      </c>
      <c r="DJ470" s="251" t="str">
        <f t="shared" si="93"/>
        <v/>
      </c>
      <c r="DK470" s="251" t="str">
        <f t="shared" si="94"/>
        <v/>
      </c>
      <c r="DL470" s="251" t="str">
        <f t="shared" si="95"/>
        <v/>
      </c>
      <c r="DM470" s="251" t="str">
        <f t="shared" si="96"/>
        <v/>
      </c>
      <c r="DN470" s="251" t="str">
        <f t="shared" si="97"/>
        <v/>
      </c>
      <c r="DO470" s="251" t="str">
        <f t="shared" si="98"/>
        <v/>
      </c>
      <c r="DP470" s="251" t="str">
        <f t="shared" si="99"/>
        <v/>
      </c>
      <c r="DQ470" s="251" t="str">
        <f t="shared" si="100"/>
        <v/>
      </c>
      <c r="DR470" s="251" t="str">
        <f t="shared" si="101"/>
        <v/>
      </c>
      <c r="DS470" s="251" t="str">
        <f t="shared" si="102"/>
        <v/>
      </c>
      <c r="DT470" s="251" t="str">
        <f t="shared" si="103"/>
        <v/>
      </c>
      <c r="DU470" s="251" t="str">
        <f t="shared" si="104"/>
        <v/>
      </c>
      <c r="DV470" s="251" t="str">
        <f t="shared" si="105"/>
        <v/>
      </c>
      <c r="DW470" s="251" t="str">
        <f t="shared" si="106"/>
        <v/>
      </c>
      <c r="DX470" s="251" t="str">
        <f t="shared" si="107"/>
        <v/>
      </c>
      <c r="DY470" s="251" t="str">
        <f t="shared" si="108"/>
        <v/>
      </c>
      <c r="DZ470" s="251" t="str">
        <f t="shared" si="109"/>
        <v/>
      </c>
      <c r="EA470" s="251" t="str">
        <f t="shared" si="110"/>
        <v/>
      </c>
      <c r="EB470" s="251" t="str">
        <f t="shared" si="111"/>
        <v/>
      </c>
      <c r="EC470" s="251" t="str">
        <f t="shared" si="112"/>
        <v/>
      </c>
      <c r="ED470" s="251" t="str">
        <f t="shared" si="113"/>
        <v/>
      </c>
      <c r="EE470" s="251" t="str">
        <f t="shared" si="114"/>
        <v/>
      </c>
      <c r="EF470" s="251" t="str">
        <f t="shared" si="115"/>
        <v/>
      </c>
      <c r="EG470" s="251" t="str">
        <f t="shared" si="116"/>
        <v/>
      </c>
      <c r="EH470" s="251" t="str">
        <f t="shared" si="117"/>
        <v/>
      </c>
      <c r="EI470" s="251" t="str">
        <f t="shared" si="118"/>
        <v/>
      </c>
      <c r="EJ470" s="251" t="str">
        <f t="shared" si="119"/>
        <v/>
      </c>
      <c r="EK470" s="251" t="str">
        <f t="shared" si="120"/>
        <v/>
      </c>
      <c r="EL470" s="251" t="str">
        <f t="shared" si="121"/>
        <v/>
      </c>
      <c r="EM470" s="251" t="str">
        <f t="shared" si="122"/>
        <v/>
      </c>
      <c r="EN470" s="251" t="str">
        <f t="shared" si="123"/>
        <v/>
      </c>
      <c r="EO470" s="251" t="str">
        <f t="shared" si="124"/>
        <v/>
      </c>
      <c r="EP470" s="251" t="str">
        <f t="shared" si="125"/>
        <v/>
      </c>
      <c r="EQ470" s="251" t="str">
        <f t="shared" si="126"/>
        <v/>
      </c>
      <c r="ER470" s="251" t="str">
        <f t="shared" si="127"/>
        <v/>
      </c>
      <c r="ES470" s="251" t="str">
        <f t="shared" si="128"/>
        <v/>
      </c>
      <c r="ET470" s="251" t="str">
        <f t="shared" si="129"/>
        <v/>
      </c>
      <c r="EU470" s="251" t="str">
        <f t="shared" si="130"/>
        <v/>
      </c>
      <c r="EV470" s="251" t="str">
        <f t="shared" si="131"/>
        <v/>
      </c>
      <c r="EW470" s="251" t="str">
        <f t="shared" si="132"/>
        <v/>
      </c>
      <c r="EX470" s="251" t="str">
        <f t="shared" si="133"/>
        <v/>
      </c>
      <c r="EY470" s="251" t="str">
        <f t="shared" si="134"/>
        <v/>
      </c>
      <c r="EZ470" s="251" t="str">
        <f t="shared" si="135"/>
        <v/>
      </c>
      <c r="FA470" s="251" t="str">
        <f t="shared" si="136"/>
        <v/>
      </c>
      <c r="FB470" s="251" t="str">
        <f t="shared" si="137"/>
        <v/>
      </c>
      <c r="FC470" s="251" t="str">
        <f t="shared" si="138"/>
        <v/>
      </c>
      <c r="FD470" s="251" t="str">
        <f t="shared" si="139"/>
        <v/>
      </c>
      <c r="FE470" s="251" t="str">
        <f t="shared" si="140"/>
        <v/>
      </c>
      <c r="FF470" s="251" t="str">
        <f t="shared" si="141"/>
        <v/>
      </c>
      <c r="FG470" s="251" t="str">
        <f t="shared" si="142"/>
        <v/>
      </c>
      <c r="FH470" s="251" t="str">
        <f t="shared" si="143"/>
        <v/>
      </c>
      <c r="FI470" s="251" t="str">
        <f t="shared" si="144"/>
        <v/>
      </c>
      <c r="FJ470" s="251" t="str">
        <f t="shared" si="145"/>
        <v/>
      </c>
      <c r="FK470" s="251" t="str">
        <f t="shared" si="146"/>
        <v/>
      </c>
      <c r="FL470" s="251" t="str">
        <f t="shared" si="147"/>
        <v/>
      </c>
      <c r="FM470" s="251" t="str">
        <f t="shared" si="148"/>
        <v/>
      </c>
      <c r="FN470" s="251" t="str">
        <f t="shared" si="149"/>
        <v/>
      </c>
      <c r="FO470" s="251" t="str">
        <f t="shared" si="150"/>
        <v/>
      </c>
      <c r="FP470" s="251" t="str">
        <f t="shared" si="151"/>
        <v/>
      </c>
      <c r="FQ470" s="251" t="str">
        <f t="shared" si="152"/>
        <v/>
      </c>
      <c r="FR470" s="251" t="str">
        <f t="shared" si="153"/>
        <v/>
      </c>
      <c r="FS470" s="251" t="str">
        <f t="shared" si="154"/>
        <v/>
      </c>
      <c r="FT470" s="251" t="str">
        <f t="shared" si="155"/>
        <v/>
      </c>
      <c r="FU470" s="251" t="str">
        <f t="shared" si="156"/>
        <v/>
      </c>
      <c r="FV470" s="251" t="str">
        <f t="shared" si="157"/>
        <v/>
      </c>
      <c r="FW470" s="251" t="str">
        <f t="shared" si="158"/>
        <v/>
      </c>
      <c r="FX470" s="251" t="str">
        <f t="shared" si="159"/>
        <v/>
      </c>
      <c r="FY470" s="251" t="str">
        <f t="shared" si="160"/>
        <v/>
      </c>
      <c r="FZ470" s="251" t="str">
        <f t="shared" si="161"/>
        <v/>
      </c>
      <c r="GA470" s="251" t="str">
        <f t="shared" si="162"/>
        <v/>
      </c>
      <c r="GB470" s="251" t="str">
        <f t="shared" si="163"/>
        <v/>
      </c>
      <c r="GC470" s="251" t="str">
        <f t="shared" si="164"/>
        <v/>
      </c>
      <c r="GD470" s="251" t="str">
        <f t="shared" si="165"/>
        <v/>
      </c>
      <c r="GE470" s="251" t="str">
        <f t="shared" si="166"/>
        <v/>
      </c>
      <c r="GF470" s="251" t="str">
        <f t="shared" si="167"/>
        <v/>
      </c>
      <c r="GG470" s="251" t="str">
        <f t="shared" si="168"/>
        <v/>
      </c>
      <c r="GH470" s="251" t="str">
        <f t="shared" si="169"/>
        <v/>
      </c>
      <c r="GI470" s="251" t="str">
        <f t="shared" si="170"/>
        <v/>
      </c>
      <c r="GJ470" s="251" t="str">
        <f t="shared" si="171"/>
        <v/>
      </c>
      <c r="GK470" s="251" t="str">
        <f t="shared" si="172"/>
        <v/>
      </c>
      <c r="GL470" s="251" t="str">
        <f t="shared" si="173"/>
        <v/>
      </c>
      <c r="GM470" s="251" t="str">
        <f t="shared" si="174"/>
        <v/>
      </c>
      <c r="GN470" s="251" t="str">
        <f t="shared" si="175"/>
        <v/>
      </c>
      <c r="GO470" s="251" t="str">
        <f t="shared" si="176"/>
        <v/>
      </c>
      <c r="GP470" s="251" t="str">
        <f t="shared" si="177"/>
        <v/>
      </c>
      <c r="GQ470" s="251" t="str">
        <f t="shared" si="178"/>
        <v/>
      </c>
      <c r="GR470" s="251" t="str">
        <f t="shared" si="179"/>
        <v/>
      </c>
      <c r="GS470" s="251" t="str">
        <f t="shared" si="180"/>
        <v/>
      </c>
      <c r="GT470" s="251" t="str">
        <f t="shared" si="181"/>
        <v/>
      </c>
      <c r="GU470" s="251" t="str">
        <f t="shared" si="182"/>
        <v/>
      </c>
      <c r="GV470" s="251" t="str">
        <f t="shared" si="183"/>
        <v/>
      </c>
      <c r="GW470" s="251" t="str">
        <f t="shared" si="184"/>
        <v/>
      </c>
      <c r="GX470" s="251" t="str">
        <f t="shared" si="185"/>
        <v/>
      </c>
      <c r="GY470" s="251" t="str">
        <f t="shared" si="186"/>
        <v/>
      </c>
      <c r="GZ470" s="251" t="str">
        <f t="shared" si="187"/>
        <v/>
      </c>
      <c r="HA470" s="251" t="str">
        <f t="shared" si="188"/>
        <v/>
      </c>
      <c r="HB470" s="251" t="str">
        <f t="shared" si="189"/>
        <v/>
      </c>
      <c r="HC470" s="251" t="str">
        <f t="shared" si="190"/>
        <v/>
      </c>
      <c r="HD470" s="251" t="str">
        <f t="shared" si="191"/>
        <v/>
      </c>
      <c r="HE470" s="251" t="str">
        <f t="shared" si="192"/>
        <v/>
      </c>
      <c r="HF470" s="251" t="str">
        <f t="shared" si="193"/>
        <v/>
      </c>
      <c r="HG470" s="251" t="str">
        <f t="shared" si="194"/>
        <v/>
      </c>
      <c r="HH470" s="251" t="str">
        <f t="shared" si="195"/>
        <v/>
      </c>
      <c r="HI470" s="251" t="str">
        <f t="shared" si="196"/>
        <v/>
      </c>
      <c r="HJ470" s="251" t="str">
        <f t="shared" si="197"/>
        <v/>
      </c>
      <c r="HK470" s="251" t="str">
        <f t="shared" si="198"/>
        <v/>
      </c>
      <c r="HL470" s="251" t="str">
        <f t="shared" si="199"/>
        <v/>
      </c>
      <c r="HM470" s="251" t="str">
        <f t="shared" si="200"/>
        <v/>
      </c>
      <c r="HN470" s="251" t="str">
        <f t="shared" si="201"/>
        <v/>
      </c>
      <c r="HO470" s="251" t="str">
        <f t="shared" si="202"/>
        <v/>
      </c>
      <c r="HP470" s="251" t="str">
        <f t="shared" si="203"/>
        <v/>
      </c>
      <c r="HQ470" s="251" t="str">
        <f t="shared" si="204"/>
        <v/>
      </c>
      <c r="HR470" s="251" t="str">
        <f t="shared" si="205"/>
        <v/>
      </c>
      <c r="HS470" s="251" t="str">
        <f t="shared" si="206"/>
        <v/>
      </c>
      <c r="HT470" s="251" t="str">
        <f t="shared" si="207"/>
        <v/>
      </c>
      <c r="HU470" s="251" t="str">
        <f t="shared" si="208"/>
        <v/>
      </c>
      <c r="HV470" s="251" t="str">
        <f t="shared" si="209"/>
        <v/>
      </c>
      <c r="HW470" s="251" t="str">
        <f t="shared" si="210"/>
        <v/>
      </c>
      <c r="HX470" s="251" t="str">
        <f t="shared" si="211"/>
        <v/>
      </c>
      <c r="HY470" s="251" t="str">
        <f t="shared" si="212"/>
        <v/>
      </c>
      <c r="HZ470" s="251" t="str">
        <f t="shared" si="213"/>
        <v/>
      </c>
      <c r="IA470" s="251" t="str">
        <f t="shared" si="214"/>
        <v/>
      </c>
      <c r="IB470" s="251" t="str">
        <f t="shared" si="215"/>
        <v/>
      </c>
      <c r="IC470" s="251" t="str">
        <f t="shared" si="216"/>
        <v/>
      </c>
      <c r="ID470" s="251" t="str">
        <f t="shared" si="217"/>
        <v/>
      </c>
      <c r="IE470" s="251" t="str">
        <f t="shared" si="218"/>
        <v/>
      </c>
      <c r="IF470" s="251" t="str">
        <f t="shared" si="219"/>
        <v/>
      </c>
      <c r="IG470" s="251" t="str">
        <f t="shared" si="220"/>
        <v/>
      </c>
      <c r="IH470" s="251" t="str">
        <f t="shared" si="221"/>
        <v/>
      </c>
      <c r="II470" s="251" t="str">
        <f t="shared" si="222"/>
        <v/>
      </c>
      <c r="IJ470" s="251" t="str">
        <f t="shared" si="223"/>
        <v/>
      </c>
      <c r="IK470" s="251" t="str">
        <f t="shared" si="224"/>
        <v/>
      </c>
      <c r="IL470" s="251" t="str">
        <f t="shared" si="225"/>
        <v/>
      </c>
      <c r="IM470" s="251" t="str">
        <f t="shared" si="226"/>
        <v/>
      </c>
      <c r="IN470" s="251" t="str">
        <f t="shared" si="227"/>
        <v/>
      </c>
      <c r="IO470" s="251" t="str">
        <f t="shared" si="228"/>
        <v/>
      </c>
      <c r="IP470" s="251" t="str">
        <f t="shared" si="229"/>
        <v/>
      </c>
      <c r="IQ470" s="251" t="str">
        <f t="shared" si="230"/>
        <v/>
      </c>
      <c r="IR470" s="251" t="str">
        <f t="shared" si="231"/>
        <v/>
      </c>
      <c r="IS470" s="251" t="str">
        <f t="shared" si="232"/>
        <v/>
      </c>
      <c r="IT470" s="251" t="str">
        <f t="shared" si="233"/>
        <v/>
      </c>
      <c r="IU470" s="251" t="str">
        <f t="shared" si="234"/>
        <v/>
      </c>
      <c r="IV470" s="251" t="str">
        <f t="shared" si="235"/>
        <v/>
      </c>
      <c r="IW470" s="251" t="str">
        <f t="shared" si="236"/>
        <v/>
      </c>
      <c r="IX470" s="251" t="str">
        <f t="shared" si="237"/>
        <v/>
      </c>
      <c r="IY470" s="251" t="str">
        <f t="shared" si="238"/>
        <v/>
      </c>
      <c r="IZ470" s="251" t="str">
        <f t="shared" si="239"/>
        <v/>
      </c>
      <c r="JA470" s="251" t="str">
        <f t="shared" si="240"/>
        <v/>
      </c>
      <c r="JB470" s="251" t="str">
        <f t="shared" si="241"/>
        <v/>
      </c>
      <c r="JC470" s="251" t="str">
        <f t="shared" si="242"/>
        <v/>
      </c>
      <c r="JD470" s="251" t="str">
        <f t="shared" si="243"/>
        <v/>
      </c>
      <c r="JE470" s="251" t="str">
        <f t="shared" si="244"/>
        <v/>
      </c>
      <c r="JF470" s="251" t="str">
        <f t="shared" si="245"/>
        <v/>
      </c>
      <c r="JG470" s="251" t="str">
        <f t="shared" si="246"/>
        <v/>
      </c>
      <c r="JH470" s="251" t="str">
        <f t="shared" si="247"/>
        <v/>
      </c>
      <c r="JI470" s="1297" t="str">
        <f t="shared" si="248"/>
        <v/>
      </c>
      <c r="JJ470" s="1297" t="str">
        <f t="shared" si="249"/>
        <v/>
      </c>
      <c r="JK470" s="1297" t="str">
        <f t="shared" si="250"/>
        <v/>
      </c>
      <c r="JL470" s="1297" t="str">
        <f t="shared" si="251"/>
        <v/>
      </c>
      <c r="JM470" s="1297" t="str">
        <f t="shared" si="252"/>
        <v/>
      </c>
      <c r="JN470" s="1297" t="str">
        <f t="shared" si="253"/>
        <v/>
      </c>
      <c r="JO470" s="1297" t="str">
        <f t="shared" si="254"/>
        <v/>
      </c>
      <c r="JP470" s="1297" t="str">
        <f t="shared" si="255"/>
        <v/>
      </c>
      <c r="JQ470" s="1297" t="str">
        <f t="shared" si="256"/>
        <v/>
      </c>
      <c r="JR470" s="1297" t="str">
        <f t="shared" si="257"/>
        <v/>
      </c>
      <c r="JS470" s="1297" t="str">
        <f t="shared" si="258"/>
        <v/>
      </c>
      <c r="JT470" s="1297" t="str">
        <f t="shared" si="259"/>
        <v/>
      </c>
      <c r="JU470" s="1297" t="str">
        <f t="shared" si="260"/>
        <v/>
      </c>
      <c r="JV470" s="1297" t="str">
        <f t="shared" si="261"/>
        <v/>
      </c>
      <c r="JW470" s="1297" t="str">
        <f t="shared" si="262"/>
        <v/>
      </c>
      <c r="JX470" s="1297" t="str">
        <f t="shared" si="263"/>
        <v/>
      </c>
      <c r="JY470" s="1297" t="str">
        <f t="shared" si="264"/>
        <v/>
      </c>
      <c r="JZ470" s="1297" t="str">
        <f t="shared" si="265"/>
        <v/>
      </c>
      <c r="KA470" s="1297" t="str">
        <f t="shared" si="266"/>
        <v/>
      </c>
      <c r="KB470" s="1297" t="str">
        <f t="shared" si="267"/>
        <v/>
      </c>
      <c r="KC470" s="1297" t="str">
        <f t="shared" si="268"/>
        <v/>
      </c>
      <c r="KD470" s="1297" t="str">
        <f t="shared" si="269"/>
        <v/>
      </c>
      <c r="KE470" s="1297" t="str">
        <f t="shared" si="270"/>
        <v/>
      </c>
      <c r="KF470" s="1297" t="str">
        <f t="shared" si="271"/>
        <v/>
      </c>
      <c r="KG470" s="1297" t="str">
        <f t="shared" si="272"/>
        <v/>
      </c>
      <c r="KH470" s="1297" t="str">
        <f t="shared" si="273"/>
        <v/>
      </c>
      <c r="KI470" s="1297" t="str">
        <f t="shared" si="274"/>
        <v/>
      </c>
      <c r="KJ470" s="1297" t="str">
        <f t="shared" si="275"/>
        <v/>
      </c>
      <c r="KK470" s="1297" t="str">
        <f t="shared" si="276"/>
        <v/>
      </c>
      <c r="KL470" s="1297" t="str">
        <f t="shared" si="277"/>
        <v/>
      </c>
      <c r="KM470" s="1297" t="str">
        <f t="shared" si="278"/>
        <v/>
      </c>
      <c r="KN470" s="1297" t="str">
        <f t="shared" si="279"/>
        <v/>
      </c>
      <c r="KO470" s="1297" t="str">
        <f t="shared" si="280"/>
        <v/>
      </c>
      <c r="KP470" s="1297" t="str">
        <f t="shared" si="281"/>
        <v/>
      </c>
      <c r="KQ470" s="1297" t="str">
        <f t="shared" si="282"/>
        <v/>
      </c>
      <c r="KR470" s="1297" t="str">
        <f t="shared" si="283"/>
        <v/>
      </c>
      <c r="KS470" s="1297" t="str">
        <f t="shared" si="284"/>
        <v/>
      </c>
      <c r="KT470" s="1297" t="str">
        <f t="shared" si="285"/>
        <v/>
      </c>
      <c r="KU470" s="1297" t="str">
        <f t="shared" si="286"/>
        <v/>
      </c>
      <c r="KV470" s="1297" t="str">
        <f t="shared" si="287"/>
        <v/>
      </c>
      <c r="KW470" s="1297" t="str">
        <f t="shared" si="288"/>
        <v/>
      </c>
      <c r="KX470" s="1297" t="str">
        <f t="shared" si="289"/>
        <v/>
      </c>
      <c r="KY470" s="1297" t="str">
        <f t="shared" si="290"/>
        <v/>
      </c>
      <c r="KZ470" s="1297" t="str">
        <f t="shared" si="291"/>
        <v/>
      </c>
      <c r="LA470" s="1297" t="str">
        <f t="shared" si="292"/>
        <v/>
      </c>
      <c r="LB470" s="1297" t="str">
        <f t="shared" si="293"/>
        <v/>
      </c>
      <c r="LC470" s="1297" t="str">
        <f t="shared" si="294"/>
        <v/>
      </c>
      <c r="LD470" s="1297" t="str">
        <f t="shared" si="295"/>
        <v/>
      </c>
      <c r="LE470" s="1297" t="str">
        <f t="shared" si="296"/>
        <v/>
      </c>
      <c r="LF470" s="1297" t="str">
        <f t="shared" si="297"/>
        <v/>
      </c>
      <c r="LG470" s="1297" t="str">
        <f t="shared" si="298"/>
        <v/>
      </c>
      <c r="LH470" s="1297" t="str">
        <f t="shared" si="299"/>
        <v/>
      </c>
      <c r="LI470" s="1297" t="str">
        <f t="shared" si="300"/>
        <v/>
      </c>
      <c r="LJ470" s="1297" t="str">
        <f t="shared" si="301"/>
        <v/>
      </c>
      <c r="LK470" s="1297" t="str">
        <f t="shared" si="302"/>
        <v/>
      </c>
      <c r="LL470" s="1297" t="str">
        <f t="shared" si="303"/>
        <v/>
      </c>
      <c r="LM470" s="1297" t="str">
        <f t="shared" si="304"/>
        <v/>
      </c>
      <c r="LN470" s="1297" t="str">
        <f t="shared" si="305"/>
        <v/>
      </c>
      <c r="LO470" s="1297" t="str">
        <f t="shared" si="306"/>
        <v/>
      </c>
      <c r="LP470" s="1297" t="str">
        <f t="shared" si="307"/>
        <v/>
      </c>
      <c r="LQ470" s="1297" t="str">
        <f t="shared" si="308"/>
        <v/>
      </c>
      <c r="LR470" s="1297" t="str">
        <f t="shared" si="309"/>
        <v/>
      </c>
      <c r="LS470" s="1297" t="str">
        <f t="shared" si="310"/>
        <v/>
      </c>
      <c r="LT470" s="1297" t="str">
        <f t="shared" si="311"/>
        <v/>
      </c>
      <c r="LU470" s="1297" t="str">
        <f t="shared" si="312"/>
        <v/>
      </c>
      <c r="LV470" s="1297" t="str">
        <f t="shared" si="313"/>
        <v/>
      </c>
      <c r="LW470" s="1297" t="str">
        <f t="shared" si="314"/>
        <v/>
      </c>
      <c r="LX470" s="1297" t="str">
        <f t="shared" si="315"/>
        <v/>
      </c>
      <c r="LY470" s="1297" t="str">
        <f t="shared" si="316"/>
        <v/>
      </c>
      <c r="LZ470" s="1297" t="str">
        <f t="shared" si="317"/>
        <v/>
      </c>
      <c r="MA470" s="1297" t="str">
        <f t="shared" si="318"/>
        <v/>
      </c>
      <c r="MB470" s="1297" t="str">
        <f t="shared" si="319"/>
        <v/>
      </c>
      <c r="MC470" s="1297" t="str">
        <f t="shared" si="320"/>
        <v/>
      </c>
      <c r="MD470" s="1297" t="str">
        <f t="shared" si="321"/>
        <v/>
      </c>
      <c r="ME470" s="1297" t="str">
        <f t="shared" si="322"/>
        <v/>
      </c>
      <c r="MF470" s="1297" t="str">
        <f t="shared" si="323"/>
        <v/>
      </c>
      <c r="MG470" s="1297" t="str">
        <f t="shared" si="324"/>
        <v/>
      </c>
      <c r="MH470" s="1297" t="str">
        <f t="shared" si="325"/>
        <v/>
      </c>
      <c r="MI470" s="1297" t="str">
        <f t="shared" si="326"/>
        <v/>
      </c>
      <c r="MJ470" s="1297" t="str">
        <f t="shared" si="327"/>
        <v/>
      </c>
      <c r="MK470" s="1297" t="str">
        <f t="shared" si="328"/>
        <v/>
      </c>
      <c r="ML470" s="1297" t="str">
        <f t="shared" si="329"/>
        <v/>
      </c>
      <c r="MM470" s="1297" t="str">
        <f t="shared" si="330"/>
        <v/>
      </c>
      <c r="MN470" s="1297" t="str">
        <f t="shared" si="331"/>
        <v/>
      </c>
      <c r="MO470" s="1297" t="str">
        <f t="shared" si="332"/>
        <v/>
      </c>
      <c r="MP470" s="1773" t="str">
        <f t="shared" si="333"/>
        <v/>
      </c>
      <c r="MQ470" s="1773" t="str">
        <f t="shared" si="334"/>
        <v/>
      </c>
      <c r="MR470" s="1773" t="str">
        <f t="shared" si="335"/>
        <v/>
      </c>
      <c r="MS470" s="1773" t="str">
        <f t="shared" si="336"/>
        <v/>
      </c>
      <c r="MT470" s="1773" t="str">
        <f t="shared" si="337"/>
        <v/>
      </c>
      <c r="MU470" s="251" t="str">
        <f t="shared" si="338"/>
        <v/>
      </c>
      <c r="MV470" s="251" t="str">
        <f t="shared" si="339"/>
        <v/>
      </c>
      <c r="MW470" s="251" t="str">
        <f t="shared" si="340"/>
        <v/>
      </c>
      <c r="MX470" s="251" t="str">
        <f t="shared" si="341"/>
        <v/>
      </c>
      <c r="MY470" s="251" t="str">
        <f t="shared" si="342"/>
        <v/>
      </c>
      <c r="MZ470" s="251" t="str">
        <f t="shared" si="343"/>
        <v/>
      </c>
      <c r="NA470" s="251" t="str">
        <f t="shared" si="344"/>
        <v/>
      </c>
      <c r="NB470" s="251" t="str">
        <f t="shared" si="345"/>
        <v/>
      </c>
      <c r="NC470" s="251" t="str">
        <f t="shared" si="346"/>
        <v/>
      </c>
      <c r="ND470" s="251" t="str">
        <f t="shared" si="347"/>
        <v/>
      </c>
      <c r="NE470" s="251" t="str">
        <f t="shared" si="348"/>
        <v/>
      </c>
      <c r="NF470" s="251" t="str">
        <f t="shared" si="349"/>
        <v/>
      </c>
      <c r="NG470" s="251" t="str">
        <f t="shared" si="350"/>
        <v/>
      </c>
      <c r="NH470" s="251" t="str">
        <f t="shared" si="351"/>
        <v/>
      </c>
      <c r="NI470" s="251" t="str">
        <f t="shared" si="352"/>
        <v/>
      </c>
      <c r="NJ470" s="251" t="str">
        <f t="shared" si="353"/>
        <v/>
      </c>
      <c r="NK470" s="251" t="str">
        <f t="shared" si="354"/>
        <v/>
      </c>
      <c r="NL470" s="251" t="str">
        <f t="shared" si="355"/>
        <v/>
      </c>
      <c r="NM470" s="251" t="str">
        <f t="shared" si="356"/>
        <v/>
      </c>
      <c r="NN470" s="251" t="str">
        <f t="shared" si="357"/>
        <v/>
      </c>
      <c r="NO470" s="1185">
        <f t="shared" si="358"/>
        <v>0</v>
      </c>
      <c r="NP470" s="1185">
        <f t="shared" si="359"/>
        <v>0</v>
      </c>
      <c r="NQ470" s="1185">
        <f t="shared" si="360"/>
        <v>0</v>
      </c>
      <c r="NR470" s="1185">
        <f t="shared" si="361"/>
        <v>0</v>
      </c>
      <c r="NS470" s="1185">
        <f t="shared" si="362"/>
        <v>0</v>
      </c>
      <c r="NT470" s="1185">
        <f t="shared" si="368"/>
        <v>0</v>
      </c>
      <c r="NU470" s="1185">
        <f t="shared" si="369"/>
        <v>0</v>
      </c>
      <c r="NV470" s="1185">
        <f t="shared" si="370"/>
        <v>0</v>
      </c>
      <c r="NW470" s="1185">
        <f t="shared" si="371"/>
        <v>0</v>
      </c>
      <c r="NX470" s="1185">
        <f t="shared" si="372"/>
        <v>0</v>
      </c>
      <c r="NY470" s="1185">
        <f t="shared" si="363"/>
        <v>0</v>
      </c>
      <c r="NZ470" s="1185">
        <f t="shared" si="364"/>
        <v>0</v>
      </c>
      <c r="OA470" s="1185">
        <f t="shared" si="365"/>
        <v>0</v>
      </c>
      <c r="OB470" s="1185">
        <f t="shared" si="366"/>
        <v>0</v>
      </c>
      <c r="OC470" s="1185">
        <f t="shared" si="367"/>
        <v>0</v>
      </c>
      <c r="OY470" s="251" t="s">
        <v>1165</v>
      </c>
      <c r="OZ470" s="1296">
        <v>17</v>
      </c>
    </row>
    <row r="471" spans="1:416" ht="12" customHeight="1">
      <c r="A471" s="1979" t="str">
        <f t="shared" si="0"/>
        <v/>
      </c>
      <c r="B471" s="1998">
        <f>'Part V-Revenues &amp; Expenses'!B18</f>
        <v>60</v>
      </c>
      <c r="C471" s="1999">
        <f>'Part V-Revenues &amp; Expenses'!C18</f>
        <v>1</v>
      </c>
      <c r="D471" s="2000">
        <f>'Part V-Revenues &amp; Expenses'!D18</f>
        <v>1</v>
      </c>
      <c r="E471" s="2001">
        <f>'Part V-Revenues &amp; Expenses'!E18</f>
        <v>3</v>
      </c>
      <c r="F471" s="2001">
        <f>'Part V-Revenues &amp; Expenses'!F18</f>
        <v>769</v>
      </c>
      <c r="G471" s="2001">
        <f>'Part V-Revenues &amp; Expenses'!G18</f>
        <v>463</v>
      </c>
      <c r="H471" s="2001">
        <f>'Part V-Revenues &amp; Expenses'!H18</f>
        <v>453</v>
      </c>
      <c r="I471" s="2001">
        <f>'Part V-Revenues &amp; Expenses'!I18</f>
        <v>0</v>
      </c>
      <c r="J471" s="2001">
        <f>'Part V-Revenues &amp; Expenses'!J18</f>
        <v>175</v>
      </c>
      <c r="K471" s="2002">
        <f>'Part V-Revenues &amp; Expenses'!K18</f>
        <v>0</v>
      </c>
      <c r="L471" s="2003">
        <f t="shared" si="1"/>
        <v>278</v>
      </c>
      <c r="M471" s="2003">
        <f t="shared" si="2"/>
        <v>834</v>
      </c>
      <c r="N471" s="1853" t="str">
        <f>'Part V-Revenues &amp; Expenses'!N18</f>
        <v>No</v>
      </c>
      <c r="O471" s="899" t="str">
        <f>'Part V-Revenues &amp; Expenses'!O18</f>
        <v>Low-Rise Apt</v>
      </c>
      <c r="P471" s="1853" t="str">
        <f>'Part V-Revenues &amp; Expenses'!P18</f>
        <v>Acquisition/Rehab</v>
      </c>
      <c r="Q471" s="1772" t="str">
        <f>'Part V-Revenues &amp; Expenses'!Q18</f>
        <v>No</v>
      </c>
      <c r="R471" s="2004"/>
      <c r="S471" s="2005"/>
      <c r="T471" s="1920"/>
      <c r="U471" s="1920"/>
      <c r="V471" s="1920"/>
      <c r="W471" s="1920"/>
      <c r="X471" s="251" t="str">
        <f t="shared" si="3"/>
        <v/>
      </c>
      <c r="Y471" s="251" t="str">
        <f t="shared" si="4"/>
        <v/>
      </c>
      <c r="Z471" s="251" t="str">
        <f t="shared" si="5"/>
        <v/>
      </c>
      <c r="AA471" s="251" t="str">
        <f t="shared" si="6"/>
        <v/>
      </c>
      <c r="AB471" s="251" t="str">
        <f t="shared" si="7"/>
        <v/>
      </c>
      <c r="AC471" s="251" t="str">
        <f t="shared" si="8"/>
        <v/>
      </c>
      <c r="AD471" s="251" t="str">
        <f t="shared" si="9"/>
        <v/>
      </c>
      <c r="AE471" s="251" t="str">
        <f t="shared" si="10"/>
        <v/>
      </c>
      <c r="AF471" s="251" t="str">
        <f t="shared" si="11"/>
        <v/>
      </c>
      <c r="AG471" s="251" t="str">
        <f t="shared" si="12"/>
        <v/>
      </c>
      <c r="AH471" s="251" t="str">
        <f t="shared" si="13"/>
        <v/>
      </c>
      <c r="AI471" s="251">
        <f t="shared" si="14"/>
        <v>3</v>
      </c>
      <c r="AJ471" s="251" t="str">
        <f t="shared" si="15"/>
        <v/>
      </c>
      <c r="AK471" s="251" t="str">
        <f t="shared" si="16"/>
        <v/>
      </c>
      <c r="AL471" s="251" t="str">
        <f t="shared" si="17"/>
        <v/>
      </c>
      <c r="AM471" s="251" t="str">
        <f t="shared" si="18"/>
        <v/>
      </c>
      <c r="AN471" s="251" t="str">
        <f t="shared" si="19"/>
        <v/>
      </c>
      <c r="AO471" s="251" t="str">
        <f t="shared" si="20"/>
        <v/>
      </c>
      <c r="AP471" s="251" t="str">
        <f t="shared" si="21"/>
        <v/>
      </c>
      <c r="AQ471" s="251" t="str">
        <f t="shared" si="22"/>
        <v/>
      </c>
      <c r="AR471" s="251" t="str">
        <f t="shared" si="23"/>
        <v/>
      </c>
      <c r="AS471" s="251" t="str">
        <f t="shared" si="24"/>
        <v/>
      </c>
      <c r="AT471" s="251" t="str">
        <f t="shared" si="25"/>
        <v/>
      </c>
      <c r="AU471" s="251" t="str">
        <f t="shared" si="26"/>
        <v/>
      </c>
      <c r="AV471" s="251" t="str">
        <f t="shared" si="27"/>
        <v/>
      </c>
      <c r="AW471" s="251" t="str">
        <f t="shared" si="28"/>
        <v/>
      </c>
      <c r="AX471" s="251" t="str">
        <f t="shared" si="29"/>
        <v/>
      </c>
      <c r="AY471" s="251" t="str">
        <f t="shared" si="30"/>
        <v/>
      </c>
      <c r="AZ471" s="251" t="str">
        <f t="shared" si="31"/>
        <v/>
      </c>
      <c r="BA471" s="251" t="str">
        <f t="shared" si="32"/>
        <v/>
      </c>
      <c r="BB471" s="251" t="str">
        <f t="shared" si="33"/>
        <v/>
      </c>
      <c r="BC471" s="251" t="str">
        <f t="shared" si="34"/>
        <v/>
      </c>
      <c r="BD471" s="251" t="str">
        <f t="shared" si="35"/>
        <v/>
      </c>
      <c r="BE471" s="251" t="str">
        <f t="shared" si="36"/>
        <v/>
      </c>
      <c r="BF471" s="251" t="str">
        <f t="shared" si="37"/>
        <v/>
      </c>
      <c r="BG471" s="251" t="str">
        <f t="shared" si="38"/>
        <v/>
      </c>
      <c r="BH471" s="251" t="str">
        <f t="shared" si="39"/>
        <v/>
      </c>
      <c r="BI471" s="251" t="str">
        <f t="shared" si="40"/>
        <v/>
      </c>
      <c r="BJ471" s="251" t="str">
        <f t="shared" si="41"/>
        <v/>
      </c>
      <c r="BK471" s="251" t="str">
        <f t="shared" si="42"/>
        <v/>
      </c>
      <c r="BL471" s="251" t="str">
        <f t="shared" si="43"/>
        <v/>
      </c>
      <c r="BM471" s="251" t="str">
        <f t="shared" si="44"/>
        <v/>
      </c>
      <c r="BN471" s="251" t="str">
        <f t="shared" si="45"/>
        <v/>
      </c>
      <c r="BO471" s="251" t="str">
        <f t="shared" si="46"/>
        <v/>
      </c>
      <c r="BP471" s="251" t="str">
        <f t="shared" si="47"/>
        <v/>
      </c>
      <c r="BQ471" s="251" t="str">
        <f t="shared" si="48"/>
        <v/>
      </c>
      <c r="BR471" s="251" t="str">
        <f t="shared" si="49"/>
        <v/>
      </c>
      <c r="BS471" s="251" t="str">
        <f t="shared" si="50"/>
        <v/>
      </c>
      <c r="BT471" s="251" t="str">
        <f t="shared" si="51"/>
        <v/>
      </c>
      <c r="BU471" s="251" t="str">
        <f t="shared" si="52"/>
        <v/>
      </c>
      <c r="BV471" s="251" t="str">
        <f t="shared" si="53"/>
        <v/>
      </c>
      <c r="BW471" s="251" t="str">
        <f t="shared" si="54"/>
        <v/>
      </c>
      <c r="BX471" s="251" t="str">
        <f t="shared" si="55"/>
        <v/>
      </c>
      <c r="BY471" s="251" t="str">
        <f t="shared" si="56"/>
        <v/>
      </c>
      <c r="BZ471" s="251" t="str">
        <f t="shared" si="57"/>
        <v/>
      </c>
      <c r="CA471" s="251" t="str">
        <f t="shared" si="58"/>
        <v/>
      </c>
      <c r="CB471" s="251" t="str">
        <f t="shared" si="59"/>
        <v/>
      </c>
      <c r="CC471" s="251" t="str">
        <f t="shared" si="60"/>
        <v/>
      </c>
      <c r="CD471" s="251" t="str">
        <f t="shared" si="61"/>
        <v/>
      </c>
      <c r="CE471" s="251" t="str">
        <f t="shared" si="62"/>
        <v/>
      </c>
      <c r="CF471" s="251" t="str">
        <f t="shared" si="63"/>
        <v/>
      </c>
      <c r="CG471" s="251" t="str">
        <f t="shared" si="64"/>
        <v/>
      </c>
      <c r="CH471" s="251" t="str">
        <f t="shared" si="65"/>
        <v/>
      </c>
      <c r="CI471" s="251" t="str">
        <f t="shared" si="66"/>
        <v/>
      </c>
      <c r="CJ471" s="251" t="str">
        <f t="shared" si="67"/>
        <v/>
      </c>
      <c r="CK471" s="251" t="str">
        <f t="shared" si="68"/>
        <v/>
      </c>
      <c r="CL471" s="251" t="str">
        <f t="shared" si="69"/>
        <v/>
      </c>
      <c r="CM471" s="251" t="str">
        <f t="shared" si="70"/>
        <v/>
      </c>
      <c r="CN471" s="251" t="str">
        <f t="shared" si="71"/>
        <v/>
      </c>
      <c r="CO471" s="251" t="str">
        <f t="shared" si="72"/>
        <v/>
      </c>
      <c r="CP471" s="251" t="str">
        <f t="shared" si="73"/>
        <v/>
      </c>
      <c r="CQ471" s="251" t="str">
        <f t="shared" si="74"/>
        <v/>
      </c>
      <c r="CR471" s="251" t="str">
        <f t="shared" si="75"/>
        <v/>
      </c>
      <c r="CS471" s="251" t="str">
        <f t="shared" si="76"/>
        <v/>
      </c>
      <c r="CT471" s="251" t="str">
        <f t="shared" si="77"/>
        <v/>
      </c>
      <c r="CU471" s="251" t="str">
        <f t="shared" si="78"/>
        <v/>
      </c>
      <c r="CV471" s="251" t="str">
        <f t="shared" si="79"/>
        <v/>
      </c>
      <c r="CW471" s="251" t="str">
        <f t="shared" si="80"/>
        <v/>
      </c>
      <c r="CX471" s="251" t="str">
        <f t="shared" si="81"/>
        <v/>
      </c>
      <c r="CY471" s="251" t="str">
        <f t="shared" si="82"/>
        <v/>
      </c>
      <c r="CZ471" s="251" t="str">
        <f t="shared" si="83"/>
        <v/>
      </c>
      <c r="DA471" s="251" t="str">
        <f t="shared" si="84"/>
        <v/>
      </c>
      <c r="DB471" s="251" t="str">
        <f t="shared" si="85"/>
        <v/>
      </c>
      <c r="DC471" s="251" t="str">
        <f t="shared" si="86"/>
        <v/>
      </c>
      <c r="DD471" s="251" t="str">
        <f t="shared" si="87"/>
        <v/>
      </c>
      <c r="DE471" s="251" t="str">
        <f t="shared" si="88"/>
        <v/>
      </c>
      <c r="DF471" s="251" t="str">
        <f t="shared" si="89"/>
        <v/>
      </c>
      <c r="DG471" s="251" t="str">
        <f t="shared" si="90"/>
        <v/>
      </c>
      <c r="DH471" s="251" t="str">
        <f t="shared" si="91"/>
        <v/>
      </c>
      <c r="DI471" s="251" t="str">
        <f t="shared" si="92"/>
        <v/>
      </c>
      <c r="DJ471" s="251" t="str">
        <f t="shared" si="93"/>
        <v/>
      </c>
      <c r="DK471" s="251" t="str">
        <f t="shared" si="94"/>
        <v/>
      </c>
      <c r="DL471" s="251" t="str">
        <f t="shared" si="95"/>
        <v/>
      </c>
      <c r="DM471" s="251" t="str">
        <f t="shared" si="96"/>
        <v/>
      </c>
      <c r="DN471" s="251" t="str">
        <f t="shared" si="97"/>
        <v/>
      </c>
      <c r="DO471" s="251" t="str">
        <f t="shared" si="98"/>
        <v/>
      </c>
      <c r="DP471" s="251" t="str">
        <f t="shared" si="99"/>
        <v/>
      </c>
      <c r="DQ471" s="251" t="str">
        <f t="shared" si="100"/>
        <v/>
      </c>
      <c r="DR471" s="251" t="str">
        <f t="shared" si="101"/>
        <v/>
      </c>
      <c r="DS471" s="251" t="str">
        <f t="shared" si="102"/>
        <v/>
      </c>
      <c r="DT471" s="251" t="str">
        <f t="shared" si="103"/>
        <v/>
      </c>
      <c r="DU471" s="251" t="str">
        <f t="shared" si="104"/>
        <v/>
      </c>
      <c r="DV471" s="251" t="str">
        <f t="shared" si="105"/>
        <v/>
      </c>
      <c r="DW471" s="251" t="str">
        <f t="shared" si="106"/>
        <v/>
      </c>
      <c r="DX471" s="251" t="str">
        <f t="shared" si="107"/>
        <v/>
      </c>
      <c r="DY471" s="251" t="str">
        <f t="shared" si="108"/>
        <v/>
      </c>
      <c r="DZ471" s="251" t="str">
        <f t="shared" si="109"/>
        <v/>
      </c>
      <c r="EA471" s="251" t="str">
        <f t="shared" si="110"/>
        <v/>
      </c>
      <c r="EB471" s="251" t="str">
        <f t="shared" si="111"/>
        <v/>
      </c>
      <c r="EC471" s="251" t="str">
        <f t="shared" si="112"/>
        <v/>
      </c>
      <c r="ED471" s="251" t="str">
        <f t="shared" si="113"/>
        <v/>
      </c>
      <c r="EE471" s="251" t="str">
        <f t="shared" si="114"/>
        <v/>
      </c>
      <c r="EF471" s="251" t="str">
        <f t="shared" si="115"/>
        <v/>
      </c>
      <c r="EG471" s="251" t="str">
        <f t="shared" si="116"/>
        <v/>
      </c>
      <c r="EH471" s="251" t="str">
        <f t="shared" si="117"/>
        <v/>
      </c>
      <c r="EI471" s="251" t="str">
        <f t="shared" si="118"/>
        <v/>
      </c>
      <c r="EJ471" s="251" t="str">
        <f t="shared" si="119"/>
        <v/>
      </c>
      <c r="EK471" s="251" t="str">
        <f t="shared" si="120"/>
        <v/>
      </c>
      <c r="EL471" s="251" t="str">
        <f t="shared" si="121"/>
        <v/>
      </c>
      <c r="EM471" s="251" t="str">
        <f t="shared" si="122"/>
        <v/>
      </c>
      <c r="EN471" s="251" t="str">
        <f t="shared" si="123"/>
        <v/>
      </c>
      <c r="EO471" s="251" t="str">
        <f t="shared" si="124"/>
        <v/>
      </c>
      <c r="EP471" s="251" t="str">
        <f t="shared" si="125"/>
        <v/>
      </c>
      <c r="EQ471" s="251" t="str">
        <f t="shared" si="126"/>
        <v/>
      </c>
      <c r="ER471" s="251" t="str">
        <f t="shared" si="127"/>
        <v/>
      </c>
      <c r="ES471" s="251" t="str">
        <f t="shared" si="128"/>
        <v/>
      </c>
      <c r="ET471" s="251" t="str">
        <f t="shared" si="129"/>
        <v/>
      </c>
      <c r="EU471" s="251" t="str">
        <f t="shared" si="130"/>
        <v/>
      </c>
      <c r="EV471" s="251" t="str">
        <f t="shared" si="131"/>
        <v/>
      </c>
      <c r="EW471" s="251" t="str">
        <f t="shared" si="132"/>
        <v/>
      </c>
      <c r="EX471" s="251" t="str">
        <f t="shared" si="133"/>
        <v/>
      </c>
      <c r="EY471" s="251" t="str">
        <f t="shared" si="134"/>
        <v/>
      </c>
      <c r="EZ471" s="251" t="str">
        <f t="shared" si="135"/>
        <v/>
      </c>
      <c r="FA471" s="251" t="str">
        <f t="shared" si="136"/>
        <v/>
      </c>
      <c r="FB471" s="251" t="str">
        <f t="shared" si="137"/>
        <v/>
      </c>
      <c r="FC471" s="251" t="str">
        <f t="shared" si="138"/>
        <v/>
      </c>
      <c r="FD471" s="251" t="str">
        <f t="shared" si="139"/>
        <v/>
      </c>
      <c r="FE471" s="251" t="str">
        <f t="shared" si="140"/>
        <v/>
      </c>
      <c r="FF471" s="251" t="str">
        <f t="shared" si="141"/>
        <v/>
      </c>
      <c r="FG471" s="251" t="str">
        <f t="shared" si="142"/>
        <v/>
      </c>
      <c r="FH471" s="251" t="str">
        <f t="shared" si="143"/>
        <v/>
      </c>
      <c r="FI471" s="251" t="str">
        <f t="shared" si="144"/>
        <v/>
      </c>
      <c r="FJ471" s="251" t="str">
        <f t="shared" si="145"/>
        <v/>
      </c>
      <c r="FK471" s="251" t="str">
        <f t="shared" si="146"/>
        <v/>
      </c>
      <c r="FL471" s="251" t="str">
        <f t="shared" si="147"/>
        <v/>
      </c>
      <c r="FM471" s="251" t="str">
        <f t="shared" si="148"/>
        <v/>
      </c>
      <c r="FN471" s="251" t="str">
        <f t="shared" si="149"/>
        <v/>
      </c>
      <c r="FO471" s="251" t="str">
        <f t="shared" si="150"/>
        <v/>
      </c>
      <c r="FP471" s="251" t="str">
        <f t="shared" si="151"/>
        <v/>
      </c>
      <c r="FQ471" s="251" t="str">
        <f t="shared" si="152"/>
        <v/>
      </c>
      <c r="FR471" s="251" t="str">
        <f t="shared" si="153"/>
        <v/>
      </c>
      <c r="FS471" s="251" t="str">
        <f t="shared" si="154"/>
        <v/>
      </c>
      <c r="FT471" s="251" t="str">
        <f t="shared" si="155"/>
        <v/>
      </c>
      <c r="FU471" s="251" t="str">
        <f t="shared" si="156"/>
        <v/>
      </c>
      <c r="FV471" s="251" t="str">
        <f t="shared" si="157"/>
        <v/>
      </c>
      <c r="FW471" s="251" t="str">
        <f t="shared" si="158"/>
        <v/>
      </c>
      <c r="FX471" s="251" t="str">
        <f t="shared" si="159"/>
        <v/>
      </c>
      <c r="FY471" s="251" t="str">
        <f t="shared" si="160"/>
        <v/>
      </c>
      <c r="FZ471" s="251" t="str">
        <f t="shared" si="161"/>
        <v/>
      </c>
      <c r="GA471" s="251" t="str">
        <f t="shared" si="162"/>
        <v/>
      </c>
      <c r="GB471" s="251" t="str">
        <f t="shared" si="163"/>
        <v/>
      </c>
      <c r="GC471" s="251">
        <f t="shared" si="164"/>
        <v>2307</v>
      </c>
      <c r="GD471" s="251" t="str">
        <f t="shared" si="165"/>
        <v/>
      </c>
      <c r="GE471" s="251" t="str">
        <f t="shared" si="166"/>
        <v/>
      </c>
      <c r="GF471" s="251" t="str">
        <f t="shared" si="167"/>
        <v/>
      </c>
      <c r="GG471" s="251" t="str">
        <f t="shared" si="168"/>
        <v/>
      </c>
      <c r="GH471" s="251" t="str">
        <f t="shared" si="169"/>
        <v/>
      </c>
      <c r="GI471" s="251" t="str">
        <f t="shared" si="170"/>
        <v/>
      </c>
      <c r="GJ471" s="251" t="str">
        <f t="shared" si="171"/>
        <v/>
      </c>
      <c r="GK471" s="251" t="str">
        <f t="shared" si="172"/>
        <v/>
      </c>
      <c r="GL471" s="251" t="str">
        <f t="shared" si="173"/>
        <v/>
      </c>
      <c r="GM471" s="251" t="str">
        <f t="shared" si="174"/>
        <v/>
      </c>
      <c r="GN471" s="251" t="str">
        <f t="shared" si="175"/>
        <v/>
      </c>
      <c r="GO471" s="251" t="str">
        <f t="shared" si="176"/>
        <v/>
      </c>
      <c r="GP471" s="251" t="str">
        <f t="shared" si="177"/>
        <v/>
      </c>
      <c r="GQ471" s="251" t="str">
        <f t="shared" si="178"/>
        <v/>
      </c>
      <c r="GR471" s="251" t="str">
        <f t="shared" si="179"/>
        <v/>
      </c>
      <c r="GS471" s="251" t="str">
        <f t="shared" si="180"/>
        <v/>
      </c>
      <c r="GT471" s="251" t="str">
        <f t="shared" si="181"/>
        <v/>
      </c>
      <c r="GU471" s="251" t="str">
        <f t="shared" si="182"/>
        <v/>
      </c>
      <c r="GV471" s="251" t="str">
        <f t="shared" si="183"/>
        <v/>
      </c>
      <c r="GW471" s="251" t="str">
        <f t="shared" si="184"/>
        <v/>
      </c>
      <c r="GX471" s="251" t="str">
        <f t="shared" si="185"/>
        <v/>
      </c>
      <c r="GY471" s="251" t="str">
        <f t="shared" si="186"/>
        <v/>
      </c>
      <c r="GZ471" s="251" t="str">
        <f t="shared" si="187"/>
        <v/>
      </c>
      <c r="HA471" s="251" t="str">
        <f t="shared" si="188"/>
        <v/>
      </c>
      <c r="HB471" s="251" t="str">
        <f t="shared" si="189"/>
        <v/>
      </c>
      <c r="HC471" s="251" t="str">
        <f t="shared" si="190"/>
        <v/>
      </c>
      <c r="HD471" s="251" t="str">
        <f t="shared" si="191"/>
        <v/>
      </c>
      <c r="HE471" s="251" t="str">
        <f t="shared" si="192"/>
        <v/>
      </c>
      <c r="HF471" s="251" t="str">
        <f t="shared" si="193"/>
        <v/>
      </c>
      <c r="HG471" s="251" t="str">
        <f t="shared" si="194"/>
        <v/>
      </c>
      <c r="HH471" s="251" t="str">
        <f t="shared" si="195"/>
        <v/>
      </c>
      <c r="HI471" s="251" t="str">
        <f t="shared" si="196"/>
        <v/>
      </c>
      <c r="HJ471" s="251" t="str">
        <f t="shared" si="197"/>
        <v/>
      </c>
      <c r="HK471" s="251" t="str">
        <f t="shared" si="198"/>
        <v/>
      </c>
      <c r="HL471" s="251" t="str">
        <f t="shared" si="199"/>
        <v/>
      </c>
      <c r="HM471" s="251" t="str">
        <f t="shared" si="200"/>
        <v/>
      </c>
      <c r="HN471" s="251" t="str">
        <f t="shared" si="201"/>
        <v/>
      </c>
      <c r="HO471" s="251" t="str">
        <f t="shared" si="202"/>
        <v/>
      </c>
      <c r="HP471" s="251" t="str">
        <f t="shared" si="203"/>
        <v/>
      </c>
      <c r="HQ471" s="251" t="str">
        <f t="shared" si="204"/>
        <v/>
      </c>
      <c r="HR471" s="251" t="str">
        <f t="shared" si="205"/>
        <v/>
      </c>
      <c r="HS471" s="251" t="str">
        <f t="shared" si="206"/>
        <v/>
      </c>
      <c r="HT471" s="251" t="str">
        <f t="shared" si="207"/>
        <v/>
      </c>
      <c r="HU471" s="251" t="str">
        <f t="shared" si="208"/>
        <v/>
      </c>
      <c r="HV471" s="251" t="str">
        <f t="shared" si="209"/>
        <v/>
      </c>
      <c r="HW471" s="251" t="str">
        <f t="shared" si="210"/>
        <v/>
      </c>
      <c r="HX471" s="251" t="str">
        <f t="shared" si="211"/>
        <v/>
      </c>
      <c r="HY471" s="251" t="str">
        <f t="shared" si="212"/>
        <v/>
      </c>
      <c r="HZ471" s="251" t="str">
        <f t="shared" si="213"/>
        <v/>
      </c>
      <c r="IA471" s="251" t="str">
        <f t="shared" si="214"/>
        <v/>
      </c>
      <c r="IB471" s="251" t="str">
        <f t="shared" si="215"/>
        <v/>
      </c>
      <c r="IC471" s="251" t="str">
        <f t="shared" si="216"/>
        <v/>
      </c>
      <c r="ID471" s="251" t="str">
        <f t="shared" si="217"/>
        <v/>
      </c>
      <c r="IE471" s="251" t="str">
        <f t="shared" si="218"/>
        <v/>
      </c>
      <c r="IF471" s="251">
        <f t="shared" si="219"/>
        <v>3</v>
      </c>
      <c r="IG471" s="251" t="str">
        <f t="shared" si="220"/>
        <v/>
      </c>
      <c r="IH471" s="251" t="str">
        <f t="shared" si="221"/>
        <v/>
      </c>
      <c r="II471" s="251" t="str">
        <f t="shared" si="222"/>
        <v/>
      </c>
      <c r="IJ471" s="251" t="str">
        <f t="shared" si="223"/>
        <v/>
      </c>
      <c r="IK471" s="251" t="str">
        <f t="shared" si="224"/>
        <v/>
      </c>
      <c r="IL471" s="251" t="str">
        <f t="shared" si="225"/>
        <v/>
      </c>
      <c r="IM471" s="251" t="str">
        <f t="shared" si="226"/>
        <v/>
      </c>
      <c r="IN471" s="251" t="str">
        <f t="shared" si="227"/>
        <v/>
      </c>
      <c r="IO471" s="251" t="str">
        <f t="shared" si="228"/>
        <v/>
      </c>
      <c r="IP471" s="251" t="str">
        <f t="shared" si="229"/>
        <v/>
      </c>
      <c r="IQ471" s="251" t="str">
        <f t="shared" si="230"/>
        <v/>
      </c>
      <c r="IR471" s="251" t="str">
        <f t="shared" si="231"/>
        <v/>
      </c>
      <c r="IS471" s="251" t="str">
        <f t="shared" si="232"/>
        <v/>
      </c>
      <c r="IT471" s="251" t="str">
        <f t="shared" si="233"/>
        <v/>
      </c>
      <c r="IU471" s="251" t="str">
        <f t="shared" si="234"/>
        <v/>
      </c>
      <c r="IV471" s="251" t="str">
        <f t="shared" si="235"/>
        <v/>
      </c>
      <c r="IW471" s="251" t="str">
        <f t="shared" si="236"/>
        <v/>
      </c>
      <c r="IX471" s="251" t="str">
        <f t="shared" si="237"/>
        <v/>
      </c>
      <c r="IY471" s="251" t="str">
        <f t="shared" si="238"/>
        <v/>
      </c>
      <c r="IZ471" s="251" t="str">
        <f t="shared" si="239"/>
        <v/>
      </c>
      <c r="JA471" s="251" t="str">
        <f t="shared" si="240"/>
        <v/>
      </c>
      <c r="JB471" s="251" t="str">
        <f t="shared" si="241"/>
        <v/>
      </c>
      <c r="JC471" s="251" t="str">
        <f t="shared" si="242"/>
        <v/>
      </c>
      <c r="JD471" s="251" t="str">
        <f t="shared" si="243"/>
        <v/>
      </c>
      <c r="JE471" s="251" t="str">
        <f t="shared" si="244"/>
        <v/>
      </c>
      <c r="JF471" s="251" t="str">
        <f t="shared" si="245"/>
        <v/>
      </c>
      <c r="JG471" s="251" t="str">
        <f t="shared" si="246"/>
        <v/>
      </c>
      <c r="JH471" s="251" t="str">
        <f t="shared" si="247"/>
        <v/>
      </c>
      <c r="JI471" s="1297" t="str">
        <f t="shared" si="248"/>
        <v/>
      </c>
      <c r="JJ471" s="1297">
        <f t="shared" si="249"/>
        <v>3</v>
      </c>
      <c r="JK471" s="1297" t="str">
        <f t="shared" si="250"/>
        <v/>
      </c>
      <c r="JL471" s="1297" t="str">
        <f t="shared" si="251"/>
        <v/>
      </c>
      <c r="JM471" s="1297" t="str">
        <f t="shared" si="252"/>
        <v/>
      </c>
      <c r="JN471" s="1297" t="str">
        <f t="shared" si="253"/>
        <v/>
      </c>
      <c r="JO471" s="1297" t="str">
        <f t="shared" si="254"/>
        <v/>
      </c>
      <c r="JP471" s="1297" t="str">
        <f t="shared" si="255"/>
        <v/>
      </c>
      <c r="JQ471" s="1297" t="str">
        <f t="shared" si="256"/>
        <v/>
      </c>
      <c r="JR471" s="1297" t="str">
        <f t="shared" si="257"/>
        <v/>
      </c>
      <c r="JS471" s="1297" t="str">
        <f t="shared" si="258"/>
        <v/>
      </c>
      <c r="JT471" s="1297" t="str">
        <f t="shared" si="259"/>
        <v/>
      </c>
      <c r="JU471" s="1297" t="str">
        <f t="shared" si="260"/>
        <v/>
      </c>
      <c r="JV471" s="1297" t="str">
        <f t="shared" si="261"/>
        <v/>
      </c>
      <c r="JW471" s="1297" t="str">
        <f t="shared" si="262"/>
        <v/>
      </c>
      <c r="JX471" s="1297" t="str">
        <f t="shared" si="263"/>
        <v/>
      </c>
      <c r="JY471" s="1297" t="str">
        <f t="shared" si="264"/>
        <v/>
      </c>
      <c r="JZ471" s="1297" t="str">
        <f t="shared" si="265"/>
        <v/>
      </c>
      <c r="KA471" s="1297" t="str">
        <f t="shared" si="266"/>
        <v/>
      </c>
      <c r="KB471" s="1297" t="str">
        <f t="shared" si="267"/>
        <v/>
      </c>
      <c r="KC471" s="1297" t="str">
        <f t="shared" si="268"/>
        <v/>
      </c>
      <c r="KD471" s="1297" t="str">
        <f t="shared" si="269"/>
        <v/>
      </c>
      <c r="KE471" s="1297" t="str">
        <f t="shared" si="270"/>
        <v/>
      </c>
      <c r="KF471" s="1297" t="str">
        <f t="shared" si="271"/>
        <v/>
      </c>
      <c r="KG471" s="1297" t="str">
        <f t="shared" si="272"/>
        <v/>
      </c>
      <c r="KH471" s="1297" t="str">
        <f t="shared" si="273"/>
        <v/>
      </c>
      <c r="KI471" s="1297" t="str">
        <f t="shared" si="274"/>
        <v/>
      </c>
      <c r="KJ471" s="1297" t="str">
        <f t="shared" si="275"/>
        <v/>
      </c>
      <c r="KK471" s="1297" t="str">
        <f t="shared" si="276"/>
        <v/>
      </c>
      <c r="KL471" s="1297" t="str">
        <f t="shared" si="277"/>
        <v/>
      </c>
      <c r="KM471" s="1297" t="str">
        <f t="shared" si="278"/>
        <v/>
      </c>
      <c r="KN471" s="1297" t="str">
        <f t="shared" si="279"/>
        <v/>
      </c>
      <c r="KO471" s="1297" t="str">
        <f t="shared" si="280"/>
        <v/>
      </c>
      <c r="KP471" s="1297" t="str">
        <f t="shared" si="281"/>
        <v/>
      </c>
      <c r="KQ471" s="1297" t="str">
        <f t="shared" si="282"/>
        <v/>
      </c>
      <c r="KR471" s="1297" t="str">
        <f t="shared" si="283"/>
        <v/>
      </c>
      <c r="KS471" s="1297" t="str">
        <f t="shared" si="284"/>
        <v/>
      </c>
      <c r="KT471" s="1297" t="str">
        <f t="shared" si="285"/>
        <v/>
      </c>
      <c r="KU471" s="1297" t="str">
        <f t="shared" si="286"/>
        <v/>
      </c>
      <c r="KV471" s="1297" t="str">
        <f t="shared" si="287"/>
        <v/>
      </c>
      <c r="KW471" s="1297" t="str">
        <f t="shared" si="288"/>
        <v/>
      </c>
      <c r="KX471" s="1297" t="str">
        <f t="shared" si="289"/>
        <v/>
      </c>
      <c r="KY471" s="1297" t="str">
        <f t="shared" si="290"/>
        <v/>
      </c>
      <c r="KZ471" s="1297" t="str">
        <f t="shared" si="291"/>
        <v/>
      </c>
      <c r="LA471" s="1297" t="str">
        <f t="shared" si="292"/>
        <v/>
      </c>
      <c r="LB471" s="1297" t="str">
        <f t="shared" si="293"/>
        <v/>
      </c>
      <c r="LC471" s="1297">
        <f t="shared" si="294"/>
        <v>3</v>
      </c>
      <c r="LD471" s="1297" t="str">
        <f t="shared" si="295"/>
        <v/>
      </c>
      <c r="LE471" s="1297" t="str">
        <f t="shared" si="296"/>
        <v/>
      </c>
      <c r="LF471" s="1297" t="str">
        <f t="shared" si="297"/>
        <v/>
      </c>
      <c r="LG471" s="1297" t="str">
        <f t="shared" si="298"/>
        <v/>
      </c>
      <c r="LH471" s="1297" t="str">
        <f t="shared" si="299"/>
        <v/>
      </c>
      <c r="LI471" s="1297" t="str">
        <f t="shared" si="300"/>
        <v/>
      </c>
      <c r="LJ471" s="1297" t="str">
        <f t="shared" si="301"/>
        <v/>
      </c>
      <c r="LK471" s="1297" t="str">
        <f t="shared" si="302"/>
        <v/>
      </c>
      <c r="LL471" s="1297" t="str">
        <f t="shared" si="303"/>
        <v/>
      </c>
      <c r="LM471" s="1297" t="str">
        <f t="shared" si="304"/>
        <v/>
      </c>
      <c r="LN471" s="1297" t="str">
        <f t="shared" si="305"/>
        <v/>
      </c>
      <c r="LO471" s="1297" t="str">
        <f t="shared" si="306"/>
        <v/>
      </c>
      <c r="LP471" s="1297" t="str">
        <f t="shared" si="307"/>
        <v/>
      </c>
      <c r="LQ471" s="1297" t="str">
        <f t="shared" si="308"/>
        <v/>
      </c>
      <c r="LR471" s="1297" t="str">
        <f t="shared" si="309"/>
        <v/>
      </c>
      <c r="LS471" s="1297" t="str">
        <f t="shared" si="310"/>
        <v/>
      </c>
      <c r="LT471" s="1297" t="str">
        <f t="shared" si="311"/>
        <v/>
      </c>
      <c r="LU471" s="1297" t="str">
        <f t="shared" si="312"/>
        <v/>
      </c>
      <c r="LV471" s="1297" t="str">
        <f t="shared" si="313"/>
        <v/>
      </c>
      <c r="LW471" s="1297" t="str">
        <f t="shared" si="314"/>
        <v/>
      </c>
      <c r="LX471" s="1297" t="str">
        <f t="shared" si="315"/>
        <v/>
      </c>
      <c r="LY471" s="1297" t="str">
        <f t="shared" si="316"/>
        <v/>
      </c>
      <c r="LZ471" s="1297" t="str">
        <f t="shared" si="317"/>
        <v/>
      </c>
      <c r="MA471" s="1297" t="str">
        <f t="shared" si="318"/>
        <v/>
      </c>
      <c r="MB471" s="1297" t="str">
        <f t="shared" si="319"/>
        <v/>
      </c>
      <c r="MC471" s="1297" t="str">
        <f t="shared" si="320"/>
        <v/>
      </c>
      <c r="MD471" s="1297" t="str">
        <f t="shared" si="321"/>
        <v/>
      </c>
      <c r="ME471" s="1297" t="str">
        <f t="shared" si="322"/>
        <v/>
      </c>
      <c r="MF471" s="1297" t="str">
        <f t="shared" si="323"/>
        <v/>
      </c>
      <c r="MG471" s="1297" t="str">
        <f t="shared" si="324"/>
        <v/>
      </c>
      <c r="MH471" s="1297" t="str">
        <f t="shared" si="325"/>
        <v/>
      </c>
      <c r="MI471" s="1297" t="str">
        <f t="shared" si="326"/>
        <v/>
      </c>
      <c r="MJ471" s="1297" t="str">
        <f t="shared" si="327"/>
        <v/>
      </c>
      <c r="MK471" s="1297" t="str">
        <f t="shared" si="328"/>
        <v/>
      </c>
      <c r="ML471" s="1297" t="str">
        <f t="shared" si="329"/>
        <v/>
      </c>
      <c r="MM471" s="1297" t="str">
        <f t="shared" si="330"/>
        <v/>
      </c>
      <c r="MN471" s="1297" t="str">
        <f t="shared" si="331"/>
        <v/>
      </c>
      <c r="MO471" s="1297" t="str">
        <f t="shared" si="332"/>
        <v/>
      </c>
      <c r="MP471" s="1773" t="str">
        <f t="shared" si="333"/>
        <v/>
      </c>
      <c r="MQ471" s="1773" t="str">
        <f t="shared" si="334"/>
        <v/>
      </c>
      <c r="MR471" s="1773" t="str">
        <f t="shared" si="335"/>
        <v/>
      </c>
      <c r="MS471" s="1773" t="str">
        <f t="shared" si="336"/>
        <v/>
      </c>
      <c r="MT471" s="1773" t="str">
        <f t="shared" si="337"/>
        <v/>
      </c>
      <c r="MU471" s="251" t="str">
        <f t="shared" si="338"/>
        <v/>
      </c>
      <c r="MV471" s="251" t="str">
        <f t="shared" si="339"/>
        <v/>
      </c>
      <c r="MW471" s="251" t="str">
        <f t="shared" si="340"/>
        <v/>
      </c>
      <c r="MX471" s="251" t="str">
        <f t="shared" si="341"/>
        <v/>
      </c>
      <c r="MY471" s="251" t="str">
        <f t="shared" si="342"/>
        <v/>
      </c>
      <c r="MZ471" s="251" t="str">
        <f t="shared" si="343"/>
        <v/>
      </c>
      <c r="NA471" s="251" t="str">
        <f t="shared" si="344"/>
        <v/>
      </c>
      <c r="NB471" s="251" t="str">
        <f t="shared" si="345"/>
        <v/>
      </c>
      <c r="NC471" s="251" t="str">
        <f t="shared" si="346"/>
        <v/>
      </c>
      <c r="ND471" s="251" t="str">
        <f t="shared" si="347"/>
        <v/>
      </c>
      <c r="NE471" s="251" t="str">
        <f t="shared" si="348"/>
        <v/>
      </c>
      <c r="NF471" s="251" t="str">
        <f t="shared" si="349"/>
        <v/>
      </c>
      <c r="NG471" s="251" t="str">
        <f t="shared" si="350"/>
        <v/>
      </c>
      <c r="NH471" s="251" t="str">
        <f t="shared" si="351"/>
        <v/>
      </c>
      <c r="NI471" s="251" t="str">
        <f t="shared" si="352"/>
        <v/>
      </c>
      <c r="NJ471" s="251" t="str">
        <f t="shared" si="353"/>
        <v/>
      </c>
      <c r="NK471" s="251" t="str">
        <f t="shared" si="354"/>
        <v/>
      </c>
      <c r="NL471" s="251" t="str">
        <f t="shared" si="355"/>
        <v/>
      </c>
      <c r="NM471" s="251" t="str">
        <f t="shared" si="356"/>
        <v/>
      </c>
      <c r="NN471" s="251" t="str">
        <f t="shared" si="357"/>
        <v/>
      </c>
      <c r="NO471" s="1185">
        <f t="shared" si="358"/>
        <v>0</v>
      </c>
      <c r="NP471" s="1185">
        <f t="shared" si="359"/>
        <v>3</v>
      </c>
      <c r="NQ471" s="1185">
        <f t="shared" si="360"/>
        <v>0</v>
      </c>
      <c r="NR471" s="1185">
        <f t="shared" si="361"/>
        <v>0</v>
      </c>
      <c r="NS471" s="1185">
        <f t="shared" si="362"/>
        <v>0</v>
      </c>
      <c r="NT471" s="1185">
        <f t="shared" si="368"/>
        <v>0</v>
      </c>
      <c r="NU471" s="1185">
        <f t="shared" si="369"/>
        <v>0</v>
      </c>
      <c r="NV471" s="1185">
        <f t="shared" si="370"/>
        <v>0</v>
      </c>
      <c r="NW471" s="1185">
        <f t="shared" si="371"/>
        <v>0</v>
      </c>
      <c r="NX471" s="1185">
        <f t="shared" si="372"/>
        <v>0</v>
      </c>
      <c r="NY471" s="1185">
        <f t="shared" si="363"/>
        <v>0</v>
      </c>
      <c r="NZ471" s="1185">
        <f t="shared" si="364"/>
        <v>0</v>
      </c>
      <c r="OA471" s="1185">
        <f t="shared" si="365"/>
        <v>0</v>
      </c>
      <c r="OB471" s="1185">
        <f t="shared" si="366"/>
        <v>0</v>
      </c>
      <c r="OC471" s="1185">
        <f t="shared" si="367"/>
        <v>0</v>
      </c>
      <c r="OY471" s="251" t="s">
        <v>1166</v>
      </c>
      <c r="OZ471" s="1296">
        <v>18</v>
      </c>
    </row>
    <row r="472" spans="1:416" ht="12" customHeight="1">
      <c r="A472" s="1979" t="str">
        <f t="shared" si="0"/>
        <v/>
      </c>
      <c r="B472" s="1998">
        <f>'Part V-Revenues &amp; Expenses'!B19</f>
        <v>60</v>
      </c>
      <c r="C472" s="1999">
        <f>'Part V-Revenues &amp; Expenses'!C19</f>
        <v>2</v>
      </c>
      <c r="D472" s="2000">
        <f>'Part V-Revenues &amp; Expenses'!D19</f>
        <v>2</v>
      </c>
      <c r="E472" s="2001">
        <f>'Part V-Revenues &amp; Expenses'!E19</f>
        <v>5</v>
      </c>
      <c r="F472" s="2001">
        <f>'Part V-Revenues &amp; Expenses'!F19</f>
        <v>1041</v>
      </c>
      <c r="G472" s="2001">
        <f>'Part V-Revenues &amp; Expenses'!G19</f>
        <v>555</v>
      </c>
      <c r="H472" s="2001">
        <f>'Part V-Revenues &amp; Expenses'!H19</f>
        <v>545</v>
      </c>
      <c r="I472" s="2001">
        <f>'Part V-Revenues &amp; Expenses'!I19</f>
        <v>0</v>
      </c>
      <c r="J472" s="2001">
        <f>'Part V-Revenues &amp; Expenses'!J19</f>
        <v>205</v>
      </c>
      <c r="K472" s="2002">
        <f>'Part V-Revenues &amp; Expenses'!K19</f>
        <v>0</v>
      </c>
      <c r="L472" s="2003">
        <f t="shared" si="1"/>
        <v>340</v>
      </c>
      <c r="M472" s="2003">
        <f t="shared" si="2"/>
        <v>1700</v>
      </c>
      <c r="N472" s="1853" t="str">
        <f>'Part V-Revenues &amp; Expenses'!N19</f>
        <v>No</v>
      </c>
      <c r="O472" s="899" t="str">
        <f>'Part V-Revenues &amp; Expenses'!O19</f>
        <v>Low-Rise Apt</v>
      </c>
      <c r="P472" s="1853" t="str">
        <f>'Part V-Revenues &amp; Expenses'!P19</f>
        <v>Acquisition/Rehab</v>
      </c>
      <c r="Q472" s="1772" t="str">
        <f>'Part V-Revenues &amp; Expenses'!Q19</f>
        <v>No</v>
      </c>
      <c r="R472" s="2004"/>
      <c r="S472" s="2005"/>
      <c r="T472" s="1920"/>
      <c r="U472" s="1920"/>
      <c r="V472" s="1920"/>
      <c r="W472" s="1920"/>
      <c r="X472" s="251" t="str">
        <f t="shared" si="3"/>
        <v/>
      </c>
      <c r="Y472" s="251" t="str">
        <f t="shared" si="4"/>
        <v/>
      </c>
      <c r="Z472" s="251" t="str">
        <f t="shared" si="5"/>
        <v/>
      </c>
      <c r="AA472" s="251" t="str">
        <f t="shared" si="6"/>
        <v/>
      </c>
      <c r="AB472" s="251" t="str">
        <f t="shared" si="7"/>
        <v/>
      </c>
      <c r="AC472" s="251" t="str">
        <f t="shared" si="8"/>
        <v/>
      </c>
      <c r="AD472" s="251" t="str">
        <f t="shared" si="9"/>
        <v/>
      </c>
      <c r="AE472" s="251" t="str">
        <f t="shared" si="10"/>
        <v/>
      </c>
      <c r="AF472" s="251" t="str">
        <f t="shared" si="11"/>
        <v/>
      </c>
      <c r="AG472" s="251" t="str">
        <f t="shared" si="12"/>
        <v/>
      </c>
      <c r="AH472" s="251" t="str">
        <f t="shared" si="13"/>
        <v/>
      </c>
      <c r="AI472" s="251" t="str">
        <f t="shared" si="14"/>
        <v/>
      </c>
      <c r="AJ472" s="251">
        <f t="shared" si="15"/>
        <v>5</v>
      </c>
      <c r="AK472" s="251" t="str">
        <f t="shared" si="16"/>
        <v/>
      </c>
      <c r="AL472" s="251" t="str">
        <f t="shared" si="17"/>
        <v/>
      </c>
      <c r="AM472" s="251" t="str">
        <f t="shared" si="18"/>
        <v/>
      </c>
      <c r="AN472" s="251" t="str">
        <f t="shared" si="19"/>
        <v/>
      </c>
      <c r="AO472" s="251" t="str">
        <f t="shared" si="20"/>
        <v/>
      </c>
      <c r="AP472" s="251" t="str">
        <f t="shared" si="21"/>
        <v/>
      </c>
      <c r="AQ472" s="251" t="str">
        <f t="shared" si="22"/>
        <v/>
      </c>
      <c r="AR472" s="251" t="str">
        <f t="shared" si="23"/>
        <v/>
      </c>
      <c r="AS472" s="251" t="str">
        <f t="shared" si="24"/>
        <v/>
      </c>
      <c r="AT472" s="251" t="str">
        <f t="shared" si="25"/>
        <v/>
      </c>
      <c r="AU472" s="251" t="str">
        <f t="shared" si="26"/>
        <v/>
      </c>
      <c r="AV472" s="251" t="str">
        <f t="shared" si="27"/>
        <v/>
      </c>
      <c r="AW472" s="251" t="str">
        <f t="shared" si="28"/>
        <v/>
      </c>
      <c r="AX472" s="251" t="str">
        <f t="shared" si="29"/>
        <v/>
      </c>
      <c r="AY472" s="251" t="str">
        <f t="shared" si="30"/>
        <v/>
      </c>
      <c r="AZ472" s="251" t="str">
        <f t="shared" si="31"/>
        <v/>
      </c>
      <c r="BA472" s="251" t="str">
        <f t="shared" si="32"/>
        <v/>
      </c>
      <c r="BB472" s="251" t="str">
        <f t="shared" si="33"/>
        <v/>
      </c>
      <c r="BC472" s="251" t="str">
        <f t="shared" si="34"/>
        <v/>
      </c>
      <c r="BD472" s="251" t="str">
        <f t="shared" si="35"/>
        <v/>
      </c>
      <c r="BE472" s="251" t="str">
        <f t="shared" si="36"/>
        <v/>
      </c>
      <c r="BF472" s="251" t="str">
        <f t="shared" si="37"/>
        <v/>
      </c>
      <c r="BG472" s="251" t="str">
        <f t="shared" si="38"/>
        <v/>
      </c>
      <c r="BH472" s="251" t="str">
        <f t="shared" si="39"/>
        <v/>
      </c>
      <c r="BI472" s="251" t="str">
        <f t="shared" si="40"/>
        <v/>
      </c>
      <c r="BJ472" s="251" t="str">
        <f t="shared" si="41"/>
        <v/>
      </c>
      <c r="BK472" s="251" t="str">
        <f t="shared" si="42"/>
        <v/>
      </c>
      <c r="BL472" s="251" t="str">
        <f t="shared" si="43"/>
        <v/>
      </c>
      <c r="BM472" s="251" t="str">
        <f t="shared" si="44"/>
        <v/>
      </c>
      <c r="BN472" s="251" t="str">
        <f t="shared" si="45"/>
        <v/>
      </c>
      <c r="BO472" s="251" t="str">
        <f t="shared" si="46"/>
        <v/>
      </c>
      <c r="BP472" s="251" t="str">
        <f t="shared" si="47"/>
        <v/>
      </c>
      <c r="BQ472" s="251" t="str">
        <f t="shared" si="48"/>
        <v/>
      </c>
      <c r="BR472" s="251" t="str">
        <f t="shared" si="49"/>
        <v/>
      </c>
      <c r="BS472" s="251" t="str">
        <f t="shared" si="50"/>
        <v/>
      </c>
      <c r="BT472" s="251" t="str">
        <f t="shared" si="51"/>
        <v/>
      </c>
      <c r="BU472" s="251" t="str">
        <f t="shared" si="52"/>
        <v/>
      </c>
      <c r="BV472" s="251" t="str">
        <f t="shared" si="53"/>
        <v/>
      </c>
      <c r="BW472" s="251" t="str">
        <f t="shared" si="54"/>
        <v/>
      </c>
      <c r="BX472" s="251" t="str">
        <f t="shared" si="55"/>
        <v/>
      </c>
      <c r="BY472" s="251" t="str">
        <f t="shared" si="56"/>
        <v/>
      </c>
      <c r="BZ472" s="251" t="str">
        <f t="shared" si="57"/>
        <v/>
      </c>
      <c r="CA472" s="251" t="str">
        <f t="shared" si="58"/>
        <v/>
      </c>
      <c r="CB472" s="251" t="str">
        <f t="shared" si="59"/>
        <v/>
      </c>
      <c r="CC472" s="251" t="str">
        <f t="shared" si="60"/>
        <v/>
      </c>
      <c r="CD472" s="251" t="str">
        <f t="shared" si="61"/>
        <v/>
      </c>
      <c r="CE472" s="251" t="str">
        <f t="shared" si="62"/>
        <v/>
      </c>
      <c r="CF472" s="251" t="str">
        <f t="shared" si="63"/>
        <v/>
      </c>
      <c r="CG472" s="251" t="str">
        <f t="shared" si="64"/>
        <v/>
      </c>
      <c r="CH472" s="251" t="str">
        <f t="shared" si="65"/>
        <v/>
      </c>
      <c r="CI472" s="251" t="str">
        <f t="shared" si="66"/>
        <v/>
      </c>
      <c r="CJ472" s="251" t="str">
        <f t="shared" si="67"/>
        <v/>
      </c>
      <c r="CK472" s="251" t="str">
        <f t="shared" si="68"/>
        <v/>
      </c>
      <c r="CL472" s="251" t="str">
        <f t="shared" si="69"/>
        <v/>
      </c>
      <c r="CM472" s="251" t="str">
        <f t="shared" si="70"/>
        <v/>
      </c>
      <c r="CN472" s="251" t="str">
        <f t="shared" si="71"/>
        <v/>
      </c>
      <c r="CO472" s="251" t="str">
        <f t="shared" si="72"/>
        <v/>
      </c>
      <c r="CP472" s="251" t="str">
        <f t="shared" si="73"/>
        <v/>
      </c>
      <c r="CQ472" s="251" t="str">
        <f t="shared" si="74"/>
        <v/>
      </c>
      <c r="CR472" s="251" t="str">
        <f t="shared" si="75"/>
        <v/>
      </c>
      <c r="CS472" s="251" t="str">
        <f t="shared" si="76"/>
        <v/>
      </c>
      <c r="CT472" s="251" t="str">
        <f t="shared" si="77"/>
        <v/>
      </c>
      <c r="CU472" s="251" t="str">
        <f t="shared" si="78"/>
        <v/>
      </c>
      <c r="CV472" s="251" t="str">
        <f t="shared" si="79"/>
        <v/>
      </c>
      <c r="CW472" s="251" t="str">
        <f t="shared" si="80"/>
        <v/>
      </c>
      <c r="CX472" s="251" t="str">
        <f t="shared" si="81"/>
        <v/>
      </c>
      <c r="CY472" s="251" t="str">
        <f t="shared" si="82"/>
        <v/>
      </c>
      <c r="CZ472" s="251" t="str">
        <f t="shared" si="83"/>
        <v/>
      </c>
      <c r="DA472" s="251" t="str">
        <f t="shared" si="84"/>
        <v/>
      </c>
      <c r="DB472" s="251" t="str">
        <f t="shared" si="85"/>
        <v/>
      </c>
      <c r="DC472" s="251" t="str">
        <f t="shared" si="86"/>
        <v/>
      </c>
      <c r="DD472" s="251" t="str">
        <f t="shared" si="87"/>
        <v/>
      </c>
      <c r="DE472" s="251" t="str">
        <f t="shared" si="88"/>
        <v/>
      </c>
      <c r="DF472" s="251" t="str">
        <f t="shared" si="89"/>
        <v/>
      </c>
      <c r="DG472" s="251" t="str">
        <f t="shared" si="90"/>
        <v/>
      </c>
      <c r="DH472" s="251" t="str">
        <f t="shared" si="91"/>
        <v/>
      </c>
      <c r="DI472" s="251" t="str">
        <f t="shared" si="92"/>
        <v/>
      </c>
      <c r="DJ472" s="251" t="str">
        <f t="shared" si="93"/>
        <v/>
      </c>
      <c r="DK472" s="251" t="str">
        <f t="shared" si="94"/>
        <v/>
      </c>
      <c r="DL472" s="251" t="str">
        <f t="shared" si="95"/>
        <v/>
      </c>
      <c r="DM472" s="251" t="str">
        <f t="shared" si="96"/>
        <v/>
      </c>
      <c r="DN472" s="251" t="str">
        <f t="shared" si="97"/>
        <v/>
      </c>
      <c r="DO472" s="251" t="str">
        <f t="shared" si="98"/>
        <v/>
      </c>
      <c r="DP472" s="251" t="str">
        <f t="shared" si="99"/>
        <v/>
      </c>
      <c r="DQ472" s="251" t="str">
        <f t="shared" si="100"/>
        <v/>
      </c>
      <c r="DR472" s="251" t="str">
        <f t="shared" si="101"/>
        <v/>
      </c>
      <c r="DS472" s="251" t="str">
        <f t="shared" si="102"/>
        <v/>
      </c>
      <c r="DT472" s="251" t="str">
        <f t="shared" si="103"/>
        <v/>
      </c>
      <c r="DU472" s="251" t="str">
        <f t="shared" si="104"/>
        <v/>
      </c>
      <c r="DV472" s="251" t="str">
        <f t="shared" si="105"/>
        <v/>
      </c>
      <c r="DW472" s="251" t="str">
        <f t="shared" si="106"/>
        <v/>
      </c>
      <c r="DX472" s="251" t="str">
        <f t="shared" si="107"/>
        <v/>
      </c>
      <c r="DY472" s="251" t="str">
        <f t="shared" si="108"/>
        <v/>
      </c>
      <c r="DZ472" s="251" t="str">
        <f t="shared" si="109"/>
        <v/>
      </c>
      <c r="EA472" s="251" t="str">
        <f t="shared" si="110"/>
        <v/>
      </c>
      <c r="EB472" s="251" t="str">
        <f t="shared" si="111"/>
        <v/>
      </c>
      <c r="EC472" s="251" t="str">
        <f t="shared" si="112"/>
        <v/>
      </c>
      <c r="ED472" s="251" t="str">
        <f t="shared" si="113"/>
        <v/>
      </c>
      <c r="EE472" s="251" t="str">
        <f t="shared" si="114"/>
        <v/>
      </c>
      <c r="EF472" s="251" t="str">
        <f t="shared" si="115"/>
        <v/>
      </c>
      <c r="EG472" s="251" t="str">
        <f t="shared" si="116"/>
        <v/>
      </c>
      <c r="EH472" s="251" t="str">
        <f t="shared" si="117"/>
        <v/>
      </c>
      <c r="EI472" s="251" t="str">
        <f t="shared" si="118"/>
        <v/>
      </c>
      <c r="EJ472" s="251" t="str">
        <f t="shared" si="119"/>
        <v/>
      </c>
      <c r="EK472" s="251" t="str">
        <f t="shared" si="120"/>
        <v/>
      </c>
      <c r="EL472" s="251" t="str">
        <f t="shared" si="121"/>
        <v/>
      </c>
      <c r="EM472" s="251" t="str">
        <f t="shared" si="122"/>
        <v/>
      </c>
      <c r="EN472" s="251" t="str">
        <f t="shared" si="123"/>
        <v/>
      </c>
      <c r="EO472" s="251" t="str">
        <f t="shared" si="124"/>
        <v/>
      </c>
      <c r="EP472" s="251" t="str">
        <f t="shared" si="125"/>
        <v/>
      </c>
      <c r="EQ472" s="251" t="str">
        <f t="shared" si="126"/>
        <v/>
      </c>
      <c r="ER472" s="251" t="str">
        <f t="shared" si="127"/>
        <v/>
      </c>
      <c r="ES472" s="251" t="str">
        <f t="shared" si="128"/>
        <v/>
      </c>
      <c r="ET472" s="251" t="str">
        <f t="shared" si="129"/>
        <v/>
      </c>
      <c r="EU472" s="251" t="str">
        <f t="shared" si="130"/>
        <v/>
      </c>
      <c r="EV472" s="251" t="str">
        <f t="shared" si="131"/>
        <v/>
      </c>
      <c r="EW472" s="251" t="str">
        <f t="shared" si="132"/>
        <v/>
      </c>
      <c r="EX472" s="251" t="str">
        <f t="shared" si="133"/>
        <v/>
      </c>
      <c r="EY472" s="251" t="str">
        <f t="shared" si="134"/>
        <v/>
      </c>
      <c r="EZ472" s="251" t="str">
        <f t="shared" si="135"/>
        <v/>
      </c>
      <c r="FA472" s="251" t="str">
        <f t="shared" si="136"/>
        <v/>
      </c>
      <c r="FB472" s="251" t="str">
        <f t="shared" si="137"/>
        <v/>
      </c>
      <c r="FC472" s="251" t="str">
        <f t="shared" si="138"/>
        <v/>
      </c>
      <c r="FD472" s="251" t="str">
        <f t="shared" si="139"/>
        <v/>
      </c>
      <c r="FE472" s="251" t="str">
        <f t="shared" si="140"/>
        <v/>
      </c>
      <c r="FF472" s="251" t="str">
        <f t="shared" si="141"/>
        <v/>
      </c>
      <c r="FG472" s="251" t="str">
        <f t="shared" si="142"/>
        <v/>
      </c>
      <c r="FH472" s="251" t="str">
        <f t="shared" si="143"/>
        <v/>
      </c>
      <c r="FI472" s="251" t="str">
        <f t="shared" si="144"/>
        <v/>
      </c>
      <c r="FJ472" s="251" t="str">
        <f t="shared" si="145"/>
        <v/>
      </c>
      <c r="FK472" s="251" t="str">
        <f t="shared" si="146"/>
        <v/>
      </c>
      <c r="FL472" s="251" t="str">
        <f t="shared" si="147"/>
        <v/>
      </c>
      <c r="FM472" s="251" t="str">
        <f t="shared" si="148"/>
        <v/>
      </c>
      <c r="FN472" s="251" t="str">
        <f t="shared" si="149"/>
        <v/>
      </c>
      <c r="FO472" s="251" t="str">
        <f t="shared" si="150"/>
        <v/>
      </c>
      <c r="FP472" s="251" t="str">
        <f t="shared" si="151"/>
        <v/>
      </c>
      <c r="FQ472" s="251" t="str">
        <f t="shared" si="152"/>
        <v/>
      </c>
      <c r="FR472" s="251" t="str">
        <f t="shared" si="153"/>
        <v/>
      </c>
      <c r="FS472" s="251" t="str">
        <f t="shared" si="154"/>
        <v/>
      </c>
      <c r="FT472" s="251" t="str">
        <f t="shared" si="155"/>
        <v/>
      </c>
      <c r="FU472" s="251" t="str">
        <f t="shared" si="156"/>
        <v/>
      </c>
      <c r="FV472" s="251" t="str">
        <f t="shared" si="157"/>
        <v/>
      </c>
      <c r="FW472" s="251" t="str">
        <f t="shared" si="158"/>
        <v/>
      </c>
      <c r="FX472" s="251" t="str">
        <f t="shared" si="159"/>
        <v/>
      </c>
      <c r="FY472" s="251" t="str">
        <f t="shared" si="160"/>
        <v/>
      </c>
      <c r="FZ472" s="251" t="str">
        <f t="shared" si="161"/>
        <v/>
      </c>
      <c r="GA472" s="251" t="str">
        <f t="shared" si="162"/>
        <v/>
      </c>
      <c r="GB472" s="251" t="str">
        <f t="shared" si="163"/>
        <v/>
      </c>
      <c r="GC472" s="251" t="str">
        <f t="shared" si="164"/>
        <v/>
      </c>
      <c r="GD472" s="251">
        <f t="shared" si="165"/>
        <v>5205</v>
      </c>
      <c r="GE472" s="251" t="str">
        <f t="shared" si="166"/>
        <v/>
      </c>
      <c r="GF472" s="251" t="str">
        <f t="shared" si="167"/>
        <v/>
      </c>
      <c r="GG472" s="251" t="str">
        <f t="shared" si="168"/>
        <v/>
      </c>
      <c r="GH472" s="251" t="str">
        <f t="shared" si="169"/>
        <v/>
      </c>
      <c r="GI472" s="251" t="str">
        <f t="shared" si="170"/>
        <v/>
      </c>
      <c r="GJ472" s="251" t="str">
        <f t="shared" si="171"/>
        <v/>
      </c>
      <c r="GK472" s="251" t="str">
        <f t="shared" si="172"/>
        <v/>
      </c>
      <c r="GL472" s="251" t="str">
        <f t="shared" si="173"/>
        <v/>
      </c>
      <c r="GM472" s="251" t="str">
        <f t="shared" si="174"/>
        <v/>
      </c>
      <c r="GN472" s="251" t="str">
        <f t="shared" si="175"/>
        <v/>
      </c>
      <c r="GO472" s="251" t="str">
        <f t="shared" si="176"/>
        <v/>
      </c>
      <c r="GP472" s="251" t="str">
        <f t="shared" si="177"/>
        <v/>
      </c>
      <c r="GQ472" s="251" t="str">
        <f t="shared" si="178"/>
        <v/>
      </c>
      <c r="GR472" s="251" t="str">
        <f t="shared" si="179"/>
        <v/>
      </c>
      <c r="GS472" s="251" t="str">
        <f t="shared" si="180"/>
        <v/>
      </c>
      <c r="GT472" s="251" t="str">
        <f t="shared" si="181"/>
        <v/>
      </c>
      <c r="GU472" s="251" t="str">
        <f t="shared" si="182"/>
        <v/>
      </c>
      <c r="GV472" s="251" t="str">
        <f t="shared" si="183"/>
        <v/>
      </c>
      <c r="GW472" s="251" t="str">
        <f t="shared" si="184"/>
        <v/>
      </c>
      <c r="GX472" s="251" t="str">
        <f t="shared" si="185"/>
        <v/>
      </c>
      <c r="GY472" s="251" t="str">
        <f t="shared" si="186"/>
        <v/>
      </c>
      <c r="GZ472" s="251" t="str">
        <f t="shared" si="187"/>
        <v/>
      </c>
      <c r="HA472" s="251" t="str">
        <f t="shared" si="188"/>
        <v/>
      </c>
      <c r="HB472" s="251" t="str">
        <f t="shared" si="189"/>
        <v/>
      </c>
      <c r="HC472" s="251" t="str">
        <f t="shared" si="190"/>
        <v/>
      </c>
      <c r="HD472" s="251" t="str">
        <f t="shared" si="191"/>
        <v/>
      </c>
      <c r="HE472" s="251" t="str">
        <f t="shared" si="192"/>
        <v/>
      </c>
      <c r="HF472" s="251" t="str">
        <f t="shared" si="193"/>
        <v/>
      </c>
      <c r="HG472" s="251" t="str">
        <f t="shared" si="194"/>
        <v/>
      </c>
      <c r="HH472" s="251" t="str">
        <f t="shared" si="195"/>
        <v/>
      </c>
      <c r="HI472" s="251" t="str">
        <f t="shared" si="196"/>
        <v/>
      </c>
      <c r="HJ472" s="251" t="str">
        <f t="shared" si="197"/>
        <v/>
      </c>
      <c r="HK472" s="251" t="str">
        <f t="shared" si="198"/>
        <v/>
      </c>
      <c r="HL472" s="251" t="str">
        <f t="shared" si="199"/>
        <v/>
      </c>
      <c r="HM472" s="251" t="str">
        <f t="shared" si="200"/>
        <v/>
      </c>
      <c r="HN472" s="251" t="str">
        <f t="shared" si="201"/>
        <v/>
      </c>
      <c r="HO472" s="251" t="str">
        <f t="shared" si="202"/>
        <v/>
      </c>
      <c r="HP472" s="251" t="str">
        <f t="shared" si="203"/>
        <v/>
      </c>
      <c r="HQ472" s="251" t="str">
        <f t="shared" si="204"/>
        <v/>
      </c>
      <c r="HR472" s="251" t="str">
        <f t="shared" si="205"/>
        <v/>
      </c>
      <c r="HS472" s="251" t="str">
        <f t="shared" si="206"/>
        <v/>
      </c>
      <c r="HT472" s="251" t="str">
        <f t="shared" si="207"/>
        <v/>
      </c>
      <c r="HU472" s="251" t="str">
        <f t="shared" si="208"/>
        <v/>
      </c>
      <c r="HV472" s="251" t="str">
        <f t="shared" si="209"/>
        <v/>
      </c>
      <c r="HW472" s="251" t="str">
        <f t="shared" si="210"/>
        <v/>
      </c>
      <c r="HX472" s="251" t="str">
        <f t="shared" si="211"/>
        <v/>
      </c>
      <c r="HY472" s="251" t="str">
        <f t="shared" si="212"/>
        <v/>
      </c>
      <c r="HZ472" s="251" t="str">
        <f t="shared" si="213"/>
        <v/>
      </c>
      <c r="IA472" s="251" t="str">
        <f t="shared" si="214"/>
        <v/>
      </c>
      <c r="IB472" s="251" t="str">
        <f t="shared" si="215"/>
        <v/>
      </c>
      <c r="IC472" s="251" t="str">
        <f t="shared" si="216"/>
        <v/>
      </c>
      <c r="ID472" s="251" t="str">
        <f t="shared" si="217"/>
        <v/>
      </c>
      <c r="IE472" s="251" t="str">
        <f t="shared" si="218"/>
        <v/>
      </c>
      <c r="IF472" s="251" t="str">
        <f t="shared" si="219"/>
        <v/>
      </c>
      <c r="IG472" s="251">
        <f t="shared" si="220"/>
        <v>5</v>
      </c>
      <c r="IH472" s="251" t="str">
        <f t="shared" si="221"/>
        <v/>
      </c>
      <c r="II472" s="251" t="str">
        <f t="shared" si="222"/>
        <v/>
      </c>
      <c r="IJ472" s="251" t="str">
        <f t="shared" si="223"/>
        <v/>
      </c>
      <c r="IK472" s="251" t="str">
        <f t="shared" si="224"/>
        <v/>
      </c>
      <c r="IL472" s="251" t="str">
        <f t="shared" si="225"/>
        <v/>
      </c>
      <c r="IM472" s="251" t="str">
        <f t="shared" si="226"/>
        <v/>
      </c>
      <c r="IN472" s="251" t="str">
        <f t="shared" si="227"/>
        <v/>
      </c>
      <c r="IO472" s="251" t="str">
        <f t="shared" si="228"/>
        <v/>
      </c>
      <c r="IP472" s="251" t="str">
        <f t="shared" si="229"/>
        <v/>
      </c>
      <c r="IQ472" s="251" t="str">
        <f t="shared" si="230"/>
        <v/>
      </c>
      <c r="IR472" s="251" t="str">
        <f t="shared" si="231"/>
        <v/>
      </c>
      <c r="IS472" s="251" t="str">
        <f t="shared" si="232"/>
        <v/>
      </c>
      <c r="IT472" s="251" t="str">
        <f t="shared" si="233"/>
        <v/>
      </c>
      <c r="IU472" s="251" t="str">
        <f t="shared" si="234"/>
        <v/>
      </c>
      <c r="IV472" s="251" t="str">
        <f t="shared" si="235"/>
        <v/>
      </c>
      <c r="IW472" s="251" t="str">
        <f t="shared" si="236"/>
        <v/>
      </c>
      <c r="IX472" s="251" t="str">
        <f t="shared" si="237"/>
        <v/>
      </c>
      <c r="IY472" s="251" t="str">
        <f t="shared" si="238"/>
        <v/>
      </c>
      <c r="IZ472" s="251" t="str">
        <f t="shared" si="239"/>
        <v/>
      </c>
      <c r="JA472" s="251" t="str">
        <f t="shared" si="240"/>
        <v/>
      </c>
      <c r="JB472" s="251" t="str">
        <f t="shared" si="241"/>
        <v/>
      </c>
      <c r="JC472" s="251" t="str">
        <f t="shared" si="242"/>
        <v/>
      </c>
      <c r="JD472" s="251" t="str">
        <f t="shared" si="243"/>
        <v/>
      </c>
      <c r="JE472" s="251" t="str">
        <f t="shared" si="244"/>
        <v/>
      </c>
      <c r="JF472" s="251" t="str">
        <f t="shared" si="245"/>
        <v/>
      </c>
      <c r="JG472" s="251" t="str">
        <f t="shared" si="246"/>
        <v/>
      </c>
      <c r="JH472" s="251" t="str">
        <f t="shared" si="247"/>
        <v/>
      </c>
      <c r="JI472" s="1297" t="str">
        <f t="shared" si="248"/>
        <v/>
      </c>
      <c r="JJ472" s="1297" t="str">
        <f t="shared" si="249"/>
        <v/>
      </c>
      <c r="JK472" s="1297">
        <f t="shared" si="250"/>
        <v>5</v>
      </c>
      <c r="JL472" s="1297" t="str">
        <f t="shared" si="251"/>
        <v/>
      </c>
      <c r="JM472" s="1297" t="str">
        <f t="shared" si="252"/>
        <v/>
      </c>
      <c r="JN472" s="1297" t="str">
        <f t="shared" si="253"/>
        <v/>
      </c>
      <c r="JO472" s="1297" t="str">
        <f t="shared" si="254"/>
        <v/>
      </c>
      <c r="JP472" s="1297" t="str">
        <f t="shared" si="255"/>
        <v/>
      </c>
      <c r="JQ472" s="1297" t="str">
        <f t="shared" si="256"/>
        <v/>
      </c>
      <c r="JR472" s="1297" t="str">
        <f t="shared" si="257"/>
        <v/>
      </c>
      <c r="JS472" s="1297" t="str">
        <f t="shared" si="258"/>
        <v/>
      </c>
      <c r="JT472" s="1297" t="str">
        <f t="shared" si="259"/>
        <v/>
      </c>
      <c r="JU472" s="1297" t="str">
        <f t="shared" si="260"/>
        <v/>
      </c>
      <c r="JV472" s="1297" t="str">
        <f t="shared" si="261"/>
        <v/>
      </c>
      <c r="JW472" s="1297" t="str">
        <f t="shared" si="262"/>
        <v/>
      </c>
      <c r="JX472" s="1297" t="str">
        <f t="shared" si="263"/>
        <v/>
      </c>
      <c r="JY472" s="1297" t="str">
        <f t="shared" si="264"/>
        <v/>
      </c>
      <c r="JZ472" s="1297" t="str">
        <f t="shared" si="265"/>
        <v/>
      </c>
      <c r="KA472" s="1297" t="str">
        <f t="shared" si="266"/>
        <v/>
      </c>
      <c r="KB472" s="1297" t="str">
        <f t="shared" si="267"/>
        <v/>
      </c>
      <c r="KC472" s="1297" t="str">
        <f t="shared" si="268"/>
        <v/>
      </c>
      <c r="KD472" s="1297" t="str">
        <f t="shared" si="269"/>
        <v/>
      </c>
      <c r="KE472" s="1297" t="str">
        <f t="shared" si="270"/>
        <v/>
      </c>
      <c r="KF472" s="1297" t="str">
        <f t="shared" si="271"/>
        <v/>
      </c>
      <c r="KG472" s="1297" t="str">
        <f t="shared" si="272"/>
        <v/>
      </c>
      <c r="KH472" s="1297" t="str">
        <f t="shared" si="273"/>
        <v/>
      </c>
      <c r="KI472" s="1297" t="str">
        <f t="shared" si="274"/>
        <v/>
      </c>
      <c r="KJ472" s="1297" t="str">
        <f t="shared" si="275"/>
        <v/>
      </c>
      <c r="KK472" s="1297" t="str">
        <f t="shared" si="276"/>
        <v/>
      </c>
      <c r="KL472" s="1297" t="str">
        <f t="shared" si="277"/>
        <v/>
      </c>
      <c r="KM472" s="1297" t="str">
        <f t="shared" si="278"/>
        <v/>
      </c>
      <c r="KN472" s="1297" t="str">
        <f t="shared" si="279"/>
        <v/>
      </c>
      <c r="KO472" s="1297" t="str">
        <f t="shared" si="280"/>
        <v/>
      </c>
      <c r="KP472" s="1297" t="str">
        <f t="shared" si="281"/>
        <v/>
      </c>
      <c r="KQ472" s="1297" t="str">
        <f t="shared" si="282"/>
        <v/>
      </c>
      <c r="KR472" s="1297" t="str">
        <f t="shared" si="283"/>
        <v/>
      </c>
      <c r="KS472" s="1297" t="str">
        <f t="shared" si="284"/>
        <v/>
      </c>
      <c r="KT472" s="1297" t="str">
        <f t="shared" si="285"/>
        <v/>
      </c>
      <c r="KU472" s="1297" t="str">
        <f t="shared" si="286"/>
        <v/>
      </c>
      <c r="KV472" s="1297" t="str">
        <f t="shared" si="287"/>
        <v/>
      </c>
      <c r="KW472" s="1297" t="str">
        <f t="shared" si="288"/>
        <v/>
      </c>
      <c r="KX472" s="1297" t="str">
        <f t="shared" si="289"/>
        <v/>
      </c>
      <c r="KY472" s="1297" t="str">
        <f t="shared" si="290"/>
        <v/>
      </c>
      <c r="KZ472" s="1297" t="str">
        <f t="shared" si="291"/>
        <v/>
      </c>
      <c r="LA472" s="1297" t="str">
        <f t="shared" si="292"/>
        <v/>
      </c>
      <c r="LB472" s="1297" t="str">
        <f t="shared" si="293"/>
        <v/>
      </c>
      <c r="LC472" s="1297" t="str">
        <f t="shared" si="294"/>
        <v/>
      </c>
      <c r="LD472" s="1297">
        <f t="shared" si="295"/>
        <v>5</v>
      </c>
      <c r="LE472" s="1297" t="str">
        <f t="shared" si="296"/>
        <v/>
      </c>
      <c r="LF472" s="1297" t="str">
        <f t="shared" si="297"/>
        <v/>
      </c>
      <c r="LG472" s="1297" t="str">
        <f t="shared" si="298"/>
        <v/>
      </c>
      <c r="LH472" s="1297" t="str">
        <f t="shared" si="299"/>
        <v/>
      </c>
      <c r="LI472" s="1297" t="str">
        <f t="shared" si="300"/>
        <v/>
      </c>
      <c r="LJ472" s="1297" t="str">
        <f t="shared" si="301"/>
        <v/>
      </c>
      <c r="LK472" s="1297" t="str">
        <f t="shared" si="302"/>
        <v/>
      </c>
      <c r="LL472" s="1297" t="str">
        <f t="shared" si="303"/>
        <v/>
      </c>
      <c r="LM472" s="1297" t="str">
        <f t="shared" si="304"/>
        <v/>
      </c>
      <c r="LN472" s="1297" t="str">
        <f t="shared" si="305"/>
        <v/>
      </c>
      <c r="LO472" s="1297" t="str">
        <f t="shared" si="306"/>
        <v/>
      </c>
      <c r="LP472" s="1297" t="str">
        <f t="shared" si="307"/>
        <v/>
      </c>
      <c r="LQ472" s="1297" t="str">
        <f t="shared" si="308"/>
        <v/>
      </c>
      <c r="LR472" s="1297" t="str">
        <f t="shared" si="309"/>
        <v/>
      </c>
      <c r="LS472" s="1297" t="str">
        <f t="shared" si="310"/>
        <v/>
      </c>
      <c r="LT472" s="1297" t="str">
        <f t="shared" si="311"/>
        <v/>
      </c>
      <c r="LU472" s="1297" t="str">
        <f t="shared" si="312"/>
        <v/>
      </c>
      <c r="LV472" s="1297" t="str">
        <f t="shared" si="313"/>
        <v/>
      </c>
      <c r="LW472" s="1297" t="str">
        <f t="shared" si="314"/>
        <v/>
      </c>
      <c r="LX472" s="1297" t="str">
        <f t="shared" si="315"/>
        <v/>
      </c>
      <c r="LY472" s="1297" t="str">
        <f t="shared" si="316"/>
        <v/>
      </c>
      <c r="LZ472" s="1297" t="str">
        <f t="shared" si="317"/>
        <v/>
      </c>
      <c r="MA472" s="1297" t="str">
        <f t="shared" si="318"/>
        <v/>
      </c>
      <c r="MB472" s="1297" t="str">
        <f t="shared" si="319"/>
        <v/>
      </c>
      <c r="MC472" s="1297" t="str">
        <f t="shared" si="320"/>
        <v/>
      </c>
      <c r="MD472" s="1297" t="str">
        <f t="shared" si="321"/>
        <v/>
      </c>
      <c r="ME472" s="1297" t="str">
        <f t="shared" si="322"/>
        <v/>
      </c>
      <c r="MF472" s="1297" t="str">
        <f t="shared" si="323"/>
        <v/>
      </c>
      <c r="MG472" s="1297" t="str">
        <f t="shared" si="324"/>
        <v/>
      </c>
      <c r="MH472" s="1297" t="str">
        <f t="shared" si="325"/>
        <v/>
      </c>
      <c r="MI472" s="1297" t="str">
        <f t="shared" si="326"/>
        <v/>
      </c>
      <c r="MJ472" s="1297" t="str">
        <f t="shared" si="327"/>
        <v/>
      </c>
      <c r="MK472" s="1297" t="str">
        <f t="shared" si="328"/>
        <v/>
      </c>
      <c r="ML472" s="1297" t="str">
        <f t="shared" si="329"/>
        <v/>
      </c>
      <c r="MM472" s="1297" t="str">
        <f t="shared" si="330"/>
        <v/>
      </c>
      <c r="MN472" s="1297" t="str">
        <f t="shared" si="331"/>
        <v/>
      </c>
      <c r="MO472" s="1297" t="str">
        <f t="shared" si="332"/>
        <v/>
      </c>
      <c r="MP472" s="1773" t="str">
        <f t="shared" si="333"/>
        <v/>
      </c>
      <c r="MQ472" s="1773" t="str">
        <f t="shared" si="334"/>
        <v/>
      </c>
      <c r="MR472" s="1773" t="str">
        <f t="shared" si="335"/>
        <v/>
      </c>
      <c r="MS472" s="1773" t="str">
        <f t="shared" si="336"/>
        <v/>
      </c>
      <c r="MT472" s="1773" t="str">
        <f t="shared" si="337"/>
        <v/>
      </c>
      <c r="MU472" s="251" t="str">
        <f t="shared" si="338"/>
        <v/>
      </c>
      <c r="MV472" s="251" t="str">
        <f t="shared" si="339"/>
        <v/>
      </c>
      <c r="MW472" s="251" t="str">
        <f t="shared" si="340"/>
        <v/>
      </c>
      <c r="MX472" s="251" t="str">
        <f t="shared" si="341"/>
        <v/>
      </c>
      <c r="MY472" s="251" t="str">
        <f t="shared" si="342"/>
        <v/>
      </c>
      <c r="MZ472" s="251" t="str">
        <f t="shared" si="343"/>
        <v/>
      </c>
      <c r="NA472" s="251" t="str">
        <f t="shared" si="344"/>
        <v/>
      </c>
      <c r="NB472" s="251" t="str">
        <f t="shared" si="345"/>
        <v/>
      </c>
      <c r="NC472" s="251" t="str">
        <f t="shared" si="346"/>
        <v/>
      </c>
      <c r="ND472" s="251" t="str">
        <f t="shared" si="347"/>
        <v/>
      </c>
      <c r="NE472" s="251" t="str">
        <f t="shared" si="348"/>
        <v/>
      </c>
      <c r="NF472" s="251" t="str">
        <f t="shared" si="349"/>
        <v/>
      </c>
      <c r="NG472" s="251" t="str">
        <f t="shared" si="350"/>
        <v/>
      </c>
      <c r="NH472" s="251" t="str">
        <f t="shared" si="351"/>
        <v/>
      </c>
      <c r="NI472" s="251" t="str">
        <f t="shared" si="352"/>
        <v/>
      </c>
      <c r="NJ472" s="251" t="str">
        <f t="shared" si="353"/>
        <v/>
      </c>
      <c r="NK472" s="251" t="str">
        <f t="shared" si="354"/>
        <v/>
      </c>
      <c r="NL472" s="251" t="str">
        <f t="shared" si="355"/>
        <v/>
      </c>
      <c r="NM472" s="251" t="str">
        <f t="shared" si="356"/>
        <v/>
      </c>
      <c r="NN472" s="251" t="str">
        <f t="shared" si="357"/>
        <v/>
      </c>
      <c r="NO472" s="1185">
        <f t="shared" si="358"/>
        <v>0</v>
      </c>
      <c r="NP472" s="1185">
        <f t="shared" si="359"/>
        <v>0</v>
      </c>
      <c r="NQ472" s="1185">
        <f t="shared" si="360"/>
        <v>5</v>
      </c>
      <c r="NR472" s="1185">
        <f t="shared" si="361"/>
        <v>0</v>
      </c>
      <c r="NS472" s="1185">
        <f t="shared" si="362"/>
        <v>0</v>
      </c>
      <c r="NT472" s="1185">
        <f t="shared" si="368"/>
        <v>0</v>
      </c>
      <c r="NU472" s="1185">
        <f t="shared" si="369"/>
        <v>0</v>
      </c>
      <c r="NV472" s="1185">
        <f t="shared" si="370"/>
        <v>0</v>
      </c>
      <c r="NW472" s="1185">
        <f t="shared" si="371"/>
        <v>0</v>
      </c>
      <c r="NX472" s="1185">
        <f t="shared" si="372"/>
        <v>0</v>
      </c>
      <c r="NY472" s="1185">
        <f t="shared" si="363"/>
        <v>0</v>
      </c>
      <c r="NZ472" s="1185">
        <f t="shared" si="364"/>
        <v>0</v>
      </c>
      <c r="OA472" s="1185">
        <f t="shared" si="365"/>
        <v>0</v>
      </c>
      <c r="OB472" s="1185">
        <f t="shared" si="366"/>
        <v>0</v>
      </c>
      <c r="OC472" s="1185">
        <f t="shared" si="367"/>
        <v>0</v>
      </c>
      <c r="OY472" s="251" t="s">
        <v>1167</v>
      </c>
      <c r="OZ472" s="1296">
        <v>19</v>
      </c>
    </row>
    <row r="473" spans="1:416" ht="12" customHeight="1">
      <c r="A473" s="1979" t="str">
        <f t="shared" si="0"/>
        <v/>
      </c>
      <c r="B473" s="1998">
        <f>'Part V-Revenues &amp; Expenses'!B20</f>
        <v>60</v>
      </c>
      <c r="C473" s="1999">
        <f>'Part V-Revenues &amp; Expenses'!C20</f>
        <v>3</v>
      </c>
      <c r="D473" s="2000">
        <f>'Part V-Revenues &amp; Expenses'!D20</f>
        <v>2</v>
      </c>
      <c r="E473" s="2001">
        <f>'Part V-Revenues &amp; Expenses'!E20</f>
        <v>2</v>
      </c>
      <c r="F473" s="2001">
        <f>'Part V-Revenues &amp; Expenses'!F20</f>
        <v>1170</v>
      </c>
      <c r="G473" s="2001">
        <f>'Part V-Revenues &amp; Expenses'!G20</f>
        <v>642</v>
      </c>
      <c r="H473" s="2001">
        <f>'Part V-Revenues &amp; Expenses'!H20</f>
        <v>632</v>
      </c>
      <c r="I473" s="2001">
        <f>'Part V-Revenues &amp; Expenses'!I20</f>
        <v>0</v>
      </c>
      <c r="J473" s="2001">
        <f>'Part V-Revenues &amp; Expenses'!J20</f>
        <v>238</v>
      </c>
      <c r="K473" s="2002">
        <f>'Part V-Revenues &amp; Expenses'!K20</f>
        <v>0</v>
      </c>
      <c r="L473" s="2003">
        <f t="shared" si="1"/>
        <v>394</v>
      </c>
      <c r="M473" s="2003">
        <f t="shared" si="2"/>
        <v>788</v>
      </c>
      <c r="N473" s="1853" t="str">
        <f>'Part V-Revenues &amp; Expenses'!N20</f>
        <v>No</v>
      </c>
      <c r="O473" s="899" t="str">
        <f>'Part V-Revenues &amp; Expenses'!O20</f>
        <v>Low-Rise Apt</v>
      </c>
      <c r="P473" s="1853" t="str">
        <f>'Part V-Revenues &amp; Expenses'!P20</f>
        <v>Acquisition/Rehab</v>
      </c>
      <c r="Q473" s="1772" t="str">
        <f>'Part V-Revenues &amp; Expenses'!Q20</f>
        <v>No</v>
      </c>
      <c r="R473" s="2004"/>
      <c r="S473" s="2005"/>
      <c r="T473" s="1920"/>
      <c r="U473" s="1920"/>
      <c r="V473" s="1920"/>
      <c r="W473" s="1920"/>
      <c r="X473" s="251" t="str">
        <f t="shared" si="3"/>
        <v/>
      </c>
      <c r="Y473" s="251" t="str">
        <f t="shared" si="4"/>
        <v/>
      </c>
      <c r="Z473" s="251" t="str">
        <f t="shared" si="5"/>
        <v/>
      </c>
      <c r="AA473" s="251" t="str">
        <f t="shared" si="6"/>
        <v/>
      </c>
      <c r="AB473" s="251" t="str">
        <f t="shared" si="7"/>
        <v/>
      </c>
      <c r="AC473" s="251" t="str">
        <f t="shared" si="8"/>
        <v/>
      </c>
      <c r="AD473" s="251" t="str">
        <f t="shared" si="9"/>
        <v/>
      </c>
      <c r="AE473" s="251" t="str">
        <f t="shared" si="10"/>
        <v/>
      </c>
      <c r="AF473" s="251" t="str">
        <f t="shared" si="11"/>
        <v/>
      </c>
      <c r="AG473" s="251" t="str">
        <f t="shared" si="12"/>
        <v/>
      </c>
      <c r="AH473" s="251" t="str">
        <f t="shared" si="13"/>
        <v/>
      </c>
      <c r="AI473" s="251" t="str">
        <f t="shared" si="14"/>
        <v/>
      </c>
      <c r="AJ473" s="251" t="str">
        <f t="shared" si="15"/>
        <v/>
      </c>
      <c r="AK473" s="251">
        <f t="shared" si="16"/>
        <v>2</v>
      </c>
      <c r="AL473" s="251" t="str">
        <f t="shared" si="17"/>
        <v/>
      </c>
      <c r="AM473" s="251" t="str">
        <f t="shared" si="18"/>
        <v/>
      </c>
      <c r="AN473" s="251" t="str">
        <f t="shared" si="19"/>
        <v/>
      </c>
      <c r="AO473" s="251" t="str">
        <f t="shared" si="20"/>
        <v/>
      </c>
      <c r="AP473" s="251" t="str">
        <f t="shared" si="21"/>
        <v/>
      </c>
      <c r="AQ473" s="251" t="str">
        <f t="shared" si="22"/>
        <v/>
      </c>
      <c r="AR473" s="251" t="str">
        <f t="shared" si="23"/>
        <v/>
      </c>
      <c r="AS473" s="251" t="str">
        <f t="shared" si="24"/>
        <v/>
      </c>
      <c r="AT473" s="251" t="str">
        <f t="shared" si="25"/>
        <v/>
      </c>
      <c r="AU473" s="251" t="str">
        <f t="shared" si="26"/>
        <v/>
      </c>
      <c r="AV473" s="251" t="str">
        <f t="shared" si="27"/>
        <v/>
      </c>
      <c r="AW473" s="251" t="str">
        <f t="shared" si="28"/>
        <v/>
      </c>
      <c r="AX473" s="251" t="str">
        <f t="shared" si="29"/>
        <v/>
      </c>
      <c r="AY473" s="251" t="str">
        <f t="shared" si="30"/>
        <v/>
      </c>
      <c r="AZ473" s="251" t="str">
        <f t="shared" si="31"/>
        <v/>
      </c>
      <c r="BA473" s="251" t="str">
        <f t="shared" si="32"/>
        <v/>
      </c>
      <c r="BB473" s="251" t="str">
        <f t="shared" si="33"/>
        <v/>
      </c>
      <c r="BC473" s="251" t="str">
        <f t="shared" si="34"/>
        <v/>
      </c>
      <c r="BD473" s="251" t="str">
        <f t="shared" si="35"/>
        <v/>
      </c>
      <c r="BE473" s="251" t="str">
        <f t="shared" si="36"/>
        <v/>
      </c>
      <c r="BF473" s="251" t="str">
        <f t="shared" si="37"/>
        <v/>
      </c>
      <c r="BG473" s="251" t="str">
        <f t="shared" si="38"/>
        <v/>
      </c>
      <c r="BH473" s="251" t="str">
        <f t="shared" si="39"/>
        <v/>
      </c>
      <c r="BI473" s="251" t="str">
        <f t="shared" si="40"/>
        <v/>
      </c>
      <c r="BJ473" s="251" t="str">
        <f t="shared" si="41"/>
        <v/>
      </c>
      <c r="BK473" s="251" t="str">
        <f t="shared" si="42"/>
        <v/>
      </c>
      <c r="BL473" s="251" t="str">
        <f t="shared" si="43"/>
        <v/>
      </c>
      <c r="BM473" s="251" t="str">
        <f t="shared" si="44"/>
        <v/>
      </c>
      <c r="BN473" s="251" t="str">
        <f t="shared" si="45"/>
        <v/>
      </c>
      <c r="BO473" s="251" t="str">
        <f t="shared" si="46"/>
        <v/>
      </c>
      <c r="BP473" s="251" t="str">
        <f t="shared" si="47"/>
        <v/>
      </c>
      <c r="BQ473" s="251" t="str">
        <f t="shared" si="48"/>
        <v/>
      </c>
      <c r="BR473" s="251" t="str">
        <f t="shared" si="49"/>
        <v/>
      </c>
      <c r="BS473" s="251" t="str">
        <f t="shared" si="50"/>
        <v/>
      </c>
      <c r="BT473" s="251" t="str">
        <f t="shared" si="51"/>
        <v/>
      </c>
      <c r="BU473" s="251" t="str">
        <f t="shared" si="52"/>
        <v/>
      </c>
      <c r="BV473" s="251" t="str">
        <f t="shared" si="53"/>
        <v/>
      </c>
      <c r="BW473" s="251" t="str">
        <f t="shared" si="54"/>
        <v/>
      </c>
      <c r="BX473" s="251" t="str">
        <f t="shared" si="55"/>
        <v/>
      </c>
      <c r="BY473" s="251" t="str">
        <f t="shared" si="56"/>
        <v/>
      </c>
      <c r="BZ473" s="251" t="str">
        <f t="shared" si="57"/>
        <v/>
      </c>
      <c r="CA473" s="251" t="str">
        <f t="shared" si="58"/>
        <v/>
      </c>
      <c r="CB473" s="251" t="str">
        <f t="shared" si="59"/>
        <v/>
      </c>
      <c r="CC473" s="251" t="str">
        <f t="shared" si="60"/>
        <v/>
      </c>
      <c r="CD473" s="251" t="str">
        <f t="shared" si="61"/>
        <v/>
      </c>
      <c r="CE473" s="251" t="str">
        <f t="shared" si="62"/>
        <v/>
      </c>
      <c r="CF473" s="251" t="str">
        <f t="shared" si="63"/>
        <v/>
      </c>
      <c r="CG473" s="251" t="str">
        <f t="shared" si="64"/>
        <v/>
      </c>
      <c r="CH473" s="251" t="str">
        <f t="shared" si="65"/>
        <v/>
      </c>
      <c r="CI473" s="251" t="str">
        <f t="shared" si="66"/>
        <v/>
      </c>
      <c r="CJ473" s="251" t="str">
        <f t="shared" si="67"/>
        <v/>
      </c>
      <c r="CK473" s="251" t="str">
        <f t="shared" si="68"/>
        <v/>
      </c>
      <c r="CL473" s="251" t="str">
        <f t="shared" si="69"/>
        <v/>
      </c>
      <c r="CM473" s="251" t="str">
        <f t="shared" si="70"/>
        <v/>
      </c>
      <c r="CN473" s="251" t="str">
        <f t="shared" si="71"/>
        <v/>
      </c>
      <c r="CO473" s="251" t="str">
        <f t="shared" si="72"/>
        <v/>
      </c>
      <c r="CP473" s="251" t="str">
        <f t="shared" si="73"/>
        <v/>
      </c>
      <c r="CQ473" s="251" t="str">
        <f t="shared" si="74"/>
        <v/>
      </c>
      <c r="CR473" s="251" t="str">
        <f t="shared" si="75"/>
        <v/>
      </c>
      <c r="CS473" s="251" t="str">
        <f t="shared" si="76"/>
        <v/>
      </c>
      <c r="CT473" s="251" t="str">
        <f t="shared" si="77"/>
        <v/>
      </c>
      <c r="CU473" s="251" t="str">
        <f t="shared" si="78"/>
        <v/>
      </c>
      <c r="CV473" s="251" t="str">
        <f t="shared" si="79"/>
        <v/>
      </c>
      <c r="CW473" s="251" t="str">
        <f t="shared" si="80"/>
        <v/>
      </c>
      <c r="CX473" s="251" t="str">
        <f t="shared" si="81"/>
        <v/>
      </c>
      <c r="CY473" s="251" t="str">
        <f t="shared" si="82"/>
        <v/>
      </c>
      <c r="CZ473" s="251" t="str">
        <f t="shared" si="83"/>
        <v/>
      </c>
      <c r="DA473" s="251" t="str">
        <f t="shared" si="84"/>
        <v/>
      </c>
      <c r="DB473" s="251" t="str">
        <f t="shared" si="85"/>
        <v/>
      </c>
      <c r="DC473" s="251" t="str">
        <f t="shared" si="86"/>
        <v/>
      </c>
      <c r="DD473" s="251" t="str">
        <f t="shared" si="87"/>
        <v/>
      </c>
      <c r="DE473" s="251" t="str">
        <f t="shared" si="88"/>
        <v/>
      </c>
      <c r="DF473" s="251" t="str">
        <f t="shared" si="89"/>
        <v/>
      </c>
      <c r="DG473" s="251" t="str">
        <f t="shared" si="90"/>
        <v/>
      </c>
      <c r="DH473" s="251" t="str">
        <f t="shared" si="91"/>
        <v/>
      </c>
      <c r="DI473" s="251" t="str">
        <f t="shared" si="92"/>
        <v/>
      </c>
      <c r="DJ473" s="251" t="str">
        <f t="shared" si="93"/>
        <v/>
      </c>
      <c r="DK473" s="251" t="str">
        <f t="shared" si="94"/>
        <v/>
      </c>
      <c r="DL473" s="251" t="str">
        <f t="shared" si="95"/>
        <v/>
      </c>
      <c r="DM473" s="251" t="str">
        <f t="shared" si="96"/>
        <v/>
      </c>
      <c r="DN473" s="251" t="str">
        <f t="shared" si="97"/>
        <v/>
      </c>
      <c r="DO473" s="251" t="str">
        <f t="shared" si="98"/>
        <v/>
      </c>
      <c r="DP473" s="251" t="str">
        <f t="shared" si="99"/>
        <v/>
      </c>
      <c r="DQ473" s="251" t="str">
        <f t="shared" si="100"/>
        <v/>
      </c>
      <c r="DR473" s="251" t="str">
        <f t="shared" si="101"/>
        <v/>
      </c>
      <c r="DS473" s="251" t="str">
        <f t="shared" si="102"/>
        <v/>
      </c>
      <c r="DT473" s="251" t="str">
        <f t="shared" si="103"/>
        <v/>
      </c>
      <c r="DU473" s="251" t="str">
        <f t="shared" si="104"/>
        <v/>
      </c>
      <c r="DV473" s="251" t="str">
        <f t="shared" si="105"/>
        <v/>
      </c>
      <c r="DW473" s="251" t="str">
        <f t="shared" si="106"/>
        <v/>
      </c>
      <c r="DX473" s="251" t="str">
        <f t="shared" si="107"/>
        <v/>
      </c>
      <c r="DY473" s="251" t="str">
        <f t="shared" si="108"/>
        <v/>
      </c>
      <c r="DZ473" s="251" t="str">
        <f t="shared" si="109"/>
        <v/>
      </c>
      <c r="EA473" s="251" t="str">
        <f t="shared" si="110"/>
        <v/>
      </c>
      <c r="EB473" s="251" t="str">
        <f t="shared" si="111"/>
        <v/>
      </c>
      <c r="EC473" s="251" t="str">
        <f t="shared" si="112"/>
        <v/>
      </c>
      <c r="ED473" s="251" t="str">
        <f t="shared" si="113"/>
        <v/>
      </c>
      <c r="EE473" s="251" t="str">
        <f t="shared" si="114"/>
        <v/>
      </c>
      <c r="EF473" s="251" t="str">
        <f t="shared" si="115"/>
        <v/>
      </c>
      <c r="EG473" s="251" t="str">
        <f t="shared" si="116"/>
        <v/>
      </c>
      <c r="EH473" s="251" t="str">
        <f t="shared" si="117"/>
        <v/>
      </c>
      <c r="EI473" s="251" t="str">
        <f t="shared" si="118"/>
        <v/>
      </c>
      <c r="EJ473" s="251" t="str">
        <f t="shared" si="119"/>
        <v/>
      </c>
      <c r="EK473" s="251" t="str">
        <f t="shared" si="120"/>
        <v/>
      </c>
      <c r="EL473" s="251" t="str">
        <f t="shared" si="121"/>
        <v/>
      </c>
      <c r="EM473" s="251" t="str">
        <f t="shared" si="122"/>
        <v/>
      </c>
      <c r="EN473" s="251" t="str">
        <f t="shared" si="123"/>
        <v/>
      </c>
      <c r="EO473" s="251" t="str">
        <f t="shared" si="124"/>
        <v/>
      </c>
      <c r="EP473" s="251" t="str">
        <f t="shared" si="125"/>
        <v/>
      </c>
      <c r="EQ473" s="251" t="str">
        <f t="shared" si="126"/>
        <v/>
      </c>
      <c r="ER473" s="251" t="str">
        <f t="shared" si="127"/>
        <v/>
      </c>
      <c r="ES473" s="251" t="str">
        <f t="shared" si="128"/>
        <v/>
      </c>
      <c r="ET473" s="251" t="str">
        <f t="shared" si="129"/>
        <v/>
      </c>
      <c r="EU473" s="251" t="str">
        <f t="shared" si="130"/>
        <v/>
      </c>
      <c r="EV473" s="251" t="str">
        <f t="shared" si="131"/>
        <v/>
      </c>
      <c r="EW473" s="251" t="str">
        <f t="shared" si="132"/>
        <v/>
      </c>
      <c r="EX473" s="251" t="str">
        <f t="shared" si="133"/>
        <v/>
      </c>
      <c r="EY473" s="251" t="str">
        <f t="shared" si="134"/>
        <v/>
      </c>
      <c r="EZ473" s="251" t="str">
        <f t="shared" si="135"/>
        <v/>
      </c>
      <c r="FA473" s="251" t="str">
        <f t="shared" si="136"/>
        <v/>
      </c>
      <c r="FB473" s="251" t="str">
        <f t="shared" si="137"/>
        <v/>
      </c>
      <c r="FC473" s="251" t="str">
        <f t="shared" si="138"/>
        <v/>
      </c>
      <c r="FD473" s="251" t="str">
        <f t="shared" si="139"/>
        <v/>
      </c>
      <c r="FE473" s="251" t="str">
        <f t="shared" si="140"/>
        <v/>
      </c>
      <c r="FF473" s="251" t="str">
        <f t="shared" si="141"/>
        <v/>
      </c>
      <c r="FG473" s="251" t="str">
        <f t="shared" si="142"/>
        <v/>
      </c>
      <c r="FH473" s="251" t="str">
        <f t="shared" si="143"/>
        <v/>
      </c>
      <c r="FI473" s="251" t="str">
        <f t="shared" si="144"/>
        <v/>
      </c>
      <c r="FJ473" s="251" t="str">
        <f t="shared" si="145"/>
        <v/>
      </c>
      <c r="FK473" s="251" t="str">
        <f t="shared" si="146"/>
        <v/>
      </c>
      <c r="FL473" s="251" t="str">
        <f t="shared" si="147"/>
        <v/>
      </c>
      <c r="FM473" s="251" t="str">
        <f t="shared" si="148"/>
        <v/>
      </c>
      <c r="FN473" s="251" t="str">
        <f t="shared" si="149"/>
        <v/>
      </c>
      <c r="FO473" s="251" t="str">
        <f t="shared" si="150"/>
        <v/>
      </c>
      <c r="FP473" s="251" t="str">
        <f t="shared" si="151"/>
        <v/>
      </c>
      <c r="FQ473" s="251" t="str">
        <f t="shared" si="152"/>
        <v/>
      </c>
      <c r="FR473" s="251" t="str">
        <f t="shared" si="153"/>
        <v/>
      </c>
      <c r="FS473" s="251" t="str">
        <f t="shared" si="154"/>
        <v/>
      </c>
      <c r="FT473" s="251" t="str">
        <f t="shared" si="155"/>
        <v/>
      </c>
      <c r="FU473" s="251" t="str">
        <f t="shared" si="156"/>
        <v/>
      </c>
      <c r="FV473" s="251" t="str">
        <f t="shared" si="157"/>
        <v/>
      </c>
      <c r="FW473" s="251" t="str">
        <f t="shared" si="158"/>
        <v/>
      </c>
      <c r="FX473" s="251" t="str">
        <f t="shared" si="159"/>
        <v/>
      </c>
      <c r="FY473" s="251" t="str">
        <f t="shared" si="160"/>
        <v/>
      </c>
      <c r="FZ473" s="251" t="str">
        <f t="shared" si="161"/>
        <v/>
      </c>
      <c r="GA473" s="251" t="str">
        <f t="shared" si="162"/>
        <v/>
      </c>
      <c r="GB473" s="251" t="str">
        <f t="shared" si="163"/>
        <v/>
      </c>
      <c r="GC473" s="251" t="str">
        <f t="shared" si="164"/>
        <v/>
      </c>
      <c r="GD473" s="251" t="str">
        <f t="shared" si="165"/>
        <v/>
      </c>
      <c r="GE473" s="251">
        <f t="shared" si="166"/>
        <v>2340</v>
      </c>
      <c r="GF473" s="251" t="str">
        <f t="shared" si="167"/>
        <v/>
      </c>
      <c r="GG473" s="251" t="str">
        <f t="shared" si="168"/>
        <v/>
      </c>
      <c r="GH473" s="251" t="str">
        <f t="shared" si="169"/>
        <v/>
      </c>
      <c r="GI473" s="251" t="str">
        <f t="shared" si="170"/>
        <v/>
      </c>
      <c r="GJ473" s="251" t="str">
        <f t="shared" si="171"/>
        <v/>
      </c>
      <c r="GK473" s="251" t="str">
        <f t="shared" si="172"/>
        <v/>
      </c>
      <c r="GL473" s="251" t="str">
        <f t="shared" si="173"/>
        <v/>
      </c>
      <c r="GM473" s="251" t="str">
        <f t="shared" si="174"/>
        <v/>
      </c>
      <c r="GN473" s="251" t="str">
        <f t="shared" si="175"/>
        <v/>
      </c>
      <c r="GO473" s="251" t="str">
        <f t="shared" si="176"/>
        <v/>
      </c>
      <c r="GP473" s="251" t="str">
        <f t="shared" si="177"/>
        <v/>
      </c>
      <c r="GQ473" s="251" t="str">
        <f t="shared" si="178"/>
        <v/>
      </c>
      <c r="GR473" s="251" t="str">
        <f t="shared" si="179"/>
        <v/>
      </c>
      <c r="GS473" s="251" t="str">
        <f t="shared" si="180"/>
        <v/>
      </c>
      <c r="GT473" s="251" t="str">
        <f t="shared" si="181"/>
        <v/>
      </c>
      <c r="GU473" s="251" t="str">
        <f t="shared" si="182"/>
        <v/>
      </c>
      <c r="GV473" s="251" t="str">
        <f t="shared" si="183"/>
        <v/>
      </c>
      <c r="GW473" s="251" t="str">
        <f t="shared" si="184"/>
        <v/>
      </c>
      <c r="GX473" s="251" t="str">
        <f t="shared" si="185"/>
        <v/>
      </c>
      <c r="GY473" s="251" t="str">
        <f t="shared" si="186"/>
        <v/>
      </c>
      <c r="GZ473" s="251" t="str">
        <f t="shared" si="187"/>
        <v/>
      </c>
      <c r="HA473" s="251" t="str">
        <f t="shared" si="188"/>
        <v/>
      </c>
      <c r="HB473" s="251" t="str">
        <f t="shared" si="189"/>
        <v/>
      </c>
      <c r="HC473" s="251" t="str">
        <f t="shared" si="190"/>
        <v/>
      </c>
      <c r="HD473" s="251" t="str">
        <f t="shared" si="191"/>
        <v/>
      </c>
      <c r="HE473" s="251" t="str">
        <f t="shared" si="192"/>
        <v/>
      </c>
      <c r="HF473" s="251" t="str">
        <f t="shared" si="193"/>
        <v/>
      </c>
      <c r="HG473" s="251" t="str">
        <f t="shared" si="194"/>
        <v/>
      </c>
      <c r="HH473" s="251" t="str">
        <f t="shared" si="195"/>
        <v/>
      </c>
      <c r="HI473" s="251" t="str">
        <f t="shared" si="196"/>
        <v/>
      </c>
      <c r="HJ473" s="251" t="str">
        <f t="shared" si="197"/>
        <v/>
      </c>
      <c r="HK473" s="251" t="str">
        <f t="shared" si="198"/>
        <v/>
      </c>
      <c r="HL473" s="251" t="str">
        <f t="shared" si="199"/>
        <v/>
      </c>
      <c r="HM473" s="251" t="str">
        <f t="shared" si="200"/>
        <v/>
      </c>
      <c r="HN473" s="251" t="str">
        <f t="shared" si="201"/>
        <v/>
      </c>
      <c r="HO473" s="251" t="str">
        <f t="shared" si="202"/>
        <v/>
      </c>
      <c r="HP473" s="251" t="str">
        <f t="shared" si="203"/>
        <v/>
      </c>
      <c r="HQ473" s="251" t="str">
        <f t="shared" si="204"/>
        <v/>
      </c>
      <c r="HR473" s="251" t="str">
        <f t="shared" si="205"/>
        <v/>
      </c>
      <c r="HS473" s="251" t="str">
        <f t="shared" si="206"/>
        <v/>
      </c>
      <c r="HT473" s="251" t="str">
        <f t="shared" si="207"/>
        <v/>
      </c>
      <c r="HU473" s="251" t="str">
        <f t="shared" si="208"/>
        <v/>
      </c>
      <c r="HV473" s="251" t="str">
        <f t="shared" si="209"/>
        <v/>
      </c>
      <c r="HW473" s="251" t="str">
        <f t="shared" si="210"/>
        <v/>
      </c>
      <c r="HX473" s="251" t="str">
        <f t="shared" si="211"/>
        <v/>
      </c>
      <c r="HY473" s="251" t="str">
        <f t="shared" si="212"/>
        <v/>
      </c>
      <c r="HZ473" s="251" t="str">
        <f t="shared" si="213"/>
        <v/>
      </c>
      <c r="IA473" s="251" t="str">
        <f t="shared" si="214"/>
        <v/>
      </c>
      <c r="IB473" s="251" t="str">
        <f t="shared" si="215"/>
        <v/>
      </c>
      <c r="IC473" s="251" t="str">
        <f t="shared" si="216"/>
        <v/>
      </c>
      <c r="ID473" s="251" t="str">
        <f t="shared" si="217"/>
        <v/>
      </c>
      <c r="IE473" s="251" t="str">
        <f t="shared" si="218"/>
        <v/>
      </c>
      <c r="IF473" s="251" t="str">
        <f t="shared" si="219"/>
        <v/>
      </c>
      <c r="IG473" s="251" t="str">
        <f t="shared" si="220"/>
        <v/>
      </c>
      <c r="IH473" s="251">
        <f t="shared" si="221"/>
        <v>2</v>
      </c>
      <c r="II473" s="251" t="str">
        <f t="shared" si="222"/>
        <v/>
      </c>
      <c r="IJ473" s="251" t="str">
        <f t="shared" si="223"/>
        <v/>
      </c>
      <c r="IK473" s="251" t="str">
        <f t="shared" si="224"/>
        <v/>
      </c>
      <c r="IL473" s="251" t="str">
        <f t="shared" si="225"/>
        <v/>
      </c>
      <c r="IM473" s="251" t="str">
        <f t="shared" si="226"/>
        <v/>
      </c>
      <c r="IN473" s="251" t="str">
        <f t="shared" si="227"/>
        <v/>
      </c>
      <c r="IO473" s="251" t="str">
        <f t="shared" si="228"/>
        <v/>
      </c>
      <c r="IP473" s="251" t="str">
        <f t="shared" si="229"/>
        <v/>
      </c>
      <c r="IQ473" s="251" t="str">
        <f t="shared" si="230"/>
        <v/>
      </c>
      <c r="IR473" s="251" t="str">
        <f t="shared" si="231"/>
        <v/>
      </c>
      <c r="IS473" s="251" t="str">
        <f t="shared" si="232"/>
        <v/>
      </c>
      <c r="IT473" s="251" t="str">
        <f t="shared" si="233"/>
        <v/>
      </c>
      <c r="IU473" s="251" t="str">
        <f t="shared" si="234"/>
        <v/>
      </c>
      <c r="IV473" s="251" t="str">
        <f t="shared" si="235"/>
        <v/>
      </c>
      <c r="IW473" s="251" t="str">
        <f t="shared" si="236"/>
        <v/>
      </c>
      <c r="IX473" s="251" t="str">
        <f t="shared" si="237"/>
        <v/>
      </c>
      <c r="IY473" s="251" t="str">
        <f t="shared" si="238"/>
        <v/>
      </c>
      <c r="IZ473" s="251" t="str">
        <f t="shared" si="239"/>
        <v/>
      </c>
      <c r="JA473" s="251" t="str">
        <f t="shared" si="240"/>
        <v/>
      </c>
      <c r="JB473" s="251" t="str">
        <f t="shared" si="241"/>
        <v/>
      </c>
      <c r="JC473" s="251" t="str">
        <f t="shared" si="242"/>
        <v/>
      </c>
      <c r="JD473" s="251" t="str">
        <f t="shared" si="243"/>
        <v/>
      </c>
      <c r="JE473" s="251" t="str">
        <f t="shared" si="244"/>
        <v/>
      </c>
      <c r="JF473" s="251" t="str">
        <f t="shared" si="245"/>
        <v/>
      </c>
      <c r="JG473" s="251" t="str">
        <f t="shared" si="246"/>
        <v/>
      </c>
      <c r="JH473" s="251" t="str">
        <f t="shared" si="247"/>
        <v/>
      </c>
      <c r="JI473" s="1297" t="str">
        <f t="shared" si="248"/>
        <v/>
      </c>
      <c r="JJ473" s="1297" t="str">
        <f t="shared" si="249"/>
        <v/>
      </c>
      <c r="JK473" s="1297" t="str">
        <f t="shared" si="250"/>
        <v/>
      </c>
      <c r="JL473" s="1297">
        <f t="shared" si="251"/>
        <v>2</v>
      </c>
      <c r="JM473" s="1297" t="str">
        <f t="shared" si="252"/>
        <v/>
      </c>
      <c r="JN473" s="1297" t="str">
        <f t="shared" si="253"/>
        <v/>
      </c>
      <c r="JO473" s="1297" t="str">
        <f t="shared" si="254"/>
        <v/>
      </c>
      <c r="JP473" s="1297" t="str">
        <f t="shared" si="255"/>
        <v/>
      </c>
      <c r="JQ473" s="1297" t="str">
        <f t="shared" si="256"/>
        <v/>
      </c>
      <c r="JR473" s="1297" t="str">
        <f t="shared" si="257"/>
        <v/>
      </c>
      <c r="JS473" s="1297" t="str">
        <f t="shared" si="258"/>
        <v/>
      </c>
      <c r="JT473" s="1297" t="str">
        <f t="shared" si="259"/>
        <v/>
      </c>
      <c r="JU473" s="1297" t="str">
        <f t="shared" si="260"/>
        <v/>
      </c>
      <c r="JV473" s="1297" t="str">
        <f t="shared" si="261"/>
        <v/>
      </c>
      <c r="JW473" s="1297" t="str">
        <f t="shared" si="262"/>
        <v/>
      </c>
      <c r="JX473" s="1297" t="str">
        <f t="shared" si="263"/>
        <v/>
      </c>
      <c r="JY473" s="1297" t="str">
        <f t="shared" si="264"/>
        <v/>
      </c>
      <c r="JZ473" s="1297" t="str">
        <f t="shared" si="265"/>
        <v/>
      </c>
      <c r="KA473" s="1297" t="str">
        <f t="shared" si="266"/>
        <v/>
      </c>
      <c r="KB473" s="1297" t="str">
        <f t="shared" si="267"/>
        <v/>
      </c>
      <c r="KC473" s="1297" t="str">
        <f t="shared" si="268"/>
        <v/>
      </c>
      <c r="KD473" s="1297" t="str">
        <f t="shared" si="269"/>
        <v/>
      </c>
      <c r="KE473" s="1297" t="str">
        <f t="shared" si="270"/>
        <v/>
      </c>
      <c r="KF473" s="1297" t="str">
        <f t="shared" si="271"/>
        <v/>
      </c>
      <c r="KG473" s="1297" t="str">
        <f t="shared" si="272"/>
        <v/>
      </c>
      <c r="KH473" s="1297" t="str">
        <f t="shared" si="273"/>
        <v/>
      </c>
      <c r="KI473" s="1297" t="str">
        <f t="shared" si="274"/>
        <v/>
      </c>
      <c r="KJ473" s="1297" t="str">
        <f t="shared" si="275"/>
        <v/>
      </c>
      <c r="KK473" s="1297" t="str">
        <f t="shared" si="276"/>
        <v/>
      </c>
      <c r="KL473" s="1297" t="str">
        <f t="shared" si="277"/>
        <v/>
      </c>
      <c r="KM473" s="1297" t="str">
        <f t="shared" si="278"/>
        <v/>
      </c>
      <c r="KN473" s="1297" t="str">
        <f t="shared" si="279"/>
        <v/>
      </c>
      <c r="KO473" s="1297" t="str">
        <f t="shared" si="280"/>
        <v/>
      </c>
      <c r="KP473" s="1297" t="str">
        <f t="shared" si="281"/>
        <v/>
      </c>
      <c r="KQ473" s="1297" t="str">
        <f t="shared" si="282"/>
        <v/>
      </c>
      <c r="KR473" s="1297" t="str">
        <f t="shared" si="283"/>
        <v/>
      </c>
      <c r="KS473" s="1297" t="str">
        <f t="shared" si="284"/>
        <v/>
      </c>
      <c r="KT473" s="1297" t="str">
        <f t="shared" si="285"/>
        <v/>
      </c>
      <c r="KU473" s="1297" t="str">
        <f t="shared" si="286"/>
        <v/>
      </c>
      <c r="KV473" s="1297" t="str">
        <f t="shared" si="287"/>
        <v/>
      </c>
      <c r="KW473" s="1297" t="str">
        <f t="shared" si="288"/>
        <v/>
      </c>
      <c r="KX473" s="1297" t="str">
        <f t="shared" si="289"/>
        <v/>
      </c>
      <c r="KY473" s="1297" t="str">
        <f t="shared" si="290"/>
        <v/>
      </c>
      <c r="KZ473" s="1297" t="str">
        <f t="shared" si="291"/>
        <v/>
      </c>
      <c r="LA473" s="1297" t="str">
        <f t="shared" si="292"/>
        <v/>
      </c>
      <c r="LB473" s="1297" t="str">
        <f t="shared" si="293"/>
        <v/>
      </c>
      <c r="LC473" s="1297" t="str">
        <f t="shared" si="294"/>
        <v/>
      </c>
      <c r="LD473" s="1297" t="str">
        <f t="shared" si="295"/>
        <v/>
      </c>
      <c r="LE473" s="1297">
        <f t="shared" si="296"/>
        <v>2</v>
      </c>
      <c r="LF473" s="1297" t="str">
        <f t="shared" si="297"/>
        <v/>
      </c>
      <c r="LG473" s="1297" t="str">
        <f t="shared" si="298"/>
        <v/>
      </c>
      <c r="LH473" s="1297" t="str">
        <f t="shared" si="299"/>
        <v/>
      </c>
      <c r="LI473" s="1297" t="str">
        <f t="shared" si="300"/>
        <v/>
      </c>
      <c r="LJ473" s="1297" t="str">
        <f t="shared" si="301"/>
        <v/>
      </c>
      <c r="LK473" s="1297" t="str">
        <f t="shared" si="302"/>
        <v/>
      </c>
      <c r="LL473" s="1297" t="str">
        <f t="shared" si="303"/>
        <v/>
      </c>
      <c r="LM473" s="1297" t="str">
        <f t="shared" si="304"/>
        <v/>
      </c>
      <c r="LN473" s="1297" t="str">
        <f t="shared" si="305"/>
        <v/>
      </c>
      <c r="LO473" s="1297" t="str">
        <f t="shared" si="306"/>
        <v/>
      </c>
      <c r="LP473" s="1297" t="str">
        <f t="shared" si="307"/>
        <v/>
      </c>
      <c r="LQ473" s="1297" t="str">
        <f t="shared" si="308"/>
        <v/>
      </c>
      <c r="LR473" s="1297" t="str">
        <f t="shared" si="309"/>
        <v/>
      </c>
      <c r="LS473" s="1297" t="str">
        <f t="shared" si="310"/>
        <v/>
      </c>
      <c r="LT473" s="1297" t="str">
        <f t="shared" si="311"/>
        <v/>
      </c>
      <c r="LU473" s="1297" t="str">
        <f t="shared" si="312"/>
        <v/>
      </c>
      <c r="LV473" s="1297" t="str">
        <f t="shared" si="313"/>
        <v/>
      </c>
      <c r="LW473" s="1297" t="str">
        <f t="shared" si="314"/>
        <v/>
      </c>
      <c r="LX473" s="1297" t="str">
        <f t="shared" si="315"/>
        <v/>
      </c>
      <c r="LY473" s="1297" t="str">
        <f t="shared" si="316"/>
        <v/>
      </c>
      <c r="LZ473" s="1297" t="str">
        <f t="shared" si="317"/>
        <v/>
      </c>
      <c r="MA473" s="1297" t="str">
        <f t="shared" si="318"/>
        <v/>
      </c>
      <c r="MB473" s="1297" t="str">
        <f t="shared" si="319"/>
        <v/>
      </c>
      <c r="MC473" s="1297" t="str">
        <f t="shared" si="320"/>
        <v/>
      </c>
      <c r="MD473" s="1297" t="str">
        <f t="shared" si="321"/>
        <v/>
      </c>
      <c r="ME473" s="1297" t="str">
        <f t="shared" si="322"/>
        <v/>
      </c>
      <c r="MF473" s="1297" t="str">
        <f t="shared" si="323"/>
        <v/>
      </c>
      <c r="MG473" s="1297" t="str">
        <f t="shared" si="324"/>
        <v/>
      </c>
      <c r="MH473" s="1297" t="str">
        <f t="shared" si="325"/>
        <v/>
      </c>
      <c r="MI473" s="1297" t="str">
        <f t="shared" si="326"/>
        <v/>
      </c>
      <c r="MJ473" s="1297" t="str">
        <f t="shared" si="327"/>
        <v/>
      </c>
      <c r="MK473" s="1297" t="str">
        <f t="shared" si="328"/>
        <v/>
      </c>
      <c r="ML473" s="1297" t="str">
        <f t="shared" si="329"/>
        <v/>
      </c>
      <c r="MM473" s="1297" t="str">
        <f t="shared" si="330"/>
        <v/>
      </c>
      <c r="MN473" s="1297" t="str">
        <f t="shared" si="331"/>
        <v/>
      </c>
      <c r="MO473" s="1297" t="str">
        <f t="shared" si="332"/>
        <v/>
      </c>
      <c r="MP473" s="1773" t="str">
        <f t="shared" si="333"/>
        <v/>
      </c>
      <c r="MQ473" s="1773" t="str">
        <f t="shared" si="334"/>
        <v/>
      </c>
      <c r="MR473" s="1773" t="str">
        <f t="shared" si="335"/>
        <v/>
      </c>
      <c r="MS473" s="1773" t="str">
        <f t="shared" si="336"/>
        <v/>
      </c>
      <c r="MT473" s="1773" t="str">
        <f t="shared" si="337"/>
        <v/>
      </c>
      <c r="MU473" s="251" t="str">
        <f t="shared" si="338"/>
        <v/>
      </c>
      <c r="MV473" s="251" t="str">
        <f t="shared" si="339"/>
        <v/>
      </c>
      <c r="MW473" s="251" t="str">
        <f t="shared" si="340"/>
        <v/>
      </c>
      <c r="MX473" s="251" t="str">
        <f t="shared" si="341"/>
        <v/>
      </c>
      <c r="MY473" s="251" t="str">
        <f t="shared" si="342"/>
        <v/>
      </c>
      <c r="MZ473" s="251" t="str">
        <f t="shared" si="343"/>
        <v/>
      </c>
      <c r="NA473" s="251" t="str">
        <f t="shared" si="344"/>
        <v/>
      </c>
      <c r="NB473" s="251" t="str">
        <f t="shared" si="345"/>
        <v/>
      </c>
      <c r="NC473" s="251" t="str">
        <f t="shared" si="346"/>
        <v/>
      </c>
      <c r="ND473" s="251" t="str">
        <f t="shared" si="347"/>
        <v/>
      </c>
      <c r="NE473" s="251" t="str">
        <f t="shared" si="348"/>
        <v/>
      </c>
      <c r="NF473" s="251" t="str">
        <f t="shared" si="349"/>
        <v/>
      </c>
      <c r="NG473" s="251" t="str">
        <f t="shared" si="350"/>
        <v/>
      </c>
      <c r="NH473" s="251" t="str">
        <f t="shared" si="351"/>
        <v/>
      </c>
      <c r="NI473" s="251" t="str">
        <f t="shared" si="352"/>
        <v/>
      </c>
      <c r="NJ473" s="251" t="str">
        <f t="shared" si="353"/>
        <v/>
      </c>
      <c r="NK473" s="251" t="str">
        <f t="shared" si="354"/>
        <v/>
      </c>
      <c r="NL473" s="251" t="str">
        <f t="shared" si="355"/>
        <v/>
      </c>
      <c r="NM473" s="251" t="str">
        <f t="shared" si="356"/>
        <v/>
      </c>
      <c r="NN473" s="251" t="str">
        <f t="shared" si="357"/>
        <v/>
      </c>
      <c r="NO473" s="1185">
        <f t="shared" si="358"/>
        <v>0</v>
      </c>
      <c r="NP473" s="1185">
        <f t="shared" si="359"/>
        <v>0</v>
      </c>
      <c r="NQ473" s="1185">
        <f t="shared" si="360"/>
        <v>0</v>
      </c>
      <c r="NR473" s="1185">
        <f t="shared" si="361"/>
        <v>2</v>
      </c>
      <c r="NS473" s="1185">
        <f t="shared" si="362"/>
        <v>0</v>
      </c>
      <c r="NT473" s="1185">
        <f t="shared" si="368"/>
        <v>0</v>
      </c>
      <c r="NU473" s="1185">
        <f t="shared" si="369"/>
        <v>0</v>
      </c>
      <c r="NV473" s="1185">
        <f t="shared" si="370"/>
        <v>0</v>
      </c>
      <c r="NW473" s="1185">
        <f t="shared" si="371"/>
        <v>0</v>
      </c>
      <c r="NX473" s="1185">
        <f t="shared" si="372"/>
        <v>0</v>
      </c>
      <c r="NY473" s="1185">
        <f t="shared" si="363"/>
        <v>0</v>
      </c>
      <c r="NZ473" s="1185">
        <f t="shared" si="364"/>
        <v>0</v>
      </c>
      <c r="OA473" s="1185">
        <f t="shared" si="365"/>
        <v>0</v>
      </c>
      <c r="OB473" s="1185">
        <f t="shared" si="366"/>
        <v>0</v>
      </c>
      <c r="OC473" s="1185">
        <f t="shared" si="367"/>
        <v>0</v>
      </c>
      <c r="OY473" s="251" t="s">
        <v>1168</v>
      </c>
      <c r="OZ473" s="1771">
        <v>20</v>
      </c>
    </row>
    <row r="474" spans="1:416" ht="12" customHeight="1">
      <c r="A474" s="1979" t="str">
        <f t="shared" si="0"/>
        <v/>
      </c>
      <c r="B474" s="1998">
        <f>'Part V-Revenues &amp; Expenses'!B21</f>
        <v>0</v>
      </c>
      <c r="C474" s="1999">
        <f>'Part V-Revenues &amp; Expenses'!C21</f>
        <v>0</v>
      </c>
      <c r="D474" s="2000">
        <f>'Part V-Revenues &amp; Expenses'!D21</f>
        <v>0</v>
      </c>
      <c r="E474" s="2001">
        <f>'Part V-Revenues &amp; Expenses'!E21</f>
        <v>0</v>
      </c>
      <c r="F474" s="2001">
        <f>'Part V-Revenues &amp; Expenses'!F21</f>
        <v>0</v>
      </c>
      <c r="G474" s="2001">
        <f>'Part V-Revenues &amp; Expenses'!G21</f>
        <v>0</v>
      </c>
      <c r="H474" s="2001">
        <f>'Part V-Revenues &amp; Expenses'!H21</f>
        <v>0</v>
      </c>
      <c r="I474" s="2001">
        <f>'Part V-Revenues &amp; Expenses'!I21</f>
        <v>0</v>
      </c>
      <c r="J474" s="2001">
        <f>'Part V-Revenues &amp; Expenses'!J21</f>
        <v>0</v>
      </c>
      <c r="K474" s="2002">
        <f>'Part V-Revenues &amp; Expenses'!K21</f>
        <v>0</v>
      </c>
      <c r="L474" s="2003">
        <f t="shared" si="1"/>
        <v>0</v>
      </c>
      <c r="M474" s="2003">
        <f t="shared" si="2"/>
        <v>0</v>
      </c>
      <c r="N474" s="1853">
        <f>'Part V-Revenues &amp; Expenses'!N21</f>
        <v>0</v>
      </c>
      <c r="O474" s="899">
        <f>'Part V-Revenues &amp; Expenses'!O21</f>
        <v>0</v>
      </c>
      <c r="P474" s="1853">
        <f>'Part V-Revenues &amp; Expenses'!P21</f>
        <v>0</v>
      </c>
      <c r="Q474" s="1772">
        <f>'Part V-Revenues &amp; Expenses'!Q21</f>
        <v>0</v>
      </c>
      <c r="R474" s="2004"/>
      <c r="S474" s="2005"/>
      <c r="T474" s="1920"/>
      <c r="U474" s="1920"/>
      <c r="V474" s="1920"/>
      <c r="W474" s="1920"/>
      <c r="X474" s="251" t="str">
        <f t="shared" si="3"/>
        <v/>
      </c>
      <c r="Y474" s="251" t="str">
        <f t="shared" si="4"/>
        <v/>
      </c>
      <c r="Z474" s="251" t="str">
        <f t="shared" si="5"/>
        <v/>
      </c>
      <c r="AA474" s="251" t="str">
        <f t="shared" si="6"/>
        <v/>
      </c>
      <c r="AB474" s="251" t="str">
        <f t="shared" si="7"/>
        <v/>
      </c>
      <c r="AC474" s="251" t="str">
        <f t="shared" si="8"/>
        <v/>
      </c>
      <c r="AD474" s="251" t="str">
        <f t="shared" si="9"/>
        <v/>
      </c>
      <c r="AE474" s="251" t="str">
        <f t="shared" si="10"/>
        <v/>
      </c>
      <c r="AF474" s="251" t="str">
        <f t="shared" si="11"/>
        <v/>
      </c>
      <c r="AG474" s="251" t="str">
        <f t="shared" si="12"/>
        <v/>
      </c>
      <c r="AH474" s="251" t="str">
        <f t="shared" si="13"/>
        <v/>
      </c>
      <c r="AI474" s="251" t="str">
        <f t="shared" si="14"/>
        <v/>
      </c>
      <c r="AJ474" s="251" t="str">
        <f t="shared" si="15"/>
        <v/>
      </c>
      <c r="AK474" s="251" t="str">
        <f t="shared" si="16"/>
        <v/>
      </c>
      <c r="AL474" s="251" t="str">
        <f t="shared" si="17"/>
        <v/>
      </c>
      <c r="AM474" s="251" t="str">
        <f t="shared" si="18"/>
        <v/>
      </c>
      <c r="AN474" s="251" t="str">
        <f t="shared" si="19"/>
        <v/>
      </c>
      <c r="AO474" s="251" t="str">
        <f t="shared" si="20"/>
        <v/>
      </c>
      <c r="AP474" s="251" t="str">
        <f t="shared" si="21"/>
        <v/>
      </c>
      <c r="AQ474" s="251" t="str">
        <f t="shared" si="22"/>
        <v/>
      </c>
      <c r="AR474" s="251" t="str">
        <f t="shared" si="23"/>
        <v/>
      </c>
      <c r="AS474" s="251" t="str">
        <f t="shared" si="24"/>
        <v/>
      </c>
      <c r="AT474" s="251" t="str">
        <f t="shared" si="25"/>
        <v/>
      </c>
      <c r="AU474" s="251" t="str">
        <f t="shared" si="26"/>
        <v/>
      </c>
      <c r="AV474" s="251" t="str">
        <f t="shared" si="27"/>
        <v/>
      </c>
      <c r="AW474" s="251" t="str">
        <f t="shared" si="28"/>
        <v/>
      </c>
      <c r="AX474" s="251" t="str">
        <f t="shared" si="29"/>
        <v/>
      </c>
      <c r="AY474" s="251" t="str">
        <f t="shared" si="30"/>
        <v/>
      </c>
      <c r="AZ474" s="251" t="str">
        <f t="shared" si="31"/>
        <v/>
      </c>
      <c r="BA474" s="251" t="str">
        <f t="shared" si="32"/>
        <v/>
      </c>
      <c r="BB474" s="251" t="str">
        <f t="shared" si="33"/>
        <v/>
      </c>
      <c r="BC474" s="251" t="str">
        <f t="shared" si="34"/>
        <v/>
      </c>
      <c r="BD474" s="251" t="str">
        <f t="shared" si="35"/>
        <v/>
      </c>
      <c r="BE474" s="251" t="str">
        <f t="shared" si="36"/>
        <v/>
      </c>
      <c r="BF474" s="251" t="str">
        <f t="shared" si="37"/>
        <v/>
      </c>
      <c r="BG474" s="251" t="str">
        <f t="shared" si="38"/>
        <v/>
      </c>
      <c r="BH474" s="251" t="str">
        <f t="shared" si="39"/>
        <v/>
      </c>
      <c r="BI474" s="251" t="str">
        <f t="shared" si="40"/>
        <v/>
      </c>
      <c r="BJ474" s="251" t="str">
        <f t="shared" si="41"/>
        <v/>
      </c>
      <c r="BK474" s="251" t="str">
        <f t="shared" si="42"/>
        <v/>
      </c>
      <c r="BL474" s="251" t="str">
        <f t="shared" si="43"/>
        <v/>
      </c>
      <c r="BM474" s="251" t="str">
        <f t="shared" si="44"/>
        <v/>
      </c>
      <c r="BN474" s="251" t="str">
        <f t="shared" si="45"/>
        <v/>
      </c>
      <c r="BO474" s="251" t="str">
        <f t="shared" si="46"/>
        <v/>
      </c>
      <c r="BP474" s="251" t="str">
        <f t="shared" si="47"/>
        <v/>
      </c>
      <c r="BQ474" s="251" t="str">
        <f t="shared" si="48"/>
        <v/>
      </c>
      <c r="BR474" s="251" t="str">
        <f t="shared" si="49"/>
        <v/>
      </c>
      <c r="BS474" s="251" t="str">
        <f t="shared" si="50"/>
        <v/>
      </c>
      <c r="BT474" s="251" t="str">
        <f t="shared" si="51"/>
        <v/>
      </c>
      <c r="BU474" s="251" t="str">
        <f t="shared" si="52"/>
        <v/>
      </c>
      <c r="BV474" s="251" t="str">
        <f t="shared" si="53"/>
        <v/>
      </c>
      <c r="BW474" s="251" t="str">
        <f t="shared" si="54"/>
        <v/>
      </c>
      <c r="BX474" s="251" t="str">
        <f t="shared" si="55"/>
        <v/>
      </c>
      <c r="BY474" s="251" t="str">
        <f t="shared" si="56"/>
        <v/>
      </c>
      <c r="BZ474" s="251" t="str">
        <f t="shared" si="57"/>
        <v/>
      </c>
      <c r="CA474" s="251" t="str">
        <f t="shared" si="58"/>
        <v/>
      </c>
      <c r="CB474" s="251" t="str">
        <f t="shared" si="59"/>
        <v/>
      </c>
      <c r="CC474" s="251" t="str">
        <f t="shared" si="60"/>
        <v/>
      </c>
      <c r="CD474" s="251" t="str">
        <f t="shared" si="61"/>
        <v/>
      </c>
      <c r="CE474" s="251" t="str">
        <f t="shared" si="62"/>
        <v/>
      </c>
      <c r="CF474" s="251" t="str">
        <f t="shared" si="63"/>
        <v/>
      </c>
      <c r="CG474" s="251" t="str">
        <f t="shared" si="64"/>
        <v/>
      </c>
      <c r="CH474" s="251" t="str">
        <f t="shared" si="65"/>
        <v/>
      </c>
      <c r="CI474" s="251" t="str">
        <f t="shared" si="66"/>
        <v/>
      </c>
      <c r="CJ474" s="251" t="str">
        <f t="shared" si="67"/>
        <v/>
      </c>
      <c r="CK474" s="251" t="str">
        <f t="shared" si="68"/>
        <v/>
      </c>
      <c r="CL474" s="251" t="str">
        <f t="shared" si="69"/>
        <v/>
      </c>
      <c r="CM474" s="251" t="str">
        <f t="shared" si="70"/>
        <v/>
      </c>
      <c r="CN474" s="251" t="str">
        <f t="shared" si="71"/>
        <v/>
      </c>
      <c r="CO474" s="251" t="str">
        <f t="shared" si="72"/>
        <v/>
      </c>
      <c r="CP474" s="251" t="str">
        <f t="shared" si="73"/>
        <v/>
      </c>
      <c r="CQ474" s="251" t="str">
        <f t="shared" si="74"/>
        <v/>
      </c>
      <c r="CR474" s="251" t="str">
        <f t="shared" si="75"/>
        <v/>
      </c>
      <c r="CS474" s="251" t="str">
        <f t="shared" si="76"/>
        <v/>
      </c>
      <c r="CT474" s="251" t="str">
        <f t="shared" si="77"/>
        <v/>
      </c>
      <c r="CU474" s="251" t="str">
        <f t="shared" si="78"/>
        <v/>
      </c>
      <c r="CV474" s="251" t="str">
        <f t="shared" si="79"/>
        <v/>
      </c>
      <c r="CW474" s="251" t="str">
        <f t="shared" si="80"/>
        <v/>
      </c>
      <c r="CX474" s="251" t="str">
        <f t="shared" si="81"/>
        <v/>
      </c>
      <c r="CY474" s="251" t="str">
        <f t="shared" si="82"/>
        <v/>
      </c>
      <c r="CZ474" s="251" t="str">
        <f t="shared" si="83"/>
        <v/>
      </c>
      <c r="DA474" s="251" t="str">
        <f t="shared" si="84"/>
        <v/>
      </c>
      <c r="DB474" s="251" t="str">
        <f t="shared" si="85"/>
        <v/>
      </c>
      <c r="DC474" s="251" t="str">
        <f t="shared" si="86"/>
        <v/>
      </c>
      <c r="DD474" s="251" t="str">
        <f t="shared" si="87"/>
        <v/>
      </c>
      <c r="DE474" s="251" t="str">
        <f t="shared" si="88"/>
        <v/>
      </c>
      <c r="DF474" s="251" t="str">
        <f t="shared" si="89"/>
        <v/>
      </c>
      <c r="DG474" s="251" t="str">
        <f t="shared" si="90"/>
        <v/>
      </c>
      <c r="DH474" s="251" t="str">
        <f t="shared" si="91"/>
        <v/>
      </c>
      <c r="DI474" s="251" t="str">
        <f t="shared" si="92"/>
        <v/>
      </c>
      <c r="DJ474" s="251" t="str">
        <f t="shared" si="93"/>
        <v/>
      </c>
      <c r="DK474" s="251" t="str">
        <f t="shared" si="94"/>
        <v/>
      </c>
      <c r="DL474" s="251" t="str">
        <f t="shared" si="95"/>
        <v/>
      </c>
      <c r="DM474" s="251" t="str">
        <f t="shared" si="96"/>
        <v/>
      </c>
      <c r="DN474" s="251" t="str">
        <f t="shared" si="97"/>
        <v/>
      </c>
      <c r="DO474" s="251" t="str">
        <f t="shared" si="98"/>
        <v/>
      </c>
      <c r="DP474" s="251" t="str">
        <f t="shared" si="99"/>
        <v/>
      </c>
      <c r="DQ474" s="251" t="str">
        <f t="shared" si="100"/>
        <v/>
      </c>
      <c r="DR474" s="251" t="str">
        <f t="shared" si="101"/>
        <v/>
      </c>
      <c r="DS474" s="251" t="str">
        <f t="shared" si="102"/>
        <v/>
      </c>
      <c r="DT474" s="251" t="str">
        <f t="shared" si="103"/>
        <v/>
      </c>
      <c r="DU474" s="251" t="str">
        <f t="shared" si="104"/>
        <v/>
      </c>
      <c r="DV474" s="251" t="str">
        <f t="shared" si="105"/>
        <v/>
      </c>
      <c r="DW474" s="251" t="str">
        <f t="shared" si="106"/>
        <v/>
      </c>
      <c r="DX474" s="251" t="str">
        <f t="shared" si="107"/>
        <v/>
      </c>
      <c r="DY474" s="251" t="str">
        <f t="shared" si="108"/>
        <v/>
      </c>
      <c r="DZ474" s="251" t="str">
        <f t="shared" si="109"/>
        <v/>
      </c>
      <c r="EA474" s="251" t="str">
        <f t="shared" si="110"/>
        <v/>
      </c>
      <c r="EB474" s="251" t="str">
        <f t="shared" si="111"/>
        <v/>
      </c>
      <c r="EC474" s="251" t="str">
        <f t="shared" si="112"/>
        <v/>
      </c>
      <c r="ED474" s="251" t="str">
        <f t="shared" si="113"/>
        <v/>
      </c>
      <c r="EE474" s="251" t="str">
        <f t="shared" si="114"/>
        <v/>
      </c>
      <c r="EF474" s="251" t="str">
        <f t="shared" si="115"/>
        <v/>
      </c>
      <c r="EG474" s="251" t="str">
        <f t="shared" si="116"/>
        <v/>
      </c>
      <c r="EH474" s="251" t="str">
        <f t="shared" si="117"/>
        <v/>
      </c>
      <c r="EI474" s="251" t="str">
        <f t="shared" si="118"/>
        <v/>
      </c>
      <c r="EJ474" s="251" t="str">
        <f t="shared" si="119"/>
        <v/>
      </c>
      <c r="EK474" s="251" t="str">
        <f t="shared" si="120"/>
        <v/>
      </c>
      <c r="EL474" s="251" t="str">
        <f t="shared" si="121"/>
        <v/>
      </c>
      <c r="EM474" s="251" t="str">
        <f t="shared" si="122"/>
        <v/>
      </c>
      <c r="EN474" s="251" t="str">
        <f t="shared" si="123"/>
        <v/>
      </c>
      <c r="EO474" s="251" t="str">
        <f t="shared" si="124"/>
        <v/>
      </c>
      <c r="EP474" s="251" t="str">
        <f t="shared" si="125"/>
        <v/>
      </c>
      <c r="EQ474" s="251" t="str">
        <f t="shared" si="126"/>
        <v/>
      </c>
      <c r="ER474" s="251" t="str">
        <f t="shared" si="127"/>
        <v/>
      </c>
      <c r="ES474" s="251" t="str">
        <f t="shared" si="128"/>
        <v/>
      </c>
      <c r="ET474" s="251" t="str">
        <f t="shared" si="129"/>
        <v/>
      </c>
      <c r="EU474" s="251" t="str">
        <f t="shared" si="130"/>
        <v/>
      </c>
      <c r="EV474" s="251" t="str">
        <f t="shared" si="131"/>
        <v/>
      </c>
      <c r="EW474" s="251" t="str">
        <f t="shared" si="132"/>
        <v/>
      </c>
      <c r="EX474" s="251" t="str">
        <f t="shared" si="133"/>
        <v/>
      </c>
      <c r="EY474" s="251" t="str">
        <f t="shared" si="134"/>
        <v/>
      </c>
      <c r="EZ474" s="251" t="str">
        <f t="shared" si="135"/>
        <v/>
      </c>
      <c r="FA474" s="251" t="str">
        <f t="shared" si="136"/>
        <v/>
      </c>
      <c r="FB474" s="251" t="str">
        <f t="shared" si="137"/>
        <v/>
      </c>
      <c r="FC474" s="251" t="str">
        <f t="shared" si="138"/>
        <v/>
      </c>
      <c r="FD474" s="251" t="str">
        <f t="shared" si="139"/>
        <v/>
      </c>
      <c r="FE474" s="251" t="str">
        <f t="shared" si="140"/>
        <v/>
      </c>
      <c r="FF474" s="251" t="str">
        <f t="shared" si="141"/>
        <v/>
      </c>
      <c r="FG474" s="251" t="str">
        <f t="shared" si="142"/>
        <v/>
      </c>
      <c r="FH474" s="251" t="str">
        <f t="shared" si="143"/>
        <v/>
      </c>
      <c r="FI474" s="251" t="str">
        <f t="shared" si="144"/>
        <v/>
      </c>
      <c r="FJ474" s="251" t="str">
        <f t="shared" si="145"/>
        <v/>
      </c>
      <c r="FK474" s="251" t="str">
        <f t="shared" si="146"/>
        <v/>
      </c>
      <c r="FL474" s="251" t="str">
        <f t="shared" si="147"/>
        <v/>
      </c>
      <c r="FM474" s="251" t="str">
        <f t="shared" si="148"/>
        <v/>
      </c>
      <c r="FN474" s="251" t="str">
        <f t="shared" si="149"/>
        <v/>
      </c>
      <c r="FO474" s="251" t="str">
        <f t="shared" si="150"/>
        <v/>
      </c>
      <c r="FP474" s="251" t="str">
        <f t="shared" si="151"/>
        <v/>
      </c>
      <c r="FQ474" s="251" t="str">
        <f t="shared" si="152"/>
        <v/>
      </c>
      <c r="FR474" s="251" t="str">
        <f t="shared" si="153"/>
        <v/>
      </c>
      <c r="FS474" s="251" t="str">
        <f t="shared" si="154"/>
        <v/>
      </c>
      <c r="FT474" s="251" t="str">
        <f t="shared" si="155"/>
        <v/>
      </c>
      <c r="FU474" s="251" t="str">
        <f t="shared" si="156"/>
        <v/>
      </c>
      <c r="FV474" s="251" t="str">
        <f t="shared" si="157"/>
        <v/>
      </c>
      <c r="FW474" s="251" t="str">
        <f t="shared" si="158"/>
        <v/>
      </c>
      <c r="FX474" s="251" t="str">
        <f t="shared" si="159"/>
        <v/>
      </c>
      <c r="FY474" s="251" t="str">
        <f t="shared" si="160"/>
        <v/>
      </c>
      <c r="FZ474" s="251" t="str">
        <f t="shared" si="161"/>
        <v/>
      </c>
      <c r="GA474" s="251" t="str">
        <f t="shared" si="162"/>
        <v/>
      </c>
      <c r="GB474" s="251" t="str">
        <f t="shared" si="163"/>
        <v/>
      </c>
      <c r="GC474" s="251" t="str">
        <f t="shared" si="164"/>
        <v/>
      </c>
      <c r="GD474" s="251" t="str">
        <f t="shared" si="165"/>
        <v/>
      </c>
      <c r="GE474" s="251" t="str">
        <f t="shared" si="166"/>
        <v/>
      </c>
      <c r="GF474" s="251" t="str">
        <f t="shared" si="167"/>
        <v/>
      </c>
      <c r="GG474" s="251" t="str">
        <f t="shared" si="168"/>
        <v/>
      </c>
      <c r="GH474" s="251" t="str">
        <f t="shared" si="169"/>
        <v/>
      </c>
      <c r="GI474" s="251" t="str">
        <f t="shared" si="170"/>
        <v/>
      </c>
      <c r="GJ474" s="251" t="str">
        <f t="shared" si="171"/>
        <v/>
      </c>
      <c r="GK474" s="251" t="str">
        <f t="shared" si="172"/>
        <v/>
      </c>
      <c r="GL474" s="251" t="str">
        <f t="shared" si="173"/>
        <v/>
      </c>
      <c r="GM474" s="251" t="str">
        <f t="shared" si="174"/>
        <v/>
      </c>
      <c r="GN474" s="251" t="str">
        <f t="shared" si="175"/>
        <v/>
      </c>
      <c r="GO474" s="251" t="str">
        <f t="shared" si="176"/>
        <v/>
      </c>
      <c r="GP474" s="251" t="str">
        <f t="shared" si="177"/>
        <v/>
      </c>
      <c r="GQ474" s="251" t="str">
        <f t="shared" si="178"/>
        <v/>
      </c>
      <c r="GR474" s="251" t="str">
        <f t="shared" si="179"/>
        <v/>
      </c>
      <c r="GS474" s="251" t="str">
        <f t="shared" si="180"/>
        <v/>
      </c>
      <c r="GT474" s="251" t="str">
        <f t="shared" si="181"/>
        <v/>
      </c>
      <c r="GU474" s="251" t="str">
        <f t="shared" si="182"/>
        <v/>
      </c>
      <c r="GV474" s="251" t="str">
        <f t="shared" si="183"/>
        <v/>
      </c>
      <c r="GW474" s="251" t="str">
        <f t="shared" si="184"/>
        <v/>
      </c>
      <c r="GX474" s="251" t="str">
        <f t="shared" si="185"/>
        <v/>
      </c>
      <c r="GY474" s="251" t="str">
        <f t="shared" si="186"/>
        <v/>
      </c>
      <c r="GZ474" s="251" t="str">
        <f t="shared" si="187"/>
        <v/>
      </c>
      <c r="HA474" s="251" t="str">
        <f t="shared" si="188"/>
        <v/>
      </c>
      <c r="HB474" s="251" t="str">
        <f t="shared" si="189"/>
        <v/>
      </c>
      <c r="HC474" s="251" t="str">
        <f t="shared" si="190"/>
        <v/>
      </c>
      <c r="HD474" s="251" t="str">
        <f t="shared" si="191"/>
        <v/>
      </c>
      <c r="HE474" s="251" t="str">
        <f t="shared" si="192"/>
        <v/>
      </c>
      <c r="HF474" s="251" t="str">
        <f t="shared" si="193"/>
        <v/>
      </c>
      <c r="HG474" s="251" t="str">
        <f t="shared" si="194"/>
        <v/>
      </c>
      <c r="HH474" s="251" t="str">
        <f t="shared" si="195"/>
        <v/>
      </c>
      <c r="HI474" s="251" t="str">
        <f t="shared" si="196"/>
        <v/>
      </c>
      <c r="HJ474" s="251" t="str">
        <f t="shared" si="197"/>
        <v/>
      </c>
      <c r="HK474" s="251" t="str">
        <f t="shared" si="198"/>
        <v/>
      </c>
      <c r="HL474" s="251" t="str">
        <f t="shared" si="199"/>
        <v/>
      </c>
      <c r="HM474" s="251" t="str">
        <f t="shared" si="200"/>
        <v/>
      </c>
      <c r="HN474" s="251" t="str">
        <f t="shared" si="201"/>
        <v/>
      </c>
      <c r="HO474" s="251" t="str">
        <f t="shared" si="202"/>
        <v/>
      </c>
      <c r="HP474" s="251" t="str">
        <f t="shared" si="203"/>
        <v/>
      </c>
      <c r="HQ474" s="251" t="str">
        <f t="shared" si="204"/>
        <v/>
      </c>
      <c r="HR474" s="251" t="str">
        <f t="shared" si="205"/>
        <v/>
      </c>
      <c r="HS474" s="251" t="str">
        <f t="shared" si="206"/>
        <v/>
      </c>
      <c r="HT474" s="251" t="str">
        <f t="shared" si="207"/>
        <v/>
      </c>
      <c r="HU474" s="251" t="str">
        <f t="shared" si="208"/>
        <v/>
      </c>
      <c r="HV474" s="251" t="str">
        <f t="shared" si="209"/>
        <v/>
      </c>
      <c r="HW474" s="251" t="str">
        <f t="shared" si="210"/>
        <v/>
      </c>
      <c r="HX474" s="251" t="str">
        <f t="shared" si="211"/>
        <v/>
      </c>
      <c r="HY474" s="251" t="str">
        <f t="shared" si="212"/>
        <v/>
      </c>
      <c r="HZ474" s="251" t="str">
        <f t="shared" si="213"/>
        <v/>
      </c>
      <c r="IA474" s="251" t="str">
        <f t="shared" si="214"/>
        <v/>
      </c>
      <c r="IB474" s="251" t="str">
        <f t="shared" si="215"/>
        <v/>
      </c>
      <c r="IC474" s="251" t="str">
        <f t="shared" si="216"/>
        <v/>
      </c>
      <c r="ID474" s="251" t="str">
        <f t="shared" si="217"/>
        <v/>
      </c>
      <c r="IE474" s="251" t="str">
        <f t="shared" si="218"/>
        <v/>
      </c>
      <c r="IF474" s="251" t="str">
        <f t="shared" si="219"/>
        <v/>
      </c>
      <c r="IG474" s="251" t="str">
        <f t="shared" si="220"/>
        <v/>
      </c>
      <c r="IH474" s="251" t="str">
        <f t="shared" si="221"/>
        <v/>
      </c>
      <c r="II474" s="251" t="str">
        <f t="shared" si="222"/>
        <v/>
      </c>
      <c r="IJ474" s="251" t="str">
        <f t="shared" si="223"/>
        <v/>
      </c>
      <c r="IK474" s="251" t="str">
        <f t="shared" si="224"/>
        <v/>
      </c>
      <c r="IL474" s="251" t="str">
        <f t="shared" si="225"/>
        <v/>
      </c>
      <c r="IM474" s="251" t="str">
        <f t="shared" si="226"/>
        <v/>
      </c>
      <c r="IN474" s="251" t="str">
        <f t="shared" si="227"/>
        <v/>
      </c>
      <c r="IO474" s="251" t="str">
        <f t="shared" si="228"/>
        <v/>
      </c>
      <c r="IP474" s="251" t="str">
        <f t="shared" si="229"/>
        <v/>
      </c>
      <c r="IQ474" s="251" t="str">
        <f t="shared" si="230"/>
        <v/>
      </c>
      <c r="IR474" s="251" t="str">
        <f t="shared" si="231"/>
        <v/>
      </c>
      <c r="IS474" s="251" t="str">
        <f t="shared" si="232"/>
        <v/>
      </c>
      <c r="IT474" s="251" t="str">
        <f t="shared" si="233"/>
        <v/>
      </c>
      <c r="IU474" s="251" t="str">
        <f t="shared" si="234"/>
        <v/>
      </c>
      <c r="IV474" s="251" t="str">
        <f t="shared" si="235"/>
        <v/>
      </c>
      <c r="IW474" s="251" t="str">
        <f t="shared" si="236"/>
        <v/>
      </c>
      <c r="IX474" s="251" t="str">
        <f t="shared" si="237"/>
        <v/>
      </c>
      <c r="IY474" s="251" t="str">
        <f t="shared" si="238"/>
        <v/>
      </c>
      <c r="IZ474" s="251" t="str">
        <f t="shared" si="239"/>
        <v/>
      </c>
      <c r="JA474" s="251" t="str">
        <f t="shared" si="240"/>
        <v/>
      </c>
      <c r="JB474" s="251" t="str">
        <f t="shared" si="241"/>
        <v/>
      </c>
      <c r="JC474" s="251" t="str">
        <f t="shared" si="242"/>
        <v/>
      </c>
      <c r="JD474" s="251" t="str">
        <f t="shared" si="243"/>
        <v/>
      </c>
      <c r="JE474" s="251" t="str">
        <f t="shared" si="244"/>
        <v/>
      </c>
      <c r="JF474" s="251" t="str">
        <f t="shared" si="245"/>
        <v/>
      </c>
      <c r="JG474" s="251" t="str">
        <f t="shared" si="246"/>
        <v/>
      </c>
      <c r="JH474" s="251" t="str">
        <f t="shared" si="247"/>
        <v/>
      </c>
      <c r="JI474" s="1297" t="str">
        <f t="shared" si="248"/>
        <v/>
      </c>
      <c r="JJ474" s="1297" t="str">
        <f t="shared" si="249"/>
        <v/>
      </c>
      <c r="JK474" s="1297" t="str">
        <f t="shared" si="250"/>
        <v/>
      </c>
      <c r="JL474" s="1297" t="str">
        <f t="shared" si="251"/>
        <v/>
      </c>
      <c r="JM474" s="1297" t="str">
        <f t="shared" si="252"/>
        <v/>
      </c>
      <c r="JN474" s="1297" t="str">
        <f t="shared" si="253"/>
        <v/>
      </c>
      <c r="JO474" s="1297" t="str">
        <f t="shared" si="254"/>
        <v/>
      </c>
      <c r="JP474" s="1297" t="str">
        <f t="shared" si="255"/>
        <v/>
      </c>
      <c r="JQ474" s="1297" t="str">
        <f t="shared" si="256"/>
        <v/>
      </c>
      <c r="JR474" s="1297" t="str">
        <f t="shared" si="257"/>
        <v/>
      </c>
      <c r="JS474" s="1297" t="str">
        <f t="shared" si="258"/>
        <v/>
      </c>
      <c r="JT474" s="1297" t="str">
        <f t="shared" si="259"/>
        <v/>
      </c>
      <c r="JU474" s="1297" t="str">
        <f t="shared" si="260"/>
        <v/>
      </c>
      <c r="JV474" s="1297" t="str">
        <f t="shared" si="261"/>
        <v/>
      </c>
      <c r="JW474" s="1297" t="str">
        <f t="shared" si="262"/>
        <v/>
      </c>
      <c r="JX474" s="1297" t="str">
        <f t="shared" si="263"/>
        <v/>
      </c>
      <c r="JY474" s="1297" t="str">
        <f t="shared" si="264"/>
        <v/>
      </c>
      <c r="JZ474" s="1297" t="str">
        <f t="shared" si="265"/>
        <v/>
      </c>
      <c r="KA474" s="1297" t="str">
        <f t="shared" si="266"/>
        <v/>
      </c>
      <c r="KB474" s="1297" t="str">
        <f t="shared" si="267"/>
        <v/>
      </c>
      <c r="KC474" s="1297" t="str">
        <f t="shared" si="268"/>
        <v/>
      </c>
      <c r="KD474" s="1297" t="str">
        <f t="shared" si="269"/>
        <v/>
      </c>
      <c r="KE474" s="1297" t="str">
        <f t="shared" si="270"/>
        <v/>
      </c>
      <c r="KF474" s="1297" t="str">
        <f t="shared" si="271"/>
        <v/>
      </c>
      <c r="KG474" s="1297" t="str">
        <f t="shared" si="272"/>
        <v/>
      </c>
      <c r="KH474" s="1297" t="str">
        <f t="shared" si="273"/>
        <v/>
      </c>
      <c r="KI474" s="1297" t="str">
        <f t="shared" si="274"/>
        <v/>
      </c>
      <c r="KJ474" s="1297" t="str">
        <f t="shared" si="275"/>
        <v/>
      </c>
      <c r="KK474" s="1297" t="str">
        <f t="shared" si="276"/>
        <v/>
      </c>
      <c r="KL474" s="1297" t="str">
        <f t="shared" si="277"/>
        <v/>
      </c>
      <c r="KM474" s="1297" t="str">
        <f t="shared" si="278"/>
        <v/>
      </c>
      <c r="KN474" s="1297" t="str">
        <f t="shared" si="279"/>
        <v/>
      </c>
      <c r="KO474" s="1297" t="str">
        <f t="shared" si="280"/>
        <v/>
      </c>
      <c r="KP474" s="1297" t="str">
        <f t="shared" si="281"/>
        <v/>
      </c>
      <c r="KQ474" s="1297" t="str">
        <f t="shared" si="282"/>
        <v/>
      </c>
      <c r="KR474" s="1297" t="str">
        <f t="shared" si="283"/>
        <v/>
      </c>
      <c r="KS474" s="1297" t="str">
        <f t="shared" si="284"/>
        <v/>
      </c>
      <c r="KT474" s="1297" t="str">
        <f t="shared" si="285"/>
        <v/>
      </c>
      <c r="KU474" s="1297" t="str">
        <f t="shared" si="286"/>
        <v/>
      </c>
      <c r="KV474" s="1297" t="str">
        <f t="shared" si="287"/>
        <v/>
      </c>
      <c r="KW474" s="1297" t="str">
        <f t="shared" si="288"/>
        <v/>
      </c>
      <c r="KX474" s="1297" t="str">
        <f t="shared" si="289"/>
        <v/>
      </c>
      <c r="KY474" s="1297" t="str">
        <f t="shared" si="290"/>
        <v/>
      </c>
      <c r="KZ474" s="1297" t="str">
        <f t="shared" si="291"/>
        <v/>
      </c>
      <c r="LA474" s="1297" t="str">
        <f t="shared" si="292"/>
        <v/>
      </c>
      <c r="LB474" s="1297" t="str">
        <f t="shared" si="293"/>
        <v/>
      </c>
      <c r="LC474" s="1297" t="str">
        <f t="shared" si="294"/>
        <v/>
      </c>
      <c r="LD474" s="1297" t="str">
        <f t="shared" si="295"/>
        <v/>
      </c>
      <c r="LE474" s="1297" t="str">
        <f t="shared" si="296"/>
        <v/>
      </c>
      <c r="LF474" s="1297" t="str">
        <f t="shared" si="297"/>
        <v/>
      </c>
      <c r="LG474" s="1297" t="str">
        <f t="shared" si="298"/>
        <v/>
      </c>
      <c r="LH474" s="1297" t="str">
        <f t="shared" si="299"/>
        <v/>
      </c>
      <c r="LI474" s="1297" t="str">
        <f t="shared" si="300"/>
        <v/>
      </c>
      <c r="LJ474" s="1297" t="str">
        <f t="shared" si="301"/>
        <v/>
      </c>
      <c r="LK474" s="1297" t="str">
        <f t="shared" si="302"/>
        <v/>
      </c>
      <c r="LL474" s="1297" t="str">
        <f t="shared" si="303"/>
        <v/>
      </c>
      <c r="LM474" s="1297" t="str">
        <f t="shared" si="304"/>
        <v/>
      </c>
      <c r="LN474" s="1297" t="str">
        <f t="shared" si="305"/>
        <v/>
      </c>
      <c r="LO474" s="1297" t="str">
        <f t="shared" si="306"/>
        <v/>
      </c>
      <c r="LP474" s="1297" t="str">
        <f t="shared" si="307"/>
        <v/>
      </c>
      <c r="LQ474" s="1297" t="str">
        <f t="shared" si="308"/>
        <v/>
      </c>
      <c r="LR474" s="1297" t="str">
        <f t="shared" si="309"/>
        <v/>
      </c>
      <c r="LS474" s="1297" t="str">
        <f t="shared" si="310"/>
        <v/>
      </c>
      <c r="LT474" s="1297" t="str">
        <f t="shared" si="311"/>
        <v/>
      </c>
      <c r="LU474" s="1297" t="str">
        <f t="shared" si="312"/>
        <v/>
      </c>
      <c r="LV474" s="1297" t="str">
        <f t="shared" si="313"/>
        <v/>
      </c>
      <c r="LW474" s="1297" t="str">
        <f t="shared" si="314"/>
        <v/>
      </c>
      <c r="LX474" s="1297" t="str">
        <f t="shared" si="315"/>
        <v/>
      </c>
      <c r="LY474" s="1297" t="str">
        <f t="shared" si="316"/>
        <v/>
      </c>
      <c r="LZ474" s="1297" t="str">
        <f t="shared" si="317"/>
        <v/>
      </c>
      <c r="MA474" s="1297" t="str">
        <f t="shared" si="318"/>
        <v/>
      </c>
      <c r="MB474" s="1297" t="str">
        <f t="shared" si="319"/>
        <v/>
      </c>
      <c r="MC474" s="1297" t="str">
        <f t="shared" si="320"/>
        <v/>
      </c>
      <c r="MD474" s="1297" t="str">
        <f t="shared" si="321"/>
        <v/>
      </c>
      <c r="ME474" s="1297" t="str">
        <f t="shared" si="322"/>
        <v/>
      </c>
      <c r="MF474" s="1297" t="str">
        <f t="shared" si="323"/>
        <v/>
      </c>
      <c r="MG474" s="1297" t="str">
        <f t="shared" si="324"/>
        <v/>
      </c>
      <c r="MH474" s="1297" t="str">
        <f t="shared" si="325"/>
        <v/>
      </c>
      <c r="MI474" s="1297" t="str">
        <f t="shared" si="326"/>
        <v/>
      </c>
      <c r="MJ474" s="1297" t="str">
        <f t="shared" si="327"/>
        <v/>
      </c>
      <c r="MK474" s="1297" t="str">
        <f t="shared" si="328"/>
        <v/>
      </c>
      <c r="ML474" s="1297" t="str">
        <f t="shared" si="329"/>
        <v/>
      </c>
      <c r="MM474" s="1297" t="str">
        <f t="shared" si="330"/>
        <v/>
      </c>
      <c r="MN474" s="1297" t="str">
        <f t="shared" si="331"/>
        <v/>
      </c>
      <c r="MO474" s="1297" t="str">
        <f t="shared" si="332"/>
        <v/>
      </c>
      <c r="MP474" s="1773" t="str">
        <f t="shared" si="333"/>
        <v/>
      </c>
      <c r="MQ474" s="1773" t="str">
        <f t="shared" si="334"/>
        <v/>
      </c>
      <c r="MR474" s="1773" t="str">
        <f t="shared" si="335"/>
        <v/>
      </c>
      <c r="MS474" s="1773" t="str">
        <f t="shared" si="336"/>
        <v/>
      </c>
      <c r="MT474" s="1773" t="str">
        <f t="shared" si="337"/>
        <v/>
      </c>
      <c r="MU474" s="251" t="str">
        <f t="shared" si="338"/>
        <v/>
      </c>
      <c r="MV474" s="251" t="str">
        <f t="shared" si="339"/>
        <v/>
      </c>
      <c r="MW474" s="251" t="str">
        <f t="shared" si="340"/>
        <v/>
      </c>
      <c r="MX474" s="251" t="str">
        <f t="shared" si="341"/>
        <v/>
      </c>
      <c r="MY474" s="251" t="str">
        <f t="shared" si="342"/>
        <v/>
      </c>
      <c r="MZ474" s="251" t="str">
        <f t="shared" si="343"/>
        <v/>
      </c>
      <c r="NA474" s="251" t="str">
        <f t="shared" si="344"/>
        <v/>
      </c>
      <c r="NB474" s="251" t="str">
        <f t="shared" si="345"/>
        <v/>
      </c>
      <c r="NC474" s="251" t="str">
        <f t="shared" si="346"/>
        <v/>
      </c>
      <c r="ND474" s="251" t="str">
        <f t="shared" si="347"/>
        <v/>
      </c>
      <c r="NE474" s="251" t="str">
        <f t="shared" si="348"/>
        <v/>
      </c>
      <c r="NF474" s="251" t="str">
        <f t="shared" si="349"/>
        <v/>
      </c>
      <c r="NG474" s="251" t="str">
        <f t="shared" si="350"/>
        <v/>
      </c>
      <c r="NH474" s="251" t="str">
        <f t="shared" si="351"/>
        <v/>
      </c>
      <c r="NI474" s="251" t="str">
        <f t="shared" si="352"/>
        <v/>
      </c>
      <c r="NJ474" s="251" t="str">
        <f t="shared" si="353"/>
        <v/>
      </c>
      <c r="NK474" s="251" t="str">
        <f t="shared" si="354"/>
        <v/>
      </c>
      <c r="NL474" s="251" t="str">
        <f t="shared" si="355"/>
        <v/>
      </c>
      <c r="NM474" s="251" t="str">
        <f t="shared" si="356"/>
        <v/>
      </c>
      <c r="NN474" s="251" t="str">
        <f t="shared" si="357"/>
        <v/>
      </c>
      <c r="NO474" s="1185">
        <f t="shared" si="358"/>
        <v>0</v>
      </c>
      <c r="NP474" s="1185">
        <f t="shared" si="359"/>
        <v>0</v>
      </c>
      <c r="NQ474" s="1185">
        <f t="shared" si="360"/>
        <v>0</v>
      </c>
      <c r="NR474" s="1185">
        <f t="shared" si="361"/>
        <v>0</v>
      </c>
      <c r="NS474" s="1185">
        <f t="shared" si="362"/>
        <v>0</v>
      </c>
      <c r="NT474" s="1185">
        <f t="shared" si="368"/>
        <v>0</v>
      </c>
      <c r="NU474" s="1185">
        <f t="shared" si="369"/>
        <v>0</v>
      </c>
      <c r="NV474" s="1185">
        <f t="shared" si="370"/>
        <v>0</v>
      </c>
      <c r="NW474" s="1185">
        <f t="shared" si="371"/>
        <v>0</v>
      </c>
      <c r="NX474" s="1185">
        <f t="shared" si="372"/>
        <v>0</v>
      </c>
      <c r="NY474" s="1185">
        <f t="shared" si="363"/>
        <v>0</v>
      </c>
      <c r="NZ474" s="1185">
        <f t="shared" si="364"/>
        <v>0</v>
      </c>
      <c r="OA474" s="1185">
        <f t="shared" si="365"/>
        <v>0</v>
      </c>
      <c r="OB474" s="1185">
        <f t="shared" si="366"/>
        <v>0</v>
      </c>
      <c r="OC474" s="1185">
        <f t="shared" si="367"/>
        <v>0</v>
      </c>
      <c r="OY474" s="251" t="s">
        <v>1169</v>
      </c>
      <c r="OZ474" s="1296">
        <v>21</v>
      </c>
    </row>
    <row r="475" spans="1:416" ht="12" customHeight="1">
      <c r="A475" s="1979" t="str">
        <f t="shared" si="0"/>
        <v/>
      </c>
      <c r="B475" s="1998">
        <f>'Part V-Revenues &amp; Expenses'!B22</f>
        <v>60</v>
      </c>
      <c r="C475" s="1999">
        <f>'Part V-Revenues &amp; Expenses'!C22</f>
        <v>1</v>
      </c>
      <c r="D475" s="2000">
        <f>'Part V-Revenues &amp; Expenses'!D22</f>
        <v>1</v>
      </c>
      <c r="E475" s="2001">
        <f>'Part V-Revenues &amp; Expenses'!E22</f>
        <v>10</v>
      </c>
      <c r="F475" s="2001">
        <f>'Part V-Revenues &amp; Expenses'!F22</f>
        <v>769</v>
      </c>
      <c r="G475" s="2001">
        <f>'Part V-Revenues &amp; Expenses'!G22</f>
        <v>772</v>
      </c>
      <c r="H475" s="2001">
        <f>'Part V-Revenues &amp; Expenses'!H22</f>
        <v>762</v>
      </c>
      <c r="I475" s="2001">
        <f>'Part V-Revenues &amp; Expenses'!I22</f>
        <v>0</v>
      </c>
      <c r="J475" s="2001">
        <f>'Part V-Revenues &amp; Expenses'!J22</f>
        <v>175</v>
      </c>
      <c r="K475" s="2002">
        <f>'Part V-Revenues &amp; Expenses'!K22</f>
        <v>0</v>
      </c>
      <c r="L475" s="2003">
        <f t="shared" si="1"/>
        <v>587</v>
      </c>
      <c r="M475" s="2003">
        <f t="shared" si="2"/>
        <v>5870</v>
      </c>
      <c r="N475" s="1853" t="str">
        <f>'Part V-Revenues &amp; Expenses'!N22</f>
        <v>No</v>
      </c>
      <c r="O475" s="899" t="str">
        <f>'Part V-Revenues &amp; Expenses'!O22</f>
        <v>Low-Rise Apt</v>
      </c>
      <c r="P475" s="1853" t="str">
        <f>'Part V-Revenues &amp; Expenses'!P22</f>
        <v>Acquisition/Rehab</v>
      </c>
      <c r="Q475" s="1772" t="str">
        <f>'Part V-Revenues &amp; Expenses'!Q22</f>
        <v>No</v>
      </c>
      <c r="R475" s="2004"/>
      <c r="S475" s="2005"/>
      <c r="T475" s="1920"/>
      <c r="U475" s="1920"/>
      <c r="V475" s="1920"/>
      <c r="W475" s="1920"/>
      <c r="X475" s="251" t="str">
        <f t="shared" si="3"/>
        <v/>
      </c>
      <c r="Y475" s="251" t="str">
        <f t="shared" si="4"/>
        <v/>
      </c>
      <c r="Z475" s="251" t="str">
        <f t="shared" si="5"/>
        <v/>
      </c>
      <c r="AA475" s="251" t="str">
        <f t="shared" si="6"/>
        <v/>
      </c>
      <c r="AB475" s="251" t="str">
        <f t="shared" si="7"/>
        <v/>
      </c>
      <c r="AC475" s="251" t="str">
        <f t="shared" si="8"/>
        <v/>
      </c>
      <c r="AD475" s="251" t="str">
        <f t="shared" si="9"/>
        <v/>
      </c>
      <c r="AE475" s="251" t="str">
        <f t="shared" si="10"/>
        <v/>
      </c>
      <c r="AF475" s="251" t="str">
        <f t="shared" si="11"/>
        <v/>
      </c>
      <c r="AG475" s="251" t="str">
        <f t="shared" si="12"/>
        <v/>
      </c>
      <c r="AH475" s="251" t="str">
        <f t="shared" si="13"/>
        <v/>
      </c>
      <c r="AI475" s="251">
        <f t="shared" si="14"/>
        <v>10</v>
      </c>
      <c r="AJ475" s="251" t="str">
        <f t="shared" si="15"/>
        <v/>
      </c>
      <c r="AK475" s="251" t="str">
        <f t="shared" si="16"/>
        <v/>
      </c>
      <c r="AL475" s="251" t="str">
        <f t="shared" si="17"/>
        <v/>
      </c>
      <c r="AM475" s="251" t="str">
        <f t="shared" si="18"/>
        <v/>
      </c>
      <c r="AN475" s="251" t="str">
        <f t="shared" si="19"/>
        <v/>
      </c>
      <c r="AO475" s="251" t="str">
        <f t="shared" si="20"/>
        <v/>
      </c>
      <c r="AP475" s="251" t="str">
        <f t="shared" si="21"/>
        <v/>
      </c>
      <c r="AQ475" s="251" t="str">
        <f t="shared" si="22"/>
        <v/>
      </c>
      <c r="AR475" s="251" t="str">
        <f t="shared" si="23"/>
        <v/>
      </c>
      <c r="AS475" s="251" t="str">
        <f t="shared" si="24"/>
        <v/>
      </c>
      <c r="AT475" s="251" t="str">
        <f t="shared" si="25"/>
        <v/>
      </c>
      <c r="AU475" s="251" t="str">
        <f t="shared" si="26"/>
        <v/>
      </c>
      <c r="AV475" s="251" t="str">
        <f t="shared" si="27"/>
        <v/>
      </c>
      <c r="AW475" s="251" t="str">
        <f t="shared" si="28"/>
        <v/>
      </c>
      <c r="AX475" s="251" t="str">
        <f t="shared" si="29"/>
        <v/>
      </c>
      <c r="AY475" s="251" t="str">
        <f t="shared" si="30"/>
        <v/>
      </c>
      <c r="AZ475" s="251" t="str">
        <f t="shared" si="31"/>
        <v/>
      </c>
      <c r="BA475" s="251" t="str">
        <f t="shared" si="32"/>
        <v/>
      </c>
      <c r="BB475" s="251" t="str">
        <f t="shared" si="33"/>
        <v/>
      </c>
      <c r="BC475" s="251" t="str">
        <f t="shared" si="34"/>
        <v/>
      </c>
      <c r="BD475" s="251" t="str">
        <f t="shared" si="35"/>
        <v/>
      </c>
      <c r="BE475" s="251" t="str">
        <f t="shared" si="36"/>
        <v/>
      </c>
      <c r="BF475" s="251" t="str">
        <f t="shared" si="37"/>
        <v/>
      </c>
      <c r="BG475" s="251" t="str">
        <f t="shared" si="38"/>
        <v/>
      </c>
      <c r="BH475" s="251" t="str">
        <f t="shared" si="39"/>
        <v/>
      </c>
      <c r="BI475" s="251" t="str">
        <f t="shared" si="40"/>
        <v/>
      </c>
      <c r="BJ475" s="251" t="str">
        <f t="shared" si="41"/>
        <v/>
      </c>
      <c r="BK475" s="251" t="str">
        <f t="shared" si="42"/>
        <v/>
      </c>
      <c r="BL475" s="251" t="str">
        <f t="shared" si="43"/>
        <v/>
      </c>
      <c r="BM475" s="251" t="str">
        <f t="shared" si="44"/>
        <v/>
      </c>
      <c r="BN475" s="251" t="str">
        <f t="shared" si="45"/>
        <v/>
      </c>
      <c r="BO475" s="251" t="str">
        <f t="shared" si="46"/>
        <v/>
      </c>
      <c r="BP475" s="251" t="str">
        <f t="shared" si="47"/>
        <v/>
      </c>
      <c r="BQ475" s="251" t="str">
        <f t="shared" si="48"/>
        <v/>
      </c>
      <c r="BR475" s="251" t="str">
        <f t="shared" si="49"/>
        <v/>
      </c>
      <c r="BS475" s="251" t="str">
        <f t="shared" si="50"/>
        <v/>
      </c>
      <c r="BT475" s="251" t="str">
        <f t="shared" si="51"/>
        <v/>
      </c>
      <c r="BU475" s="251" t="str">
        <f t="shared" si="52"/>
        <v/>
      </c>
      <c r="BV475" s="251" t="str">
        <f t="shared" si="53"/>
        <v/>
      </c>
      <c r="BW475" s="251" t="str">
        <f t="shared" si="54"/>
        <v/>
      </c>
      <c r="BX475" s="251" t="str">
        <f t="shared" si="55"/>
        <v/>
      </c>
      <c r="BY475" s="251" t="str">
        <f t="shared" si="56"/>
        <v/>
      </c>
      <c r="BZ475" s="251" t="str">
        <f t="shared" si="57"/>
        <v/>
      </c>
      <c r="CA475" s="251" t="str">
        <f t="shared" si="58"/>
        <v/>
      </c>
      <c r="CB475" s="251" t="str">
        <f t="shared" si="59"/>
        <v/>
      </c>
      <c r="CC475" s="251" t="str">
        <f t="shared" si="60"/>
        <v/>
      </c>
      <c r="CD475" s="251" t="str">
        <f t="shared" si="61"/>
        <v/>
      </c>
      <c r="CE475" s="251" t="str">
        <f t="shared" si="62"/>
        <v/>
      </c>
      <c r="CF475" s="251" t="str">
        <f t="shared" si="63"/>
        <v/>
      </c>
      <c r="CG475" s="251" t="str">
        <f t="shared" si="64"/>
        <v/>
      </c>
      <c r="CH475" s="251" t="str">
        <f t="shared" si="65"/>
        <v/>
      </c>
      <c r="CI475" s="251" t="str">
        <f t="shared" si="66"/>
        <v/>
      </c>
      <c r="CJ475" s="251" t="str">
        <f t="shared" si="67"/>
        <v/>
      </c>
      <c r="CK475" s="251" t="str">
        <f t="shared" si="68"/>
        <v/>
      </c>
      <c r="CL475" s="251" t="str">
        <f t="shared" si="69"/>
        <v/>
      </c>
      <c r="CM475" s="251" t="str">
        <f t="shared" si="70"/>
        <v/>
      </c>
      <c r="CN475" s="251" t="str">
        <f t="shared" si="71"/>
        <v/>
      </c>
      <c r="CO475" s="251" t="str">
        <f t="shared" si="72"/>
        <v/>
      </c>
      <c r="CP475" s="251" t="str">
        <f t="shared" si="73"/>
        <v/>
      </c>
      <c r="CQ475" s="251" t="str">
        <f t="shared" si="74"/>
        <v/>
      </c>
      <c r="CR475" s="251" t="str">
        <f t="shared" si="75"/>
        <v/>
      </c>
      <c r="CS475" s="251" t="str">
        <f t="shared" si="76"/>
        <v/>
      </c>
      <c r="CT475" s="251" t="str">
        <f t="shared" si="77"/>
        <v/>
      </c>
      <c r="CU475" s="251" t="str">
        <f t="shared" si="78"/>
        <v/>
      </c>
      <c r="CV475" s="251" t="str">
        <f t="shared" si="79"/>
        <v/>
      </c>
      <c r="CW475" s="251" t="str">
        <f t="shared" si="80"/>
        <v/>
      </c>
      <c r="CX475" s="251" t="str">
        <f t="shared" si="81"/>
        <v/>
      </c>
      <c r="CY475" s="251" t="str">
        <f t="shared" si="82"/>
        <v/>
      </c>
      <c r="CZ475" s="251" t="str">
        <f t="shared" si="83"/>
        <v/>
      </c>
      <c r="DA475" s="251" t="str">
        <f t="shared" si="84"/>
        <v/>
      </c>
      <c r="DB475" s="251" t="str">
        <f t="shared" si="85"/>
        <v/>
      </c>
      <c r="DC475" s="251" t="str">
        <f t="shared" si="86"/>
        <v/>
      </c>
      <c r="DD475" s="251" t="str">
        <f t="shared" si="87"/>
        <v/>
      </c>
      <c r="DE475" s="251" t="str">
        <f t="shared" si="88"/>
        <v/>
      </c>
      <c r="DF475" s="251" t="str">
        <f t="shared" si="89"/>
        <v/>
      </c>
      <c r="DG475" s="251" t="str">
        <f t="shared" si="90"/>
        <v/>
      </c>
      <c r="DH475" s="251" t="str">
        <f t="shared" si="91"/>
        <v/>
      </c>
      <c r="DI475" s="251" t="str">
        <f t="shared" si="92"/>
        <v/>
      </c>
      <c r="DJ475" s="251" t="str">
        <f t="shared" si="93"/>
        <v/>
      </c>
      <c r="DK475" s="251" t="str">
        <f t="shared" si="94"/>
        <v/>
      </c>
      <c r="DL475" s="251" t="str">
        <f t="shared" si="95"/>
        <v/>
      </c>
      <c r="DM475" s="251" t="str">
        <f t="shared" si="96"/>
        <v/>
      </c>
      <c r="DN475" s="251" t="str">
        <f t="shared" si="97"/>
        <v/>
      </c>
      <c r="DO475" s="251" t="str">
        <f t="shared" si="98"/>
        <v/>
      </c>
      <c r="DP475" s="251" t="str">
        <f t="shared" si="99"/>
        <v/>
      </c>
      <c r="DQ475" s="251" t="str">
        <f t="shared" si="100"/>
        <v/>
      </c>
      <c r="DR475" s="251" t="str">
        <f t="shared" si="101"/>
        <v/>
      </c>
      <c r="DS475" s="251" t="str">
        <f t="shared" si="102"/>
        <v/>
      </c>
      <c r="DT475" s="251" t="str">
        <f t="shared" si="103"/>
        <v/>
      </c>
      <c r="DU475" s="251" t="str">
        <f t="shared" si="104"/>
        <v/>
      </c>
      <c r="DV475" s="251" t="str">
        <f t="shared" si="105"/>
        <v/>
      </c>
      <c r="DW475" s="251" t="str">
        <f t="shared" si="106"/>
        <v/>
      </c>
      <c r="DX475" s="251" t="str">
        <f t="shared" si="107"/>
        <v/>
      </c>
      <c r="DY475" s="251" t="str">
        <f t="shared" si="108"/>
        <v/>
      </c>
      <c r="DZ475" s="251" t="str">
        <f t="shared" si="109"/>
        <v/>
      </c>
      <c r="EA475" s="251" t="str">
        <f t="shared" si="110"/>
        <v/>
      </c>
      <c r="EB475" s="251" t="str">
        <f t="shared" si="111"/>
        <v/>
      </c>
      <c r="EC475" s="251" t="str">
        <f t="shared" si="112"/>
        <v/>
      </c>
      <c r="ED475" s="251" t="str">
        <f t="shared" si="113"/>
        <v/>
      </c>
      <c r="EE475" s="251" t="str">
        <f t="shared" si="114"/>
        <v/>
      </c>
      <c r="EF475" s="251" t="str">
        <f t="shared" si="115"/>
        <v/>
      </c>
      <c r="EG475" s="251" t="str">
        <f t="shared" si="116"/>
        <v/>
      </c>
      <c r="EH475" s="251" t="str">
        <f t="shared" si="117"/>
        <v/>
      </c>
      <c r="EI475" s="251" t="str">
        <f t="shared" si="118"/>
        <v/>
      </c>
      <c r="EJ475" s="251" t="str">
        <f t="shared" si="119"/>
        <v/>
      </c>
      <c r="EK475" s="251" t="str">
        <f t="shared" si="120"/>
        <v/>
      </c>
      <c r="EL475" s="251" t="str">
        <f t="shared" si="121"/>
        <v/>
      </c>
      <c r="EM475" s="251" t="str">
        <f t="shared" si="122"/>
        <v/>
      </c>
      <c r="EN475" s="251" t="str">
        <f t="shared" si="123"/>
        <v/>
      </c>
      <c r="EO475" s="251" t="str">
        <f t="shared" si="124"/>
        <v/>
      </c>
      <c r="EP475" s="251" t="str">
        <f t="shared" si="125"/>
        <v/>
      </c>
      <c r="EQ475" s="251" t="str">
        <f t="shared" si="126"/>
        <v/>
      </c>
      <c r="ER475" s="251" t="str">
        <f t="shared" si="127"/>
        <v/>
      </c>
      <c r="ES475" s="251" t="str">
        <f t="shared" si="128"/>
        <v/>
      </c>
      <c r="ET475" s="251" t="str">
        <f t="shared" si="129"/>
        <v/>
      </c>
      <c r="EU475" s="251" t="str">
        <f t="shared" si="130"/>
        <v/>
      </c>
      <c r="EV475" s="251" t="str">
        <f t="shared" si="131"/>
        <v/>
      </c>
      <c r="EW475" s="251" t="str">
        <f t="shared" si="132"/>
        <v/>
      </c>
      <c r="EX475" s="251" t="str">
        <f t="shared" si="133"/>
        <v/>
      </c>
      <c r="EY475" s="251" t="str">
        <f t="shared" si="134"/>
        <v/>
      </c>
      <c r="EZ475" s="251" t="str">
        <f t="shared" si="135"/>
        <v/>
      </c>
      <c r="FA475" s="251" t="str">
        <f t="shared" si="136"/>
        <v/>
      </c>
      <c r="FB475" s="251" t="str">
        <f t="shared" si="137"/>
        <v/>
      </c>
      <c r="FC475" s="251" t="str">
        <f t="shared" si="138"/>
        <v/>
      </c>
      <c r="FD475" s="251" t="str">
        <f t="shared" si="139"/>
        <v/>
      </c>
      <c r="FE475" s="251" t="str">
        <f t="shared" si="140"/>
        <v/>
      </c>
      <c r="FF475" s="251" t="str">
        <f t="shared" si="141"/>
        <v/>
      </c>
      <c r="FG475" s="251" t="str">
        <f t="shared" si="142"/>
        <v/>
      </c>
      <c r="FH475" s="251" t="str">
        <f t="shared" si="143"/>
        <v/>
      </c>
      <c r="FI475" s="251" t="str">
        <f t="shared" si="144"/>
        <v/>
      </c>
      <c r="FJ475" s="251" t="str">
        <f t="shared" si="145"/>
        <v/>
      </c>
      <c r="FK475" s="251" t="str">
        <f t="shared" si="146"/>
        <v/>
      </c>
      <c r="FL475" s="251" t="str">
        <f t="shared" si="147"/>
        <v/>
      </c>
      <c r="FM475" s="251" t="str">
        <f t="shared" si="148"/>
        <v/>
      </c>
      <c r="FN475" s="251" t="str">
        <f t="shared" si="149"/>
        <v/>
      </c>
      <c r="FO475" s="251" t="str">
        <f t="shared" si="150"/>
        <v/>
      </c>
      <c r="FP475" s="251" t="str">
        <f t="shared" si="151"/>
        <v/>
      </c>
      <c r="FQ475" s="251" t="str">
        <f t="shared" si="152"/>
        <v/>
      </c>
      <c r="FR475" s="251" t="str">
        <f t="shared" si="153"/>
        <v/>
      </c>
      <c r="FS475" s="251" t="str">
        <f t="shared" si="154"/>
        <v/>
      </c>
      <c r="FT475" s="251" t="str">
        <f t="shared" si="155"/>
        <v/>
      </c>
      <c r="FU475" s="251" t="str">
        <f t="shared" si="156"/>
        <v/>
      </c>
      <c r="FV475" s="251" t="str">
        <f t="shared" si="157"/>
        <v/>
      </c>
      <c r="FW475" s="251" t="str">
        <f t="shared" si="158"/>
        <v/>
      </c>
      <c r="FX475" s="251" t="str">
        <f t="shared" si="159"/>
        <v/>
      </c>
      <c r="FY475" s="251" t="str">
        <f t="shared" si="160"/>
        <v/>
      </c>
      <c r="FZ475" s="251" t="str">
        <f t="shared" si="161"/>
        <v/>
      </c>
      <c r="GA475" s="251" t="str">
        <f t="shared" si="162"/>
        <v/>
      </c>
      <c r="GB475" s="251" t="str">
        <f t="shared" si="163"/>
        <v/>
      </c>
      <c r="GC475" s="251">
        <f t="shared" si="164"/>
        <v>7690</v>
      </c>
      <c r="GD475" s="251" t="str">
        <f t="shared" si="165"/>
        <v/>
      </c>
      <c r="GE475" s="251" t="str">
        <f t="shared" si="166"/>
        <v/>
      </c>
      <c r="GF475" s="251" t="str">
        <f t="shared" si="167"/>
        <v/>
      </c>
      <c r="GG475" s="251" t="str">
        <f t="shared" si="168"/>
        <v/>
      </c>
      <c r="GH475" s="251" t="str">
        <f t="shared" si="169"/>
        <v/>
      </c>
      <c r="GI475" s="251" t="str">
        <f t="shared" si="170"/>
        <v/>
      </c>
      <c r="GJ475" s="251" t="str">
        <f t="shared" si="171"/>
        <v/>
      </c>
      <c r="GK475" s="251" t="str">
        <f t="shared" si="172"/>
        <v/>
      </c>
      <c r="GL475" s="251" t="str">
        <f t="shared" si="173"/>
        <v/>
      </c>
      <c r="GM475" s="251" t="str">
        <f t="shared" si="174"/>
        <v/>
      </c>
      <c r="GN475" s="251" t="str">
        <f t="shared" si="175"/>
        <v/>
      </c>
      <c r="GO475" s="251" t="str">
        <f t="shared" si="176"/>
        <v/>
      </c>
      <c r="GP475" s="251" t="str">
        <f t="shared" si="177"/>
        <v/>
      </c>
      <c r="GQ475" s="251" t="str">
        <f t="shared" si="178"/>
        <v/>
      </c>
      <c r="GR475" s="251" t="str">
        <f t="shared" si="179"/>
        <v/>
      </c>
      <c r="GS475" s="251" t="str">
        <f t="shared" si="180"/>
        <v/>
      </c>
      <c r="GT475" s="251" t="str">
        <f t="shared" si="181"/>
        <v/>
      </c>
      <c r="GU475" s="251" t="str">
        <f t="shared" si="182"/>
        <v/>
      </c>
      <c r="GV475" s="251" t="str">
        <f t="shared" si="183"/>
        <v/>
      </c>
      <c r="GW475" s="251" t="str">
        <f t="shared" si="184"/>
        <v/>
      </c>
      <c r="GX475" s="251" t="str">
        <f t="shared" si="185"/>
        <v/>
      </c>
      <c r="GY475" s="251" t="str">
        <f t="shared" si="186"/>
        <v/>
      </c>
      <c r="GZ475" s="251" t="str">
        <f t="shared" si="187"/>
        <v/>
      </c>
      <c r="HA475" s="251" t="str">
        <f t="shared" si="188"/>
        <v/>
      </c>
      <c r="HB475" s="251" t="str">
        <f t="shared" si="189"/>
        <v/>
      </c>
      <c r="HC475" s="251" t="str">
        <f t="shared" si="190"/>
        <v/>
      </c>
      <c r="HD475" s="251" t="str">
        <f t="shared" si="191"/>
        <v/>
      </c>
      <c r="HE475" s="251" t="str">
        <f t="shared" si="192"/>
        <v/>
      </c>
      <c r="HF475" s="251" t="str">
        <f t="shared" si="193"/>
        <v/>
      </c>
      <c r="HG475" s="251" t="str">
        <f t="shared" si="194"/>
        <v/>
      </c>
      <c r="HH475" s="251" t="str">
        <f t="shared" si="195"/>
        <v/>
      </c>
      <c r="HI475" s="251" t="str">
        <f t="shared" si="196"/>
        <v/>
      </c>
      <c r="HJ475" s="251" t="str">
        <f t="shared" si="197"/>
        <v/>
      </c>
      <c r="HK475" s="251" t="str">
        <f t="shared" si="198"/>
        <v/>
      </c>
      <c r="HL475" s="251" t="str">
        <f t="shared" si="199"/>
        <v/>
      </c>
      <c r="HM475" s="251" t="str">
        <f t="shared" si="200"/>
        <v/>
      </c>
      <c r="HN475" s="251" t="str">
        <f t="shared" si="201"/>
        <v/>
      </c>
      <c r="HO475" s="251" t="str">
        <f t="shared" si="202"/>
        <v/>
      </c>
      <c r="HP475" s="251" t="str">
        <f t="shared" si="203"/>
        <v/>
      </c>
      <c r="HQ475" s="251" t="str">
        <f t="shared" si="204"/>
        <v/>
      </c>
      <c r="HR475" s="251" t="str">
        <f t="shared" si="205"/>
        <v/>
      </c>
      <c r="HS475" s="251" t="str">
        <f t="shared" si="206"/>
        <v/>
      </c>
      <c r="HT475" s="251" t="str">
        <f t="shared" si="207"/>
        <v/>
      </c>
      <c r="HU475" s="251" t="str">
        <f t="shared" si="208"/>
        <v/>
      </c>
      <c r="HV475" s="251" t="str">
        <f t="shared" si="209"/>
        <v/>
      </c>
      <c r="HW475" s="251" t="str">
        <f t="shared" si="210"/>
        <v/>
      </c>
      <c r="HX475" s="251" t="str">
        <f t="shared" si="211"/>
        <v/>
      </c>
      <c r="HY475" s="251" t="str">
        <f t="shared" si="212"/>
        <v/>
      </c>
      <c r="HZ475" s="251" t="str">
        <f t="shared" si="213"/>
        <v/>
      </c>
      <c r="IA475" s="251" t="str">
        <f t="shared" si="214"/>
        <v/>
      </c>
      <c r="IB475" s="251" t="str">
        <f t="shared" si="215"/>
        <v/>
      </c>
      <c r="IC475" s="251" t="str">
        <f t="shared" si="216"/>
        <v/>
      </c>
      <c r="ID475" s="251" t="str">
        <f t="shared" si="217"/>
        <v/>
      </c>
      <c r="IE475" s="251" t="str">
        <f t="shared" si="218"/>
        <v/>
      </c>
      <c r="IF475" s="251">
        <f t="shared" si="219"/>
        <v>10</v>
      </c>
      <c r="IG475" s="251" t="str">
        <f t="shared" si="220"/>
        <v/>
      </c>
      <c r="IH475" s="251" t="str">
        <f t="shared" si="221"/>
        <v/>
      </c>
      <c r="II475" s="251" t="str">
        <f t="shared" si="222"/>
        <v/>
      </c>
      <c r="IJ475" s="251" t="str">
        <f t="shared" si="223"/>
        <v/>
      </c>
      <c r="IK475" s="251" t="str">
        <f t="shared" si="224"/>
        <v/>
      </c>
      <c r="IL475" s="251" t="str">
        <f t="shared" si="225"/>
        <v/>
      </c>
      <c r="IM475" s="251" t="str">
        <f t="shared" si="226"/>
        <v/>
      </c>
      <c r="IN475" s="251" t="str">
        <f t="shared" si="227"/>
        <v/>
      </c>
      <c r="IO475" s="251" t="str">
        <f t="shared" si="228"/>
        <v/>
      </c>
      <c r="IP475" s="251" t="str">
        <f t="shared" si="229"/>
        <v/>
      </c>
      <c r="IQ475" s="251" t="str">
        <f t="shared" si="230"/>
        <v/>
      </c>
      <c r="IR475" s="251" t="str">
        <f t="shared" si="231"/>
        <v/>
      </c>
      <c r="IS475" s="251" t="str">
        <f t="shared" si="232"/>
        <v/>
      </c>
      <c r="IT475" s="251" t="str">
        <f t="shared" si="233"/>
        <v/>
      </c>
      <c r="IU475" s="251" t="str">
        <f t="shared" si="234"/>
        <v/>
      </c>
      <c r="IV475" s="251" t="str">
        <f t="shared" si="235"/>
        <v/>
      </c>
      <c r="IW475" s="251" t="str">
        <f t="shared" si="236"/>
        <v/>
      </c>
      <c r="IX475" s="251" t="str">
        <f t="shared" si="237"/>
        <v/>
      </c>
      <c r="IY475" s="251" t="str">
        <f t="shared" si="238"/>
        <v/>
      </c>
      <c r="IZ475" s="251" t="str">
        <f t="shared" si="239"/>
        <v/>
      </c>
      <c r="JA475" s="251" t="str">
        <f t="shared" si="240"/>
        <v/>
      </c>
      <c r="JB475" s="251" t="str">
        <f t="shared" si="241"/>
        <v/>
      </c>
      <c r="JC475" s="251" t="str">
        <f t="shared" si="242"/>
        <v/>
      </c>
      <c r="JD475" s="251" t="str">
        <f t="shared" si="243"/>
        <v/>
      </c>
      <c r="JE475" s="251" t="str">
        <f t="shared" si="244"/>
        <v/>
      </c>
      <c r="JF475" s="251" t="str">
        <f t="shared" si="245"/>
        <v/>
      </c>
      <c r="JG475" s="251" t="str">
        <f t="shared" si="246"/>
        <v/>
      </c>
      <c r="JH475" s="251" t="str">
        <f t="shared" si="247"/>
        <v/>
      </c>
      <c r="JI475" s="1297" t="str">
        <f t="shared" si="248"/>
        <v/>
      </c>
      <c r="JJ475" s="1297">
        <f t="shared" si="249"/>
        <v>10</v>
      </c>
      <c r="JK475" s="1297" t="str">
        <f t="shared" si="250"/>
        <v/>
      </c>
      <c r="JL475" s="1297" t="str">
        <f t="shared" si="251"/>
        <v/>
      </c>
      <c r="JM475" s="1297" t="str">
        <f t="shared" si="252"/>
        <v/>
      </c>
      <c r="JN475" s="1297" t="str">
        <f t="shared" si="253"/>
        <v/>
      </c>
      <c r="JO475" s="1297" t="str">
        <f t="shared" si="254"/>
        <v/>
      </c>
      <c r="JP475" s="1297" t="str">
        <f t="shared" si="255"/>
        <v/>
      </c>
      <c r="JQ475" s="1297" t="str">
        <f t="shared" si="256"/>
        <v/>
      </c>
      <c r="JR475" s="1297" t="str">
        <f t="shared" si="257"/>
        <v/>
      </c>
      <c r="JS475" s="1297" t="str">
        <f t="shared" si="258"/>
        <v/>
      </c>
      <c r="JT475" s="1297" t="str">
        <f t="shared" si="259"/>
        <v/>
      </c>
      <c r="JU475" s="1297" t="str">
        <f t="shared" si="260"/>
        <v/>
      </c>
      <c r="JV475" s="1297" t="str">
        <f t="shared" si="261"/>
        <v/>
      </c>
      <c r="JW475" s="1297" t="str">
        <f t="shared" si="262"/>
        <v/>
      </c>
      <c r="JX475" s="1297" t="str">
        <f t="shared" si="263"/>
        <v/>
      </c>
      <c r="JY475" s="1297" t="str">
        <f t="shared" si="264"/>
        <v/>
      </c>
      <c r="JZ475" s="1297" t="str">
        <f t="shared" si="265"/>
        <v/>
      </c>
      <c r="KA475" s="1297" t="str">
        <f t="shared" si="266"/>
        <v/>
      </c>
      <c r="KB475" s="1297" t="str">
        <f t="shared" si="267"/>
        <v/>
      </c>
      <c r="KC475" s="1297" t="str">
        <f t="shared" si="268"/>
        <v/>
      </c>
      <c r="KD475" s="1297" t="str">
        <f t="shared" si="269"/>
        <v/>
      </c>
      <c r="KE475" s="1297" t="str">
        <f t="shared" si="270"/>
        <v/>
      </c>
      <c r="KF475" s="1297" t="str">
        <f t="shared" si="271"/>
        <v/>
      </c>
      <c r="KG475" s="1297" t="str">
        <f t="shared" si="272"/>
        <v/>
      </c>
      <c r="KH475" s="1297" t="str">
        <f t="shared" si="273"/>
        <v/>
      </c>
      <c r="KI475" s="1297" t="str">
        <f t="shared" si="274"/>
        <v/>
      </c>
      <c r="KJ475" s="1297" t="str">
        <f t="shared" si="275"/>
        <v/>
      </c>
      <c r="KK475" s="1297" t="str">
        <f t="shared" si="276"/>
        <v/>
      </c>
      <c r="KL475" s="1297" t="str">
        <f t="shared" si="277"/>
        <v/>
      </c>
      <c r="KM475" s="1297" t="str">
        <f t="shared" si="278"/>
        <v/>
      </c>
      <c r="KN475" s="1297" t="str">
        <f t="shared" si="279"/>
        <v/>
      </c>
      <c r="KO475" s="1297" t="str">
        <f t="shared" si="280"/>
        <v/>
      </c>
      <c r="KP475" s="1297" t="str">
        <f t="shared" si="281"/>
        <v/>
      </c>
      <c r="KQ475" s="1297" t="str">
        <f t="shared" si="282"/>
        <v/>
      </c>
      <c r="KR475" s="1297" t="str">
        <f t="shared" si="283"/>
        <v/>
      </c>
      <c r="KS475" s="1297" t="str">
        <f t="shared" si="284"/>
        <v/>
      </c>
      <c r="KT475" s="1297" t="str">
        <f t="shared" si="285"/>
        <v/>
      </c>
      <c r="KU475" s="1297" t="str">
        <f t="shared" si="286"/>
        <v/>
      </c>
      <c r="KV475" s="1297" t="str">
        <f t="shared" si="287"/>
        <v/>
      </c>
      <c r="KW475" s="1297" t="str">
        <f t="shared" si="288"/>
        <v/>
      </c>
      <c r="KX475" s="1297" t="str">
        <f t="shared" si="289"/>
        <v/>
      </c>
      <c r="KY475" s="1297" t="str">
        <f t="shared" si="290"/>
        <v/>
      </c>
      <c r="KZ475" s="1297" t="str">
        <f t="shared" si="291"/>
        <v/>
      </c>
      <c r="LA475" s="1297" t="str">
        <f t="shared" si="292"/>
        <v/>
      </c>
      <c r="LB475" s="1297" t="str">
        <f t="shared" si="293"/>
        <v/>
      </c>
      <c r="LC475" s="1297">
        <f t="shared" si="294"/>
        <v>10</v>
      </c>
      <c r="LD475" s="1297" t="str">
        <f t="shared" si="295"/>
        <v/>
      </c>
      <c r="LE475" s="1297" t="str">
        <f t="shared" si="296"/>
        <v/>
      </c>
      <c r="LF475" s="1297" t="str">
        <f t="shared" si="297"/>
        <v/>
      </c>
      <c r="LG475" s="1297" t="str">
        <f t="shared" si="298"/>
        <v/>
      </c>
      <c r="LH475" s="1297" t="str">
        <f t="shared" si="299"/>
        <v/>
      </c>
      <c r="LI475" s="1297" t="str">
        <f t="shared" si="300"/>
        <v/>
      </c>
      <c r="LJ475" s="1297" t="str">
        <f t="shared" si="301"/>
        <v/>
      </c>
      <c r="LK475" s="1297" t="str">
        <f t="shared" si="302"/>
        <v/>
      </c>
      <c r="LL475" s="1297" t="str">
        <f t="shared" si="303"/>
        <v/>
      </c>
      <c r="LM475" s="1297" t="str">
        <f t="shared" si="304"/>
        <v/>
      </c>
      <c r="LN475" s="1297" t="str">
        <f t="shared" si="305"/>
        <v/>
      </c>
      <c r="LO475" s="1297" t="str">
        <f t="shared" si="306"/>
        <v/>
      </c>
      <c r="LP475" s="1297" t="str">
        <f t="shared" si="307"/>
        <v/>
      </c>
      <c r="LQ475" s="1297" t="str">
        <f t="shared" si="308"/>
        <v/>
      </c>
      <c r="LR475" s="1297" t="str">
        <f t="shared" si="309"/>
        <v/>
      </c>
      <c r="LS475" s="1297" t="str">
        <f t="shared" si="310"/>
        <v/>
      </c>
      <c r="LT475" s="1297" t="str">
        <f t="shared" si="311"/>
        <v/>
      </c>
      <c r="LU475" s="1297" t="str">
        <f t="shared" si="312"/>
        <v/>
      </c>
      <c r="LV475" s="1297" t="str">
        <f t="shared" si="313"/>
        <v/>
      </c>
      <c r="LW475" s="1297" t="str">
        <f t="shared" si="314"/>
        <v/>
      </c>
      <c r="LX475" s="1297" t="str">
        <f t="shared" si="315"/>
        <v/>
      </c>
      <c r="LY475" s="1297" t="str">
        <f t="shared" si="316"/>
        <v/>
      </c>
      <c r="LZ475" s="1297" t="str">
        <f t="shared" si="317"/>
        <v/>
      </c>
      <c r="MA475" s="1297" t="str">
        <f t="shared" si="318"/>
        <v/>
      </c>
      <c r="MB475" s="1297" t="str">
        <f t="shared" si="319"/>
        <v/>
      </c>
      <c r="MC475" s="1297" t="str">
        <f t="shared" si="320"/>
        <v/>
      </c>
      <c r="MD475" s="1297" t="str">
        <f t="shared" si="321"/>
        <v/>
      </c>
      <c r="ME475" s="1297" t="str">
        <f t="shared" si="322"/>
        <v/>
      </c>
      <c r="MF475" s="1297" t="str">
        <f t="shared" si="323"/>
        <v/>
      </c>
      <c r="MG475" s="1297" t="str">
        <f t="shared" si="324"/>
        <v/>
      </c>
      <c r="MH475" s="1297" t="str">
        <f t="shared" si="325"/>
        <v/>
      </c>
      <c r="MI475" s="1297" t="str">
        <f t="shared" si="326"/>
        <v/>
      </c>
      <c r="MJ475" s="1297" t="str">
        <f t="shared" si="327"/>
        <v/>
      </c>
      <c r="MK475" s="1297" t="str">
        <f t="shared" si="328"/>
        <v/>
      </c>
      <c r="ML475" s="1297" t="str">
        <f t="shared" si="329"/>
        <v/>
      </c>
      <c r="MM475" s="1297" t="str">
        <f t="shared" si="330"/>
        <v/>
      </c>
      <c r="MN475" s="1297" t="str">
        <f t="shared" si="331"/>
        <v/>
      </c>
      <c r="MO475" s="1297" t="str">
        <f t="shared" si="332"/>
        <v/>
      </c>
      <c r="MP475" s="1773" t="str">
        <f t="shared" si="333"/>
        <v/>
      </c>
      <c r="MQ475" s="1773" t="str">
        <f t="shared" si="334"/>
        <v/>
      </c>
      <c r="MR475" s="1773" t="str">
        <f t="shared" si="335"/>
        <v/>
      </c>
      <c r="MS475" s="1773" t="str">
        <f t="shared" si="336"/>
        <v/>
      </c>
      <c r="MT475" s="1773" t="str">
        <f t="shared" si="337"/>
        <v/>
      </c>
      <c r="MU475" s="251" t="str">
        <f t="shared" si="338"/>
        <v/>
      </c>
      <c r="MV475" s="251" t="str">
        <f t="shared" si="339"/>
        <v/>
      </c>
      <c r="MW475" s="251" t="str">
        <f t="shared" si="340"/>
        <v/>
      </c>
      <c r="MX475" s="251" t="str">
        <f t="shared" si="341"/>
        <v/>
      </c>
      <c r="MY475" s="251" t="str">
        <f t="shared" si="342"/>
        <v/>
      </c>
      <c r="MZ475" s="251" t="str">
        <f t="shared" si="343"/>
        <v/>
      </c>
      <c r="NA475" s="251" t="str">
        <f t="shared" si="344"/>
        <v/>
      </c>
      <c r="NB475" s="251" t="str">
        <f t="shared" si="345"/>
        <v/>
      </c>
      <c r="NC475" s="251" t="str">
        <f t="shared" si="346"/>
        <v/>
      </c>
      <c r="ND475" s="251" t="str">
        <f t="shared" si="347"/>
        <v/>
      </c>
      <c r="NE475" s="251" t="str">
        <f t="shared" si="348"/>
        <v/>
      </c>
      <c r="NF475" s="251" t="str">
        <f t="shared" si="349"/>
        <v/>
      </c>
      <c r="NG475" s="251" t="str">
        <f t="shared" si="350"/>
        <v/>
      </c>
      <c r="NH475" s="251" t="str">
        <f t="shared" si="351"/>
        <v/>
      </c>
      <c r="NI475" s="251" t="str">
        <f t="shared" si="352"/>
        <v/>
      </c>
      <c r="NJ475" s="251" t="str">
        <f t="shared" si="353"/>
        <v/>
      </c>
      <c r="NK475" s="251" t="str">
        <f t="shared" si="354"/>
        <v/>
      </c>
      <c r="NL475" s="251" t="str">
        <f t="shared" si="355"/>
        <v/>
      </c>
      <c r="NM475" s="251" t="str">
        <f t="shared" si="356"/>
        <v/>
      </c>
      <c r="NN475" s="251" t="str">
        <f t="shared" si="357"/>
        <v/>
      </c>
      <c r="NO475" s="1185">
        <f t="shared" si="358"/>
        <v>0</v>
      </c>
      <c r="NP475" s="1185">
        <f t="shared" si="359"/>
        <v>10</v>
      </c>
      <c r="NQ475" s="1185">
        <f t="shared" si="360"/>
        <v>0</v>
      </c>
      <c r="NR475" s="1185">
        <f t="shared" si="361"/>
        <v>0</v>
      </c>
      <c r="NS475" s="1185">
        <f t="shared" si="362"/>
        <v>0</v>
      </c>
      <c r="NT475" s="1185">
        <f t="shared" si="368"/>
        <v>0</v>
      </c>
      <c r="NU475" s="1185">
        <f t="shared" si="369"/>
        <v>0</v>
      </c>
      <c r="NV475" s="1185">
        <f t="shared" si="370"/>
        <v>0</v>
      </c>
      <c r="NW475" s="1185">
        <f t="shared" si="371"/>
        <v>0</v>
      </c>
      <c r="NX475" s="1185">
        <f t="shared" si="372"/>
        <v>0</v>
      </c>
      <c r="NY475" s="1185">
        <f t="shared" si="363"/>
        <v>0</v>
      </c>
      <c r="NZ475" s="1185">
        <f t="shared" si="364"/>
        <v>0</v>
      </c>
      <c r="OA475" s="1185">
        <f t="shared" si="365"/>
        <v>0</v>
      </c>
      <c r="OB475" s="1185">
        <f t="shared" si="366"/>
        <v>0</v>
      </c>
      <c r="OC475" s="1185">
        <f t="shared" si="367"/>
        <v>0</v>
      </c>
      <c r="OY475" s="251" t="s">
        <v>1170</v>
      </c>
      <c r="OZ475" s="1185">
        <v>22</v>
      </c>
    </row>
    <row r="476" spans="1:416" ht="12" customHeight="1">
      <c r="A476" s="1979" t="str">
        <f t="shared" si="0"/>
        <v/>
      </c>
      <c r="B476" s="1998">
        <f>'Part V-Revenues &amp; Expenses'!B23</f>
        <v>60</v>
      </c>
      <c r="C476" s="1999">
        <f>'Part V-Revenues &amp; Expenses'!C23</f>
        <v>2</v>
      </c>
      <c r="D476" s="2000">
        <f>'Part V-Revenues &amp; Expenses'!D23</f>
        <v>2</v>
      </c>
      <c r="E476" s="2001">
        <f>'Part V-Revenues &amp; Expenses'!E23</f>
        <v>20</v>
      </c>
      <c r="F476" s="2001">
        <f>'Part V-Revenues &amp; Expenses'!F23</f>
        <v>1041</v>
      </c>
      <c r="G476" s="2001">
        <f>'Part V-Revenues &amp; Expenses'!G23</f>
        <v>926</v>
      </c>
      <c r="H476" s="2001">
        <f>'Part V-Revenues &amp; Expenses'!H23</f>
        <v>916</v>
      </c>
      <c r="I476" s="2001">
        <f>'Part V-Revenues &amp; Expenses'!I23</f>
        <v>0</v>
      </c>
      <c r="J476" s="2001">
        <f>'Part V-Revenues &amp; Expenses'!J23</f>
        <v>205</v>
      </c>
      <c r="K476" s="2002">
        <f>'Part V-Revenues &amp; Expenses'!K23</f>
        <v>0</v>
      </c>
      <c r="L476" s="2003">
        <f t="shared" si="1"/>
        <v>711</v>
      </c>
      <c r="M476" s="2003">
        <f t="shared" si="2"/>
        <v>14220</v>
      </c>
      <c r="N476" s="1853" t="str">
        <f>'Part V-Revenues &amp; Expenses'!N23</f>
        <v>No</v>
      </c>
      <c r="O476" s="899" t="str">
        <f>'Part V-Revenues &amp; Expenses'!O23</f>
        <v>Low-Rise Apt</v>
      </c>
      <c r="P476" s="1853" t="str">
        <f>'Part V-Revenues &amp; Expenses'!P23</f>
        <v>Acquisition/Rehab</v>
      </c>
      <c r="Q476" s="1772" t="str">
        <f>'Part V-Revenues &amp; Expenses'!Q23</f>
        <v>No</v>
      </c>
      <c r="R476" s="2004"/>
      <c r="S476" s="2005"/>
      <c r="T476" s="1920"/>
      <c r="U476" s="1920"/>
      <c r="V476" s="1920"/>
      <c r="W476" s="1920"/>
      <c r="X476" s="251" t="str">
        <f t="shared" si="3"/>
        <v/>
      </c>
      <c r="Y476" s="251" t="str">
        <f t="shared" si="4"/>
        <v/>
      </c>
      <c r="Z476" s="251" t="str">
        <f t="shared" si="5"/>
        <v/>
      </c>
      <c r="AA476" s="251" t="str">
        <f t="shared" si="6"/>
        <v/>
      </c>
      <c r="AB476" s="251" t="str">
        <f t="shared" si="7"/>
        <v/>
      </c>
      <c r="AC476" s="251" t="str">
        <f t="shared" si="8"/>
        <v/>
      </c>
      <c r="AD476" s="251" t="str">
        <f t="shared" si="9"/>
        <v/>
      </c>
      <c r="AE476" s="251" t="str">
        <f t="shared" si="10"/>
        <v/>
      </c>
      <c r="AF476" s="251" t="str">
        <f t="shared" si="11"/>
        <v/>
      </c>
      <c r="AG476" s="251" t="str">
        <f t="shared" si="12"/>
        <v/>
      </c>
      <c r="AH476" s="251" t="str">
        <f t="shared" si="13"/>
        <v/>
      </c>
      <c r="AI476" s="251" t="str">
        <f t="shared" si="14"/>
        <v/>
      </c>
      <c r="AJ476" s="251">
        <f t="shared" si="15"/>
        <v>20</v>
      </c>
      <c r="AK476" s="251" t="str">
        <f t="shared" si="16"/>
        <v/>
      </c>
      <c r="AL476" s="251" t="str">
        <f t="shared" si="17"/>
        <v/>
      </c>
      <c r="AM476" s="251" t="str">
        <f t="shared" si="18"/>
        <v/>
      </c>
      <c r="AN476" s="251" t="str">
        <f t="shared" si="19"/>
        <v/>
      </c>
      <c r="AO476" s="251" t="str">
        <f t="shared" si="20"/>
        <v/>
      </c>
      <c r="AP476" s="251" t="str">
        <f t="shared" si="21"/>
        <v/>
      </c>
      <c r="AQ476" s="251" t="str">
        <f t="shared" si="22"/>
        <v/>
      </c>
      <c r="AR476" s="251" t="str">
        <f t="shared" si="23"/>
        <v/>
      </c>
      <c r="AS476" s="251" t="str">
        <f t="shared" si="24"/>
        <v/>
      </c>
      <c r="AT476" s="251" t="str">
        <f t="shared" si="25"/>
        <v/>
      </c>
      <c r="AU476" s="251" t="str">
        <f t="shared" si="26"/>
        <v/>
      </c>
      <c r="AV476" s="251" t="str">
        <f t="shared" si="27"/>
        <v/>
      </c>
      <c r="AW476" s="251" t="str">
        <f t="shared" si="28"/>
        <v/>
      </c>
      <c r="AX476" s="251" t="str">
        <f t="shared" si="29"/>
        <v/>
      </c>
      <c r="AY476" s="251" t="str">
        <f t="shared" si="30"/>
        <v/>
      </c>
      <c r="AZ476" s="251" t="str">
        <f t="shared" si="31"/>
        <v/>
      </c>
      <c r="BA476" s="251" t="str">
        <f t="shared" si="32"/>
        <v/>
      </c>
      <c r="BB476" s="251" t="str">
        <f t="shared" si="33"/>
        <v/>
      </c>
      <c r="BC476" s="251" t="str">
        <f t="shared" si="34"/>
        <v/>
      </c>
      <c r="BD476" s="251" t="str">
        <f t="shared" si="35"/>
        <v/>
      </c>
      <c r="BE476" s="251" t="str">
        <f t="shared" si="36"/>
        <v/>
      </c>
      <c r="BF476" s="251" t="str">
        <f t="shared" si="37"/>
        <v/>
      </c>
      <c r="BG476" s="251" t="str">
        <f t="shared" si="38"/>
        <v/>
      </c>
      <c r="BH476" s="251" t="str">
        <f t="shared" si="39"/>
        <v/>
      </c>
      <c r="BI476" s="251" t="str">
        <f t="shared" si="40"/>
        <v/>
      </c>
      <c r="BJ476" s="251" t="str">
        <f t="shared" si="41"/>
        <v/>
      </c>
      <c r="BK476" s="251" t="str">
        <f t="shared" si="42"/>
        <v/>
      </c>
      <c r="BL476" s="251" t="str">
        <f t="shared" si="43"/>
        <v/>
      </c>
      <c r="BM476" s="251" t="str">
        <f t="shared" si="44"/>
        <v/>
      </c>
      <c r="BN476" s="251" t="str">
        <f t="shared" si="45"/>
        <v/>
      </c>
      <c r="BO476" s="251" t="str">
        <f t="shared" si="46"/>
        <v/>
      </c>
      <c r="BP476" s="251" t="str">
        <f t="shared" si="47"/>
        <v/>
      </c>
      <c r="BQ476" s="251" t="str">
        <f t="shared" si="48"/>
        <v/>
      </c>
      <c r="BR476" s="251" t="str">
        <f t="shared" si="49"/>
        <v/>
      </c>
      <c r="BS476" s="251" t="str">
        <f t="shared" si="50"/>
        <v/>
      </c>
      <c r="BT476" s="251" t="str">
        <f t="shared" si="51"/>
        <v/>
      </c>
      <c r="BU476" s="251" t="str">
        <f t="shared" si="52"/>
        <v/>
      </c>
      <c r="BV476" s="251" t="str">
        <f t="shared" si="53"/>
        <v/>
      </c>
      <c r="BW476" s="251" t="str">
        <f t="shared" si="54"/>
        <v/>
      </c>
      <c r="BX476" s="251" t="str">
        <f t="shared" si="55"/>
        <v/>
      </c>
      <c r="BY476" s="251" t="str">
        <f t="shared" si="56"/>
        <v/>
      </c>
      <c r="BZ476" s="251" t="str">
        <f t="shared" si="57"/>
        <v/>
      </c>
      <c r="CA476" s="251" t="str">
        <f t="shared" si="58"/>
        <v/>
      </c>
      <c r="CB476" s="251" t="str">
        <f t="shared" si="59"/>
        <v/>
      </c>
      <c r="CC476" s="251" t="str">
        <f t="shared" si="60"/>
        <v/>
      </c>
      <c r="CD476" s="251" t="str">
        <f t="shared" si="61"/>
        <v/>
      </c>
      <c r="CE476" s="251" t="str">
        <f t="shared" si="62"/>
        <v/>
      </c>
      <c r="CF476" s="251" t="str">
        <f t="shared" si="63"/>
        <v/>
      </c>
      <c r="CG476" s="251" t="str">
        <f t="shared" si="64"/>
        <v/>
      </c>
      <c r="CH476" s="251" t="str">
        <f t="shared" si="65"/>
        <v/>
      </c>
      <c r="CI476" s="251" t="str">
        <f t="shared" si="66"/>
        <v/>
      </c>
      <c r="CJ476" s="251" t="str">
        <f t="shared" si="67"/>
        <v/>
      </c>
      <c r="CK476" s="251" t="str">
        <f t="shared" si="68"/>
        <v/>
      </c>
      <c r="CL476" s="251" t="str">
        <f t="shared" si="69"/>
        <v/>
      </c>
      <c r="CM476" s="251" t="str">
        <f t="shared" si="70"/>
        <v/>
      </c>
      <c r="CN476" s="251" t="str">
        <f t="shared" si="71"/>
        <v/>
      </c>
      <c r="CO476" s="251" t="str">
        <f t="shared" si="72"/>
        <v/>
      </c>
      <c r="CP476" s="251" t="str">
        <f t="shared" si="73"/>
        <v/>
      </c>
      <c r="CQ476" s="251" t="str">
        <f t="shared" si="74"/>
        <v/>
      </c>
      <c r="CR476" s="251" t="str">
        <f t="shared" si="75"/>
        <v/>
      </c>
      <c r="CS476" s="251" t="str">
        <f t="shared" si="76"/>
        <v/>
      </c>
      <c r="CT476" s="251" t="str">
        <f t="shared" si="77"/>
        <v/>
      </c>
      <c r="CU476" s="251" t="str">
        <f t="shared" si="78"/>
        <v/>
      </c>
      <c r="CV476" s="251" t="str">
        <f t="shared" si="79"/>
        <v/>
      </c>
      <c r="CW476" s="251" t="str">
        <f t="shared" si="80"/>
        <v/>
      </c>
      <c r="CX476" s="251" t="str">
        <f t="shared" si="81"/>
        <v/>
      </c>
      <c r="CY476" s="251" t="str">
        <f t="shared" si="82"/>
        <v/>
      </c>
      <c r="CZ476" s="251" t="str">
        <f t="shared" si="83"/>
        <v/>
      </c>
      <c r="DA476" s="251" t="str">
        <f t="shared" si="84"/>
        <v/>
      </c>
      <c r="DB476" s="251" t="str">
        <f t="shared" si="85"/>
        <v/>
      </c>
      <c r="DC476" s="251" t="str">
        <f t="shared" si="86"/>
        <v/>
      </c>
      <c r="DD476" s="251" t="str">
        <f t="shared" si="87"/>
        <v/>
      </c>
      <c r="DE476" s="251" t="str">
        <f t="shared" si="88"/>
        <v/>
      </c>
      <c r="DF476" s="251" t="str">
        <f t="shared" si="89"/>
        <v/>
      </c>
      <c r="DG476" s="251" t="str">
        <f t="shared" si="90"/>
        <v/>
      </c>
      <c r="DH476" s="251" t="str">
        <f t="shared" si="91"/>
        <v/>
      </c>
      <c r="DI476" s="251" t="str">
        <f t="shared" si="92"/>
        <v/>
      </c>
      <c r="DJ476" s="251" t="str">
        <f t="shared" si="93"/>
        <v/>
      </c>
      <c r="DK476" s="251" t="str">
        <f t="shared" si="94"/>
        <v/>
      </c>
      <c r="DL476" s="251" t="str">
        <f t="shared" si="95"/>
        <v/>
      </c>
      <c r="DM476" s="251" t="str">
        <f t="shared" si="96"/>
        <v/>
      </c>
      <c r="DN476" s="251" t="str">
        <f t="shared" si="97"/>
        <v/>
      </c>
      <c r="DO476" s="251" t="str">
        <f t="shared" si="98"/>
        <v/>
      </c>
      <c r="DP476" s="251" t="str">
        <f t="shared" si="99"/>
        <v/>
      </c>
      <c r="DQ476" s="251" t="str">
        <f t="shared" si="100"/>
        <v/>
      </c>
      <c r="DR476" s="251" t="str">
        <f t="shared" si="101"/>
        <v/>
      </c>
      <c r="DS476" s="251" t="str">
        <f t="shared" si="102"/>
        <v/>
      </c>
      <c r="DT476" s="251" t="str">
        <f t="shared" si="103"/>
        <v/>
      </c>
      <c r="DU476" s="251" t="str">
        <f t="shared" si="104"/>
        <v/>
      </c>
      <c r="DV476" s="251" t="str">
        <f t="shared" si="105"/>
        <v/>
      </c>
      <c r="DW476" s="251" t="str">
        <f t="shared" si="106"/>
        <v/>
      </c>
      <c r="DX476" s="251" t="str">
        <f t="shared" si="107"/>
        <v/>
      </c>
      <c r="DY476" s="251" t="str">
        <f t="shared" si="108"/>
        <v/>
      </c>
      <c r="DZ476" s="251" t="str">
        <f t="shared" si="109"/>
        <v/>
      </c>
      <c r="EA476" s="251" t="str">
        <f t="shared" si="110"/>
        <v/>
      </c>
      <c r="EB476" s="251" t="str">
        <f t="shared" si="111"/>
        <v/>
      </c>
      <c r="EC476" s="251" t="str">
        <f t="shared" si="112"/>
        <v/>
      </c>
      <c r="ED476" s="251" t="str">
        <f t="shared" si="113"/>
        <v/>
      </c>
      <c r="EE476" s="251" t="str">
        <f t="shared" si="114"/>
        <v/>
      </c>
      <c r="EF476" s="251" t="str">
        <f t="shared" si="115"/>
        <v/>
      </c>
      <c r="EG476" s="251" t="str">
        <f t="shared" si="116"/>
        <v/>
      </c>
      <c r="EH476" s="251" t="str">
        <f t="shared" si="117"/>
        <v/>
      </c>
      <c r="EI476" s="251" t="str">
        <f t="shared" si="118"/>
        <v/>
      </c>
      <c r="EJ476" s="251" t="str">
        <f t="shared" si="119"/>
        <v/>
      </c>
      <c r="EK476" s="251" t="str">
        <f t="shared" si="120"/>
        <v/>
      </c>
      <c r="EL476" s="251" t="str">
        <f t="shared" si="121"/>
        <v/>
      </c>
      <c r="EM476" s="251" t="str">
        <f t="shared" si="122"/>
        <v/>
      </c>
      <c r="EN476" s="251" t="str">
        <f t="shared" si="123"/>
        <v/>
      </c>
      <c r="EO476" s="251" t="str">
        <f t="shared" si="124"/>
        <v/>
      </c>
      <c r="EP476" s="251" t="str">
        <f t="shared" si="125"/>
        <v/>
      </c>
      <c r="EQ476" s="251" t="str">
        <f t="shared" si="126"/>
        <v/>
      </c>
      <c r="ER476" s="251" t="str">
        <f t="shared" si="127"/>
        <v/>
      </c>
      <c r="ES476" s="251" t="str">
        <f t="shared" si="128"/>
        <v/>
      </c>
      <c r="ET476" s="251" t="str">
        <f t="shared" si="129"/>
        <v/>
      </c>
      <c r="EU476" s="251" t="str">
        <f t="shared" si="130"/>
        <v/>
      </c>
      <c r="EV476" s="251" t="str">
        <f t="shared" si="131"/>
        <v/>
      </c>
      <c r="EW476" s="251" t="str">
        <f t="shared" si="132"/>
        <v/>
      </c>
      <c r="EX476" s="251" t="str">
        <f t="shared" si="133"/>
        <v/>
      </c>
      <c r="EY476" s="251" t="str">
        <f t="shared" si="134"/>
        <v/>
      </c>
      <c r="EZ476" s="251" t="str">
        <f t="shared" si="135"/>
        <v/>
      </c>
      <c r="FA476" s="251" t="str">
        <f t="shared" si="136"/>
        <v/>
      </c>
      <c r="FB476" s="251" t="str">
        <f t="shared" si="137"/>
        <v/>
      </c>
      <c r="FC476" s="251" t="str">
        <f t="shared" si="138"/>
        <v/>
      </c>
      <c r="FD476" s="251" t="str">
        <f t="shared" si="139"/>
        <v/>
      </c>
      <c r="FE476" s="251" t="str">
        <f t="shared" si="140"/>
        <v/>
      </c>
      <c r="FF476" s="251" t="str">
        <f t="shared" si="141"/>
        <v/>
      </c>
      <c r="FG476" s="251" t="str">
        <f t="shared" si="142"/>
        <v/>
      </c>
      <c r="FH476" s="251" t="str">
        <f t="shared" si="143"/>
        <v/>
      </c>
      <c r="FI476" s="251" t="str">
        <f t="shared" si="144"/>
        <v/>
      </c>
      <c r="FJ476" s="251" t="str">
        <f t="shared" si="145"/>
        <v/>
      </c>
      <c r="FK476" s="251" t="str">
        <f t="shared" si="146"/>
        <v/>
      </c>
      <c r="FL476" s="251" t="str">
        <f t="shared" si="147"/>
        <v/>
      </c>
      <c r="FM476" s="251" t="str">
        <f t="shared" si="148"/>
        <v/>
      </c>
      <c r="FN476" s="251" t="str">
        <f t="shared" si="149"/>
        <v/>
      </c>
      <c r="FO476" s="251" t="str">
        <f t="shared" si="150"/>
        <v/>
      </c>
      <c r="FP476" s="251" t="str">
        <f t="shared" si="151"/>
        <v/>
      </c>
      <c r="FQ476" s="251" t="str">
        <f t="shared" si="152"/>
        <v/>
      </c>
      <c r="FR476" s="251" t="str">
        <f t="shared" si="153"/>
        <v/>
      </c>
      <c r="FS476" s="251" t="str">
        <f t="shared" si="154"/>
        <v/>
      </c>
      <c r="FT476" s="251" t="str">
        <f t="shared" si="155"/>
        <v/>
      </c>
      <c r="FU476" s="251" t="str">
        <f t="shared" si="156"/>
        <v/>
      </c>
      <c r="FV476" s="251" t="str">
        <f t="shared" si="157"/>
        <v/>
      </c>
      <c r="FW476" s="251" t="str">
        <f t="shared" si="158"/>
        <v/>
      </c>
      <c r="FX476" s="251" t="str">
        <f t="shared" si="159"/>
        <v/>
      </c>
      <c r="FY476" s="251" t="str">
        <f t="shared" si="160"/>
        <v/>
      </c>
      <c r="FZ476" s="251" t="str">
        <f t="shared" si="161"/>
        <v/>
      </c>
      <c r="GA476" s="251" t="str">
        <f t="shared" si="162"/>
        <v/>
      </c>
      <c r="GB476" s="251" t="str">
        <f t="shared" si="163"/>
        <v/>
      </c>
      <c r="GC476" s="251" t="str">
        <f t="shared" si="164"/>
        <v/>
      </c>
      <c r="GD476" s="251">
        <f t="shared" si="165"/>
        <v>20820</v>
      </c>
      <c r="GE476" s="251" t="str">
        <f t="shared" si="166"/>
        <v/>
      </c>
      <c r="GF476" s="251" t="str">
        <f t="shared" si="167"/>
        <v/>
      </c>
      <c r="GG476" s="251" t="str">
        <f t="shared" si="168"/>
        <v/>
      </c>
      <c r="GH476" s="251" t="str">
        <f t="shared" si="169"/>
        <v/>
      </c>
      <c r="GI476" s="251" t="str">
        <f t="shared" si="170"/>
        <v/>
      </c>
      <c r="GJ476" s="251" t="str">
        <f t="shared" si="171"/>
        <v/>
      </c>
      <c r="GK476" s="251" t="str">
        <f t="shared" si="172"/>
        <v/>
      </c>
      <c r="GL476" s="251" t="str">
        <f t="shared" si="173"/>
        <v/>
      </c>
      <c r="GM476" s="251" t="str">
        <f t="shared" si="174"/>
        <v/>
      </c>
      <c r="GN476" s="251" t="str">
        <f t="shared" si="175"/>
        <v/>
      </c>
      <c r="GO476" s="251" t="str">
        <f t="shared" si="176"/>
        <v/>
      </c>
      <c r="GP476" s="251" t="str">
        <f t="shared" si="177"/>
        <v/>
      </c>
      <c r="GQ476" s="251" t="str">
        <f t="shared" si="178"/>
        <v/>
      </c>
      <c r="GR476" s="251" t="str">
        <f t="shared" si="179"/>
        <v/>
      </c>
      <c r="GS476" s="251" t="str">
        <f t="shared" si="180"/>
        <v/>
      </c>
      <c r="GT476" s="251" t="str">
        <f t="shared" si="181"/>
        <v/>
      </c>
      <c r="GU476" s="251" t="str">
        <f t="shared" si="182"/>
        <v/>
      </c>
      <c r="GV476" s="251" t="str">
        <f t="shared" si="183"/>
        <v/>
      </c>
      <c r="GW476" s="251" t="str">
        <f t="shared" si="184"/>
        <v/>
      </c>
      <c r="GX476" s="251" t="str">
        <f t="shared" si="185"/>
        <v/>
      </c>
      <c r="GY476" s="251" t="str">
        <f t="shared" si="186"/>
        <v/>
      </c>
      <c r="GZ476" s="251" t="str">
        <f t="shared" si="187"/>
        <v/>
      </c>
      <c r="HA476" s="251" t="str">
        <f t="shared" si="188"/>
        <v/>
      </c>
      <c r="HB476" s="251" t="str">
        <f t="shared" si="189"/>
        <v/>
      </c>
      <c r="HC476" s="251" t="str">
        <f t="shared" si="190"/>
        <v/>
      </c>
      <c r="HD476" s="251" t="str">
        <f t="shared" si="191"/>
        <v/>
      </c>
      <c r="HE476" s="251" t="str">
        <f t="shared" si="192"/>
        <v/>
      </c>
      <c r="HF476" s="251" t="str">
        <f t="shared" si="193"/>
        <v/>
      </c>
      <c r="HG476" s="251" t="str">
        <f t="shared" si="194"/>
        <v/>
      </c>
      <c r="HH476" s="251" t="str">
        <f t="shared" si="195"/>
        <v/>
      </c>
      <c r="HI476" s="251" t="str">
        <f t="shared" si="196"/>
        <v/>
      </c>
      <c r="HJ476" s="251" t="str">
        <f t="shared" si="197"/>
        <v/>
      </c>
      <c r="HK476" s="251" t="str">
        <f t="shared" si="198"/>
        <v/>
      </c>
      <c r="HL476" s="251" t="str">
        <f t="shared" si="199"/>
        <v/>
      </c>
      <c r="HM476" s="251" t="str">
        <f t="shared" si="200"/>
        <v/>
      </c>
      <c r="HN476" s="251" t="str">
        <f t="shared" si="201"/>
        <v/>
      </c>
      <c r="HO476" s="251" t="str">
        <f t="shared" si="202"/>
        <v/>
      </c>
      <c r="HP476" s="251" t="str">
        <f t="shared" si="203"/>
        <v/>
      </c>
      <c r="HQ476" s="251" t="str">
        <f t="shared" si="204"/>
        <v/>
      </c>
      <c r="HR476" s="251" t="str">
        <f t="shared" si="205"/>
        <v/>
      </c>
      <c r="HS476" s="251" t="str">
        <f t="shared" si="206"/>
        <v/>
      </c>
      <c r="HT476" s="251" t="str">
        <f t="shared" si="207"/>
        <v/>
      </c>
      <c r="HU476" s="251" t="str">
        <f t="shared" si="208"/>
        <v/>
      </c>
      <c r="HV476" s="251" t="str">
        <f t="shared" si="209"/>
        <v/>
      </c>
      <c r="HW476" s="251" t="str">
        <f t="shared" si="210"/>
        <v/>
      </c>
      <c r="HX476" s="251" t="str">
        <f t="shared" si="211"/>
        <v/>
      </c>
      <c r="HY476" s="251" t="str">
        <f t="shared" si="212"/>
        <v/>
      </c>
      <c r="HZ476" s="251" t="str">
        <f t="shared" si="213"/>
        <v/>
      </c>
      <c r="IA476" s="251" t="str">
        <f t="shared" si="214"/>
        <v/>
      </c>
      <c r="IB476" s="251" t="str">
        <f t="shared" si="215"/>
        <v/>
      </c>
      <c r="IC476" s="251" t="str">
        <f t="shared" si="216"/>
        <v/>
      </c>
      <c r="ID476" s="251" t="str">
        <f t="shared" si="217"/>
        <v/>
      </c>
      <c r="IE476" s="251" t="str">
        <f t="shared" si="218"/>
        <v/>
      </c>
      <c r="IF476" s="251" t="str">
        <f t="shared" si="219"/>
        <v/>
      </c>
      <c r="IG476" s="251">
        <f t="shared" si="220"/>
        <v>20</v>
      </c>
      <c r="IH476" s="251" t="str">
        <f t="shared" si="221"/>
        <v/>
      </c>
      <c r="II476" s="251" t="str">
        <f t="shared" si="222"/>
        <v/>
      </c>
      <c r="IJ476" s="251" t="str">
        <f t="shared" si="223"/>
        <v/>
      </c>
      <c r="IK476" s="251" t="str">
        <f t="shared" si="224"/>
        <v/>
      </c>
      <c r="IL476" s="251" t="str">
        <f t="shared" si="225"/>
        <v/>
      </c>
      <c r="IM476" s="251" t="str">
        <f t="shared" si="226"/>
        <v/>
      </c>
      <c r="IN476" s="251" t="str">
        <f t="shared" si="227"/>
        <v/>
      </c>
      <c r="IO476" s="251" t="str">
        <f t="shared" si="228"/>
        <v/>
      </c>
      <c r="IP476" s="251" t="str">
        <f t="shared" si="229"/>
        <v/>
      </c>
      <c r="IQ476" s="251" t="str">
        <f t="shared" si="230"/>
        <v/>
      </c>
      <c r="IR476" s="251" t="str">
        <f t="shared" si="231"/>
        <v/>
      </c>
      <c r="IS476" s="251" t="str">
        <f t="shared" si="232"/>
        <v/>
      </c>
      <c r="IT476" s="251" t="str">
        <f t="shared" si="233"/>
        <v/>
      </c>
      <c r="IU476" s="251" t="str">
        <f t="shared" si="234"/>
        <v/>
      </c>
      <c r="IV476" s="251" t="str">
        <f t="shared" si="235"/>
        <v/>
      </c>
      <c r="IW476" s="251" t="str">
        <f t="shared" si="236"/>
        <v/>
      </c>
      <c r="IX476" s="251" t="str">
        <f t="shared" si="237"/>
        <v/>
      </c>
      <c r="IY476" s="251" t="str">
        <f t="shared" si="238"/>
        <v/>
      </c>
      <c r="IZ476" s="251" t="str">
        <f t="shared" si="239"/>
        <v/>
      </c>
      <c r="JA476" s="251" t="str">
        <f t="shared" si="240"/>
        <v/>
      </c>
      <c r="JB476" s="251" t="str">
        <f t="shared" si="241"/>
        <v/>
      </c>
      <c r="JC476" s="251" t="str">
        <f t="shared" si="242"/>
        <v/>
      </c>
      <c r="JD476" s="251" t="str">
        <f t="shared" si="243"/>
        <v/>
      </c>
      <c r="JE476" s="251" t="str">
        <f t="shared" si="244"/>
        <v/>
      </c>
      <c r="JF476" s="251" t="str">
        <f t="shared" si="245"/>
        <v/>
      </c>
      <c r="JG476" s="251" t="str">
        <f t="shared" si="246"/>
        <v/>
      </c>
      <c r="JH476" s="251" t="str">
        <f t="shared" si="247"/>
        <v/>
      </c>
      <c r="JI476" s="1297" t="str">
        <f t="shared" si="248"/>
        <v/>
      </c>
      <c r="JJ476" s="1297" t="str">
        <f t="shared" si="249"/>
        <v/>
      </c>
      <c r="JK476" s="1297">
        <f t="shared" si="250"/>
        <v>20</v>
      </c>
      <c r="JL476" s="1297" t="str">
        <f t="shared" si="251"/>
        <v/>
      </c>
      <c r="JM476" s="1297" t="str">
        <f t="shared" si="252"/>
        <v/>
      </c>
      <c r="JN476" s="1297" t="str">
        <f t="shared" si="253"/>
        <v/>
      </c>
      <c r="JO476" s="1297" t="str">
        <f t="shared" si="254"/>
        <v/>
      </c>
      <c r="JP476" s="1297" t="str">
        <f t="shared" si="255"/>
        <v/>
      </c>
      <c r="JQ476" s="1297" t="str">
        <f t="shared" si="256"/>
        <v/>
      </c>
      <c r="JR476" s="1297" t="str">
        <f t="shared" si="257"/>
        <v/>
      </c>
      <c r="JS476" s="1297" t="str">
        <f t="shared" si="258"/>
        <v/>
      </c>
      <c r="JT476" s="1297" t="str">
        <f t="shared" si="259"/>
        <v/>
      </c>
      <c r="JU476" s="1297" t="str">
        <f t="shared" si="260"/>
        <v/>
      </c>
      <c r="JV476" s="1297" t="str">
        <f t="shared" si="261"/>
        <v/>
      </c>
      <c r="JW476" s="1297" t="str">
        <f t="shared" si="262"/>
        <v/>
      </c>
      <c r="JX476" s="1297" t="str">
        <f t="shared" si="263"/>
        <v/>
      </c>
      <c r="JY476" s="1297" t="str">
        <f t="shared" si="264"/>
        <v/>
      </c>
      <c r="JZ476" s="1297" t="str">
        <f t="shared" si="265"/>
        <v/>
      </c>
      <c r="KA476" s="1297" t="str">
        <f t="shared" si="266"/>
        <v/>
      </c>
      <c r="KB476" s="1297" t="str">
        <f t="shared" si="267"/>
        <v/>
      </c>
      <c r="KC476" s="1297" t="str">
        <f t="shared" si="268"/>
        <v/>
      </c>
      <c r="KD476" s="1297" t="str">
        <f t="shared" si="269"/>
        <v/>
      </c>
      <c r="KE476" s="1297" t="str">
        <f t="shared" si="270"/>
        <v/>
      </c>
      <c r="KF476" s="1297" t="str">
        <f t="shared" si="271"/>
        <v/>
      </c>
      <c r="KG476" s="1297" t="str">
        <f t="shared" si="272"/>
        <v/>
      </c>
      <c r="KH476" s="1297" t="str">
        <f t="shared" si="273"/>
        <v/>
      </c>
      <c r="KI476" s="1297" t="str">
        <f t="shared" si="274"/>
        <v/>
      </c>
      <c r="KJ476" s="1297" t="str">
        <f t="shared" si="275"/>
        <v/>
      </c>
      <c r="KK476" s="1297" t="str">
        <f t="shared" si="276"/>
        <v/>
      </c>
      <c r="KL476" s="1297" t="str">
        <f t="shared" si="277"/>
        <v/>
      </c>
      <c r="KM476" s="1297" t="str">
        <f t="shared" si="278"/>
        <v/>
      </c>
      <c r="KN476" s="1297" t="str">
        <f t="shared" si="279"/>
        <v/>
      </c>
      <c r="KO476" s="1297" t="str">
        <f t="shared" si="280"/>
        <v/>
      </c>
      <c r="KP476" s="1297" t="str">
        <f t="shared" si="281"/>
        <v/>
      </c>
      <c r="KQ476" s="1297" t="str">
        <f t="shared" si="282"/>
        <v/>
      </c>
      <c r="KR476" s="1297" t="str">
        <f t="shared" si="283"/>
        <v/>
      </c>
      <c r="KS476" s="1297" t="str">
        <f t="shared" si="284"/>
        <v/>
      </c>
      <c r="KT476" s="1297" t="str">
        <f t="shared" si="285"/>
        <v/>
      </c>
      <c r="KU476" s="1297" t="str">
        <f t="shared" si="286"/>
        <v/>
      </c>
      <c r="KV476" s="1297" t="str">
        <f t="shared" si="287"/>
        <v/>
      </c>
      <c r="KW476" s="1297" t="str">
        <f t="shared" si="288"/>
        <v/>
      </c>
      <c r="KX476" s="1297" t="str">
        <f t="shared" si="289"/>
        <v/>
      </c>
      <c r="KY476" s="1297" t="str">
        <f t="shared" si="290"/>
        <v/>
      </c>
      <c r="KZ476" s="1297" t="str">
        <f t="shared" si="291"/>
        <v/>
      </c>
      <c r="LA476" s="1297" t="str">
        <f t="shared" si="292"/>
        <v/>
      </c>
      <c r="LB476" s="1297" t="str">
        <f t="shared" si="293"/>
        <v/>
      </c>
      <c r="LC476" s="1297" t="str">
        <f t="shared" si="294"/>
        <v/>
      </c>
      <c r="LD476" s="1297">
        <f t="shared" si="295"/>
        <v>20</v>
      </c>
      <c r="LE476" s="1297" t="str">
        <f t="shared" si="296"/>
        <v/>
      </c>
      <c r="LF476" s="1297" t="str">
        <f t="shared" si="297"/>
        <v/>
      </c>
      <c r="LG476" s="1297" t="str">
        <f t="shared" si="298"/>
        <v/>
      </c>
      <c r="LH476" s="1297" t="str">
        <f t="shared" si="299"/>
        <v/>
      </c>
      <c r="LI476" s="1297" t="str">
        <f t="shared" si="300"/>
        <v/>
      </c>
      <c r="LJ476" s="1297" t="str">
        <f t="shared" si="301"/>
        <v/>
      </c>
      <c r="LK476" s="1297" t="str">
        <f t="shared" si="302"/>
        <v/>
      </c>
      <c r="LL476" s="1297" t="str">
        <f t="shared" si="303"/>
        <v/>
      </c>
      <c r="LM476" s="1297" t="str">
        <f t="shared" si="304"/>
        <v/>
      </c>
      <c r="LN476" s="1297" t="str">
        <f t="shared" si="305"/>
        <v/>
      </c>
      <c r="LO476" s="1297" t="str">
        <f t="shared" si="306"/>
        <v/>
      </c>
      <c r="LP476" s="1297" t="str">
        <f t="shared" si="307"/>
        <v/>
      </c>
      <c r="LQ476" s="1297" t="str">
        <f t="shared" si="308"/>
        <v/>
      </c>
      <c r="LR476" s="1297" t="str">
        <f t="shared" si="309"/>
        <v/>
      </c>
      <c r="LS476" s="1297" t="str">
        <f t="shared" si="310"/>
        <v/>
      </c>
      <c r="LT476" s="1297" t="str">
        <f t="shared" si="311"/>
        <v/>
      </c>
      <c r="LU476" s="1297" t="str">
        <f t="shared" si="312"/>
        <v/>
      </c>
      <c r="LV476" s="1297" t="str">
        <f t="shared" si="313"/>
        <v/>
      </c>
      <c r="LW476" s="1297" t="str">
        <f t="shared" si="314"/>
        <v/>
      </c>
      <c r="LX476" s="1297" t="str">
        <f t="shared" si="315"/>
        <v/>
      </c>
      <c r="LY476" s="1297" t="str">
        <f t="shared" si="316"/>
        <v/>
      </c>
      <c r="LZ476" s="1297" t="str">
        <f t="shared" si="317"/>
        <v/>
      </c>
      <c r="MA476" s="1297" t="str">
        <f t="shared" si="318"/>
        <v/>
      </c>
      <c r="MB476" s="1297" t="str">
        <f t="shared" si="319"/>
        <v/>
      </c>
      <c r="MC476" s="1297" t="str">
        <f t="shared" si="320"/>
        <v/>
      </c>
      <c r="MD476" s="1297" t="str">
        <f t="shared" si="321"/>
        <v/>
      </c>
      <c r="ME476" s="1297" t="str">
        <f t="shared" si="322"/>
        <v/>
      </c>
      <c r="MF476" s="1297" t="str">
        <f t="shared" si="323"/>
        <v/>
      </c>
      <c r="MG476" s="1297" t="str">
        <f t="shared" si="324"/>
        <v/>
      </c>
      <c r="MH476" s="1297" t="str">
        <f t="shared" si="325"/>
        <v/>
      </c>
      <c r="MI476" s="1297" t="str">
        <f t="shared" si="326"/>
        <v/>
      </c>
      <c r="MJ476" s="1297" t="str">
        <f t="shared" si="327"/>
        <v/>
      </c>
      <c r="MK476" s="1297" t="str">
        <f t="shared" si="328"/>
        <v/>
      </c>
      <c r="ML476" s="1297" t="str">
        <f t="shared" si="329"/>
        <v/>
      </c>
      <c r="MM476" s="1297" t="str">
        <f t="shared" si="330"/>
        <v/>
      </c>
      <c r="MN476" s="1297" t="str">
        <f t="shared" si="331"/>
        <v/>
      </c>
      <c r="MO476" s="1297" t="str">
        <f t="shared" si="332"/>
        <v/>
      </c>
      <c r="MP476" s="1773" t="str">
        <f t="shared" si="333"/>
        <v/>
      </c>
      <c r="MQ476" s="1773" t="str">
        <f t="shared" si="334"/>
        <v/>
      </c>
      <c r="MR476" s="1773" t="str">
        <f t="shared" si="335"/>
        <v/>
      </c>
      <c r="MS476" s="1773" t="str">
        <f t="shared" si="336"/>
        <v/>
      </c>
      <c r="MT476" s="1773" t="str">
        <f t="shared" si="337"/>
        <v/>
      </c>
      <c r="MU476" s="251" t="str">
        <f t="shared" si="338"/>
        <v/>
      </c>
      <c r="MV476" s="251" t="str">
        <f t="shared" si="339"/>
        <v/>
      </c>
      <c r="MW476" s="251" t="str">
        <f t="shared" si="340"/>
        <v/>
      </c>
      <c r="MX476" s="251" t="str">
        <f t="shared" si="341"/>
        <v/>
      </c>
      <c r="MY476" s="251" t="str">
        <f t="shared" si="342"/>
        <v/>
      </c>
      <c r="MZ476" s="251" t="str">
        <f t="shared" si="343"/>
        <v/>
      </c>
      <c r="NA476" s="251" t="str">
        <f t="shared" si="344"/>
        <v/>
      </c>
      <c r="NB476" s="251" t="str">
        <f t="shared" si="345"/>
        <v/>
      </c>
      <c r="NC476" s="251" t="str">
        <f t="shared" si="346"/>
        <v/>
      </c>
      <c r="ND476" s="251" t="str">
        <f t="shared" si="347"/>
        <v/>
      </c>
      <c r="NE476" s="251" t="str">
        <f t="shared" si="348"/>
        <v/>
      </c>
      <c r="NF476" s="251" t="str">
        <f t="shared" si="349"/>
        <v/>
      </c>
      <c r="NG476" s="251" t="str">
        <f t="shared" si="350"/>
        <v/>
      </c>
      <c r="NH476" s="251" t="str">
        <f t="shared" si="351"/>
        <v/>
      </c>
      <c r="NI476" s="251" t="str">
        <f t="shared" si="352"/>
        <v/>
      </c>
      <c r="NJ476" s="251" t="str">
        <f t="shared" si="353"/>
        <v/>
      </c>
      <c r="NK476" s="251" t="str">
        <f t="shared" si="354"/>
        <v/>
      </c>
      <c r="NL476" s="251" t="str">
        <f t="shared" si="355"/>
        <v/>
      </c>
      <c r="NM476" s="251" t="str">
        <f t="shared" si="356"/>
        <v/>
      </c>
      <c r="NN476" s="251" t="str">
        <f t="shared" si="357"/>
        <v/>
      </c>
      <c r="NO476" s="1185">
        <f t="shared" si="358"/>
        <v>0</v>
      </c>
      <c r="NP476" s="1185">
        <f t="shared" si="359"/>
        <v>0</v>
      </c>
      <c r="NQ476" s="1185">
        <f t="shared" si="360"/>
        <v>20</v>
      </c>
      <c r="NR476" s="1185">
        <f t="shared" si="361"/>
        <v>0</v>
      </c>
      <c r="NS476" s="1185">
        <f t="shared" si="362"/>
        <v>0</v>
      </c>
      <c r="NT476" s="1185">
        <f t="shared" si="368"/>
        <v>0</v>
      </c>
      <c r="NU476" s="1185">
        <f t="shared" si="369"/>
        <v>0</v>
      </c>
      <c r="NV476" s="1185">
        <f t="shared" si="370"/>
        <v>0</v>
      </c>
      <c r="NW476" s="1185">
        <f t="shared" si="371"/>
        <v>0</v>
      </c>
      <c r="NX476" s="1185">
        <f t="shared" si="372"/>
        <v>0</v>
      </c>
      <c r="NY476" s="1185">
        <f t="shared" si="363"/>
        <v>0</v>
      </c>
      <c r="NZ476" s="1185">
        <f t="shared" si="364"/>
        <v>0</v>
      </c>
      <c r="OA476" s="1185">
        <f t="shared" si="365"/>
        <v>0</v>
      </c>
      <c r="OB476" s="1185">
        <f t="shared" si="366"/>
        <v>0</v>
      </c>
      <c r="OC476" s="1185">
        <f t="shared" si="367"/>
        <v>0</v>
      </c>
      <c r="OY476" s="251" t="s">
        <v>1171</v>
      </c>
      <c r="OZ476" s="1296">
        <v>23</v>
      </c>
    </row>
    <row r="477" spans="1:416" ht="12" customHeight="1">
      <c r="A477" s="1979" t="str">
        <f t="shared" si="0"/>
        <v/>
      </c>
      <c r="B477" s="1998">
        <f>'Part V-Revenues &amp; Expenses'!B24</f>
        <v>60</v>
      </c>
      <c r="C477" s="1999">
        <f>'Part V-Revenues &amp; Expenses'!C24</f>
        <v>3</v>
      </c>
      <c r="D477" s="2000">
        <f>'Part V-Revenues &amp; Expenses'!D24</f>
        <v>2</v>
      </c>
      <c r="E477" s="2001">
        <f>'Part V-Revenues &amp; Expenses'!E24</f>
        <v>9</v>
      </c>
      <c r="F477" s="2001">
        <f>'Part V-Revenues &amp; Expenses'!F24</f>
        <v>1170</v>
      </c>
      <c r="G477" s="2001">
        <f>'Part V-Revenues &amp; Expenses'!G24</f>
        <v>1070</v>
      </c>
      <c r="H477" s="2001">
        <f>'Part V-Revenues &amp; Expenses'!H24</f>
        <v>1060</v>
      </c>
      <c r="I477" s="2001">
        <f>'Part V-Revenues &amp; Expenses'!I24</f>
        <v>0</v>
      </c>
      <c r="J477" s="2001">
        <f>'Part V-Revenues &amp; Expenses'!J24</f>
        <v>238</v>
      </c>
      <c r="K477" s="2002">
        <f>'Part V-Revenues &amp; Expenses'!K24</f>
        <v>0</v>
      </c>
      <c r="L477" s="2003">
        <f t="shared" si="1"/>
        <v>822</v>
      </c>
      <c r="M477" s="2003">
        <f t="shared" si="2"/>
        <v>7398</v>
      </c>
      <c r="N477" s="1853" t="str">
        <f>'Part V-Revenues &amp; Expenses'!N24</f>
        <v>No</v>
      </c>
      <c r="O477" s="899" t="str">
        <f>'Part V-Revenues &amp; Expenses'!O24</f>
        <v>Low-Rise Apt</v>
      </c>
      <c r="P477" s="1853" t="str">
        <f>'Part V-Revenues &amp; Expenses'!P24</f>
        <v>Acquisition/Rehab</v>
      </c>
      <c r="Q477" s="1772" t="str">
        <f>'Part V-Revenues &amp; Expenses'!Q24</f>
        <v>No</v>
      </c>
      <c r="R477" s="2004"/>
      <c r="S477" s="2005"/>
      <c r="T477" s="1920"/>
      <c r="U477" s="1920"/>
      <c r="V477" s="1920"/>
      <c r="W477" s="1920"/>
      <c r="X477" s="251" t="str">
        <f t="shared" si="3"/>
        <v/>
      </c>
      <c r="Y477" s="251" t="str">
        <f t="shared" si="4"/>
        <v/>
      </c>
      <c r="Z477" s="251" t="str">
        <f t="shared" si="5"/>
        <v/>
      </c>
      <c r="AA477" s="251" t="str">
        <f t="shared" si="6"/>
        <v/>
      </c>
      <c r="AB477" s="251" t="str">
        <f t="shared" si="7"/>
        <v/>
      </c>
      <c r="AC477" s="251" t="str">
        <f t="shared" si="8"/>
        <v/>
      </c>
      <c r="AD477" s="251" t="str">
        <f t="shared" si="9"/>
        <v/>
      </c>
      <c r="AE477" s="251" t="str">
        <f t="shared" si="10"/>
        <v/>
      </c>
      <c r="AF477" s="251" t="str">
        <f t="shared" si="11"/>
        <v/>
      </c>
      <c r="AG477" s="251" t="str">
        <f t="shared" si="12"/>
        <v/>
      </c>
      <c r="AH477" s="251" t="str">
        <f t="shared" si="13"/>
        <v/>
      </c>
      <c r="AI477" s="251" t="str">
        <f t="shared" si="14"/>
        <v/>
      </c>
      <c r="AJ477" s="251" t="str">
        <f t="shared" si="15"/>
        <v/>
      </c>
      <c r="AK477" s="251">
        <f t="shared" si="16"/>
        <v>9</v>
      </c>
      <c r="AL477" s="251" t="str">
        <f t="shared" si="17"/>
        <v/>
      </c>
      <c r="AM477" s="251" t="str">
        <f t="shared" si="18"/>
        <v/>
      </c>
      <c r="AN477" s="251" t="str">
        <f t="shared" si="19"/>
        <v/>
      </c>
      <c r="AO477" s="251" t="str">
        <f t="shared" si="20"/>
        <v/>
      </c>
      <c r="AP477" s="251" t="str">
        <f t="shared" si="21"/>
        <v/>
      </c>
      <c r="AQ477" s="251" t="str">
        <f t="shared" si="22"/>
        <v/>
      </c>
      <c r="AR477" s="251" t="str">
        <f t="shared" si="23"/>
        <v/>
      </c>
      <c r="AS477" s="251" t="str">
        <f t="shared" si="24"/>
        <v/>
      </c>
      <c r="AT477" s="251" t="str">
        <f t="shared" si="25"/>
        <v/>
      </c>
      <c r="AU477" s="251" t="str">
        <f t="shared" si="26"/>
        <v/>
      </c>
      <c r="AV477" s="251" t="str">
        <f t="shared" si="27"/>
        <v/>
      </c>
      <c r="AW477" s="251" t="str">
        <f t="shared" si="28"/>
        <v/>
      </c>
      <c r="AX477" s="251" t="str">
        <f t="shared" si="29"/>
        <v/>
      </c>
      <c r="AY477" s="251" t="str">
        <f t="shared" si="30"/>
        <v/>
      </c>
      <c r="AZ477" s="251" t="str">
        <f t="shared" si="31"/>
        <v/>
      </c>
      <c r="BA477" s="251" t="str">
        <f t="shared" si="32"/>
        <v/>
      </c>
      <c r="BB477" s="251" t="str">
        <f t="shared" si="33"/>
        <v/>
      </c>
      <c r="BC477" s="251" t="str">
        <f t="shared" si="34"/>
        <v/>
      </c>
      <c r="BD477" s="251" t="str">
        <f t="shared" si="35"/>
        <v/>
      </c>
      <c r="BE477" s="251" t="str">
        <f t="shared" si="36"/>
        <v/>
      </c>
      <c r="BF477" s="251" t="str">
        <f t="shared" si="37"/>
        <v/>
      </c>
      <c r="BG477" s="251" t="str">
        <f t="shared" si="38"/>
        <v/>
      </c>
      <c r="BH477" s="251" t="str">
        <f t="shared" si="39"/>
        <v/>
      </c>
      <c r="BI477" s="251" t="str">
        <f t="shared" si="40"/>
        <v/>
      </c>
      <c r="BJ477" s="251" t="str">
        <f t="shared" si="41"/>
        <v/>
      </c>
      <c r="BK477" s="251" t="str">
        <f t="shared" si="42"/>
        <v/>
      </c>
      <c r="BL477" s="251" t="str">
        <f t="shared" si="43"/>
        <v/>
      </c>
      <c r="BM477" s="251" t="str">
        <f t="shared" si="44"/>
        <v/>
      </c>
      <c r="BN477" s="251" t="str">
        <f t="shared" si="45"/>
        <v/>
      </c>
      <c r="BO477" s="251" t="str">
        <f t="shared" si="46"/>
        <v/>
      </c>
      <c r="BP477" s="251" t="str">
        <f t="shared" si="47"/>
        <v/>
      </c>
      <c r="BQ477" s="251" t="str">
        <f t="shared" si="48"/>
        <v/>
      </c>
      <c r="BR477" s="251" t="str">
        <f t="shared" si="49"/>
        <v/>
      </c>
      <c r="BS477" s="251" t="str">
        <f t="shared" si="50"/>
        <v/>
      </c>
      <c r="BT477" s="251" t="str">
        <f t="shared" si="51"/>
        <v/>
      </c>
      <c r="BU477" s="251" t="str">
        <f t="shared" si="52"/>
        <v/>
      </c>
      <c r="BV477" s="251" t="str">
        <f t="shared" si="53"/>
        <v/>
      </c>
      <c r="BW477" s="251" t="str">
        <f t="shared" si="54"/>
        <v/>
      </c>
      <c r="BX477" s="251" t="str">
        <f t="shared" si="55"/>
        <v/>
      </c>
      <c r="BY477" s="251" t="str">
        <f t="shared" si="56"/>
        <v/>
      </c>
      <c r="BZ477" s="251" t="str">
        <f t="shared" si="57"/>
        <v/>
      </c>
      <c r="CA477" s="251" t="str">
        <f t="shared" si="58"/>
        <v/>
      </c>
      <c r="CB477" s="251" t="str">
        <f t="shared" si="59"/>
        <v/>
      </c>
      <c r="CC477" s="251" t="str">
        <f t="shared" si="60"/>
        <v/>
      </c>
      <c r="CD477" s="251" t="str">
        <f t="shared" si="61"/>
        <v/>
      </c>
      <c r="CE477" s="251" t="str">
        <f t="shared" si="62"/>
        <v/>
      </c>
      <c r="CF477" s="251" t="str">
        <f t="shared" si="63"/>
        <v/>
      </c>
      <c r="CG477" s="251" t="str">
        <f t="shared" si="64"/>
        <v/>
      </c>
      <c r="CH477" s="251" t="str">
        <f t="shared" si="65"/>
        <v/>
      </c>
      <c r="CI477" s="251" t="str">
        <f t="shared" si="66"/>
        <v/>
      </c>
      <c r="CJ477" s="251" t="str">
        <f t="shared" si="67"/>
        <v/>
      </c>
      <c r="CK477" s="251" t="str">
        <f t="shared" si="68"/>
        <v/>
      </c>
      <c r="CL477" s="251" t="str">
        <f t="shared" si="69"/>
        <v/>
      </c>
      <c r="CM477" s="251" t="str">
        <f t="shared" si="70"/>
        <v/>
      </c>
      <c r="CN477" s="251" t="str">
        <f t="shared" si="71"/>
        <v/>
      </c>
      <c r="CO477" s="251" t="str">
        <f t="shared" si="72"/>
        <v/>
      </c>
      <c r="CP477" s="251" t="str">
        <f t="shared" si="73"/>
        <v/>
      </c>
      <c r="CQ477" s="251" t="str">
        <f t="shared" si="74"/>
        <v/>
      </c>
      <c r="CR477" s="251" t="str">
        <f t="shared" si="75"/>
        <v/>
      </c>
      <c r="CS477" s="251" t="str">
        <f t="shared" si="76"/>
        <v/>
      </c>
      <c r="CT477" s="251" t="str">
        <f t="shared" si="77"/>
        <v/>
      </c>
      <c r="CU477" s="251" t="str">
        <f t="shared" si="78"/>
        <v/>
      </c>
      <c r="CV477" s="251" t="str">
        <f t="shared" si="79"/>
        <v/>
      </c>
      <c r="CW477" s="251" t="str">
        <f t="shared" si="80"/>
        <v/>
      </c>
      <c r="CX477" s="251" t="str">
        <f t="shared" si="81"/>
        <v/>
      </c>
      <c r="CY477" s="251" t="str">
        <f t="shared" si="82"/>
        <v/>
      </c>
      <c r="CZ477" s="251" t="str">
        <f t="shared" si="83"/>
        <v/>
      </c>
      <c r="DA477" s="251" t="str">
        <f t="shared" si="84"/>
        <v/>
      </c>
      <c r="DB477" s="251" t="str">
        <f t="shared" si="85"/>
        <v/>
      </c>
      <c r="DC477" s="251" t="str">
        <f t="shared" si="86"/>
        <v/>
      </c>
      <c r="DD477" s="251" t="str">
        <f t="shared" si="87"/>
        <v/>
      </c>
      <c r="DE477" s="251" t="str">
        <f t="shared" si="88"/>
        <v/>
      </c>
      <c r="DF477" s="251" t="str">
        <f t="shared" si="89"/>
        <v/>
      </c>
      <c r="DG477" s="251" t="str">
        <f t="shared" si="90"/>
        <v/>
      </c>
      <c r="DH477" s="251" t="str">
        <f t="shared" si="91"/>
        <v/>
      </c>
      <c r="DI477" s="251" t="str">
        <f t="shared" si="92"/>
        <v/>
      </c>
      <c r="DJ477" s="251" t="str">
        <f t="shared" si="93"/>
        <v/>
      </c>
      <c r="DK477" s="251" t="str">
        <f t="shared" si="94"/>
        <v/>
      </c>
      <c r="DL477" s="251" t="str">
        <f t="shared" si="95"/>
        <v/>
      </c>
      <c r="DM477" s="251" t="str">
        <f t="shared" si="96"/>
        <v/>
      </c>
      <c r="DN477" s="251" t="str">
        <f t="shared" si="97"/>
        <v/>
      </c>
      <c r="DO477" s="251" t="str">
        <f t="shared" si="98"/>
        <v/>
      </c>
      <c r="DP477" s="251" t="str">
        <f t="shared" si="99"/>
        <v/>
      </c>
      <c r="DQ477" s="251" t="str">
        <f t="shared" si="100"/>
        <v/>
      </c>
      <c r="DR477" s="251" t="str">
        <f t="shared" si="101"/>
        <v/>
      </c>
      <c r="DS477" s="251" t="str">
        <f t="shared" si="102"/>
        <v/>
      </c>
      <c r="DT477" s="251" t="str">
        <f t="shared" si="103"/>
        <v/>
      </c>
      <c r="DU477" s="251" t="str">
        <f t="shared" si="104"/>
        <v/>
      </c>
      <c r="DV477" s="251" t="str">
        <f t="shared" si="105"/>
        <v/>
      </c>
      <c r="DW477" s="251" t="str">
        <f t="shared" si="106"/>
        <v/>
      </c>
      <c r="DX477" s="251" t="str">
        <f t="shared" si="107"/>
        <v/>
      </c>
      <c r="DY477" s="251" t="str">
        <f t="shared" si="108"/>
        <v/>
      </c>
      <c r="DZ477" s="251" t="str">
        <f t="shared" si="109"/>
        <v/>
      </c>
      <c r="EA477" s="251" t="str">
        <f t="shared" si="110"/>
        <v/>
      </c>
      <c r="EB477" s="251" t="str">
        <f t="shared" si="111"/>
        <v/>
      </c>
      <c r="EC477" s="251" t="str">
        <f t="shared" si="112"/>
        <v/>
      </c>
      <c r="ED477" s="251" t="str">
        <f t="shared" si="113"/>
        <v/>
      </c>
      <c r="EE477" s="251" t="str">
        <f t="shared" si="114"/>
        <v/>
      </c>
      <c r="EF477" s="251" t="str">
        <f t="shared" si="115"/>
        <v/>
      </c>
      <c r="EG477" s="251" t="str">
        <f t="shared" si="116"/>
        <v/>
      </c>
      <c r="EH477" s="251" t="str">
        <f t="shared" si="117"/>
        <v/>
      </c>
      <c r="EI477" s="251" t="str">
        <f t="shared" si="118"/>
        <v/>
      </c>
      <c r="EJ477" s="251" t="str">
        <f t="shared" si="119"/>
        <v/>
      </c>
      <c r="EK477" s="251" t="str">
        <f t="shared" si="120"/>
        <v/>
      </c>
      <c r="EL477" s="251" t="str">
        <f t="shared" si="121"/>
        <v/>
      </c>
      <c r="EM477" s="251" t="str">
        <f t="shared" si="122"/>
        <v/>
      </c>
      <c r="EN477" s="251" t="str">
        <f t="shared" si="123"/>
        <v/>
      </c>
      <c r="EO477" s="251" t="str">
        <f t="shared" si="124"/>
        <v/>
      </c>
      <c r="EP477" s="251" t="str">
        <f t="shared" si="125"/>
        <v/>
      </c>
      <c r="EQ477" s="251" t="str">
        <f t="shared" si="126"/>
        <v/>
      </c>
      <c r="ER477" s="251" t="str">
        <f t="shared" si="127"/>
        <v/>
      </c>
      <c r="ES477" s="251" t="str">
        <f t="shared" si="128"/>
        <v/>
      </c>
      <c r="ET477" s="251" t="str">
        <f t="shared" si="129"/>
        <v/>
      </c>
      <c r="EU477" s="251" t="str">
        <f t="shared" si="130"/>
        <v/>
      </c>
      <c r="EV477" s="251" t="str">
        <f t="shared" si="131"/>
        <v/>
      </c>
      <c r="EW477" s="251" t="str">
        <f t="shared" si="132"/>
        <v/>
      </c>
      <c r="EX477" s="251" t="str">
        <f t="shared" si="133"/>
        <v/>
      </c>
      <c r="EY477" s="251" t="str">
        <f t="shared" si="134"/>
        <v/>
      </c>
      <c r="EZ477" s="251" t="str">
        <f t="shared" si="135"/>
        <v/>
      </c>
      <c r="FA477" s="251" t="str">
        <f t="shared" si="136"/>
        <v/>
      </c>
      <c r="FB477" s="251" t="str">
        <f t="shared" si="137"/>
        <v/>
      </c>
      <c r="FC477" s="251" t="str">
        <f t="shared" si="138"/>
        <v/>
      </c>
      <c r="FD477" s="251" t="str">
        <f t="shared" si="139"/>
        <v/>
      </c>
      <c r="FE477" s="251" t="str">
        <f t="shared" si="140"/>
        <v/>
      </c>
      <c r="FF477" s="251" t="str">
        <f t="shared" si="141"/>
        <v/>
      </c>
      <c r="FG477" s="251" t="str">
        <f t="shared" si="142"/>
        <v/>
      </c>
      <c r="FH477" s="251" t="str">
        <f t="shared" si="143"/>
        <v/>
      </c>
      <c r="FI477" s="251" t="str">
        <f t="shared" si="144"/>
        <v/>
      </c>
      <c r="FJ477" s="251" t="str">
        <f t="shared" si="145"/>
        <v/>
      </c>
      <c r="FK477" s="251" t="str">
        <f t="shared" si="146"/>
        <v/>
      </c>
      <c r="FL477" s="251" t="str">
        <f t="shared" si="147"/>
        <v/>
      </c>
      <c r="FM477" s="251" t="str">
        <f t="shared" si="148"/>
        <v/>
      </c>
      <c r="FN477" s="251" t="str">
        <f t="shared" si="149"/>
        <v/>
      </c>
      <c r="FO477" s="251" t="str">
        <f t="shared" si="150"/>
        <v/>
      </c>
      <c r="FP477" s="251" t="str">
        <f t="shared" si="151"/>
        <v/>
      </c>
      <c r="FQ477" s="251" t="str">
        <f t="shared" si="152"/>
        <v/>
      </c>
      <c r="FR477" s="251" t="str">
        <f t="shared" si="153"/>
        <v/>
      </c>
      <c r="FS477" s="251" t="str">
        <f t="shared" si="154"/>
        <v/>
      </c>
      <c r="FT477" s="251" t="str">
        <f t="shared" si="155"/>
        <v/>
      </c>
      <c r="FU477" s="251" t="str">
        <f t="shared" si="156"/>
        <v/>
      </c>
      <c r="FV477" s="251" t="str">
        <f t="shared" si="157"/>
        <v/>
      </c>
      <c r="FW477" s="251" t="str">
        <f t="shared" si="158"/>
        <v/>
      </c>
      <c r="FX477" s="251" t="str">
        <f t="shared" si="159"/>
        <v/>
      </c>
      <c r="FY477" s="251" t="str">
        <f t="shared" si="160"/>
        <v/>
      </c>
      <c r="FZ477" s="251" t="str">
        <f t="shared" si="161"/>
        <v/>
      </c>
      <c r="GA477" s="251" t="str">
        <f t="shared" si="162"/>
        <v/>
      </c>
      <c r="GB477" s="251" t="str">
        <f t="shared" si="163"/>
        <v/>
      </c>
      <c r="GC477" s="251" t="str">
        <f t="shared" si="164"/>
        <v/>
      </c>
      <c r="GD477" s="251" t="str">
        <f t="shared" si="165"/>
        <v/>
      </c>
      <c r="GE477" s="251">
        <f t="shared" si="166"/>
        <v>10530</v>
      </c>
      <c r="GF477" s="251" t="str">
        <f t="shared" si="167"/>
        <v/>
      </c>
      <c r="GG477" s="251" t="str">
        <f t="shared" si="168"/>
        <v/>
      </c>
      <c r="GH477" s="251" t="str">
        <f t="shared" si="169"/>
        <v/>
      </c>
      <c r="GI477" s="251" t="str">
        <f t="shared" si="170"/>
        <v/>
      </c>
      <c r="GJ477" s="251" t="str">
        <f t="shared" si="171"/>
        <v/>
      </c>
      <c r="GK477" s="251" t="str">
        <f t="shared" si="172"/>
        <v/>
      </c>
      <c r="GL477" s="251" t="str">
        <f t="shared" si="173"/>
        <v/>
      </c>
      <c r="GM477" s="251" t="str">
        <f t="shared" si="174"/>
        <v/>
      </c>
      <c r="GN477" s="251" t="str">
        <f t="shared" si="175"/>
        <v/>
      </c>
      <c r="GO477" s="251" t="str">
        <f t="shared" si="176"/>
        <v/>
      </c>
      <c r="GP477" s="251" t="str">
        <f t="shared" si="177"/>
        <v/>
      </c>
      <c r="GQ477" s="251" t="str">
        <f t="shared" si="178"/>
        <v/>
      </c>
      <c r="GR477" s="251" t="str">
        <f t="shared" si="179"/>
        <v/>
      </c>
      <c r="GS477" s="251" t="str">
        <f t="shared" si="180"/>
        <v/>
      </c>
      <c r="GT477" s="251" t="str">
        <f t="shared" si="181"/>
        <v/>
      </c>
      <c r="GU477" s="251" t="str">
        <f t="shared" si="182"/>
        <v/>
      </c>
      <c r="GV477" s="251" t="str">
        <f t="shared" si="183"/>
        <v/>
      </c>
      <c r="GW477" s="251" t="str">
        <f t="shared" si="184"/>
        <v/>
      </c>
      <c r="GX477" s="251" t="str">
        <f t="shared" si="185"/>
        <v/>
      </c>
      <c r="GY477" s="251" t="str">
        <f t="shared" si="186"/>
        <v/>
      </c>
      <c r="GZ477" s="251" t="str">
        <f t="shared" si="187"/>
        <v/>
      </c>
      <c r="HA477" s="251" t="str">
        <f t="shared" si="188"/>
        <v/>
      </c>
      <c r="HB477" s="251" t="str">
        <f t="shared" si="189"/>
        <v/>
      </c>
      <c r="HC477" s="251" t="str">
        <f t="shared" si="190"/>
        <v/>
      </c>
      <c r="HD477" s="251" t="str">
        <f t="shared" si="191"/>
        <v/>
      </c>
      <c r="HE477" s="251" t="str">
        <f t="shared" si="192"/>
        <v/>
      </c>
      <c r="HF477" s="251" t="str">
        <f t="shared" si="193"/>
        <v/>
      </c>
      <c r="HG477" s="251" t="str">
        <f t="shared" si="194"/>
        <v/>
      </c>
      <c r="HH477" s="251" t="str">
        <f t="shared" si="195"/>
        <v/>
      </c>
      <c r="HI477" s="251" t="str">
        <f t="shared" si="196"/>
        <v/>
      </c>
      <c r="HJ477" s="251" t="str">
        <f t="shared" si="197"/>
        <v/>
      </c>
      <c r="HK477" s="251" t="str">
        <f t="shared" si="198"/>
        <v/>
      </c>
      <c r="HL477" s="251" t="str">
        <f t="shared" si="199"/>
        <v/>
      </c>
      <c r="HM477" s="251" t="str">
        <f t="shared" si="200"/>
        <v/>
      </c>
      <c r="HN477" s="251" t="str">
        <f t="shared" si="201"/>
        <v/>
      </c>
      <c r="HO477" s="251" t="str">
        <f t="shared" si="202"/>
        <v/>
      </c>
      <c r="HP477" s="251" t="str">
        <f t="shared" si="203"/>
        <v/>
      </c>
      <c r="HQ477" s="251" t="str">
        <f t="shared" si="204"/>
        <v/>
      </c>
      <c r="HR477" s="251" t="str">
        <f t="shared" si="205"/>
        <v/>
      </c>
      <c r="HS477" s="251" t="str">
        <f t="shared" si="206"/>
        <v/>
      </c>
      <c r="HT477" s="251" t="str">
        <f t="shared" si="207"/>
        <v/>
      </c>
      <c r="HU477" s="251" t="str">
        <f t="shared" si="208"/>
        <v/>
      </c>
      <c r="HV477" s="251" t="str">
        <f t="shared" si="209"/>
        <v/>
      </c>
      <c r="HW477" s="251" t="str">
        <f t="shared" si="210"/>
        <v/>
      </c>
      <c r="HX477" s="251" t="str">
        <f t="shared" si="211"/>
        <v/>
      </c>
      <c r="HY477" s="251" t="str">
        <f t="shared" si="212"/>
        <v/>
      </c>
      <c r="HZ477" s="251" t="str">
        <f t="shared" si="213"/>
        <v/>
      </c>
      <c r="IA477" s="251" t="str">
        <f t="shared" si="214"/>
        <v/>
      </c>
      <c r="IB477" s="251" t="str">
        <f t="shared" si="215"/>
        <v/>
      </c>
      <c r="IC477" s="251" t="str">
        <f t="shared" si="216"/>
        <v/>
      </c>
      <c r="ID477" s="251" t="str">
        <f t="shared" si="217"/>
        <v/>
      </c>
      <c r="IE477" s="251" t="str">
        <f t="shared" si="218"/>
        <v/>
      </c>
      <c r="IF477" s="251" t="str">
        <f t="shared" si="219"/>
        <v/>
      </c>
      <c r="IG477" s="251" t="str">
        <f t="shared" si="220"/>
        <v/>
      </c>
      <c r="IH477" s="251">
        <f t="shared" si="221"/>
        <v>9</v>
      </c>
      <c r="II477" s="251" t="str">
        <f t="shared" si="222"/>
        <v/>
      </c>
      <c r="IJ477" s="251" t="str">
        <f t="shared" si="223"/>
        <v/>
      </c>
      <c r="IK477" s="251" t="str">
        <f t="shared" si="224"/>
        <v/>
      </c>
      <c r="IL477" s="251" t="str">
        <f t="shared" si="225"/>
        <v/>
      </c>
      <c r="IM477" s="251" t="str">
        <f t="shared" si="226"/>
        <v/>
      </c>
      <c r="IN477" s="251" t="str">
        <f t="shared" si="227"/>
        <v/>
      </c>
      <c r="IO477" s="251" t="str">
        <f t="shared" si="228"/>
        <v/>
      </c>
      <c r="IP477" s="251" t="str">
        <f t="shared" si="229"/>
        <v/>
      </c>
      <c r="IQ477" s="251" t="str">
        <f t="shared" si="230"/>
        <v/>
      </c>
      <c r="IR477" s="251" t="str">
        <f t="shared" si="231"/>
        <v/>
      </c>
      <c r="IS477" s="251" t="str">
        <f t="shared" si="232"/>
        <v/>
      </c>
      <c r="IT477" s="251" t="str">
        <f t="shared" si="233"/>
        <v/>
      </c>
      <c r="IU477" s="251" t="str">
        <f t="shared" si="234"/>
        <v/>
      </c>
      <c r="IV477" s="251" t="str">
        <f t="shared" si="235"/>
        <v/>
      </c>
      <c r="IW477" s="251" t="str">
        <f t="shared" si="236"/>
        <v/>
      </c>
      <c r="IX477" s="251" t="str">
        <f t="shared" si="237"/>
        <v/>
      </c>
      <c r="IY477" s="251" t="str">
        <f t="shared" si="238"/>
        <v/>
      </c>
      <c r="IZ477" s="251" t="str">
        <f t="shared" si="239"/>
        <v/>
      </c>
      <c r="JA477" s="251" t="str">
        <f t="shared" si="240"/>
        <v/>
      </c>
      <c r="JB477" s="251" t="str">
        <f t="shared" si="241"/>
        <v/>
      </c>
      <c r="JC477" s="251" t="str">
        <f t="shared" si="242"/>
        <v/>
      </c>
      <c r="JD477" s="251" t="str">
        <f t="shared" si="243"/>
        <v/>
      </c>
      <c r="JE477" s="251" t="str">
        <f t="shared" si="244"/>
        <v/>
      </c>
      <c r="JF477" s="251" t="str">
        <f t="shared" si="245"/>
        <v/>
      </c>
      <c r="JG477" s="251" t="str">
        <f t="shared" si="246"/>
        <v/>
      </c>
      <c r="JH477" s="251" t="str">
        <f t="shared" si="247"/>
        <v/>
      </c>
      <c r="JI477" s="1297" t="str">
        <f t="shared" si="248"/>
        <v/>
      </c>
      <c r="JJ477" s="1297" t="str">
        <f t="shared" si="249"/>
        <v/>
      </c>
      <c r="JK477" s="1297" t="str">
        <f t="shared" si="250"/>
        <v/>
      </c>
      <c r="JL477" s="1297">
        <f t="shared" si="251"/>
        <v>9</v>
      </c>
      <c r="JM477" s="1297" t="str">
        <f t="shared" si="252"/>
        <v/>
      </c>
      <c r="JN477" s="1297" t="str">
        <f t="shared" si="253"/>
        <v/>
      </c>
      <c r="JO477" s="1297" t="str">
        <f t="shared" si="254"/>
        <v/>
      </c>
      <c r="JP477" s="1297" t="str">
        <f t="shared" si="255"/>
        <v/>
      </c>
      <c r="JQ477" s="1297" t="str">
        <f t="shared" si="256"/>
        <v/>
      </c>
      <c r="JR477" s="1297" t="str">
        <f t="shared" si="257"/>
        <v/>
      </c>
      <c r="JS477" s="1297" t="str">
        <f t="shared" si="258"/>
        <v/>
      </c>
      <c r="JT477" s="1297" t="str">
        <f t="shared" si="259"/>
        <v/>
      </c>
      <c r="JU477" s="1297" t="str">
        <f t="shared" si="260"/>
        <v/>
      </c>
      <c r="JV477" s="1297" t="str">
        <f t="shared" si="261"/>
        <v/>
      </c>
      <c r="JW477" s="1297" t="str">
        <f t="shared" si="262"/>
        <v/>
      </c>
      <c r="JX477" s="1297" t="str">
        <f t="shared" si="263"/>
        <v/>
      </c>
      <c r="JY477" s="1297" t="str">
        <f t="shared" si="264"/>
        <v/>
      </c>
      <c r="JZ477" s="1297" t="str">
        <f t="shared" si="265"/>
        <v/>
      </c>
      <c r="KA477" s="1297" t="str">
        <f t="shared" si="266"/>
        <v/>
      </c>
      <c r="KB477" s="1297" t="str">
        <f t="shared" si="267"/>
        <v/>
      </c>
      <c r="KC477" s="1297" t="str">
        <f t="shared" si="268"/>
        <v/>
      </c>
      <c r="KD477" s="1297" t="str">
        <f t="shared" si="269"/>
        <v/>
      </c>
      <c r="KE477" s="1297" t="str">
        <f t="shared" si="270"/>
        <v/>
      </c>
      <c r="KF477" s="1297" t="str">
        <f t="shared" si="271"/>
        <v/>
      </c>
      <c r="KG477" s="1297" t="str">
        <f t="shared" si="272"/>
        <v/>
      </c>
      <c r="KH477" s="1297" t="str">
        <f t="shared" si="273"/>
        <v/>
      </c>
      <c r="KI477" s="1297" t="str">
        <f t="shared" si="274"/>
        <v/>
      </c>
      <c r="KJ477" s="1297" t="str">
        <f t="shared" si="275"/>
        <v/>
      </c>
      <c r="KK477" s="1297" t="str">
        <f t="shared" si="276"/>
        <v/>
      </c>
      <c r="KL477" s="1297" t="str">
        <f t="shared" si="277"/>
        <v/>
      </c>
      <c r="KM477" s="1297" t="str">
        <f t="shared" si="278"/>
        <v/>
      </c>
      <c r="KN477" s="1297" t="str">
        <f t="shared" si="279"/>
        <v/>
      </c>
      <c r="KO477" s="1297" t="str">
        <f t="shared" si="280"/>
        <v/>
      </c>
      <c r="KP477" s="1297" t="str">
        <f t="shared" si="281"/>
        <v/>
      </c>
      <c r="KQ477" s="1297" t="str">
        <f t="shared" si="282"/>
        <v/>
      </c>
      <c r="KR477" s="1297" t="str">
        <f t="shared" si="283"/>
        <v/>
      </c>
      <c r="KS477" s="1297" t="str">
        <f t="shared" si="284"/>
        <v/>
      </c>
      <c r="KT477" s="1297" t="str">
        <f t="shared" si="285"/>
        <v/>
      </c>
      <c r="KU477" s="1297" t="str">
        <f t="shared" si="286"/>
        <v/>
      </c>
      <c r="KV477" s="1297" t="str">
        <f t="shared" si="287"/>
        <v/>
      </c>
      <c r="KW477" s="1297" t="str">
        <f t="shared" si="288"/>
        <v/>
      </c>
      <c r="KX477" s="1297" t="str">
        <f t="shared" si="289"/>
        <v/>
      </c>
      <c r="KY477" s="1297" t="str">
        <f t="shared" si="290"/>
        <v/>
      </c>
      <c r="KZ477" s="1297" t="str">
        <f t="shared" si="291"/>
        <v/>
      </c>
      <c r="LA477" s="1297" t="str">
        <f t="shared" si="292"/>
        <v/>
      </c>
      <c r="LB477" s="1297" t="str">
        <f t="shared" si="293"/>
        <v/>
      </c>
      <c r="LC477" s="1297" t="str">
        <f t="shared" si="294"/>
        <v/>
      </c>
      <c r="LD477" s="1297" t="str">
        <f t="shared" si="295"/>
        <v/>
      </c>
      <c r="LE477" s="1297">
        <f t="shared" si="296"/>
        <v>9</v>
      </c>
      <c r="LF477" s="1297" t="str">
        <f t="shared" si="297"/>
        <v/>
      </c>
      <c r="LG477" s="1297" t="str">
        <f t="shared" si="298"/>
        <v/>
      </c>
      <c r="LH477" s="1297" t="str">
        <f t="shared" si="299"/>
        <v/>
      </c>
      <c r="LI477" s="1297" t="str">
        <f t="shared" si="300"/>
        <v/>
      </c>
      <c r="LJ477" s="1297" t="str">
        <f t="shared" si="301"/>
        <v/>
      </c>
      <c r="LK477" s="1297" t="str">
        <f t="shared" si="302"/>
        <v/>
      </c>
      <c r="LL477" s="1297" t="str">
        <f t="shared" si="303"/>
        <v/>
      </c>
      <c r="LM477" s="1297" t="str">
        <f t="shared" si="304"/>
        <v/>
      </c>
      <c r="LN477" s="1297" t="str">
        <f t="shared" si="305"/>
        <v/>
      </c>
      <c r="LO477" s="1297" t="str">
        <f t="shared" si="306"/>
        <v/>
      </c>
      <c r="LP477" s="1297" t="str">
        <f t="shared" si="307"/>
        <v/>
      </c>
      <c r="LQ477" s="1297" t="str">
        <f t="shared" si="308"/>
        <v/>
      </c>
      <c r="LR477" s="1297" t="str">
        <f t="shared" si="309"/>
        <v/>
      </c>
      <c r="LS477" s="1297" t="str">
        <f t="shared" si="310"/>
        <v/>
      </c>
      <c r="LT477" s="1297" t="str">
        <f t="shared" si="311"/>
        <v/>
      </c>
      <c r="LU477" s="1297" t="str">
        <f t="shared" si="312"/>
        <v/>
      </c>
      <c r="LV477" s="1297" t="str">
        <f t="shared" si="313"/>
        <v/>
      </c>
      <c r="LW477" s="1297" t="str">
        <f t="shared" si="314"/>
        <v/>
      </c>
      <c r="LX477" s="1297" t="str">
        <f t="shared" si="315"/>
        <v/>
      </c>
      <c r="LY477" s="1297" t="str">
        <f t="shared" si="316"/>
        <v/>
      </c>
      <c r="LZ477" s="1297" t="str">
        <f t="shared" si="317"/>
        <v/>
      </c>
      <c r="MA477" s="1297" t="str">
        <f t="shared" si="318"/>
        <v/>
      </c>
      <c r="MB477" s="1297" t="str">
        <f t="shared" si="319"/>
        <v/>
      </c>
      <c r="MC477" s="1297" t="str">
        <f t="shared" si="320"/>
        <v/>
      </c>
      <c r="MD477" s="1297" t="str">
        <f t="shared" si="321"/>
        <v/>
      </c>
      <c r="ME477" s="1297" t="str">
        <f t="shared" si="322"/>
        <v/>
      </c>
      <c r="MF477" s="1297" t="str">
        <f t="shared" si="323"/>
        <v/>
      </c>
      <c r="MG477" s="1297" t="str">
        <f t="shared" si="324"/>
        <v/>
      </c>
      <c r="MH477" s="1297" t="str">
        <f t="shared" si="325"/>
        <v/>
      </c>
      <c r="MI477" s="1297" t="str">
        <f t="shared" si="326"/>
        <v/>
      </c>
      <c r="MJ477" s="1297" t="str">
        <f t="shared" si="327"/>
        <v/>
      </c>
      <c r="MK477" s="1297" t="str">
        <f t="shared" si="328"/>
        <v/>
      </c>
      <c r="ML477" s="1297" t="str">
        <f t="shared" si="329"/>
        <v/>
      </c>
      <c r="MM477" s="1297" t="str">
        <f t="shared" si="330"/>
        <v/>
      </c>
      <c r="MN477" s="1297" t="str">
        <f t="shared" si="331"/>
        <v/>
      </c>
      <c r="MO477" s="1297" t="str">
        <f t="shared" si="332"/>
        <v/>
      </c>
      <c r="MP477" s="1773" t="str">
        <f t="shared" si="333"/>
        <v/>
      </c>
      <c r="MQ477" s="1773" t="str">
        <f t="shared" si="334"/>
        <v/>
      </c>
      <c r="MR477" s="1773" t="str">
        <f t="shared" si="335"/>
        <v/>
      </c>
      <c r="MS477" s="1773" t="str">
        <f t="shared" si="336"/>
        <v/>
      </c>
      <c r="MT477" s="1773" t="str">
        <f t="shared" si="337"/>
        <v/>
      </c>
      <c r="MU477" s="251" t="str">
        <f t="shared" si="338"/>
        <v/>
      </c>
      <c r="MV477" s="251" t="str">
        <f t="shared" si="339"/>
        <v/>
      </c>
      <c r="MW477" s="251" t="str">
        <f t="shared" si="340"/>
        <v/>
      </c>
      <c r="MX477" s="251" t="str">
        <f t="shared" si="341"/>
        <v/>
      </c>
      <c r="MY477" s="251" t="str">
        <f t="shared" si="342"/>
        <v/>
      </c>
      <c r="MZ477" s="251" t="str">
        <f t="shared" si="343"/>
        <v/>
      </c>
      <c r="NA477" s="251" t="str">
        <f t="shared" si="344"/>
        <v/>
      </c>
      <c r="NB477" s="251" t="str">
        <f t="shared" si="345"/>
        <v/>
      </c>
      <c r="NC477" s="251" t="str">
        <f t="shared" si="346"/>
        <v/>
      </c>
      <c r="ND477" s="251" t="str">
        <f t="shared" si="347"/>
        <v/>
      </c>
      <c r="NE477" s="251" t="str">
        <f t="shared" si="348"/>
        <v/>
      </c>
      <c r="NF477" s="251" t="str">
        <f t="shared" si="349"/>
        <v/>
      </c>
      <c r="NG477" s="251" t="str">
        <f t="shared" si="350"/>
        <v/>
      </c>
      <c r="NH477" s="251" t="str">
        <f t="shared" si="351"/>
        <v/>
      </c>
      <c r="NI477" s="251" t="str">
        <f t="shared" si="352"/>
        <v/>
      </c>
      <c r="NJ477" s="251" t="str">
        <f t="shared" si="353"/>
        <v/>
      </c>
      <c r="NK477" s="251" t="str">
        <f t="shared" si="354"/>
        <v/>
      </c>
      <c r="NL477" s="251" t="str">
        <f t="shared" si="355"/>
        <v/>
      </c>
      <c r="NM477" s="251" t="str">
        <f t="shared" si="356"/>
        <v/>
      </c>
      <c r="NN477" s="251" t="str">
        <f t="shared" si="357"/>
        <v/>
      </c>
      <c r="NO477" s="1185">
        <f t="shared" si="358"/>
        <v>0</v>
      </c>
      <c r="NP477" s="1185">
        <f t="shared" si="359"/>
        <v>0</v>
      </c>
      <c r="NQ477" s="1185">
        <f t="shared" si="360"/>
        <v>0</v>
      </c>
      <c r="NR477" s="1185">
        <f t="shared" si="361"/>
        <v>9</v>
      </c>
      <c r="NS477" s="1185">
        <f t="shared" si="362"/>
        <v>0</v>
      </c>
      <c r="NT477" s="1185">
        <f t="shared" si="368"/>
        <v>0</v>
      </c>
      <c r="NU477" s="1185">
        <f t="shared" si="369"/>
        <v>0</v>
      </c>
      <c r="NV477" s="1185">
        <f t="shared" si="370"/>
        <v>0</v>
      </c>
      <c r="NW477" s="1185">
        <f t="shared" si="371"/>
        <v>0</v>
      </c>
      <c r="NX477" s="1185">
        <f t="shared" si="372"/>
        <v>0</v>
      </c>
      <c r="NY477" s="1185">
        <f t="shared" si="363"/>
        <v>0</v>
      </c>
      <c r="NZ477" s="1185">
        <f t="shared" si="364"/>
        <v>0</v>
      </c>
      <c r="OA477" s="1185">
        <f t="shared" si="365"/>
        <v>0</v>
      </c>
      <c r="OB477" s="1185">
        <f t="shared" si="366"/>
        <v>0</v>
      </c>
      <c r="OC477" s="1185">
        <f t="shared" si="367"/>
        <v>0</v>
      </c>
      <c r="OY477" s="251" t="s">
        <v>1172</v>
      </c>
      <c r="OZ477" s="1296">
        <v>24</v>
      </c>
    </row>
    <row r="478" spans="1:416" ht="12" customHeight="1">
      <c r="A478" s="1979" t="str">
        <f t="shared" si="0"/>
        <v/>
      </c>
      <c r="B478" s="1998">
        <f>'Part V-Revenues &amp; Expenses'!B25</f>
        <v>0</v>
      </c>
      <c r="C478" s="1999">
        <f>'Part V-Revenues &amp; Expenses'!C25</f>
        <v>0</v>
      </c>
      <c r="D478" s="2000">
        <f>'Part V-Revenues &amp; Expenses'!D25</f>
        <v>0</v>
      </c>
      <c r="E478" s="2001">
        <f>'Part V-Revenues &amp; Expenses'!E25</f>
        <v>0</v>
      </c>
      <c r="F478" s="2001">
        <f>'Part V-Revenues &amp; Expenses'!F25</f>
        <v>0</v>
      </c>
      <c r="G478" s="2001">
        <f>'Part V-Revenues &amp; Expenses'!G25</f>
        <v>0</v>
      </c>
      <c r="H478" s="2001">
        <f>'Part V-Revenues &amp; Expenses'!H25</f>
        <v>0</v>
      </c>
      <c r="I478" s="2001">
        <f>'Part V-Revenues &amp; Expenses'!I25</f>
        <v>0</v>
      </c>
      <c r="J478" s="2001">
        <f>'Part V-Revenues &amp; Expenses'!J25</f>
        <v>0</v>
      </c>
      <c r="K478" s="2002">
        <f>'Part V-Revenues &amp; Expenses'!K25</f>
        <v>0</v>
      </c>
      <c r="L478" s="2003">
        <f t="shared" si="1"/>
        <v>0</v>
      </c>
      <c r="M478" s="2003">
        <f t="shared" si="2"/>
        <v>0</v>
      </c>
      <c r="N478" s="1853">
        <f>'Part V-Revenues &amp; Expenses'!N25</f>
        <v>0</v>
      </c>
      <c r="O478" s="899">
        <f>'Part V-Revenues &amp; Expenses'!O25</f>
        <v>0</v>
      </c>
      <c r="P478" s="1853">
        <f>'Part V-Revenues &amp; Expenses'!P25</f>
        <v>0</v>
      </c>
      <c r="Q478" s="1772">
        <f>'Part V-Revenues &amp; Expenses'!Q25</f>
        <v>0</v>
      </c>
      <c r="R478" s="2004"/>
      <c r="S478" s="2005"/>
      <c r="T478" s="1920"/>
      <c r="U478" s="1920"/>
      <c r="V478" s="1920"/>
      <c r="W478" s="1920"/>
      <c r="X478" s="251" t="str">
        <f t="shared" si="3"/>
        <v/>
      </c>
      <c r="Y478" s="251" t="str">
        <f t="shared" si="4"/>
        <v/>
      </c>
      <c r="Z478" s="251" t="str">
        <f t="shared" si="5"/>
        <v/>
      </c>
      <c r="AA478" s="251" t="str">
        <f t="shared" si="6"/>
        <v/>
      </c>
      <c r="AB478" s="251" t="str">
        <f t="shared" si="7"/>
        <v/>
      </c>
      <c r="AC478" s="251" t="str">
        <f t="shared" si="8"/>
        <v/>
      </c>
      <c r="AD478" s="251" t="str">
        <f t="shared" si="9"/>
        <v/>
      </c>
      <c r="AE478" s="251" t="str">
        <f t="shared" si="10"/>
        <v/>
      </c>
      <c r="AF478" s="251" t="str">
        <f t="shared" si="11"/>
        <v/>
      </c>
      <c r="AG478" s="251" t="str">
        <f t="shared" si="12"/>
        <v/>
      </c>
      <c r="AH478" s="251" t="str">
        <f t="shared" si="13"/>
        <v/>
      </c>
      <c r="AI478" s="251" t="str">
        <f t="shared" si="14"/>
        <v/>
      </c>
      <c r="AJ478" s="251" t="str">
        <f t="shared" si="15"/>
        <v/>
      </c>
      <c r="AK478" s="251" t="str">
        <f t="shared" si="16"/>
        <v/>
      </c>
      <c r="AL478" s="251" t="str">
        <f t="shared" si="17"/>
        <v/>
      </c>
      <c r="AM478" s="251" t="str">
        <f t="shared" si="18"/>
        <v/>
      </c>
      <c r="AN478" s="251" t="str">
        <f t="shared" si="19"/>
        <v/>
      </c>
      <c r="AO478" s="251" t="str">
        <f t="shared" si="20"/>
        <v/>
      </c>
      <c r="AP478" s="251" t="str">
        <f t="shared" si="21"/>
        <v/>
      </c>
      <c r="AQ478" s="251" t="str">
        <f t="shared" si="22"/>
        <v/>
      </c>
      <c r="AR478" s="251" t="str">
        <f t="shared" si="23"/>
        <v/>
      </c>
      <c r="AS478" s="251" t="str">
        <f t="shared" si="24"/>
        <v/>
      </c>
      <c r="AT478" s="251" t="str">
        <f t="shared" si="25"/>
        <v/>
      </c>
      <c r="AU478" s="251" t="str">
        <f t="shared" si="26"/>
        <v/>
      </c>
      <c r="AV478" s="251" t="str">
        <f t="shared" si="27"/>
        <v/>
      </c>
      <c r="AW478" s="251" t="str">
        <f t="shared" si="28"/>
        <v/>
      </c>
      <c r="AX478" s="251" t="str">
        <f t="shared" si="29"/>
        <v/>
      </c>
      <c r="AY478" s="251" t="str">
        <f t="shared" si="30"/>
        <v/>
      </c>
      <c r="AZ478" s="251" t="str">
        <f t="shared" si="31"/>
        <v/>
      </c>
      <c r="BA478" s="251" t="str">
        <f t="shared" si="32"/>
        <v/>
      </c>
      <c r="BB478" s="251" t="str">
        <f t="shared" si="33"/>
        <v/>
      </c>
      <c r="BC478" s="251" t="str">
        <f t="shared" si="34"/>
        <v/>
      </c>
      <c r="BD478" s="251" t="str">
        <f t="shared" si="35"/>
        <v/>
      </c>
      <c r="BE478" s="251" t="str">
        <f t="shared" si="36"/>
        <v/>
      </c>
      <c r="BF478" s="251" t="str">
        <f t="shared" si="37"/>
        <v/>
      </c>
      <c r="BG478" s="251" t="str">
        <f t="shared" si="38"/>
        <v/>
      </c>
      <c r="BH478" s="251" t="str">
        <f t="shared" si="39"/>
        <v/>
      </c>
      <c r="BI478" s="251" t="str">
        <f t="shared" si="40"/>
        <v/>
      </c>
      <c r="BJ478" s="251" t="str">
        <f t="shared" si="41"/>
        <v/>
      </c>
      <c r="BK478" s="251" t="str">
        <f t="shared" si="42"/>
        <v/>
      </c>
      <c r="BL478" s="251" t="str">
        <f t="shared" si="43"/>
        <v/>
      </c>
      <c r="BM478" s="251" t="str">
        <f t="shared" si="44"/>
        <v/>
      </c>
      <c r="BN478" s="251" t="str">
        <f t="shared" si="45"/>
        <v/>
      </c>
      <c r="BO478" s="251" t="str">
        <f t="shared" si="46"/>
        <v/>
      </c>
      <c r="BP478" s="251" t="str">
        <f t="shared" si="47"/>
        <v/>
      </c>
      <c r="BQ478" s="251" t="str">
        <f t="shared" si="48"/>
        <v/>
      </c>
      <c r="BR478" s="251" t="str">
        <f t="shared" si="49"/>
        <v/>
      </c>
      <c r="BS478" s="251" t="str">
        <f t="shared" si="50"/>
        <v/>
      </c>
      <c r="BT478" s="251" t="str">
        <f t="shared" si="51"/>
        <v/>
      </c>
      <c r="BU478" s="251" t="str">
        <f t="shared" si="52"/>
        <v/>
      </c>
      <c r="BV478" s="251" t="str">
        <f t="shared" si="53"/>
        <v/>
      </c>
      <c r="BW478" s="251" t="str">
        <f t="shared" si="54"/>
        <v/>
      </c>
      <c r="BX478" s="251" t="str">
        <f t="shared" si="55"/>
        <v/>
      </c>
      <c r="BY478" s="251" t="str">
        <f t="shared" si="56"/>
        <v/>
      </c>
      <c r="BZ478" s="251" t="str">
        <f t="shared" si="57"/>
        <v/>
      </c>
      <c r="CA478" s="251" t="str">
        <f t="shared" si="58"/>
        <v/>
      </c>
      <c r="CB478" s="251" t="str">
        <f t="shared" si="59"/>
        <v/>
      </c>
      <c r="CC478" s="251" t="str">
        <f t="shared" si="60"/>
        <v/>
      </c>
      <c r="CD478" s="251" t="str">
        <f t="shared" si="61"/>
        <v/>
      </c>
      <c r="CE478" s="251" t="str">
        <f t="shared" si="62"/>
        <v/>
      </c>
      <c r="CF478" s="251" t="str">
        <f t="shared" si="63"/>
        <v/>
      </c>
      <c r="CG478" s="251" t="str">
        <f t="shared" si="64"/>
        <v/>
      </c>
      <c r="CH478" s="251" t="str">
        <f t="shared" si="65"/>
        <v/>
      </c>
      <c r="CI478" s="251" t="str">
        <f t="shared" si="66"/>
        <v/>
      </c>
      <c r="CJ478" s="251" t="str">
        <f t="shared" si="67"/>
        <v/>
      </c>
      <c r="CK478" s="251" t="str">
        <f t="shared" si="68"/>
        <v/>
      </c>
      <c r="CL478" s="251" t="str">
        <f t="shared" si="69"/>
        <v/>
      </c>
      <c r="CM478" s="251" t="str">
        <f t="shared" si="70"/>
        <v/>
      </c>
      <c r="CN478" s="251" t="str">
        <f t="shared" si="71"/>
        <v/>
      </c>
      <c r="CO478" s="251" t="str">
        <f t="shared" si="72"/>
        <v/>
      </c>
      <c r="CP478" s="251" t="str">
        <f t="shared" si="73"/>
        <v/>
      </c>
      <c r="CQ478" s="251" t="str">
        <f t="shared" si="74"/>
        <v/>
      </c>
      <c r="CR478" s="251" t="str">
        <f t="shared" si="75"/>
        <v/>
      </c>
      <c r="CS478" s="251" t="str">
        <f t="shared" si="76"/>
        <v/>
      </c>
      <c r="CT478" s="251" t="str">
        <f t="shared" si="77"/>
        <v/>
      </c>
      <c r="CU478" s="251" t="str">
        <f t="shared" si="78"/>
        <v/>
      </c>
      <c r="CV478" s="251" t="str">
        <f t="shared" si="79"/>
        <v/>
      </c>
      <c r="CW478" s="251" t="str">
        <f t="shared" si="80"/>
        <v/>
      </c>
      <c r="CX478" s="251" t="str">
        <f t="shared" si="81"/>
        <v/>
      </c>
      <c r="CY478" s="251" t="str">
        <f t="shared" si="82"/>
        <v/>
      </c>
      <c r="CZ478" s="251" t="str">
        <f t="shared" si="83"/>
        <v/>
      </c>
      <c r="DA478" s="251" t="str">
        <f t="shared" si="84"/>
        <v/>
      </c>
      <c r="DB478" s="251" t="str">
        <f t="shared" si="85"/>
        <v/>
      </c>
      <c r="DC478" s="251" t="str">
        <f t="shared" si="86"/>
        <v/>
      </c>
      <c r="DD478" s="251" t="str">
        <f t="shared" si="87"/>
        <v/>
      </c>
      <c r="DE478" s="251" t="str">
        <f t="shared" si="88"/>
        <v/>
      </c>
      <c r="DF478" s="251" t="str">
        <f t="shared" si="89"/>
        <v/>
      </c>
      <c r="DG478" s="251" t="str">
        <f t="shared" si="90"/>
        <v/>
      </c>
      <c r="DH478" s="251" t="str">
        <f t="shared" si="91"/>
        <v/>
      </c>
      <c r="DI478" s="251" t="str">
        <f t="shared" si="92"/>
        <v/>
      </c>
      <c r="DJ478" s="251" t="str">
        <f t="shared" si="93"/>
        <v/>
      </c>
      <c r="DK478" s="251" t="str">
        <f t="shared" si="94"/>
        <v/>
      </c>
      <c r="DL478" s="251" t="str">
        <f t="shared" si="95"/>
        <v/>
      </c>
      <c r="DM478" s="251" t="str">
        <f t="shared" si="96"/>
        <v/>
      </c>
      <c r="DN478" s="251" t="str">
        <f t="shared" si="97"/>
        <v/>
      </c>
      <c r="DO478" s="251" t="str">
        <f t="shared" si="98"/>
        <v/>
      </c>
      <c r="DP478" s="251" t="str">
        <f t="shared" si="99"/>
        <v/>
      </c>
      <c r="DQ478" s="251" t="str">
        <f t="shared" si="100"/>
        <v/>
      </c>
      <c r="DR478" s="251" t="str">
        <f t="shared" si="101"/>
        <v/>
      </c>
      <c r="DS478" s="251" t="str">
        <f t="shared" si="102"/>
        <v/>
      </c>
      <c r="DT478" s="251" t="str">
        <f t="shared" si="103"/>
        <v/>
      </c>
      <c r="DU478" s="251" t="str">
        <f t="shared" si="104"/>
        <v/>
      </c>
      <c r="DV478" s="251" t="str">
        <f t="shared" si="105"/>
        <v/>
      </c>
      <c r="DW478" s="251" t="str">
        <f t="shared" si="106"/>
        <v/>
      </c>
      <c r="DX478" s="251" t="str">
        <f t="shared" si="107"/>
        <v/>
      </c>
      <c r="DY478" s="251" t="str">
        <f t="shared" si="108"/>
        <v/>
      </c>
      <c r="DZ478" s="251" t="str">
        <f t="shared" si="109"/>
        <v/>
      </c>
      <c r="EA478" s="251" t="str">
        <f t="shared" si="110"/>
        <v/>
      </c>
      <c r="EB478" s="251" t="str">
        <f t="shared" si="111"/>
        <v/>
      </c>
      <c r="EC478" s="251" t="str">
        <f t="shared" si="112"/>
        <v/>
      </c>
      <c r="ED478" s="251" t="str">
        <f t="shared" si="113"/>
        <v/>
      </c>
      <c r="EE478" s="251" t="str">
        <f t="shared" si="114"/>
        <v/>
      </c>
      <c r="EF478" s="251" t="str">
        <f t="shared" si="115"/>
        <v/>
      </c>
      <c r="EG478" s="251" t="str">
        <f t="shared" si="116"/>
        <v/>
      </c>
      <c r="EH478" s="251" t="str">
        <f t="shared" si="117"/>
        <v/>
      </c>
      <c r="EI478" s="251" t="str">
        <f t="shared" si="118"/>
        <v/>
      </c>
      <c r="EJ478" s="251" t="str">
        <f t="shared" si="119"/>
        <v/>
      </c>
      <c r="EK478" s="251" t="str">
        <f t="shared" si="120"/>
        <v/>
      </c>
      <c r="EL478" s="251" t="str">
        <f t="shared" si="121"/>
        <v/>
      </c>
      <c r="EM478" s="251" t="str">
        <f t="shared" si="122"/>
        <v/>
      </c>
      <c r="EN478" s="251" t="str">
        <f t="shared" si="123"/>
        <v/>
      </c>
      <c r="EO478" s="251" t="str">
        <f t="shared" si="124"/>
        <v/>
      </c>
      <c r="EP478" s="251" t="str">
        <f t="shared" si="125"/>
        <v/>
      </c>
      <c r="EQ478" s="251" t="str">
        <f t="shared" si="126"/>
        <v/>
      </c>
      <c r="ER478" s="251" t="str">
        <f t="shared" si="127"/>
        <v/>
      </c>
      <c r="ES478" s="251" t="str">
        <f t="shared" si="128"/>
        <v/>
      </c>
      <c r="ET478" s="251" t="str">
        <f t="shared" si="129"/>
        <v/>
      </c>
      <c r="EU478" s="251" t="str">
        <f t="shared" si="130"/>
        <v/>
      </c>
      <c r="EV478" s="251" t="str">
        <f t="shared" si="131"/>
        <v/>
      </c>
      <c r="EW478" s="251" t="str">
        <f t="shared" si="132"/>
        <v/>
      </c>
      <c r="EX478" s="251" t="str">
        <f t="shared" si="133"/>
        <v/>
      </c>
      <c r="EY478" s="251" t="str">
        <f t="shared" si="134"/>
        <v/>
      </c>
      <c r="EZ478" s="251" t="str">
        <f t="shared" si="135"/>
        <v/>
      </c>
      <c r="FA478" s="251" t="str">
        <f t="shared" si="136"/>
        <v/>
      </c>
      <c r="FB478" s="251" t="str">
        <f t="shared" si="137"/>
        <v/>
      </c>
      <c r="FC478" s="251" t="str">
        <f t="shared" si="138"/>
        <v/>
      </c>
      <c r="FD478" s="251" t="str">
        <f t="shared" si="139"/>
        <v/>
      </c>
      <c r="FE478" s="251" t="str">
        <f t="shared" si="140"/>
        <v/>
      </c>
      <c r="FF478" s="251" t="str">
        <f t="shared" si="141"/>
        <v/>
      </c>
      <c r="FG478" s="251" t="str">
        <f t="shared" si="142"/>
        <v/>
      </c>
      <c r="FH478" s="251" t="str">
        <f t="shared" si="143"/>
        <v/>
      </c>
      <c r="FI478" s="251" t="str">
        <f t="shared" si="144"/>
        <v/>
      </c>
      <c r="FJ478" s="251" t="str">
        <f t="shared" si="145"/>
        <v/>
      </c>
      <c r="FK478" s="251" t="str">
        <f t="shared" si="146"/>
        <v/>
      </c>
      <c r="FL478" s="251" t="str">
        <f t="shared" si="147"/>
        <v/>
      </c>
      <c r="FM478" s="251" t="str">
        <f t="shared" si="148"/>
        <v/>
      </c>
      <c r="FN478" s="251" t="str">
        <f t="shared" si="149"/>
        <v/>
      </c>
      <c r="FO478" s="251" t="str">
        <f t="shared" si="150"/>
        <v/>
      </c>
      <c r="FP478" s="251" t="str">
        <f t="shared" si="151"/>
        <v/>
      </c>
      <c r="FQ478" s="251" t="str">
        <f t="shared" si="152"/>
        <v/>
      </c>
      <c r="FR478" s="251" t="str">
        <f t="shared" si="153"/>
        <v/>
      </c>
      <c r="FS478" s="251" t="str">
        <f t="shared" si="154"/>
        <v/>
      </c>
      <c r="FT478" s="251" t="str">
        <f t="shared" si="155"/>
        <v/>
      </c>
      <c r="FU478" s="251" t="str">
        <f t="shared" si="156"/>
        <v/>
      </c>
      <c r="FV478" s="251" t="str">
        <f t="shared" si="157"/>
        <v/>
      </c>
      <c r="FW478" s="251" t="str">
        <f t="shared" si="158"/>
        <v/>
      </c>
      <c r="FX478" s="251" t="str">
        <f t="shared" si="159"/>
        <v/>
      </c>
      <c r="FY478" s="251" t="str">
        <f t="shared" si="160"/>
        <v/>
      </c>
      <c r="FZ478" s="251" t="str">
        <f t="shared" si="161"/>
        <v/>
      </c>
      <c r="GA478" s="251" t="str">
        <f t="shared" si="162"/>
        <v/>
      </c>
      <c r="GB478" s="251" t="str">
        <f t="shared" si="163"/>
        <v/>
      </c>
      <c r="GC478" s="251" t="str">
        <f t="shared" si="164"/>
        <v/>
      </c>
      <c r="GD478" s="251" t="str">
        <f t="shared" si="165"/>
        <v/>
      </c>
      <c r="GE478" s="251" t="str">
        <f t="shared" si="166"/>
        <v/>
      </c>
      <c r="GF478" s="251" t="str">
        <f t="shared" si="167"/>
        <v/>
      </c>
      <c r="GG478" s="251" t="str">
        <f t="shared" si="168"/>
        <v/>
      </c>
      <c r="GH478" s="251" t="str">
        <f t="shared" si="169"/>
        <v/>
      </c>
      <c r="GI478" s="251" t="str">
        <f t="shared" si="170"/>
        <v/>
      </c>
      <c r="GJ478" s="251" t="str">
        <f t="shared" si="171"/>
        <v/>
      </c>
      <c r="GK478" s="251" t="str">
        <f t="shared" si="172"/>
        <v/>
      </c>
      <c r="GL478" s="251" t="str">
        <f t="shared" si="173"/>
        <v/>
      </c>
      <c r="GM478" s="251" t="str">
        <f t="shared" si="174"/>
        <v/>
      </c>
      <c r="GN478" s="251" t="str">
        <f t="shared" si="175"/>
        <v/>
      </c>
      <c r="GO478" s="251" t="str">
        <f t="shared" si="176"/>
        <v/>
      </c>
      <c r="GP478" s="251" t="str">
        <f t="shared" si="177"/>
        <v/>
      </c>
      <c r="GQ478" s="251" t="str">
        <f t="shared" si="178"/>
        <v/>
      </c>
      <c r="GR478" s="251" t="str">
        <f t="shared" si="179"/>
        <v/>
      </c>
      <c r="GS478" s="251" t="str">
        <f t="shared" si="180"/>
        <v/>
      </c>
      <c r="GT478" s="251" t="str">
        <f t="shared" si="181"/>
        <v/>
      </c>
      <c r="GU478" s="251" t="str">
        <f t="shared" si="182"/>
        <v/>
      </c>
      <c r="GV478" s="251" t="str">
        <f t="shared" si="183"/>
        <v/>
      </c>
      <c r="GW478" s="251" t="str">
        <f t="shared" si="184"/>
        <v/>
      </c>
      <c r="GX478" s="251" t="str">
        <f t="shared" si="185"/>
        <v/>
      </c>
      <c r="GY478" s="251" t="str">
        <f t="shared" si="186"/>
        <v/>
      </c>
      <c r="GZ478" s="251" t="str">
        <f t="shared" si="187"/>
        <v/>
      </c>
      <c r="HA478" s="251" t="str">
        <f t="shared" si="188"/>
        <v/>
      </c>
      <c r="HB478" s="251" t="str">
        <f t="shared" si="189"/>
        <v/>
      </c>
      <c r="HC478" s="251" t="str">
        <f t="shared" si="190"/>
        <v/>
      </c>
      <c r="HD478" s="251" t="str">
        <f t="shared" si="191"/>
        <v/>
      </c>
      <c r="HE478" s="251" t="str">
        <f t="shared" si="192"/>
        <v/>
      </c>
      <c r="HF478" s="251" t="str">
        <f t="shared" si="193"/>
        <v/>
      </c>
      <c r="HG478" s="251" t="str">
        <f t="shared" si="194"/>
        <v/>
      </c>
      <c r="HH478" s="251" t="str">
        <f t="shared" si="195"/>
        <v/>
      </c>
      <c r="HI478" s="251" t="str">
        <f t="shared" si="196"/>
        <v/>
      </c>
      <c r="HJ478" s="251" t="str">
        <f t="shared" si="197"/>
        <v/>
      </c>
      <c r="HK478" s="251" t="str">
        <f t="shared" si="198"/>
        <v/>
      </c>
      <c r="HL478" s="251" t="str">
        <f t="shared" si="199"/>
        <v/>
      </c>
      <c r="HM478" s="251" t="str">
        <f t="shared" si="200"/>
        <v/>
      </c>
      <c r="HN478" s="251" t="str">
        <f t="shared" si="201"/>
        <v/>
      </c>
      <c r="HO478" s="251" t="str">
        <f t="shared" si="202"/>
        <v/>
      </c>
      <c r="HP478" s="251" t="str">
        <f t="shared" si="203"/>
        <v/>
      </c>
      <c r="HQ478" s="251" t="str">
        <f t="shared" si="204"/>
        <v/>
      </c>
      <c r="HR478" s="251" t="str">
        <f t="shared" si="205"/>
        <v/>
      </c>
      <c r="HS478" s="251" t="str">
        <f t="shared" si="206"/>
        <v/>
      </c>
      <c r="HT478" s="251" t="str">
        <f t="shared" si="207"/>
        <v/>
      </c>
      <c r="HU478" s="251" t="str">
        <f t="shared" si="208"/>
        <v/>
      </c>
      <c r="HV478" s="251" t="str">
        <f t="shared" si="209"/>
        <v/>
      </c>
      <c r="HW478" s="251" t="str">
        <f t="shared" si="210"/>
        <v/>
      </c>
      <c r="HX478" s="251" t="str">
        <f t="shared" si="211"/>
        <v/>
      </c>
      <c r="HY478" s="251" t="str">
        <f t="shared" si="212"/>
        <v/>
      </c>
      <c r="HZ478" s="251" t="str">
        <f t="shared" si="213"/>
        <v/>
      </c>
      <c r="IA478" s="251" t="str">
        <f t="shared" si="214"/>
        <v/>
      </c>
      <c r="IB478" s="251" t="str">
        <f t="shared" si="215"/>
        <v/>
      </c>
      <c r="IC478" s="251" t="str">
        <f t="shared" si="216"/>
        <v/>
      </c>
      <c r="ID478" s="251" t="str">
        <f t="shared" si="217"/>
        <v/>
      </c>
      <c r="IE478" s="251" t="str">
        <f t="shared" si="218"/>
        <v/>
      </c>
      <c r="IF478" s="251" t="str">
        <f t="shared" si="219"/>
        <v/>
      </c>
      <c r="IG478" s="251" t="str">
        <f t="shared" si="220"/>
        <v/>
      </c>
      <c r="IH478" s="251" t="str">
        <f t="shared" si="221"/>
        <v/>
      </c>
      <c r="II478" s="251" t="str">
        <f t="shared" si="222"/>
        <v/>
      </c>
      <c r="IJ478" s="251" t="str">
        <f t="shared" si="223"/>
        <v/>
      </c>
      <c r="IK478" s="251" t="str">
        <f t="shared" si="224"/>
        <v/>
      </c>
      <c r="IL478" s="251" t="str">
        <f t="shared" si="225"/>
        <v/>
      </c>
      <c r="IM478" s="251" t="str">
        <f t="shared" si="226"/>
        <v/>
      </c>
      <c r="IN478" s="251" t="str">
        <f t="shared" si="227"/>
        <v/>
      </c>
      <c r="IO478" s="251" t="str">
        <f t="shared" si="228"/>
        <v/>
      </c>
      <c r="IP478" s="251" t="str">
        <f t="shared" si="229"/>
        <v/>
      </c>
      <c r="IQ478" s="251" t="str">
        <f t="shared" si="230"/>
        <v/>
      </c>
      <c r="IR478" s="251" t="str">
        <f t="shared" si="231"/>
        <v/>
      </c>
      <c r="IS478" s="251" t="str">
        <f t="shared" si="232"/>
        <v/>
      </c>
      <c r="IT478" s="251" t="str">
        <f t="shared" si="233"/>
        <v/>
      </c>
      <c r="IU478" s="251" t="str">
        <f t="shared" si="234"/>
        <v/>
      </c>
      <c r="IV478" s="251" t="str">
        <f t="shared" si="235"/>
        <v/>
      </c>
      <c r="IW478" s="251" t="str">
        <f t="shared" si="236"/>
        <v/>
      </c>
      <c r="IX478" s="251" t="str">
        <f t="shared" si="237"/>
        <v/>
      </c>
      <c r="IY478" s="251" t="str">
        <f t="shared" si="238"/>
        <v/>
      </c>
      <c r="IZ478" s="251" t="str">
        <f t="shared" si="239"/>
        <v/>
      </c>
      <c r="JA478" s="251" t="str">
        <f t="shared" si="240"/>
        <v/>
      </c>
      <c r="JB478" s="251" t="str">
        <f t="shared" si="241"/>
        <v/>
      </c>
      <c r="JC478" s="251" t="str">
        <f t="shared" si="242"/>
        <v/>
      </c>
      <c r="JD478" s="251" t="str">
        <f t="shared" si="243"/>
        <v/>
      </c>
      <c r="JE478" s="251" t="str">
        <f t="shared" si="244"/>
        <v/>
      </c>
      <c r="JF478" s="251" t="str">
        <f t="shared" si="245"/>
        <v/>
      </c>
      <c r="JG478" s="251" t="str">
        <f t="shared" si="246"/>
        <v/>
      </c>
      <c r="JH478" s="251" t="str">
        <f t="shared" si="247"/>
        <v/>
      </c>
      <c r="JI478" s="1297" t="str">
        <f t="shared" si="248"/>
        <v/>
      </c>
      <c r="JJ478" s="1297" t="str">
        <f t="shared" si="249"/>
        <v/>
      </c>
      <c r="JK478" s="1297" t="str">
        <f t="shared" si="250"/>
        <v/>
      </c>
      <c r="JL478" s="1297" t="str">
        <f t="shared" si="251"/>
        <v/>
      </c>
      <c r="JM478" s="1297" t="str">
        <f t="shared" si="252"/>
        <v/>
      </c>
      <c r="JN478" s="1297" t="str">
        <f t="shared" si="253"/>
        <v/>
      </c>
      <c r="JO478" s="1297" t="str">
        <f t="shared" si="254"/>
        <v/>
      </c>
      <c r="JP478" s="1297" t="str">
        <f t="shared" si="255"/>
        <v/>
      </c>
      <c r="JQ478" s="1297" t="str">
        <f t="shared" si="256"/>
        <v/>
      </c>
      <c r="JR478" s="1297" t="str">
        <f t="shared" si="257"/>
        <v/>
      </c>
      <c r="JS478" s="1297" t="str">
        <f t="shared" si="258"/>
        <v/>
      </c>
      <c r="JT478" s="1297" t="str">
        <f t="shared" si="259"/>
        <v/>
      </c>
      <c r="JU478" s="1297" t="str">
        <f t="shared" si="260"/>
        <v/>
      </c>
      <c r="JV478" s="1297" t="str">
        <f t="shared" si="261"/>
        <v/>
      </c>
      <c r="JW478" s="1297" t="str">
        <f t="shared" si="262"/>
        <v/>
      </c>
      <c r="JX478" s="1297" t="str">
        <f t="shared" si="263"/>
        <v/>
      </c>
      <c r="JY478" s="1297" t="str">
        <f t="shared" si="264"/>
        <v/>
      </c>
      <c r="JZ478" s="1297" t="str">
        <f t="shared" si="265"/>
        <v/>
      </c>
      <c r="KA478" s="1297" t="str">
        <f t="shared" si="266"/>
        <v/>
      </c>
      <c r="KB478" s="1297" t="str">
        <f t="shared" si="267"/>
        <v/>
      </c>
      <c r="KC478" s="1297" t="str">
        <f t="shared" si="268"/>
        <v/>
      </c>
      <c r="KD478" s="1297" t="str">
        <f t="shared" si="269"/>
        <v/>
      </c>
      <c r="KE478" s="1297" t="str">
        <f t="shared" si="270"/>
        <v/>
      </c>
      <c r="KF478" s="1297" t="str">
        <f t="shared" si="271"/>
        <v/>
      </c>
      <c r="KG478" s="1297" t="str">
        <f t="shared" si="272"/>
        <v/>
      </c>
      <c r="KH478" s="1297" t="str">
        <f t="shared" si="273"/>
        <v/>
      </c>
      <c r="KI478" s="1297" t="str">
        <f t="shared" si="274"/>
        <v/>
      </c>
      <c r="KJ478" s="1297" t="str">
        <f t="shared" si="275"/>
        <v/>
      </c>
      <c r="KK478" s="1297" t="str">
        <f t="shared" si="276"/>
        <v/>
      </c>
      <c r="KL478" s="1297" t="str">
        <f t="shared" si="277"/>
        <v/>
      </c>
      <c r="KM478" s="1297" t="str">
        <f t="shared" si="278"/>
        <v/>
      </c>
      <c r="KN478" s="1297" t="str">
        <f t="shared" si="279"/>
        <v/>
      </c>
      <c r="KO478" s="1297" t="str">
        <f t="shared" si="280"/>
        <v/>
      </c>
      <c r="KP478" s="1297" t="str">
        <f t="shared" si="281"/>
        <v/>
      </c>
      <c r="KQ478" s="1297" t="str">
        <f t="shared" si="282"/>
        <v/>
      </c>
      <c r="KR478" s="1297" t="str">
        <f t="shared" si="283"/>
        <v/>
      </c>
      <c r="KS478" s="1297" t="str">
        <f t="shared" si="284"/>
        <v/>
      </c>
      <c r="KT478" s="1297" t="str">
        <f t="shared" si="285"/>
        <v/>
      </c>
      <c r="KU478" s="1297" t="str">
        <f t="shared" si="286"/>
        <v/>
      </c>
      <c r="KV478" s="1297" t="str">
        <f t="shared" si="287"/>
        <v/>
      </c>
      <c r="KW478" s="1297" t="str">
        <f t="shared" si="288"/>
        <v/>
      </c>
      <c r="KX478" s="1297" t="str">
        <f t="shared" si="289"/>
        <v/>
      </c>
      <c r="KY478" s="1297" t="str">
        <f t="shared" si="290"/>
        <v/>
      </c>
      <c r="KZ478" s="1297" t="str">
        <f t="shared" si="291"/>
        <v/>
      </c>
      <c r="LA478" s="1297" t="str">
        <f t="shared" si="292"/>
        <v/>
      </c>
      <c r="LB478" s="1297" t="str">
        <f t="shared" si="293"/>
        <v/>
      </c>
      <c r="LC478" s="1297" t="str">
        <f t="shared" si="294"/>
        <v/>
      </c>
      <c r="LD478" s="1297" t="str">
        <f t="shared" si="295"/>
        <v/>
      </c>
      <c r="LE478" s="1297" t="str">
        <f t="shared" si="296"/>
        <v/>
      </c>
      <c r="LF478" s="1297" t="str">
        <f t="shared" si="297"/>
        <v/>
      </c>
      <c r="LG478" s="1297" t="str">
        <f t="shared" si="298"/>
        <v/>
      </c>
      <c r="LH478" s="1297" t="str">
        <f t="shared" si="299"/>
        <v/>
      </c>
      <c r="LI478" s="1297" t="str">
        <f t="shared" si="300"/>
        <v/>
      </c>
      <c r="LJ478" s="1297" t="str">
        <f t="shared" si="301"/>
        <v/>
      </c>
      <c r="LK478" s="1297" t="str">
        <f t="shared" si="302"/>
        <v/>
      </c>
      <c r="LL478" s="1297" t="str">
        <f t="shared" si="303"/>
        <v/>
      </c>
      <c r="LM478" s="1297" t="str">
        <f t="shared" si="304"/>
        <v/>
      </c>
      <c r="LN478" s="1297" t="str">
        <f t="shared" si="305"/>
        <v/>
      </c>
      <c r="LO478" s="1297" t="str">
        <f t="shared" si="306"/>
        <v/>
      </c>
      <c r="LP478" s="1297" t="str">
        <f t="shared" si="307"/>
        <v/>
      </c>
      <c r="LQ478" s="1297" t="str">
        <f t="shared" si="308"/>
        <v/>
      </c>
      <c r="LR478" s="1297" t="str">
        <f t="shared" si="309"/>
        <v/>
      </c>
      <c r="LS478" s="1297" t="str">
        <f t="shared" si="310"/>
        <v/>
      </c>
      <c r="LT478" s="1297" t="str">
        <f t="shared" si="311"/>
        <v/>
      </c>
      <c r="LU478" s="1297" t="str">
        <f t="shared" si="312"/>
        <v/>
      </c>
      <c r="LV478" s="1297" t="str">
        <f t="shared" si="313"/>
        <v/>
      </c>
      <c r="LW478" s="1297" t="str">
        <f t="shared" si="314"/>
        <v/>
      </c>
      <c r="LX478" s="1297" t="str">
        <f t="shared" si="315"/>
        <v/>
      </c>
      <c r="LY478" s="1297" t="str">
        <f t="shared" si="316"/>
        <v/>
      </c>
      <c r="LZ478" s="1297" t="str">
        <f t="shared" si="317"/>
        <v/>
      </c>
      <c r="MA478" s="1297" t="str">
        <f t="shared" si="318"/>
        <v/>
      </c>
      <c r="MB478" s="1297" t="str">
        <f t="shared" si="319"/>
        <v/>
      </c>
      <c r="MC478" s="1297" t="str">
        <f t="shared" si="320"/>
        <v/>
      </c>
      <c r="MD478" s="1297" t="str">
        <f t="shared" si="321"/>
        <v/>
      </c>
      <c r="ME478" s="1297" t="str">
        <f t="shared" si="322"/>
        <v/>
      </c>
      <c r="MF478" s="1297" t="str">
        <f t="shared" si="323"/>
        <v/>
      </c>
      <c r="MG478" s="1297" t="str">
        <f t="shared" si="324"/>
        <v/>
      </c>
      <c r="MH478" s="1297" t="str">
        <f t="shared" si="325"/>
        <v/>
      </c>
      <c r="MI478" s="1297" t="str">
        <f t="shared" si="326"/>
        <v/>
      </c>
      <c r="MJ478" s="1297" t="str">
        <f t="shared" si="327"/>
        <v/>
      </c>
      <c r="MK478" s="1297" t="str">
        <f t="shared" si="328"/>
        <v/>
      </c>
      <c r="ML478" s="1297" t="str">
        <f t="shared" si="329"/>
        <v/>
      </c>
      <c r="MM478" s="1297" t="str">
        <f t="shared" si="330"/>
        <v/>
      </c>
      <c r="MN478" s="1297" t="str">
        <f t="shared" si="331"/>
        <v/>
      </c>
      <c r="MO478" s="1297" t="str">
        <f t="shared" si="332"/>
        <v/>
      </c>
      <c r="MP478" s="1773" t="str">
        <f t="shared" si="333"/>
        <v/>
      </c>
      <c r="MQ478" s="1773" t="str">
        <f t="shared" si="334"/>
        <v/>
      </c>
      <c r="MR478" s="1773" t="str">
        <f t="shared" si="335"/>
        <v/>
      </c>
      <c r="MS478" s="1773" t="str">
        <f t="shared" si="336"/>
        <v/>
      </c>
      <c r="MT478" s="1773" t="str">
        <f t="shared" si="337"/>
        <v/>
      </c>
      <c r="MU478" s="251" t="str">
        <f t="shared" si="338"/>
        <v/>
      </c>
      <c r="MV478" s="251" t="str">
        <f t="shared" si="339"/>
        <v/>
      </c>
      <c r="MW478" s="251" t="str">
        <f t="shared" si="340"/>
        <v/>
      </c>
      <c r="MX478" s="251" t="str">
        <f t="shared" si="341"/>
        <v/>
      </c>
      <c r="MY478" s="251" t="str">
        <f t="shared" si="342"/>
        <v/>
      </c>
      <c r="MZ478" s="251" t="str">
        <f t="shared" si="343"/>
        <v/>
      </c>
      <c r="NA478" s="251" t="str">
        <f t="shared" si="344"/>
        <v/>
      </c>
      <c r="NB478" s="251" t="str">
        <f t="shared" si="345"/>
        <v/>
      </c>
      <c r="NC478" s="251" t="str">
        <f t="shared" si="346"/>
        <v/>
      </c>
      <c r="ND478" s="251" t="str">
        <f t="shared" si="347"/>
        <v/>
      </c>
      <c r="NE478" s="251" t="str">
        <f t="shared" si="348"/>
        <v/>
      </c>
      <c r="NF478" s="251" t="str">
        <f t="shared" si="349"/>
        <v/>
      </c>
      <c r="NG478" s="251" t="str">
        <f t="shared" si="350"/>
        <v/>
      </c>
      <c r="NH478" s="251" t="str">
        <f t="shared" si="351"/>
        <v/>
      </c>
      <c r="NI478" s="251" t="str">
        <f t="shared" si="352"/>
        <v/>
      </c>
      <c r="NJ478" s="251" t="str">
        <f t="shared" si="353"/>
        <v/>
      </c>
      <c r="NK478" s="251" t="str">
        <f t="shared" si="354"/>
        <v/>
      </c>
      <c r="NL478" s="251" t="str">
        <f t="shared" si="355"/>
        <v/>
      </c>
      <c r="NM478" s="251" t="str">
        <f t="shared" si="356"/>
        <v/>
      </c>
      <c r="NN478" s="251" t="str">
        <f t="shared" si="357"/>
        <v/>
      </c>
      <c r="NO478" s="1185">
        <f t="shared" si="358"/>
        <v>0</v>
      </c>
      <c r="NP478" s="1185">
        <f t="shared" si="359"/>
        <v>0</v>
      </c>
      <c r="NQ478" s="1185">
        <f t="shared" si="360"/>
        <v>0</v>
      </c>
      <c r="NR478" s="1185">
        <f t="shared" si="361"/>
        <v>0</v>
      </c>
      <c r="NS478" s="1185">
        <f t="shared" si="362"/>
        <v>0</v>
      </c>
      <c r="NT478" s="1185">
        <f t="shared" si="368"/>
        <v>0</v>
      </c>
      <c r="NU478" s="1185">
        <f t="shared" si="369"/>
        <v>0</v>
      </c>
      <c r="NV478" s="1185">
        <f t="shared" si="370"/>
        <v>0</v>
      </c>
      <c r="NW478" s="1185">
        <f t="shared" si="371"/>
        <v>0</v>
      </c>
      <c r="NX478" s="1185">
        <f t="shared" si="372"/>
        <v>0</v>
      </c>
      <c r="NY478" s="1185">
        <f t="shared" si="363"/>
        <v>0</v>
      </c>
      <c r="NZ478" s="1185">
        <f t="shared" si="364"/>
        <v>0</v>
      </c>
      <c r="OA478" s="1185">
        <f t="shared" si="365"/>
        <v>0</v>
      </c>
      <c r="OB478" s="1185">
        <f t="shared" si="366"/>
        <v>0</v>
      </c>
      <c r="OC478" s="1185">
        <f t="shared" si="367"/>
        <v>0</v>
      </c>
      <c r="OY478" s="251" t="s">
        <v>1173</v>
      </c>
      <c r="OZ478" s="1185">
        <v>25</v>
      </c>
    </row>
    <row r="479" spans="1:416" ht="12" customHeight="1">
      <c r="A479" s="1979" t="str">
        <f t="shared" si="0"/>
        <v/>
      </c>
      <c r="B479" s="1998">
        <f>'Part V-Revenues &amp; Expenses'!B26</f>
        <v>50</v>
      </c>
      <c r="C479" s="1999">
        <f>'Part V-Revenues &amp; Expenses'!C26</f>
        <v>1</v>
      </c>
      <c r="D479" s="2000">
        <f>'Part V-Revenues &amp; Expenses'!D26</f>
        <v>1</v>
      </c>
      <c r="E479" s="2001">
        <f>'Part V-Revenues &amp; Expenses'!E26</f>
        <v>5</v>
      </c>
      <c r="F479" s="2001">
        <f>'Part V-Revenues &amp; Expenses'!F26</f>
        <v>769</v>
      </c>
      <c r="G479" s="2001">
        <f>'Part V-Revenues &amp; Expenses'!G26</f>
        <v>772</v>
      </c>
      <c r="H479" s="2001">
        <f>'Part V-Revenues &amp; Expenses'!H26</f>
        <v>762</v>
      </c>
      <c r="I479" s="2001">
        <f>'Part V-Revenues &amp; Expenses'!I26</f>
        <v>0</v>
      </c>
      <c r="J479" s="2001">
        <f>'Part V-Revenues &amp; Expenses'!J26</f>
        <v>175</v>
      </c>
      <c r="K479" s="2002">
        <f>'Part V-Revenues &amp; Expenses'!K26</f>
        <v>0</v>
      </c>
      <c r="L479" s="2003">
        <f t="shared" si="1"/>
        <v>587</v>
      </c>
      <c r="M479" s="2003">
        <f t="shared" si="2"/>
        <v>2935</v>
      </c>
      <c r="N479" s="1853" t="str">
        <f>'Part V-Revenues &amp; Expenses'!N26</f>
        <v>No</v>
      </c>
      <c r="O479" s="899" t="str">
        <f>'Part V-Revenues &amp; Expenses'!O26</f>
        <v>Low-Rise Apt</v>
      </c>
      <c r="P479" s="1853" t="str">
        <f>'Part V-Revenues &amp; Expenses'!P26</f>
        <v>Acquisition/Rehab</v>
      </c>
      <c r="Q479" s="1772" t="str">
        <f>'Part V-Revenues &amp; Expenses'!Q26</f>
        <v>No</v>
      </c>
      <c r="R479" s="2004"/>
      <c r="S479" s="2005"/>
      <c r="T479" s="1920"/>
      <c r="U479" s="1920"/>
      <c r="V479" s="1920"/>
      <c r="W479" s="1920"/>
      <c r="X479" s="251" t="str">
        <f t="shared" si="3"/>
        <v/>
      </c>
      <c r="Y479" s="251" t="str">
        <f t="shared" si="4"/>
        <v/>
      </c>
      <c r="Z479" s="251" t="str">
        <f t="shared" si="5"/>
        <v/>
      </c>
      <c r="AA479" s="251" t="str">
        <f t="shared" si="6"/>
        <v/>
      </c>
      <c r="AB479" s="251" t="str">
        <f t="shared" si="7"/>
        <v/>
      </c>
      <c r="AC479" s="251" t="str">
        <f t="shared" si="8"/>
        <v/>
      </c>
      <c r="AD479" s="251" t="str">
        <f t="shared" si="9"/>
        <v/>
      </c>
      <c r="AE479" s="251" t="str">
        <f t="shared" si="10"/>
        <v/>
      </c>
      <c r="AF479" s="251" t="str">
        <f t="shared" si="11"/>
        <v/>
      </c>
      <c r="AG479" s="251" t="str">
        <f t="shared" si="12"/>
        <v/>
      </c>
      <c r="AH479" s="251" t="str">
        <f t="shared" si="13"/>
        <v/>
      </c>
      <c r="AI479" s="251" t="str">
        <f t="shared" si="14"/>
        <v/>
      </c>
      <c r="AJ479" s="251" t="str">
        <f t="shared" si="15"/>
        <v/>
      </c>
      <c r="AK479" s="251" t="str">
        <f t="shared" si="16"/>
        <v/>
      </c>
      <c r="AL479" s="251" t="str">
        <f t="shared" si="17"/>
        <v/>
      </c>
      <c r="AM479" s="251" t="str">
        <f t="shared" si="18"/>
        <v/>
      </c>
      <c r="AN479" s="251">
        <f t="shared" si="19"/>
        <v>5</v>
      </c>
      <c r="AO479" s="251" t="str">
        <f t="shared" si="20"/>
        <v/>
      </c>
      <c r="AP479" s="251" t="str">
        <f t="shared" si="21"/>
        <v/>
      </c>
      <c r="AQ479" s="251" t="str">
        <f t="shared" si="22"/>
        <v/>
      </c>
      <c r="AR479" s="251" t="str">
        <f t="shared" si="23"/>
        <v/>
      </c>
      <c r="AS479" s="251" t="str">
        <f t="shared" si="24"/>
        <v/>
      </c>
      <c r="AT479" s="251" t="str">
        <f t="shared" si="25"/>
        <v/>
      </c>
      <c r="AU479" s="251" t="str">
        <f t="shared" si="26"/>
        <v/>
      </c>
      <c r="AV479" s="251" t="str">
        <f t="shared" si="27"/>
        <v/>
      </c>
      <c r="AW479" s="251" t="str">
        <f t="shared" si="28"/>
        <v/>
      </c>
      <c r="AX479" s="251" t="str">
        <f t="shared" si="29"/>
        <v/>
      </c>
      <c r="AY479" s="251" t="str">
        <f t="shared" si="30"/>
        <v/>
      </c>
      <c r="AZ479" s="251" t="str">
        <f t="shared" si="31"/>
        <v/>
      </c>
      <c r="BA479" s="251" t="str">
        <f t="shared" si="32"/>
        <v/>
      </c>
      <c r="BB479" s="251" t="str">
        <f t="shared" si="33"/>
        <v/>
      </c>
      <c r="BC479" s="251" t="str">
        <f t="shared" si="34"/>
        <v/>
      </c>
      <c r="BD479" s="251" t="str">
        <f t="shared" si="35"/>
        <v/>
      </c>
      <c r="BE479" s="251" t="str">
        <f t="shared" si="36"/>
        <v/>
      </c>
      <c r="BF479" s="251" t="str">
        <f t="shared" si="37"/>
        <v/>
      </c>
      <c r="BG479" s="251" t="str">
        <f t="shared" si="38"/>
        <v/>
      </c>
      <c r="BH479" s="251" t="str">
        <f t="shared" si="39"/>
        <v/>
      </c>
      <c r="BI479" s="251" t="str">
        <f t="shared" si="40"/>
        <v/>
      </c>
      <c r="BJ479" s="251" t="str">
        <f t="shared" si="41"/>
        <v/>
      </c>
      <c r="BK479" s="251" t="str">
        <f t="shared" si="42"/>
        <v/>
      </c>
      <c r="BL479" s="251" t="str">
        <f t="shared" si="43"/>
        <v/>
      </c>
      <c r="BM479" s="251" t="str">
        <f t="shared" si="44"/>
        <v/>
      </c>
      <c r="BN479" s="251" t="str">
        <f t="shared" si="45"/>
        <v/>
      </c>
      <c r="BO479" s="251" t="str">
        <f t="shared" si="46"/>
        <v/>
      </c>
      <c r="BP479" s="251" t="str">
        <f t="shared" si="47"/>
        <v/>
      </c>
      <c r="BQ479" s="251" t="str">
        <f t="shared" si="48"/>
        <v/>
      </c>
      <c r="BR479" s="251" t="str">
        <f t="shared" si="49"/>
        <v/>
      </c>
      <c r="BS479" s="251" t="str">
        <f t="shared" si="50"/>
        <v/>
      </c>
      <c r="BT479" s="251" t="str">
        <f t="shared" si="51"/>
        <v/>
      </c>
      <c r="BU479" s="251" t="str">
        <f t="shared" si="52"/>
        <v/>
      </c>
      <c r="BV479" s="251" t="str">
        <f t="shared" si="53"/>
        <v/>
      </c>
      <c r="BW479" s="251" t="str">
        <f t="shared" si="54"/>
        <v/>
      </c>
      <c r="BX479" s="251" t="str">
        <f t="shared" si="55"/>
        <v/>
      </c>
      <c r="BY479" s="251" t="str">
        <f t="shared" si="56"/>
        <v/>
      </c>
      <c r="BZ479" s="251" t="str">
        <f t="shared" si="57"/>
        <v/>
      </c>
      <c r="CA479" s="251" t="str">
        <f t="shared" si="58"/>
        <v/>
      </c>
      <c r="CB479" s="251" t="str">
        <f t="shared" si="59"/>
        <v/>
      </c>
      <c r="CC479" s="251" t="str">
        <f t="shared" si="60"/>
        <v/>
      </c>
      <c r="CD479" s="251" t="str">
        <f t="shared" si="61"/>
        <v/>
      </c>
      <c r="CE479" s="251" t="str">
        <f t="shared" si="62"/>
        <v/>
      </c>
      <c r="CF479" s="251" t="str">
        <f t="shared" si="63"/>
        <v/>
      </c>
      <c r="CG479" s="251" t="str">
        <f t="shared" si="64"/>
        <v/>
      </c>
      <c r="CH479" s="251" t="str">
        <f t="shared" si="65"/>
        <v/>
      </c>
      <c r="CI479" s="251" t="str">
        <f t="shared" si="66"/>
        <v/>
      </c>
      <c r="CJ479" s="251" t="str">
        <f t="shared" si="67"/>
        <v/>
      </c>
      <c r="CK479" s="251" t="str">
        <f t="shared" si="68"/>
        <v/>
      </c>
      <c r="CL479" s="251" t="str">
        <f t="shared" si="69"/>
        <v/>
      </c>
      <c r="CM479" s="251" t="str">
        <f t="shared" si="70"/>
        <v/>
      </c>
      <c r="CN479" s="251" t="str">
        <f t="shared" si="71"/>
        <v/>
      </c>
      <c r="CO479" s="251" t="str">
        <f t="shared" si="72"/>
        <v/>
      </c>
      <c r="CP479" s="251" t="str">
        <f t="shared" si="73"/>
        <v/>
      </c>
      <c r="CQ479" s="251" t="str">
        <f t="shared" si="74"/>
        <v/>
      </c>
      <c r="CR479" s="251" t="str">
        <f t="shared" si="75"/>
        <v/>
      </c>
      <c r="CS479" s="251" t="str">
        <f t="shared" si="76"/>
        <v/>
      </c>
      <c r="CT479" s="251" t="str">
        <f t="shared" si="77"/>
        <v/>
      </c>
      <c r="CU479" s="251" t="str">
        <f t="shared" si="78"/>
        <v/>
      </c>
      <c r="CV479" s="251" t="str">
        <f t="shared" si="79"/>
        <v/>
      </c>
      <c r="CW479" s="251" t="str">
        <f t="shared" si="80"/>
        <v/>
      </c>
      <c r="CX479" s="251" t="str">
        <f t="shared" si="81"/>
        <v/>
      </c>
      <c r="CY479" s="251" t="str">
        <f t="shared" si="82"/>
        <v/>
      </c>
      <c r="CZ479" s="251" t="str">
        <f t="shared" si="83"/>
        <v/>
      </c>
      <c r="DA479" s="251" t="str">
        <f t="shared" si="84"/>
        <v/>
      </c>
      <c r="DB479" s="251" t="str">
        <f t="shared" si="85"/>
        <v/>
      </c>
      <c r="DC479" s="251" t="str">
        <f t="shared" si="86"/>
        <v/>
      </c>
      <c r="DD479" s="251" t="str">
        <f t="shared" si="87"/>
        <v/>
      </c>
      <c r="DE479" s="251" t="str">
        <f t="shared" si="88"/>
        <v/>
      </c>
      <c r="DF479" s="251" t="str">
        <f t="shared" si="89"/>
        <v/>
      </c>
      <c r="DG479" s="251" t="str">
        <f t="shared" si="90"/>
        <v/>
      </c>
      <c r="DH479" s="251" t="str">
        <f t="shared" si="91"/>
        <v/>
      </c>
      <c r="DI479" s="251" t="str">
        <f t="shared" si="92"/>
        <v/>
      </c>
      <c r="DJ479" s="251" t="str">
        <f t="shared" si="93"/>
        <v/>
      </c>
      <c r="DK479" s="251" t="str">
        <f t="shared" si="94"/>
        <v/>
      </c>
      <c r="DL479" s="251" t="str">
        <f t="shared" si="95"/>
        <v/>
      </c>
      <c r="DM479" s="251" t="str">
        <f t="shared" si="96"/>
        <v/>
      </c>
      <c r="DN479" s="251" t="str">
        <f t="shared" si="97"/>
        <v/>
      </c>
      <c r="DO479" s="251" t="str">
        <f t="shared" si="98"/>
        <v/>
      </c>
      <c r="DP479" s="251" t="str">
        <f t="shared" si="99"/>
        <v/>
      </c>
      <c r="DQ479" s="251" t="str">
        <f t="shared" si="100"/>
        <v/>
      </c>
      <c r="DR479" s="251" t="str">
        <f t="shared" si="101"/>
        <v/>
      </c>
      <c r="DS479" s="251" t="str">
        <f t="shared" si="102"/>
        <v/>
      </c>
      <c r="DT479" s="251" t="str">
        <f t="shared" si="103"/>
        <v/>
      </c>
      <c r="DU479" s="251" t="str">
        <f t="shared" si="104"/>
        <v/>
      </c>
      <c r="DV479" s="251" t="str">
        <f t="shared" si="105"/>
        <v/>
      </c>
      <c r="DW479" s="251" t="str">
        <f t="shared" si="106"/>
        <v/>
      </c>
      <c r="DX479" s="251" t="str">
        <f t="shared" si="107"/>
        <v/>
      </c>
      <c r="DY479" s="251" t="str">
        <f t="shared" si="108"/>
        <v/>
      </c>
      <c r="DZ479" s="251" t="str">
        <f t="shared" si="109"/>
        <v/>
      </c>
      <c r="EA479" s="251" t="str">
        <f t="shared" si="110"/>
        <v/>
      </c>
      <c r="EB479" s="251" t="str">
        <f t="shared" si="111"/>
        <v/>
      </c>
      <c r="EC479" s="251" t="str">
        <f t="shared" si="112"/>
        <v/>
      </c>
      <c r="ED479" s="251" t="str">
        <f t="shared" si="113"/>
        <v/>
      </c>
      <c r="EE479" s="251" t="str">
        <f t="shared" si="114"/>
        <v/>
      </c>
      <c r="EF479" s="251" t="str">
        <f t="shared" si="115"/>
        <v/>
      </c>
      <c r="EG479" s="251" t="str">
        <f t="shared" si="116"/>
        <v/>
      </c>
      <c r="EH479" s="251" t="str">
        <f t="shared" si="117"/>
        <v/>
      </c>
      <c r="EI479" s="251" t="str">
        <f t="shared" si="118"/>
        <v/>
      </c>
      <c r="EJ479" s="251" t="str">
        <f t="shared" si="119"/>
        <v/>
      </c>
      <c r="EK479" s="251" t="str">
        <f t="shared" si="120"/>
        <v/>
      </c>
      <c r="EL479" s="251" t="str">
        <f t="shared" si="121"/>
        <v/>
      </c>
      <c r="EM479" s="251" t="str">
        <f t="shared" si="122"/>
        <v/>
      </c>
      <c r="EN479" s="251" t="str">
        <f t="shared" si="123"/>
        <v/>
      </c>
      <c r="EO479" s="251" t="str">
        <f t="shared" si="124"/>
        <v/>
      </c>
      <c r="EP479" s="251" t="str">
        <f t="shared" si="125"/>
        <v/>
      </c>
      <c r="EQ479" s="251" t="str">
        <f t="shared" si="126"/>
        <v/>
      </c>
      <c r="ER479" s="251" t="str">
        <f t="shared" si="127"/>
        <v/>
      </c>
      <c r="ES479" s="251" t="str">
        <f t="shared" si="128"/>
        <v/>
      </c>
      <c r="ET479" s="251" t="str">
        <f t="shared" si="129"/>
        <v/>
      </c>
      <c r="EU479" s="251" t="str">
        <f t="shared" si="130"/>
        <v/>
      </c>
      <c r="EV479" s="251" t="str">
        <f t="shared" si="131"/>
        <v/>
      </c>
      <c r="EW479" s="251" t="str">
        <f t="shared" si="132"/>
        <v/>
      </c>
      <c r="EX479" s="251" t="str">
        <f t="shared" si="133"/>
        <v/>
      </c>
      <c r="EY479" s="251" t="str">
        <f t="shared" si="134"/>
        <v/>
      </c>
      <c r="EZ479" s="251" t="str">
        <f t="shared" si="135"/>
        <v/>
      </c>
      <c r="FA479" s="251" t="str">
        <f t="shared" si="136"/>
        <v/>
      </c>
      <c r="FB479" s="251" t="str">
        <f t="shared" si="137"/>
        <v/>
      </c>
      <c r="FC479" s="251" t="str">
        <f t="shared" si="138"/>
        <v/>
      </c>
      <c r="FD479" s="251" t="str">
        <f t="shared" si="139"/>
        <v/>
      </c>
      <c r="FE479" s="251" t="str">
        <f t="shared" si="140"/>
        <v/>
      </c>
      <c r="FF479" s="251" t="str">
        <f t="shared" si="141"/>
        <v/>
      </c>
      <c r="FG479" s="251" t="str">
        <f t="shared" si="142"/>
        <v/>
      </c>
      <c r="FH479" s="251" t="str">
        <f t="shared" si="143"/>
        <v/>
      </c>
      <c r="FI479" s="251" t="str">
        <f t="shared" si="144"/>
        <v/>
      </c>
      <c r="FJ479" s="251" t="str">
        <f t="shared" si="145"/>
        <v/>
      </c>
      <c r="FK479" s="251" t="str">
        <f t="shared" si="146"/>
        <v/>
      </c>
      <c r="FL479" s="251" t="str">
        <f t="shared" si="147"/>
        <v/>
      </c>
      <c r="FM479" s="251" t="str">
        <f t="shared" si="148"/>
        <v/>
      </c>
      <c r="FN479" s="251" t="str">
        <f t="shared" si="149"/>
        <v/>
      </c>
      <c r="FO479" s="251" t="str">
        <f t="shared" si="150"/>
        <v/>
      </c>
      <c r="FP479" s="251" t="str">
        <f t="shared" si="151"/>
        <v/>
      </c>
      <c r="FQ479" s="251" t="str">
        <f t="shared" si="152"/>
        <v/>
      </c>
      <c r="FR479" s="251" t="str">
        <f t="shared" si="153"/>
        <v/>
      </c>
      <c r="FS479" s="251" t="str">
        <f t="shared" si="154"/>
        <v/>
      </c>
      <c r="FT479" s="251" t="str">
        <f t="shared" si="155"/>
        <v/>
      </c>
      <c r="FU479" s="251" t="str">
        <f t="shared" si="156"/>
        <v/>
      </c>
      <c r="FV479" s="251" t="str">
        <f t="shared" si="157"/>
        <v/>
      </c>
      <c r="FW479" s="251" t="str">
        <f t="shared" si="158"/>
        <v/>
      </c>
      <c r="FX479" s="251" t="str">
        <f t="shared" si="159"/>
        <v/>
      </c>
      <c r="FY479" s="251" t="str">
        <f t="shared" si="160"/>
        <v/>
      </c>
      <c r="FZ479" s="251" t="str">
        <f t="shared" si="161"/>
        <v/>
      </c>
      <c r="GA479" s="251" t="str">
        <f t="shared" si="162"/>
        <v/>
      </c>
      <c r="GB479" s="251" t="str">
        <f t="shared" si="163"/>
        <v/>
      </c>
      <c r="GC479" s="251" t="str">
        <f t="shared" si="164"/>
        <v/>
      </c>
      <c r="GD479" s="251" t="str">
        <f t="shared" si="165"/>
        <v/>
      </c>
      <c r="GE479" s="251" t="str">
        <f t="shared" si="166"/>
        <v/>
      </c>
      <c r="GF479" s="251" t="str">
        <f t="shared" si="167"/>
        <v/>
      </c>
      <c r="GG479" s="251" t="str">
        <f t="shared" si="168"/>
        <v/>
      </c>
      <c r="GH479" s="251">
        <f t="shared" si="169"/>
        <v>3845</v>
      </c>
      <c r="GI479" s="251" t="str">
        <f t="shared" si="170"/>
        <v/>
      </c>
      <c r="GJ479" s="251" t="str">
        <f t="shared" si="171"/>
        <v/>
      </c>
      <c r="GK479" s="251" t="str">
        <f t="shared" si="172"/>
        <v/>
      </c>
      <c r="GL479" s="251" t="str">
        <f t="shared" si="173"/>
        <v/>
      </c>
      <c r="GM479" s="251" t="str">
        <f t="shared" si="174"/>
        <v/>
      </c>
      <c r="GN479" s="251" t="str">
        <f t="shared" si="175"/>
        <v/>
      </c>
      <c r="GO479" s="251" t="str">
        <f t="shared" si="176"/>
        <v/>
      </c>
      <c r="GP479" s="251" t="str">
        <f t="shared" si="177"/>
        <v/>
      </c>
      <c r="GQ479" s="251" t="str">
        <f t="shared" si="178"/>
        <v/>
      </c>
      <c r="GR479" s="251" t="str">
        <f t="shared" si="179"/>
        <v/>
      </c>
      <c r="GS479" s="251" t="str">
        <f t="shared" si="180"/>
        <v/>
      </c>
      <c r="GT479" s="251" t="str">
        <f t="shared" si="181"/>
        <v/>
      </c>
      <c r="GU479" s="251" t="str">
        <f t="shared" si="182"/>
        <v/>
      </c>
      <c r="GV479" s="251" t="str">
        <f t="shared" si="183"/>
        <v/>
      </c>
      <c r="GW479" s="251" t="str">
        <f t="shared" si="184"/>
        <v/>
      </c>
      <c r="GX479" s="251" t="str">
        <f t="shared" si="185"/>
        <v/>
      </c>
      <c r="GY479" s="251" t="str">
        <f t="shared" si="186"/>
        <v/>
      </c>
      <c r="GZ479" s="251" t="str">
        <f t="shared" si="187"/>
        <v/>
      </c>
      <c r="HA479" s="251" t="str">
        <f t="shared" si="188"/>
        <v/>
      </c>
      <c r="HB479" s="251" t="str">
        <f t="shared" si="189"/>
        <v/>
      </c>
      <c r="HC479" s="251" t="str">
        <f t="shared" si="190"/>
        <v/>
      </c>
      <c r="HD479" s="251" t="str">
        <f t="shared" si="191"/>
        <v/>
      </c>
      <c r="HE479" s="251" t="str">
        <f t="shared" si="192"/>
        <v/>
      </c>
      <c r="HF479" s="251" t="str">
        <f t="shared" si="193"/>
        <v/>
      </c>
      <c r="HG479" s="251" t="str">
        <f t="shared" si="194"/>
        <v/>
      </c>
      <c r="HH479" s="251" t="str">
        <f t="shared" si="195"/>
        <v/>
      </c>
      <c r="HI479" s="251" t="str">
        <f t="shared" si="196"/>
        <v/>
      </c>
      <c r="HJ479" s="251" t="str">
        <f t="shared" si="197"/>
        <v/>
      </c>
      <c r="HK479" s="251" t="str">
        <f t="shared" si="198"/>
        <v/>
      </c>
      <c r="HL479" s="251" t="str">
        <f t="shared" si="199"/>
        <v/>
      </c>
      <c r="HM479" s="251" t="str">
        <f t="shared" si="200"/>
        <v/>
      </c>
      <c r="HN479" s="251" t="str">
        <f t="shared" si="201"/>
        <v/>
      </c>
      <c r="HO479" s="251" t="str">
        <f t="shared" si="202"/>
        <v/>
      </c>
      <c r="HP479" s="251" t="str">
        <f t="shared" si="203"/>
        <v/>
      </c>
      <c r="HQ479" s="251" t="str">
        <f t="shared" si="204"/>
        <v/>
      </c>
      <c r="HR479" s="251" t="str">
        <f t="shared" si="205"/>
        <v/>
      </c>
      <c r="HS479" s="251" t="str">
        <f t="shared" si="206"/>
        <v/>
      </c>
      <c r="HT479" s="251" t="str">
        <f t="shared" si="207"/>
        <v/>
      </c>
      <c r="HU479" s="251" t="str">
        <f t="shared" si="208"/>
        <v/>
      </c>
      <c r="HV479" s="251" t="str">
        <f t="shared" si="209"/>
        <v/>
      </c>
      <c r="HW479" s="251" t="str">
        <f t="shared" si="210"/>
        <v/>
      </c>
      <c r="HX479" s="251" t="str">
        <f t="shared" si="211"/>
        <v/>
      </c>
      <c r="HY479" s="251" t="str">
        <f t="shared" si="212"/>
        <v/>
      </c>
      <c r="HZ479" s="251" t="str">
        <f t="shared" si="213"/>
        <v/>
      </c>
      <c r="IA479" s="251" t="str">
        <f t="shared" si="214"/>
        <v/>
      </c>
      <c r="IB479" s="251" t="str">
        <f t="shared" si="215"/>
        <v/>
      </c>
      <c r="IC479" s="251" t="str">
        <f t="shared" si="216"/>
        <v/>
      </c>
      <c r="ID479" s="251" t="str">
        <f t="shared" si="217"/>
        <v/>
      </c>
      <c r="IE479" s="251" t="str">
        <f t="shared" si="218"/>
        <v/>
      </c>
      <c r="IF479" s="251">
        <f t="shared" si="219"/>
        <v>5</v>
      </c>
      <c r="IG479" s="251" t="str">
        <f t="shared" si="220"/>
        <v/>
      </c>
      <c r="IH479" s="251" t="str">
        <f t="shared" si="221"/>
        <v/>
      </c>
      <c r="II479" s="251" t="str">
        <f t="shared" si="222"/>
        <v/>
      </c>
      <c r="IJ479" s="251" t="str">
        <f t="shared" si="223"/>
        <v/>
      </c>
      <c r="IK479" s="251" t="str">
        <f t="shared" si="224"/>
        <v/>
      </c>
      <c r="IL479" s="251" t="str">
        <f t="shared" si="225"/>
        <v/>
      </c>
      <c r="IM479" s="251" t="str">
        <f t="shared" si="226"/>
        <v/>
      </c>
      <c r="IN479" s="251" t="str">
        <f t="shared" si="227"/>
        <v/>
      </c>
      <c r="IO479" s="251" t="str">
        <f t="shared" si="228"/>
        <v/>
      </c>
      <c r="IP479" s="251" t="str">
        <f t="shared" si="229"/>
        <v/>
      </c>
      <c r="IQ479" s="251" t="str">
        <f t="shared" si="230"/>
        <v/>
      </c>
      <c r="IR479" s="251" t="str">
        <f t="shared" si="231"/>
        <v/>
      </c>
      <c r="IS479" s="251" t="str">
        <f t="shared" si="232"/>
        <v/>
      </c>
      <c r="IT479" s="251" t="str">
        <f t="shared" si="233"/>
        <v/>
      </c>
      <c r="IU479" s="251" t="str">
        <f t="shared" si="234"/>
        <v/>
      </c>
      <c r="IV479" s="251" t="str">
        <f t="shared" si="235"/>
        <v/>
      </c>
      <c r="IW479" s="251" t="str">
        <f t="shared" si="236"/>
        <v/>
      </c>
      <c r="IX479" s="251" t="str">
        <f t="shared" si="237"/>
        <v/>
      </c>
      <c r="IY479" s="251" t="str">
        <f t="shared" si="238"/>
        <v/>
      </c>
      <c r="IZ479" s="251" t="str">
        <f t="shared" si="239"/>
        <v/>
      </c>
      <c r="JA479" s="251" t="str">
        <f t="shared" si="240"/>
        <v/>
      </c>
      <c r="JB479" s="251" t="str">
        <f t="shared" si="241"/>
        <v/>
      </c>
      <c r="JC479" s="251" t="str">
        <f t="shared" si="242"/>
        <v/>
      </c>
      <c r="JD479" s="251" t="str">
        <f t="shared" si="243"/>
        <v/>
      </c>
      <c r="JE479" s="251" t="str">
        <f t="shared" si="244"/>
        <v/>
      </c>
      <c r="JF479" s="251" t="str">
        <f t="shared" si="245"/>
        <v/>
      </c>
      <c r="JG479" s="251" t="str">
        <f t="shared" si="246"/>
        <v/>
      </c>
      <c r="JH479" s="251" t="str">
        <f t="shared" si="247"/>
        <v/>
      </c>
      <c r="JI479" s="1297" t="str">
        <f t="shared" si="248"/>
        <v/>
      </c>
      <c r="JJ479" s="1297">
        <f t="shared" si="249"/>
        <v>5</v>
      </c>
      <c r="JK479" s="1297" t="str">
        <f t="shared" si="250"/>
        <v/>
      </c>
      <c r="JL479" s="1297" t="str">
        <f t="shared" si="251"/>
        <v/>
      </c>
      <c r="JM479" s="1297" t="str">
        <f t="shared" si="252"/>
        <v/>
      </c>
      <c r="JN479" s="1297" t="str">
        <f t="shared" si="253"/>
        <v/>
      </c>
      <c r="JO479" s="1297" t="str">
        <f t="shared" si="254"/>
        <v/>
      </c>
      <c r="JP479" s="1297" t="str">
        <f t="shared" si="255"/>
        <v/>
      </c>
      <c r="JQ479" s="1297" t="str">
        <f t="shared" si="256"/>
        <v/>
      </c>
      <c r="JR479" s="1297" t="str">
        <f t="shared" si="257"/>
        <v/>
      </c>
      <c r="JS479" s="1297" t="str">
        <f t="shared" si="258"/>
        <v/>
      </c>
      <c r="JT479" s="1297" t="str">
        <f t="shared" si="259"/>
        <v/>
      </c>
      <c r="JU479" s="1297" t="str">
        <f t="shared" si="260"/>
        <v/>
      </c>
      <c r="JV479" s="1297" t="str">
        <f t="shared" si="261"/>
        <v/>
      </c>
      <c r="JW479" s="1297" t="str">
        <f t="shared" si="262"/>
        <v/>
      </c>
      <c r="JX479" s="1297" t="str">
        <f t="shared" si="263"/>
        <v/>
      </c>
      <c r="JY479" s="1297" t="str">
        <f t="shared" si="264"/>
        <v/>
      </c>
      <c r="JZ479" s="1297" t="str">
        <f t="shared" si="265"/>
        <v/>
      </c>
      <c r="KA479" s="1297" t="str">
        <f t="shared" si="266"/>
        <v/>
      </c>
      <c r="KB479" s="1297" t="str">
        <f t="shared" si="267"/>
        <v/>
      </c>
      <c r="KC479" s="1297" t="str">
        <f t="shared" si="268"/>
        <v/>
      </c>
      <c r="KD479" s="1297" t="str">
        <f t="shared" si="269"/>
        <v/>
      </c>
      <c r="KE479" s="1297" t="str">
        <f t="shared" si="270"/>
        <v/>
      </c>
      <c r="KF479" s="1297" t="str">
        <f t="shared" si="271"/>
        <v/>
      </c>
      <c r="KG479" s="1297" t="str">
        <f t="shared" si="272"/>
        <v/>
      </c>
      <c r="KH479" s="1297" t="str">
        <f t="shared" si="273"/>
        <v/>
      </c>
      <c r="KI479" s="1297" t="str">
        <f t="shared" si="274"/>
        <v/>
      </c>
      <c r="KJ479" s="1297" t="str">
        <f t="shared" si="275"/>
        <v/>
      </c>
      <c r="KK479" s="1297" t="str">
        <f t="shared" si="276"/>
        <v/>
      </c>
      <c r="KL479" s="1297" t="str">
        <f t="shared" si="277"/>
        <v/>
      </c>
      <c r="KM479" s="1297" t="str">
        <f t="shared" si="278"/>
        <v/>
      </c>
      <c r="KN479" s="1297" t="str">
        <f t="shared" si="279"/>
        <v/>
      </c>
      <c r="KO479" s="1297" t="str">
        <f t="shared" si="280"/>
        <v/>
      </c>
      <c r="KP479" s="1297" t="str">
        <f t="shared" si="281"/>
        <v/>
      </c>
      <c r="KQ479" s="1297" t="str">
        <f t="shared" si="282"/>
        <v/>
      </c>
      <c r="KR479" s="1297" t="str">
        <f t="shared" si="283"/>
        <v/>
      </c>
      <c r="KS479" s="1297" t="str">
        <f t="shared" si="284"/>
        <v/>
      </c>
      <c r="KT479" s="1297" t="str">
        <f t="shared" si="285"/>
        <v/>
      </c>
      <c r="KU479" s="1297" t="str">
        <f t="shared" si="286"/>
        <v/>
      </c>
      <c r="KV479" s="1297" t="str">
        <f t="shared" si="287"/>
        <v/>
      </c>
      <c r="KW479" s="1297" t="str">
        <f t="shared" si="288"/>
        <v/>
      </c>
      <c r="KX479" s="1297" t="str">
        <f t="shared" si="289"/>
        <v/>
      </c>
      <c r="KY479" s="1297" t="str">
        <f t="shared" si="290"/>
        <v/>
      </c>
      <c r="KZ479" s="1297" t="str">
        <f t="shared" si="291"/>
        <v/>
      </c>
      <c r="LA479" s="1297" t="str">
        <f t="shared" si="292"/>
        <v/>
      </c>
      <c r="LB479" s="1297" t="str">
        <f t="shared" si="293"/>
        <v/>
      </c>
      <c r="LC479" s="1297">
        <f t="shared" si="294"/>
        <v>5</v>
      </c>
      <c r="LD479" s="1297" t="str">
        <f t="shared" si="295"/>
        <v/>
      </c>
      <c r="LE479" s="1297" t="str">
        <f t="shared" si="296"/>
        <v/>
      </c>
      <c r="LF479" s="1297" t="str">
        <f t="shared" si="297"/>
        <v/>
      </c>
      <c r="LG479" s="1297" t="str">
        <f t="shared" si="298"/>
        <v/>
      </c>
      <c r="LH479" s="1297" t="str">
        <f t="shared" si="299"/>
        <v/>
      </c>
      <c r="LI479" s="1297" t="str">
        <f t="shared" si="300"/>
        <v/>
      </c>
      <c r="LJ479" s="1297" t="str">
        <f t="shared" si="301"/>
        <v/>
      </c>
      <c r="LK479" s="1297" t="str">
        <f t="shared" si="302"/>
        <v/>
      </c>
      <c r="LL479" s="1297" t="str">
        <f t="shared" si="303"/>
        <v/>
      </c>
      <c r="LM479" s="1297" t="str">
        <f t="shared" si="304"/>
        <v/>
      </c>
      <c r="LN479" s="1297" t="str">
        <f t="shared" si="305"/>
        <v/>
      </c>
      <c r="LO479" s="1297" t="str">
        <f t="shared" si="306"/>
        <v/>
      </c>
      <c r="LP479" s="1297" t="str">
        <f t="shared" si="307"/>
        <v/>
      </c>
      <c r="LQ479" s="1297" t="str">
        <f t="shared" si="308"/>
        <v/>
      </c>
      <c r="LR479" s="1297" t="str">
        <f t="shared" si="309"/>
        <v/>
      </c>
      <c r="LS479" s="1297" t="str">
        <f t="shared" si="310"/>
        <v/>
      </c>
      <c r="LT479" s="1297" t="str">
        <f t="shared" si="311"/>
        <v/>
      </c>
      <c r="LU479" s="1297" t="str">
        <f t="shared" si="312"/>
        <v/>
      </c>
      <c r="LV479" s="1297" t="str">
        <f t="shared" si="313"/>
        <v/>
      </c>
      <c r="LW479" s="1297" t="str">
        <f t="shared" si="314"/>
        <v/>
      </c>
      <c r="LX479" s="1297" t="str">
        <f t="shared" si="315"/>
        <v/>
      </c>
      <c r="LY479" s="1297" t="str">
        <f t="shared" si="316"/>
        <v/>
      </c>
      <c r="LZ479" s="1297" t="str">
        <f t="shared" si="317"/>
        <v/>
      </c>
      <c r="MA479" s="1297" t="str">
        <f t="shared" si="318"/>
        <v/>
      </c>
      <c r="MB479" s="1297" t="str">
        <f t="shared" si="319"/>
        <v/>
      </c>
      <c r="MC479" s="1297" t="str">
        <f t="shared" si="320"/>
        <v/>
      </c>
      <c r="MD479" s="1297" t="str">
        <f t="shared" si="321"/>
        <v/>
      </c>
      <c r="ME479" s="1297" t="str">
        <f t="shared" si="322"/>
        <v/>
      </c>
      <c r="MF479" s="1297" t="str">
        <f t="shared" si="323"/>
        <v/>
      </c>
      <c r="MG479" s="1297" t="str">
        <f t="shared" si="324"/>
        <v/>
      </c>
      <c r="MH479" s="1297" t="str">
        <f t="shared" si="325"/>
        <v/>
      </c>
      <c r="MI479" s="1297" t="str">
        <f t="shared" si="326"/>
        <v/>
      </c>
      <c r="MJ479" s="1297" t="str">
        <f t="shared" si="327"/>
        <v/>
      </c>
      <c r="MK479" s="1297" t="str">
        <f t="shared" si="328"/>
        <v/>
      </c>
      <c r="ML479" s="1297" t="str">
        <f t="shared" si="329"/>
        <v/>
      </c>
      <c r="MM479" s="1297" t="str">
        <f t="shared" si="330"/>
        <v/>
      </c>
      <c r="MN479" s="1297" t="str">
        <f t="shared" si="331"/>
        <v/>
      </c>
      <c r="MO479" s="1297" t="str">
        <f t="shared" si="332"/>
        <v/>
      </c>
      <c r="MP479" s="1773" t="str">
        <f t="shared" si="333"/>
        <v/>
      </c>
      <c r="MQ479" s="1773" t="str">
        <f t="shared" si="334"/>
        <v/>
      </c>
      <c r="MR479" s="1773" t="str">
        <f t="shared" si="335"/>
        <v/>
      </c>
      <c r="MS479" s="1773" t="str">
        <f t="shared" si="336"/>
        <v/>
      </c>
      <c r="MT479" s="1773" t="str">
        <f t="shared" si="337"/>
        <v/>
      </c>
      <c r="MU479" s="251" t="str">
        <f t="shared" si="338"/>
        <v/>
      </c>
      <c r="MV479" s="251" t="str">
        <f t="shared" si="339"/>
        <v/>
      </c>
      <c r="MW479" s="251" t="str">
        <f t="shared" si="340"/>
        <v/>
      </c>
      <c r="MX479" s="251" t="str">
        <f t="shared" si="341"/>
        <v/>
      </c>
      <c r="MY479" s="251" t="str">
        <f t="shared" si="342"/>
        <v/>
      </c>
      <c r="MZ479" s="251" t="str">
        <f t="shared" si="343"/>
        <v/>
      </c>
      <c r="NA479" s="251" t="str">
        <f t="shared" si="344"/>
        <v/>
      </c>
      <c r="NB479" s="251" t="str">
        <f t="shared" si="345"/>
        <v/>
      </c>
      <c r="NC479" s="251" t="str">
        <f t="shared" si="346"/>
        <v/>
      </c>
      <c r="ND479" s="251" t="str">
        <f t="shared" si="347"/>
        <v/>
      </c>
      <c r="NE479" s="251" t="str">
        <f t="shared" si="348"/>
        <v/>
      </c>
      <c r="NF479" s="251" t="str">
        <f t="shared" si="349"/>
        <v/>
      </c>
      <c r="NG479" s="251" t="str">
        <f t="shared" si="350"/>
        <v/>
      </c>
      <c r="NH479" s="251" t="str">
        <f t="shared" si="351"/>
        <v/>
      </c>
      <c r="NI479" s="251" t="str">
        <f t="shared" si="352"/>
        <v/>
      </c>
      <c r="NJ479" s="251" t="str">
        <f t="shared" si="353"/>
        <v/>
      </c>
      <c r="NK479" s="251" t="str">
        <f t="shared" si="354"/>
        <v/>
      </c>
      <c r="NL479" s="251" t="str">
        <f t="shared" si="355"/>
        <v/>
      </c>
      <c r="NM479" s="251" t="str">
        <f t="shared" si="356"/>
        <v/>
      </c>
      <c r="NN479" s="251" t="str">
        <f t="shared" si="357"/>
        <v/>
      </c>
      <c r="NO479" s="1185">
        <f t="shared" si="358"/>
        <v>0</v>
      </c>
      <c r="NP479" s="1185">
        <f t="shared" si="359"/>
        <v>5</v>
      </c>
      <c r="NQ479" s="1185">
        <f t="shared" si="360"/>
        <v>0</v>
      </c>
      <c r="NR479" s="1185">
        <f t="shared" si="361"/>
        <v>0</v>
      </c>
      <c r="NS479" s="1185">
        <f t="shared" si="362"/>
        <v>0</v>
      </c>
      <c r="NT479" s="1185">
        <f t="shared" si="368"/>
        <v>0</v>
      </c>
      <c r="NU479" s="1185">
        <f t="shared" si="369"/>
        <v>0</v>
      </c>
      <c r="NV479" s="1185">
        <f t="shared" si="370"/>
        <v>0</v>
      </c>
      <c r="NW479" s="1185">
        <f t="shared" si="371"/>
        <v>0</v>
      </c>
      <c r="NX479" s="1185">
        <f t="shared" si="372"/>
        <v>0</v>
      </c>
      <c r="NY479" s="1185">
        <f t="shared" si="363"/>
        <v>0</v>
      </c>
      <c r="NZ479" s="1185">
        <f t="shared" si="364"/>
        <v>0</v>
      </c>
      <c r="OA479" s="1185">
        <f t="shared" si="365"/>
        <v>0</v>
      </c>
      <c r="OB479" s="1185">
        <f t="shared" si="366"/>
        <v>0</v>
      </c>
      <c r="OC479" s="1185">
        <f t="shared" si="367"/>
        <v>0</v>
      </c>
      <c r="OY479" s="251" t="s">
        <v>1174</v>
      </c>
      <c r="OZ479" s="1296">
        <v>26</v>
      </c>
    </row>
    <row r="480" spans="1:416" ht="12" customHeight="1">
      <c r="A480" s="1979" t="str">
        <f t="shared" si="0"/>
        <v/>
      </c>
      <c r="B480" s="1998">
        <f>'Part V-Revenues &amp; Expenses'!B27</f>
        <v>50</v>
      </c>
      <c r="C480" s="1999">
        <f>'Part V-Revenues &amp; Expenses'!C27</f>
        <v>2</v>
      </c>
      <c r="D480" s="2000">
        <f>'Part V-Revenues &amp; Expenses'!D27</f>
        <v>2</v>
      </c>
      <c r="E480" s="2001">
        <f>'Part V-Revenues &amp; Expenses'!E27</f>
        <v>10</v>
      </c>
      <c r="F480" s="2001">
        <f>'Part V-Revenues &amp; Expenses'!F27</f>
        <v>1041</v>
      </c>
      <c r="G480" s="2001">
        <f>'Part V-Revenues &amp; Expenses'!G27</f>
        <v>926</v>
      </c>
      <c r="H480" s="2001">
        <f>'Part V-Revenues &amp; Expenses'!H27</f>
        <v>916</v>
      </c>
      <c r="I480" s="2001">
        <f>'Part V-Revenues &amp; Expenses'!I27</f>
        <v>0</v>
      </c>
      <c r="J480" s="2001">
        <f>'Part V-Revenues &amp; Expenses'!J27</f>
        <v>205</v>
      </c>
      <c r="K480" s="2002">
        <f>'Part V-Revenues &amp; Expenses'!K27</f>
        <v>0</v>
      </c>
      <c r="L480" s="2003">
        <f t="shared" si="1"/>
        <v>711</v>
      </c>
      <c r="M480" s="2003">
        <f t="shared" si="2"/>
        <v>7110</v>
      </c>
      <c r="N480" s="1853" t="str">
        <f>'Part V-Revenues &amp; Expenses'!N27</f>
        <v>No</v>
      </c>
      <c r="O480" s="899" t="str">
        <f>'Part V-Revenues &amp; Expenses'!O27</f>
        <v>Low-Rise Apt</v>
      </c>
      <c r="P480" s="1853" t="str">
        <f>'Part V-Revenues &amp; Expenses'!P27</f>
        <v>Acquisition/Rehab</v>
      </c>
      <c r="Q480" s="1772" t="str">
        <f>'Part V-Revenues &amp; Expenses'!Q27</f>
        <v>No</v>
      </c>
      <c r="R480" s="2004"/>
      <c r="S480" s="2005"/>
      <c r="T480" s="1920"/>
      <c r="U480" s="1920"/>
      <c r="V480" s="1920"/>
      <c r="W480" s="1920"/>
      <c r="X480" s="251" t="str">
        <f t="shared" si="3"/>
        <v/>
      </c>
      <c r="Y480" s="251" t="str">
        <f t="shared" si="4"/>
        <v/>
      </c>
      <c r="Z480" s="251" t="str">
        <f t="shared" si="5"/>
        <v/>
      </c>
      <c r="AA480" s="251" t="str">
        <f t="shared" si="6"/>
        <v/>
      </c>
      <c r="AB480" s="251" t="str">
        <f t="shared" si="7"/>
        <v/>
      </c>
      <c r="AC480" s="251" t="str">
        <f t="shared" si="8"/>
        <v/>
      </c>
      <c r="AD480" s="251" t="str">
        <f t="shared" si="9"/>
        <v/>
      </c>
      <c r="AE480" s="251" t="str">
        <f t="shared" si="10"/>
        <v/>
      </c>
      <c r="AF480" s="251" t="str">
        <f t="shared" si="11"/>
        <v/>
      </c>
      <c r="AG480" s="251" t="str">
        <f t="shared" si="12"/>
        <v/>
      </c>
      <c r="AH480" s="251" t="str">
        <f t="shared" si="13"/>
        <v/>
      </c>
      <c r="AI480" s="251" t="str">
        <f t="shared" si="14"/>
        <v/>
      </c>
      <c r="AJ480" s="251" t="str">
        <f t="shared" si="15"/>
        <v/>
      </c>
      <c r="AK480" s="251" t="str">
        <f t="shared" si="16"/>
        <v/>
      </c>
      <c r="AL480" s="251" t="str">
        <f t="shared" si="17"/>
        <v/>
      </c>
      <c r="AM480" s="251" t="str">
        <f t="shared" si="18"/>
        <v/>
      </c>
      <c r="AN480" s="251" t="str">
        <f t="shared" si="19"/>
        <v/>
      </c>
      <c r="AO480" s="251">
        <f t="shared" si="20"/>
        <v>10</v>
      </c>
      <c r="AP480" s="251" t="str">
        <f t="shared" si="21"/>
        <v/>
      </c>
      <c r="AQ480" s="251" t="str">
        <f t="shared" si="22"/>
        <v/>
      </c>
      <c r="AR480" s="251" t="str">
        <f t="shared" si="23"/>
        <v/>
      </c>
      <c r="AS480" s="251" t="str">
        <f t="shared" si="24"/>
        <v/>
      </c>
      <c r="AT480" s="251" t="str">
        <f t="shared" si="25"/>
        <v/>
      </c>
      <c r="AU480" s="251" t="str">
        <f t="shared" si="26"/>
        <v/>
      </c>
      <c r="AV480" s="251" t="str">
        <f t="shared" si="27"/>
        <v/>
      </c>
      <c r="AW480" s="251" t="str">
        <f t="shared" si="28"/>
        <v/>
      </c>
      <c r="AX480" s="251" t="str">
        <f t="shared" si="29"/>
        <v/>
      </c>
      <c r="AY480" s="251" t="str">
        <f t="shared" si="30"/>
        <v/>
      </c>
      <c r="AZ480" s="251" t="str">
        <f t="shared" si="31"/>
        <v/>
      </c>
      <c r="BA480" s="251" t="str">
        <f t="shared" si="32"/>
        <v/>
      </c>
      <c r="BB480" s="251" t="str">
        <f t="shared" si="33"/>
        <v/>
      </c>
      <c r="BC480" s="251" t="str">
        <f t="shared" si="34"/>
        <v/>
      </c>
      <c r="BD480" s="251" t="str">
        <f t="shared" si="35"/>
        <v/>
      </c>
      <c r="BE480" s="251" t="str">
        <f t="shared" si="36"/>
        <v/>
      </c>
      <c r="BF480" s="251" t="str">
        <f t="shared" si="37"/>
        <v/>
      </c>
      <c r="BG480" s="251" t="str">
        <f t="shared" si="38"/>
        <v/>
      </c>
      <c r="BH480" s="251" t="str">
        <f t="shared" si="39"/>
        <v/>
      </c>
      <c r="BI480" s="251" t="str">
        <f t="shared" si="40"/>
        <v/>
      </c>
      <c r="BJ480" s="251" t="str">
        <f t="shared" si="41"/>
        <v/>
      </c>
      <c r="BK480" s="251" t="str">
        <f t="shared" si="42"/>
        <v/>
      </c>
      <c r="BL480" s="251" t="str">
        <f t="shared" si="43"/>
        <v/>
      </c>
      <c r="BM480" s="251" t="str">
        <f t="shared" si="44"/>
        <v/>
      </c>
      <c r="BN480" s="251" t="str">
        <f t="shared" si="45"/>
        <v/>
      </c>
      <c r="BO480" s="251" t="str">
        <f t="shared" si="46"/>
        <v/>
      </c>
      <c r="BP480" s="251" t="str">
        <f t="shared" si="47"/>
        <v/>
      </c>
      <c r="BQ480" s="251" t="str">
        <f t="shared" si="48"/>
        <v/>
      </c>
      <c r="BR480" s="251" t="str">
        <f t="shared" si="49"/>
        <v/>
      </c>
      <c r="BS480" s="251" t="str">
        <f t="shared" si="50"/>
        <v/>
      </c>
      <c r="BT480" s="251" t="str">
        <f t="shared" si="51"/>
        <v/>
      </c>
      <c r="BU480" s="251" t="str">
        <f t="shared" si="52"/>
        <v/>
      </c>
      <c r="BV480" s="251" t="str">
        <f t="shared" si="53"/>
        <v/>
      </c>
      <c r="BW480" s="251" t="str">
        <f t="shared" si="54"/>
        <v/>
      </c>
      <c r="BX480" s="251" t="str">
        <f t="shared" si="55"/>
        <v/>
      </c>
      <c r="BY480" s="251" t="str">
        <f t="shared" si="56"/>
        <v/>
      </c>
      <c r="BZ480" s="251" t="str">
        <f t="shared" si="57"/>
        <v/>
      </c>
      <c r="CA480" s="251" t="str">
        <f t="shared" si="58"/>
        <v/>
      </c>
      <c r="CB480" s="251" t="str">
        <f t="shared" si="59"/>
        <v/>
      </c>
      <c r="CC480" s="251" t="str">
        <f t="shared" si="60"/>
        <v/>
      </c>
      <c r="CD480" s="251" t="str">
        <f t="shared" si="61"/>
        <v/>
      </c>
      <c r="CE480" s="251" t="str">
        <f t="shared" si="62"/>
        <v/>
      </c>
      <c r="CF480" s="251" t="str">
        <f t="shared" si="63"/>
        <v/>
      </c>
      <c r="CG480" s="251" t="str">
        <f t="shared" si="64"/>
        <v/>
      </c>
      <c r="CH480" s="251" t="str">
        <f t="shared" si="65"/>
        <v/>
      </c>
      <c r="CI480" s="251" t="str">
        <f t="shared" si="66"/>
        <v/>
      </c>
      <c r="CJ480" s="251" t="str">
        <f t="shared" si="67"/>
        <v/>
      </c>
      <c r="CK480" s="251" t="str">
        <f t="shared" si="68"/>
        <v/>
      </c>
      <c r="CL480" s="251" t="str">
        <f t="shared" si="69"/>
        <v/>
      </c>
      <c r="CM480" s="251" t="str">
        <f t="shared" si="70"/>
        <v/>
      </c>
      <c r="CN480" s="251" t="str">
        <f t="shared" si="71"/>
        <v/>
      </c>
      <c r="CO480" s="251" t="str">
        <f t="shared" si="72"/>
        <v/>
      </c>
      <c r="CP480" s="251" t="str">
        <f t="shared" si="73"/>
        <v/>
      </c>
      <c r="CQ480" s="251" t="str">
        <f t="shared" si="74"/>
        <v/>
      </c>
      <c r="CR480" s="251" t="str">
        <f t="shared" si="75"/>
        <v/>
      </c>
      <c r="CS480" s="251" t="str">
        <f t="shared" si="76"/>
        <v/>
      </c>
      <c r="CT480" s="251" t="str">
        <f t="shared" si="77"/>
        <v/>
      </c>
      <c r="CU480" s="251" t="str">
        <f t="shared" si="78"/>
        <v/>
      </c>
      <c r="CV480" s="251" t="str">
        <f t="shared" si="79"/>
        <v/>
      </c>
      <c r="CW480" s="251" t="str">
        <f t="shared" si="80"/>
        <v/>
      </c>
      <c r="CX480" s="251" t="str">
        <f t="shared" si="81"/>
        <v/>
      </c>
      <c r="CY480" s="251" t="str">
        <f t="shared" si="82"/>
        <v/>
      </c>
      <c r="CZ480" s="251" t="str">
        <f t="shared" si="83"/>
        <v/>
      </c>
      <c r="DA480" s="251" t="str">
        <f t="shared" si="84"/>
        <v/>
      </c>
      <c r="DB480" s="251" t="str">
        <f t="shared" si="85"/>
        <v/>
      </c>
      <c r="DC480" s="251" t="str">
        <f t="shared" si="86"/>
        <v/>
      </c>
      <c r="DD480" s="251" t="str">
        <f t="shared" si="87"/>
        <v/>
      </c>
      <c r="DE480" s="251" t="str">
        <f t="shared" si="88"/>
        <v/>
      </c>
      <c r="DF480" s="251" t="str">
        <f t="shared" si="89"/>
        <v/>
      </c>
      <c r="DG480" s="251" t="str">
        <f t="shared" si="90"/>
        <v/>
      </c>
      <c r="DH480" s="251" t="str">
        <f t="shared" si="91"/>
        <v/>
      </c>
      <c r="DI480" s="251" t="str">
        <f t="shared" si="92"/>
        <v/>
      </c>
      <c r="DJ480" s="251" t="str">
        <f t="shared" si="93"/>
        <v/>
      </c>
      <c r="DK480" s="251" t="str">
        <f t="shared" si="94"/>
        <v/>
      </c>
      <c r="DL480" s="251" t="str">
        <f t="shared" si="95"/>
        <v/>
      </c>
      <c r="DM480" s="251" t="str">
        <f t="shared" si="96"/>
        <v/>
      </c>
      <c r="DN480" s="251" t="str">
        <f t="shared" si="97"/>
        <v/>
      </c>
      <c r="DO480" s="251" t="str">
        <f t="shared" si="98"/>
        <v/>
      </c>
      <c r="DP480" s="251" t="str">
        <f t="shared" si="99"/>
        <v/>
      </c>
      <c r="DQ480" s="251" t="str">
        <f t="shared" si="100"/>
        <v/>
      </c>
      <c r="DR480" s="251" t="str">
        <f t="shared" si="101"/>
        <v/>
      </c>
      <c r="DS480" s="251" t="str">
        <f t="shared" si="102"/>
        <v/>
      </c>
      <c r="DT480" s="251" t="str">
        <f t="shared" si="103"/>
        <v/>
      </c>
      <c r="DU480" s="251" t="str">
        <f t="shared" si="104"/>
        <v/>
      </c>
      <c r="DV480" s="251" t="str">
        <f t="shared" si="105"/>
        <v/>
      </c>
      <c r="DW480" s="251" t="str">
        <f t="shared" si="106"/>
        <v/>
      </c>
      <c r="DX480" s="251" t="str">
        <f t="shared" si="107"/>
        <v/>
      </c>
      <c r="DY480" s="251" t="str">
        <f t="shared" si="108"/>
        <v/>
      </c>
      <c r="DZ480" s="251" t="str">
        <f t="shared" si="109"/>
        <v/>
      </c>
      <c r="EA480" s="251" t="str">
        <f t="shared" si="110"/>
        <v/>
      </c>
      <c r="EB480" s="251" t="str">
        <f t="shared" si="111"/>
        <v/>
      </c>
      <c r="EC480" s="251" t="str">
        <f t="shared" si="112"/>
        <v/>
      </c>
      <c r="ED480" s="251" t="str">
        <f t="shared" si="113"/>
        <v/>
      </c>
      <c r="EE480" s="251" t="str">
        <f t="shared" si="114"/>
        <v/>
      </c>
      <c r="EF480" s="251" t="str">
        <f t="shared" si="115"/>
        <v/>
      </c>
      <c r="EG480" s="251" t="str">
        <f t="shared" si="116"/>
        <v/>
      </c>
      <c r="EH480" s="251" t="str">
        <f t="shared" si="117"/>
        <v/>
      </c>
      <c r="EI480" s="251" t="str">
        <f t="shared" si="118"/>
        <v/>
      </c>
      <c r="EJ480" s="251" t="str">
        <f t="shared" si="119"/>
        <v/>
      </c>
      <c r="EK480" s="251" t="str">
        <f t="shared" si="120"/>
        <v/>
      </c>
      <c r="EL480" s="251" t="str">
        <f t="shared" si="121"/>
        <v/>
      </c>
      <c r="EM480" s="251" t="str">
        <f t="shared" si="122"/>
        <v/>
      </c>
      <c r="EN480" s="251" t="str">
        <f t="shared" si="123"/>
        <v/>
      </c>
      <c r="EO480" s="251" t="str">
        <f t="shared" si="124"/>
        <v/>
      </c>
      <c r="EP480" s="251" t="str">
        <f t="shared" si="125"/>
        <v/>
      </c>
      <c r="EQ480" s="251" t="str">
        <f t="shared" si="126"/>
        <v/>
      </c>
      <c r="ER480" s="251" t="str">
        <f t="shared" si="127"/>
        <v/>
      </c>
      <c r="ES480" s="251" t="str">
        <f t="shared" si="128"/>
        <v/>
      </c>
      <c r="ET480" s="251" t="str">
        <f t="shared" si="129"/>
        <v/>
      </c>
      <c r="EU480" s="251" t="str">
        <f t="shared" si="130"/>
        <v/>
      </c>
      <c r="EV480" s="251" t="str">
        <f t="shared" si="131"/>
        <v/>
      </c>
      <c r="EW480" s="251" t="str">
        <f t="shared" si="132"/>
        <v/>
      </c>
      <c r="EX480" s="251" t="str">
        <f t="shared" si="133"/>
        <v/>
      </c>
      <c r="EY480" s="251" t="str">
        <f t="shared" si="134"/>
        <v/>
      </c>
      <c r="EZ480" s="251" t="str">
        <f t="shared" si="135"/>
        <v/>
      </c>
      <c r="FA480" s="251" t="str">
        <f t="shared" si="136"/>
        <v/>
      </c>
      <c r="FB480" s="251" t="str">
        <f t="shared" si="137"/>
        <v/>
      </c>
      <c r="FC480" s="251" t="str">
        <f t="shared" si="138"/>
        <v/>
      </c>
      <c r="FD480" s="251" t="str">
        <f t="shared" si="139"/>
        <v/>
      </c>
      <c r="FE480" s="251" t="str">
        <f t="shared" si="140"/>
        <v/>
      </c>
      <c r="FF480" s="251" t="str">
        <f t="shared" si="141"/>
        <v/>
      </c>
      <c r="FG480" s="251" t="str">
        <f t="shared" si="142"/>
        <v/>
      </c>
      <c r="FH480" s="251" t="str">
        <f t="shared" si="143"/>
        <v/>
      </c>
      <c r="FI480" s="251" t="str">
        <f t="shared" si="144"/>
        <v/>
      </c>
      <c r="FJ480" s="251" t="str">
        <f t="shared" si="145"/>
        <v/>
      </c>
      <c r="FK480" s="251" t="str">
        <f t="shared" si="146"/>
        <v/>
      </c>
      <c r="FL480" s="251" t="str">
        <f t="shared" si="147"/>
        <v/>
      </c>
      <c r="FM480" s="251" t="str">
        <f t="shared" si="148"/>
        <v/>
      </c>
      <c r="FN480" s="251" t="str">
        <f t="shared" si="149"/>
        <v/>
      </c>
      <c r="FO480" s="251" t="str">
        <f t="shared" si="150"/>
        <v/>
      </c>
      <c r="FP480" s="251" t="str">
        <f t="shared" si="151"/>
        <v/>
      </c>
      <c r="FQ480" s="251" t="str">
        <f t="shared" si="152"/>
        <v/>
      </c>
      <c r="FR480" s="251" t="str">
        <f t="shared" si="153"/>
        <v/>
      </c>
      <c r="FS480" s="251" t="str">
        <f t="shared" si="154"/>
        <v/>
      </c>
      <c r="FT480" s="251" t="str">
        <f t="shared" si="155"/>
        <v/>
      </c>
      <c r="FU480" s="251" t="str">
        <f t="shared" si="156"/>
        <v/>
      </c>
      <c r="FV480" s="251" t="str">
        <f t="shared" si="157"/>
        <v/>
      </c>
      <c r="FW480" s="251" t="str">
        <f t="shared" si="158"/>
        <v/>
      </c>
      <c r="FX480" s="251" t="str">
        <f t="shared" si="159"/>
        <v/>
      </c>
      <c r="FY480" s="251" t="str">
        <f t="shared" si="160"/>
        <v/>
      </c>
      <c r="FZ480" s="251" t="str">
        <f t="shared" si="161"/>
        <v/>
      </c>
      <c r="GA480" s="251" t="str">
        <f t="shared" si="162"/>
        <v/>
      </c>
      <c r="GB480" s="251" t="str">
        <f t="shared" si="163"/>
        <v/>
      </c>
      <c r="GC480" s="251" t="str">
        <f t="shared" si="164"/>
        <v/>
      </c>
      <c r="GD480" s="251" t="str">
        <f t="shared" si="165"/>
        <v/>
      </c>
      <c r="GE480" s="251" t="str">
        <f t="shared" si="166"/>
        <v/>
      </c>
      <c r="GF480" s="251" t="str">
        <f t="shared" si="167"/>
        <v/>
      </c>
      <c r="GG480" s="251" t="str">
        <f t="shared" si="168"/>
        <v/>
      </c>
      <c r="GH480" s="251" t="str">
        <f t="shared" si="169"/>
        <v/>
      </c>
      <c r="GI480" s="251">
        <f t="shared" si="170"/>
        <v>10410</v>
      </c>
      <c r="GJ480" s="251" t="str">
        <f t="shared" si="171"/>
        <v/>
      </c>
      <c r="GK480" s="251" t="str">
        <f t="shared" si="172"/>
        <v/>
      </c>
      <c r="GL480" s="251" t="str">
        <f t="shared" si="173"/>
        <v/>
      </c>
      <c r="GM480" s="251" t="str">
        <f t="shared" si="174"/>
        <v/>
      </c>
      <c r="GN480" s="251" t="str">
        <f t="shared" si="175"/>
        <v/>
      </c>
      <c r="GO480" s="251" t="str">
        <f t="shared" si="176"/>
        <v/>
      </c>
      <c r="GP480" s="251" t="str">
        <f t="shared" si="177"/>
        <v/>
      </c>
      <c r="GQ480" s="251" t="str">
        <f t="shared" si="178"/>
        <v/>
      </c>
      <c r="GR480" s="251" t="str">
        <f t="shared" si="179"/>
        <v/>
      </c>
      <c r="GS480" s="251" t="str">
        <f t="shared" si="180"/>
        <v/>
      </c>
      <c r="GT480" s="251" t="str">
        <f t="shared" si="181"/>
        <v/>
      </c>
      <c r="GU480" s="251" t="str">
        <f t="shared" si="182"/>
        <v/>
      </c>
      <c r="GV480" s="251" t="str">
        <f t="shared" si="183"/>
        <v/>
      </c>
      <c r="GW480" s="251" t="str">
        <f t="shared" si="184"/>
        <v/>
      </c>
      <c r="GX480" s="251" t="str">
        <f t="shared" si="185"/>
        <v/>
      </c>
      <c r="GY480" s="251" t="str">
        <f t="shared" si="186"/>
        <v/>
      </c>
      <c r="GZ480" s="251" t="str">
        <f t="shared" si="187"/>
        <v/>
      </c>
      <c r="HA480" s="251" t="str">
        <f t="shared" si="188"/>
        <v/>
      </c>
      <c r="HB480" s="251" t="str">
        <f t="shared" si="189"/>
        <v/>
      </c>
      <c r="HC480" s="251" t="str">
        <f t="shared" si="190"/>
        <v/>
      </c>
      <c r="HD480" s="251" t="str">
        <f t="shared" si="191"/>
        <v/>
      </c>
      <c r="HE480" s="251" t="str">
        <f t="shared" si="192"/>
        <v/>
      </c>
      <c r="HF480" s="251" t="str">
        <f t="shared" si="193"/>
        <v/>
      </c>
      <c r="HG480" s="251" t="str">
        <f t="shared" si="194"/>
        <v/>
      </c>
      <c r="HH480" s="251" t="str">
        <f t="shared" si="195"/>
        <v/>
      </c>
      <c r="HI480" s="251" t="str">
        <f t="shared" si="196"/>
        <v/>
      </c>
      <c r="HJ480" s="251" t="str">
        <f t="shared" si="197"/>
        <v/>
      </c>
      <c r="HK480" s="251" t="str">
        <f t="shared" si="198"/>
        <v/>
      </c>
      <c r="HL480" s="251" t="str">
        <f t="shared" si="199"/>
        <v/>
      </c>
      <c r="HM480" s="251" t="str">
        <f t="shared" si="200"/>
        <v/>
      </c>
      <c r="HN480" s="251" t="str">
        <f t="shared" si="201"/>
        <v/>
      </c>
      <c r="HO480" s="251" t="str">
        <f t="shared" si="202"/>
        <v/>
      </c>
      <c r="HP480" s="251" t="str">
        <f t="shared" si="203"/>
        <v/>
      </c>
      <c r="HQ480" s="251" t="str">
        <f t="shared" si="204"/>
        <v/>
      </c>
      <c r="HR480" s="251" t="str">
        <f t="shared" si="205"/>
        <v/>
      </c>
      <c r="HS480" s="251" t="str">
        <f t="shared" si="206"/>
        <v/>
      </c>
      <c r="HT480" s="251" t="str">
        <f t="shared" si="207"/>
        <v/>
      </c>
      <c r="HU480" s="251" t="str">
        <f t="shared" si="208"/>
        <v/>
      </c>
      <c r="HV480" s="251" t="str">
        <f t="shared" si="209"/>
        <v/>
      </c>
      <c r="HW480" s="251" t="str">
        <f t="shared" si="210"/>
        <v/>
      </c>
      <c r="HX480" s="251" t="str">
        <f t="shared" si="211"/>
        <v/>
      </c>
      <c r="HY480" s="251" t="str">
        <f t="shared" si="212"/>
        <v/>
      </c>
      <c r="HZ480" s="251" t="str">
        <f t="shared" si="213"/>
        <v/>
      </c>
      <c r="IA480" s="251" t="str">
        <f t="shared" si="214"/>
        <v/>
      </c>
      <c r="IB480" s="251" t="str">
        <f t="shared" si="215"/>
        <v/>
      </c>
      <c r="IC480" s="251" t="str">
        <f t="shared" si="216"/>
        <v/>
      </c>
      <c r="ID480" s="251" t="str">
        <f t="shared" si="217"/>
        <v/>
      </c>
      <c r="IE480" s="251" t="str">
        <f t="shared" si="218"/>
        <v/>
      </c>
      <c r="IF480" s="251" t="str">
        <f t="shared" si="219"/>
        <v/>
      </c>
      <c r="IG480" s="251">
        <f t="shared" si="220"/>
        <v>10</v>
      </c>
      <c r="IH480" s="251" t="str">
        <f t="shared" si="221"/>
        <v/>
      </c>
      <c r="II480" s="251" t="str">
        <f t="shared" si="222"/>
        <v/>
      </c>
      <c r="IJ480" s="251" t="str">
        <f t="shared" si="223"/>
        <v/>
      </c>
      <c r="IK480" s="251" t="str">
        <f t="shared" si="224"/>
        <v/>
      </c>
      <c r="IL480" s="251" t="str">
        <f t="shared" si="225"/>
        <v/>
      </c>
      <c r="IM480" s="251" t="str">
        <f t="shared" si="226"/>
        <v/>
      </c>
      <c r="IN480" s="251" t="str">
        <f t="shared" si="227"/>
        <v/>
      </c>
      <c r="IO480" s="251" t="str">
        <f t="shared" si="228"/>
        <v/>
      </c>
      <c r="IP480" s="251" t="str">
        <f t="shared" si="229"/>
        <v/>
      </c>
      <c r="IQ480" s="251" t="str">
        <f t="shared" si="230"/>
        <v/>
      </c>
      <c r="IR480" s="251" t="str">
        <f t="shared" si="231"/>
        <v/>
      </c>
      <c r="IS480" s="251" t="str">
        <f t="shared" si="232"/>
        <v/>
      </c>
      <c r="IT480" s="251" t="str">
        <f t="shared" si="233"/>
        <v/>
      </c>
      <c r="IU480" s="251" t="str">
        <f t="shared" si="234"/>
        <v/>
      </c>
      <c r="IV480" s="251" t="str">
        <f t="shared" si="235"/>
        <v/>
      </c>
      <c r="IW480" s="251" t="str">
        <f t="shared" si="236"/>
        <v/>
      </c>
      <c r="IX480" s="251" t="str">
        <f t="shared" si="237"/>
        <v/>
      </c>
      <c r="IY480" s="251" t="str">
        <f t="shared" si="238"/>
        <v/>
      </c>
      <c r="IZ480" s="251" t="str">
        <f t="shared" si="239"/>
        <v/>
      </c>
      <c r="JA480" s="251" t="str">
        <f t="shared" si="240"/>
        <v/>
      </c>
      <c r="JB480" s="251" t="str">
        <f t="shared" si="241"/>
        <v/>
      </c>
      <c r="JC480" s="251" t="str">
        <f t="shared" si="242"/>
        <v/>
      </c>
      <c r="JD480" s="251" t="str">
        <f t="shared" si="243"/>
        <v/>
      </c>
      <c r="JE480" s="251" t="str">
        <f t="shared" si="244"/>
        <v/>
      </c>
      <c r="JF480" s="251" t="str">
        <f t="shared" si="245"/>
        <v/>
      </c>
      <c r="JG480" s="251" t="str">
        <f t="shared" si="246"/>
        <v/>
      </c>
      <c r="JH480" s="251" t="str">
        <f t="shared" si="247"/>
        <v/>
      </c>
      <c r="JI480" s="1297" t="str">
        <f t="shared" si="248"/>
        <v/>
      </c>
      <c r="JJ480" s="1297" t="str">
        <f t="shared" si="249"/>
        <v/>
      </c>
      <c r="JK480" s="1297">
        <f t="shared" si="250"/>
        <v>10</v>
      </c>
      <c r="JL480" s="1297" t="str">
        <f t="shared" si="251"/>
        <v/>
      </c>
      <c r="JM480" s="1297" t="str">
        <f t="shared" si="252"/>
        <v/>
      </c>
      <c r="JN480" s="1297" t="str">
        <f t="shared" si="253"/>
        <v/>
      </c>
      <c r="JO480" s="1297" t="str">
        <f t="shared" si="254"/>
        <v/>
      </c>
      <c r="JP480" s="1297" t="str">
        <f t="shared" si="255"/>
        <v/>
      </c>
      <c r="JQ480" s="1297" t="str">
        <f t="shared" si="256"/>
        <v/>
      </c>
      <c r="JR480" s="1297" t="str">
        <f t="shared" si="257"/>
        <v/>
      </c>
      <c r="JS480" s="1297" t="str">
        <f t="shared" si="258"/>
        <v/>
      </c>
      <c r="JT480" s="1297" t="str">
        <f t="shared" si="259"/>
        <v/>
      </c>
      <c r="JU480" s="1297" t="str">
        <f t="shared" si="260"/>
        <v/>
      </c>
      <c r="JV480" s="1297" t="str">
        <f t="shared" si="261"/>
        <v/>
      </c>
      <c r="JW480" s="1297" t="str">
        <f t="shared" si="262"/>
        <v/>
      </c>
      <c r="JX480" s="1297" t="str">
        <f t="shared" si="263"/>
        <v/>
      </c>
      <c r="JY480" s="1297" t="str">
        <f t="shared" si="264"/>
        <v/>
      </c>
      <c r="JZ480" s="1297" t="str">
        <f t="shared" si="265"/>
        <v/>
      </c>
      <c r="KA480" s="1297" t="str">
        <f t="shared" si="266"/>
        <v/>
      </c>
      <c r="KB480" s="1297" t="str">
        <f t="shared" si="267"/>
        <v/>
      </c>
      <c r="KC480" s="1297" t="str">
        <f t="shared" si="268"/>
        <v/>
      </c>
      <c r="KD480" s="1297" t="str">
        <f t="shared" si="269"/>
        <v/>
      </c>
      <c r="KE480" s="1297" t="str">
        <f t="shared" si="270"/>
        <v/>
      </c>
      <c r="KF480" s="1297" t="str">
        <f t="shared" si="271"/>
        <v/>
      </c>
      <c r="KG480" s="1297" t="str">
        <f t="shared" si="272"/>
        <v/>
      </c>
      <c r="KH480" s="1297" t="str">
        <f t="shared" si="273"/>
        <v/>
      </c>
      <c r="KI480" s="1297" t="str">
        <f t="shared" si="274"/>
        <v/>
      </c>
      <c r="KJ480" s="1297" t="str">
        <f t="shared" si="275"/>
        <v/>
      </c>
      <c r="KK480" s="1297" t="str">
        <f t="shared" si="276"/>
        <v/>
      </c>
      <c r="KL480" s="1297" t="str">
        <f t="shared" si="277"/>
        <v/>
      </c>
      <c r="KM480" s="1297" t="str">
        <f t="shared" si="278"/>
        <v/>
      </c>
      <c r="KN480" s="1297" t="str">
        <f t="shared" si="279"/>
        <v/>
      </c>
      <c r="KO480" s="1297" t="str">
        <f t="shared" si="280"/>
        <v/>
      </c>
      <c r="KP480" s="1297" t="str">
        <f t="shared" si="281"/>
        <v/>
      </c>
      <c r="KQ480" s="1297" t="str">
        <f t="shared" si="282"/>
        <v/>
      </c>
      <c r="KR480" s="1297" t="str">
        <f t="shared" si="283"/>
        <v/>
      </c>
      <c r="KS480" s="1297" t="str">
        <f t="shared" si="284"/>
        <v/>
      </c>
      <c r="KT480" s="1297" t="str">
        <f t="shared" si="285"/>
        <v/>
      </c>
      <c r="KU480" s="1297" t="str">
        <f t="shared" si="286"/>
        <v/>
      </c>
      <c r="KV480" s="1297" t="str">
        <f t="shared" si="287"/>
        <v/>
      </c>
      <c r="KW480" s="1297" t="str">
        <f t="shared" si="288"/>
        <v/>
      </c>
      <c r="KX480" s="1297" t="str">
        <f t="shared" si="289"/>
        <v/>
      </c>
      <c r="KY480" s="1297" t="str">
        <f t="shared" si="290"/>
        <v/>
      </c>
      <c r="KZ480" s="1297" t="str">
        <f t="shared" si="291"/>
        <v/>
      </c>
      <c r="LA480" s="1297" t="str">
        <f t="shared" si="292"/>
        <v/>
      </c>
      <c r="LB480" s="1297" t="str">
        <f t="shared" si="293"/>
        <v/>
      </c>
      <c r="LC480" s="1297" t="str">
        <f t="shared" si="294"/>
        <v/>
      </c>
      <c r="LD480" s="1297">
        <f t="shared" si="295"/>
        <v>10</v>
      </c>
      <c r="LE480" s="1297" t="str">
        <f t="shared" si="296"/>
        <v/>
      </c>
      <c r="LF480" s="1297" t="str">
        <f t="shared" si="297"/>
        <v/>
      </c>
      <c r="LG480" s="1297" t="str">
        <f t="shared" si="298"/>
        <v/>
      </c>
      <c r="LH480" s="1297" t="str">
        <f t="shared" si="299"/>
        <v/>
      </c>
      <c r="LI480" s="1297" t="str">
        <f t="shared" si="300"/>
        <v/>
      </c>
      <c r="LJ480" s="1297" t="str">
        <f t="shared" si="301"/>
        <v/>
      </c>
      <c r="LK480" s="1297" t="str">
        <f t="shared" si="302"/>
        <v/>
      </c>
      <c r="LL480" s="1297" t="str">
        <f t="shared" si="303"/>
        <v/>
      </c>
      <c r="LM480" s="1297" t="str">
        <f t="shared" si="304"/>
        <v/>
      </c>
      <c r="LN480" s="1297" t="str">
        <f t="shared" si="305"/>
        <v/>
      </c>
      <c r="LO480" s="1297" t="str">
        <f t="shared" si="306"/>
        <v/>
      </c>
      <c r="LP480" s="1297" t="str">
        <f t="shared" si="307"/>
        <v/>
      </c>
      <c r="LQ480" s="1297" t="str">
        <f t="shared" si="308"/>
        <v/>
      </c>
      <c r="LR480" s="1297" t="str">
        <f t="shared" si="309"/>
        <v/>
      </c>
      <c r="LS480" s="1297" t="str">
        <f t="shared" si="310"/>
        <v/>
      </c>
      <c r="LT480" s="1297" t="str">
        <f t="shared" si="311"/>
        <v/>
      </c>
      <c r="LU480" s="1297" t="str">
        <f t="shared" si="312"/>
        <v/>
      </c>
      <c r="LV480" s="1297" t="str">
        <f t="shared" si="313"/>
        <v/>
      </c>
      <c r="LW480" s="1297" t="str">
        <f t="shared" si="314"/>
        <v/>
      </c>
      <c r="LX480" s="1297" t="str">
        <f t="shared" si="315"/>
        <v/>
      </c>
      <c r="LY480" s="1297" t="str">
        <f t="shared" si="316"/>
        <v/>
      </c>
      <c r="LZ480" s="1297" t="str">
        <f t="shared" si="317"/>
        <v/>
      </c>
      <c r="MA480" s="1297" t="str">
        <f t="shared" si="318"/>
        <v/>
      </c>
      <c r="MB480" s="1297" t="str">
        <f t="shared" si="319"/>
        <v/>
      </c>
      <c r="MC480" s="1297" t="str">
        <f t="shared" si="320"/>
        <v/>
      </c>
      <c r="MD480" s="1297" t="str">
        <f t="shared" si="321"/>
        <v/>
      </c>
      <c r="ME480" s="1297" t="str">
        <f t="shared" si="322"/>
        <v/>
      </c>
      <c r="MF480" s="1297" t="str">
        <f t="shared" si="323"/>
        <v/>
      </c>
      <c r="MG480" s="1297" t="str">
        <f t="shared" si="324"/>
        <v/>
      </c>
      <c r="MH480" s="1297" t="str">
        <f t="shared" si="325"/>
        <v/>
      </c>
      <c r="MI480" s="1297" t="str">
        <f t="shared" si="326"/>
        <v/>
      </c>
      <c r="MJ480" s="1297" t="str">
        <f t="shared" si="327"/>
        <v/>
      </c>
      <c r="MK480" s="1297" t="str">
        <f t="shared" si="328"/>
        <v/>
      </c>
      <c r="ML480" s="1297" t="str">
        <f t="shared" si="329"/>
        <v/>
      </c>
      <c r="MM480" s="1297" t="str">
        <f t="shared" si="330"/>
        <v/>
      </c>
      <c r="MN480" s="1297" t="str">
        <f t="shared" si="331"/>
        <v/>
      </c>
      <c r="MO480" s="1297" t="str">
        <f t="shared" si="332"/>
        <v/>
      </c>
      <c r="MP480" s="1773" t="str">
        <f t="shared" si="333"/>
        <v/>
      </c>
      <c r="MQ480" s="1773" t="str">
        <f t="shared" si="334"/>
        <v/>
      </c>
      <c r="MR480" s="1773" t="str">
        <f t="shared" si="335"/>
        <v/>
      </c>
      <c r="MS480" s="1773" t="str">
        <f t="shared" si="336"/>
        <v/>
      </c>
      <c r="MT480" s="1773" t="str">
        <f t="shared" si="337"/>
        <v/>
      </c>
      <c r="MU480" s="251" t="str">
        <f t="shared" si="338"/>
        <v/>
      </c>
      <c r="MV480" s="251" t="str">
        <f t="shared" si="339"/>
        <v/>
      </c>
      <c r="MW480" s="251" t="str">
        <f t="shared" si="340"/>
        <v/>
      </c>
      <c r="MX480" s="251" t="str">
        <f t="shared" si="341"/>
        <v/>
      </c>
      <c r="MY480" s="251" t="str">
        <f t="shared" si="342"/>
        <v/>
      </c>
      <c r="MZ480" s="251" t="str">
        <f t="shared" si="343"/>
        <v/>
      </c>
      <c r="NA480" s="251" t="str">
        <f t="shared" si="344"/>
        <v/>
      </c>
      <c r="NB480" s="251" t="str">
        <f t="shared" si="345"/>
        <v/>
      </c>
      <c r="NC480" s="251" t="str">
        <f t="shared" si="346"/>
        <v/>
      </c>
      <c r="ND480" s="251" t="str">
        <f t="shared" si="347"/>
        <v/>
      </c>
      <c r="NE480" s="251" t="str">
        <f t="shared" si="348"/>
        <v/>
      </c>
      <c r="NF480" s="251" t="str">
        <f t="shared" si="349"/>
        <v/>
      </c>
      <c r="NG480" s="251" t="str">
        <f t="shared" si="350"/>
        <v/>
      </c>
      <c r="NH480" s="251" t="str">
        <f t="shared" si="351"/>
        <v/>
      </c>
      <c r="NI480" s="251" t="str">
        <f t="shared" si="352"/>
        <v/>
      </c>
      <c r="NJ480" s="251" t="str">
        <f t="shared" si="353"/>
        <v/>
      </c>
      <c r="NK480" s="251" t="str">
        <f t="shared" si="354"/>
        <v/>
      </c>
      <c r="NL480" s="251" t="str">
        <f t="shared" si="355"/>
        <v/>
      </c>
      <c r="NM480" s="251" t="str">
        <f t="shared" si="356"/>
        <v/>
      </c>
      <c r="NN480" s="251" t="str">
        <f t="shared" si="357"/>
        <v/>
      </c>
      <c r="NO480" s="1185">
        <f t="shared" si="358"/>
        <v>0</v>
      </c>
      <c r="NP480" s="1185">
        <f t="shared" si="359"/>
        <v>0</v>
      </c>
      <c r="NQ480" s="1185">
        <f t="shared" si="360"/>
        <v>10</v>
      </c>
      <c r="NR480" s="1185">
        <f t="shared" si="361"/>
        <v>0</v>
      </c>
      <c r="NS480" s="1185">
        <f t="shared" si="362"/>
        <v>0</v>
      </c>
      <c r="NT480" s="1185">
        <f t="shared" si="368"/>
        <v>0</v>
      </c>
      <c r="NU480" s="1185">
        <f t="shared" si="369"/>
        <v>0</v>
      </c>
      <c r="NV480" s="1185">
        <f t="shared" si="370"/>
        <v>0</v>
      </c>
      <c r="NW480" s="1185">
        <f t="shared" si="371"/>
        <v>0</v>
      </c>
      <c r="NX480" s="1185">
        <f t="shared" si="372"/>
        <v>0</v>
      </c>
      <c r="NY480" s="1185">
        <f t="shared" si="363"/>
        <v>0</v>
      </c>
      <c r="NZ480" s="1185">
        <f t="shared" si="364"/>
        <v>0</v>
      </c>
      <c r="OA480" s="1185">
        <f t="shared" si="365"/>
        <v>0</v>
      </c>
      <c r="OB480" s="1185">
        <f t="shared" si="366"/>
        <v>0</v>
      </c>
      <c r="OC480" s="1185">
        <f t="shared" si="367"/>
        <v>0</v>
      </c>
      <c r="OY480" s="251" t="s">
        <v>1175</v>
      </c>
      <c r="OZ480" s="1296">
        <v>27</v>
      </c>
    </row>
    <row r="481" spans="1:416" ht="12" customHeight="1">
      <c r="A481" s="1979" t="str">
        <f t="shared" si="0"/>
        <v/>
      </c>
      <c r="B481" s="1998">
        <f>'Part V-Revenues &amp; Expenses'!B28</f>
        <v>50</v>
      </c>
      <c r="C481" s="1999">
        <f>'Part V-Revenues &amp; Expenses'!C28</f>
        <v>3</v>
      </c>
      <c r="D481" s="2000">
        <f>'Part V-Revenues &amp; Expenses'!D28</f>
        <v>2</v>
      </c>
      <c r="E481" s="2001">
        <f>'Part V-Revenues &amp; Expenses'!E28</f>
        <v>5</v>
      </c>
      <c r="F481" s="2001">
        <f>'Part V-Revenues &amp; Expenses'!F28</f>
        <v>1170</v>
      </c>
      <c r="G481" s="2001">
        <f>'Part V-Revenues &amp; Expenses'!G28</f>
        <v>1070</v>
      </c>
      <c r="H481" s="2001">
        <f>'Part V-Revenues &amp; Expenses'!H28</f>
        <v>1060</v>
      </c>
      <c r="I481" s="2001">
        <f>'Part V-Revenues &amp; Expenses'!I28</f>
        <v>0</v>
      </c>
      <c r="J481" s="2001">
        <f>'Part V-Revenues &amp; Expenses'!J28</f>
        <v>238</v>
      </c>
      <c r="K481" s="2002">
        <f>'Part V-Revenues &amp; Expenses'!K28</f>
        <v>0</v>
      </c>
      <c r="L481" s="2003">
        <f t="shared" si="1"/>
        <v>822</v>
      </c>
      <c r="M481" s="2003">
        <f t="shared" si="2"/>
        <v>4110</v>
      </c>
      <c r="N481" s="1853" t="str">
        <f>'Part V-Revenues &amp; Expenses'!N28</f>
        <v>No</v>
      </c>
      <c r="O481" s="899" t="str">
        <f>'Part V-Revenues &amp; Expenses'!O28</f>
        <v>Low-Rise Apt</v>
      </c>
      <c r="P481" s="1853" t="str">
        <f>'Part V-Revenues &amp; Expenses'!P28</f>
        <v>Acquisition/Rehab</v>
      </c>
      <c r="Q481" s="1772" t="str">
        <f>'Part V-Revenues &amp; Expenses'!Q28</f>
        <v>No</v>
      </c>
      <c r="R481" s="2004"/>
      <c r="S481" s="2005"/>
      <c r="T481" s="1920"/>
      <c r="U481" s="1920"/>
      <c r="V481" s="1920"/>
      <c r="W481" s="1920"/>
      <c r="X481" s="251" t="str">
        <f t="shared" si="3"/>
        <v/>
      </c>
      <c r="Y481" s="251" t="str">
        <f t="shared" si="4"/>
        <v/>
      </c>
      <c r="Z481" s="251" t="str">
        <f t="shared" si="5"/>
        <v/>
      </c>
      <c r="AA481" s="251" t="str">
        <f t="shared" si="6"/>
        <v/>
      </c>
      <c r="AB481" s="251" t="str">
        <f t="shared" si="7"/>
        <v/>
      </c>
      <c r="AC481" s="251" t="str">
        <f t="shared" si="8"/>
        <v/>
      </c>
      <c r="AD481" s="251" t="str">
        <f t="shared" si="9"/>
        <v/>
      </c>
      <c r="AE481" s="251" t="str">
        <f t="shared" si="10"/>
        <v/>
      </c>
      <c r="AF481" s="251" t="str">
        <f t="shared" si="11"/>
        <v/>
      </c>
      <c r="AG481" s="251" t="str">
        <f t="shared" si="12"/>
        <v/>
      </c>
      <c r="AH481" s="251" t="str">
        <f t="shared" si="13"/>
        <v/>
      </c>
      <c r="AI481" s="251" t="str">
        <f t="shared" si="14"/>
        <v/>
      </c>
      <c r="AJ481" s="251" t="str">
        <f t="shared" si="15"/>
        <v/>
      </c>
      <c r="AK481" s="251" t="str">
        <f t="shared" si="16"/>
        <v/>
      </c>
      <c r="AL481" s="251" t="str">
        <f t="shared" si="17"/>
        <v/>
      </c>
      <c r="AM481" s="251" t="str">
        <f t="shared" si="18"/>
        <v/>
      </c>
      <c r="AN481" s="251" t="str">
        <f t="shared" si="19"/>
        <v/>
      </c>
      <c r="AO481" s="251" t="str">
        <f t="shared" si="20"/>
        <v/>
      </c>
      <c r="AP481" s="251">
        <f t="shared" si="21"/>
        <v>5</v>
      </c>
      <c r="AQ481" s="251" t="str">
        <f t="shared" si="22"/>
        <v/>
      </c>
      <c r="AR481" s="251" t="str">
        <f t="shared" si="23"/>
        <v/>
      </c>
      <c r="AS481" s="251" t="str">
        <f t="shared" si="24"/>
        <v/>
      </c>
      <c r="AT481" s="251" t="str">
        <f t="shared" si="25"/>
        <v/>
      </c>
      <c r="AU481" s="251" t="str">
        <f t="shared" si="26"/>
        <v/>
      </c>
      <c r="AV481" s="251" t="str">
        <f t="shared" si="27"/>
        <v/>
      </c>
      <c r="AW481" s="251" t="str">
        <f t="shared" si="28"/>
        <v/>
      </c>
      <c r="AX481" s="251" t="str">
        <f t="shared" si="29"/>
        <v/>
      </c>
      <c r="AY481" s="251" t="str">
        <f t="shared" si="30"/>
        <v/>
      </c>
      <c r="AZ481" s="251" t="str">
        <f t="shared" si="31"/>
        <v/>
      </c>
      <c r="BA481" s="251" t="str">
        <f t="shared" si="32"/>
        <v/>
      </c>
      <c r="BB481" s="251" t="str">
        <f t="shared" si="33"/>
        <v/>
      </c>
      <c r="BC481" s="251" t="str">
        <f t="shared" si="34"/>
        <v/>
      </c>
      <c r="BD481" s="251" t="str">
        <f t="shared" si="35"/>
        <v/>
      </c>
      <c r="BE481" s="251" t="str">
        <f t="shared" si="36"/>
        <v/>
      </c>
      <c r="BF481" s="251" t="str">
        <f t="shared" si="37"/>
        <v/>
      </c>
      <c r="BG481" s="251" t="str">
        <f t="shared" si="38"/>
        <v/>
      </c>
      <c r="BH481" s="251" t="str">
        <f t="shared" si="39"/>
        <v/>
      </c>
      <c r="BI481" s="251" t="str">
        <f t="shared" si="40"/>
        <v/>
      </c>
      <c r="BJ481" s="251" t="str">
        <f t="shared" si="41"/>
        <v/>
      </c>
      <c r="BK481" s="251" t="str">
        <f t="shared" si="42"/>
        <v/>
      </c>
      <c r="BL481" s="251" t="str">
        <f t="shared" si="43"/>
        <v/>
      </c>
      <c r="BM481" s="251" t="str">
        <f t="shared" si="44"/>
        <v/>
      </c>
      <c r="BN481" s="251" t="str">
        <f t="shared" si="45"/>
        <v/>
      </c>
      <c r="BO481" s="251" t="str">
        <f t="shared" si="46"/>
        <v/>
      </c>
      <c r="BP481" s="251" t="str">
        <f t="shared" si="47"/>
        <v/>
      </c>
      <c r="BQ481" s="251" t="str">
        <f t="shared" si="48"/>
        <v/>
      </c>
      <c r="BR481" s="251" t="str">
        <f t="shared" si="49"/>
        <v/>
      </c>
      <c r="BS481" s="251" t="str">
        <f t="shared" si="50"/>
        <v/>
      </c>
      <c r="BT481" s="251" t="str">
        <f t="shared" si="51"/>
        <v/>
      </c>
      <c r="BU481" s="251" t="str">
        <f t="shared" si="52"/>
        <v/>
      </c>
      <c r="BV481" s="251" t="str">
        <f t="shared" si="53"/>
        <v/>
      </c>
      <c r="BW481" s="251" t="str">
        <f t="shared" si="54"/>
        <v/>
      </c>
      <c r="BX481" s="251" t="str">
        <f t="shared" si="55"/>
        <v/>
      </c>
      <c r="BY481" s="251" t="str">
        <f t="shared" si="56"/>
        <v/>
      </c>
      <c r="BZ481" s="251" t="str">
        <f t="shared" si="57"/>
        <v/>
      </c>
      <c r="CA481" s="251" t="str">
        <f t="shared" si="58"/>
        <v/>
      </c>
      <c r="CB481" s="251" t="str">
        <f t="shared" si="59"/>
        <v/>
      </c>
      <c r="CC481" s="251" t="str">
        <f t="shared" si="60"/>
        <v/>
      </c>
      <c r="CD481" s="251" t="str">
        <f t="shared" si="61"/>
        <v/>
      </c>
      <c r="CE481" s="251" t="str">
        <f t="shared" si="62"/>
        <v/>
      </c>
      <c r="CF481" s="251" t="str">
        <f t="shared" si="63"/>
        <v/>
      </c>
      <c r="CG481" s="251" t="str">
        <f t="shared" si="64"/>
        <v/>
      </c>
      <c r="CH481" s="251" t="str">
        <f t="shared" si="65"/>
        <v/>
      </c>
      <c r="CI481" s="251" t="str">
        <f t="shared" si="66"/>
        <v/>
      </c>
      <c r="CJ481" s="251" t="str">
        <f t="shared" si="67"/>
        <v/>
      </c>
      <c r="CK481" s="251" t="str">
        <f t="shared" si="68"/>
        <v/>
      </c>
      <c r="CL481" s="251" t="str">
        <f t="shared" si="69"/>
        <v/>
      </c>
      <c r="CM481" s="251" t="str">
        <f t="shared" si="70"/>
        <v/>
      </c>
      <c r="CN481" s="251" t="str">
        <f t="shared" si="71"/>
        <v/>
      </c>
      <c r="CO481" s="251" t="str">
        <f t="shared" si="72"/>
        <v/>
      </c>
      <c r="CP481" s="251" t="str">
        <f t="shared" si="73"/>
        <v/>
      </c>
      <c r="CQ481" s="251" t="str">
        <f t="shared" si="74"/>
        <v/>
      </c>
      <c r="CR481" s="251" t="str">
        <f t="shared" si="75"/>
        <v/>
      </c>
      <c r="CS481" s="251" t="str">
        <f t="shared" si="76"/>
        <v/>
      </c>
      <c r="CT481" s="251" t="str">
        <f t="shared" si="77"/>
        <v/>
      </c>
      <c r="CU481" s="251" t="str">
        <f t="shared" si="78"/>
        <v/>
      </c>
      <c r="CV481" s="251" t="str">
        <f t="shared" si="79"/>
        <v/>
      </c>
      <c r="CW481" s="251" t="str">
        <f t="shared" si="80"/>
        <v/>
      </c>
      <c r="CX481" s="251" t="str">
        <f t="shared" si="81"/>
        <v/>
      </c>
      <c r="CY481" s="251" t="str">
        <f t="shared" si="82"/>
        <v/>
      </c>
      <c r="CZ481" s="251" t="str">
        <f t="shared" si="83"/>
        <v/>
      </c>
      <c r="DA481" s="251" t="str">
        <f t="shared" si="84"/>
        <v/>
      </c>
      <c r="DB481" s="251" t="str">
        <f t="shared" si="85"/>
        <v/>
      </c>
      <c r="DC481" s="251" t="str">
        <f t="shared" si="86"/>
        <v/>
      </c>
      <c r="DD481" s="251" t="str">
        <f t="shared" si="87"/>
        <v/>
      </c>
      <c r="DE481" s="251" t="str">
        <f t="shared" si="88"/>
        <v/>
      </c>
      <c r="DF481" s="251" t="str">
        <f t="shared" si="89"/>
        <v/>
      </c>
      <c r="DG481" s="251" t="str">
        <f t="shared" si="90"/>
        <v/>
      </c>
      <c r="DH481" s="251" t="str">
        <f t="shared" si="91"/>
        <v/>
      </c>
      <c r="DI481" s="251" t="str">
        <f t="shared" si="92"/>
        <v/>
      </c>
      <c r="DJ481" s="251" t="str">
        <f t="shared" si="93"/>
        <v/>
      </c>
      <c r="DK481" s="251" t="str">
        <f t="shared" si="94"/>
        <v/>
      </c>
      <c r="DL481" s="251" t="str">
        <f t="shared" si="95"/>
        <v/>
      </c>
      <c r="DM481" s="251" t="str">
        <f t="shared" si="96"/>
        <v/>
      </c>
      <c r="DN481" s="251" t="str">
        <f t="shared" si="97"/>
        <v/>
      </c>
      <c r="DO481" s="251" t="str">
        <f t="shared" si="98"/>
        <v/>
      </c>
      <c r="DP481" s="251" t="str">
        <f t="shared" si="99"/>
        <v/>
      </c>
      <c r="DQ481" s="251" t="str">
        <f t="shared" si="100"/>
        <v/>
      </c>
      <c r="DR481" s="251" t="str">
        <f t="shared" si="101"/>
        <v/>
      </c>
      <c r="DS481" s="251" t="str">
        <f t="shared" si="102"/>
        <v/>
      </c>
      <c r="DT481" s="251" t="str">
        <f t="shared" si="103"/>
        <v/>
      </c>
      <c r="DU481" s="251" t="str">
        <f t="shared" si="104"/>
        <v/>
      </c>
      <c r="DV481" s="251" t="str">
        <f t="shared" si="105"/>
        <v/>
      </c>
      <c r="DW481" s="251" t="str">
        <f t="shared" si="106"/>
        <v/>
      </c>
      <c r="DX481" s="251" t="str">
        <f t="shared" si="107"/>
        <v/>
      </c>
      <c r="DY481" s="251" t="str">
        <f t="shared" si="108"/>
        <v/>
      </c>
      <c r="DZ481" s="251" t="str">
        <f t="shared" si="109"/>
        <v/>
      </c>
      <c r="EA481" s="251" t="str">
        <f t="shared" si="110"/>
        <v/>
      </c>
      <c r="EB481" s="251" t="str">
        <f t="shared" si="111"/>
        <v/>
      </c>
      <c r="EC481" s="251" t="str">
        <f t="shared" si="112"/>
        <v/>
      </c>
      <c r="ED481" s="251" t="str">
        <f t="shared" si="113"/>
        <v/>
      </c>
      <c r="EE481" s="251" t="str">
        <f t="shared" si="114"/>
        <v/>
      </c>
      <c r="EF481" s="251" t="str">
        <f t="shared" si="115"/>
        <v/>
      </c>
      <c r="EG481" s="251" t="str">
        <f t="shared" si="116"/>
        <v/>
      </c>
      <c r="EH481" s="251" t="str">
        <f t="shared" si="117"/>
        <v/>
      </c>
      <c r="EI481" s="251" t="str">
        <f t="shared" si="118"/>
        <v/>
      </c>
      <c r="EJ481" s="251" t="str">
        <f t="shared" si="119"/>
        <v/>
      </c>
      <c r="EK481" s="251" t="str">
        <f t="shared" si="120"/>
        <v/>
      </c>
      <c r="EL481" s="251" t="str">
        <f t="shared" si="121"/>
        <v/>
      </c>
      <c r="EM481" s="251" t="str">
        <f t="shared" si="122"/>
        <v/>
      </c>
      <c r="EN481" s="251" t="str">
        <f t="shared" si="123"/>
        <v/>
      </c>
      <c r="EO481" s="251" t="str">
        <f t="shared" si="124"/>
        <v/>
      </c>
      <c r="EP481" s="251" t="str">
        <f t="shared" si="125"/>
        <v/>
      </c>
      <c r="EQ481" s="251" t="str">
        <f t="shared" si="126"/>
        <v/>
      </c>
      <c r="ER481" s="251" t="str">
        <f t="shared" si="127"/>
        <v/>
      </c>
      <c r="ES481" s="251" t="str">
        <f t="shared" si="128"/>
        <v/>
      </c>
      <c r="ET481" s="251" t="str">
        <f t="shared" si="129"/>
        <v/>
      </c>
      <c r="EU481" s="251" t="str">
        <f t="shared" si="130"/>
        <v/>
      </c>
      <c r="EV481" s="251" t="str">
        <f t="shared" si="131"/>
        <v/>
      </c>
      <c r="EW481" s="251" t="str">
        <f t="shared" si="132"/>
        <v/>
      </c>
      <c r="EX481" s="251" t="str">
        <f t="shared" si="133"/>
        <v/>
      </c>
      <c r="EY481" s="251" t="str">
        <f t="shared" si="134"/>
        <v/>
      </c>
      <c r="EZ481" s="251" t="str">
        <f t="shared" si="135"/>
        <v/>
      </c>
      <c r="FA481" s="251" t="str">
        <f t="shared" si="136"/>
        <v/>
      </c>
      <c r="FB481" s="251" t="str">
        <f t="shared" si="137"/>
        <v/>
      </c>
      <c r="FC481" s="251" t="str">
        <f t="shared" si="138"/>
        <v/>
      </c>
      <c r="FD481" s="251" t="str">
        <f t="shared" si="139"/>
        <v/>
      </c>
      <c r="FE481" s="251" t="str">
        <f t="shared" si="140"/>
        <v/>
      </c>
      <c r="FF481" s="251" t="str">
        <f t="shared" si="141"/>
        <v/>
      </c>
      <c r="FG481" s="251" t="str">
        <f t="shared" si="142"/>
        <v/>
      </c>
      <c r="FH481" s="251" t="str">
        <f t="shared" si="143"/>
        <v/>
      </c>
      <c r="FI481" s="251" t="str">
        <f t="shared" si="144"/>
        <v/>
      </c>
      <c r="FJ481" s="251" t="str">
        <f t="shared" si="145"/>
        <v/>
      </c>
      <c r="FK481" s="251" t="str">
        <f t="shared" si="146"/>
        <v/>
      </c>
      <c r="FL481" s="251" t="str">
        <f t="shared" si="147"/>
        <v/>
      </c>
      <c r="FM481" s="251" t="str">
        <f t="shared" si="148"/>
        <v/>
      </c>
      <c r="FN481" s="251" t="str">
        <f t="shared" si="149"/>
        <v/>
      </c>
      <c r="FO481" s="251" t="str">
        <f t="shared" si="150"/>
        <v/>
      </c>
      <c r="FP481" s="251" t="str">
        <f t="shared" si="151"/>
        <v/>
      </c>
      <c r="FQ481" s="251" t="str">
        <f t="shared" si="152"/>
        <v/>
      </c>
      <c r="FR481" s="251" t="str">
        <f t="shared" si="153"/>
        <v/>
      </c>
      <c r="FS481" s="251" t="str">
        <f t="shared" si="154"/>
        <v/>
      </c>
      <c r="FT481" s="251" t="str">
        <f t="shared" si="155"/>
        <v/>
      </c>
      <c r="FU481" s="251" t="str">
        <f t="shared" si="156"/>
        <v/>
      </c>
      <c r="FV481" s="251" t="str">
        <f t="shared" si="157"/>
        <v/>
      </c>
      <c r="FW481" s="251" t="str">
        <f t="shared" si="158"/>
        <v/>
      </c>
      <c r="FX481" s="251" t="str">
        <f t="shared" si="159"/>
        <v/>
      </c>
      <c r="FY481" s="251" t="str">
        <f t="shared" si="160"/>
        <v/>
      </c>
      <c r="FZ481" s="251" t="str">
        <f t="shared" si="161"/>
        <v/>
      </c>
      <c r="GA481" s="251" t="str">
        <f t="shared" si="162"/>
        <v/>
      </c>
      <c r="GB481" s="251" t="str">
        <f t="shared" si="163"/>
        <v/>
      </c>
      <c r="GC481" s="251" t="str">
        <f t="shared" si="164"/>
        <v/>
      </c>
      <c r="GD481" s="251" t="str">
        <f t="shared" si="165"/>
        <v/>
      </c>
      <c r="GE481" s="251" t="str">
        <f t="shared" si="166"/>
        <v/>
      </c>
      <c r="GF481" s="251" t="str">
        <f t="shared" si="167"/>
        <v/>
      </c>
      <c r="GG481" s="251" t="str">
        <f t="shared" si="168"/>
        <v/>
      </c>
      <c r="GH481" s="251" t="str">
        <f t="shared" si="169"/>
        <v/>
      </c>
      <c r="GI481" s="251" t="str">
        <f t="shared" si="170"/>
        <v/>
      </c>
      <c r="GJ481" s="251">
        <f t="shared" si="171"/>
        <v>5850</v>
      </c>
      <c r="GK481" s="251" t="str">
        <f t="shared" si="172"/>
        <v/>
      </c>
      <c r="GL481" s="251" t="str">
        <f t="shared" si="173"/>
        <v/>
      </c>
      <c r="GM481" s="251" t="str">
        <f t="shared" si="174"/>
        <v/>
      </c>
      <c r="GN481" s="251" t="str">
        <f t="shared" si="175"/>
        <v/>
      </c>
      <c r="GO481" s="251" t="str">
        <f t="shared" si="176"/>
        <v/>
      </c>
      <c r="GP481" s="251" t="str">
        <f t="shared" si="177"/>
        <v/>
      </c>
      <c r="GQ481" s="251" t="str">
        <f t="shared" si="178"/>
        <v/>
      </c>
      <c r="GR481" s="251" t="str">
        <f t="shared" si="179"/>
        <v/>
      </c>
      <c r="GS481" s="251" t="str">
        <f t="shared" si="180"/>
        <v/>
      </c>
      <c r="GT481" s="251" t="str">
        <f t="shared" si="181"/>
        <v/>
      </c>
      <c r="GU481" s="251" t="str">
        <f t="shared" si="182"/>
        <v/>
      </c>
      <c r="GV481" s="251" t="str">
        <f t="shared" si="183"/>
        <v/>
      </c>
      <c r="GW481" s="251" t="str">
        <f t="shared" si="184"/>
        <v/>
      </c>
      <c r="GX481" s="251" t="str">
        <f t="shared" si="185"/>
        <v/>
      </c>
      <c r="GY481" s="251" t="str">
        <f t="shared" si="186"/>
        <v/>
      </c>
      <c r="GZ481" s="251" t="str">
        <f t="shared" si="187"/>
        <v/>
      </c>
      <c r="HA481" s="251" t="str">
        <f t="shared" si="188"/>
        <v/>
      </c>
      <c r="HB481" s="251" t="str">
        <f t="shared" si="189"/>
        <v/>
      </c>
      <c r="HC481" s="251" t="str">
        <f t="shared" si="190"/>
        <v/>
      </c>
      <c r="HD481" s="251" t="str">
        <f t="shared" si="191"/>
        <v/>
      </c>
      <c r="HE481" s="251" t="str">
        <f t="shared" si="192"/>
        <v/>
      </c>
      <c r="HF481" s="251" t="str">
        <f t="shared" si="193"/>
        <v/>
      </c>
      <c r="HG481" s="251" t="str">
        <f t="shared" si="194"/>
        <v/>
      </c>
      <c r="HH481" s="251" t="str">
        <f t="shared" si="195"/>
        <v/>
      </c>
      <c r="HI481" s="251" t="str">
        <f t="shared" si="196"/>
        <v/>
      </c>
      <c r="HJ481" s="251" t="str">
        <f t="shared" si="197"/>
        <v/>
      </c>
      <c r="HK481" s="251" t="str">
        <f t="shared" si="198"/>
        <v/>
      </c>
      <c r="HL481" s="251" t="str">
        <f t="shared" si="199"/>
        <v/>
      </c>
      <c r="HM481" s="251" t="str">
        <f t="shared" si="200"/>
        <v/>
      </c>
      <c r="HN481" s="251" t="str">
        <f t="shared" si="201"/>
        <v/>
      </c>
      <c r="HO481" s="251" t="str">
        <f t="shared" si="202"/>
        <v/>
      </c>
      <c r="HP481" s="251" t="str">
        <f t="shared" si="203"/>
        <v/>
      </c>
      <c r="HQ481" s="251" t="str">
        <f t="shared" si="204"/>
        <v/>
      </c>
      <c r="HR481" s="251" t="str">
        <f t="shared" si="205"/>
        <v/>
      </c>
      <c r="HS481" s="251" t="str">
        <f t="shared" si="206"/>
        <v/>
      </c>
      <c r="HT481" s="251" t="str">
        <f t="shared" si="207"/>
        <v/>
      </c>
      <c r="HU481" s="251" t="str">
        <f t="shared" si="208"/>
        <v/>
      </c>
      <c r="HV481" s="251" t="str">
        <f t="shared" si="209"/>
        <v/>
      </c>
      <c r="HW481" s="251" t="str">
        <f t="shared" si="210"/>
        <v/>
      </c>
      <c r="HX481" s="251" t="str">
        <f t="shared" si="211"/>
        <v/>
      </c>
      <c r="HY481" s="251" t="str">
        <f t="shared" si="212"/>
        <v/>
      </c>
      <c r="HZ481" s="251" t="str">
        <f t="shared" si="213"/>
        <v/>
      </c>
      <c r="IA481" s="251" t="str">
        <f t="shared" si="214"/>
        <v/>
      </c>
      <c r="IB481" s="251" t="str">
        <f t="shared" si="215"/>
        <v/>
      </c>
      <c r="IC481" s="251" t="str">
        <f t="shared" si="216"/>
        <v/>
      </c>
      <c r="ID481" s="251" t="str">
        <f t="shared" si="217"/>
        <v/>
      </c>
      <c r="IE481" s="251" t="str">
        <f t="shared" si="218"/>
        <v/>
      </c>
      <c r="IF481" s="251" t="str">
        <f t="shared" si="219"/>
        <v/>
      </c>
      <c r="IG481" s="251" t="str">
        <f t="shared" si="220"/>
        <v/>
      </c>
      <c r="IH481" s="251">
        <f t="shared" si="221"/>
        <v>5</v>
      </c>
      <c r="II481" s="251" t="str">
        <f t="shared" si="222"/>
        <v/>
      </c>
      <c r="IJ481" s="251" t="str">
        <f t="shared" si="223"/>
        <v/>
      </c>
      <c r="IK481" s="251" t="str">
        <f t="shared" si="224"/>
        <v/>
      </c>
      <c r="IL481" s="251" t="str">
        <f t="shared" si="225"/>
        <v/>
      </c>
      <c r="IM481" s="251" t="str">
        <f t="shared" si="226"/>
        <v/>
      </c>
      <c r="IN481" s="251" t="str">
        <f t="shared" si="227"/>
        <v/>
      </c>
      <c r="IO481" s="251" t="str">
        <f t="shared" si="228"/>
        <v/>
      </c>
      <c r="IP481" s="251" t="str">
        <f t="shared" si="229"/>
        <v/>
      </c>
      <c r="IQ481" s="251" t="str">
        <f t="shared" si="230"/>
        <v/>
      </c>
      <c r="IR481" s="251" t="str">
        <f t="shared" si="231"/>
        <v/>
      </c>
      <c r="IS481" s="251" t="str">
        <f t="shared" si="232"/>
        <v/>
      </c>
      <c r="IT481" s="251" t="str">
        <f t="shared" si="233"/>
        <v/>
      </c>
      <c r="IU481" s="251" t="str">
        <f t="shared" si="234"/>
        <v/>
      </c>
      <c r="IV481" s="251" t="str">
        <f t="shared" si="235"/>
        <v/>
      </c>
      <c r="IW481" s="251" t="str">
        <f t="shared" si="236"/>
        <v/>
      </c>
      <c r="IX481" s="251" t="str">
        <f t="shared" si="237"/>
        <v/>
      </c>
      <c r="IY481" s="251" t="str">
        <f t="shared" si="238"/>
        <v/>
      </c>
      <c r="IZ481" s="251" t="str">
        <f t="shared" si="239"/>
        <v/>
      </c>
      <c r="JA481" s="251" t="str">
        <f t="shared" si="240"/>
        <v/>
      </c>
      <c r="JB481" s="251" t="str">
        <f t="shared" si="241"/>
        <v/>
      </c>
      <c r="JC481" s="251" t="str">
        <f t="shared" si="242"/>
        <v/>
      </c>
      <c r="JD481" s="251" t="str">
        <f t="shared" si="243"/>
        <v/>
      </c>
      <c r="JE481" s="251" t="str">
        <f t="shared" si="244"/>
        <v/>
      </c>
      <c r="JF481" s="251" t="str">
        <f t="shared" si="245"/>
        <v/>
      </c>
      <c r="JG481" s="251" t="str">
        <f t="shared" si="246"/>
        <v/>
      </c>
      <c r="JH481" s="251" t="str">
        <f t="shared" si="247"/>
        <v/>
      </c>
      <c r="JI481" s="1297" t="str">
        <f t="shared" si="248"/>
        <v/>
      </c>
      <c r="JJ481" s="1297" t="str">
        <f t="shared" si="249"/>
        <v/>
      </c>
      <c r="JK481" s="1297" t="str">
        <f t="shared" si="250"/>
        <v/>
      </c>
      <c r="JL481" s="1297">
        <f t="shared" si="251"/>
        <v>5</v>
      </c>
      <c r="JM481" s="1297" t="str">
        <f t="shared" si="252"/>
        <v/>
      </c>
      <c r="JN481" s="1297" t="str">
        <f t="shared" si="253"/>
        <v/>
      </c>
      <c r="JO481" s="1297" t="str">
        <f t="shared" si="254"/>
        <v/>
      </c>
      <c r="JP481" s="1297" t="str">
        <f t="shared" si="255"/>
        <v/>
      </c>
      <c r="JQ481" s="1297" t="str">
        <f t="shared" si="256"/>
        <v/>
      </c>
      <c r="JR481" s="1297" t="str">
        <f t="shared" si="257"/>
        <v/>
      </c>
      <c r="JS481" s="1297" t="str">
        <f t="shared" si="258"/>
        <v/>
      </c>
      <c r="JT481" s="1297" t="str">
        <f t="shared" si="259"/>
        <v/>
      </c>
      <c r="JU481" s="1297" t="str">
        <f t="shared" si="260"/>
        <v/>
      </c>
      <c r="JV481" s="1297" t="str">
        <f t="shared" si="261"/>
        <v/>
      </c>
      <c r="JW481" s="1297" t="str">
        <f t="shared" si="262"/>
        <v/>
      </c>
      <c r="JX481" s="1297" t="str">
        <f t="shared" si="263"/>
        <v/>
      </c>
      <c r="JY481" s="1297" t="str">
        <f t="shared" si="264"/>
        <v/>
      </c>
      <c r="JZ481" s="1297" t="str">
        <f t="shared" si="265"/>
        <v/>
      </c>
      <c r="KA481" s="1297" t="str">
        <f t="shared" si="266"/>
        <v/>
      </c>
      <c r="KB481" s="1297" t="str">
        <f t="shared" si="267"/>
        <v/>
      </c>
      <c r="KC481" s="1297" t="str">
        <f t="shared" si="268"/>
        <v/>
      </c>
      <c r="KD481" s="1297" t="str">
        <f t="shared" si="269"/>
        <v/>
      </c>
      <c r="KE481" s="1297" t="str">
        <f t="shared" si="270"/>
        <v/>
      </c>
      <c r="KF481" s="1297" t="str">
        <f t="shared" si="271"/>
        <v/>
      </c>
      <c r="KG481" s="1297" t="str">
        <f t="shared" si="272"/>
        <v/>
      </c>
      <c r="KH481" s="1297" t="str">
        <f t="shared" si="273"/>
        <v/>
      </c>
      <c r="KI481" s="1297" t="str">
        <f t="shared" si="274"/>
        <v/>
      </c>
      <c r="KJ481" s="1297" t="str">
        <f t="shared" si="275"/>
        <v/>
      </c>
      <c r="KK481" s="1297" t="str">
        <f t="shared" si="276"/>
        <v/>
      </c>
      <c r="KL481" s="1297" t="str">
        <f t="shared" si="277"/>
        <v/>
      </c>
      <c r="KM481" s="1297" t="str">
        <f t="shared" si="278"/>
        <v/>
      </c>
      <c r="KN481" s="1297" t="str">
        <f t="shared" si="279"/>
        <v/>
      </c>
      <c r="KO481" s="1297" t="str">
        <f t="shared" si="280"/>
        <v/>
      </c>
      <c r="KP481" s="1297" t="str">
        <f t="shared" si="281"/>
        <v/>
      </c>
      <c r="KQ481" s="1297" t="str">
        <f t="shared" si="282"/>
        <v/>
      </c>
      <c r="KR481" s="1297" t="str">
        <f t="shared" si="283"/>
        <v/>
      </c>
      <c r="KS481" s="1297" t="str">
        <f t="shared" si="284"/>
        <v/>
      </c>
      <c r="KT481" s="1297" t="str">
        <f t="shared" si="285"/>
        <v/>
      </c>
      <c r="KU481" s="1297" t="str">
        <f t="shared" si="286"/>
        <v/>
      </c>
      <c r="KV481" s="1297" t="str">
        <f t="shared" si="287"/>
        <v/>
      </c>
      <c r="KW481" s="1297" t="str">
        <f t="shared" si="288"/>
        <v/>
      </c>
      <c r="KX481" s="1297" t="str">
        <f t="shared" si="289"/>
        <v/>
      </c>
      <c r="KY481" s="1297" t="str">
        <f t="shared" si="290"/>
        <v/>
      </c>
      <c r="KZ481" s="1297" t="str">
        <f t="shared" si="291"/>
        <v/>
      </c>
      <c r="LA481" s="1297" t="str">
        <f t="shared" si="292"/>
        <v/>
      </c>
      <c r="LB481" s="1297" t="str">
        <f t="shared" si="293"/>
        <v/>
      </c>
      <c r="LC481" s="1297" t="str">
        <f t="shared" si="294"/>
        <v/>
      </c>
      <c r="LD481" s="1297" t="str">
        <f t="shared" si="295"/>
        <v/>
      </c>
      <c r="LE481" s="1297">
        <f t="shared" si="296"/>
        <v>5</v>
      </c>
      <c r="LF481" s="1297" t="str">
        <f t="shared" si="297"/>
        <v/>
      </c>
      <c r="LG481" s="1297" t="str">
        <f t="shared" si="298"/>
        <v/>
      </c>
      <c r="LH481" s="1297" t="str">
        <f t="shared" si="299"/>
        <v/>
      </c>
      <c r="LI481" s="1297" t="str">
        <f t="shared" si="300"/>
        <v/>
      </c>
      <c r="LJ481" s="1297" t="str">
        <f t="shared" si="301"/>
        <v/>
      </c>
      <c r="LK481" s="1297" t="str">
        <f t="shared" si="302"/>
        <v/>
      </c>
      <c r="LL481" s="1297" t="str">
        <f t="shared" si="303"/>
        <v/>
      </c>
      <c r="LM481" s="1297" t="str">
        <f t="shared" si="304"/>
        <v/>
      </c>
      <c r="LN481" s="1297" t="str">
        <f t="shared" si="305"/>
        <v/>
      </c>
      <c r="LO481" s="1297" t="str">
        <f t="shared" si="306"/>
        <v/>
      </c>
      <c r="LP481" s="1297" t="str">
        <f t="shared" si="307"/>
        <v/>
      </c>
      <c r="LQ481" s="1297" t="str">
        <f t="shared" si="308"/>
        <v/>
      </c>
      <c r="LR481" s="1297" t="str">
        <f t="shared" si="309"/>
        <v/>
      </c>
      <c r="LS481" s="1297" t="str">
        <f t="shared" si="310"/>
        <v/>
      </c>
      <c r="LT481" s="1297" t="str">
        <f t="shared" si="311"/>
        <v/>
      </c>
      <c r="LU481" s="1297" t="str">
        <f t="shared" si="312"/>
        <v/>
      </c>
      <c r="LV481" s="1297" t="str">
        <f t="shared" si="313"/>
        <v/>
      </c>
      <c r="LW481" s="1297" t="str">
        <f t="shared" si="314"/>
        <v/>
      </c>
      <c r="LX481" s="1297" t="str">
        <f t="shared" si="315"/>
        <v/>
      </c>
      <c r="LY481" s="1297" t="str">
        <f t="shared" si="316"/>
        <v/>
      </c>
      <c r="LZ481" s="1297" t="str">
        <f t="shared" si="317"/>
        <v/>
      </c>
      <c r="MA481" s="1297" t="str">
        <f t="shared" si="318"/>
        <v/>
      </c>
      <c r="MB481" s="1297" t="str">
        <f t="shared" si="319"/>
        <v/>
      </c>
      <c r="MC481" s="1297" t="str">
        <f t="shared" si="320"/>
        <v/>
      </c>
      <c r="MD481" s="1297" t="str">
        <f t="shared" si="321"/>
        <v/>
      </c>
      <c r="ME481" s="1297" t="str">
        <f t="shared" si="322"/>
        <v/>
      </c>
      <c r="MF481" s="1297" t="str">
        <f t="shared" si="323"/>
        <v/>
      </c>
      <c r="MG481" s="1297" t="str">
        <f t="shared" si="324"/>
        <v/>
      </c>
      <c r="MH481" s="1297" t="str">
        <f t="shared" si="325"/>
        <v/>
      </c>
      <c r="MI481" s="1297" t="str">
        <f t="shared" si="326"/>
        <v/>
      </c>
      <c r="MJ481" s="1297" t="str">
        <f t="shared" si="327"/>
        <v/>
      </c>
      <c r="MK481" s="1297" t="str">
        <f t="shared" si="328"/>
        <v/>
      </c>
      <c r="ML481" s="1297" t="str">
        <f t="shared" si="329"/>
        <v/>
      </c>
      <c r="MM481" s="1297" t="str">
        <f t="shared" si="330"/>
        <v/>
      </c>
      <c r="MN481" s="1297" t="str">
        <f t="shared" si="331"/>
        <v/>
      </c>
      <c r="MO481" s="1297" t="str">
        <f t="shared" si="332"/>
        <v/>
      </c>
      <c r="MP481" s="1773" t="str">
        <f t="shared" si="333"/>
        <v/>
      </c>
      <c r="MQ481" s="1773" t="str">
        <f t="shared" si="334"/>
        <v/>
      </c>
      <c r="MR481" s="1773" t="str">
        <f t="shared" si="335"/>
        <v/>
      </c>
      <c r="MS481" s="1773" t="str">
        <f t="shared" si="336"/>
        <v/>
      </c>
      <c r="MT481" s="1773" t="str">
        <f t="shared" si="337"/>
        <v/>
      </c>
      <c r="MU481" s="251" t="str">
        <f t="shared" si="338"/>
        <v/>
      </c>
      <c r="MV481" s="251" t="str">
        <f t="shared" si="339"/>
        <v/>
      </c>
      <c r="MW481" s="251" t="str">
        <f t="shared" si="340"/>
        <v/>
      </c>
      <c r="MX481" s="251" t="str">
        <f t="shared" si="341"/>
        <v/>
      </c>
      <c r="MY481" s="251" t="str">
        <f t="shared" si="342"/>
        <v/>
      </c>
      <c r="MZ481" s="251" t="str">
        <f t="shared" si="343"/>
        <v/>
      </c>
      <c r="NA481" s="251" t="str">
        <f t="shared" si="344"/>
        <v/>
      </c>
      <c r="NB481" s="251" t="str">
        <f t="shared" si="345"/>
        <v/>
      </c>
      <c r="NC481" s="251" t="str">
        <f t="shared" si="346"/>
        <v/>
      </c>
      <c r="ND481" s="251" t="str">
        <f t="shared" si="347"/>
        <v/>
      </c>
      <c r="NE481" s="251" t="str">
        <f t="shared" si="348"/>
        <v/>
      </c>
      <c r="NF481" s="251" t="str">
        <f t="shared" si="349"/>
        <v/>
      </c>
      <c r="NG481" s="251" t="str">
        <f t="shared" si="350"/>
        <v/>
      </c>
      <c r="NH481" s="251" t="str">
        <f t="shared" si="351"/>
        <v/>
      </c>
      <c r="NI481" s="251" t="str">
        <f t="shared" si="352"/>
        <v/>
      </c>
      <c r="NJ481" s="251" t="str">
        <f t="shared" si="353"/>
        <v/>
      </c>
      <c r="NK481" s="251" t="str">
        <f t="shared" si="354"/>
        <v/>
      </c>
      <c r="NL481" s="251" t="str">
        <f t="shared" si="355"/>
        <v/>
      </c>
      <c r="NM481" s="251" t="str">
        <f t="shared" si="356"/>
        <v/>
      </c>
      <c r="NN481" s="251" t="str">
        <f t="shared" si="357"/>
        <v/>
      </c>
      <c r="NO481" s="1185">
        <f t="shared" si="358"/>
        <v>0</v>
      </c>
      <c r="NP481" s="1185">
        <f t="shared" si="359"/>
        <v>0</v>
      </c>
      <c r="NQ481" s="1185">
        <f t="shared" si="360"/>
        <v>0</v>
      </c>
      <c r="NR481" s="1185">
        <f t="shared" si="361"/>
        <v>5</v>
      </c>
      <c r="NS481" s="1185">
        <f t="shared" si="362"/>
        <v>0</v>
      </c>
      <c r="NT481" s="1185">
        <f t="shared" si="368"/>
        <v>0</v>
      </c>
      <c r="NU481" s="1185">
        <f t="shared" si="369"/>
        <v>0</v>
      </c>
      <c r="NV481" s="1185">
        <f t="shared" si="370"/>
        <v>0</v>
      </c>
      <c r="NW481" s="1185">
        <f t="shared" si="371"/>
        <v>0</v>
      </c>
      <c r="NX481" s="1185">
        <f t="shared" si="372"/>
        <v>0</v>
      </c>
      <c r="NY481" s="1185">
        <f t="shared" si="363"/>
        <v>0</v>
      </c>
      <c r="NZ481" s="1185">
        <f t="shared" si="364"/>
        <v>0</v>
      </c>
      <c r="OA481" s="1185">
        <f t="shared" si="365"/>
        <v>0</v>
      </c>
      <c r="OB481" s="1185">
        <f t="shared" si="366"/>
        <v>0</v>
      </c>
      <c r="OC481" s="1185">
        <f t="shared" si="367"/>
        <v>0</v>
      </c>
      <c r="OY481" s="251" t="s">
        <v>1176</v>
      </c>
      <c r="OZ481" s="1296">
        <v>28</v>
      </c>
    </row>
    <row r="482" spans="1:416" ht="12" customHeight="1">
      <c r="A482" s="1979" t="str">
        <f t="shared" si="0"/>
        <v/>
      </c>
      <c r="B482" s="1998">
        <f>'Part V-Revenues &amp; Expenses'!B29</f>
        <v>0</v>
      </c>
      <c r="C482" s="1999">
        <f>'Part V-Revenues &amp; Expenses'!C29</f>
        <v>0</v>
      </c>
      <c r="D482" s="2000">
        <f>'Part V-Revenues &amp; Expenses'!D29</f>
        <v>0</v>
      </c>
      <c r="E482" s="2001">
        <f>'Part V-Revenues &amp; Expenses'!E29</f>
        <v>0</v>
      </c>
      <c r="F482" s="2001">
        <f>'Part V-Revenues &amp; Expenses'!F29</f>
        <v>0</v>
      </c>
      <c r="G482" s="2001">
        <f>'Part V-Revenues &amp; Expenses'!G29</f>
        <v>0</v>
      </c>
      <c r="H482" s="2001">
        <f>'Part V-Revenues &amp; Expenses'!H29</f>
        <v>0</v>
      </c>
      <c r="I482" s="2001">
        <f>'Part V-Revenues &amp; Expenses'!I29</f>
        <v>0</v>
      </c>
      <c r="J482" s="2001">
        <f>'Part V-Revenues &amp; Expenses'!J29</f>
        <v>0</v>
      </c>
      <c r="K482" s="2002">
        <f>'Part V-Revenues &amp; Expenses'!K29</f>
        <v>0</v>
      </c>
      <c r="L482" s="2003">
        <f t="shared" si="1"/>
        <v>0</v>
      </c>
      <c r="M482" s="2003">
        <f t="shared" si="2"/>
        <v>0</v>
      </c>
      <c r="N482" s="1853">
        <f>'Part V-Revenues &amp; Expenses'!N29</f>
        <v>0</v>
      </c>
      <c r="O482" s="899">
        <f>'Part V-Revenues &amp; Expenses'!O29</f>
        <v>0</v>
      </c>
      <c r="P482" s="1853">
        <f>'Part V-Revenues &amp; Expenses'!P29</f>
        <v>0</v>
      </c>
      <c r="Q482" s="1772">
        <f>'Part V-Revenues &amp; Expenses'!Q29</f>
        <v>0</v>
      </c>
      <c r="R482" s="2004"/>
      <c r="S482" s="2005"/>
      <c r="T482" s="1920"/>
      <c r="U482" s="1920"/>
      <c r="V482" s="1920"/>
      <c r="W482" s="1920"/>
      <c r="X482" s="251" t="str">
        <f t="shared" si="3"/>
        <v/>
      </c>
      <c r="Y482" s="251" t="str">
        <f t="shared" si="4"/>
        <v/>
      </c>
      <c r="Z482" s="251" t="str">
        <f t="shared" si="5"/>
        <v/>
      </c>
      <c r="AA482" s="251" t="str">
        <f t="shared" si="6"/>
        <v/>
      </c>
      <c r="AB482" s="251" t="str">
        <f t="shared" si="7"/>
        <v/>
      </c>
      <c r="AC482" s="251" t="str">
        <f t="shared" si="8"/>
        <v/>
      </c>
      <c r="AD482" s="251" t="str">
        <f t="shared" si="9"/>
        <v/>
      </c>
      <c r="AE482" s="251" t="str">
        <f t="shared" si="10"/>
        <v/>
      </c>
      <c r="AF482" s="251" t="str">
        <f t="shared" si="11"/>
        <v/>
      </c>
      <c r="AG482" s="251" t="str">
        <f t="shared" si="12"/>
        <v/>
      </c>
      <c r="AH482" s="251" t="str">
        <f t="shared" si="13"/>
        <v/>
      </c>
      <c r="AI482" s="251" t="str">
        <f t="shared" si="14"/>
        <v/>
      </c>
      <c r="AJ482" s="251" t="str">
        <f t="shared" si="15"/>
        <v/>
      </c>
      <c r="AK482" s="251" t="str">
        <f t="shared" si="16"/>
        <v/>
      </c>
      <c r="AL482" s="251" t="str">
        <f t="shared" si="17"/>
        <v/>
      </c>
      <c r="AM482" s="251" t="str">
        <f t="shared" si="18"/>
        <v/>
      </c>
      <c r="AN482" s="251" t="str">
        <f t="shared" si="19"/>
        <v/>
      </c>
      <c r="AO482" s="251" t="str">
        <f t="shared" si="20"/>
        <v/>
      </c>
      <c r="AP482" s="251" t="str">
        <f t="shared" si="21"/>
        <v/>
      </c>
      <c r="AQ482" s="251" t="str">
        <f t="shared" si="22"/>
        <v/>
      </c>
      <c r="AR482" s="251" t="str">
        <f t="shared" si="23"/>
        <v/>
      </c>
      <c r="AS482" s="251" t="str">
        <f t="shared" si="24"/>
        <v/>
      </c>
      <c r="AT482" s="251" t="str">
        <f t="shared" si="25"/>
        <v/>
      </c>
      <c r="AU482" s="251" t="str">
        <f t="shared" si="26"/>
        <v/>
      </c>
      <c r="AV482" s="251" t="str">
        <f t="shared" si="27"/>
        <v/>
      </c>
      <c r="AW482" s="251" t="str">
        <f t="shared" si="28"/>
        <v/>
      </c>
      <c r="AX482" s="251" t="str">
        <f t="shared" si="29"/>
        <v/>
      </c>
      <c r="AY482" s="251" t="str">
        <f t="shared" si="30"/>
        <v/>
      </c>
      <c r="AZ482" s="251" t="str">
        <f t="shared" si="31"/>
        <v/>
      </c>
      <c r="BA482" s="251" t="str">
        <f t="shared" si="32"/>
        <v/>
      </c>
      <c r="BB482" s="251" t="str">
        <f t="shared" si="33"/>
        <v/>
      </c>
      <c r="BC482" s="251" t="str">
        <f t="shared" si="34"/>
        <v/>
      </c>
      <c r="BD482" s="251" t="str">
        <f t="shared" si="35"/>
        <v/>
      </c>
      <c r="BE482" s="251" t="str">
        <f t="shared" si="36"/>
        <v/>
      </c>
      <c r="BF482" s="251" t="str">
        <f t="shared" si="37"/>
        <v/>
      </c>
      <c r="BG482" s="251" t="str">
        <f t="shared" si="38"/>
        <v/>
      </c>
      <c r="BH482" s="251" t="str">
        <f t="shared" si="39"/>
        <v/>
      </c>
      <c r="BI482" s="251" t="str">
        <f t="shared" si="40"/>
        <v/>
      </c>
      <c r="BJ482" s="251" t="str">
        <f t="shared" si="41"/>
        <v/>
      </c>
      <c r="BK482" s="251" t="str">
        <f t="shared" si="42"/>
        <v/>
      </c>
      <c r="BL482" s="251" t="str">
        <f t="shared" si="43"/>
        <v/>
      </c>
      <c r="BM482" s="251" t="str">
        <f t="shared" si="44"/>
        <v/>
      </c>
      <c r="BN482" s="251" t="str">
        <f t="shared" si="45"/>
        <v/>
      </c>
      <c r="BO482" s="251" t="str">
        <f t="shared" si="46"/>
        <v/>
      </c>
      <c r="BP482" s="251" t="str">
        <f t="shared" si="47"/>
        <v/>
      </c>
      <c r="BQ482" s="251" t="str">
        <f t="shared" si="48"/>
        <v/>
      </c>
      <c r="BR482" s="251" t="str">
        <f t="shared" si="49"/>
        <v/>
      </c>
      <c r="BS482" s="251" t="str">
        <f t="shared" si="50"/>
        <v/>
      </c>
      <c r="BT482" s="251" t="str">
        <f t="shared" si="51"/>
        <v/>
      </c>
      <c r="BU482" s="251" t="str">
        <f t="shared" si="52"/>
        <v/>
      </c>
      <c r="BV482" s="251" t="str">
        <f t="shared" si="53"/>
        <v/>
      </c>
      <c r="BW482" s="251" t="str">
        <f t="shared" si="54"/>
        <v/>
      </c>
      <c r="BX482" s="251" t="str">
        <f t="shared" si="55"/>
        <v/>
      </c>
      <c r="BY482" s="251" t="str">
        <f t="shared" si="56"/>
        <v/>
      </c>
      <c r="BZ482" s="251" t="str">
        <f t="shared" si="57"/>
        <v/>
      </c>
      <c r="CA482" s="251" t="str">
        <f t="shared" si="58"/>
        <v/>
      </c>
      <c r="CB482" s="251" t="str">
        <f t="shared" si="59"/>
        <v/>
      </c>
      <c r="CC482" s="251" t="str">
        <f t="shared" si="60"/>
        <v/>
      </c>
      <c r="CD482" s="251" t="str">
        <f t="shared" si="61"/>
        <v/>
      </c>
      <c r="CE482" s="251" t="str">
        <f t="shared" si="62"/>
        <v/>
      </c>
      <c r="CF482" s="251" t="str">
        <f t="shared" si="63"/>
        <v/>
      </c>
      <c r="CG482" s="251" t="str">
        <f t="shared" si="64"/>
        <v/>
      </c>
      <c r="CH482" s="251" t="str">
        <f t="shared" si="65"/>
        <v/>
      </c>
      <c r="CI482" s="251" t="str">
        <f t="shared" si="66"/>
        <v/>
      </c>
      <c r="CJ482" s="251" t="str">
        <f t="shared" si="67"/>
        <v/>
      </c>
      <c r="CK482" s="251" t="str">
        <f t="shared" si="68"/>
        <v/>
      </c>
      <c r="CL482" s="251" t="str">
        <f t="shared" si="69"/>
        <v/>
      </c>
      <c r="CM482" s="251" t="str">
        <f t="shared" si="70"/>
        <v/>
      </c>
      <c r="CN482" s="251" t="str">
        <f t="shared" si="71"/>
        <v/>
      </c>
      <c r="CO482" s="251" t="str">
        <f t="shared" si="72"/>
        <v/>
      </c>
      <c r="CP482" s="251" t="str">
        <f t="shared" si="73"/>
        <v/>
      </c>
      <c r="CQ482" s="251" t="str">
        <f t="shared" si="74"/>
        <v/>
      </c>
      <c r="CR482" s="251" t="str">
        <f t="shared" si="75"/>
        <v/>
      </c>
      <c r="CS482" s="251" t="str">
        <f t="shared" si="76"/>
        <v/>
      </c>
      <c r="CT482" s="251" t="str">
        <f t="shared" si="77"/>
        <v/>
      </c>
      <c r="CU482" s="251" t="str">
        <f t="shared" si="78"/>
        <v/>
      </c>
      <c r="CV482" s="251" t="str">
        <f t="shared" si="79"/>
        <v/>
      </c>
      <c r="CW482" s="251" t="str">
        <f t="shared" si="80"/>
        <v/>
      </c>
      <c r="CX482" s="251" t="str">
        <f t="shared" si="81"/>
        <v/>
      </c>
      <c r="CY482" s="251" t="str">
        <f t="shared" si="82"/>
        <v/>
      </c>
      <c r="CZ482" s="251" t="str">
        <f t="shared" si="83"/>
        <v/>
      </c>
      <c r="DA482" s="251" t="str">
        <f t="shared" si="84"/>
        <v/>
      </c>
      <c r="DB482" s="251" t="str">
        <f t="shared" si="85"/>
        <v/>
      </c>
      <c r="DC482" s="251" t="str">
        <f t="shared" si="86"/>
        <v/>
      </c>
      <c r="DD482" s="251" t="str">
        <f t="shared" si="87"/>
        <v/>
      </c>
      <c r="DE482" s="251" t="str">
        <f t="shared" si="88"/>
        <v/>
      </c>
      <c r="DF482" s="251" t="str">
        <f t="shared" si="89"/>
        <v/>
      </c>
      <c r="DG482" s="251" t="str">
        <f t="shared" si="90"/>
        <v/>
      </c>
      <c r="DH482" s="251" t="str">
        <f t="shared" si="91"/>
        <v/>
      </c>
      <c r="DI482" s="251" t="str">
        <f t="shared" si="92"/>
        <v/>
      </c>
      <c r="DJ482" s="251" t="str">
        <f t="shared" si="93"/>
        <v/>
      </c>
      <c r="DK482" s="251" t="str">
        <f t="shared" si="94"/>
        <v/>
      </c>
      <c r="DL482" s="251" t="str">
        <f t="shared" si="95"/>
        <v/>
      </c>
      <c r="DM482" s="251" t="str">
        <f t="shared" si="96"/>
        <v/>
      </c>
      <c r="DN482" s="251" t="str">
        <f t="shared" si="97"/>
        <v/>
      </c>
      <c r="DO482" s="251" t="str">
        <f t="shared" si="98"/>
        <v/>
      </c>
      <c r="DP482" s="251" t="str">
        <f t="shared" si="99"/>
        <v/>
      </c>
      <c r="DQ482" s="251" t="str">
        <f t="shared" si="100"/>
        <v/>
      </c>
      <c r="DR482" s="251" t="str">
        <f t="shared" si="101"/>
        <v/>
      </c>
      <c r="DS482" s="251" t="str">
        <f t="shared" si="102"/>
        <v/>
      </c>
      <c r="DT482" s="251" t="str">
        <f t="shared" si="103"/>
        <v/>
      </c>
      <c r="DU482" s="251" t="str">
        <f t="shared" si="104"/>
        <v/>
      </c>
      <c r="DV482" s="251" t="str">
        <f t="shared" si="105"/>
        <v/>
      </c>
      <c r="DW482" s="251" t="str">
        <f t="shared" si="106"/>
        <v/>
      </c>
      <c r="DX482" s="251" t="str">
        <f t="shared" si="107"/>
        <v/>
      </c>
      <c r="DY482" s="251" t="str">
        <f t="shared" si="108"/>
        <v/>
      </c>
      <c r="DZ482" s="251" t="str">
        <f t="shared" si="109"/>
        <v/>
      </c>
      <c r="EA482" s="251" t="str">
        <f t="shared" si="110"/>
        <v/>
      </c>
      <c r="EB482" s="251" t="str">
        <f t="shared" si="111"/>
        <v/>
      </c>
      <c r="EC482" s="251" t="str">
        <f t="shared" si="112"/>
        <v/>
      </c>
      <c r="ED482" s="251" t="str">
        <f t="shared" si="113"/>
        <v/>
      </c>
      <c r="EE482" s="251" t="str">
        <f t="shared" si="114"/>
        <v/>
      </c>
      <c r="EF482" s="251" t="str">
        <f t="shared" si="115"/>
        <v/>
      </c>
      <c r="EG482" s="251" t="str">
        <f t="shared" si="116"/>
        <v/>
      </c>
      <c r="EH482" s="251" t="str">
        <f t="shared" si="117"/>
        <v/>
      </c>
      <c r="EI482" s="251" t="str">
        <f t="shared" si="118"/>
        <v/>
      </c>
      <c r="EJ482" s="251" t="str">
        <f t="shared" si="119"/>
        <v/>
      </c>
      <c r="EK482" s="251" t="str">
        <f t="shared" si="120"/>
        <v/>
      </c>
      <c r="EL482" s="251" t="str">
        <f t="shared" si="121"/>
        <v/>
      </c>
      <c r="EM482" s="251" t="str">
        <f t="shared" si="122"/>
        <v/>
      </c>
      <c r="EN482" s="251" t="str">
        <f t="shared" si="123"/>
        <v/>
      </c>
      <c r="EO482" s="251" t="str">
        <f t="shared" si="124"/>
        <v/>
      </c>
      <c r="EP482" s="251" t="str">
        <f t="shared" si="125"/>
        <v/>
      </c>
      <c r="EQ482" s="251" t="str">
        <f t="shared" si="126"/>
        <v/>
      </c>
      <c r="ER482" s="251" t="str">
        <f t="shared" si="127"/>
        <v/>
      </c>
      <c r="ES482" s="251" t="str">
        <f t="shared" si="128"/>
        <v/>
      </c>
      <c r="ET482" s="251" t="str">
        <f t="shared" si="129"/>
        <v/>
      </c>
      <c r="EU482" s="251" t="str">
        <f t="shared" si="130"/>
        <v/>
      </c>
      <c r="EV482" s="251" t="str">
        <f t="shared" si="131"/>
        <v/>
      </c>
      <c r="EW482" s="251" t="str">
        <f t="shared" si="132"/>
        <v/>
      </c>
      <c r="EX482" s="251" t="str">
        <f t="shared" si="133"/>
        <v/>
      </c>
      <c r="EY482" s="251" t="str">
        <f t="shared" si="134"/>
        <v/>
      </c>
      <c r="EZ482" s="251" t="str">
        <f t="shared" si="135"/>
        <v/>
      </c>
      <c r="FA482" s="251" t="str">
        <f t="shared" si="136"/>
        <v/>
      </c>
      <c r="FB482" s="251" t="str">
        <f t="shared" si="137"/>
        <v/>
      </c>
      <c r="FC482" s="251" t="str">
        <f t="shared" si="138"/>
        <v/>
      </c>
      <c r="FD482" s="251" t="str">
        <f t="shared" si="139"/>
        <v/>
      </c>
      <c r="FE482" s="251" t="str">
        <f t="shared" si="140"/>
        <v/>
      </c>
      <c r="FF482" s="251" t="str">
        <f t="shared" si="141"/>
        <v/>
      </c>
      <c r="FG482" s="251" t="str">
        <f t="shared" si="142"/>
        <v/>
      </c>
      <c r="FH482" s="251" t="str">
        <f t="shared" si="143"/>
        <v/>
      </c>
      <c r="FI482" s="251" t="str">
        <f t="shared" si="144"/>
        <v/>
      </c>
      <c r="FJ482" s="251" t="str">
        <f t="shared" si="145"/>
        <v/>
      </c>
      <c r="FK482" s="251" t="str">
        <f t="shared" si="146"/>
        <v/>
      </c>
      <c r="FL482" s="251" t="str">
        <f t="shared" si="147"/>
        <v/>
      </c>
      <c r="FM482" s="251" t="str">
        <f t="shared" si="148"/>
        <v/>
      </c>
      <c r="FN482" s="251" t="str">
        <f t="shared" si="149"/>
        <v/>
      </c>
      <c r="FO482" s="251" t="str">
        <f t="shared" si="150"/>
        <v/>
      </c>
      <c r="FP482" s="251" t="str">
        <f t="shared" si="151"/>
        <v/>
      </c>
      <c r="FQ482" s="251" t="str">
        <f t="shared" si="152"/>
        <v/>
      </c>
      <c r="FR482" s="251" t="str">
        <f t="shared" si="153"/>
        <v/>
      </c>
      <c r="FS482" s="251" t="str">
        <f t="shared" si="154"/>
        <v/>
      </c>
      <c r="FT482" s="251" t="str">
        <f t="shared" si="155"/>
        <v/>
      </c>
      <c r="FU482" s="251" t="str">
        <f t="shared" si="156"/>
        <v/>
      </c>
      <c r="FV482" s="251" t="str">
        <f t="shared" si="157"/>
        <v/>
      </c>
      <c r="FW482" s="251" t="str">
        <f t="shared" si="158"/>
        <v/>
      </c>
      <c r="FX482" s="251" t="str">
        <f t="shared" si="159"/>
        <v/>
      </c>
      <c r="FY482" s="251" t="str">
        <f t="shared" si="160"/>
        <v/>
      </c>
      <c r="FZ482" s="251" t="str">
        <f t="shared" si="161"/>
        <v/>
      </c>
      <c r="GA482" s="251" t="str">
        <f t="shared" si="162"/>
        <v/>
      </c>
      <c r="GB482" s="251" t="str">
        <f t="shared" si="163"/>
        <v/>
      </c>
      <c r="GC482" s="251" t="str">
        <f t="shared" si="164"/>
        <v/>
      </c>
      <c r="GD482" s="251" t="str">
        <f t="shared" si="165"/>
        <v/>
      </c>
      <c r="GE482" s="251" t="str">
        <f t="shared" si="166"/>
        <v/>
      </c>
      <c r="GF482" s="251" t="str">
        <f t="shared" si="167"/>
        <v/>
      </c>
      <c r="GG482" s="251" t="str">
        <f t="shared" si="168"/>
        <v/>
      </c>
      <c r="GH482" s="251" t="str">
        <f t="shared" si="169"/>
        <v/>
      </c>
      <c r="GI482" s="251" t="str">
        <f t="shared" si="170"/>
        <v/>
      </c>
      <c r="GJ482" s="251" t="str">
        <f t="shared" si="171"/>
        <v/>
      </c>
      <c r="GK482" s="251" t="str">
        <f t="shared" si="172"/>
        <v/>
      </c>
      <c r="GL482" s="251" t="str">
        <f t="shared" si="173"/>
        <v/>
      </c>
      <c r="GM482" s="251" t="str">
        <f t="shared" si="174"/>
        <v/>
      </c>
      <c r="GN482" s="251" t="str">
        <f t="shared" si="175"/>
        <v/>
      </c>
      <c r="GO482" s="251" t="str">
        <f t="shared" si="176"/>
        <v/>
      </c>
      <c r="GP482" s="251" t="str">
        <f t="shared" si="177"/>
        <v/>
      </c>
      <c r="GQ482" s="251" t="str">
        <f t="shared" si="178"/>
        <v/>
      </c>
      <c r="GR482" s="251" t="str">
        <f t="shared" si="179"/>
        <v/>
      </c>
      <c r="GS482" s="251" t="str">
        <f t="shared" si="180"/>
        <v/>
      </c>
      <c r="GT482" s="251" t="str">
        <f t="shared" si="181"/>
        <v/>
      </c>
      <c r="GU482" s="251" t="str">
        <f t="shared" si="182"/>
        <v/>
      </c>
      <c r="GV482" s="251" t="str">
        <f t="shared" si="183"/>
        <v/>
      </c>
      <c r="GW482" s="251" t="str">
        <f t="shared" si="184"/>
        <v/>
      </c>
      <c r="GX482" s="251" t="str">
        <f t="shared" si="185"/>
        <v/>
      </c>
      <c r="GY482" s="251" t="str">
        <f t="shared" si="186"/>
        <v/>
      </c>
      <c r="GZ482" s="251" t="str">
        <f t="shared" si="187"/>
        <v/>
      </c>
      <c r="HA482" s="251" t="str">
        <f t="shared" si="188"/>
        <v/>
      </c>
      <c r="HB482" s="251" t="str">
        <f t="shared" si="189"/>
        <v/>
      </c>
      <c r="HC482" s="251" t="str">
        <f t="shared" si="190"/>
        <v/>
      </c>
      <c r="HD482" s="251" t="str">
        <f t="shared" si="191"/>
        <v/>
      </c>
      <c r="HE482" s="251" t="str">
        <f t="shared" si="192"/>
        <v/>
      </c>
      <c r="HF482" s="251" t="str">
        <f t="shared" si="193"/>
        <v/>
      </c>
      <c r="HG482" s="251" t="str">
        <f t="shared" si="194"/>
        <v/>
      </c>
      <c r="HH482" s="251" t="str">
        <f t="shared" si="195"/>
        <v/>
      </c>
      <c r="HI482" s="251" t="str">
        <f t="shared" si="196"/>
        <v/>
      </c>
      <c r="HJ482" s="251" t="str">
        <f t="shared" si="197"/>
        <v/>
      </c>
      <c r="HK482" s="251" t="str">
        <f t="shared" si="198"/>
        <v/>
      </c>
      <c r="HL482" s="251" t="str">
        <f t="shared" si="199"/>
        <v/>
      </c>
      <c r="HM482" s="251" t="str">
        <f t="shared" si="200"/>
        <v/>
      </c>
      <c r="HN482" s="251" t="str">
        <f t="shared" si="201"/>
        <v/>
      </c>
      <c r="HO482" s="251" t="str">
        <f t="shared" si="202"/>
        <v/>
      </c>
      <c r="HP482" s="251" t="str">
        <f t="shared" si="203"/>
        <v/>
      </c>
      <c r="HQ482" s="251" t="str">
        <f t="shared" si="204"/>
        <v/>
      </c>
      <c r="HR482" s="251" t="str">
        <f t="shared" si="205"/>
        <v/>
      </c>
      <c r="HS482" s="251" t="str">
        <f t="shared" si="206"/>
        <v/>
      </c>
      <c r="HT482" s="251" t="str">
        <f t="shared" si="207"/>
        <v/>
      </c>
      <c r="HU482" s="251" t="str">
        <f t="shared" si="208"/>
        <v/>
      </c>
      <c r="HV482" s="251" t="str">
        <f t="shared" si="209"/>
        <v/>
      </c>
      <c r="HW482" s="251" t="str">
        <f t="shared" si="210"/>
        <v/>
      </c>
      <c r="HX482" s="251" t="str">
        <f t="shared" si="211"/>
        <v/>
      </c>
      <c r="HY482" s="251" t="str">
        <f t="shared" si="212"/>
        <v/>
      </c>
      <c r="HZ482" s="251" t="str">
        <f t="shared" si="213"/>
        <v/>
      </c>
      <c r="IA482" s="251" t="str">
        <f t="shared" si="214"/>
        <v/>
      </c>
      <c r="IB482" s="251" t="str">
        <f t="shared" si="215"/>
        <v/>
      </c>
      <c r="IC482" s="251" t="str">
        <f t="shared" si="216"/>
        <v/>
      </c>
      <c r="ID482" s="251" t="str">
        <f t="shared" si="217"/>
        <v/>
      </c>
      <c r="IE482" s="251" t="str">
        <f t="shared" si="218"/>
        <v/>
      </c>
      <c r="IF482" s="251" t="str">
        <f t="shared" si="219"/>
        <v/>
      </c>
      <c r="IG482" s="251" t="str">
        <f t="shared" si="220"/>
        <v/>
      </c>
      <c r="IH482" s="251" t="str">
        <f t="shared" si="221"/>
        <v/>
      </c>
      <c r="II482" s="251" t="str">
        <f t="shared" si="222"/>
        <v/>
      </c>
      <c r="IJ482" s="251" t="str">
        <f t="shared" si="223"/>
        <v/>
      </c>
      <c r="IK482" s="251" t="str">
        <f t="shared" si="224"/>
        <v/>
      </c>
      <c r="IL482" s="251" t="str">
        <f t="shared" si="225"/>
        <v/>
      </c>
      <c r="IM482" s="251" t="str">
        <f t="shared" si="226"/>
        <v/>
      </c>
      <c r="IN482" s="251" t="str">
        <f t="shared" si="227"/>
        <v/>
      </c>
      <c r="IO482" s="251" t="str">
        <f t="shared" si="228"/>
        <v/>
      </c>
      <c r="IP482" s="251" t="str">
        <f t="shared" si="229"/>
        <v/>
      </c>
      <c r="IQ482" s="251" t="str">
        <f t="shared" si="230"/>
        <v/>
      </c>
      <c r="IR482" s="251" t="str">
        <f t="shared" si="231"/>
        <v/>
      </c>
      <c r="IS482" s="251" t="str">
        <f t="shared" si="232"/>
        <v/>
      </c>
      <c r="IT482" s="251" t="str">
        <f t="shared" si="233"/>
        <v/>
      </c>
      <c r="IU482" s="251" t="str">
        <f t="shared" si="234"/>
        <v/>
      </c>
      <c r="IV482" s="251" t="str">
        <f t="shared" si="235"/>
        <v/>
      </c>
      <c r="IW482" s="251" t="str">
        <f t="shared" si="236"/>
        <v/>
      </c>
      <c r="IX482" s="251" t="str">
        <f t="shared" si="237"/>
        <v/>
      </c>
      <c r="IY482" s="251" t="str">
        <f t="shared" si="238"/>
        <v/>
      </c>
      <c r="IZ482" s="251" t="str">
        <f t="shared" si="239"/>
        <v/>
      </c>
      <c r="JA482" s="251" t="str">
        <f t="shared" si="240"/>
        <v/>
      </c>
      <c r="JB482" s="251" t="str">
        <f t="shared" si="241"/>
        <v/>
      </c>
      <c r="JC482" s="251" t="str">
        <f t="shared" si="242"/>
        <v/>
      </c>
      <c r="JD482" s="251" t="str">
        <f t="shared" si="243"/>
        <v/>
      </c>
      <c r="JE482" s="251" t="str">
        <f t="shared" si="244"/>
        <v/>
      </c>
      <c r="JF482" s="251" t="str">
        <f t="shared" si="245"/>
        <v/>
      </c>
      <c r="JG482" s="251" t="str">
        <f t="shared" si="246"/>
        <v/>
      </c>
      <c r="JH482" s="251" t="str">
        <f t="shared" si="247"/>
        <v/>
      </c>
      <c r="JI482" s="1297" t="str">
        <f t="shared" si="248"/>
        <v/>
      </c>
      <c r="JJ482" s="1297" t="str">
        <f t="shared" si="249"/>
        <v/>
      </c>
      <c r="JK482" s="1297" t="str">
        <f t="shared" si="250"/>
        <v/>
      </c>
      <c r="JL482" s="1297" t="str">
        <f t="shared" si="251"/>
        <v/>
      </c>
      <c r="JM482" s="1297" t="str">
        <f t="shared" si="252"/>
        <v/>
      </c>
      <c r="JN482" s="1297" t="str">
        <f t="shared" si="253"/>
        <v/>
      </c>
      <c r="JO482" s="1297" t="str">
        <f t="shared" si="254"/>
        <v/>
      </c>
      <c r="JP482" s="1297" t="str">
        <f t="shared" si="255"/>
        <v/>
      </c>
      <c r="JQ482" s="1297" t="str">
        <f t="shared" si="256"/>
        <v/>
      </c>
      <c r="JR482" s="1297" t="str">
        <f t="shared" si="257"/>
        <v/>
      </c>
      <c r="JS482" s="1297" t="str">
        <f t="shared" si="258"/>
        <v/>
      </c>
      <c r="JT482" s="1297" t="str">
        <f t="shared" si="259"/>
        <v/>
      </c>
      <c r="JU482" s="1297" t="str">
        <f t="shared" si="260"/>
        <v/>
      </c>
      <c r="JV482" s="1297" t="str">
        <f t="shared" si="261"/>
        <v/>
      </c>
      <c r="JW482" s="1297" t="str">
        <f t="shared" si="262"/>
        <v/>
      </c>
      <c r="JX482" s="1297" t="str">
        <f t="shared" si="263"/>
        <v/>
      </c>
      <c r="JY482" s="1297" t="str">
        <f t="shared" si="264"/>
        <v/>
      </c>
      <c r="JZ482" s="1297" t="str">
        <f t="shared" si="265"/>
        <v/>
      </c>
      <c r="KA482" s="1297" t="str">
        <f t="shared" si="266"/>
        <v/>
      </c>
      <c r="KB482" s="1297" t="str">
        <f t="shared" si="267"/>
        <v/>
      </c>
      <c r="KC482" s="1297" t="str">
        <f t="shared" si="268"/>
        <v/>
      </c>
      <c r="KD482" s="1297" t="str">
        <f t="shared" si="269"/>
        <v/>
      </c>
      <c r="KE482" s="1297" t="str">
        <f t="shared" si="270"/>
        <v/>
      </c>
      <c r="KF482" s="1297" t="str">
        <f t="shared" si="271"/>
        <v/>
      </c>
      <c r="KG482" s="1297" t="str">
        <f t="shared" si="272"/>
        <v/>
      </c>
      <c r="KH482" s="1297" t="str">
        <f t="shared" si="273"/>
        <v/>
      </c>
      <c r="KI482" s="1297" t="str">
        <f t="shared" si="274"/>
        <v/>
      </c>
      <c r="KJ482" s="1297" t="str">
        <f t="shared" si="275"/>
        <v/>
      </c>
      <c r="KK482" s="1297" t="str">
        <f t="shared" si="276"/>
        <v/>
      </c>
      <c r="KL482" s="1297" t="str">
        <f t="shared" si="277"/>
        <v/>
      </c>
      <c r="KM482" s="1297" t="str">
        <f t="shared" si="278"/>
        <v/>
      </c>
      <c r="KN482" s="1297" t="str">
        <f t="shared" si="279"/>
        <v/>
      </c>
      <c r="KO482" s="1297" t="str">
        <f t="shared" si="280"/>
        <v/>
      </c>
      <c r="KP482" s="1297" t="str">
        <f t="shared" si="281"/>
        <v/>
      </c>
      <c r="KQ482" s="1297" t="str">
        <f t="shared" si="282"/>
        <v/>
      </c>
      <c r="KR482" s="1297" t="str">
        <f t="shared" si="283"/>
        <v/>
      </c>
      <c r="KS482" s="1297" t="str">
        <f t="shared" si="284"/>
        <v/>
      </c>
      <c r="KT482" s="1297" t="str">
        <f t="shared" si="285"/>
        <v/>
      </c>
      <c r="KU482" s="1297" t="str">
        <f t="shared" si="286"/>
        <v/>
      </c>
      <c r="KV482" s="1297" t="str">
        <f t="shared" si="287"/>
        <v/>
      </c>
      <c r="KW482" s="1297" t="str">
        <f t="shared" si="288"/>
        <v/>
      </c>
      <c r="KX482" s="1297" t="str">
        <f t="shared" si="289"/>
        <v/>
      </c>
      <c r="KY482" s="1297" t="str">
        <f t="shared" si="290"/>
        <v/>
      </c>
      <c r="KZ482" s="1297" t="str">
        <f t="shared" si="291"/>
        <v/>
      </c>
      <c r="LA482" s="1297" t="str">
        <f t="shared" si="292"/>
        <v/>
      </c>
      <c r="LB482" s="1297" t="str">
        <f t="shared" si="293"/>
        <v/>
      </c>
      <c r="LC482" s="1297" t="str">
        <f t="shared" si="294"/>
        <v/>
      </c>
      <c r="LD482" s="1297" t="str">
        <f t="shared" si="295"/>
        <v/>
      </c>
      <c r="LE482" s="1297" t="str">
        <f t="shared" si="296"/>
        <v/>
      </c>
      <c r="LF482" s="1297" t="str">
        <f t="shared" si="297"/>
        <v/>
      </c>
      <c r="LG482" s="1297" t="str">
        <f t="shared" si="298"/>
        <v/>
      </c>
      <c r="LH482" s="1297" t="str">
        <f t="shared" si="299"/>
        <v/>
      </c>
      <c r="LI482" s="1297" t="str">
        <f t="shared" si="300"/>
        <v/>
      </c>
      <c r="LJ482" s="1297" t="str">
        <f t="shared" si="301"/>
        <v/>
      </c>
      <c r="LK482" s="1297" t="str">
        <f t="shared" si="302"/>
        <v/>
      </c>
      <c r="LL482" s="1297" t="str">
        <f t="shared" si="303"/>
        <v/>
      </c>
      <c r="LM482" s="1297" t="str">
        <f t="shared" si="304"/>
        <v/>
      </c>
      <c r="LN482" s="1297" t="str">
        <f t="shared" si="305"/>
        <v/>
      </c>
      <c r="LO482" s="1297" t="str">
        <f t="shared" si="306"/>
        <v/>
      </c>
      <c r="LP482" s="1297" t="str">
        <f t="shared" si="307"/>
        <v/>
      </c>
      <c r="LQ482" s="1297" t="str">
        <f t="shared" si="308"/>
        <v/>
      </c>
      <c r="LR482" s="1297" t="str">
        <f t="shared" si="309"/>
        <v/>
      </c>
      <c r="LS482" s="1297" t="str">
        <f t="shared" si="310"/>
        <v/>
      </c>
      <c r="LT482" s="1297" t="str">
        <f t="shared" si="311"/>
        <v/>
      </c>
      <c r="LU482" s="1297" t="str">
        <f t="shared" si="312"/>
        <v/>
      </c>
      <c r="LV482" s="1297" t="str">
        <f t="shared" si="313"/>
        <v/>
      </c>
      <c r="LW482" s="1297" t="str">
        <f t="shared" si="314"/>
        <v/>
      </c>
      <c r="LX482" s="1297" t="str">
        <f t="shared" si="315"/>
        <v/>
      </c>
      <c r="LY482" s="1297" t="str">
        <f t="shared" si="316"/>
        <v/>
      </c>
      <c r="LZ482" s="1297" t="str">
        <f t="shared" si="317"/>
        <v/>
      </c>
      <c r="MA482" s="1297" t="str">
        <f t="shared" si="318"/>
        <v/>
      </c>
      <c r="MB482" s="1297" t="str">
        <f t="shared" si="319"/>
        <v/>
      </c>
      <c r="MC482" s="1297" t="str">
        <f t="shared" si="320"/>
        <v/>
      </c>
      <c r="MD482" s="1297" t="str">
        <f t="shared" si="321"/>
        <v/>
      </c>
      <c r="ME482" s="1297" t="str">
        <f t="shared" si="322"/>
        <v/>
      </c>
      <c r="MF482" s="1297" t="str">
        <f t="shared" si="323"/>
        <v/>
      </c>
      <c r="MG482" s="1297" t="str">
        <f t="shared" si="324"/>
        <v/>
      </c>
      <c r="MH482" s="1297" t="str">
        <f t="shared" si="325"/>
        <v/>
      </c>
      <c r="MI482" s="1297" t="str">
        <f t="shared" si="326"/>
        <v/>
      </c>
      <c r="MJ482" s="1297" t="str">
        <f t="shared" si="327"/>
        <v/>
      </c>
      <c r="MK482" s="1297" t="str">
        <f t="shared" si="328"/>
        <v/>
      </c>
      <c r="ML482" s="1297" t="str">
        <f t="shared" si="329"/>
        <v/>
      </c>
      <c r="MM482" s="1297" t="str">
        <f t="shared" si="330"/>
        <v/>
      </c>
      <c r="MN482" s="1297" t="str">
        <f t="shared" si="331"/>
        <v/>
      </c>
      <c r="MO482" s="1297" t="str">
        <f t="shared" si="332"/>
        <v/>
      </c>
      <c r="MP482" s="1773" t="str">
        <f t="shared" si="333"/>
        <v/>
      </c>
      <c r="MQ482" s="1773" t="str">
        <f t="shared" si="334"/>
        <v/>
      </c>
      <c r="MR482" s="1773" t="str">
        <f t="shared" si="335"/>
        <v/>
      </c>
      <c r="MS482" s="1773" t="str">
        <f t="shared" si="336"/>
        <v/>
      </c>
      <c r="MT482" s="1773" t="str">
        <f t="shared" si="337"/>
        <v/>
      </c>
      <c r="MU482" s="251" t="str">
        <f t="shared" si="338"/>
        <v/>
      </c>
      <c r="MV482" s="251" t="str">
        <f t="shared" si="339"/>
        <v/>
      </c>
      <c r="MW482" s="251" t="str">
        <f t="shared" si="340"/>
        <v/>
      </c>
      <c r="MX482" s="251" t="str">
        <f t="shared" si="341"/>
        <v/>
      </c>
      <c r="MY482" s="251" t="str">
        <f t="shared" si="342"/>
        <v/>
      </c>
      <c r="MZ482" s="251" t="str">
        <f t="shared" si="343"/>
        <v/>
      </c>
      <c r="NA482" s="251" t="str">
        <f t="shared" si="344"/>
        <v/>
      </c>
      <c r="NB482" s="251" t="str">
        <f t="shared" si="345"/>
        <v/>
      </c>
      <c r="NC482" s="251" t="str">
        <f t="shared" si="346"/>
        <v/>
      </c>
      <c r="ND482" s="251" t="str">
        <f t="shared" si="347"/>
        <v/>
      </c>
      <c r="NE482" s="251" t="str">
        <f t="shared" si="348"/>
        <v/>
      </c>
      <c r="NF482" s="251" t="str">
        <f t="shared" si="349"/>
        <v/>
      </c>
      <c r="NG482" s="251" t="str">
        <f t="shared" si="350"/>
        <v/>
      </c>
      <c r="NH482" s="251" t="str">
        <f t="shared" si="351"/>
        <v/>
      </c>
      <c r="NI482" s="251" t="str">
        <f t="shared" si="352"/>
        <v/>
      </c>
      <c r="NJ482" s="251" t="str">
        <f t="shared" si="353"/>
        <v/>
      </c>
      <c r="NK482" s="251" t="str">
        <f t="shared" si="354"/>
        <v/>
      </c>
      <c r="NL482" s="251" t="str">
        <f t="shared" si="355"/>
        <v/>
      </c>
      <c r="NM482" s="251" t="str">
        <f t="shared" si="356"/>
        <v/>
      </c>
      <c r="NN482" s="251" t="str">
        <f t="shared" si="357"/>
        <v/>
      </c>
      <c r="NO482" s="1185">
        <f t="shared" si="358"/>
        <v>0</v>
      </c>
      <c r="NP482" s="1185">
        <f t="shared" si="359"/>
        <v>0</v>
      </c>
      <c r="NQ482" s="1185">
        <f t="shared" si="360"/>
        <v>0</v>
      </c>
      <c r="NR482" s="1185">
        <f t="shared" si="361"/>
        <v>0</v>
      </c>
      <c r="NS482" s="1185">
        <f t="shared" si="362"/>
        <v>0</v>
      </c>
      <c r="NT482" s="1185">
        <f t="shared" si="368"/>
        <v>0</v>
      </c>
      <c r="NU482" s="1185">
        <f t="shared" si="369"/>
        <v>0</v>
      </c>
      <c r="NV482" s="1185">
        <f t="shared" si="370"/>
        <v>0</v>
      </c>
      <c r="NW482" s="1185">
        <f t="shared" si="371"/>
        <v>0</v>
      </c>
      <c r="NX482" s="1185">
        <f t="shared" si="372"/>
        <v>0</v>
      </c>
      <c r="NY482" s="1185">
        <f t="shared" si="363"/>
        <v>0</v>
      </c>
      <c r="NZ482" s="1185">
        <f t="shared" si="364"/>
        <v>0</v>
      </c>
      <c r="OA482" s="1185">
        <f t="shared" si="365"/>
        <v>0</v>
      </c>
      <c r="OB482" s="1185">
        <f t="shared" si="366"/>
        <v>0</v>
      </c>
      <c r="OC482" s="1185">
        <f t="shared" si="367"/>
        <v>0</v>
      </c>
      <c r="OY482" s="251" t="s">
        <v>1177</v>
      </c>
      <c r="OZ482" s="1296">
        <v>29</v>
      </c>
    </row>
    <row r="483" spans="1:416" ht="12" customHeight="1">
      <c r="A483" s="1979" t="str">
        <f t="shared" si="0"/>
        <v/>
      </c>
      <c r="B483" s="1998">
        <f>'Part V-Revenues &amp; Expenses'!B30</f>
        <v>60</v>
      </c>
      <c r="C483" s="1999">
        <f>'Part V-Revenues &amp; Expenses'!C30</f>
        <v>1</v>
      </c>
      <c r="D483" s="2000">
        <f>'Part V-Revenues &amp; Expenses'!D30</f>
        <v>1</v>
      </c>
      <c r="E483" s="2001">
        <f>'Part V-Revenues &amp; Expenses'!E30</f>
        <v>6</v>
      </c>
      <c r="F483" s="2001">
        <f>'Part V-Revenues &amp; Expenses'!F30</f>
        <v>769</v>
      </c>
      <c r="G483" s="2001">
        <f>'Part V-Revenues &amp; Expenses'!G30</f>
        <v>927</v>
      </c>
      <c r="H483" s="2001">
        <f>'Part V-Revenues &amp; Expenses'!H30</f>
        <v>917</v>
      </c>
      <c r="I483" s="2001">
        <f>'Part V-Revenues &amp; Expenses'!I30</f>
        <v>0</v>
      </c>
      <c r="J483" s="2001">
        <f>'Part V-Revenues &amp; Expenses'!J30</f>
        <v>175</v>
      </c>
      <c r="K483" s="2002">
        <f>'Part V-Revenues &amp; Expenses'!K30</f>
        <v>0</v>
      </c>
      <c r="L483" s="2003">
        <f t="shared" si="1"/>
        <v>742</v>
      </c>
      <c r="M483" s="2003">
        <f t="shared" si="2"/>
        <v>4452</v>
      </c>
      <c r="N483" s="1853" t="str">
        <f>'Part V-Revenues &amp; Expenses'!N30</f>
        <v>No</v>
      </c>
      <c r="O483" s="899" t="str">
        <f>'Part V-Revenues &amp; Expenses'!O30</f>
        <v>Low-Rise Apt</v>
      </c>
      <c r="P483" s="1853" t="str">
        <f>'Part V-Revenues &amp; Expenses'!P30</f>
        <v>Acquisition/Rehab</v>
      </c>
      <c r="Q483" s="1772" t="str">
        <f>'Part V-Revenues &amp; Expenses'!Q30</f>
        <v>No</v>
      </c>
      <c r="R483" s="2004"/>
      <c r="S483" s="2005"/>
      <c r="T483" s="1920"/>
      <c r="U483" s="1920"/>
      <c r="V483" s="1920"/>
      <c r="W483" s="1920"/>
      <c r="X483" s="251" t="str">
        <f t="shared" si="3"/>
        <v/>
      </c>
      <c r="Y483" s="251" t="str">
        <f t="shared" si="4"/>
        <v/>
      </c>
      <c r="Z483" s="251" t="str">
        <f t="shared" si="5"/>
        <v/>
      </c>
      <c r="AA483" s="251" t="str">
        <f t="shared" si="6"/>
        <v/>
      </c>
      <c r="AB483" s="251" t="str">
        <f t="shared" si="7"/>
        <v/>
      </c>
      <c r="AC483" s="251" t="str">
        <f t="shared" si="8"/>
        <v/>
      </c>
      <c r="AD483" s="251" t="str">
        <f t="shared" si="9"/>
        <v/>
      </c>
      <c r="AE483" s="251" t="str">
        <f t="shared" si="10"/>
        <v/>
      </c>
      <c r="AF483" s="251" t="str">
        <f t="shared" si="11"/>
        <v/>
      </c>
      <c r="AG483" s="251" t="str">
        <f t="shared" si="12"/>
        <v/>
      </c>
      <c r="AH483" s="251" t="str">
        <f t="shared" si="13"/>
        <v/>
      </c>
      <c r="AI483" s="251">
        <f t="shared" si="14"/>
        <v>6</v>
      </c>
      <c r="AJ483" s="251" t="str">
        <f t="shared" si="15"/>
        <v/>
      </c>
      <c r="AK483" s="251" t="str">
        <f t="shared" si="16"/>
        <v/>
      </c>
      <c r="AL483" s="251" t="str">
        <f t="shared" si="17"/>
        <v/>
      </c>
      <c r="AM483" s="251" t="str">
        <f t="shared" si="18"/>
        <v/>
      </c>
      <c r="AN483" s="251" t="str">
        <f t="shared" si="19"/>
        <v/>
      </c>
      <c r="AO483" s="251" t="str">
        <f t="shared" si="20"/>
        <v/>
      </c>
      <c r="AP483" s="251" t="str">
        <f t="shared" si="21"/>
        <v/>
      </c>
      <c r="AQ483" s="251" t="str">
        <f t="shared" si="22"/>
        <v/>
      </c>
      <c r="AR483" s="251" t="str">
        <f t="shared" si="23"/>
        <v/>
      </c>
      <c r="AS483" s="251" t="str">
        <f t="shared" si="24"/>
        <v/>
      </c>
      <c r="AT483" s="251" t="str">
        <f t="shared" si="25"/>
        <v/>
      </c>
      <c r="AU483" s="251" t="str">
        <f t="shared" si="26"/>
        <v/>
      </c>
      <c r="AV483" s="251" t="str">
        <f t="shared" si="27"/>
        <v/>
      </c>
      <c r="AW483" s="251" t="str">
        <f t="shared" si="28"/>
        <v/>
      </c>
      <c r="AX483" s="251" t="str">
        <f t="shared" si="29"/>
        <v/>
      </c>
      <c r="AY483" s="251" t="str">
        <f t="shared" si="30"/>
        <v/>
      </c>
      <c r="AZ483" s="251" t="str">
        <f t="shared" si="31"/>
        <v/>
      </c>
      <c r="BA483" s="251" t="str">
        <f t="shared" si="32"/>
        <v/>
      </c>
      <c r="BB483" s="251" t="str">
        <f t="shared" si="33"/>
        <v/>
      </c>
      <c r="BC483" s="251" t="str">
        <f t="shared" si="34"/>
        <v/>
      </c>
      <c r="BD483" s="251" t="str">
        <f t="shared" si="35"/>
        <v/>
      </c>
      <c r="BE483" s="251" t="str">
        <f t="shared" si="36"/>
        <v/>
      </c>
      <c r="BF483" s="251" t="str">
        <f t="shared" si="37"/>
        <v/>
      </c>
      <c r="BG483" s="251" t="str">
        <f t="shared" si="38"/>
        <v/>
      </c>
      <c r="BH483" s="251" t="str">
        <f t="shared" si="39"/>
        <v/>
      </c>
      <c r="BI483" s="251" t="str">
        <f t="shared" si="40"/>
        <v/>
      </c>
      <c r="BJ483" s="251" t="str">
        <f t="shared" si="41"/>
        <v/>
      </c>
      <c r="BK483" s="251" t="str">
        <f t="shared" si="42"/>
        <v/>
      </c>
      <c r="BL483" s="251" t="str">
        <f t="shared" si="43"/>
        <v/>
      </c>
      <c r="BM483" s="251" t="str">
        <f t="shared" si="44"/>
        <v/>
      </c>
      <c r="BN483" s="251" t="str">
        <f t="shared" si="45"/>
        <v/>
      </c>
      <c r="BO483" s="251" t="str">
        <f t="shared" si="46"/>
        <v/>
      </c>
      <c r="BP483" s="251" t="str">
        <f t="shared" si="47"/>
        <v/>
      </c>
      <c r="BQ483" s="251" t="str">
        <f t="shared" si="48"/>
        <v/>
      </c>
      <c r="BR483" s="251" t="str">
        <f t="shared" si="49"/>
        <v/>
      </c>
      <c r="BS483" s="251" t="str">
        <f t="shared" si="50"/>
        <v/>
      </c>
      <c r="BT483" s="251" t="str">
        <f t="shared" si="51"/>
        <v/>
      </c>
      <c r="BU483" s="251" t="str">
        <f t="shared" si="52"/>
        <v/>
      </c>
      <c r="BV483" s="251" t="str">
        <f t="shared" si="53"/>
        <v/>
      </c>
      <c r="BW483" s="251" t="str">
        <f t="shared" si="54"/>
        <v/>
      </c>
      <c r="BX483" s="251" t="str">
        <f t="shared" si="55"/>
        <v/>
      </c>
      <c r="BY483" s="251" t="str">
        <f t="shared" si="56"/>
        <v/>
      </c>
      <c r="BZ483" s="251" t="str">
        <f t="shared" si="57"/>
        <v/>
      </c>
      <c r="CA483" s="251" t="str">
        <f t="shared" si="58"/>
        <v/>
      </c>
      <c r="CB483" s="251" t="str">
        <f t="shared" si="59"/>
        <v/>
      </c>
      <c r="CC483" s="251" t="str">
        <f t="shared" si="60"/>
        <v/>
      </c>
      <c r="CD483" s="251" t="str">
        <f t="shared" si="61"/>
        <v/>
      </c>
      <c r="CE483" s="251" t="str">
        <f t="shared" si="62"/>
        <v/>
      </c>
      <c r="CF483" s="251" t="str">
        <f t="shared" si="63"/>
        <v/>
      </c>
      <c r="CG483" s="251" t="str">
        <f t="shared" si="64"/>
        <v/>
      </c>
      <c r="CH483" s="251" t="str">
        <f t="shared" si="65"/>
        <v/>
      </c>
      <c r="CI483" s="251" t="str">
        <f t="shared" si="66"/>
        <v/>
      </c>
      <c r="CJ483" s="251" t="str">
        <f t="shared" si="67"/>
        <v/>
      </c>
      <c r="CK483" s="251" t="str">
        <f t="shared" si="68"/>
        <v/>
      </c>
      <c r="CL483" s="251" t="str">
        <f t="shared" si="69"/>
        <v/>
      </c>
      <c r="CM483" s="251" t="str">
        <f t="shared" si="70"/>
        <v/>
      </c>
      <c r="CN483" s="251" t="str">
        <f t="shared" si="71"/>
        <v/>
      </c>
      <c r="CO483" s="251" t="str">
        <f t="shared" si="72"/>
        <v/>
      </c>
      <c r="CP483" s="251" t="str">
        <f t="shared" si="73"/>
        <v/>
      </c>
      <c r="CQ483" s="251" t="str">
        <f t="shared" si="74"/>
        <v/>
      </c>
      <c r="CR483" s="251" t="str">
        <f t="shared" si="75"/>
        <v/>
      </c>
      <c r="CS483" s="251" t="str">
        <f t="shared" si="76"/>
        <v/>
      </c>
      <c r="CT483" s="251" t="str">
        <f t="shared" si="77"/>
        <v/>
      </c>
      <c r="CU483" s="251" t="str">
        <f t="shared" si="78"/>
        <v/>
      </c>
      <c r="CV483" s="251" t="str">
        <f t="shared" si="79"/>
        <v/>
      </c>
      <c r="CW483" s="251" t="str">
        <f t="shared" si="80"/>
        <v/>
      </c>
      <c r="CX483" s="251" t="str">
        <f t="shared" si="81"/>
        <v/>
      </c>
      <c r="CY483" s="251" t="str">
        <f t="shared" si="82"/>
        <v/>
      </c>
      <c r="CZ483" s="251" t="str">
        <f t="shared" si="83"/>
        <v/>
      </c>
      <c r="DA483" s="251" t="str">
        <f t="shared" si="84"/>
        <v/>
      </c>
      <c r="DB483" s="251" t="str">
        <f t="shared" si="85"/>
        <v/>
      </c>
      <c r="DC483" s="251" t="str">
        <f t="shared" si="86"/>
        <v/>
      </c>
      <c r="DD483" s="251" t="str">
        <f t="shared" si="87"/>
        <v/>
      </c>
      <c r="DE483" s="251" t="str">
        <f t="shared" si="88"/>
        <v/>
      </c>
      <c r="DF483" s="251" t="str">
        <f t="shared" si="89"/>
        <v/>
      </c>
      <c r="DG483" s="251" t="str">
        <f t="shared" si="90"/>
        <v/>
      </c>
      <c r="DH483" s="251" t="str">
        <f t="shared" si="91"/>
        <v/>
      </c>
      <c r="DI483" s="251" t="str">
        <f t="shared" si="92"/>
        <v/>
      </c>
      <c r="DJ483" s="251" t="str">
        <f t="shared" si="93"/>
        <v/>
      </c>
      <c r="DK483" s="251" t="str">
        <f t="shared" si="94"/>
        <v/>
      </c>
      <c r="DL483" s="251" t="str">
        <f t="shared" si="95"/>
        <v/>
      </c>
      <c r="DM483" s="251" t="str">
        <f t="shared" si="96"/>
        <v/>
      </c>
      <c r="DN483" s="251" t="str">
        <f t="shared" si="97"/>
        <v/>
      </c>
      <c r="DO483" s="251" t="str">
        <f t="shared" si="98"/>
        <v/>
      </c>
      <c r="DP483" s="251" t="str">
        <f t="shared" si="99"/>
        <v/>
      </c>
      <c r="DQ483" s="251" t="str">
        <f t="shared" si="100"/>
        <v/>
      </c>
      <c r="DR483" s="251" t="str">
        <f t="shared" si="101"/>
        <v/>
      </c>
      <c r="DS483" s="251" t="str">
        <f t="shared" si="102"/>
        <v/>
      </c>
      <c r="DT483" s="251" t="str">
        <f t="shared" si="103"/>
        <v/>
      </c>
      <c r="DU483" s="251" t="str">
        <f t="shared" si="104"/>
        <v/>
      </c>
      <c r="DV483" s="251" t="str">
        <f t="shared" si="105"/>
        <v/>
      </c>
      <c r="DW483" s="251" t="str">
        <f t="shared" si="106"/>
        <v/>
      </c>
      <c r="DX483" s="251" t="str">
        <f t="shared" si="107"/>
        <v/>
      </c>
      <c r="DY483" s="251" t="str">
        <f t="shared" si="108"/>
        <v/>
      </c>
      <c r="DZ483" s="251" t="str">
        <f t="shared" si="109"/>
        <v/>
      </c>
      <c r="EA483" s="251" t="str">
        <f t="shared" si="110"/>
        <v/>
      </c>
      <c r="EB483" s="251" t="str">
        <f t="shared" si="111"/>
        <v/>
      </c>
      <c r="EC483" s="251" t="str">
        <f t="shared" si="112"/>
        <v/>
      </c>
      <c r="ED483" s="251" t="str">
        <f t="shared" si="113"/>
        <v/>
      </c>
      <c r="EE483" s="251" t="str">
        <f t="shared" si="114"/>
        <v/>
      </c>
      <c r="EF483" s="251" t="str">
        <f t="shared" si="115"/>
        <v/>
      </c>
      <c r="EG483" s="251" t="str">
        <f t="shared" si="116"/>
        <v/>
      </c>
      <c r="EH483" s="251" t="str">
        <f t="shared" si="117"/>
        <v/>
      </c>
      <c r="EI483" s="251" t="str">
        <f t="shared" si="118"/>
        <v/>
      </c>
      <c r="EJ483" s="251" t="str">
        <f t="shared" si="119"/>
        <v/>
      </c>
      <c r="EK483" s="251" t="str">
        <f t="shared" si="120"/>
        <v/>
      </c>
      <c r="EL483" s="251" t="str">
        <f t="shared" si="121"/>
        <v/>
      </c>
      <c r="EM483" s="251" t="str">
        <f t="shared" si="122"/>
        <v/>
      </c>
      <c r="EN483" s="251" t="str">
        <f t="shared" si="123"/>
        <v/>
      </c>
      <c r="EO483" s="251" t="str">
        <f t="shared" si="124"/>
        <v/>
      </c>
      <c r="EP483" s="251" t="str">
        <f t="shared" si="125"/>
        <v/>
      </c>
      <c r="EQ483" s="251" t="str">
        <f t="shared" si="126"/>
        <v/>
      </c>
      <c r="ER483" s="251" t="str">
        <f t="shared" si="127"/>
        <v/>
      </c>
      <c r="ES483" s="251" t="str">
        <f t="shared" si="128"/>
        <v/>
      </c>
      <c r="ET483" s="251" t="str">
        <f t="shared" si="129"/>
        <v/>
      </c>
      <c r="EU483" s="251" t="str">
        <f t="shared" si="130"/>
        <v/>
      </c>
      <c r="EV483" s="251" t="str">
        <f t="shared" si="131"/>
        <v/>
      </c>
      <c r="EW483" s="251" t="str">
        <f t="shared" si="132"/>
        <v/>
      </c>
      <c r="EX483" s="251" t="str">
        <f t="shared" si="133"/>
        <v/>
      </c>
      <c r="EY483" s="251" t="str">
        <f t="shared" si="134"/>
        <v/>
      </c>
      <c r="EZ483" s="251" t="str">
        <f t="shared" si="135"/>
        <v/>
      </c>
      <c r="FA483" s="251" t="str">
        <f t="shared" si="136"/>
        <v/>
      </c>
      <c r="FB483" s="251" t="str">
        <f t="shared" si="137"/>
        <v/>
      </c>
      <c r="FC483" s="251" t="str">
        <f t="shared" si="138"/>
        <v/>
      </c>
      <c r="FD483" s="251" t="str">
        <f t="shared" si="139"/>
        <v/>
      </c>
      <c r="FE483" s="251" t="str">
        <f t="shared" si="140"/>
        <v/>
      </c>
      <c r="FF483" s="251" t="str">
        <f t="shared" si="141"/>
        <v/>
      </c>
      <c r="FG483" s="251" t="str">
        <f t="shared" si="142"/>
        <v/>
      </c>
      <c r="FH483" s="251" t="str">
        <f t="shared" si="143"/>
        <v/>
      </c>
      <c r="FI483" s="251" t="str">
        <f t="shared" si="144"/>
        <v/>
      </c>
      <c r="FJ483" s="251" t="str">
        <f t="shared" si="145"/>
        <v/>
      </c>
      <c r="FK483" s="251" t="str">
        <f t="shared" si="146"/>
        <v/>
      </c>
      <c r="FL483" s="251" t="str">
        <f t="shared" si="147"/>
        <v/>
      </c>
      <c r="FM483" s="251" t="str">
        <f t="shared" si="148"/>
        <v/>
      </c>
      <c r="FN483" s="251" t="str">
        <f t="shared" si="149"/>
        <v/>
      </c>
      <c r="FO483" s="251" t="str">
        <f t="shared" si="150"/>
        <v/>
      </c>
      <c r="FP483" s="251" t="str">
        <f t="shared" si="151"/>
        <v/>
      </c>
      <c r="FQ483" s="251" t="str">
        <f t="shared" si="152"/>
        <v/>
      </c>
      <c r="FR483" s="251" t="str">
        <f t="shared" si="153"/>
        <v/>
      </c>
      <c r="FS483" s="251" t="str">
        <f t="shared" si="154"/>
        <v/>
      </c>
      <c r="FT483" s="251" t="str">
        <f t="shared" si="155"/>
        <v/>
      </c>
      <c r="FU483" s="251" t="str">
        <f t="shared" si="156"/>
        <v/>
      </c>
      <c r="FV483" s="251" t="str">
        <f t="shared" si="157"/>
        <v/>
      </c>
      <c r="FW483" s="251" t="str">
        <f t="shared" si="158"/>
        <v/>
      </c>
      <c r="FX483" s="251" t="str">
        <f t="shared" si="159"/>
        <v/>
      </c>
      <c r="FY483" s="251" t="str">
        <f t="shared" si="160"/>
        <v/>
      </c>
      <c r="FZ483" s="251" t="str">
        <f t="shared" si="161"/>
        <v/>
      </c>
      <c r="GA483" s="251" t="str">
        <f t="shared" si="162"/>
        <v/>
      </c>
      <c r="GB483" s="251" t="str">
        <f t="shared" si="163"/>
        <v/>
      </c>
      <c r="GC483" s="251">
        <f t="shared" si="164"/>
        <v>4614</v>
      </c>
      <c r="GD483" s="251" t="str">
        <f t="shared" si="165"/>
        <v/>
      </c>
      <c r="GE483" s="251" t="str">
        <f t="shared" si="166"/>
        <v/>
      </c>
      <c r="GF483" s="251" t="str">
        <f t="shared" si="167"/>
        <v/>
      </c>
      <c r="GG483" s="251" t="str">
        <f t="shared" si="168"/>
        <v/>
      </c>
      <c r="GH483" s="251" t="str">
        <f t="shared" si="169"/>
        <v/>
      </c>
      <c r="GI483" s="251" t="str">
        <f t="shared" si="170"/>
        <v/>
      </c>
      <c r="GJ483" s="251" t="str">
        <f t="shared" si="171"/>
        <v/>
      </c>
      <c r="GK483" s="251" t="str">
        <f t="shared" si="172"/>
        <v/>
      </c>
      <c r="GL483" s="251" t="str">
        <f t="shared" si="173"/>
        <v/>
      </c>
      <c r="GM483" s="251" t="str">
        <f t="shared" si="174"/>
        <v/>
      </c>
      <c r="GN483" s="251" t="str">
        <f t="shared" si="175"/>
        <v/>
      </c>
      <c r="GO483" s="251" t="str">
        <f t="shared" si="176"/>
        <v/>
      </c>
      <c r="GP483" s="251" t="str">
        <f t="shared" si="177"/>
        <v/>
      </c>
      <c r="GQ483" s="251" t="str">
        <f t="shared" si="178"/>
        <v/>
      </c>
      <c r="GR483" s="251" t="str">
        <f t="shared" si="179"/>
        <v/>
      </c>
      <c r="GS483" s="251" t="str">
        <f t="shared" si="180"/>
        <v/>
      </c>
      <c r="GT483" s="251" t="str">
        <f t="shared" si="181"/>
        <v/>
      </c>
      <c r="GU483" s="251" t="str">
        <f t="shared" si="182"/>
        <v/>
      </c>
      <c r="GV483" s="251" t="str">
        <f t="shared" si="183"/>
        <v/>
      </c>
      <c r="GW483" s="251" t="str">
        <f t="shared" si="184"/>
        <v/>
      </c>
      <c r="GX483" s="251" t="str">
        <f t="shared" si="185"/>
        <v/>
      </c>
      <c r="GY483" s="251" t="str">
        <f t="shared" si="186"/>
        <v/>
      </c>
      <c r="GZ483" s="251" t="str">
        <f t="shared" si="187"/>
        <v/>
      </c>
      <c r="HA483" s="251" t="str">
        <f t="shared" si="188"/>
        <v/>
      </c>
      <c r="HB483" s="251" t="str">
        <f t="shared" si="189"/>
        <v/>
      </c>
      <c r="HC483" s="251" t="str">
        <f t="shared" si="190"/>
        <v/>
      </c>
      <c r="HD483" s="251" t="str">
        <f t="shared" si="191"/>
        <v/>
      </c>
      <c r="HE483" s="251" t="str">
        <f t="shared" si="192"/>
        <v/>
      </c>
      <c r="HF483" s="251" t="str">
        <f t="shared" si="193"/>
        <v/>
      </c>
      <c r="HG483" s="251" t="str">
        <f t="shared" si="194"/>
        <v/>
      </c>
      <c r="HH483" s="251" t="str">
        <f t="shared" si="195"/>
        <v/>
      </c>
      <c r="HI483" s="251" t="str">
        <f t="shared" si="196"/>
        <v/>
      </c>
      <c r="HJ483" s="251" t="str">
        <f t="shared" si="197"/>
        <v/>
      </c>
      <c r="HK483" s="251" t="str">
        <f t="shared" si="198"/>
        <v/>
      </c>
      <c r="HL483" s="251" t="str">
        <f t="shared" si="199"/>
        <v/>
      </c>
      <c r="HM483" s="251" t="str">
        <f t="shared" si="200"/>
        <v/>
      </c>
      <c r="HN483" s="251" t="str">
        <f t="shared" si="201"/>
        <v/>
      </c>
      <c r="HO483" s="251" t="str">
        <f t="shared" si="202"/>
        <v/>
      </c>
      <c r="HP483" s="251" t="str">
        <f t="shared" si="203"/>
        <v/>
      </c>
      <c r="HQ483" s="251" t="str">
        <f t="shared" si="204"/>
        <v/>
      </c>
      <c r="HR483" s="251" t="str">
        <f t="shared" si="205"/>
        <v/>
      </c>
      <c r="HS483" s="251" t="str">
        <f t="shared" si="206"/>
        <v/>
      </c>
      <c r="HT483" s="251" t="str">
        <f t="shared" si="207"/>
        <v/>
      </c>
      <c r="HU483" s="251" t="str">
        <f t="shared" si="208"/>
        <v/>
      </c>
      <c r="HV483" s="251" t="str">
        <f t="shared" si="209"/>
        <v/>
      </c>
      <c r="HW483" s="251" t="str">
        <f t="shared" si="210"/>
        <v/>
      </c>
      <c r="HX483" s="251" t="str">
        <f t="shared" si="211"/>
        <v/>
      </c>
      <c r="HY483" s="251" t="str">
        <f t="shared" si="212"/>
        <v/>
      </c>
      <c r="HZ483" s="251" t="str">
        <f t="shared" si="213"/>
        <v/>
      </c>
      <c r="IA483" s="251" t="str">
        <f t="shared" si="214"/>
        <v/>
      </c>
      <c r="IB483" s="251" t="str">
        <f t="shared" si="215"/>
        <v/>
      </c>
      <c r="IC483" s="251" t="str">
        <f t="shared" si="216"/>
        <v/>
      </c>
      <c r="ID483" s="251" t="str">
        <f t="shared" si="217"/>
        <v/>
      </c>
      <c r="IE483" s="251" t="str">
        <f t="shared" si="218"/>
        <v/>
      </c>
      <c r="IF483" s="251">
        <f t="shared" si="219"/>
        <v>6</v>
      </c>
      <c r="IG483" s="251" t="str">
        <f t="shared" si="220"/>
        <v/>
      </c>
      <c r="IH483" s="251" t="str">
        <f t="shared" si="221"/>
        <v/>
      </c>
      <c r="II483" s="251" t="str">
        <f t="shared" si="222"/>
        <v/>
      </c>
      <c r="IJ483" s="251" t="str">
        <f t="shared" si="223"/>
        <v/>
      </c>
      <c r="IK483" s="251" t="str">
        <f t="shared" si="224"/>
        <v/>
      </c>
      <c r="IL483" s="251" t="str">
        <f t="shared" si="225"/>
        <v/>
      </c>
      <c r="IM483" s="251" t="str">
        <f t="shared" si="226"/>
        <v/>
      </c>
      <c r="IN483" s="251" t="str">
        <f t="shared" si="227"/>
        <v/>
      </c>
      <c r="IO483" s="251" t="str">
        <f t="shared" si="228"/>
        <v/>
      </c>
      <c r="IP483" s="251" t="str">
        <f t="shared" si="229"/>
        <v/>
      </c>
      <c r="IQ483" s="251" t="str">
        <f t="shared" si="230"/>
        <v/>
      </c>
      <c r="IR483" s="251" t="str">
        <f t="shared" si="231"/>
        <v/>
      </c>
      <c r="IS483" s="251" t="str">
        <f t="shared" si="232"/>
        <v/>
      </c>
      <c r="IT483" s="251" t="str">
        <f t="shared" si="233"/>
        <v/>
      </c>
      <c r="IU483" s="251" t="str">
        <f t="shared" si="234"/>
        <v/>
      </c>
      <c r="IV483" s="251" t="str">
        <f t="shared" si="235"/>
        <v/>
      </c>
      <c r="IW483" s="251" t="str">
        <f t="shared" si="236"/>
        <v/>
      </c>
      <c r="IX483" s="251" t="str">
        <f t="shared" si="237"/>
        <v/>
      </c>
      <c r="IY483" s="251" t="str">
        <f t="shared" si="238"/>
        <v/>
      </c>
      <c r="IZ483" s="251" t="str">
        <f t="shared" si="239"/>
        <v/>
      </c>
      <c r="JA483" s="251" t="str">
        <f t="shared" si="240"/>
        <v/>
      </c>
      <c r="JB483" s="251" t="str">
        <f t="shared" si="241"/>
        <v/>
      </c>
      <c r="JC483" s="251" t="str">
        <f t="shared" si="242"/>
        <v/>
      </c>
      <c r="JD483" s="251" t="str">
        <f t="shared" si="243"/>
        <v/>
      </c>
      <c r="JE483" s="251" t="str">
        <f t="shared" si="244"/>
        <v/>
      </c>
      <c r="JF483" s="251" t="str">
        <f t="shared" si="245"/>
        <v/>
      </c>
      <c r="JG483" s="251" t="str">
        <f t="shared" si="246"/>
        <v/>
      </c>
      <c r="JH483" s="251" t="str">
        <f t="shared" si="247"/>
        <v/>
      </c>
      <c r="JI483" s="1297" t="str">
        <f t="shared" si="248"/>
        <v/>
      </c>
      <c r="JJ483" s="1297">
        <f t="shared" si="249"/>
        <v>6</v>
      </c>
      <c r="JK483" s="1297" t="str">
        <f t="shared" si="250"/>
        <v/>
      </c>
      <c r="JL483" s="1297" t="str">
        <f t="shared" si="251"/>
        <v/>
      </c>
      <c r="JM483" s="1297" t="str">
        <f t="shared" si="252"/>
        <v/>
      </c>
      <c r="JN483" s="1297" t="str">
        <f t="shared" si="253"/>
        <v/>
      </c>
      <c r="JO483" s="1297" t="str">
        <f t="shared" si="254"/>
        <v/>
      </c>
      <c r="JP483" s="1297" t="str">
        <f t="shared" si="255"/>
        <v/>
      </c>
      <c r="JQ483" s="1297" t="str">
        <f t="shared" si="256"/>
        <v/>
      </c>
      <c r="JR483" s="1297" t="str">
        <f t="shared" si="257"/>
        <v/>
      </c>
      <c r="JS483" s="1297" t="str">
        <f t="shared" si="258"/>
        <v/>
      </c>
      <c r="JT483" s="1297" t="str">
        <f t="shared" si="259"/>
        <v/>
      </c>
      <c r="JU483" s="1297" t="str">
        <f t="shared" si="260"/>
        <v/>
      </c>
      <c r="JV483" s="1297" t="str">
        <f t="shared" si="261"/>
        <v/>
      </c>
      <c r="JW483" s="1297" t="str">
        <f t="shared" si="262"/>
        <v/>
      </c>
      <c r="JX483" s="1297" t="str">
        <f t="shared" si="263"/>
        <v/>
      </c>
      <c r="JY483" s="1297" t="str">
        <f t="shared" si="264"/>
        <v/>
      </c>
      <c r="JZ483" s="1297" t="str">
        <f t="shared" si="265"/>
        <v/>
      </c>
      <c r="KA483" s="1297" t="str">
        <f t="shared" si="266"/>
        <v/>
      </c>
      <c r="KB483" s="1297" t="str">
        <f t="shared" si="267"/>
        <v/>
      </c>
      <c r="KC483" s="1297" t="str">
        <f t="shared" si="268"/>
        <v/>
      </c>
      <c r="KD483" s="1297" t="str">
        <f t="shared" si="269"/>
        <v/>
      </c>
      <c r="KE483" s="1297" t="str">
        <f t="shared" si="270"/>
        <v/>
      </c>
      <c r="KF483" s="1297" t="str">
        <f t="shared" si="271"/>
        <v/>
      </c>
      <c r="KG483" s="1297" t="str">
        <f t="shared" si="272"/>
        <v/>
      </c>
      <c r="KH483" s="1297" t="str">
        <f t="shared" si="273"/>
        <v/>
      </c>
      <c r="KI483" s="1297" t="str">
        <f t="shared" si="274"/>
        <v/>
      </c>
      <c r="KJ483" s="1297" t="str">
        <f t="shared" si="275"/>
        <v/>
      </c>
      <c r="KK483" s="1297" t="str">
        <f t="shared" si="276"/>
        <v/>
      </c>
      <c r="KL483" s="1297" t="str">
        <f t="shared" si="277"/>
        <v/>
      </c>
      <c r="KM483" s="1297" t="str">
        <f t="shared" si="278"/>
        <v/>
      </c>
      <c r="KN483" s="1297" t="str">
        <f t="shared" si="279"/>
        <v/>
      </c>
      <c r="KO483" s="1297" t="str">
        <f t="shared" si="280"/>
        <v/>
      </c>
      <c r="KP483" s="1297" t="str">
        <f t="shared" si="281"/>
        <v/>
      </c>
      <c r="KQ483" s="1297" t="str">
        <f t="shared" si="282"/>
        <v/>
      </c>
      <c r="KR483" s="1297" t="str">
        <f t="shared" si="283"/>
        <v/>
      </c>
      <c r="KS483" s="1297" t="str">
        <f t="shared" si="284"/>
        <v/>
      </c>
      <c r="KT483" s="1297" t="str">
        <f t="shared" si="285"/>
        <v/>
      </c>
      <c r="KU483" s="1297" t="str">
        <f t="shared" si="286"/>
        <v/>
      </c>
      <c r="KV483" s="1297" t="str">
        <f t="shared" si="287"/>
        <v/>
      </c>
      <c r="KW483" s="1297" t="str">
        <f t="shared" si="288"/>
        <v/>
      </c>
      <c r="KX483" s="1297" t="str">
        <f t="shared" si="289"/>
        <v/>
      </c>
      <c r="KY483" s="1297" t="str">
        <f t="shared" si="290"/>
        <v/>
      </c>
      <c r="KZ483" s="1297" t="str">
        <f t="shared" si="291"/>
        <v/>
      </c>
      <c r="LA483" s="1297" t="str">
        <f t="shared" si="292"/>
        <v/>
      </c>
      <c r="LB483" s="1297" t="str">
        <f t="shared" si="293"/>
        <v/>
      </c>
      <c r="LC483" s="1297">
        <f t="shared" si="294"/>
        <v>6</v>
      </c>
      <c r="LD483" s="1297" t="str">
        <f t="shared" si="295"/>
        <v/>
      </c>
      <c r="LE483" s="1297" t="str">
        <f t="shared" si="296"/>
        <v/>
      </c>
      <c r="LF483" s="1297" t="str">
        <f t="shared" si="297"/>
        <v/>
      </c>
      <c r="LG483" s="1297" t="str">
        <f t="shared" si="298"/>
        <v/>
      </c>
      <c r="LH483" s="1297" t="str">
        <f t="shared" si="299"/>
        <v/>
      </c>
      <c r="LI483" s="1297" t="str">
        <f t="shared" si="300"/>
        <v/>
      </c>
      <c r="LJ483" s="1297" t="str">
        <f t="shared" si="301"/>
        <v/>
      </c>
      <c r="LK483" s="1297" t="str">
        <f t="shared" si="302"/>
        <v/>
      </c>
      <c r="LL483" s="1297" t="str">
        <f t="shared" si="303"/>
        <v/>
      </c>
      <c r="LM483" s="1297" t="str">
        <f t="shared" si="304"/>
        <v/>
      </c>
      <c r="LN483" s="1297" t="str">
        <f t="shared" si="305"/>
        <v/>
      </c>
      <c r="LO483" s="1297" t="str">
        <f t="shared" si="306"/>
        <v/>
      </c>
      <c r="LP483" s="1297" t="str">
        <f t="shared" si="307"/>
        <v/>
      </c>
      <c r="LQ483" s="1297" t="str">
        <f t="shared" si="308"/>
        <v/>
      </c>
      <c r="LR483" s="1297" t="str">
        <f t="shared" si="309"/>
        <v/>
      </c>
      <c r="LS483" s="1297" t="str">
        <f t="shared" si="310"/>
        <v/>
      </c>
      <c r="LT483" s="1297" t="str">
        <f t="shared" si="311"/>
        <v/>
      </c>
      <c r="LU483" s="1297" t="str">
        <f t="shared" si="312"/>
        <v/>
      </c>
      <c r="LV483" s="1297" t="str">
        <f t="shared" si="313"/>
        <v/>
      </c>
      <c r="LW483" s="1297" t="str">
        <f t="shared" si="314"/>
        <v/>
      </c>
      <c r="LX483" s="1297" t="str">
        <f t="shared" si="315"/>
        <v/>
      </c>
      <c r="LY483" s="1297" t="str">
        <f t="shared" si="316"/>
        <v/>
      </c>
      <c r="LZ483" s="1297" t="str">
        <f t="shared" si="317"/>
        <v/>
      </c>
      <c r="MA483" s="1297" t="str">
        <f t="shared" si="318"/>
        <v/>
      </c>
      <c r="MB483" s="1297" t="str">
        <f t="shared" si="319"/>
        <v/>
      </c>
      <c r="MC483" s="1297" t="str">
        <f t="shared" si="320"/>
        <v/>
      </c>
      <c r="MD483" s="1297" t="str">
        <f t="shared" si="321"/>
        <v/>
      </c>
      <c r="ME483" s="1297" t="str">
        <f t="shared" si="322"/>
        <v/>
      </c>
      <c r="MF483" s="1297" t="str">
        <f t="shared" si="323"/>
        <v/>
      </c>
      <c r="MG483" s="1297" t="str">
        <f t="shared" si="324"/>
        <v/>
      </c>
      <c r="MH483" s="1297" t="str">
        <f t="shared" si="325"/>
        <v/>
      </c>
      <c r="MI483" s="1297" t="str">
        <f t="shared" si="326"/>
        <v/>
      </c>
      <c r="MJ483" s="1297" t="str">
        <f t="shared" si="327"/>
        <v/>
      </c>
      <c r="MK483" s="1297" t="str">
        <f t="shared" si="328"/>
        <v/>
      </c>
      <c r="ML483" s="1297" t="str">
        <f t="shared" si="329"/>
        <v/>
      </c>
      <c r="MM483" s="1297" t="str">
        <f t="shared" si="330"/>
        <v/>
      </c>
      <c r="MN483" s="1297" t="str">
        <f t="shared" si="331"/>
        <v/>
      </c>
      <c r="MO483" s="1297" t="str">
        <f t="shared" si="332"/>
        <v/>
      </c>
      <c r="MP483" s="1773" t="str">
        <f t="shared" si="333"/>
        <v/>
      </c>
      <c r="MQ483" s="1773" t="str">
        <f t="shared" si="334"/>
        <v/>
      </c>
      <c r="MR483" s="1773" t="str">
        <f t="shared" si="335"/>
        <v/>
      </c>
      <c r="MS483" s="1773" t="str">
        <f t="shared" si="336"/>
        <v/>
      </c>
      <c r="MT483" s="1773" t="str">
        <f t="shared" si="337"/>
        <v/>
      </c>
      <c r="MU483" s="251" t="str">
        <f t="shared" si="338"/>
        <v/>
      </c>
      <c r="MV483" s="251" t="str">
        <f t="shared" si="339"/>
        <v/>
      </c>
      <c r="MW483" s="251" t="str">
        <f t="shared" si="340"/>
        <v/>
      </c>
      <c r="MX483" s="251" t="str">
        <f t="shared" si="341"/>
        <v/>
      </c>
      <c r="MY483" s="251" t="str">
        <f t="shared" si="342"/>
        <v/>
      </c>
      <c r="MZ483" s="251" t="str">
        <f t="shared" si="343"/>
        <v/>
      </c>
      <c r="NA483" s="251" t="str">
        <f t="shared" si="344"/>
        <v/>
      </c>
      <c r="NB483" s="251" t="str">
        <f t="shared" si="345"/>
        <v/>
      </c>
      <c r="NC483" s="251" t="str">
        <f t="shared" si="346"/>
        <v/>
      </c>
      <c r="ND483" s="251" t="str">
        <f t="shared" si="347"/>
        <v/>
      </c>
      <c r="NE483" s="251" t="str">
        <f t="shared" si="348"/>
        <v/>
      </c>
      <c r="NF483" s="251" t="str">
        <f t="shared" si="349"/>
        <v/>
      </c>
      <c r="NG483" s="251" t="str">
        <f t="shared" si="350"/>
        <v/>
      </c>
      <c r="NH483" s="251" t="str">
        <f t="shared" si="351"/>
        <v/>
      </c>
      <c r="NI483" s="251" t="str">
        <f t="shared" si="352"/>
        <v/>
      </c>
      <c r="NJ483" s="251" t="str">
        <f t="shared" si="353"/>
        <v/>
      </c>
      <c r="NK483" s="251" t="str">
        <f t="shared" si="354"/>
        <v/>
      </c>
      <c r="NL483" s="251" t="str">
        <f t="shared" si="355"/>
        <v/>
      </c>
      <c r="NM483" s="251" t="str">
        <f t="shared" si="356"/>
        <v/>
      </c>
      <c r="NN483" s="251" t="str">
        <f t="shared" si="357"/>
        <v/>
      </c>
      <c r="NO483" s="1185">
        <f t="shared" si="358"/>
        <v>0</v>
      </c>
      <c r="NP483" s="1185">
        <f t="shared" si="359"/>
        <v>6</v>
      </c>
      <c r="NQ483" s="1185">
        <f t="shared" si="360"/>
        <v>0</v>
      </c>
      <c r="NR483" s="1185">
        <f t="shared" si="361"/>
        <v>0</v>
      </c>
      <c r="NS483" s="1185">
        <f t="shared" si="362"/>
        <v>0</v>
      </c>
      <c r="NT483" s="1185">
        <f t="shared" si="368"/>
        <v>0</v>
      </c>
      <c r="NU483" s="1185">
        <f t="shared" si="369"/>
        <v>0</v>
      </c>
      <c r="NV483" s="1185">
        <f t="shared" si="370"/>
        <v>0</v>
      </c>
      <c r="NW483" s="1185">
        <f t="shared" si="371"/>
        <v>0</v>
      </c>
      <c r="NX483" s="1185">
        <f t="shared" si="372"/>
        <v>0</v>
      </c>
      <c r="NY483" s="1185">
        <f t="shared" si="363"/>
        <v>0</v>
      </c>
      <c r="NZ483" s="1185">
        <f t="shared" si="364"/>
        <v>0</v>
      </c>
      <c r="OA483" s="1185">
        <f t="shared" si="365"/>
        <v>0</v>
      </c>
      <c r="OB483" s="1185">
        <f t="shared" si="366"/>
        <v>0</v>
      </c>
      <c r="OC483" s="1185">
        <f t="shared" si="367"/>
        <v>0</v>
      </c>
      <c r="OY483" s="251" t="s">
        <v>1178</v>
      </c>
      <c r="OZ483" s="1296">
        <v>30</v>
      </c>
    </row>
    <row r="484" spans="1:416" ht="12" customHeight="1">
      <c r="A484" s="1979" t="str">
        <f t="shared" si="0"/>
        <v/>
      </c>
      <c r="B484" s="1998">
        <f>'Part V-Revenues &amp; Expenses'!B31</f>
        <v>60</v>
      </c>
      <c r="C484" s="1999">
        <f>'Part V-Revenues &amp; Expenses'!C31</f>
        <v>2</v>
      </c>
      <c r="D484" s="2000">
        <f>'Part V-Revenues &amp; Expenses'!D31</f>
        <v>2</v>
      </c>
      <c r="E484" s="2001">
        <f>'Part V-Revenues &amp; Expenses'!E31</f>
        <v>13</v>
      </c>
      <c r="F484" s="2001">
        <f>'Part V-Revenues &amp; Expenses'!F31</f>
        <v>1041</v>
      </c>
      <c r="G484" s="2001">
        <f>'Part V-Revenues &amp; Expenses'!G31</f>
        <v>1111</v>
      </c>
      <c r="H484" s="2001">
        <f>'Part V-Revenues &amp; Expenses'!H31</f>
        <v>1101</v>
      </c>
      <c r="I484" s="2001">
        <f>'Part V-Revenues &amp; Expenses'!I31</f>
        <v>0</v>
      </c>
      <c r="J484" s="2001">
        <f>'Part V-Revenues &amp; Expenses'!J31</f>
        <v>205</v>
      </c>
      <c r="K484" s="2002">
        <f>'Part V-Revenues &amp; Expenses'!K31</f>
        <v>0</v>
      </c>
      <c r="L484" s="2003">
        <f t="shared" si="1"/>
        <v>896</v>
      </c>
      <c r="M484" s="2003">
        <f t="shared" si="2"/>
        <v>11648</v>
      </c>
      <c r="N484" s="1853" t="str">
        <f>'Part V-Revenues &amp; Expenses'!N31</f>
        <v>No</v>
      </c>
      <c r="O484" s="899" t="str">
        <f>'Part V-Revenues &amp; Expenses'!O31</f>
        <v>Low-Rise Apt</v>
      </c>
      <c r="P484" s="1853" t="str">
        <f>'Part V-Revenues &amp; Expenses'!P31</f>
        <v>Acquisition/Rehab</v>
      </c>
      <c r="Q484" s="1772" t="str">
        <f>'Part V-Revenues &amp; Expenses'!Q31</f>
        <v>No</v>
      </c>
      <c r="R484" s="2004"/>
      <c r="S484" s="2005"/>
      <c r="T484" s="1920"/>
      <c r="U484" s="1920"/>
      <c r="V484" s="1920"/>
      <c r="W484" s="1920"/>
      <c r="X484" s="251" t="str">
        <f t="shared" si="3"/>
        <v/>
      </c>
      <c r="Y484" s="251" t="str">
        <f t="shared" si="4"/>
        <v/>
      </c>
      <c r="Z484" s="251" t="str">
        <f t="shared" si="5"/>
        <v/>
      </c>
      <c r="AA484" s="251" t="str">
        <f t="shared" si="6"/>
        <v/>
      </c>
      <c r="AB484" s="251" t="str">
        <f t="shared" si="7"/>
        <v/>
      </c>
      <c r="AC484" s="251" t="str">
        <f t="shared" si="8"/>
        <v/>
      </c>
      <c r="AD484" s="251" t="str">
        <f t="shared" si="9"/>
        <v/>
      </c>
      <c r="AE484" s="251" t="str">
        <f t="shared" si="10"/>
        <v/>
      </c>
      <c r="AF484" s="251" t="str">
        <f t="shared" si="11"/>
        <v/>
      </c>
      <c r="AG484" s="251" t="str">
        <f t="shared" si="12"/>
        <v/>
      </c>
      <c r="AH484" s="251" t="str">
        <f t="shared" si="13"/>
        <v/>
      </c>
      <c r="AI484" s="251" t="str">
        <f t="shared" si="14"/>
        <v/>
      </c>
      <c r="AJ484" s="251">
        <f t="shared" si="15"/>
        <v>13</v>
      </c>
      <c r="AK484" s="251" t="str">
        <f t="shared" si="16"/>
        <v/>
      </c>
      <c r="AL484" s="251" t="str">
        <f t="shared" si="17"/>
        <v/>
      </c>
      <c r="AM484" s="251" t="str">
        <f t="shared" si="18"/>
        <v/>
      </c>
      <c r="AN484" s="251" t="str">
        <f t="shared" si="19"/>
        <v/>
      </c>
      <c r="AO484" s="251" t="str">
        <f t="shared" si="20"/>
        <v/>
      </c>
      <c r="AP484" s="251" t="str">
        <f t="shared" si="21"/>
        <v/>
      </c>
      <c r="AQ484" s="251" t="str">
        <f t="shared" si="22"/>
        <v/>
      </c>
      <c r="AR484" s="251" t="str">
        <f t="shared" si="23"/>
        <v/>
      </c>
      <c r="AS484" s="251" t="str">
        <f t="shared" si="24"/>
        <v/>
      </c>
      <c r="AT484" s="251" t="str">
        <f t="shared" si="25"/>
        <v/>
      </c>
      <c r="AU484" s="251" t="str">
        <f t="shared" si="26"/>
        <v/>
      </c>
      <c r="AV484" s="251" t="str">
        <f t="shared" si="27"/>
        <v/>
      </c>
      <c r="AW484" s="251" t="str">
        <f t="shared" si="28"/>
        <v/>
      </c>
      <c r="AX484" s="251" t="str">
        <f t="shared" si="29"/>
        <v/>
      </c>
      <c r="AY484" s="251" t="str">
        <f t="shared" si="30"/>
        <v/>
      </c>
      <c r="AZ484" s="251" t="str">
        <f t="shared" si="31"/>
        <v/>
      </c>
      <c r="BA484" s="251" t="str">
        <f t="shared" si="32"/>
        <v/>
      </c>
      <c r="BB484" s="251" t="str">
        <f t="shared" si="33"/>
        <v/>
      </c>
      <c r="BC484" s="251" t="str">
        <f t="shared" si="34"/>
        <v/>
      </c>
      <c r="BD484" s="251" t="str">
        <f t="shared" si="35"/>
        <v/>
      </c>
      <c r="BE484" s="251" t="str">
        <f t="shared" si="36"/>
        <v/>
      </c>
      <c r="BF484" s="251" t="str">
        <f t="shared" si="37"/>
        <v/>
      </c>
      <c r="BG484" s="251" t="str">
        <f t="shared" si="38"/>
        <v/>
      </c>
      <c r="BH484" s="251" t="str">
        <f t="shared" si="39"/>
        <v/>
      </c>
      <c r="BI484" s="251" t="str">
        <f t="shared" si="40"/>
        <v/>
      </c>
      <c r="BJ484" s="251" t="str">
        <f t="shared" si="41"/>
        <v/>
      </c>
      <c r="BK484" s="251" t="str">
        <f t="shared" si="42"/>
        <v/>
      </c>
      <c r="BL484" s="251" t="str">
        <f t="shared" si="43"/>
        <v/>
      </c>
      <c r="BM484" s="251" t="str">
        <f t="shared" si="44"/>
        <v/>
      </c>
      <c r="BN484" s="251" t="str">
        <f t="shared" si="45"/>
        <v/>
      </c>
      <c r="BO484" s="251" t="str">
        <f t="shared" si="46"/>
        <v/>
      </c>
      <c r="BP484" s="251" t="str">
        <f t="shared" si="47"/>
        <v/>
      </c>
      <c r="BQ484" s="251" t="str">
        <f t="shared" si="48"/>
        <v/>
      </c>
      <c r="BR484" s="251" t="str">
        <f t="shared" si="49"/>
        <v/>
      </c>
      <c r="BS484" s="251" t="str">
        <f t="shared" si="50"/>
        <v/>
      </c>
      <c r="BT484" s="251" t="str">
        <f t="shared" si="51"/>
        <v/>
      </c>
      <c r="BU484" s="251" t="str">
        <f t="shared" si="52"/>
        <v/>
      </c>
      <c r="BV484" s="251" t="str">
        <f t="shared" si="53"/>
        <v/>
      </c>
      <c r="BW484" s="251" t="str">
        <f t="shared" si="54"/>
        <v/>
      </c>
      <c r="BX484" s="251" t="str">
        <f t="shared" si="55"/>
        <v/>
      </c>
      <c r="BY484" s="251" t="str">
        <f t="shared" si="56"/>
        <v/>
      </c>
      <c r="BZ484" s="251" t="str">
        <f t="shared" si="57"/>
        <v/>
      </c>
      <c r="CA484" s="251" t="str">
        <f t="shared" si="58"/>
        <v/>
      </c>
      <c r="CB484" s="251" t="str">
        <f t="shared" si="59"/>
        <v/>
      </c>
      <c r="CC484" s="251" t="str">
        <f t="shared" si="60"/>
        <v/>
      </c>
      <c r="CD484" s="251" t="str">
        <f t="shared" si="61"/>
        <v/>
      </c>
      <c r="CE484" s="251" t="str">
        <f t="shared" si="62"/>
        <v/>
      </c>
      <c r="CF484" s="251" t="str">
        <f t="shared" si="63"/>
        <v/>
      </c>
      <c r="CG484" s="251" t="str">
        <f t="shared" si="64"/>
        <v/>
      </c>
      <c r="CH484" s="251" t="str">
        <f t="shared" si="65"/>
        <v/>
      </c>
      <c r="CI484" s="251" t="str">
        <f t="shared" si="66"/>
        <v/>
      </c>
      <c r="CJ484" s="251" t="str">
        <f t="shared" si="67"/>
        <v/>
      </c>
      <c r="CK484" s="251" t="str">
        <f t="shared" si="68"/>
        <v/>
      </c>
      <c r="CL484" s="251" t="str">
        <f t="shared" si="69"/>
        <v/>
      </c>
      <c r="CM484" s="251" t="str">
        <f t="shared" si="70"/>
        <v/>
      </c>
      <c r="CN484" s="251" t="str">
        <f t="shared" si="71"/>
        <v/>
      </c>
      <c r="CO484" s="251" t="str">
        <f t="shared" si="72"/>
        <v/>
      </c>
      <c r="CP484" s="251" t="str">
        <f t="shared" si="73"/>
        <v/>
      </c>
      <c r="CQ484" s="251" t="str">
        <f t="shared" si="74"/>
        <v/>
      </c>
      <c r="CR484" s="251" t="str">
        <f t="shared" si="75"/>
        <v/>
      </c>
      <c r="CS484" s="251" t="str">
        <f t="shared" si="76"/>
        <v/>
      </c>
      <c r="CT484" s="251" t="str">
        <f t="shared" si="77"/>
        <v/>
      </c>
      <c r="CU484" s="251" t="str">
        <f t="shared" si="78"/>
        <v/>
      </c>
      <c r="CV484" s="251" t="str">
        <f t="shared" si="79"/>
        <v/>
      </c>
      <c r="CW484" s="251" t="str">
        <f t="shared" si="80"/>
        <v/>
      </c>
      <c r="CX484" s="251" t="str">
        <f t="shared" si="81"/>
        <v/>
      </c>
      <c r="CY484" s="251" t="str">
        <f t="shared" si="82"/>
        <v/>
      </c>
      <c r="CZ484" s="251" t="str">
        <f t="shared" si="83"/>
        <v/>
      </c>
      <c r="DA484" s="251" t="str">
        <f t="shared" si="84"/>
        <v/>
      </c>
      <c r="DB484" s="251" t="str">
        <f t="shared" si="85"/>
        <v/>
      </c>
      <c r="DC484" s="251" t="str">
        <f t="shared" si="86"/>
        <v/>
      </c>
      <c r="DD484" s="251" t="str">
        <f t="shared" si="87"/>
        <v/>
      </c>
      <c r="DE484" s="251" t="str">
        <f t="shared" si="88"/>
        <v/>
      </c>
      <c r="DF484" s="251" t="str">
        <f t="shared" si="89"/>
        <v/>
      </c>
      <c r="DG484" s="251" t="str">
        <f t="shared" si="90"/>
        <v/>
      </c>
      <c r="DH484" s="251" t="str">
        <f t="shared" si="91"/>
        <v/>
      </c>
      <c r="DI484" s="251" t="str">
        <f t="shared" si="92"/>
        <v/>
      </c>
      <c r="DJ484" s="251" t="str">
        <f t="shared" si="93"/>
        <v/>
      </c>
      <c r="DK484" s="251" t="str">
        <f t="shared" si="94"/>
        <v/>
      </c>
      <c r="DL484" s="251" t="str">
        <f t="shared" si="95"/>
        <v/>
      </c>
      <c r="DM484" s="251" t="str">
        <f t="shared" si="96"/>
        <v/>
      </c>
      <c r="DN484" s="251" t="str">
        <f t="shared" si="97"/>
        <v/>
      </c>
      <c r="DO484" s="251" t="str">
        <f t="shared" si="98"/>
        <v/>
      </c>
      <c r="DP484" s="251" t="str">
        <f t="shared" si="99"/>
        <v/>
      </c>
      <c r="DQ484" s="251" t="str">
        <f t="shared" si="100"/>
        <v/>
      </c>
      <c r="DR484" s="251" t="str">
        <f t="shared" si="101"/>
        <v/>
      </c>
      <c r="DS484" s="251" t="str">
        <f t="shared" si="102"/>
        <v/>
      </c>
      <c r="DT484" s="251" t="str">
        <f t="shared" si="103"/>
        <v/>
      </c>
      <c r="DU484" s="251" t="str">
        <f t="shared" si="104"/>
        <v/>
      </c>
      <c r="DV484" s="251" t="str">
        <f t="shared" si="105"/>
        <v/>
      </c>
      <c r="DW484" s="251" t="str">
        <f t="shared" si="106"/>
        <v/>
      </c>
      <c r="DX484" s="251" t="str">
        <f t="shared" si="107"/>
        <v/>
      </c>
      <c r="DY484" s="251" t="str">
        <f t="shared" si="108"/>
        <v/>
      </c>
      <c r="DZ484" s="251" t="str">
        <f t="shared" si="109"/>
        <v/>
      </c>
      <c r="EA484" s="251" t="str">
        <f t="shared" si="110"/>
        <v/>
      </c>
      <c r="EB484" s="251" t="str">
        <f t="shared" si="111"/>
        <v/>
      </c>
      <c r="EC484" s="251" t="str">
        <f t="shared" si="112"/>
        <v/>
      </c>
      <c r="ED484" s="251" t="str">
        <f t="shared" si="113"/>
        <v/>
      </c>
      <c r="EE484" s="251" t="str">
        <f t="shared" si="114"/>
        <v/>
      </c>
      <c r="EF484" s="251" t="str">
        <f t="shared" si="115"/>
        <v/>
      </c>
      <c r="EG484" s="251" t="str">
        <f t="shared" si="116"/>
        <v/>
      </c>
      <c r="EH484" s="251" t="str">
        <f t="shared" si="117"/>
        <v/>
      </c>
      <c r="EI484" s="251" t="str">
        <f t="shared" si="118"/>
        <v/>
      </c>
      <c r="EJ484" s="251" t="str">
        <f t="shared" si="119"/>
        <v/>
      </c>
      <c r="EK484" s="251" t="str">
        <f t="shared" si="120"/>
        <v/>
      </c>
      <c r="EL484" s="251" t="str">
        <f t="shared" si="121"/>
        <v/>
      </c>
      <c r="EM484" s="251" t="str">
        <f t="shared" si="122"/>
        <v/>
      </c>
      <c r="EN484" s="251" t="str">
        <f t="shared" si="123"/>
        <v/>
      </c>
      <c r="EO484" s="251" t="str">
        <f t="shared" si="124"/>
        <v/>
      </c>
      <c r="EP484" s="251" t="str">
        <f t="shared" si="125"/>
        <v/>
      </c>
      <c r="EQ484" s="251" t="str">
        <f t="shared" si="126"/>
        <v/>
      </c>
      <c r="ER484" s="251" t="str">
        <f t="shared" si="127"/>
        <v/>
      </c>
      <c r="ES484" s="251" t="str">
        <f t="shared" si="128"/>
        <v/>
      </c>
      <c r="ET484" s="251" t="str">
        <f t="shared" si="129"/>
        <v/>
      </c>
      <c r="EU484" s="251" t="str">
        <f t="shared" si="130"/>
        <v/>
      </c>
      <c r="EV484" s="251" t="str">
        <f t="shared" si="131"/>
        <v/>
      </c>
      <c r="EW484" s="251" t="str">
        <f t="shared" si="132"/>
        <v/>
      </c>
      <c r="EX484" s="251" t="str">
        <f t="shared" si="133"/>
        <v/>
      </c>
      <c r="EY484" s="251" t="str">
        <f t="shared" si="134"/>
        <v/>
      </c>
      <c r="EZ484" s="251" t="str">
        <f t="shared" si="135"/>
        <v/>
      </c>
      <c r="FA484" s="251" t="str">
        <f t="shared" si="136"/>
        <v/>
      </c>
      <c r="FB484" s="251" t="str">
        <f t="shared" si="137"/>
        <v/>
      </c>
      <c r="FC484" s="251" t="str">
        <f t="shared" si="138"/>
        <v/>
      </c>
      <c r="FD484" s="251" t="str">
        <f t="shared" si="139"/>
        <v/>
      </c>
      <c r="FE484" s="251" t="str">
        <f t="shared" si="140"/>
        <v/>
      </c>
      <c r="FF484" s="251" t="str">
        <f t="shared" si="141"/>
        <v/>
      </c>
      <c r="FG484" s="251" t="str">
        <f t="shared" si="142"/>
        <v/>
      </c>
      <c r="FH484" s="251" t="str">
        <f t="shared" si="143"/>
        <v/>
      </c>
      <c r="FI484" s="251" t="str">
        <f t="shared" si="144"/>
        <v/>
      </c>
      <c r="FJ484" s="251" t="str">
        <f t="shared" si="145"/>
        <v/>
      </c>
      <c r="FK484" s="251" t="str">
        <f t="shared" si="146"/>
        <v/>
      </c>
      <c r="FL484" s="251" t="str">
        <f t="shared" si="147"/>
        <v/>
      </c>
      <c r="FM484" s="251" t="str">
        <f t="shared" si="148"/>
        <v/>
      </c>
      <c r="FN484" s="251" t="str">
        <f t="shared" si="149"/>
        <v/>
      </c>
      <c r="FO484" s="251" t="str">
        <f t="shared" si="150"/>
        <v/>
      </c>
      <c r="FP484" s="251" t="str">
        <f t="shared" si="151"/>
        <v/>
      </c>
      <c r="FQ484" s="251" t="str">
        <f t="shared" si="152"/>
        <v/>
      </c>
      <c r="FR484" s="251" t="str">
        <f t="shared" si="153"/>
        <v/>
      </c>
      <c r="FS484" s="251" t="str">
        <f t="shared" si="154"/>
        <v/>
      </c>
      <c r="FT484" s="251" t="str">
        <f t="shared" si="155"/>
        <v/>
      </c>
      <c r="FU484" s="251" t="str">
        <f t="shared" si="156"/>
        <v/>
      </c>
      <c r="FV484" s="251" t="str">
        <f t="shared" si="157"/>
        <v/>
      </c>
      <c r="FW484" s="251" t="str">
        <f t="shared" si="158"/>
        <v/>
      </c>
      <c r="FX484" s="251" t="str">
        <f t="shared" si="159"/>
        <v/>
      </c>
      <c r="FY484" s="251" t="str">
        <f t="shared" si="160"/>
        <v/>
      </c>
      <c r="FZ484" s="251" t="str">
        <f t="shared" si="161"/>
        <v/>
      </c>
      <c r="GA484" s="251" t="str">
        <f t="shared" si="162"/>
        <v/>
      </c>
      <c r="GB484" s="251" t="str">
        <f t="shared" si="163"/>
        <v/>
      </c>
      <c r="GC484" s="251" t="str">
        <f t="shared" si="164"/>
        <v/>
      </c>
      <c r="GD484" s="251">
        <f t="shared" si="165"/>
        <v>13533</v>
      </c>
      <c r="GE484" s="251" t="str">
        <f t="shared" si="166"/>
        <v/>
      </c>
      <c r="GF484" s="251" t="str">
        <f t="shared" si="167"/>
        <v/>
      </c>
      <c r="GG484" s="251" t="str">
        <f t="shared" si="168"/>
        <v/>
      </c>
      <c r="GH484" s="251" t="str">
        <f t="shared" si="169"/>
        <v/>
      </c>
      <c r="GI484" s="251" t="str">
        <f t="shared" si="170"/>
        <v/>
      </c>
      <c r="GJ484" s="251" t="str">
        <f t="shared" si="171"/>
        <v/>
      </c>
      <c r="GK484" s="251" t="str">
        <f t="shared" si="172"/>
        <v/>
      </c>
      <c r="GL484" s="251" t="str">
        <f t="shared" si="173"/>
        <v/>
      </c>
      <c r="GM484" s="251" t="str">
        <f t="shared" si="174"/>
        <v/>
      </c>
      <c r="GN484" s="251" t="str">
        <f t="shared" si="175"/>
        <v/>
      </c>
      <c r="GO484" s="251" t="str">
        <f t="shared" si="176"/>
        <v/>
      </c>
      <c r="GP484" s="251" t="str">
        <f t="shared" si="177"/>
        <v/>
      </c>
      <c r="GQ484" s="251" t="str">
        <f t="shared" si="178"/>
        <v/>
      </c>
      <c r="GR484" s="251" t="str">
        <f t="shared" si="179"/>
        <v/>
      </c>
      <c r="GS484" s="251" t="str">
        <f t="shared" si="180"/>
        <v/>
      </c>
      <c r="GT484" s="251" t="str">
        <f t="shared" si="181"/>
        <v/>
      </c>
      <c r="GU484" s="251" t="str">
        <f t="shared" si="182"/>
        <v/>
      </c>
      <c r="GV484" s="251" t="str">
        <f t="shared" si="183"/>
        <v/>
      </c>
      <c r="GW484" s="251" t="str">
        <f t="shared" si="184"/>
        <v/>
      </c>
      <c r="GX484" s="251" t="str">
        <f t="shared" si="185"/>
        <v/>
      </c>
      <c r="GY484" s="251" t="str">
        <f t="shared" si="186"/>
        <v/>
      </c>
      <c r="GZ484" s="251" t="str">
        <f t="shared" si="187"/>
        <v/>
      </c>
      <c r="HA484" s="251" t="str">
        <f t="shared" si="188"/>
        <v/>
      </c>
      <c r="HB484" s="251" t="str">
        <f t="shared" si="189"/>
        <v/>
      </c>
      <c r="HC484" s="251" t="str">
        <f t="shared" si="190"/>
        <v/>
      </c>
      <c r="HD484" s="251" t="str">
        <f t="shared" si="191"/>
        <v/>
      </c>
      <c r="HE484" s="251" t="str">
        <f t="shared" si="192"/>
        <v/>
      </c>
      <c r="HF484" s="251" t="str">
        <f t="shared" si="193"/>
        <v/>
      </c>
      <c r="HG484" s="251" t="str">
        <f t="shared" si="194"/>
        <v/>
      </c>
      <c r="HH484" s="251" t="str">
        <f t="shared" si="195"/>
        <v/>
      </c>
      <c r="HI484" s="251" t="str">
        <f t="shared" si="196"/>
        <v/>
      </c>
      <c r="HJ484" s="251" t="str">
        <f t="shared" si="197"/>
        <v/>
      </c>
      <c r="HK484" s="251" t="str">
        <f t="shared" si="198"/>
        <v/>
      </c>
      <c r="HL484" s="251" t="str">
        <f t="shared" si="199"/>
        <v/>
      </c>
      <c r="HM484" s="251" t="str">
        <f t="shared" si="200"/>
        <v/>
      </c>
      <c r="HN484" s="251" t="str">
        <f t="shared" si="201"/>
        <v/>
      </c>
      <c r="HO484" s="251" t="str">
        <f t="shared" si="202"/>
        <v/>
      </c>
      <c r="HP484" s="251" t="str">
        <f t="shared" si="203"/>
        <v/>
      </c>
      <c r="HQ484" s="251" t="str">
        <f t="shared" si="204"/>
        <v/>
      </c>
      <c r="HR484" s="251" t="str">
        <f t="shared" si="205"/>
        <v/>
      </c>
      <c r="HS484" s="251" t="str">
        <f t="shared" si="206"/>
        <v/>
      </c>
      <c r="HT484" s="251" t="str">
        <f t="shared" si="207"/>
        <v/>
      </c>
      <c r="HU484" s="251" t="str">
        <f t="shared" si="208"/>
        <v/>
      </c>
      <c r="HV484" s="251" t="str">
        <f t="shared" si="209"/>
        <v/>
      </c>
      <c r="HW484" s="251" t="str">
        <f t="shared" si="210"/>
        <v/>
      </c>
      <c r="HX484" s="251" t="str">
        <f t="shared" si="211"/>
        <v/>
      </c>
      <c r="HY484" s="251" t="str">
        <f t="shared" si="212"/>
        <v/>
      </c>
      <c r="HZ484" s="251" t="str">
        <f t="shared" si="213"/>
        <v/>
      </c>
      <c r="IA484" s="251" t="str">
        <f t="shared" si="214"/>
        <v/>
      </c>
      <c r="IB484" s="251" t="str">
        <f t="shared" si="215"/>
        <v/>
      </c>
      <c r="IC484" s="251" t="str">
        <f t="shared" si="216"/>
        <v/>
      </c>
      <c r="ID484" s="251" t="str">
        <f t="shared" si="217"/>
        <v/>
      </c>
      <c r="IE484" s="251" t="str">
        <f t="shared" si="218"/>
        <v/>
      </c>
      <c r="IF484" s="251" t="str">
        <f t="shared" si="219"/>
        <v/>
      </c>
      <c r="IG484" s="251">
        <f t="shared" si="220"/>
        <v>13</v>
      </c>
      <c r="IH484" s="251" t="str">
        <f t="shared" si="221"/>
        <v/>
      </c>
      <c r="II484" s="251" t="str">
        <f t="shared" si="222"/>
        <v/>
      </c>
      <c r="IJ484" s="251" t="str">
        <f t="shared" si="223"/>
        <v/>
      </c>
      <c r="IK484" s="251" t="str">
        <f t="shared" si="224"/>
        <v/>
      </c>
      <c r="IL484" s="251" t="str">
        <f t="shared" si="225"/>
        <v/>
      </c>
      <c r="IM484" s="251" t="str">
        <f t="shared" si="226"/>
        <v/>
      </c>
      <c r="IN484" s="251" t="str">
        <f t="shared" si="227"/>
        <v/>
      </c>
      <c r="IO484" s="251" t="str">
        <f t="shared" si="228"/>
        <v/>
      </c>
      <c r="IP484" s="251" t="str">
        <f t="shared" si="229"/>
        <v/>
      </c>
      <c r="IQ484" s="251" t="str">
        <f t="shared" si="230"/>
        <v/>
      </c>
      <c r="IR484" s="251" t="str">
        <f t="shared" si="231"/>
        <v/>
      </c>
      <c r="IS484" s="251" t="str">
        <f t="shared" si="232"/>
        <v/>
      </c>
      <c r="IT484" s="251" t="str">
        <f t="shared" si="233"/>
        <v/>
      </c>
      <c r="IU484" s="251" t="str">
        <f t="shared" si="234"/>
        <v/>
      </c>
      <c r="IV484" s="251" t="str">
        <f t="shared" si="235"/>
        <v/>
      </c>
      <c r="IW484" s="251" t="str">
        <f t="shared" si="236"/>
        <v/>
      </c>
      <c r="IX484" s="251" t="str">
        <f t="shared" si="237"/>
        <v/>
      </c>
      <c r="IY484" s="251" t="str">
        <f t="shared" si="238"/>
        <v/>
      </c>
      <c r="IZ484" s="251" t="str">
        <f t="shared" si="239"/>
        <v/>
      </c>
      <c r="JA484" s="251" t="str">
        <f t="shared" si="240"/>
        <v/>
      </c>
      <c r="JB484" s="251" t="str">
        <f t="shared" si="241"/>
        <v/>
      </c>
      <c r="JC484" s="251" t="str">
        <f t="shared" si="242"/>
        <v/>
      </c>
      <c r="JD484" s="251" t="str">
        <f t="shared" si="243"/>
        <v/>
      </c>
      <c r="JE484" s="251" t="str">
        <f t="shared" si="244"/>
        <v/>
      </c>
      <c r="JF484" s="251" t="str">
        <f t="shared" si="245"/>
        <v/>
      </c>
      <c r="JG484" s="251" t="str">
        <f t="shared" si="246"/>
        <v/>
      </c>
      <c r="JH484" s="251" t="str">
        <f t="shared" si="247"/>
        <v/>
      </c>
      <c r="JI484" s="1297" t="str">
        <f t="shared" si="248"/>
        <v/>
      </c>
      <c r="JJ484" s="1297" t="str">
        <f t="shared" si="249"/>
        <v/>
      </c>
      <c r="JK484" s="1297">
        <f t="shared" si="250"/>
        <v>13</v>
      </c>
      <c r="JL484" s="1297" t="str">
        <f t="shared" si="251"/>
        <v/>
      </c>
      <c r="JM484" s="1297" t="str">
        <f t="shared" si="252"/>
        <v/>
      </c>
      <c r="JN484" s="1297" t="str">
        <f t="shared" si="253"/>
        <v/>
      </c>
      <c r="JO484" s="1297" t="str">
        <f t="shared" si="254"/>
        <v/>
      </c>
      <c r="JP484" s="1297" t="str">
        <f t="shared" si="255"/>
        <v/>
      </c>
      <c r="JQ484" s="1297" t="str">
        <f t="shared" si="256"/>
        <v/>
      </c>
      <c r="JR484" s="1297" t="str">
        <f t="shared" si="257"/>
        <v/>
      </c>
      <c r="JS484" s="1297" t="str">
        <f t="shared" si="258"/>
        <v/>
      </c>
      <c r="JT484" s="1297" t="str">
        <f t="shared" si="259"/>
        <v/>
      </c>
      <c r="JU484" s="1297" t="str">
        <f t="shared" si="260"/>
        <v/>
      </c>
      <c r="JV484" s="1297" t="str">
        <f t="shared" si="261"/>
        <v/>
      </c>
      <c r="JW484" s="1297" t="str">
        <f t="shared" si="262"/>
        <v/>
      </c>
      <c r="JX484" s="1297" t="str">
        <f t="shared" si="263"/>
        <v/>
      </c>
      <c r="JY484" s="1297" t="str">
        <f t="shared" si="264"/>
        <v/>
      </c>
      <c r="JZ484" s="1297" t="str">
        <f t="shared" si="265"/>
        <v/>
      </c>
      <c r="KA484" s="1297" t="str">
        <f t="shared" si="266"/>
        <v/>
      </c>
      <c r="KB484" s="1297" t="str">
        <f t="shared" si="267"/>
        <v/>
      </c>
      <c r="KC484" s="1297" t="str">
        <f t="shared" si="268"/>
        <v/>
      </c>
      <c r="KD484" s="1297" t="str">
        <f t="shared" si="269"/>
        <v/>
      </c>
      <c r="KE484" s="1297" t="str">
        <f t="shared" si="270"/>
        <v/>
      </c>
      <c r="KF484" s="1297" t="str">
        <f t="shared" si="271"/>
        <v/>
      </c>
      <c r="KG484" s="1297" t="str">
        <f t="shared" si="272"/>
        <v/>
      </c>
      <c r="KH484" s="1297" t="str">
        <f t="shared" si="273"/>
        <v/>
      </c>
      <c r="KI484" s="1297" t="str">
        <f t="shared" si="274"/>
        <v/>
      </c>
      <c r="KJ484" s="1297" t="str">
        <f t="shared" si="275"/>
        <v/>
      </c>
      <c r="KK484" s="1297" t="str">
        <f t="shared" si="276"/>
        <v/>
      </c>
      <c r="KL484" s="1297" t="str">
        <f t="shared" si="277"/>
        <v/>
      </c>
      <c r="KM484" s="1297" t="str">
        <f t="shared" si="278"/>
        <v/>
      </c>
      <c r="KN484" s="1297" t="str">
        <f t="shared" si="279"/>
        <v/>
      </c>
      <c r="KO484" s="1297" t="str">
        <f t="shared" si="280"/>
        <v/>
      </c>
      <c r="KP484" s="1297" t="str">
        <f t="shared" si="281"/>
        <v/>
      </c>
      <c r="KQ484" s="1297" t="str">
        <f t="shared" si="282"/>
        <v/>
      </c>
      <c r="KR484" s="1297" t="str">
        <f t="shared" si="283"/>
        <v/>
      </c>
      <c r="KS484" s="1297" t="str">
        <f t="shared" si="284"/>
        <v/>
      </c>
      <c r="KT484" s="1297" t="str">
        <f t="shared" si="285"/>
        <v/>
      </c>
      <c r="KU484" s="1297" t="str">
        <f t="shared" si="286"/>
        <v/>
      </c>
      <c r="KV484" s="1297" t="str">
        <f t="shared" si="287"/>
        <v/>
      </c>
      <c r="KW484" s="1297" t="str">
        <f t="shared" si="288"/>
        <v/>
      </c>
      <c r="KX484" s="1297" t="str">
        <f t="shared" si="289"/>
        <v/>
      </c>
      <c r="KY484" s="1297" t="str">
        <f t="shared" si="290"/>
        <v/>
      </c>
      <c r="KZ484" s="1297" t="str">
        <f t="shared" si="291"/>
        <v/>
      </c>
      <c r="LA484" s="1297" t="str">
        <f t="shared" si="292"/>
        <v/>
      </c>
      <c r="LB484" s="1297" t="str">
        <f t="shared" si="293"/>
        <v/>
      </c>
      <c r="LC484" s="1297" t="str">
        <f t="shared" si="294"/>
        <v/>
      </c>
      <c r="LD484" s="1297">
        <f t="shared" si="295"/>
        <v>13</v>
      </c>
      <c r="LE484" s="1297" t="str">
        <f t="shared" si="296"/>
        <v/>
      </c>
      <c r="LF484" s="1297" t="str">
        <f t="shared" si="297"/>
        <v/>
      </c>
      <c r="LG484" s="1297" t="str">
        <f t="shared" si="298"/>
        <v/>
      </c>
      <c r="LH484" s="1297" t="str">
        <f t="shared" si="299"/>
        <v/>
      </c>
      <c r="LI484" s="1297" t="str">
        <f t="shared" si="300"/>
        <v/>
      </c>
      <c r="LJ484" s="1297" t="str">
        <f t="shared" si="301"/>
        <v/>
      </c>
      <c r="LK484" s="1297" t="str">
        <f t="shared" si="302"/>
        <v/>
      </c>
      <c r="LL484" s="1297" t="str">
        <f t="shared" si="303"/>
        <v/>
      </c>
      <c r="LM484" s="1297" t="str">
        <f t="shared" si="304"/>
        <v/>
      </c>
      <c r="LN484" s="1297" t="str">
        <f t="shared" si="305"/>
        <v/>
      </c>
      <c r="LO484" s="1297" t="str">
        <f t="shared" si="306"/>
        <v/>
      </c>
      <c r="LP484" s="1297" t="str">
        <f t="shared" si="307"/>
        <v/>
      </c>
      <c r="LQ484" s="1297" t="str">
        <f t="shared" si="308"/>
        <v/>
      </c>
      <c r="LR484" s="1297" t="str">
        <f t="shared" si="309"/>
        <v/>
      </c>
      <c r="LS484" s="1297" t="str">
        <f t="shared" si="310"/>
        <v/>
      </c>
      <c r="LT484" s="1297" t="str">
        <f t="shared" si="311"/>
        <v/>
      </c>
      <c r="LU484" s="1297" t="str">
        <f t="shared" si="312"/>
        <v/>
      </c>
      <c r="LV484" s="1297" t="str">
        <f t="shared" si="313"/>
        <v/>
      </c>
      <c r="LW484" s="1297" t="str">
        <f t="shared" si="314"/>
        <v/>
      </c>
      <c r="LX484" s="1297" t="str">
        <f t="shared" si="315"/>
        <v/>
      </c>
      <c r="LY484" s="1297" t="str">
        <f t="shared" si="316"/>
        <v/>
      </c>
      <c r="LZ484" s="1297" t="str">
        <f t="shared" si="317"/>
        <v/>
      </c>
      <c r="MA484" s="1297" t="str">
        <f t="shared" si="318"/>
        <v/>
      </c>
      <c r="MB484" s="1297" t="str">
        <f t="shared" si="319"/>
        <v/>
      </c>
      <c r="MC484" s="1297" t="str">
        <f t="shared" si="320"/>
        <v/>
      </c>
      <c r="MD484" s="1297" t="str">
        <f t="shared" si="321"/>
        <v/>
      </c>
      <c r="ME484" s="1297" t="str">
        <f t="shared" si="322"/>
        <v/>
      </c>
      <c r="MF484" s="1297" t="str">
        <f t="shared" si="323"/>
        <v/>
      </c>
      <c r="MG484" s="1297" t="str">
        <f t="shared" si="324"/>
        <v/>
      </c>
      <c r="MH484" s="1297" t="str">
        <f t="shared" si="325"/>
        <v/>
      </c>
      <c r="MI484" s="1297" t="str">
        <f t="shared" si="326"/>
        <v/>
      </c>
      <c r="MJ484" s="1297" t="str">
        <f t="shared" si="327"/>
        <v/>
      </c>
      <c r="MK484" s="1297" t="str">
        <f t="shared" si="328"/>
        <v/>
      </c>
      <c r="ML484" s="1297" t="str">
        <f t="shared" si="329"/>
        <v/>
      </c>
      <c r="MM484" s="1297" t="str">
        <f t="shared" si="330"/>
        <v/>
      </c>
      <c r="MN484" s="1297" t="str">
        <f t="shared" si="331"/>
        <v/>
      </c>
      <c r="MO484" s="1297" t="str">
        <f t="shared" si="332"/>
        <v/>
      </c>
      <c r="MP484" s="1773" t="str">
        <f t="shared" si="333"/>
        <v/>
      </c>
      <c r="MQ484" s="1773" t="str">
        <f t="shared" si="334"/>
        <v/>
      </c>
      <c r="MR484" s="1773" t="str">
        <f t="shared" si="335"/>
        <v/>
      </c>
      <c r="MS484" s="1773" t="str">
        <f t="shared" si="336"/>
        <v/>
      </c>
      <c r="MT484" s="1773" t="str">
        <f t="shared" si="337"/>
        <v/>
      </c>
      <c r="MU484" s="251" t="str">
        <f t="shared" si="338"/>
        <v/>
      </c>
      <c r="MV484" s="251" t="str">
        <f t="shared" si="339"/>
        <v/>
      </c>
      <c r="MW484" s="251" t="str">
        <f t="shared" si="340"/>
        <v/>
      </c>
      <c r="MX484" s="251" t="str">
        <f t="shared" si="341"/>
        <v/>
      </c>
      <c r="MY484" s="251" t="str">
        <f t="shared" si="342"/>
        <v/>
      </c>
      <c r="MZ484" s="251" t="str">
        <f t="shared" si="343"/>
        <v/>
      </c>
      <c r="NA484" s="251" t="str">
        <f t="shared" si="344"/>
        <v/>
      </c>
      <c r="NB484" s="251" t="str">
        <f t="shared" si="345"/>
        <v/>
      </c>
      <c r="NC484" s="251" t="str">
        <f t="shared" si="346"/>
        <v/>
      </c>
      <c r="ND484" s="251" t="str">
        <f t="shared" si="347"/>
        <v/>
      </c>
      <c r="NE484" s="251" t="str">
        <f t="shared" si="348"/>
        <v/>
      </c>
      <c r="NF484" s="251" t="str">
        <f t="shared" si="349"/>
        <v/>
      </c>
      <c r="NG484" s="251" t="str">
        <f t="shared" si="350"/>
        <v/>
      </c>
      <c r="NH484" s="251" t="str">
        <f t="shared" si="351"/>
        <v/>
      </c>
      <c r="NI484" s="251" t="str">
        <f t="shared" si="352"/>
        <v/>
      </c>
      <c r="NJ484" s="251" t="str">
        <f t="shared" si="353"/>
        <v/>
      </c>
      <c r="NK484" s="251" t="str">
        <f t="shared" si="354"/>
        <v/>
      </c>
      <c r="NL484" s="251" t="str">
        <f t="shared" si="355"/>
        <v/>
      </c>
      <c r="NM484" s="251" t="str">
        <f t="shared" si="356"/>
        <v/>
      </c>
      <c r="NN484" s="251" t="str">
        <f t="shared" si="357"/>
        <v/>
      </c>
      <c r="NO484" s="1185">
        <f t="shared" si="358"/>
        <v>0</v>
      </c>
      <c r="NP484" s="1185">
        <f t="shared" si="359"/>
        <v>0</v>
      </c>
      <c r="NQ484" s="1185">
        <f t="shared" si="360"/>
        <v>13</v>
      </c>
      <c r="NR484" s="1185">
        <f t="shared" si="361"/>
        <v>0</v>
      </c>
      <c r="NS484" s="1185">
        <f t="shared" si="362"/>
        <v>0</v>
      </c>
      <c r="NT484" s="1185">
        <f t="shared" si="368"/>
        <v>0</v>
      </c>
      <c r="NU484" s="1185">
        <f t="shared" si="369"/>
        <v>0</v>
      </c>
      <c r="NV484" s="1185">
        <f t="shared" si="370"/>
        <v>0</v>
      </c>
      <c r="NW484" s="1185">
        <f t="shared" si="371"/>
        <v>0</v>
      </c>
      <c r="NX484" s="1185">
        <f t="shared" si="372"/>
        <v>0</v>
      </c>
      <c r="NY484" s="1185">
        <f t="shared" si="363"/>
        <v>0</v>
      </c>
      <c r="NZ484" s="1185">
        <f t="shared" si="364"/>
        <v>0</v>
      </c>
      <c r="OA484" s="1185">
        <f t="shared" si="365"/>
        <v>0</v>
      </c>
      <c r="OB484" s="1185">
        <f t="shared" si="366"/>
        <v>0</v>
      </c>
      <c r="OC484" s="1185">
        <f t="shared" si="367"/>
        <v>0</v>
      </c>
      <c r="OY484" s="251" t="s">
        <v>1179</v>
      </c>
      <c r="OZ484" s="1771">
        <v>31</v>
      </c>
    </row>
    <row r="485" spans="1:416" ht="12" customHeight="1">
      <c r="A485" s="1979" t="str">
        <f t="shared" si="0"/>
        <v/>
      </c>
      <c r="B485" s="1998">
        <f>'Part V-Revenues &amp; Expenses'!B32</f>
        <v>60</v>
      </c>
      <c r="C485" s="1999">
        <f>'Part V-Revenues &amp; Expenses'!C32</f>
        <v>3</v>
      </c>
      <c r="D485" s="2000">
        <f>'Part V-Revenues &amp; Expenses'!D32</f>
        <v>2</v>
      </c>
      <c r="E485" s="2001">
        <f>'Part V-Revenues &amp; Expenses'!E32</f>
        <v>8</v>
      </c>
      <c r="F485" s="2001">
        <f>'Part V-Revenues &amp; Expenses'!F32</f>
        <v>1170</v>
      </c>
      <c r="G485" s="2001">
        <f>'Part V-Revenues &amp; Expenses'!G32</f>
        <v>1284</v>
      </c>
      <c r="H485" s="2001">
        <f>'Part V-Revenues &amp; Expenses'!H32</f>
        <v>1274</v>
      </c>
      <c r="I485" s="2001">
        <f>'Part V-Revenues &amp; Expenses'!I32</f>
        <v>0</v>
      </c>
      <c r="J485" s="2001">
        <f>'Part V-Revenues &amp; Expenses'!J32</f>
        <v>238</v>
      </c>
      <c r="K485" s="2002">
        <f>'Part V-Revenues &amp; Expenses'!K32</f>
        <v>0</v>
      </c>
      <c r="L485" s="2003">
        <f t="shared" si="1"/>
        <v>1036</v>
      </c>
      <c r="M485" s="2003">
        <f t="shared" si="2"/>
        <v>8288</v>
      </c>
      <c r="N485" s="1853" t="str">
        <f>'Part V-Revenues &amp; Expenses'!N32</f>
        <v>No</v>
      </c>
      <c r="O485" s="899" t="str">
        <f>'Part V-Revenues &amp; Expenses'!O32</f>
        <v>Low-Rise Apt</v>
      </c>
      <c r="P485" s="1853" t="str">
        <f>'Part V-Revenues &amp; Expenses'!P32</f>
        <v>Acquisition/Rehab</v>
      </c>
      <c r="Q485" s="1772" t="str">
        <f>'Part V-Revenues &amp; Expenses'!Q32</f>
        <v>No</v>
      </c>
      <c r="R485" s="2004"/>
      <c r="S485" s="2005"/>
      <c r="T485" s="1920"/>
      <c r="U485" s="1920"/>
      <c r="V485" s="1920"/>
      <c r="W485" s="1920"/>
      <c r="X485" s="251" t="str">
        <f t="shared" si="3"/>
        <v/>
      </c>
      <c r="Y485" s="251" t="str">
        <f t="shared" si="4"/>
        <v/>
      </c>
      <c r="Z485" s="251" t="str">
        <f t="shared" si="5"/>
        <v/>
      </c>
      <c r="AA485" s="251" t="str">
        <f t="shared" si="6"/>
        <v/>
      </c>
      <c r="AB485" s="251" t="str">
        <f t="shared" si="7"/>
        <v/>
      </c>
      <c r="AC485" s="251" t="str">
        <f t="shared" si="8"/>
        <v/>
      </c>
      <c r="AD485" s="251" t="str">
        <f t="shared" si="9"/>
        <v/>
      </c>
      <c r="AE485" s="251" t="str">
        <f t="shared" si="10"/>
        <v/>
      </c>
      <c r="AF485" s="251" t="str">
        <f t="shared" si="11"/>
        <v/>
      </c>
      <c r="AG485" s="251" t="str">
        <f t="shared" si="12"/>
        <v/>
      </c>
      <c r="AH485" s="251" t="str">
        <f t="shared" si="13"/>
        <v/>
      </c>
      <c r="AI485" s="251" t="str">
        <f t="shared" si="14"/>
        <v/>
      </c>
      <c r="AJ485" s="251" t="str">
        <f t="shared" si="15"/>
        <v/>
      </c>
      <c r="AK485" s="251">
        <f t="shared" si="16"/>
        <v>8</v>
      </c>
      <c r="AL485" s="251" t="str">
        <f t="shared" si="17"/>
        <v/>
      </c>
      <c r="AM485" s="251" t="str">
        <f t="shared" si="18"/>
        <v/>
      </c>
      <c r="AN485" s="251" t="str">
        <f t="shared" si="19"/>
        <v/>
      </c>
      <c r="AO485" s="251" t="str">
        <f t="shared" si="20"/>
        <v/>
      </c>
      <c r="AP485" s="251" t="str">
        <f t="shared" si="21"/>
        <v/>
      </c>
      <c r="AQ485" s="251" t="str">
        <f t="shared" si="22"/>
        <v/>
      </c>
      <c r="AR485" s="251" t="str">
        <f t="shared" si="23"/>
        <v/>
      </c>
      <c r="AS485" s="251" t="str">
        <f t="shared" si="24"/>
        <v/>
      </c>
      <c r="AT485" s="251" t="str">
        <f t="shared" si="25"/>
        <v/>
      </c>
      <c r="AU485" s="251" t="str">
        <f t="shared" si="26"/>
        <v/>
      </c>
      <c r="AV485" s="251" t="str">
        <f t="shared" si="27"/>
        <v/>
      </c>
      <c r="AW485" s="251" t="str">
        <f t="shared" si="28"/>
        <v/>
      </c>
      <c r="AX485" s="251" t="str">
        <f t="shared" si="29"/>
        <v/>
      </c>
      <c r="AY485" s="251" t="str">
        <f t="shared" si="30"/>
        <v/>
      </c>
      <c r="AZ485" s="251" t="str">
        <f t="shared" si="31"/>
        <v/>
      </c>
      <c r="BA485" s="251" t="str">
        <f t="shared" si="32"/>
        <v/>
      </c>
      <c r="BB485" s="251" t="str">
        <f t="shared" si="33"/>
        <v/>
      </c>
      <c r="BC485" s="251" t="str">
        <f t="shared" si="34"/>
        <v/>
      </c>
      <c r="BD485" s="251" t="str">
        <f t="shared" si="35"/>
        <v/>
      </c>
      <c r="BE485" s="251" t="str">
        <f t="shared" si="36"/>
        <v/>
      </c>
      <c r="BF485" s="251" t="str">
        <f t="shared" si="37"/>
        <v/>
      </c>
      <c r="BG485" s="251" t="str">
        <f t="shared" si="38"/>
        <v/>
      </c>
      <c r="BH485" s="251" t="str">
        <f t="shared" si="39"/>
        <v/>
      </c>
      <c r="BI485" s="251" t="str">
        <f t="shared" si="40"/>
        <v/>
      </c>
      <c r="BJ485" s="251" t="str">
        <f t="shared" si="41"/>
        <v/>
      </c>
      <c r="BK485" s="251" t="str">
        <f t="shared" si="42"/>
        <v/>
      </c>
      <c r="BL485" s="251" t="str">
        <f t="shared" si="43"/>
        <v/>
      </c>
      <c r="BM485" s="251" t="str">
        <f t="shared" si="44"/>
        <v/>
      </c>
      <c r="BN485" s="251" t="str">
        <f t="shared" si="45"/>
        <v/>
      </c>
      <c r="BO485" s="251" t="str">
        <f t="shared" si="46"/>
        <v/>
      </c>
      <c r="BP485" s="251" t="str">
        <f t="shared" si="47"/>
        <v/>
      </c>
      <c r="BQ485" s="251" t="str">
        <f t="shared" si="48"/>
        <v/>
      </c>
      <c r="BR485" s="251" t="str">
        <f t="shared" si="49"/>
        <v/>
      </c>
      <c r="BS485" s="251" t="str">
        <f t="shared" si="50"/>
        <v/>
      </c>
      <c r="BT485" s="251" t="str">
        <f t="shared" si="51"/>
        <v/>
      </c>
      <c r="BU485" s="251" t="str">
        <f t="shared" si="52"/>
        <v/>
      </c>
      <c r="BV485" s="251" t="str">
        <f t="shared" si="53"/>
        <v/>
      </c>
      <c r="BW485" s="251" t="str">
        <f t="shared" si="54"/>
        <v/>
      </c>
      <c r="BX485" s="251" t="str">
        <f t="shared" si="55"/>
        <v/>
      </c>
      <c r="BY485" s="251" t="str">
        <f t="shared" si="56"/>
        <v/>
      </c>
      <c r="BZ485" s="251" t="str">
        <f t="shared" si="57"/>
        <v/>
      </c>
      <c r="CA485" s="251" t="str">
        <f t="shared" si="58"/>
        <v/>
      </c>
      <c r="CB485" s="251" t="str">
        <f t="shared" si="59"/>
        <v/>
      </c>
      <c r="CC485" s="251" t="str">
        <f t="shared" si="60"/>
        <v/>
      </c>
      <c r="CD485" s="251" t="str">
        <f t="shared" si="61"/>
        <v/>
      </c>
      <c r="CE485" s="251" t="str">
        <f t="shared" si="62"/>
        <v/>
      </c>
      <c r="CF485" s="251" t="str">
        <f t="shared" si="63"/>
        <v/>
      </c>
      <c r="CG485" s="251" t="str">
        <f t="shared" si="64"/>
        <v/>
      </c>
      <c r="CH485" s="251" t="str">
        <f t="shared" si="65"/>
        <v/>
      </c>
      <c r="CI485" s="251" t="str">
        <f t="shared" si="66"/>
        <v/>
      </c>
      <c r="CJ485" s="251" t="str">
        <f t="shared" si="67"/>
        <v/>
      </c>
      <c r="CK485" s="251" t="str">
        <f t="shared" si="68"/>
        <v/>
      </c>
      <c r="CL485" s="251" t="str">
        <f t="shared" si="69"/>
        <v/>
      </c>
      <c r="CM485" s="251" t="str">
        <f t="shared" si="70"/>
        <v/>
      </c>
      <c r="CN485" s="251" t="str">
        <f t="shared" si="71"/>
        <v/>
      </c>
      <c r="CO485" s="251" t="str">
        <f t="shared" si="72"/>
        <v/>
      </c>
      <c r="CP485" s="251" t="str">
        <f t="shared" si="73"/>
        <v/>
      </c>
      <c r="CQ485" s="251" t="str">
        <f t="shared" si="74"/>
        <v/>
      </c>
      <c r="CR485" s="251" t="str">
        <f t="shared" si="75"/>
        <v/>
      </c>
      <c r="CS485" s="251" t="str">
        <f t="shared" si="76"/>
        <v/>
      </c>
      <c r="CT485" s="251" t="str">
        <f t="shared" si="77"/>
        <v/>
      </c>
      <c r="CU485" s="251" t="str">
        <f t="shared" si="78"/>
        <v/>
      </c>
      <c r="CV485" s="251" t="str">
        <f t="shared" si="79"/>
        <v/>
      </c>
      <c r="CW485" s="251" t="str">
        <f t="shared" si="80"/>
        <v/>
      </c>
      <c r="CX485" s="251" t="str">
        <f t="shared" si="81"/>
        <v/>
      </c>
      <c r="CY485" s="251" t="str">
        <f t="shared" si="82"/>
        <v/>
      </c>
      <c r="CZ485" s="251" t="str">
        <f t="shared" si="83"/>
        <v/>
      </c>
      <c r="DA485" s="251" t="str">
        <f t="shared" si="84"/>
        <v/>
      </c>
      <c r="DB485" s="251" t="str">
        <f t="shared" si="85"/>
        <v/>
      </c>
      <c r="DC485" s="251" t="str">
        <f t="shared" si="86"/>
        <v/>
      </c>
      <c r="DD485" s="251" t="str">
        <f t="shared" si="87"/>
        <v/>
      </c>
      <c r="DE485" s="251" t="str">
        <f t="shared" si="88"/>
        <v/>
      </c>
      <c r="DF485" s="251" t="str">
        <f t="shared" si="89"/>
        <v/>
      </c>
      <c r="DG485" s="251" t="str">
        <f t="shared" si="90"/>
        <v/>
      </c>
      <c r="DH485" s="251" t="str">
        <f t="shared" si="91"/>
        <v/>
      </c>
      <c r="DI485" s="251" t="str">
        <f t="shared" si="92"/>
        <v/>
      </c>
      <c r="DJ485" s="251" t="str">
        <f t="shared" si="93"/>
        <v/>
      </c>
      <c r="DK485" s="251" t="str">
        <f t="shared" si="94"/>
        <v/>
      </c>
      <c r="DL485" s="251" t="str">
        <f t="shared" si="95"/>
        <v/>
      </c>
      <c r="DM485" s="251" t="str">
        <f t="shared" si="96"/>
        <v/>
      </c>
      <c r="DN485" s="251" t="str">
        <f t="shared" si="97"/>
        <v/>
      </c>
      <c r="DO485" s="251" t="str">
        <f t="shared" si="98"/>
        <v/>
      </c>
      <c r="DP485" s="251" t="str">
        <f t="shared" si="99"/>
        <v/>
      </c>
      <c r="DQ485" s="251" t="str">
        <f t="shared" si="100"/>
        <v/>
      </c>
      <c r="DR485" s="251" t="str">
        <f t="shared" si="101"/>
        <v/>
      </c>
      <c r="DS485" s="251" t="str">
        <f t="shared" si="102"/>
        <v/>
      </c>
      <c r="DT485" s="251" t="str">
        <f t="shared" si="103"/>
        <v/>
      </c>
      <c r="DU485" s="251" t="str">
        <f t="shared" si="104"/>
        <v/>
      </c>
      <c r="DV485" s="251" t="str">
        <f t="shared" si="105"/>
        <v/>
      </c>
      <c r="DW485" s="251" t="str">
        <f t="shared" si="106"/>
        <v/>
      </c>
      <c r="DX485" s="251" t="str">
        <f t="shared" si="107"/>
        <v/>
      </c>
      <c r="DY485" s="251" t="str">
        <f t="shared" si="108"/>
        <v/>
      </c>
      <c r="DZ485" s="251" t="str">
        <f t="shared" si="109"/>
        <v/>
      </c>
      <c r="EA485" s="251" t="str">
        <f t="shared" si="110"/>
        <v/>
      </c>
      <c r="EB485" s="251" t="str">
        <f t="shared" si="111"/>
        <v/>
      </c>
      <c r="EC485" s="251" t="str">
        <f t="shared" si="112"/>
        <v/>
      </c>
      <c r="ED485" s="251" t="str">
        <f t="shared" si="113"/>
        <v/>
      </c>
      <c r="EE485" s="251" t="str">
        <f t="shared" si="114"/>
        <v/>
      </c>
      <c r="EF485" s="251" t="str">
        <f t="shared" si="115"/>
        <v/>
      </c>
      <c r="EG485" s="251" t="str">
        <f t="shared" si="116"/>
        <v/>
      </c>
      <c r="EH485" s="251" t="str">
        <f t="shared" si="117"/>
        <v/>
      </c>
      <c r="EI485" s="251" t="str">
        <f t="shared" si="118"/>
        <v/>
      </c>
      <c r="EJ485" s="251" t="str">
        <f t="shared" si="119"/>
        <v/>
      </c>
      <c r="EK485" s="251" t="str">
        <f t="shared" si="120"/>
        <v/>
      </c>
      <c r="EL485" s="251" t="str">
        <f t="shared" si="121"/>
        <v/>
      </c>
      <c r="EM485" s="251" t="str">
        <f t="shared" si="122"/>
        <v/>
      </c>
      <c r="EN485" s="251" t="str">
        <f t="shared" si="123"/>
        <v/>
      </c>
      <c r="EO485" s="251" t="str">
        <f t="shared" si="124"/>
        <v/>
      </c>
      <c r="EP485" s="251" t="str">
        <f t="shared" si="125"/>
        <v/>
      </c>
      <c r="EQ485" s="251" t="str">
        <f t="shared" si="126"/>
        <v/>
      </c>
      <c r="ER485" s="251" t="str">
        <f t="shared" si="127"/>
        <v/>
      </c>
      <c r="ES485" s="251" t="str">
        <f t="shared" si="128"/>
        <v/>
      </c>
      <c r="ET485" s="251" t="str">
        <f t="shared" si="129"/>
        <v/>
      </c>
      <c r="EU485" s="251" t="str">
        <f t="shared" si="130"/>
        <v/>
      </c>
      <c r="EV485" s="251" t="str">
        <f t="shared" si="131"/>
        <v/>
      </c>
      <c r="EW485" s="251" t="str">
        <f t="shared" si="132"/>
        <v/>
      </c>
      <c r="EX485" s="251" t="str">
        <f t="shared" si="133"/>
        <v/>
      </c>
      <c r="EY485" s="251" t="str">
        <f t="shared" si="134"/>
        <v/>
      </c>
      <c r="EZ485" s="251" t="str">
        <f t="shared" si="135"/>
        <v/>
      </c>
      <c r="FA485" s="251" t="str">
        <f t="shared" si="136"/>
        <v/>
      </c>
      <c r="FB485" s="251" t="str">
        <f t="shared" si="137"/>
        <v/>
      </c>
      <c r="FC485" s="251" t="str">
        <f t="shared" si="138"/>
        <v/>
      </c>
      <c r="FD485" s="251" t="str">
        <f t="shared" si="139"/>
        <v/>
      </c>
      <c r="FE485" s="251" t="str">
        <f t="shared" si="140"/>
        <v/>
      </c>
      <c r="FF485" s="251" t="str">
        <f t="shared" si="141"/>
        <v/>
      </c>
      <c r="FG485" s="251" t="str">
        <f t="shared" si="142"/>
        <v/>
      </c>
      <c r="FH485" s="251" t="str">
        <f t="shared" si="143"/>
        <v/>
      </c>
      <c r="FI485" s="251" t="str">
        <f t="shared" si="144"/>
        <v/>
      </c>
      <c r="FJ485" s="251" t="str">
        <f t="shared" si="145"/>
        <v/>
      </c>
      <c r="FK485" s="251" t="str">
        <f t="shared" si="146"/>
        <v/>
      </c>
      <c r="FL485" s="251" t="str">
        <f t="shared" si="147"/>
        <v/>
      </c>
      <c r="FM485" s="251" t="str">
        <f t="shared" si="148"/>
        <v/>
      </c>
      <c r="FN485" s="251" t="str">
        <f t="shared" si="149"/>
        <v/>
      </c>
      <c r="FO485" s="251" t="str">
        <f t="shared" si="150"/>
        <v/>
      </c>
      <c r="FP485" s="251" t="str">
        <f t="shared" si="151"/>
        <v/>
      </c>
      <c r="FQ485" s="251" t="str">
        <f t="shared" si="152"/>
        <v/>
      </c>
      <c r="FR485" s="251" t="str">
        <f t="shared" si="153"/>
        <v/>
      </c>
      <c r="FS485" s="251" t="str">
        <f t="shared" si="154"/>
        <v/>
      </c>
      <c r="FT485" s="251" t="str">
        <f t="shared" si="155"/>
        <v/>
      </c>
      <c r="FU485" s="251" t="str">
        <f t="shared" si="156"/>
        <v/>
      </c>
      <c r="FV485" s="251" t="str">
        <f t="shared" si="157"/>
        <v/>
      </c>
      <c r="FW485" s="251" t="str">
        <f t="shared" si="158"/>
        <v/>
      </c>
      <c r="FX485" s="251" t="str">
        <f t="shared" si="159"/>
        <v/>
      </c>
      <c r="FY485" s="251" t="str">
        <f t="shared" si="160"/>
        <v/>
      </c>
      <c r="FZ485" s="251" t="str">
        <f t="shared" si="161"/>
        <v/>
      </c>
      <c r="GA485" s="251" t="str">
        <f t="shared" si="162"/>
        <v/>
      </c>
      <c r="GB485" s="251" t="str">
        <f t="shared" si="163"/>
        <v/>
      </c>
      <c r="GC485" s="251" t="str">
        <f t="shared" si="164"/>
        <v/>
      </c>
      <c r="GD485" s="251" t="str">
        <f t="shared" si="165"/>
        <v/>
      </c>
      <c r="GE485" s="251">
        <f t="shared" si="166"/>
        <v>9360</v>
      </c>
      <c r="GF485" s="251" t="str">
        <f t="shared" si="167"/>
        <v/>
      </c>
      <c r="GG485" s="251" t="str">
        <f t="shared" si="168"/>
        <v/>
      </c>
      <c r="GH485" s="251" t="str">
        <f t="shared" si="169"/>
        <v/>
      </c>
      <c r="GI485" s="251" t="str">
        <f t="shared" si="170"/>
        <v/>
      </c>
      <c r="GJ485" s="251" t="str">
        <f t="shared" si="171"/>
        <v/>
      </c>
      <c r="GK485" s="251" t="str">
        <f t="shared" si="172"/>
        <v/>
      </c>
      <c r="GL485" s="251" t="str">
        <f t="shared" si="173"/>
        <v/>
      </c>
      <c r="GM485" s="251" t="str">
        <f t="shared" si="174"/>
        <v/>
      </c>
      <c r="GN485" s="251" t="str">
        <f t="shared" si="175"/>
        <v/>
      </c>
      <c r="GO485" s="251" t="str">
        <f t="shared" si="176"/>
        <v/>
      </c>
      <c r="GP485" s="251" t="str">
        <f t="shared" si="177"/>
        <v/>
      </c>
      <c r="GQ485" s="251" t="str">
        <f t="shared" si="178"/>
        <v/>
      </c>
      <c r="GR485" s="251" t="str">
        <f t="shared" si="179"/>
        <v/>
      </c>
      <c r="GS485" s="251" t="str">
        <f t="shared" si="180"/>
        <v/>
      </c>
      <c r="GT485" s="251" t="str">
        <f t="shared" si="181"/>
        <v/>
      </c>
      <c r="GU485" s="251" t="str">
        <f t="shared" si="182"/>
        <v/>
      </c>
      <c r="GV485" s="251" t="str">
        <f t="shared" si="183"/>
        <v/>
      </c>
      <c r="GW485" s="251" t="str">
        <f t="shared" si="184"/>
        <v/>
      </c>
      <c r="GX485" s="251" t="str">
        <f t="shared" si="185"/>
        <v/>
      </c>
      <c r="GY485" s="251" t="str">
        <f t="shared" si="186"/>
        <v/>
      </c>
      <c r="GZ485" s="251" t="str">
        <f t="shared" si="187"/>
        <v/>
      </c>
      <c r="HA485" s="251" t="str">
        <f t="shared" si="188"/>
        <v/>
      </c>
      <c r="HB485" s="251" t="str">
        <f t="shared" si="189"/>
        <v/>
      </c>
      <c r="HC485" s="251" t="str">
        <f t="shared" si="190"/>
        <v/>
      </c>
      <c r="HD485" s="251" t="str">
        <f t="shared" si="191"/>
        <v/>
      </c>
      <c r="HE485" s="251" t="str">
        <f t="shared" si="192"/>
        <v/>
      </c>
      <c r="HF485" s="251" t="str">
        <f t="shared" si="193"/>
        <v/>
      </c>
      <c r="HG485" s="251" t="str">
        <f t="shared" si="194"/>
        <v/>
      </c>
      <c r="HH485" s="251" t="str">
        <f t="shared" si="195"/>
        <v/>
      </c>
      <c r="HI485" s="251" t="str">
        <f t="shared" si="196"/>
        <v/>
      </c>
      <c r="HJ485" s="251" t="str">
        <f t="shared" si="197"/>
        <v/>
      </c>
      <c r="HK485" s="251" t="str">
        <f t="shared" si="198"/>
        <v/>
      </c>
      <c r="HL485" s="251" t="str">
        <f t="shared" si="199"/>
        <v/>
      </c>
      <c r="HM485" s="251" t="str">
        <f t="shared" si="200"/>
        <v/>
      </c>
      <c r="HN485" s="251" t="str">
        <f t="shared" si="201"/>
        <v/>
      </c>
      <c r="HO485" s="251" t="str">
        <f t="shared" si="202"/>
        <v/>
      </c>
      <c r="HP485" s="251" t="str">
        <f t="shared" si="203"/>
        <v/>
      </c>
      <c r="HQ485" s="251" t="str">
        <f t="shared" si="204"/>
        <v/>
      </c>
      <c r="HR485" s="251" t="str">
        <f t="shared" si="205"/>
        <v/>
      </c>
      <c r="HS485" s="251" t="str">
        <f t="shared" si="206"/>
        <v/>
      </c>
      <c r="HT485" s="251" t="str">
        <f t="shared" si="207"/>
        <v/>
      </c>
      <c r="HU485" s="251" t="str">
        <f t="shared" si="208"/>
        <v/>
      </c>
      <c r="HV485" s="251" t="str">
        <f t="shared" si="209"/>
        <v/>
      </c>
      <c r="HW485" s="251" t="str">
        <f t="shared" si="210"/>
        <v/>
      </c>
      <c r="HX485" s="251" t="str">
        <f t="shared" si="211"/>
        <v/>
      </c>
      <c r="HY485" s="251" t="str">
        <f t="shared" si="212"/>
        <v/>
      </c>
      <c r="HZ485" s="251" t="str">
        <f t="shared" si="213"/>
        <v/>
      </c>
      <c r="IA485" s="251" t="str">
        <f t="shared" si="214"/>
        <v/>
      </c>
      <c r="IB485" s="251" t="str">
        <f t="shared" si="215"/>
        <v/>
      </c>
      <c r="IC485" s="251" t="str">
        <f t="shared" si="216"/>
        <v/>
      </c>
      <c r="ID485" s="251" t="str">
        <f t="shared" si="217"/>
        <v/>
      </c>
      <c r="IE485" s="251" t="str">
        <f t="shared" si="218"/>
        <v/>
      </c>
      <c r="IF485" s="251" t="str">
        <f t="shared" si="219"/>
        <v/>
      </c>
      <c r="IG485" s="251" t="str">
        <f t="shared" si="220"/>
        <v/>
      </c>
      <c r="IH485" s="251">
        <f t="shared" si="221"/>
        <v>8</v>
      </c>
      <c r="II485" s="251" t="str">
        <f t="shared" si="222"/>
        <v/>
      </c>
      <c r="IJ485" s="251" t="str">
        <f t="shared" si="223"/>
        <v/>
      </c>
      <c r="IK485" s="251" t="str">
        <f t="shared" si="224"/>
        <v/>
      </c>
      <c r="IL485" s="251" t="str">
        <f t="shared" si="225"/>
        <v/>
      </c>
      <c r="IM485" s="251" t="str">
        <f t="shared" si="226"/>
        <v/>
      </c>
      <c r="IN485" s="251" t="str">
        <f t="shared" si="227"/>
        <v/>
      </c>
      <c r="IO485" s="251" t="str">
        <f t="shared" si="228"/>
        <v/>
      </c>
      <c r="IP485" s="251" t="str">
        <f t="shared" si="229"/>
        <v/>
      </c>
      <c r="IQ485" s="251" t="str">
        <f t="shared" si="230"/>
        <v/>
      </c>
      <c r="IR485" s="251" t="str">
        <f t="shared" si="231"/>
        <v/>
      </c>
      <c r="IS485" s="251" t="str">
        <f t="shared" si="232"/>
        <v/>
      </c>
      <c r="IT485" s="251" t="str">
        <f t="shared" si="233"/>
        <v/>
      </c>
      <c r="IU485" s="251" t="str">
        <f t="shared" si="234"/>
        <v/>
      </c>
      <c r="IV485" s="251" t="str">
        <f t="shared" si="235"/>
        <v/>
      </c>
      <c r="IW485" s="251" t="str">
        <f t="shared" si="236"/>
        <v/>
      </c>
      <c r="IX485" s="251" t="str">
        <f t="shared" si="237"/>
        <v/>
      </c>
      <c r="IY485" s="251" t="str">
        <f t="shared" si="238"/>
        <v/>
      </c>
      <c r="IZ485" s="251" t="str">
        <f t="shared" si="239"/>
        <v/>
      </c>
      <c r="JA485" s="251" t="str">
        <f t="shared" si="240"/>
        <v/>
      </c>
      <c r="JB485" s="251" t="str">
        <f t="shared" si="241"/>
        <v/>
      </c>
      <c r="JC485" s="251" t="str">
        <f t="shared" si="242"/>
        <v/>
      </c>
      <c r="JD485" s="251" t="str">
        <f t="shared" si="243"/>
        <v/>
      </c>
      <c r="JE485" s="251" t="str">
        <f t="shared" si="244"/>
        <v/>
      </c>
      <c r="JF485" s="251" t="str">
        <f t="shared" si="245"/>
        <v/>
      </c>
      <c r="JG485" s="251" t="str">
        <f t="shared" si="246"/>
        <v/>
      </c>
      <c r="JH485" s="251" t="str">
        <f t="shared" si="247"/>
        <v/>
      </c>
      <c r="JI485" s="1297" t="str">
        <f t="shared" si="248"/>
        <v/>
      </c>
      <c r="JJ485" s="1297" t="str">
        <f t="shared" si="249"/>
        <v/>
      </c>
      <c r="JK485" s="1297" t="str">
        <f t="shared" si="250"/>
        <v/>
      </c>
      <c r="JL485" s="1297">
        <f t="shared" si="251"/>
        <v>8</v>
      </c>
      <c r="JM485" s="1297" t="str">
        <f t="shared" si="252"/>
        <v/>
      </c>
      <c r="JN485" s="1297" t="str">
        <f t="shared" si="253"/>
        <v/>
      </c>
      <c r="JO485" s="1297" t="str">
        <f t="shared" si="254"/>
        <v/>
      </c>
      <c r="JP485" s="1297" t="str">
        <f t="shared" si="255"/>
        <v/>
      </c>
      <c r="JQ485" s="1297" t="str">
        <f t="shared" si="256"/>
        <v/>
      </c>
      <c r="JR485" s="1297" t="str">
        <f t="shared" si="257"/>
        <v/>
      </c>
      <c r="JS485" s="1297" t="str">
        <f t="shared" si="258"/>
        <v/>
      </c>
      <c r="JT485" s="1297" t="str">
        <f t="shared" si="259"/>
        <v/>
      </c>
      <c r="JU485" s="1297" t="str">
        <f t="shared" si="260"/>
        <v/>
      </c>
      <c r="JV485" s="1297" t="str">
        <f t="shared" si="261"/>
        <v/>
      </c>
      <c r="JW485" s="1297" t="str">
        <f t="shared" si="262"/>
        <v/>
      </c>
      <c r="JX485" s="1297" t="str">
        <f t="shared" si="263"/>
        <v/>
      </c>
      <c r="JY485" s="1297" t="str">
        <f t="shared" si="264"/>
        <v/>
      </c>
      <c r="JZ485" s="1297" t="str">
        <f t="shared" si="265"/>
        <v/>
      </c>
      <c r="KA485" s="1297" t="str">
        <f t="shared" si="266"/>
        <v/>
      </c>
      <c r="KB485" s="1297" t="str">
        <f t="shared" si="267"/>
        <v/>
      </c>
      <c r="KC485" s="1297" t="str">
        <f t="shared" si="268"/>
        <v/>
      </c>
      <c r="KD485" s="1297" t="str">
        <f t="shared" si="269"/>
        <v/>
      </c>
      <c r="KE485" s="1297" t="str">
        <f t="shared" si="270"/>
        <v/>
      </c>
      <c r="KF485" s="1297" t="str">
        <f t="shared" si="271"/>
        <v/>
      </c>
      <c r="KG485" s="1297" t="str">
        <f t="shared" si="272"/>
        <v/>
      </c>
      <c r="KH485" s="1297" t="str">
        <f t="shared" si="273"/>
        <v/>
      </c>
      <c r="KI485" s="1297" t="str">
        <f t="shared" si="274"/>
        <v/>
      </c>
      <c r="KJ485" s="1297" t="str">
        <f t="shared" si="275"/>
        <v/>
      </c>
      <c r="KK485" s="1297" t="str">
        <f t="shared" si="276"/>
        <v/>
      </c>
      <c r="KL485" s="1297" t="str">
        <f t="shared" si="277"/>
        <v/>
      </c>
      <c r="KM485" s="1297" t="str">
        <f t="shared" si="278"/>
        <v/>
      </c>
      <c r="KN485" s="1297" t="str">
        <f t="shared" si="279"/>
        <v/>
      </c>
      <c r="KO485" s="1297" t="str">
        <f t="shared" si="280"/>
        <v/>
      </c>
      <c r="KP485" s="1297" t="str">
        <f t="shared" si="281"/>
        <v/>
      </c>
      <c r="KQ485" s="1297" t="str">
        <f t="shared" si="282"/>
        <v/>
      </c>
      <c r="KR485" s="1297" t="str">
        <f t="shared" si="283"/>
        <v/>
      </c>
      <c r="KS485" s="1297" t="str">
        <f t="shared" si="284"/>
        <v/>
      </c>
      <c r="KT485" s="1297" t="str">
        <f t="shared" si="285"/>
        <v/>
      </c>
      <c r="KU485" s="1297" t="str">
        <f t="shared" si="286"/>
        <v/>
      </c>
      <c r="KV485" s="1297" t="str">
        <f t="shared" si="287"/>
        <v/>
      </c>
      <c r="KW485" s="1297" t="str">
        <f t="shared" si="288"/>
        <v/>
      </c>
      <c r="KX485" s="1297" t="str">
        <f t="shared" si="289"/>
        <v/>
      </c>
      <c r="KY485" s="1297" t="str">
        <f t="shared" si="290"/>
        <v/>
      </c>
      <c r="KZ485" s="1297" t="str">
        <f t="shared" si="291"/>
        <v/>
      </c>
      <c r="LA485" s="1297" t="str">
        <f t="shared" si="292"/>
        <v/>
      </c>
      <c r="LB485" s="1297" t="str">
        <f t="shared" si="293"/>
        <v/>
      </c>
      <c r="LC485" s="1297" t="str">
        <f t="shared" si="294"/>
        <v/>
      </c>
      <c r="LD485" s="1297" t="str">
        <f t="shared" si="295"/>
        <v/>
      </c>
      <c r="LE485" s="1297">
        <f t="shared" si="296"/>
        <v>8</v>
      </c>
      <c r="LF485" s="1297" t="str">
        <f t="shared" si="297"/>
        <v/>
      </c>
      <c r="LG485" s="1297" t="str">
        <f t="shared" si="298"/>
        <v/>
      </c>
      <c r="LH485" s="1297" t="str">
        <f t="shared" si="299"/>
        <v/>
      </c>
      <c r="LI485" s="1297" t="str">
        <f t="shared" si="300"/>
        <v/>
      </c>
      <c r="LJ485" s="1297" t="str">
        <f t="shared" si="301"/>
        <v/>
      </c>
      <c r="LK485" s="1297" t="str">
        <f t="shared" si="302"/>
        <v/>
      </c>
      <c r="LL485" s="1297" t="str">
        <f t="shared" si="303"/>
        <v/>
      </c>
      <c r="LM485" s="1297" t="str">
        <f t="shared" si="304"/>
        <v/>
      </c>
      <c r="LN485" s="1297" t="str">
        <f t="shared" si="305"/>
        <v/>
      </c>
      <c r="LO485" s="1297" t="str">
        <f t="shared" si="306"/>
        <v/>
      </c>
      <c r="LP485" s="1297" t="str">
        <f t="shared" si="307"/>
        <v/>
      </c>
      <c r="LQ485" s="1297" t="str">
        <f t="shared" si="308"/>
        <v/>
      </c>
      <c r="LR485" s="1297" t="str">
        <f t="shared" si="309"/>
        <v/>
      </c>
      <c r="LS485" s="1297" t="str">
        <f t="shared" si="310"/>
        <v/>
      </c>
      <c r="LT485" s="1297" t="str">
        <f t="shared" si="311"/>
        <v/>
      </c>
      <c r="LU485" s="1297" t="str">
        <f t="shared" si="312"/>
        <v/>
      </c>
      <c r="LV485" s="1297" t="str">
        <f t="shared" si="313"/>
        <v/>
      </c>
      <c r="LW485" s="1297" t="str">
        <f t="shared" si="314"/>
        <v/>
      </c>
      <c r="LX485" s="1297" t="str">
        <f t="shared" si="315"/>
        <v/>
      </c>
      <c r="LY485" s="1297" t="str">
        <f t="shared" si="316"/>
        <v/>
      </c>
      <c r="LZ485" s="1297" t="str">
        <f t="shared" si="317"/>
        <v/>
      </c>
      <c r="MA485" s="1297" t="str">
        <f t="shared" si="318"/>
        <v/>
      </c>
      <c r="MB485" s="1297" t="str">
        <f t="shared" si="319"/>
        <v/>
      </c>
      <c r="MC485" s="1297" t="str">
        <f t="shared" si="320"/>
        <v/>
      </c>
      <c r="MD485" s="1297" t="str">
        <f t="shared" si="321"/>
        <v/>
      </c>
      <c r="ME485" s="1297" t="str">
        <f t="shared" si="322"/>
        <v/>
      </c>
      <c r="MF485" s="1297" t="str">
        <f t="shared" si="323"/>
        <v/>
      </c>
      <c r="MG485" s="1297" t="str">
        <f t="shared" si="324"/>
        <v/>
      </c>
      <c r="MH485" s="1297" t="str">
        <f t="shared" si="325"/>
        <v/>
      </c>
      <c r="MI485" s="1297" t="str">
        <f t="shared" si="326"/>
        <v/>
      </c>
      <c r="MJ485" s="1297" t="str">
        <f t="shared" si="327"/>
        <v/>
      </c>
      <c r="MK485" s="1297" t="str">
        <f t="shared" si="328"/>
        <v/>
      </c>
      <c r="ML485" s="1297" t="str">
        <f t="shared" si="329"/>
        <v/>
      </c>
      <c r="MM485" s="1297" t="str">
        <f t="shared" si="330"/>
        <v/>
      </c>
      <c r="MN485" s="1297" t="str">
        <f t="shared" si="331"/>
        <v/>
      </c>
      <c r="MO485" s="1297" t="str">
        <f t="shared" si="332"/>
        <v/>
      </c>
      <c r="MP485" s="1773" t="str">
        <f t="shared" si="333"/>
        <v/>
      </c>
      <c r="MQ485" s="1773" t="str">
        <f t="shared" si="334"/>
        <v/>
      </c>
      <c r="MR485" s="1773" t="str">
        <f t="shared" si="335"/>
        <v/>
      </c>
      <c r="MS485" s="1773" t="str">
        <f t="shared" si="336"/>
        <v/>
      </c>
      <c r="MT485" s="1773" t="str">
        <f t="shared" si="337"/>
        <v/>
      </c>
      <c r="MU485" s="251" t="str">
        <f t="shared" si="338"/>
        <v/>
      </c>
      <c r="MV485" s="251" t="str">
        <f t="shared" si="339"/>
        <v/>
      </c>
      <c r="MW485" s="251" t="str">
        <f t="shared" si="340"/>
        <v/>
      </c>
      <c r="MX485" s="251" t="str">
        <f t="shared" si="341"/>
        <v/>
      </c>
      <c r="MY485" s="251" t="str">
        <f t="shared" si="342"/>
        <v/>
      </c>
      <c r="MZ485" s="251" t="str">
        <f t="shared" si="343"/>
        <v/>
      </c>
      <c r="NA485" s="251" t="str">
        <f t="shared" si="344"/>
        <v/>
      </c>
      <c r="NB485" s="251" t="str">
        <f t="shared" si="345"/>
        <v/>
      </c>
      <c r="NC485" s="251" t="str">
        <f t="shared" si="346"/>
        <v/>
      </c>
      <c r="ND485" s="251" t="str">
        <f t="shared" si="347"/>
        <v/>
      </c>
      <c r="NE485" s="251" t="str">
        <f t="shared" si="348"/>
        <v/>
      </c>
      <c r="NF485" s="251" t="str">
        <f t="shared" si="349"/>
        <v/>
      </c>
      <c r="NG485" s="251" t="str">
        <f t="shared" si="350"/>
        <v/>
      </c>
      <c r="NH485" s="251" t="str">
        <f t="shared" si="351"/>
        <v/>
      </c>
      <c r="NI485" s="251" t="str">
        <f t="shared" si="352"/>
        <v/>
      </c>
      <c r="NJ485" s="251" t="str">
        <f t="shared" si="353"/>
        <v/>
      </c>
      <c r="NK485" s="251" t="str">
        <f t="shared" si="354"/>
        <v/>
      </c>
      <c r="NL485" s="251" t="str">
        <f t="shared" si="355"/>
        <v/>
      </c>
      <c r="NM485" s="251" t="str">
        <f t="shared" si="356"/>
        <v/>
      </c>
      <c r="NN485" s="251" t="str">
        <f t="shared" si="357"/>
        <v/>
      </c>
      <c r="NO485" s="1185">
        <f t="shared" si="358"/>
        <v>0</v>
      </c>
      <c r="NP485" s="1185">
        <f t="shared" si="359"/>
        <v>0</v>
      </c>
      <c r="NQ485" s="1185">
        <f t="shared" si="360"/>
        <v>0</v>
      </c>
      <c r="NR485" s="1185">
        <f t="shared" si="361"/>
        <v>8</v>
      </c>
      <c r="NS485" s="1185">
        <f t="shared" si="362"/>
        <v>0</v>
      </c>
      <c r="NT485" s="1185">
        <f t="shared" si="368"/>
        <v>0</v>
      </c>
      <c r="NU485" s="1185">
        <f t="shared" si="369"/>
        <v>0</v>
      </c>
      <c r="NV485" s="1185">
        <f t="shared" si="370"/>
        <v>0</v>
      </c>
      <c r="NW485" s="1185">
        <f t="shared" si="371"/>
        <v>0</v>
      </c>
      <c r="NX485" s="1185">
        <f t="shared" si="372"/>
        <v>0</v>
      </c>
      <c r="NY485" s="1185">
        <f t="shared" si="363"/>
        <v>0</v>
      </c>
      <c r="NZ485" s="1185">
        <f t="shared" si="364"/>
        <v>0</v>
      </c>
      <c r="OA485" s="1185">
        <f t="shared" si="365"/>
        <v>0</v>
      </c>
      <c r="OB485" s="1185">
        <f t="shared" si="366"/>
        <v>0</v>
      </c>
      <c r="OC485" s="1185">
        <f t="shared" si="367"/>
        <v>0</v>
      </c>
      <c r="OY485" s="251" t="s">
        <v>1180</v>
      </c>
      <c r="OZ485" s="1296">
        <v>32</v>
      </c>
    </row>
    <row r="486" spans="1:416" ht="12" customHeight="1">
      <c r="A486" s="1979" t="str">
        <f t="shared" si="0"/>
        <v/>
      </c>
      <c r="B486" s="1998">
        <f>'Part V-Revenues &amp; Expenses'!B33</f>
        <v>0</v>
      </c>
      <c r="C486" s="1999">
        <f>'Part V-Revenues &amp; Expenses'!C33</f>
        <v>0</v>
      </c>
      <c r="D486" s="2000">
        <f>'Part V-Revenues &amp; Expenses'!D33</f>
        <v>0</v>
      </c>
      <c r="E486" s="2001">
        <f>'Part V-Revenues &amp; Expenses'!E33</f>
        <v>0</v>
      </c>
      <c r="F486" s="2001">
        <f>'Part V-Revenues &amp; Expenses'!F33</f>
        <v>0</v>
      </c>
      <c r="G486" s="2001">
        <f>'Part V-Revenues &amp; Expenses'!G33</f>
        <v>0</v>
      </c>
      <c r="H486" s="2001">
        <f>'Part V-Revenues &amp; Expenses'!H33</f>
        <v>0</v>
      </c>
      <c r="I486" s="2001">
        <f>'Part V-Revenues &amp; Expenses'!I33</f>
        <v>0</v>
      </c>
      <c r="J486" s="2001">
        <f>'Part V-Revenues &amp; Expenses'!J33</f>
        <v>0</v>
      </c>
      <c r="K486" s="2002">
        <f>'Part V-Revenues &amp; Expenses'!K33</f>
        <v>0</v>
      </c>
      <c r="L486" s="2003">
        <f t="shared" si="1"/>
        <v>0</v>
      </c>
      <c r="M486" s="2003">
        <f t="shared" si="2"/>
        <v>0</v>
      </c>
      <c r="N486" s="1853">
        <f>'Part V-Revenues &amp; Expenses'!N33</f>
        <v>0</v>
      </c>
      <c r="O486" s="899">
        <f>'Part V-Revenues &amp; Expenses'!O33</f>
        <v>0</v>
      </c>
      <c r="P486" s="1853">
        <f>'Part V-Revenues &amp; Expenses'!P33</f>
        <v>0</v>
      </c>
      <c r="Q486" s="1772">
        <f>'Part V-Revenues &amp; Expenses'!Q33</f>
        <v>0</v>
      </c>
      <c r="R486" s="2004"/>
      <c r="S486" s="2005"/>
      <c r="T486" s="1920"/>
      <c r="U486" s="1920"/>
      <c r="V486" s="1920"/>
      <c r="W486" s="1920"/>
      <c r="X486" s="251" t="str">
        <f t="shared" si="3"/>
        <v/>
      </c>
      <c r="Y486" s="251" t="str">
        <f t="shared" si="4"/>
        <v/>
      </c>
      <c r="Z486" s="251" t="str">
        <f t="shared" si="5"/>
        <v/>
      </c>
      <c r="AA486" s="251" t="str">
        <f t="shared" si="6"/>
        <v/>
      </c>
      <c r="AB486" s="251" t="str">
        <f t="shared" si="7"/>
        <v/>
      </c>
      <c r="AC486" s="251" t="str">
        <f t="shared" si="8"/>
        <v/>
      </c>
      <c r="AD486" s="251" t="str">
        <f t="shared" si="9"/>
        <v/>
      </c>
      <c r="AE486" s="251" t="str">
        <f t="shared" si="10"/>
        <v/>
      </c>
      <c r="AF486" s="251" t="str">
        <f t="shared" si="11"/>
        <v/>
      </c>
      <c r="AG486" s="251" t="str">
        <f t="shared" si="12"/>
        <v/>
      </c>
      <c r="AH486" s="251" t="str">
        <f t="shared" si="13"/>
        <v/>
      </c>
      <c r="AI486" s="251" t="str">
        <f t="shared" si="14"/>
        <v/>
      </c>
      <c r="AJ486" s="251" t="str">
        <f t="shared" si="15"/>
        <v/>
      </c>
      <c r="AK486" s="251" t="str">
        <f t="shared" si="16"/>
        <v/>
      </c>
      <c r="AL486" s="251" t="str">
        <f t="shared" si="17"/>
        <v/>
      </c>
      <c r="AM486" s="251" t="str">
        <f t="shared" si="18"/>
        <v/>
      </c>
      <c r="AN486" s="251" t="str">
        <f t="shared" si="19"/>
        <v/>
      </c>
      <c r="AO486" s="251" t="str">
        <f t="shared" si="20"/>
        <v/>
      </c>
      <c r="AP486" s="251" t="str">
        <f t="shared" si="21"/>
        <v/>
      </c>
      <c r="AQ486" s="251" t="str">
        <f t="shared" si="22"/>
        <v/>
      </c>
      <c r="AR486" s="251" t="str">
        <f t="shared" si="23"/>
        <v/>
      </c>
      <c r="AS486" s="251" t="str">
        <f t="shared" si="24"/>
        <v/>
      </c>
      <c r="AT486" s="251" t="str">
        <f t="shared" si="25"/>
        <v/>
      </c>
      <c r="AU486" s="251" t="str">
        <f t="shared" si="26"/>
        <v/>
      </c>
      <c r="AV486" s="251" t="str">
        <f t="shared" si="27"/>
        <v/>
      </c>
      <c r="AW486" s="251" t="str">
        <f t="shared" si="28"/>
        <v/>
      </c>
      <c r="AX486" s="251" t="str">
        <f t="shared" si="29"/>
        <v/>
      </c>
      <c r="AY486" s="251" t="str">
        <f t="shared" si="30"/>
        <v/>
      </c>
      <c r="AZ486" s="251" t="str">
        <f t="shared" si="31"/>
        <v/>
      </c>
      <c r="BA486" s="251" t="str">
        <f t="shared" si="32"/>
        <v/>
      </c>
      <c r="BB486" s="251" t="str">
        <f t="shared" si="33"/>
        <v/>
      </c>
      <c r="BC486" s="251" t="str">
        <f t="shared" si="34"/>
        <v/>
      </c>
      <c r="BD486" s="251" t="str">
        <f t="shared" si="35"/>
        <v/>
      </c>
      <c r="BE486" s="251" t="str">
        <f t="shared" si="36"/>
        <v/>
      </c>
      <c r="BF486" s="251" t="str">
        <f t="shared" si="37"/>
        <v/>
      </c>
      <c r="BG486" s="251" t="str">
        <f t="shared" si="38"/>
        <v/>
      </c>
      <c r="BH486" s="251" t="str">
        <f t="shared" si="39"/>
        <v/>
      </c>
      <c r="BI486" s="251" t="str">
        <f t="shared" si="40"/>
        <v/>
      </c>
      <c r="BJ486" s="251" t="str">
        <f t="shared" si="41"/>
        <v/>
      </c>
      <c r="BK486" s="251" t="str">
        <f t="shared" si="42"/>
        <v/>
      </c>
      <c r="BL486" s="251" t="str">
        <f t="shared" si="43"/>
        <v/>
      </c>
      <c r="BM486" s="251" t="str">
        <f t="shared" si="44"/>
        <v/>
      </c>
      <c r="BN486" s="251" t="str">
        <f t="shared" si="45"/>
        <v/>
      </c>
      <c r="BO486" s="251" t="str">
        <f t="shared" si="46"/>
        <v/>
      </c>
      <c r="BP486" s="251" t="str">
        <f t="shared" si="47"/>
        <v/>
      </c>
      <c r="BQ486" s="251" t="str">
        <f t="shared" si="48"/>
        <v/>
      </c>
      <c r="BR486" s="251" t="str">
        <f t="shared" si="49"/>
        <v/>
      </c>
      <c r="BS486" s="251" t="str">
        <f t="shared" si="50"/>
        <v/>
      </c>
      <c r="BT486" s="251" t="str">
        <f t="shared" si="51"/>
        <v/>
      </c>
      <c r="BU486" s="251" t="str">
        <f t="shared" si="52"/>
        <v/>
      </c>
      <c r="BV486" s="251" t="str">
        <f t="shared" si="53"/>
        <v/>
      </c>
      <c r="BW486" s="251" t="str">
        <f t="shared" si="54"/>
        <v/>
      </c>
      <c r="BX486" s="251" t="str">
        <f t="shared" si="55"/>
        <v/>
      </c>
      <c r="BY486" s="251" t="str">
        <f t="shared" si="56"/>
        <v/>
      </c>
      <c r="BZ486" s="251" t="str">
        <f t="shared" si="57"/>
        <v/>
      </c>
      <c r="CA486" s="251" t="str">
        <f t="shared" si="58"/>
        <v/>
      </c>
      <c r="CB486" s="251" t="str">
        <f t="shared" si="59"/>
        <v/>
      </c>
      <c r="CC486" s="251" t="str">
        <f t="shared" si="60"/>
        <v/>
      </c>
      <c r="CD486" s="251" t="str">
        <f t="shared" si="61"/>
        <v/>
      </c>
      <c r="CE486" s="251" t="str">
        <f t="shared" si="62"/>
        <v/>
      </c>
      <c r="CF486" s="251" t="str">
        <f t="shared" si="63"/>
        <v/>
      </c>
      <c r="CG486" s="251" t="str">
        <f t="shared" si="64"/>
        <v/>
      </c>
      <c r="CH486" s="251" t="str">
        <f t="shared" si="65"/>
        <v/>
      </c>
      <c r="CI486" s="251" t="str">
        <f t="shared" si="66"/>
        <v/>
      </c>
      <c r="CJ486" s="251" t="str">
        <f t="shared" si="67"/>
        <v/>
      </c>
      <c r="CK486" s="251" t="str">
        <f t="shared" si="68"/>
        <v/>
      </c>
      <c r="CL486" s="251" t="str">
        <f t="shared" si="69"/>
        <v/>
      </c>
      <c r="CM486" s="251" t="str">
        <f t="shared" si="70"/>
        <v/>
      </c>
      <c r="CN486" s="251" t="str">
        <f t="shared" si="71"/>
        <v/>
      </c>
      <c r="CO486" s="251" t="str">
        <f t="shared" si="72"/>
        <v/>
      </c>
      <c r="CP486" s="251" t="str">
        <f t="shared" si="73"/>
        <v/>
      </c>
      <c r="CQ486" s="251" t="str">
        <f t="shared" si="74"/>
        <v/>
      </c>
      <c r="CR486" s="251" t="str">
        <f t="shared" si="75"/>
        <v/>
      </c>
      <c r="CS486" s="251" t="str">
        <f t="shared" si="76"/>
        <v/>
      </c>
      <c r="CT486" s="251" t="str">
        <f t="shared" si="77"/>
        <v/>
      </c>
      <c r="CU486" s="251" t="str">
        <f t="shared" si="78"/>
        <v/>
      </c>
      <c r="CV486" s="251" t="str">
        <f t="shared" si="79"/>
        <v/>
      </c>
      <c r="CW486" s="251" t="str">
        <f t="shared" si="80"/>
        <v/>
      </c>
      <c r="CX486" s="251" t="str">
        <f t="shared" si="81"/>
        <v/>
      </c>
      <c r="CY486" s="251" t="str">
        <f t="shared" si="82"/>
        <v/>
      </c>
      <c r="CZ486" s="251" t="str">
        <f t="shared" si="83"/>
        <v/>
      </c>
      <c r="DA486" s="251" t="str">
        <f t="shared" si="84"/>
        <v/>
      </c>
      <c r="DB486" s="251" t="str">
        <f t="shared" si="85"/>
        <v/>
      </c>
      <c r="DC486" s="251" t="str">
        <f t="shared" si="86"/>
        <v/>
      </c>
      <c r="DD486" s="251" t="str">
        <f t="shared" si="87"/>
        <v/>
      </c>
      <c r="DE486" s="251" t="str">
        <f t="shared" si="88"/>
        <v/>
      </c>
      <c r="DF486" s="251" t="str">
        <f t="shared" si="89"/>
        <v/>
      </c>
      <c r="DG486" s="251" t="str">
        <f t="shared" si="90"/>
        <v/>
      </c>
      <c r="DH486" s="251" t="str">
        <f t="shared" si="91"/>
        <v/>
      </c>
      <c r="DI486" s="251" t="str">
        <f t="shared" si="92"/>
        <v/>
      </c>
      <c r="DJ486" s="251" t="str">
        <f t="shared" si="93"/>
        <v/>
      </c>
      <c r="DK486" s="251" t="str">
        <f t="shared" si="94"/>
        <v/>
      </c>
      <c r="DL486" s="251" t="str">
        <f t="shared" si="95"/>
        <v/>
      </c>
      <c r="DM486" s="251" t="str">
        <f t="shared" si="96"/>
        <v/>
      </c>
      <c r="DN486" s="251" t="str">
        <f t="shared" si="97"/>
        <v/>
      </c>
      <c r="DO486" s="251" t="str">
        <f t="shared" si="98"/>
        <v/>
      </c>
      <c r="DP486" s="251" t="str">
        <f t="shared" si="99"/>
        <v/>
      </c>
      <c r="DQ486" s="251" t="str">
        <f t="shared" si="100"/>
        <v/>
      </c>
      <c r="DR486" s="251" t="str">
        <f t="shared" si="101"/>
        <v/>
      </c>
      <c r="DS486" s="251" t="str">
        <f t="shared" si="102"/>
        <v/>
      </c>
      <c r="DT486" s="251" t="str">
        <f t="shared" si="103"/>
        <v/>
      </c>
      <c r="DU486" s="251" t="str">
        <f t="shared" si="104"/>
        <v/>
      </c>
      <c r="DV486" s="251" t="str">
        <f t="shared" si="105"/>
        <v/>
      </c>
      <c r="DW486" s="251" t="str">
        <f t="shared" si="106"/>
        <v/>
      </c>
      <c r="DX486" s="251" t="str">
        <f t="shared" si="107"/>
        <v/>
      </c>
      <c r="DY486" s="251" t="str">
        <f t="shared" si="108"/>
        <v/>
      </c>
      <c r="DZ486" s="251" t="str">
        <f t="shared" si="109"/>
        <v/>
      </c>
      <c r="EA486" s="251" t="str">
        <f t="shared" si="110"/>
        <v/>
      </c>
      <c r="EB486" s="251" t="str">
        <f t="shared" si="111"/>
        <v/>
      </c>
      <c r="EC486" s="251" t="str">
        <f t="shared" si="112"/>
        <v/>
      </c>
      <c r="ED486" s="251" t="str">
        <f t="shared" si="113"/>
        <v/>
      </c>
      <c r="EE486" s="251" t="str">
        <f t="shared" si="114"/>
        <v/>
      </c>
      <c r="EF486" s="251" t="str">
        <f t="shared" si="115"/>
        <v/>
      </c>
      <c r="EG486" s="251" t="str">
        <f t="shared" si="116"/>
        <v/>
      </c>
      <c r="EH486" s="251" t="str">
        <f t="shared" si="117"/>
        <v/>
      </c>
      <c r="EI486" s="251" t="str">
        <f t="shared" si="118"/>
        <v/>
      </c>
      <c r="EJ486" s="251" t="str">
        <f t="shared" si="119"/>
        <v/>
      </c>
      <c r="EK486" s="251" t="str">
        <f t="shared" si="120"/>
        <v/>
      </c>
      <c r="EL486" s="251" t="str">
        <f t="shared" si="121"/>
        <v/>
      </c>
      <c r="EM486" s="251" t="str">
        <f t="shared" si="122"/>
        <v/>
      </c>
      <c r="EN486" s="251" t="str">
        <f t="shared" si="123"/>
        <v/>
      </c>
      <c r="EO486" s="251" t="str">
        <f t="shared" si="124"/>
        <v/>
      </c>
      <c r="EP486" s="251" t="str">
        <f t="shared" si="125"/>
        <v/>
      </c>
      <c r="EQ486" s="251" t="str">
        <f t="shared" si="126"/>
        <v/>
      </c>
      <c r="ER486" s="251" t="str">
        <f t="shared" si="127"/>
        <v/>
      </c>
      <c r="ES486" s="251" t="str">
        <f t="shared" si="128"/>
        <v/>
      </c>
      <c r="ET486" s="251" t="str">
        <f t="shared" si="129"/>
        <v/>
      </c>
      <c r="EU486" s="251" t="str">
        <f t="shared" si="130"/>
        <v/>
      </c>
      <c r="EV486" s="251" t="str">
        <f t="shared" si="131"/>
        <v/>
      </c>
      <c r="EW486" s="251" t="str">
        <f t="shared" si="132"/>
        <v/>
      </c>
      <c r="EX486" s="251" t="str">
        <f t="shared" si="133"/>
        <v/>
      </c>
      <c r="EY486" s="251" t="str">
        <f t="shared" si="134"/>
        <v/>
      </c>
      <c r="EZ486" s="251" t="str">
        <f t="shared" si="135"/>
        <v/>
      </c>
      <c r="FA486" s="251" t="str">
        <f t="shared" si="136"/>
        <v/>
      </c>
      <c r="FB486" s="251" t="str">
        <f t="shared" si="137"/>
        <v/>
      </c>
      <c r="FC486" s="251" t="str">
        <f t="shared" si="138"/>
        <v/>
      </c>
      <c r="FD486" s="251" t="str">
        <f t="shared" si="139"/>
        <v/>
      </c>
      <c r="FE486" s="251" t="str">
        <f t="shared" si="140"/>
        <v/>
      </c>
      <c r="FF486" s="251" t="str">
        <f t="shared" si="141"/>
        <v/>
      </c>
      <c r="FG486" s="251" t="str">
        <f t="shared" si="142"/>
        <v/>
      </c>
      <c r="FH486" s="251" t="str">
        <f t="shared" si="143"/>
        <v/>
      </c>
      <c r="FI486" s="251" t="str">
        <f t="shared" si="144"/>
        <v/>
      </c>
      <c r="FJ486" s="251" t="str">
        <f t="shared" si="145"/>
        <v/>
      </c>
      <c r="FK486" s="251" t="str">
        <f t="shared" si="146"/>
        <v/>
      </c>
      <c r="FL486" s="251" t="str">
        <f t="shared" si="147"/>
        <v/>
      </c>
      <c r="FM486" s="251" t="str">
        <f t="shared" si="148"/>
        <v/>
      </c>
      <c r="FN486" s="251" t="str">
        <f t="shared" si="149"/>
        <v/>
      </c>
      <c r="FO486" s="251" t="str">
        <f t="shared" si="150"/>
        <v/>
      </c>
      <c r="FP486" s="251" t="str">
        <f t="shared" si="151"/>
        <v/>
      </c>
      <c r="FQ486" s="251" t="str">
        <f t="shared" si="152"/>
        <v/>
      </c>
      <c r="FR486" s="251" t="str">
        <f t="shared" si="153"/>
        <v/>
      </c>
      <c r="FS486" s="251" t="str">
        <f t="shared" si="154"/>
        <v/>
      </c>
      <c r="FT486" s="251" t="str">
        <f t="shared" si="155"/>
        <v/>
      </c>
      <c r="FU486" s="251" t="str">
        <f t="shared" si="156"/>
        <v/>
      </c>
      <c r="FV486" s="251" t="str">
        <f t="shared" si="157"/>
        <v/>
      </c>
      <c r="FW486" s="251" t="str">
        <f t="shared" si="158"/>
        <v/>
      </c>
      <c r="FX486" s="251" t="str">
        <f t="shared" si="159"/>
        <v/>
      </c>
      <c r="FY486" s="251" t="str">
        <f t="shared" si="160"/>
        <v/>
      </c>
      <c r="FZ486" s="251" t="str">
        <f t="shared" si="161"/>
        <v/>
      </c>
      <c r="GA486" s="251" t="str">
        <f t="shared" si="162"/>
        <v/>
      </c>
      <c r="GB486" s="251" t="str">
        <f t="shared" si="163"/>
        <v/>
      </c>
      <c r="GC486" s="251" t="str">
        <f t="shared" si="164"/>
        <v/>
      </c>
      <c r="GD486" s="251" t="str">
        <f t="shared" si="165"/>
        <v/>
      </c>
      <c r="GE486" s="251" t="str">
        <f t="shared" si="166"/>
        <v/>
      </c>
      <c r="GF486" s="251" t="str">
        <f t="shared" si="167"/>
        <v/>
      </c>
      <c r="GG486" s="251" t="str">
        <f t="shared" si="168"/>
        <v/>
      </c>
      <c r="GH486" s="251" t="str">
        <f t="shared" si="169"/>
        <v/>
      </c>
      <c r="GI486" s="251" t="str">
        <f t="shared" si="170"/>
        <v/>
      </c>
      <c r="GJ486" s="251" t="str">
        <f t="shared" si="171"/>
        <v/>
      </c>
      <c r="GK486" s="251" t="str">
        <f t="shared" si="172"/>
        <v/>
      </c>
      <c r="GL486" s="251" t="str">
        <f t="shared" si="173"/>
        <v/>
      </c>
      <c r="GM486" s="251" t="str">
        <f t="shared" si="174"/>
        <v/>
      </c>
      <c r="GN486" s="251" t="str">
        <f t="shared" si="175"/>
        <v/>
      </c>
      <c r="GO486" s="251" t="str">
        <f t="shared" si="176"/>
        <v/>
      </c>
      <c r="GP486" s="251" t="str">
        <f t="shared" si="177"/>
        <v/>
      </c>
      <c r="GQ486" s="251" t="str">
        <f t="shared" si="178"/>
        <v/>
      </c>
      <c r="GR486" s="251" t="str">
        <f t="shared" si="179"/>
        <v/>
      </c>
      <c r="GS486" s="251" t="str">
        <f t="shared" si="180"/>
        <v/>
      </c>
      <c r="GT486" s="251" t="str">
        <f t="shared" si="181"/>
        <v/>
      </c>
      <c r="GU486" s="251" t="str">
        <f t="shared" si="182"/>
        <v/>
      </c>
      <c r="GV486" s="251" t="str">
        <f t="shared" si="183"/>
        <v/>
      </c>
      <c r="GW486" s="251" t="str">
        <f t="shared" si="184"/>
        <v/>
      </c>
      <c r="GX486" s="251" t="str">
        <f t="shared" si="185"/>
        <v/>
      </c>
      <c r="GY486" s="251" t="str">
        <f t="shared" si="186"/>
        <v/>
      </c>
      <c r="GZ486" s="251" t="str">
        <f t="shared" si="187"/>
        <v/>
      </c>
      <c r="HA486" s="251" t="str">
        <f t="shared" si="188"/>
        <v/>
      </c>
      <c r="HB486" s="251" t="str">
        <f t="shared" si="189"/>
        <v/>
      </c>
      <c r="HC486" s="251" t="str">
        <f t="shared" si="190"/>
        <v/>
      </c>
      <c r="HD486" s="251" t="str">
        <f t="shared" si="191"/>
        <v/>
      </c>
      <c r="HE486" s="251" t="str">
        <f t="shared" si="192"/>
        <v/>
      </c>
      <c r="HF486" s="251" t="str">
        <f t="shared" si="193"/>
        <v/>
      </c>
      <c r="HG486" s="251" t="str">
        <f t="shared" si="194"/>
        <v/>
      </c>
      <c r="HH486" s="251" t="str">
        <f t="shared" si="195"/>
        <v/>
      </c>
      <c r="HI486" s="251" t="str">
        <f t="shared" si="196"/>
        <v/>
      </c>
      <c r="HJ486" s="251" t="str">
        <f t="shared" si="197"/>
        <v/>
      </c>
      <c r="HK486" s="251" t="str">
        <f t="shared" si="198"/>
        <v/>
      </c>
      <c r="HL486" s="251" t="str">
        <f t="shared" si="199"/>
        <v/>
      </c>
      <c r="HM486" s="251" t="str">
        <f t="shared" si="200"/>
        <v/>
      </c>
      <c r="HN486" s="251" t="str">
        <f t="shared" si="201"/>
        <v/>
      </c>
      <c r="HO486" s="251" t="str">
        <f t="shared" si="202"/>
        <v/>
      </c>
      <c r="HP486" s="251" t="str">
        <f t="shared" si="203"/>
        <v/>
      </c>
      <c r="HQ486" s="251" t="str">
        <f t="shared" si="204"/>
        <v/>
      </c>
      <c r="HR486" s="251" t="str">
        <f t="shared" si="205"/>
        <v/>
      </c>
      <c r="HS486" s="251" t="str">
        <f t="shared" si="206"/>
        <v/>
      </c>
      <c r="HT486" s="251" t="str">
        <f t="shared" si="207"/>
        <v/>
      </c>
      <c r="HU486" s="251" t="str">
        <f t="shared" si="208"/>
        <v/>
      </c>
      <c r="HV486" s="251" t="str">
        <f t="shared" si="209"/>
        <v/>
      </c>
      <c r="HW486" s="251" t="str">
        <f t="shared" si="210"/>
        <v/>
      </c>
      <c r="HX486" s="251" t="str">
        <f t="shared" si="211"/>
        <v/>
      </c>
      <c r="HY486" s="251" t="str">
        <f t="shared" si="212"/>
        <v/>
      </c>
      <c r="HZ486" s="251" t="str">
        <f t="shared" si="213"/>
        <v/>
      </c>
      <c r="IA486" s="251" t="str">
        <f t="shared" si="214"/>
        <v/>
      </c>
      <c r="IB486" s="251" t="str">
        <f t="shared" si="215"/>
        <v/>
      </c>
      <c r="IC486" s="251" t="str">
        <f t="shared" si="216"/>
        <v/>
      </c>
      <c r="ID486" s="251" t="str">
        <f t="shared" si="217"/>
        <v/>
      </c>
      <c r="IE486" s="251" t="str">
        <f t="shared" si="218"/>
        <v/>
      </c>
      <c r="IF486" s="251" t="str">
        <f t="shared" si="219"/>
        <v/>
      </c>
      <c r="IG486" s="251" t="str">
        <f t="shared" si="220"/>
        <v/>
      </c>
      <c r="IH486" s="251" t="str">
        <f t="shared" si="221"/>
        <v/>
      </c>
      <c r="II486" s="251" t="str">
        <f t="shared" si="222"/>
        <v/>
      </c>
      <c r="IJ486" s="251" t="str">
        <f t="shared" si="223"/>
        <v/>
      </c>
      <c r="IK486" s="251" t="str">
        <f t="shared" si="224"/>
        <v/>
      </c>
      <c r="IL486" s="251" t="str">
        <f t="shared" si="225"/>
        <v/>
      </c>
      <c r="IM486" s="251" t="str">
        <f t="shared" si="226"/>
        <v/>
      </c>
      <c r="IN486" s="251" t="str">
        <f t="shared" si="227"/>
        <v/>
      </c>
      <c r="IO486" s="251" t="str">
        <f t="shared" si="228"/>
        <v/>
      </c>
      <c r="IP486" s="251" t="str">
        <f t="shared" si="229"/>
        <v/>
      </c>
      <c r="IQ486" s="251" t="str">
        <f t="shared" si="230"/>
        <v/>
      </c>
      <c r="IR486" s="251" t="str">
        <f t="shared" si="231"/>
        <v/>
      </c>
      <c r="IS486" s="251" t="str">
        <f t="shared" si="232"/>
        <v/>
      </c>
      <c r="IT486" s="251" t="str">
        <f t="shared" si="233"/>
        <v/>
      </c>
      <c r="IU486" s="251" t="str">
        <f t="shared" si="234"/>
        <v/>
      </c>
      <c r="IV486" s="251" t="str">
        <f t="shared" si="235"/>
        <v/>
      </c>
      <c r="IW486" s="251" t="str">
        <f t="shared" si="236"/>
        <v/>
      </c>
      <c r="IX486" s="251" t="str">
        <f t="shared" si="237"/>
        <v/>
      </c>
      <c r="IY486" s="251" t="str">
        <f t="shared" si="238"/>
        <v/>
      </c>
      <c r="IZ486" s="251" t="str">
        <f t="shared" si="239"/>
        <v/>
      </c>
      <c r="JA486" s="251" t="str">
        <f t="shared" si="240"/>
        <v/>
      </c>
      <c r="JB486" s="251" t="str">
        <f t="shared" si="241"/>
        <v/>
      </c>
      <c r="JC486" s="251" t="str">
        <f t="shared" si="242"/>
        <v/>
      </c>
      <c r="JD486" s="251" t="str">
        <f t="shared" si="243"/>
        <v/>
      </c>
      <c r="JE486" s="251" t="str">
        <f t="shared" si="244"/>
        <v/>
      </c>
      <c r="JF486" s="251" t="str">
        <f t="shared" si="245"/>
        <v/>
      </c>
      <c r="JG486" s="251" t="str">
        <f t="shared" si="246"/>
        <v/>
      </c>
      <c r="JH486" s="251" t="str">
        <f t="shared" si="247"/>
        <v/>
      </c>
      <c r="JI486" s="1297" t="str">
        <f t="shared" si="248"/>
        <v/>
      </c>
      <c r="JJ486" s="1297" t="str">
        <f t="shared" si="249"/>
        <v/>
      </c>
      <c r="JK486" s="1297" t="str">
        <f t="shared" si="250"/>
        <v/>
      </c>
      <c r="JL486" s="1297" t="str">
        <f t="shared" si="251"/>
        <v/>
      </c>
      <c r="JM486" s="1297" t="str">
        <f t="shared" si="252"/>
        <v/>
      </c>
      <c r="JN486" s="1297" t="str">
        <f t="shared" si="253"/>
        <v/>
      </c>
      <c r="JO486" s="1297" t="str">
        <f t="shared" si="254"/>
        <v/>
      </c>
      <c r="JP486" s="1297" t="str">
        <f t="shared" si="255"/>
        <v/>
      </c>
      <c r="JQ486" s="1297" t="str">
        <f t="shared" si="256"/>
        <v/>
      </c>
      <c r="JR486" s="1297" t="str">
        <f t="shared" si="257"/>
        <v/>
      </c>
      <c r="JS486" s="1297" t="str">
        <f t="shared" si="258"/>
        <v/>
      </c>
      <c r="JT486" s="1297" t="str">
        <f t="shared" si="259"/>
        <v/>
      </c>
      <c r="JU486" s="1297" t="str">
        <f t="shared" si="260"/>
        <v/>
      </c>
      <c r="JV486" s="1297" t="str">
        <f t="shared" si="261"/>
        <v/>
      </c>
      <c r="JW486" s="1297" t="str">
        <f t="shared" si="262"/>
        <v/>
      </c>
      <c r="JX486" s="1297" t="str">
        <f t="shared" si="263"/>
        <v/>
      </c>
      <c r="JY486" s="1297" t="str">
        <f t="shared" si="264"/>
        <v/>
      </c>
      <c r="JZ486" s="1297" t="str">
        <f t="shared" si="265"/>
        <v/>
      </c>
      <c r="KA486" s="1297" t="str">
        <f t="shared" si="266"/>
        <v/>
      </c>
      <c r="KB486" s="1297" t="str">
        <f t="shared" si="267"/>
        <v/>
      </c>
      <c r="KC486" s="1297" t="str">
        <f t="shared" si="268"/>
        <v/>
      </c>
      <c r="KD486" s="1297" t="str">
        <f t="shared" si="269"/>
        <v/>
      </c>
      <c r="KE486" s="1297" t="str">
        <f t="shared" si="270"/>
        <v/>
      </c>
      <c r="KF486" s="1297" t="str">
        <f t="shared" si="271"/>
        <v/>
      </c>
      <c r="KG486" s="1297" t="str">
        <f t="shared" si="272"/>
        <v/>
      </c>
      <c r="KH486" s="1297" t="str">
        <f t="shared" si="273"/>
        <v/>
      </c>
      <c r="KI486" s="1297" t="str">
        <f t="shared" si="274"/>
        <v/>
      </c>
      <c r="KJ486" s="1297" t="str">
        <f t="shared" si="275"/>
        <v/>
      </c>
      <c r="KK486" s="1297" t="str">
        <f t="shared" si="276"/>
        <v/>
      </c>
      <c r="KL486" s="1297" t="str">
        <f t="shared" si="277"/>
        <v/>
      </c>
      <c r="KM486" s="1297" t="str">
        <f t="shared" si="278"/>
        <v/>
      </c>
      <c r="KN486" s="1297" t="str">
        <f t="shared" si="279"/>
        <v/>
      </c>
      <c r="KO486" s="1297" t="str">
        <f t="shared" si="280"/>
        <v/>
      </c>
      <c r="KP486" s="1297" t="str">
        <f t="shared" si="281"/>
        <v/>
      </c>
      <c r="KQ486" s="1297" t="str">
        <f t="shared" si="282"/>
        <v/>
      </c>
      <c r="KR486" s="1297" t="str">
        <f t="shared" si="283"/>
        <v/>
      </c>
      <c r="KS486" s="1297" t="str">
        <f t="shared" si="284"/>
        <v/>
      </c>
      <c r="KT486" s="1297" t="str">
        <f t="shared" si="285"/>
        <v/>
      </c>
      <c r="KU486" s="1297" t="str">
        <f t="shared" si="286"/>
        <v/>
      </c>
      <c r="KV486" s="1297" t="str">
        <f t="shared" si="287"/>
        <v/>
      </c>
      <c r="KW486" s="1297" t="str">
        <f t="shared" si="288"/>
        <v/>
      </c>
      <c r="KX486" s="1297" t="str">
        <f t="shared" si="289"/>
        <v/>
      </c>
      <c r="KY486" s="1297" t="str">
        <f t="shared" si="290"/>
        <v/>
      </c>
      <c r="KZ486" s="1297" t="str">
        <f t="shared" si="291"/>
        <v/>
      </c>
      <c r="LA486" s="1297" t="str">
        <f t="shared" si="292"/>
        <v/>
      </c>
      <c r="LB486" s="1297" t="str">
        <f t="shared" si="293"/>
        <v/>
      </c>
      <c r="LC486" s="1297" t="str">
        <f t="shared" si="294"/>
        <v/>
      </c>
      <c r="LD486" s="1297" t="str">
        <f t="shared" si="295"/>
        <v/>
      </c>
      <c r="LE486" s="1297" t="str">
        <f t="shared" si="296"/>
        <v/>
      </c>
      <c r="LF486" s="1297" t="str">
        <f t="shared" si="297"/>
        <v/>
      </c>
      <c r="LG486" s="1297" t="str">
        <f t="shared" si="298"/>
        <v/>
      </c>
      <c r="LH486" s="1297" t="str">
        <f t="shared" si="299"/>
        <v/>
      </c>
      <c r="LI486" s="1297" t="str">
        <f t="shared" si="300"/>
        <v/>
      </c>
      <c r="LJ486" s="1297" t="str">
        <f t="shared" si="301"/>
        <v/>
      </c>
      <c r="LK486" s="1297" t="str">
        <f t="shared" si="302"/>
        <v/>
      </c>
      <c r="LL486" s="1297" t="str">
        <f t="shared" si="303"/>
        <v/>
      </c>
      <c r="LM486" s="1297" t="str">
        <f t="shared" si="304"/>
        <v/>
      </c>
      <c r="LN486" s="1297" t="str">
        <f t="shared" si="305"/>
        <v/>
      </c>
      <c r="LO486" s="1297" t="str">
        <f t="shared" si="306"/>
        <v/>
      </c>
      <c r="LP486" s="1297" t="str">
        <f t="shared" si="307"/>
        <v/>
      </c>
      <c r="LQ486" s="1297" t="str">
        <f t="shared" si="308"/>
        <v/>
      </c>
      <c r="LR486" s="1297" t="str">
        <f t="shared" si="309"/>
        <v/>
      </c>
      <c r="LS486" s="1297" t="str">
        <f t="shared" si="310"/>
        <v/>
      </c>
      <c r="LT486" s="1297" t="str">
        <f t="shared" si="311"/>
        <v/>
      </c>
      <c r="LU486" s="1297" t="str">
        <f t="shared" si="312"/>
        <v/>
      </c>
      <c r="LV486" s="1297" t="str">
        <f t="shared" si="313"/>
        <v/>
      </c>
      <c r="LW486" s="1297" t="str">
        <f t="shared" si="314"/>
        <v/>
      </c>
      <c r="LX486" s="1297" t="str">
        <f t="shared" si="315"/>
        <v/>
      </c>
      <c r="LY486" s="1297" t="str">
        <f t="shared" si="316"/>
        <v/>
      </c>
      <c r="LZ486" s="1297" t="str">
        <f t="shared" si="317"/>
        <v/>
      </c>
      <c r="MA486" s="1297" t="str">
        <f t="shared" si="318"/>
        <v/>
      </c>
      <c r="MB486" s="1297" t="str">
        <f t="shared" si="319"/>
        <v/>
      </c>
      <c r="MC486" s="1297" t="str">
        <f t="shared" si="320"/>
        <v/>
      </c>
      <c r="MD486" s="1297" t="str">
        <f t="shared" si="321"/>
        <v/>
      </c>
      <c r="ME486" s="1297" t="str">
        <f t="shared" si="322"/>
        <v/>
      </c>
      <c r="MF486" s="1297" t="str">
        <f t="shared" si="323"/>
        <v/>
      </c>
      <c r="MG486" s="1297" t="str">
        <f t="shared" si="324"/>
        <v/>
      </c>
      <c r="MH486" s="1297" t="str">
        <f t="shared" si="325"/>
        <v/>
      </c>
      <c r="MI486" s="1297" t="str">
        <f t="shared" si="326"/>
        <v/>
      </c>
      <c r="MJ486" s="1297" t="str">
        <f t="shared" si="327"/>
        <v/>
      </c>
      <c r="MK486" s="1297" t="str">
        <f t="shared" si="328"/>
        <v/>
      </c>
      <c r="ML486" s="1297" t="str">
        <f t="shared" si="329"/>
        <v/>
      </c>
      <c r="MM486" s="1297" t="str">
        <f t="shared" si="330"/>
        <v/>
      </c>
      <c r="MN486" s="1297" t="str">
        <f t="shared" si="331"/>
        <v/>
      </c>
      <c r="MO486" s="1297" t="str">
        <f t="shared" si="332"/>
        <v/>
      </c>
      <c r="MP486" s="1773" t="str">
        <f t="shared" si="333"/>
        <v/>
      </c>
      <c r="MQ486" s="1773" t="str">
        <f t="shared" si="334"/>
        <v/>
      </c>
      <c r="MR486" s="1773" t="str">
        <f t="shared" si="335"/>
        <v/>
      </c>
      <c r="MS486" s="1773" t="str">
        <f t="shared" si="336"/>
        <v/>
      </c>
      <c r="MT486" s="1773" t="str">
        <f t="shared" si="337"/>
        <v/>
      </c>
      <c r="MU486" s="251" t="str">
        <f t="shared" si="338"/>
        <v/>
      </c>
      <c r="MV486" s="251" t="str">
        <f t="shared" si="339"/>
        <v/>
      </c>
      <c r="MW486" s="251" t="str">
        <f t="shared" si="340"/>
        <v/>
      </c>
      <c r="MX486" s="251" t="str">
        <f t="shared" si="341"/>
        <v/>
      </c>
      <c r="MY486" s="251" t="str">
        <f t="shared" si="342"/>
        <v/>
      </c>
      <c r="MZ486" s="251" t="str">
        <f t="shared" si="343"/>
        <v/>
      </c>
      <c r="NA486" s="251" t="str">
        <f t="shared" si="344"/>
        <v/>
      </c>
      <c r="NB486" s="251" t="str">
        <f t="shared" si="345"/>
        <v/>
      </c>
      <c r="NC486" s="251" t="str">
        <f t="shared" si="346"/>
        <v/>
      </c>
      <c r="ND486" s="251" t="str">
        <f t="shared" si="347"/>
        <v/>
      </c>
      <c r="NE486" s="251" t="str">
        <f t="shared" si="348"/>
        <v/>
      </c>
      <c r="NF486" s="251" t="str">
        <f t="shared" si="349"/>
        <v/>
      </c>
      <c r="NG486" s="251" t="str">
        <f t="shared" si="350"/>
        <v/>
      </c>
      <c r="NH486" s="251" t="str">
        <f t="shared" si="351"/>
        <v/>
      </c>
      <c r="NI486" s="251" t="str">
        <f t="shared" si="352"/>
        <v/>
      </c>
      <c r="NJ486" s="251" t="str">
        <f t="shared" si="353"/>
        <v/>
      </c>
      <c r="NK486" s="251" t="str">
        <f t="shared" si="354"/>
        <v/>
      </c>
      <c r="NL486" s="251" t="str">
        <f t="shared" si="355"/>
        <v/>
      </c>
      <c r="NM486" s="251" t="str">
        <f t="shared" si="356"/>
        <v/>
      </c>
      <c r="NN486" s="251" t="str">
        <f t="shared" si="357"/>
        <v/>
      </c>
      <c r="NO486" s="1185">
        <f t="shared" si="358"/>
        <v>0</v>
      </c>
      <c r="NP486" s="1185">
        <f t="shared" si="359"/>
        <v>0</v>
      </c>
      <c r="NQ486" s="1185">
        <f t="shared" si="360"/>
        <v>0</v>
      </c>
      <c r="NR486" s="1185">
        <f t="shared" si="361"/>
        <v>0</v>
      </c>
      <c r="NS486" s="1185">
        <f t="shared" si="362"/>
        <v>0</v>
      </c>
      <c r="NT486" s="1185">
        <f t="shared" si="368"/>
        <v>0</v>
      </c>
      <c r="NU486" s="1185">
        <f t="shared" si="369"/>
        <v>0</v>
      </c>
      <c r="NV486" s="1185">
        <f t="shared" si="370"/>
        <v>0</v>
      </c>
      <c r="NW486" s="1185">
        <f t="shared" si="371"/>
        <v>0</v>
      </c>
      <c r="NX486" s="1185">
        <f t="shared" si="372"/>
        <v>0</v>
      </c>
      <c r="NY486" s="1185">
        <f t="shared" si="363"/>
        <v>0</v>
      </c>
      <c r="NZ486" s="1185">
        <f t="shared" si="364"/>
        <v>0</v>
      </c>
      <c r="OA486" s="1185">
        <f t="shared" si="365"/>
        <v>0</v>
      </c>
      <c r="OB486" s="1185">
        <f t="shared" si="366"/>
        <v>0</v>
      </c>
      <c r="OC486" s="1185">
        <f t="shared" si="367"/>
        <v>0</v>
      </c>
      <c r="OY486" s="251" t="s">
        <v>1181</v>
      </c>
      <c r="OZ486" s="1185">
        <v>33</v>
      </c>
    </row>
    <row r="487" spans="1:416" ht="12" customHeight="1">
      <c r="A487" s="1979" t="str">
        <f t="shared" si="0"/>
        <v/>
      </c>
      <c r="B487" s="1998">
        <f>'Part V-Revenues &amp; Expenses'!B34</f>
        <v>0</v>
      </c>
      <c r="C487" s="1999">
        <f>'Part V-Revenues &amp; Expenses'!C34</f>
        <v>0</v>
      </c>
      <c r="D487" s="2000">
        <f>'Part V-Revenues &amp; Expenses'!D34</f>
        <v>0</v>
      </c>
      <c r="E487" s="2001">
        <f>'Part V-Revenues &amp; Expenses'!E34</f>
        <v>0</v>
      </c>
      <c r="F487" s="2001">
        <f>'Part V-Revenues &amp; Expenses'!F34</f>
        <v>0</v>
      </c>
      <c r="G487" s="2001">
        <f>'Part V-Revenues &amp; Expenses'!G34</f>
        <v>0</v>
      </c>
      <c r="H487" s="2001">
        <f>'Part V-Revenues &amp; Expenses'!H34</f>
        <v>0</v>
      </c>
      <c r="I487" s="2001">
        <f>'Part V-Revenues &amp; Expenses'!I34</f>
        <v>0</v>
      </c>
      <c r="J487" s="2001">
        <f>'Part V-Revenues &amp; Expenses'!J34</f>
        <v>0</v>
      </c>
      <c r="K487" s="2002">
        <f>'Part V-Revenues &amp; Expenses'!K34</f>
        <v>0</v>
      </c>
      <c r="L487" s="2003">
        <f t="shared" si="1"/>
        <v>0</v>
      </c>
      <c r="M487" s="2003">
        <f t="shared" si="2"/>
        <v>0</v>
      </c>
      <c r="N487" s="1853">
        <f>'Part V-Revenues &amp; Expenses'!N34</f>
        <v>0</v>
      </c>
      <c r="O487" s="899">
        <f>'Part V-Revenues &amp; Expenses'!O34</f>
        <v>0</v>
      </c>
      <c r="P487" s="1853">
        <f>'Part V-Revenues &amp; Expenses'!P34</f>
        <v>0</v>
      </c>
      <c r="Q487" s="1772">
        <f>'Part V-Revenues &amp; Expenses'!Q34</f>
        <v>0</v>
      </c>
      <c r="R487" s="2004"/>
      <c r="S487" s="2005"/>
      <c r="T487" s="1920"/>
      <c r="U487" s="1920"/>
      <c r="V487" s="1920"/>
      <c r="W487" s="1920"/>
      <c r="X487" s="251" t="str">
        <f t="shared" si="3"/>
        <v/>
      </c>
      <c r="Y487" s="251" t="str">
        <f t="shared" si="4"/>
        <v/>
      </c>
      <c r="Z487" s="251" t="str">
        <f t="shared" si="5"/>
        <v/>
      </c>
      <c r="AA487" s="251" t="str">
        <f t="shared" si="6"/>
        <v/>
      </c>
      <c r="AB487" s="251" t="str">
        <f t="shared" si="7"/>
        <v/>
      </c>
      <c r="AC487" s="251" t="str">
        <f t="shared" si="8"/>
        <v/>
      </c>
      <c r="AD487" s="251" t="str">
        <f t="shared" si="9"/>
        <v/>
      </c>
      <c r="AE487" s="251" t="str">
        <f t="shared" si="10"/>
        <v/>
      </c>
      <c r="AF487" s="251" t="str">
        <f t="shared" si="11"/>
        <v/>
      </c>
      <c r="AG487" s="251" t="str">
        <f t="shared" si="12"/>
        <v/>
      </c>
      <c r="AH487" s="251" t="str">
        <f t="shared" si="13"/>
        <v/>
      </c>
      <c r="AI487" s="251" t="str">
        <f t="shared" si="14"/>
        <v/>
      </c>
      <c r="AJ487" s="251" t="str">
        <f t="shared" si="15"/>
        <v/>
      </c>
      <c r="AK487" s="251" t="str">
        <f t="shared" si="16"/>
        <v/>
      </c>
      <c r="AL487" s="251" t="str">
        <f t="shared" si="17"/>
        <v/>
      </c>
      <c r="AM487" s="251" t="str">
        <f t="shared" si="18"/>
        <v/>
      </c>
      <c r="AN487" s="251" t="str">
        <f t="shared" si="19"/>
        <v/>
      </c>
      <c r="AO487" s="251" t="str">
        <f t="shared" si="20"/>
        <v/>
      </c>
      <c r="AP487" s="251" t="str">
        <f t="shared" si="21"/>
        <v/>
      </c>
      <c r="AQ487" s="251" t="str">
        <f t="shared" si="22"/>
        <v/>
      </c>
      <c r="AR487" s="251" t="str">
        <f t="shared" si="23"/>
        <v/>
      </c>
      <c r="AS487" s="251" t="str">
        <f t="shared" si="24"/>
        <v/>
      </c>
      <c r="AT487" s="251" t="str">
        <f t="shared" si="25"/>
        <v/>
      </c>
      <c r="AU487" s="251" t="str">
        <f t="shared" si="26"/>
        <v/>
      </c>
      <c r="AV487" s="251" t="str">
        <f t="shared" si="27"/>
        <v/>
      </c>
      <c r="AW487" s="251" t="str">
        <f t="shared" si="28"/>
        <v/>
      </c>
      <c r="AX487" s="251" t="str">
        <f t="shared" si="29"/>
        <v/>
      </c>
      <c r="AY487" s="251" t="str">
        <f t="shared" si="30"/>
        <v/>
      </c>
      <c r="AZ487" s="251" t="str">
        <f t="shared" si="31"/>
        <v/>
      </c>
      <c r="BA487" s="251" t="str">
        <f t="shared" si="32"/>
        <v/>
      </c>
      <c r="BB487" s="251" t="str">
        <f t="shared" si="33"/>
        <v/>
      </c>
      <c r="BC487" s="251" t="str">
        <f t="shared" si="34"/>
        <v/>
      </c>
      <c r="BD487" s="251" t="str">
        <f t="shared" si="35"/>
        <v/>
      </c>
      <c r="BE487" s="251" t="str">
        <f t="shared" si="36"/>
        <v/>
      </c>
      <c r="BF487" s="251" t="str">
        <f t="shared" si="37"/>
        <v/>
      </c>
      <c r="BG487" s="251" t="str">
        <f t="shared" si="38"/>
        <v/>
      </c>
      <c r="BH487" s="251" t="str">
        <f t="shared" si="39"/>
        <v/>
      </c>
      <c r="BI487" s="251" t="str">
        <f t="shared" si="40"/>
        <v/>
      </c>
      <c r="BJ487" s="251" t="str">
        <f t="shared" si="41"/>
        <v/>
      </c>
      <c r="BK487" s="251" t="str">
        <f t="shared" si="42"/>
        <v/>
      </c>
      <c r="BL487" s="251" t="str">
        <f t="shared" si="43"/>
        <v/>
      </c>
      <c r="BM487" s="251" t="str">
        <f t="shared" si="44"/>
        <v/>
      </c>
      <c r="BN487" s="251" t="str">
        <f t="shared" si="45"/>
        <v/>
      </c>
      <c r="BO487" s="251" t="str">
        <f t="shared" si="46"/>
        <v/>
      </c>
      <c r="BP487" s="251" t="str">
        <f t="shared" si="47"/>
        <v/>
      </c>
      <c r="BQ487" s="251" t="str">
        <f t="shared" si="48"/>
        <v/>
      </c>
      <c r="BR487" s="251" t="str">
        <f t="shared" si="49"/>
        <v/>
      </c>
      <c r="BS487" s="251" t="str">
        <f t="shared" si="50"/>
        <v/>
      </c>
      <c r="BT487" s="251" t="str">
        <f t="shared" si="51"/>
        <v/>
      </c>
      <c r="BU487" s="251" t="str">
        <f t="shared" si="52"/>
        <v/>
      </c>
      <c r="BV487" s="251" t="str">
        <f t="shared" si="53"/>
        <v/>
      </c>
      <c r="BW487" s="251" t="str">
        <f t="shared" si="54"/>
        <v/>
      </c>
      <c r="BX487" s="251" t="str">
        <f t="shared" si="55"/>
        <v/>
      </c>
      <c r="BY487" s="251" t="str">
        <f t="shared" si="56"/>
        <v/>
      </c>
      <c r="BZ487" s="251" t="str">
        <f t="shared" si="57"/>
        <v/>
      </c>
      <c r="CA487" s="251" t="str">
        <f t="shared" si="58"/>
        <v/>
      </c>
      <c r="CB487" s="251" t="str">
        <f t="shared" si="59"/>
        <v/>
      </c>
      <c r="CC487" s="251" t="str">
        <f t="shared" si="60"/>
        <v/>
      </c>
      <c r="CD487" s="251" t="str">
        <f t="shared" si="61"/>
        <v/>
      </c>
      <c r="CE487" s="251" t="str">
        <f t="shared" si="62"/>
        <v/>
      </c>
      <c r="CF487" s="251" t="str">
        <f t="shared" si="63"/>
        <v/>
      </c>
      <c r="CG487" s="251" t="str">
        <f t="shared" si="64"/>
        <v/>
      </c>
      <c r="CH487" s="251" t="str">
        <f t="shared" si="65"/>
        <v/>
      </c>
      <c r="CI487" s="251" t="str">
        <f t="shared" si="66"/>
        <v/>
      </c>
      <c r="CJ487" s="251" t="str">
        <f t="shared" si="67"/>
        <v/>
      </c>
      <c r="CK487" s="251" t="str">
        <f t="shared" si="68"/>
        <v/>
      </c>
      <c r="CL487" s="251" t="str">
        <f t="shared" si="69"/>
        <v/>
      </c>
      <c r="CM487" s="251" t="str">
        <f t="shared" si="70"/>
        <v/>
      </c>
      <c r="CN487" s="251" t="str">
        <f t="shared" si="71"/>
        <v/>
      </c>
      <c r="CO487" s="251" t="str">
        <f t="shared" si="72"/>
        <v/>
      </c>
      <c r="CP487" s="251" t="str">
        <f t="shared" si="73"/>
        <v/>
      </c>
      <c r="CQ487" s="251" t="str">
        <f t="shared" si="74"/>
        <v/>
      </c>
      <c r="CR487" s="251" t="str">
        <f t="shared" si="75"/>
        <v/>
      </c>
      <c r="CS487" s="251" t="str">
        <f t="shared" si="76"/>
        <v/>
      </c>
      <c r="CT487" s="251" t="str">
        <f t="shared" si="77"/>
        <v/>
      </c>
      <c r="CU487" s="251" t="str">
        <f t="shared" si="78"/>
        <v/>
      </c>
      <c r="CV487" s="251" t="str">
        <f t="shared" si="79"/>
        <v/>
      </c>
      <c r="CW487" s="251" t="str">
        <f t="shared" si="80"/>
        <v/>
      </c>
      <c r="CX487" s="251" t="str">
        <f t="shared" si="81"/>
        <v/>
      </c>
      <c r="CY487" s="251" t="str">
        <f t="shared" si="82"/>
        <v/>
      </c>
      <c r="CZ487" s="251" t="str">
        <f t="shared" si="83"/>
        <v/>
      </c>
      <c r="DA487" s="251" t="str">
        <f t="shared" si="84"/>
        <v/>
      </c>
      <c r="DB487" s="251" t="str">
        <f t="shared" si="85"/>
        <v/>
      </c>
      <c r="DC487" s="251" t="str">
        <f t="shared" si="86"/>
        <v/>
      </c>
      <c r="DD487" s="251" t="str">
        <f t="shared" si="87"/>
        <v/>
      </c>
      <c r="DE487" s="251" t="str">
        <f t="shared" si="88"/>
        <v/>
      </c>
      <c r="DF487" s="251" t="str">
        <f t="shared" si="89"/>
        <v/>
      </c>
      <c r="DG487" s="251" t="str">
        <f t="shared" si="90"/>
        <v/>
      </c>
      <c r="DH487" s="251" t="str">
        <f t="shared" si="91"/>
        <v/>
      </c>
      <c r="DI487" s="251" t="str">
        <f t="shared" si="92"/>
        <v/>
      </c>
      <c r="DJ487" s="251" t="str">
        <f t="shared" si="93"/>
        <v/>
      </c>
      <c r="DK487" s="251" t="str">
        <f t="shared" si="94"/>
        <v/>
      </c>
      <c r="DL487" s="251" t="str">
        <f t="shared" si="95"/>
        <v/>
      </c>
      <c r="DM487" s="251" t="str">
        <f t="shared" si="96"/>
        <v/>
      </c>
      <c r="DN487" s="251" t="str">
        <f t="shared" si="97"/>
        <v/>
      </c>
      <c r="DO487" s="251" t="str">
        <f t="shared" si="98"/>
        <v/>
      </c>
      <c r="DP487" s="251" t="str">
        <f t="shared" si="99"/>
        <v/>
      </c>
      <c r="DQ487" s="251" t="str">
        <f t="shared" si="100"/>
        <v/>
      </c>
      <c r="DR487" s="251" t="str">
        <f t="shared" si="101"/>
        <v/>
      </c>
      <c r="DS487" s="251" t="str">
        <f t="shared" si="102"/>
        <v/>
      </c>
      <c r="DT487" s="251" t="str">
        <f t="shared" si="103"/>
        <v/>
      </c>
      <c r="DU487" s="251" t="str">
        <f t="shared" si="104"/>
        <v/>
      </c>
      <c r="DV487" s="251" t="str">
        <f t="shared" si="105"/>
        <v/>
      </c>
      <c r="DW487" s="251" t="str">
        <f t="shared" si="106"/>
        <v/>
      </c>
      <c r="DX487" s="251" t="str">
        <f t="shared" si="107"/>
        <v/>
      </c>
      <c r="DY487" s="251" t="str">
        <f t="shared" si="108"/>
        <v/>
      </c>
      <c r="DZ487" s="251" t="str">
        <f t="shared" si="109"/>
        <v/>
      </c>
      <c r="EA487" s="251" t="str">
        <f t="shared" si="110"/>
        <v/>
      </c>
      <c r="EB487" s="251" t="str">
        <f t="shared" si="111"/>
        <v/>
      </c>
      <c r="EC487" s="251" t="str">
        <f t="shared" si="112"/>
        <v/>
      </c>
      <c r="ED487" s="251" t="str">
        <f t="shared" si="113"/>
        <v/>
      </c>
      <c r="EE487" s="251" t="str">
        <f t="shared" si="114"/>
        <v/>
      </c>
      <c r="EF487" s="251" t="str">
        <f t="shared" si="115"/>
        <v/>
      </c>
      <c r="EG487" s="251" t="str">
        <f t="shared" si="116"/>
        <v/>
      </c>
      <c r="EH487" s="251" t="str">
        <f t="shared" si="117"/>
        <v/>
      </c>
      <c r="EI487" s="251" t="str">
        <f t="shared" si="118"/>
        <v/>
      </c>
      <c r="EJ487" s="251" t="str">
        <f t="shared" si="119"/>
        <v/>
      </c>
      <c r="EK487" s="251" t="str">
        <f t="shared" si="120"/>
        <v/>
      </c>
      <c r="EL487" s="251" t="str">
        <f t="shared" si="121"/>
        <v/>
      </c>
      <c r="EM487" s="251" t="str">
        <f t="shared" si="122"/>
        <v/>
      </c>
      <c r="EN487" s="251" t="str">
        <f t="shared" si="123"/>
        <v/>
      </c>
      <c r="EO487" s="251" t="str">
        <f t="shared" si="124"/>
        <v/>
      </c>
      <c r="EP487" s="251" t="str">
        <f t="shared" si="125"/>
        <v/>
      </c>
      <c r="EQ487" s="251" t="str">
        <f t="shared" si="126"/>
        <v/>
      </c>
      <c r="ER487" s="251" t="str">
        <f t="shared" si="127"/>
        <v/>
      </c>
      <c r="ES487" s="251" t="str">
        <f t="shared" si="128"/>
        <v/>
      </c>
      <c r="ET487" s="251" t="str">
        <f t="shared" si="129"/>
        <v/>
      </c>
      <c r="EU487" s="251" t="str">
        <f t="shared" si="130"/>
        <v/>
      </c>
      <c r="EV487" s="251" t="str">
        <f t="shared" si="131"/>
        <v/>
      </c>
      <c r="EW487" s="251" t="str">
        <f t="shared" si="132"/>
        <v/>
      </c>
      <c r="EX487" s="251" t="str">
        <f t="shared" si="133"/>
        <v/>
      </c>
      <c r="EY487" s="251" t="str">
        <f t="shared" si="134"/>
        <v/>
      </c>
      <c r="EZ487" s="251" t="str">
        <f t="shared" si="135"/>
        <v/>
      </c>
      <c r="FA487" s="251" t="str">
        <f t="shared" si="136"/>
        <v/>
      </c>
      <c r="FB487" s="251" t="str">
        <f t="shared" si="137"/>
        <v/>
      </c>
      <c r="FC487" s="251" t="str">
        <f t="shared" si="138"/>
        <v/>
      </c>
      <c r="FD487" s="251" t="str">
        <f t="shared" si="139"/>
        <v/>
      </c>
      <c r="FE487" s="251" t="str">
        <f t="shared" si="140"/>
        <v/>
      </c>
      <c r="FF487" s="251" t="str">
        <f t="shared" si="141"/>
        <v/>
      </c>
      <c r="FG487" s="251" t="str">
        <f t="shared" si="142"/>
        <v/>
      </c>
      <c r="FH487" s="251" t="str">
        <f t="shared" si="143"/>
        <v/>
      </c>
      <c r="FI487" s="251" t="str">
        <f t="shared" si="144"/>
        <v/>
      </c>
      <c r="FJ487" s="251" t="str">
        <f t="shared" si="145"/>
        <v/>
      </c>
      <c r="FK487" s="251" t="str">
        <f t="shared" si="146"/>
        <v/>
      </c>
      <c r="FL487" s="251" t="str">
        <f t="shared" si="147"/>
        <v/>
      </c>
      <c r="FM487" s="251" t="str">
        <f t="shared" si="148"/>
        <v/>
      </c>
      <c r="FN487" s="251" t="str">
        <f t="shared" si="149"/>
        <v/>
      </c>
      <c r="FO487" s="251" t="str">
        <f t="shared" si="150"/>
        <v/>
      </c>
      <c r="FP487" s="251" t="str">
        <f t="shared" si="151"/>
        <v/>
      </c>
      <c r="FQ487" s="251" t="str">
        <f t="shared" si="152"/>
        <v/>
      </c>
      <c r="FR487" s="251" t="str">
        <f t="shared" si="153"/>
        <v/>
      </c>
      <c r="FS487" s="251" t="str">
        <f t="shared" si="154"/>
        <v/>
      </c>
      <c r="FT487" s="251" t="str">
        <f t="shared" si="155"/>
        <v/>
      </c>
      <c r="FU487" s="251" t="str">
        <f t="shared" si="156"/>
        <v/>
      </c>
      <c r="FV487" s="251" t="str">
        <f t="shared" si="157"/>
        <v/>
      </c>
      <c r="FW487" s="251" t="str">
        <f t="shared" si="158"/>
        <v/>
      </c>
      <c r="FX487" s="251" t="str">
        <f t="shared" si="159"/>
        <v/>
      </c>
      <c r="FY487" s="251" t="str">
        <f t="shared" si="160"/>
        <v/>
      </c>
      <c r="FZ487" s="251" t="str">
        <f t="shared" si="161"/>
        <v/>
      </c>
      <c r="GA487" s="251" t="str">
        <f t="shared" si="162"/>
        <v/>
      </c>
      <c r="GB487" s="251" t="str">
        <f t="shared" si="163"/>
        <v/>
      </c>
      <c r="GC487" s="251" t="str">
        <f t="shared" si="164"/>
        <v/>
      </c>
      <c r="GD487" s="251" t="str">
        <f t="shared" si="165"/>
        <v/>
      </c>
      <c r="GE487" s="251" t="str">
        <f t="shared" si="166"/>
        <v/>
      </c>
      <c r="GF487" s="251" t="str">
        <f t="shared" si="167"/>
        <v/>
      </c>
      <c r="GG487" s="251" t="str">
        <f t="shared" si="168"/>
        <v/>
      </c>
      <c r="GH487" s="251" t="str">
        <f t="shared" si="169"/>
        <v/>
      </c>
      <c r="GI487" s="251" t="str">
        <f t="shared" si="170"/>
        <v/>
      </c>
      <c r="GJ487" s="251" t="str">
        <f t="shared" si="171"/>
        <v/>
      </c>
      <c r="GK487" s="251" t="str">
        <f t="shared" si="172"/>
        <v/>
      </c>
      <c r="GL487" s="251" t="str">
        <f t="shared" si="173"/>
        <v/>
      </c>
      <c r="GM487" s="251" t="str">
        <f t="shared" si="174"/>
        <v/>
      </c>
      <c r="GN487" s="251" t="str">
        <f t="shared" si="175"/>
        <v/>
      </c>
      <c r="GO487" s="251" t="str">
        <f t="shared" si="176"/>
        <v/>
      </c>
      <c r="GP487" s="251" t="str">
        <f t="shared" si="177"/>
        <v/>
      </c>
      <c r="GQ487" s="251" t="str">
        <f t="shared" si="178"/>
        <v/>
      </c>
      <c r="GR487" s="251" t="str">
        <f t="shared" si="179"/>
        <v/>
      </c>
      <c r="GS487" s="251" t="str">
        <f t="shared" si="180"/>
        <v/>
      </c>
      <c r="GT487" s="251" t="str">
        <f t="shared" si="181"/>
        <v/>
      </c>
      <c r="GU487" s="251" t="str">
        <f t="shared" si="182"/>
        <v/>
      </c>
      <c r="GV487" s="251" t="str">
        <f t="shared" si="183"/>
        <v/>
      </c>
      <c r="GW487" s="251" t="str">
        <f t="shared" si="184"/>
        <v/>
      </c>
      <c r="GX487" s="251" t="str">
        <f t="shared" si="185"/>
        <v/>
      </c>
      <c r="GY487" s="251" t="str">
        <f t="shared" si="186"/>
        <v/>
      </c>
      <c r="GZ487" s="251" t="str">
        <f t="shared" si="187"/>
        <v/>
      </c>
      <c r="HA487" s="251" t="str">
        <f t="shared" si="188"/>
        <v/>
      </c>
      <c r="HB487" s="251" t="str">
        <f t="shared" si="189"/>
        <v/>
      </c>
      <c r="HC487" s="251" t="str">
        <f t="shared" si="190"/>
        <v/>
      </c>
      <c r="HD487" s="251" t="str">
        <f t="shared" si="191"/>
        <v/>
      </c>
      <c r="HE487" s="251" t="str">
        <f t="shared" si="192"/>
        <v/>
      </c>
      <c r="HF487" s="251" t="str">
        <f t="shared" si="193"/>
        <v/>
      </c>
      <c r="HG487" s="251" t="str">
        <f t="shared" si="194"/>
        <v/>
      </c>
      <c r="HH487" s="251" t="str">
        <f t="shared" si="195"/>
        <v/>
      </c>
      <c r="HI487" s="251" t="str">
        <f t="shared" si="196"/>
        <v/>
      </c>
      <c r="HJ487" s="251" t="str">
        <f t="shared" si="197"/>
        <v/>
      </c>
      <c r="HK487" s="251" t="str">
        <f t="shared" si="198"/>
        <v/>
      </c>
      <c r="HL487" s="251" t="str">
        <f t="shared" si="199"/>
        <v/>
      </c>
      <c r="HM487" s="251" t="str">
        <f t="shared" si="200"/>
        <v/>
      </c>
      <c r="HN487" s="251" t="str">
        <f t="shared" si="201"/>
        <v/>
      </c>
      <c r="HO487" s="251" t="str">
        <f t="shared" si="202"/>
        <v/>
      </c>
      <c r="HP487" s="251" t="str">
        <f t="shared" si="203"/>
        <v/>
      </c>
      <c r="HQ487" s="251" t="str">
        <f t="shared" si="204"/>
        <v/>
      </c>
      <c r="HR487" s="251" t="str">
        <f t="shared" si="205"/>
        <v/>
      </c>
      <c r="HS487" s="251" t="str">
        <f t="shared" si="206"/>
        <v/>
      </c>
      <c r="HT487" s="251" t="str">
        <f t="shared" si="207"/>
        <v/>
      </c>
      <c r="HU487" s="251" t="str">
        <f t="shared" si="208"/>
        <v/>
      </c>
      <c r="HV487" s="251" t="str">
        <f t="shared" si="209"/>
        <v/>
      </c>
      <c r="HW487" s="251" t="str">
        <f t="shared" si="210"/>
        <v/>
      </c>
      <c r="HX487" s="251" t="str">
        <f t="shared" si="211"/>
        <v/>
      </c>
      <c r="HY487" s="251" t="str">
        <f t="shared" si="212"/>
        <v/>
      </c>
      <c r="HZ487" s="251" t="str">
        <f t="shared" si="213"/>
        <v/>
      </c>
      <c r="IA487" s="251" t="str">
        <f t="shared" si="214"/>
        <v/>
      </c>
      <c r="IB487" s="251" t="str">
        <f t="shared" si="215"/>
        <v/>
      </c>
      <c r="IC487" s="251" t="str">
        <f t="shared" si="216"/>
        <v/>
      </c>
      <c r="ID487" s="251" t="str">
        <f t="shared" si="217"/>
        <v/>
      </c>
      <c r="IE487" s="251" t="str">
        <f t="shared" si="218"/>
        <v/>
      </c>
      <c r="IF487" s="251" t="str">
        <f t="shared" si="219"/>
        <v/>
      </c>
      <c r="IG487" s="251" t="str">
        <f t="shared" si="220"/>
        <v/>
      </c>
      <c r="IH487" s="251" t="str">
        <f t="shared" si="221"/>
        <v/>
      </c>
      <c r="II487" s="251" t="str">
        <f t="shared" si="222"/>
        <v/>
      </c>
      <c r="IJ487" s="251" t="str">
        <f t="shared" si="223"/>
        <v/>
      </c>
      <c r="IK487" s="251" t="str">
        <f t="shared" si="224"/>
        <v/>
      </c>
      <c r="IL487" s="251" t="str">
        <f t="shared" si="225"/>
        <v/>
      </c>
      <c r="IM487" s="251" t="str">
        <f t="shared" si="226"/>
        <v/>
      </c>
      <c r="IN487" s="251" t="str">
        <f t="shared" si="227"/>
        <v/>
      </c>
      <c r="IO487" s="251" t="str">
        <f t="shared" si="228"/>
        <v/>
      </c>
      <c r="IP487" s="251" t="str">
        <f t="shared" si="229"/>
        <v/>
      </c>
      <c r="IQ487" s="251" t="str">
        <f t="shared" si="230"/>
        <v/>
      </c>
      <c r="IR487" s="251" t="str">
        <f t="shared" si="231"/>
        <v/>
      </c>
      <c r="IS487" s="251" t="str">
        <f t="shared" si="232"/>
        <v/>
      </c>
      <c r="IT487" s="251" t="str">
        <f t="shared" si="233"/>
        <v/>
      </c>
      <c r="IU487" s="251" t="str">
        <f t="shared" si="234"/>
        <v/>
      </c>
      <c r="IV487" s="251" t="str">
        <f t="shared" si="235"/>
        <v/>
      </c>
      <c r="IW487" s="251" t="str">
        <f t="shared" si="236"/>
        <v/>
      </c>
      <c r="IX487" s="251" t="str">
        <f t="shared" si="237"/>
        <v/>
      </c>
      <c r="IY487" s="251" t="str">
        <f t="shared" si="238"/>
        <v/>
      </c>
      <c r="IZ487" s="251" t="str">
        <f t="shared" si="239"/>
        <v/>
      </c>
      <c r="JA487" s="251" t="str">
        <f t="shared" si="240"/>
        <v/>
      </c>
      <c r="JB487" s="251" t="str">
        <f t="shared" si="241"/>
        <v/>
      </c>
      <c r="JC487" s="251" t="str">
        <f t="shared" si="242"/>
        <v/>
      </c>
      <c r="JD487" s="251" t="str">
        <f t="shared" si="243"/>
        <v/>
      </c>
      <c r="JE487" s="251" t="str">
        <f t="shared" si="244"/>
        <v/>
      </c>
      <c r="JF487" s="251" t="str">
        <f t="shared" si="245"/>
        <v/>
      </c>
      <c r="JG487" s="251" t="str">
        <f t="shared" si="246"/>
        <v/>
      </c>
      <c r="JH487" s="251" t="str">
        <f t="shared" si="247"/>
        <v/>
      </c>
      <c r="JI487" s="1297" t="str">
        <f t="shared" si="248"/>
        <v/>
      </c>
      <c r="JJ487" s="1297" t="str">
        <f t="shared" si="249"/>
        <v/>
      </c>
      <c r="JK487" s="1297" t="str">
        <f t="shared" si="250"/>
        <v/>
      </c>
      <c r="JL487" s="1297" t="str">
        <f t="shared" si="251"/>
        <v/>
      </c>
      <c r="JM487" s="1297" t="str">
        <f t="shared" si="252"/>
        <v/>
      </c>
      <c r="JN487" s="1297" t="str">
        <f t="shared" si="253"/>
        <v/>
      </c>
      <c r="JO487" s="1297" t="str">
        <f t="shared" si="254"/>
        <v/>
      </c>
      <c r="JP487" s="1297" t="str">
        <f t="shared" si="255"/>
        <v/>
      </c>
      <c r="JQ487" s="1297" t="str">
        <f t="shared" si="256"/>
        <v/>
      </c>
      <c r="JR487" s="1297" t="str">
        <f t="shared" si="257"/>
        <v/>
      </c>
      <c r="JS487" s="1297" t="str">
        <f t="shared" si="258"/>
        <v/>
      </c>
      <c r="JT487" s="1297" t="str">
        <f t="shared" si="259"/>
        <v/>
      </c>
      <c r="JU487" s="1297" t="str">
        <f t="shared" si="260"/>
        <v/>
      </c>
      <c r="JV487" s="1297" t="str">
        <f t="shared" si="261"/>
        <v/>
      </c>
      <c r="JW487" s="1297" t="str">
        <f t="shared" si="262"/>
        <v/>
      </c>
      <c r="JX487" s="1297" t="str">
        <f t="shared" si="263"/>
        <v/>
      </c>
      <c r="JY487" s="1297" t="str">
        <f t="shared" si="264"/>
        <v/>
      </c>
      <c r="JZ487" s="1297" t="str">
        <f t="shared" si="265"/>
        <v/>
      </c>
      <c r="KA487" s="1297" t="str">
        <f t="shared" si="266"/>
        <v/>
      </c>
      <c r="KB487" s="1297" t="str">
        <f t="shared" si="267"/>
        <v/>
      </c>
      <c r="KC487" s="1297" t="str">
        <f t="shared" si="268"/>
        <v/>
      </c>
      <c r="KD487" s="1297" t="str">
        <f t="shared" si="269"/>
        <v/>
      </c>
      <c r="KE487" s="1297" t="str">
        <f t="shared" si="270"/>
        <v/>
      </c>
      <c r="KF487" s="1297" t="str">
        <f t="shared" si="271"/>
        <v/>
      </c>
      <c r="KG487" s="1297" t="str">
        <f t="shared" si="272"/>
        <v/>
      </c>
      <c r="KH487" s="1297" t="str">
        <f t="shared" si="273"/>
        <v/>
      </c>
      <c r="KI487" s="1297" t="str">
        <f t="shared" si="274"/>
        <v/>
      </c>
      <c r="KJ487" s="1297" t="str">
        <f t="shared" si="275"/>
        <v/>
      </c>
      <c r="KK487" s="1297" t="str">
        <f t="shared" si="276"/>
        <v/>
      </c>
      <c r="KL487" s="1297" t="str">
        <f t="shared" si="277"/>
        <v/>
      </c>
      <c r="KM487" s="1297" t="str">
        <f t="shared" si="278"/>
        <v/>
      </c>
      <c r="KN487" s="1297" t="str">
        <f t="shared" si="279"/>
        <v/>
      </c>
      <c r="KO487" s="1297" t="str">
        <f t="shared" si="280"/>
        <v/>
      </c>
      <c r="KP487" s="1297" t="str">
        <f t="shared" si="281"/>
        <v/>
      </c>
      <c r="KQ487" s="1297" t="str">
        <f t="shared" si="282"/>
        <v/>
      </c>
      <c r="KR487" s="1297" t="str">
        <f t="shared" si="283"/>
        <v/>
      </c>
      <c r="KS487" s="1297" t="str">
        <f t="shared" si="284"/>
        <v/>
      </c>
      <c r="KT487" s="1297" t="str">
        <f t="shared" si="285"/>
        <v/>
      </c>
      <c r="KU487" s="1297" t="str">
        <f t="shared" si="286"/>
        <v/>
      </c>
      <c r="KV487" s="1297" t="str">
        <f t="shared" si="287"/>
        <v/>
      </c>
      <c r="KW487" s="1297" t="str">
        <f t="shared" si="288"/>
        <v/>
      </c>
      <c r="KX487" s="1297" t="str">
        <f t="shared" si="289"/>
        <v/>
      </c>
      <c r="KY487" s="1297" t="str">
        <f t="shared" si="290"/>
        <v/>
      </c>
      <c r="KZ487" s="1297" t="str">
        <f t="shared" si="291"/>
        <v/>
      </c>
      <c r="LA487" s="1297" t="str">
        <f t="shared" si="292"/>
        <v/>
      </c>
      <c r="LB487" s="1297" t="str">
        <f t="shared" si="293"/>
        <v/>
      </c>
      <c r="LC487" s="1297" t="str">
        <f t="shared" si="294"/>
        <v/>
      </c>
      <c r="LD487" s="1297" t="str">
        <f t="shared" si="295"/>
        <v/>
      </c>
      <c r="LE487" s="1297" t="str">
        <f t="shared" si="296"/>
        <v/>
      </c>
      <c r="LF487" s="1297" t="str">
        <f t="shared" si="297"/>
        <v/>
      </c>
      <c r="LG487" s="1297" t="str">
        <f t="shared" si="298"/>
        <v/>
      </c>
      <c r="LH487" s="1297" t="str">
        <f t="shared" si="299"/>
        <v/>
      </c>
      <c r="LI487" s="1297" t="str">
        <f t="shared" si="300"/>
        <v/>
      </c>
      <c r="LJ487" s="1297" t="str">
        <f t="shared" si="301"/>
        <v/>
      </c>
      <c r="LK487" s="1297" t="str">
        <f t="shared" si="302"/>
        <v/>
      </c>
      <c r="LL487" s="1297" t="str">
        <f t="shared" si="303"/>
        <v/>
      </c>
      <c r="LM487" s="1297" t="str">
        <f t="shared" si="304"/>
        <v/>
      </c>
      <c r="LN487" s="1297" t="str">
        <f t="shared" si="305"/>
        <v/>
      </c>
      <c r="LO487" s="1297" t="str">
        <f t="shared" si="306"/>
        <v/>
      </c>
      <c r="LP487" s="1297" t="str">
        <f t="shared" si="307"/>
        <v/>
      </c>
      <c r="LQ487" s="1297" t="str">
        <f t="shared" si="308"/>
        <v/>
      </c>
      <c r="LR487" s="1297" t="str">
        <f t="shared" si="309"/>
        <v/>
      </c>
      <c r="LS487" s="1297" t="str">
        <f t="shared" si="310"/>
        <v/>
      </c>
      <c r="LT487" s="1297" t="str">
        <f t="shared" si="311"/>
        <v/>
      </c>
      <c r="LU487" s="1297" t="str">
        <f t="shared" si="312"/>
        <v/>
      </c>
      <c r="LV487" s="1297" t="str">
        <f t="shared" si="313"/>
        <v/>
      </c>
      <c r="LW487" s="1297" t="str">
        <f t="shared" si="314"/>
        <v/>
      </c>
      <c r="LX487" s="1297" t="str">
        <f t="shared" si="315"/>
        <v/>
      </c>
      <c r="LY487" s="1297" t="str">
        <f t="shared" si="316"/>
        <v/>
      </c>
      <c r="LZ487" s="1297" t="str">
        <f t="shared" si="317"/>
        <v/>
      </c>
      <c r="MA487" s="1297" t="str">
        <f t="shared" si="318"/>
        <v/>
      </c>
      <c r="MB487" s="1297" t="str">
        <f t="shared" si="319"/>
        <v/>
      </c>
      <c r="MC487" s="1297" t="str">
        <f t="shared" si="320"/>
        <v/>
      </c>
      <c r="MD487" s="1297" t="str">
        <f t="shared" si="321"/>
        <v/>
      </c>
      <c r="ME487" s="1297" t="str">
        <f t="shared" si="322"/>
        <v/>
      </c>
      <c r="MF487" s="1297" t="str">
        <f t="shared" si="323"/>
        <v/>
      </c>
      <c r="MG487" s="1297" t="str">
        <f t="shared" si="324"/>
        <v/>
      </c>
      <c r="MH487" s="1297" t="str">
        <f t="shared" si="325"/>
        <v/>
      </c>
      <c r="MI487" s="1297" t="str">
        <f t="shared" si="326"/>
        <v/>
      </c>
      <c r="MJ487" s="1297" t="str">
        <f t="shared" si="327"/>
        <v/>
      </c>
      <c r="MK487" s="1297" t="str">
        <f t="shared" si="328"/>
        <v/>
      </c>
      <c r="ML487" s="1297" t="str">
        <f t="shared" si="329"/>
        <v/>
      </c>
      <c r="MM487" s="1297" t="str">
        <f t="shared" si="330"/>
        <v/>
      </c>
      <c r="MN487" s="1297" t="str">
        <f t="shared" si="331"/>
        <v/>
      </c>
      <c r="MO487" s="1297" t="str">
        <f t="shared" si="332"/>
        <v/>
      </c>
      <c r="MP487" s="1773" t="str">
        <f t="shared" si="333"/>
        <v/>
      </c>
      <c r="MQ487" s="1773" t="str">
        <f t="shared" si="334"/>
        <v/>
      </c>
      <c r="MR487" s="1773" t="str">
        <f t="shared" si="335"/>
        <v/>
      </c>
      <c r="MS487" s="1773" t="str">
        <f t="shared" si="336"/>
        <v/>
      </c>
      <c r="MT487" s="1773" t="str">
        <f t="shared" si="337"/>
        <v/>
      </c>
      <c r="MU487" s="251" t="str">
        <f t="shared" si="338"/>
        <v/>
      </c>
      <c r="MV487" s="251" t="str">
        <f t="shared" si="339"/>
        <v/>
      </c>
      <c r="MW487" s="251" t="str">
        <f t="shared" si="340"/>
        <v/>
      </c>
      <c r="MX487" s="251" t="str">
        <f t="shared" si="341"/>
        <v/>
      </c>
      <c r="MY487" s="251" t="str">
        <f t="shared" si="342"/>
        <v/>
      </c>
      <c r="MZ487" s="251" t="str">
        <f t="shared" si="343"/>
        <v/>
      </c>
      <c r="NA487" s="251" t="str">
        <f t="shared" si="344"/>
        <v/>
      </c>
      <c r="NB487" s="251" t="str">
        <f t="shared" si="345"/>
        <v/>
      </c>
      <c r="NC487" s="251" t="str">
        <f t="shared" si="346"/>
        <v/>
      </c>
      <c r="ND487" s="251" t="str">
        <f t="shared" si="347"/>
        <v/>
      </c>
      <c r="NE487" s="251" t="str">
        <f t="shared" si="348"/>
        <v/>
      </c>
      <c r="NF487" s="251" t="str">
        <f t="shared" si="349"/>
        <v/>
      </c>
      <c r="NG487" s="251" t="str">
        <f t="shared" si="350"/>
        <v/>
      </c>
      <c r="NH487" s="251" t="str">
        <f t="shared" si="351"/>
        <v/>
      </c>
      <c r="NI487" s="251" t="str">
        <f t="shared" si="352"/>
        <v/>
      </c>
      <c r="NJ487" s="251" t="str">
        <f t="shared" si="353"/>
        <v/>
      </c>
      <c r="NK487" s="251" t="str">
        <f t="shared" si="354"/>
        <v/>
      </c>
      <c r="NL487" s="251" t="str">
        <f t="shared" si="355"/>
        <v/>
      </c>
      <c r="NM487" s="251" t="str">
        <f t="shared" si="356"/>
        <v/>
      </c>
      <c r="NN487" s="251" t="str">
        <f t="shared" si="357"/>
        <v/>
      </c>
      <c r="NO487" s="1185">
        <f t="shared" si="358"/>
        <v>0</v>
      </c>
      <c r="NP487" s="1185">
        <f t="shared" si="359"/>
        <v>0</v>
      </c>
      <c r="NQ487" s="1185">
        <f t="shared" si="360"/>
        <v>0</v>
      </c>
      <c r="NR487" s="1185">
        <f t="shared" si="361"/>
        <v>0</v>
      </c>
      <c r="NS487" s="1185">
        <f t="shared" si="362"/>
        <v>0</v>
      </c>
      <c r="NT487" s="1185">
        <f t="shared" si="368"/>
        <v>0</v>
      </c>
      <c r="NU487" s="1185">
        <f t="shared" si="369"/>
        <v>0</v>
      </c>
      <c r="NV487" s="1185">
        <f t="shared" si="370"/>
        <v>0</v>
      </c>
      <c r="NW487" s="1185">
        <f t="shared" si="371"/>
        <v>0</v>
      </c>
      <c r="NX487" s="1185">
        <f t="shared" si="372"/>
        <v>0</v>
      </c>
      <c r="NY487" s="1185">
        <f t="shared" si="363"/>
        <v>0</v>
      </c>
      <c r="NZ487" s="1185">
        <f t="shared" si="364"/>
        <v>0</v>
      </c>
      <c r="OA487" s="1185">
        <f t="shared" si="365"/>
        <v>0</v>
      </c>
      <c r="OB487" s="1185">
        <f t="shared" si="366"/>
        <v>0</v>
      </c>
      <c r="OC487" s="1185">
        <f t="shared" si="367"/>
        <v>0</v>
      </c>
      <c r="OY487" s="251" t="s">
        <v>1182</v>
      </c>
      <c r="OZ487" s="1296">
        <v>34</v>
      </c>
    </row>
    <row r="488" spans="1:416" ht="12" customHeight="1">
      <c r="A488" s="1979" t="str">
        <f t="shared" si="0"/>
        <v/>
      </c>
      <c r="B488" s="1998">
        <f>'Part V-Revenues &amp; Expenses'!B35</f>
        <v>0</v>
      </c>
      <c r="C488" s="1999">
        <f>'Part V-Revenues &amp; Expenses'!C35</f>
        <v>0</v>
      </c>
      <c r="D488" s="2000">
        <f>'Part V-Revenues &amp; Expenses'!D35</f>
        <v>0</v>
      </c>
      <c r="E488" s="2001">
        <f>'Part V-Revenues &amp; Expenses'!E35</f>
        <v>0</v>
      </c>
      <c r="F488" s="2001">
        <f>'Part V-Revenues &amp; Expenses'!F35</f>
        <v>0</v>
      </c>
      <c r="G488" s="2001">
        <f>'Part V-Revenues &amp; Expenses'!G35</f>
        <v>0</v>
      </c>
      <c r="H488" s="2001">
        <f>'Part V-Revenues &amp; Expenses'!H35</f>
        <v>0</v>
      </c>
      <c r="I488" s="2001">
        <f>'Part V-Revenues &amp; Expenses'!I35</f>
        <v>0</v>
      </c>
      <c r="J488" s="2001">
        <f>'Part V-Revenues &amp; Expenses'!J35</f>
        <v>0</v>
      </c>
      <c r="K488" s="2002">
        <f>'Part V-Revenues &amp; Expenses'!K35</f>
        <v>0</v>
      </c>
      <c r="L488" s="2003">
        <f t="shared" si="1"/>
        <v>0</v>
      </c>
      <c r="M488" s="2003">
        <f t="shared" si="2"/>
        <v>0</v>
      </c>
      <c r="N488" s="1853">
        <f>'Part V-Revenues &amp; Expenses'!N35</f>
        <v>0</v>
      </c>
      <c r="O488" s="899">
        <f>'Part V-Revenues &amp; Expenses'!O35</f>
        <v>0</v>
      </c>
      <c r="P488" s="1853">
        <f>'Part V-Revenues &amp; Expenses'!P35</f>
        <v>0</v>
      </c>
      <c r="Q488" s="1772">
        <f>'Part V-Revenues &amp; Expenses'!Q35</f>
        <v>0</v>
      </c>
      <c r="R488" s="2004"/>
      <c r="S488" s="2005"/>
      <c r="T488" s="1920"/>
      <c r="U488" s="1920"/>
      <c r="V488" s="1920"/>
      <c r="W488" s="1920"/>
      <c r="X488" s="251" t="str">
        <f t="shared" si="3"/>
        <v/>
      </c>
      <c r="Y488" s="251" t="str">
        <f t="shared" si="4"/>
        <v/>
      </c>
      <c r="Z488" s="251" t="str">
        <f t="shared" si="5"/>
        <v/>
      </c>
      <c r="AA488" s="251" t="str">
        <f t="shared" si="6"/>
        <v/>
      </c>
      <c r="AB488" s="251" t="str">
        <f t="shared" si="7"/>
        <v/>
      </c>
      <c r="AC488" s="251" t="str">
        <f t="shared" si="8"/>
        <v/>
      </c>
      <c r="AD488" s="251" t="str">
        <f t="shared" si="9"/>
        <v/>
      </c>
      <c r="AE488" s="251" t="str">
        <f t="shared" si="10"/>
        <v/>
      </c>
      <c r="AF488" s="251" t="str">
        <f t="shared" si="11"/>
        <v/>
      </c>
      <c r="AG488" s="251" t="str">
        <f t="shared" si="12"/>
        <v/>
      </c>
      <c r="AH488" s="251" t="str">
        <f t="shared" si="13"/>
        <v/>
      </c>
      <c r="AI488" s="251" t="str">
        <f t="shared" si="14"/>
        <v/>
      </c>
      <c r="AJ488" s="251" t="str">
        <f t="shared" si="15"/>
        <v/>
      </c>
      <c r="AK488" s="251" t="str">
        <f t="shared" si="16"/>
        <v/>
      </c>
      <c r="AL488" s="251" t="str">
        <f t="shared" si="17"/>
        <v/>
      </c>
      <c r="AM488" s="251" t="str">
        <f t="shared" si="18"/>
        <v/>
      </c>
      <c r="AN488" s="251" t="str">
        <f t="shared" si="19"/>
        <v/>
      </c>
      <c r="AO488" s="251" t="str">
        <f t="shared" si="20"/>
        <v/>
      </c>
      <c r="AP488" s="251" t="str">
        <f t="shared" si="21"/>
        <v/>
      </c>
      <c r="AQ488" s="251" t="str">
        <f t="shared" si="22"/>
        <v/>
      </c>
      <c r="AR488" s="251" t="str">
        <f t="shared" si="23"/>
        <v/>
      </c>
      <c r="AS488" s="251" t="str">
        <f t="shared" si="24"/>
        <v/>
      </c>
      <c r="AT488" s="251" t="str">
        <f t="shared" si="25"/>
        <v/>
      </c>
      <c r="AU488" s="251" t="str">
        <f t="shared" si="26"/>
        <v/>
      </c>
      <c r="AV488" s="251" t="str">
        <f t="shared" si="27"/>
        <v/>
      </c>
      <c r="AW488" s="251" t="str">
        <f t="shared" si="28"/>
        <v/>
      </c>
      <c r="AX488" s="251" t="str">
        <f t="shared" si="29"/>
        <v/>
      </c>
      <c r="AY488" s="251" t="str">
        <f t="shared" si="30"/>
        <v/>
      </c>
      <c r="AZ488" s="251" t="str">
        <f t="shared" si="31"/>
        <v/>
      </c>
      <c r="BA488" s="251" t="str">
        <f t="shared" si="32"/>
        <v/>
      </c>
      <c r="BB488" s="251" t="str">
        <f t="shared" si="33"/>
        <v/>
      </c>
      <c r="BC488" s="251" t="str">
        <f t="shared" si="34"/>
        <v/>
      </c>
      <c r="BD488" s="251" t="str">
        <f t="shared" si="35"/>
        <v/>
      </c>
      <c r="BE488" s="251" t="str">
        <f t="shared" si="36"/>
        <v/>
      </c>
      <c r="BF488" s="251" t="str">
        <f t="shared" si="37"/>
        <v/>
      </c>
      <c r="BG488" s="251" t="str">
        <f t="shared" si="38"/>
        <v/>
      </c>
      <c r="BH488" s="251" t="str">
        <f t="shared" si="39"/>
        <v/>
      </c>
      <c r="BI488" s="251" t="str">
        <f t="shared" si="40"/>
        <v/>
      </c>
      <c r="BJ488" s="251" t="str">
        <f t="shared" si="41"/>
        <v/>
      </c>
      <c r="BK488" s="251" t="str">
        <f t="shared" si="42"/>
        <v/>
      </c>
      <c r="BL488" s="251" t="str">
        <f t="shared" si="43"/>
        <v/>
      </c>
      <c r="BM488" s="251" t="str">
        <f t="shared" si="44"/>
        <v/>
      </c>
      <c r="BN488" s="251" t="str">
        <f t="shared" si="45"/>
        <v/>
      </c>
      <c r="BO488" s="251" t="str">
        <f t="shared" si="46"/>
        <v/>
      </c>
      <c r="BP488" s="251" t="str">
        <f t="shared" si="47"/>
        <v/>
      </c>
      <c r="BQ488" s="251" t="str">
        <f t="shared" si="48"/>
        <v/>
      </c>
      <c r="BR488" s="251" t="str">
        <f t="shared" si="49"/>
        <v/>
      </c>
      <c r="BS488" s="251" t="str">
        <f t="shared" si="50"/>
        <v/>
      </c>
      <c r="BT488" s="251" t="str">
        <f t="shared" si="51"/>
        <v/>
      </c>
      <c r="BU488" s="251" t="str">
        <f t="shared" si="52"/>
        <v/>
      </c>
      <c r="BV488" s="251" t="str">
        <f t="shared" si="53"/>
        <v/>
      </c>
      <c r="BW488" s="251" t="str">
        <f t="shared" si="54"/>
        <v/>
      </c>
      <c r="BX488" s="251" t="str">
        <f t="shared" si="55"/>
        <v/>
      </c>
      <c r="BY488" s="251" t="str">
        <f t="shared" si="56"/>
        <v/>
      </c>
      <c r="BZ488" s="251" t="str">
        <f t="shared" si="57"/>
        <v/>
      </c>
      <c r="CA488" s="251" t="str">
        <f t="shared" si="58"/>
        <v/>
      </c>
      <c r="CB488" s="251" t="str">
        <f t="shared" si="59"/>
        <v/>
      </c>
      <c r="CC488" s="251" t="str">
        <f t="shared" si="60"/>
        <v/>
      </c>
      <c r="CD488" s="251" t="str">
        <f t="shared" si="61"/>
        <v/>
      </c>
      <c r="CE488" s="251" t="str">
        <f t="shared" si="62"/>
        <v/>
      </c>
      <c r="CF488" s="251" t="str">
        <f t="shared" si="63"/>
        <v/>
      </c>
      <c r="CG488" s="251" t="str">
        <f t="shared" si="64"/>
        <v/>
      </c>
      <c r="CH488" s="251" t="str">
        <f t="shared" si="65"/>
        <v/>
      </c>
      <c r="CI488" s="251" t="str">
        <f t="shared" si="66"/>
        <v/>
      </c>
      <c r="CJ488" s="251" t="str">
        <f t="shared" si="67"/>
        <v/>
      </c>
      <c r="CK488" s="251" t="str">
        <f t="shared" si="68"/>
        <v/>
      </c>
      <c r="CL488" s="251" t="str">
        <f t="shared" si="69"/>
        <v/>
      </c>
      <c r="CM488" s="251" t="str">
        <f t="shared" si="70"/>
        <v/>
      </c>
      <c r="CN488" s="251" t="str">
        <f t="shared" si="71"/>
        <v/>
      </c>
      <c r="CO488" s="251" t="str">
        <f t="shared" si="72"/>
        <v/>
      </c>
      <c r="CP488" s="251" t="str">
        <f t="shared" si="73"/>
        <v/>
      </c>
      <c r="CQ488" s="251" t="str">
        <f t="shared" si="74"/>
        <v/>
      </c>
      <c r="CR488" s="251" t="str">
        <f t="shared" si="75"/>
        <v/>
      </c>
      <c r="CS488" s="251" t="str">
        <f t="shared" si="76"/>
        <v/>
      </c>
      <c r="CT488" s="251" t="str">
        <f t="shared" si="77"/>
        <v/>
      </c>
      <c r="CU488" s="251" t="str">
        <f t="shared" si="78"/>
        <v/>
      </c>
      <c r="CV488" s="251" t="str">
        <f t="shared" si="79"/>
        <v/>
      </c>
      <c r="CW488" s="251" t="str">
        <f t="shared" si="80"/>
        <v/>
      </c>
      <c r="CX488" s="251" t="str">
        <f t="shared" si="81"/>
        <v/>
      </c>
      <c r="CY488" s="251" t="str">
        <f t="shared" si="82"/>
        <v/>
      </c>
      <c r="CZ488" s="251" t="str">
        <f t="shared" si="83"/>
        <v/>
      </c>
      <c r="DA488" s="251" t="str">
        <f t="shared" si="84"/>
        <v/>
      </c>
      <c r="DB488" s="251" t="str">
        <f t="shared" si="85"/>
        <v/>
      </c>
      <c r="DC488" s="251" t="str">
        <f t="shared" si="86"/>
        <v/>
      </c>
      <c r="DD488" s="251" t="str">
        <f t="shared" si="87"/>
        <v/>
      </c>
      <c r="DE488" s="251" t="str">
        <f t="shared" si="88"/>
        <v/>
      </c>
      <c r="DF488" s="251" t="str">
        <f t="shared" si="89"/>
        <v/>
      </c>
      <c r="DG488" s="251" t="str">
        <f t="shared" si="90"/>
        <v/>
      </c>
      <c r="DH488" s="251" t="str">
        <f t="shared" si="91"/>
        <v/>
      </c>
      <c r="DI488" s="251" t="str">
        <f t="shared" si="92"/>
        <v/>
      </c>
      <c r="DJ488" s="251" t="str">
        <f t="shared" si="93"/>
        <v/>
      </c>
      <c r="DK488" s="251" t="str">
        <f t="shared" si="94"/>
        <v/>
      </c>
      <c r="DL488" s="251" t="str">
        <f t="shared" si="95"/>
        <v/>
      </c>
      <c r="DM488" s="251" t="str">
        <f t="shared" si="96"/>
        <v/>
      </c>
      <c r="DN488" s="251" t="str">
        <f t="shared" si="97"/>
        <v/>
      </c>
      <c r="DO488" s="251" t="str">
        <f t="shared" si="98"/>
        <v/>
      </c>
      <c r="DP488" s="251" t="str">
        <f t="shared" si="99"/>
        <v/>
      </c>
      <c r="DQ488" s="251" t="str">
        <f t="shared" si="100"/>
        <v/>
      </c>
      <c r="DR488" s="251" t="str">
        <f t="shared" si="101"/>
        <v/>
      </c>
      <c r="DS488" s="251" t="str">
        <f t="shared" si="102"/>
        <v/>
      </c>
      <c r="DT488" s="251" t="str">
        <f t="shared" si="103"/>
        <v/>
      </c>
      <c r="DU488" s="251" t="str">
        <f t="shared" si="104"/>
        <v/>
      </c>
      <c r="DV488" s="251" t="str">
        <f t="shared" si="105"/>
        <v/>
      </c>
      <c r="DW488" s="251" t="str">
        <f t="shared" si="106"/>
        <v/>
      </c>
      <c r="DX488" s="251" t="str">
        <f t="shared" si="107"/>
        <v/>
      </c>
      <c r="DY488" s="251" t="str">
        <f t="shared" si="108"/>
        <v/>
      </c>
      <c r="DZ488" s="251" t="str">
        <f t="shared" si="109"/>
        <v/>
      </c>
      <c r="EA488" s="251" t="str">
        <f t="shared" si="110"/>
        <v/>
      </c>
      <c r="EB488" s="251" t="str">
        <f t="shared" si="111"/>
        <v/>
      </c>
      <c r="EC488" s="251" t="str">
        <f t="shared" si="112"/>
        <v/>
      </c>
      <c r="ED488" s="251" t="str">
        <f t="shared" si="113"/>
        <v/>
      </c>
      <c r="EE488" s="251" t="str">
        <f t="shared" si="114"/>
        <v/>
      </c>
      <c r="EF488" s="251" t="str">
        <f t="shared" si="115"/>
        <v/>
      </c>
      <c r="EG488" s="251" t="str">
        <f t="shared" si="116"/>
        <v/>
      </c>
      <c r="EH488" s="251" t="str">
        <f t="shared" si="117"/>
        <v/>
      </c>
      <c r="EI488" s="251" t="str">
        <f t="shared" si="118"/>
        <v/>
      </c>
      <c r="EJ488" s="251" t="str">
        <f t="shared" si="119"/>
        <v/>
      </c>
      <c r="EK488" s="251" t="str">
        <f t="shared" si="120"/>
        <v/>
      </c>
      <c r="EL488" s="251" t="str">
        <f t="shared" si="121"/>
        <v/>
      </c>
      <c r="EM488" s="251" t="str">
        <f t="shared" si="122"/>
        <v/>
      </c>
      <c r="EN488" s="251" t="str">
        <f t="shared" si="123"/>
        <v/>
      </c>
      <c r="EO488" s="251" t="str">
        <f t="shared" si="124"/>
        <v/>
      </c>
      <c r="EP488" s="251" t="str">
        <f t="shared" si="125"/>
        <v/>
      </c>
      <c r="EQ488" s="251" t="str">
        <f t="shared" si="126"/>
        <v/>
      </c>
      <c r="ER488" s="251" t="str">
        <f t="shared" si="127"/>
        <v/>
      </c>
      <c r="ES488" s="251" t="str">
        <f t="shared" si="128"/>
        <v/>
      </c>
      <c r="ET488" s="251" t="str">
        <f t="shared" si="129"/>
        <v/>
      </c>
      <c r="EU488" s="251" t="str">
        <f t="shared" si="130"/>
        <v/>
      </c>
      <c r="EV488" s="251" t="str">
        <f t="shared" si="131"/>
        <v/>
      </c>
      <c r="EW488" s="251" t="str">
        <f t="shared" si="132"/>
        <v/>
      </c>
      <c r="EX488" s="251" t="str">
        <f t="shared" si="133"/>
        <v/>
      </c>
      <c r="EY488" s="251" t="str">
        <f t="shared" si="134"/>
        <v/>
      </c>
      <c r="EZ488" s="251" t="str">
        <f t="shared" si="135"/>
        <v/>
      </c>
      <c r="FA488" s="251" t="str">
        <f t="shared" si="136"/>
        <v/>
      </c>
      <c r="FB488" s="251" t="str">
        <f t="shared" si="137"/>
        <v/>
      </c>
      <c r="FC488" s="251" t="str">
        <f t="shared" si="138"/>
        <v/>
      </c>
      <c r="FD488" s="251" t="str">
        <f t="shared" si="139"/>
        <v/>
      </c>
      <c r="FE488" s="251" t="str">
        <f t="shared" si="140"/>
        <v/>
      </c>
      <c r="FF488" s="251" t="str">
        <f t="shared" si="141"/>
        <v/>
      </c>
      <c r="FG488" s="251" t="str">
        <f t="shared" si="142"/>
        <v/>
      </c>
      <c r="FH488" s="251" t="str">
        <f t="shared" si="143"/>
        <v/>
      </c>
      <c r="FI488" s="251" t="str">
        <f t="shared" si="144"/>
        <v/>
      </c>
      <c r="FJ488" s="251" t="str">
        <f t="shared" si="145"/>
        <v/>
      </c>
      <c r="FK488" s="251" t="str">
        <f t="shared" si="146"/>
        <v/>
      </c>
      <c r="FL488" s="251" t="str">
        <f t="shared" si="147"/>
        <v/>
      </c>
      <c r="FM488" s="251" t="str">
        <f t="shared" si="148"/>
        <v/>
      </c>
      <c r="FN488" s="251" t="str">
        <f t="shared" si="149"/>
        <v/>
      </c>
      <c r="FO488" s="251" t="str">
        <f t="shared" si="150"/>
        <v/>
      </c>
      <c r="FP488" s="251" t="str">
        <f t="shared" si="151"/>
        <v/>
      </c>
      <c r="FQ488" s="251" t="str">
        <f t="shared" si="152"/>
        <v/>
      </c>
      <c r="FR488" s="251" t="str">
        <f t="shared" si="153"/>
        <v/>
      </c>
      <c r="FS488" s="251" t="str">
        <f t="shared" si="154"/>
        <v/>
      </c>
      <c r="FT488" s="251" t="str">
        <f t="shared" si="155"/>
        <v/>
      </c>
      <c r="FU488" s="251" t="str">
        <f t="shared" si="156"/>
        <v/>
      </c>
      <c r="FV488" s="251" t="str">
        <f t="shared" si="157"/>
        <v/>
      </c>
      <c r="FW488" s="251" t="str">
        <f t="shared" si="158"/>
        <v/>
      </c>
      <c r="FX488" s="251" t="str">
        <f t="shared" si="159"/>
        <v/>
      </c>
      <c r="FY488" s="251" t="str">
        <f t="shared" si="160"/>
        <v/>
      </c>
      <c r="FZ488" s="251" t="str">
        <f t="shared" si="161"/>
        <v/>
      </c>
      <c r="GA488" s="251" t="str">
        <f t="shared" si="162"/>
        <v/>
      </c>
      <c r="GB488" s="251" t="str">
        <f t="shared" si="163"/>
        <v/>
      </c>
      <c r="GC488" s="251" t="str">
        <f t="shared" si="164"/>
        <v/>
      </c>
      <c r="GD488" s="251" t="str">
        <f t="shared" si="165"/>
        <v/>
      </c>
      <c r="GE488" s="251" t="str">
        <f t="shared" si="166"/>
        <v/>
      </c>
      <c r="GF488" s="251" t="str">
        <f t="shared" si="167"/>
        <v/>
      </c>
      <c r="GG488" s="251" t="str">
        <f t="shared" si="168"/>
        <v/>
      </c>
      <c r="GH488" s="251" t="str">
        <f t="shared" si="169"/>
        <v/>
      </c>
      <c r="GI488" s="251" t="str">
        <f t="shared" si="170"/>
        <v/>
      </c>
      <c r="GJ488" s="251" t="str">
        <f t="shared" si="171"/>
        <v/>
      </c>
      <c r="GK488" s="251" t="str">
        <f t="shared" si="172"/>
        <v/>
      </c>
      <c r="GL488" s="251" t="str">
        <f t="shared" si="173"/>
        <v/>
      </c>
      <c r="GM488" s="251" t="str">
        <f t="shared" si="174"/>
        <v/>
      </c>
      <c r="GN488" s="251" t="str">
        <f t="shared" si="175"/>
        <v/>
      </c>
      <c r="GO488" s="251" t="str">
        <f t="shared" si="176"/>
        <v/>
      </c>
      <c r="GP488" s="251" t="str">
        <f t="shared" si="177"/>
        <v/>
      </c>
      <c r="GQ488" s="251" t="str">
        <f t="shared" si="178"/>
        <v/>
      </c>
      <c r="GR488" s="251" t="str">
        <f t="shared" si="179"/>
        <v/>
      </c>
      <c r="GS488" s="251" t="str">
        <f t="shared" si="180"/>
        <v/>
      </c>
      <c r="GT488" s="251" t="str">
        <f t="shared" si="181"/>
        <v/>
      </c>
      <c r="GU488" s="251" t="str">
        <f t="shared" si="182"/>
        <v/>
      </c>
      <c r="GV488" s="251" t="str">
        <f t="shared" si="183"/>
        <v/>
      </c>
      <c r="GW488" s="251" t="str">
        <f t="shared" si="184"/>
        <v/>
      </c>
      <c r="GX488" s="251" t="str">
        <f t="shared" si="185"/>
        <v/>
      </c>
      <c r="GY488" s="251" t="str">
        <f t="shared" si="186"/>
        <v/>
      </c>
      <c r="GZ488" s="251" t="str">
        <f t="shared" si="187"/>
        <v/>
      </c>
      <c r="HA488" s="251" t="str">
        <f t="shared" si="188"/>
        <v/>
      </c>
      <c r="HB488" s="251" t="str">
        <f t="shared" si="189"/>
        <v/>
      </c>
      <c r="HC488" s="251" t="str">
        <f t="shared" si="190"/>
        <v/>
      </c>
      <c r="HD488" s="251" t="str">
        <f t="shared" si="191"/>
        <v/>
      </c>
      <c r="HE488" s="251" t="str">
        <f t="shared" si="192"/>
        <v/>
      </c>
      <c r="HF488" s="251" t="str">
        <f t="shared" si="193"/>
        <v/>
      </c>
      <c r="HG488" s="251" t="str">
        <f t="shared" si="194"/>
        <v/>
      </c>
      <c r="HH488" s="251" t="str">
        <f t="shared" si="195"/>
        <v/>
      </c>
      <c r="HI488" s="251" t="str">
        <f t="shared" si="196"/>
        <v/>
      </c>
      <c r="HJ488" s="251" t="str">
        <f t="shared" si="197"/>
        <v/>
      </c>
      <c r="HK488" s="251" t="str">
        <f t="shared" si="198"/>
        <v/>
      </c>
      <c r="HL488" s="251" t="str">
        <f t="shared" si="199"/>
        <v/>
      </c>
      <c r="HM488" s="251" t="str">
        <f t="shared" si="200"/>
        <v/>
      </c>
      <c r="HN488" s="251" t="str">
        <f t="shared" si="201"/>
        <v/>
      </c>
      <c r="HO488" s="251" t="str">
        <f t="shared" si="202"/>
        <v/>
      </c>
      <c r="HP488" s="251" t="str">
        <f t="shared" si="203"/>
        <v/>
      </c>
      <c r="HQ488" s="251" t="str">
        <f t="shared" si="204"/>
        <v/>
      </c>
      <c r="HR488" s="251" t="str">
        <f t="shared" si="205"/>
        <v/>
      </c>
      <c r="HS488" s="251" t="str">
        <f t="shared" si="206"/>
        <v/>
      </c>
      <c r="HT488" s="251" t="str">
        <f t="shared" si="207"/>
        <v/>
      </c>
      <c r="HU488" s="251" t="str">
        <f t="shared" si="208"/>
        <v/>
      </c>
      <c r="HV488" s="251" t="str">
        <f t="shared" si="209"/>
        <v/>
      </c>
      <c r="HW488" s="251" t="str">
        <f t="shared" si="210"/>
        <v/>
      </c>
      <c r="HX488" s="251" t="str">
        <f t="shared" si="211"/>
        <v/>
      </c>
      <c r="HY488" s="251" t="str">
        <f t="shared" si="212"/>
        <v/>
      </c>
      <c r="HZ488" s="251" t="str">
        <f t="shared" si="213"/>
        <v/>
      </c>
      <c r="IA488" s="251" t="str">
        <f t="shared" si="214"/>
        <v/>
      </c>
      <c r="IB488" s="251" t="str">
        <f t="shared" si="215"/>
        <v/>
      </c>
      <c r="IC488" s="251" t="str">
        <f t="shared" si="216"/>
        <v/>
      </c>
      <c r="ID488" s="251" t="str">
        <f t="shared" si="217"/>
        <v/>
      </c>
      <c r="IE488" s="251" t="str">
        <f t="shared" si="218"/>
        <v/>
      </c>
      <c r="IF488" s="251" t="str">
        <f t="shared" si="219"/>
        <v/>
      </c>
      <c r="IG488" s="251" t="str">
        <f t="shared" si="220"/>
        <v/>
      </c>
      <c r="IH488" s="251" t="str">
        <f t="shared" si="221"/>
        <v/>
      </c>
      <c r="II488" s="251" t="str">
        <f t="shared" si="222"/>
        <v/>
      </c>
      <c r="IJ488" s="251" t="str">
        <f t="shared" si="223"/>
        <v/>
      </c>
      <c r="IK488" s="251" t="str">
        <f t="shared" si="224"/>
        <v/>
      </c>
      <c r="IL488" s="251" t="str">
        <f t="shared" si="225"/>
        <v/>
      </c>
      <c r="IM488" s="251" t="str">
        <f t="shared" si="226"/>
        <v/>
      </c>
      <c r="IN488" s="251" t="str">
        <f t="shared" si="227"/>
        <v/>
      </c>
      <c r="IO488" s="251" t="str">
        <f t="shared" si="228"/>
        <v/>
      </c>
      <c r="IP488" s="251" t="str">
        <f t="shared" si="229"/>
        <v/>
      </c>
      <c r="IQ488" s="251" t="str">
        <f t="shared" si="230"/>
        <v/>
      </c>
      <c r="IR488" s="251" t="str">
        <f t="shared" si="231"/>
        <v/>
      </c>
      <c r="IS488" s="251" t="str">
        <f t="shared" si="232"/>
        <v/>
      </c>
      <c r="IT488" s="251" t="str">
        <f t="shared" si="233"/>
        <v/>
      </c>
      <c r="IU488" s="251" t="str">
        <f t="shared" si="234"/>
        <v/>
      </c>
      <c r="IV488" s="251" t="str">
        <f t="shared" si="235"/>
        <v/>
      </c>
      <c r="IW488" s="251" t="str">
        <f t="shared" si="236"/>
        <v/>
      </c>
      <c r="IX488" s="251" t="str">
        <f t="shared" si="237"/>
        <v/>
      </c>
      <c r="IY488" s="251" t="str">
        <f t="shared" si="238"/>
        <v/>
      </c>
      <c r="IZ488" s="251" t="str">
        <f t="shared" si="239"/>
        <v/>
      </c>
      <c r="JA488" s="251" t="str">
        <f t="shared" si="240"/>
        <v/>
      </c>
      <c r="JB488" s="251" t="str">
        <f t="shared" si="241"/>
        <v/>
      </c>
      <c r="JC488" s="251" t="str">
        <f t="shared" si="242"/>
        <v/>
      </c>
      <c r="JD488" s="251" t="str">
        <f t="shared" si="243"/>
        <v/>
      </c>
      <c r="JE488" s="251" t="str">
        <f t="shared" si="244"/>
        <v/>
      </c>
      <c r="JF488" s="251" t="str">
        <f t="shared" si="245"/>
        <v/>
      </c>
      <c r="JG488" s="251" t="str">
        <f t="shared" si="246"/>
        <v/>
      </c>
      <c r="JH488" s="251" t="str">
        <f t="shared" si="247"/>
        <v/>
      </c>
      <c r="JI488" s="1297" t="str">
        <f t="shared" si="248"/>
        <v/>
      </c>
      <c r="JJ488" s="1297" t="str">
        <f t="shared" si="249"/>
        <v/>
      </c>
      <c r="JK488" s="1297" t="str">
        <f t="shared" si="250"/>
        <v/>
      </c>
      <c r="JL488" s="1297" t="str">
        <f t="shared" si="251"/>
        <v/>
      </c>
      <c r="JM488" s="1297" t="str">
        <f t="shared" si="252"/>
        <v/>
      </c>
      <c r="JN488" s="1297" t="str">
        <f t="shared" si="253"/>
        <v/>
      </c>
      <c r="JO488" s="1297" t="str">
        <f t="shared" si="254"/>
        <v/>
      </c>
      <c r="JP488" s="1297" t="str">
        <f t="shared" si="255"/>
        <v/>
      </c>
      <c r="JQ488" s="1297" t="str">
        <f t="shared" si="256"/>
        <v/>
      </c>
      <c r="JR488" s="1297" t="str">
        <f t="shared" si="257"/>
        <v/>
      </c>
      <c r="JS488" s="1297" t="str">
        <f t="shared" si="258"/>
        <v/>
      </c>
      <c r="JT488" s="1297" t="str">
        <f t="shared" si="259"/>
        <v/>
      </c>
      <c r="JU488" s="1297" t="str">
        <f t="shared" si="260"/>
        <v/>
      </c>
      <c r="JV488" s="1297" t="str">
        <f t="shared" si="261"/>
        <v/>
      </c>
      <c r="JW488" s="1297" t="str">
        <f t="shared" si="262"/>
        <v/>
      </c>
      <c r="JX488" s="1297" t="str">
        <f t="shared" si="263"/>
        <v/>
      </c>
      <c r="JY488" s="1297" t="str">
        <f t="shared" si="264"/>
        <v/>
      </c>
      <c r="JZ488" s="1297" t="str">
        <f t="shared" si="265"/>
        <v/>
      </c>
      <c r="KA488" s="1297" t="str">
        <f t="shared" si="266"/>
        <v/>
      </c>
      <c r="KB488" s="1297" t="str">
        <f t="shared" si="267"/>
        <v/>
      </c>
      <c r="KC488" s="1297" t="str">
        <f t="shared" si="268"/>
        <v/>
      </c>
      <c r="KD488" s="1297" t="str">
        <f t="shared" si="269"/>
        <v/>
      </c>
      <c r="KE488" s="1297" t="str">
        <f t="shared" si="270"/>
        <v/>
      </c>
      <c r="KF488" s="1297" t="str">
        <f t="shared" si="271"/>
        <v/>
      </c>
      <c r="KG488" s="1297" t="str">
        <f t="shared" si="272"/>
        <v/>
      </c>
      <c r="KH488" s="1297" t="str">
        <f t="shared" si="273"/>
        <v/>
      </c>
      <c r="KI488" s="1297" t="str">
        <f t="shared" si="274"/>
        <v/>
      </c>
      <c r="KJ488" s="1297" t="str">
        <f t="shared" si="275"/>
        <v/>
      </c>
      <c r="KK488" s="1297" t="str">
        <f t="shared" si="276"/>
        <v/>
      </c>
      <c r="KL488" s="1297" t="str">
        <f t="shared" si="277"/>
        <v/>
      </c>
      <c r="KM488" s="1297" t="str">
        <f t="shared" si="278"/>
        <v/>
      </c>
      <c r="KN488" s="1297" t="str">
        <f t="shared" si="279"/>
        <v/>
      </c>
      <c r="KO488" s="1297" t="str">
        <f t="shared" si="280"/>
        <v/>
      </c>
      <c r="KP488" s="1297" t="str">
        <f t="shared" si="281"/>
        <v/>
      </c>
      <c r="KQ488" s="1297" t="str">
        <f t="shared" si="282"/>
        <v/>
      </c>
      <c r="KR488" s="1297" t="str">
        <f t="shared" si="283"/>
        <v/>
      </c>
      <c r="KS488" s="1297" t="str">
        <f t="shared" si="284"/>
        <v/>
      </c>
      <c r="KT488" s="1297" t="str">
        <f t="shared" si="285"/>
        <v/>
      </c>
      <c r="KU488" s="1297" t="str">
        <f t="shared" si="286"/>
        <v/>
      </c>
      <c r="KV488" s="1297" t="str">
        <f t="shared" si="287"/>
        <v/>
      </c>
      <c r="KW488" s="1297" t="str">
        <f t="shared" si="288"/>
        <v/>
      </c>
      <c r="KX488" s="1297" t="str">
        <f t="shared" si="289"/>
        <v/>
      </c>
      <c r="KY488" s="1297" t="str">
        <f t="shared" si="290"/>
        <v/>
      </c>
      <c r="KZ488" s="1297" t="str">
        <f t="shared" si="291"/>
        <v/>
      </c>
      <c r="LA488" s="1297" t="str">
        <f t="shared" si="292"/>
        <v/>
      </c>
      <c r="LB488" s="1297" t="str">
        <f t="shared" si="293"/>
        <v/>
      </c>
      <c r="LC488" s="1297" t="str">
        <f t="shared" si="294"/>
        <v/>
      </c>
      <c r="LD488" s="1297" t="str">
        <f t="shared" si="295"/>
        <v/>
      </c>
      <c r="LE488" s="1297" t="str">
        <f t="shared" si="296"/>
        <v/>
      </c>
      <c r="LF488" s="1297" t="str">
        <f t="shared" si="297"/>
        <v/>
      </c>
      <c r="LG488" s="1297" t="str">
        <f t="shared" si="298"/>
        <v/>
      </c>
      <c r="LH488" s="1297" t="str">
        <f t="shared" si="299"/>
        <v/>
      </c>
      <c r="LI488" s="1297" t="str">
        <f t="shared" si="300"/>
        <v/>
      </c>
      <c r="LJ488" s="1297" t="str">
        <f t="shared" si="301"/>
        <v/>
      </c>
      <c r="LK488" s="1297" t="str">
        <f t="shared" si="302"/>
        <v/>
      </c>
      <c r="LL488" s="1297" t="str">
        <f t="shared" si="303"/>
        <v/>
      </c>
      <c r="LM488" s="1297" t="str">
        <f t="shared" si="304"/>
        <v/>
      </c>
      <c r="LN488" s="1297" t="str">
        <f t="shared" si="305"/>
        <v/>
      </c>
      <c r="LO488" s="1297" t="str">
        <f t="shared" si="306"/>
        <v/>
      </c>
      <c r="LP488" s="1297" t="str">
        <f t="shared" si="307"/>
        <v/>
      </c>
      <c r="LQ488" s="1297" t="str">
        <f t="shared" si="308"/>
        <v/>
      </c>
      <c r="LR488" s="1297" t="str">
        <f t="shared" si="309"/>
        <v/>
      </c>
      <c r="LS488" s="1297" t="str">
        <f t="shared" si="310"/>
        <v/>
      </c>
      <c r="LT488" s="1297" t="str">
        <f t="shared" si="311"/>
        <v/>
      </c>
      <c r="LU488" s="1297" t="str">
        <f t="shared" si="312"/>
        <v/>
      </c>
      <c r="LV488" s="1297" t="str">
        <f t="shared" si="313"/>
        <v/>
      </c>
      <c r="LW488" s="1297" t="str">
        <f t="shared" si="314"/>
        <v/>
      </c>
      <c r="LX488" s="1297" t="str">
        <f t="shared" si="315"/>
        <v/>
      </c>
      <c r="LY488" s="1297" t="str">
        <f t="shared" si="316"/>
        <v/>
      </c>
      <c r="LZ488" s="1297" t="str">
        <f t="shared" si="317"/>
        <v/>
      </c>
      <c r="MA488" s="1297" t="str">
        <f t="shared" si="318"/>
        <v/>
      </c>
      <c r="MB488" s="1297" t="str">
        <f t="shared" si="319"/>
        <v/>
      </c>
      <c r="MC488" s="1297" t="str">
        <f t="shared" si="320"/>
        <v/>
      </c>
      <c r="MD488" s="1297" t="str">
        <f t="shared" si="321"/>
        <v/>
      </c>
      <c r="ME488" s="1297" t="str">
        <f t="shared" si="322"/>
        <v/>
      </c>
      <c r="MF488" s="1297" t="str">
        <f t="shared" si="323"/>
        <v/>
      </c>
      <c r="MG488" s="1297" t="str">
        <f t="shared" si="324"/>
        <v/>
      </c>
      <c r="MH488" s="1297" t="str">
        <f t="shared" si="325"/>
        <v/>
      </c>
      <c r="MI488" s="1297" t="str">
        <f t="shared" si="326"/>
        <v/>
      </c>
      <c r="MJ488" s="1297" t="str">
        <f t="shared" si="327"/>
        <v/>
      </c>
      <c r="MK488" s="1297" t="str">
        <f t="shared" si="328"/>
        <v/>
      </c>
      <c r="ML488" s="1297" t="str">
        <f t="shared" si="329"/>
        <v/>
      </c>
      <c r="MM488" s="1297" t="str">
        <f t="shared" si="330"/>
        <v/>
      </c>
      <c r="MN488" s="1297" t="str">
        <f t="shared" si="331"/>
        <v/>
      </c>
      <c r="MO488" s="1297" t="str">
        <f t="shared" si="332"/>
        <v/>
      </c>
      <c r="MP488" s="1773" t="str">
        <f t="shared" si="333"/>
        <v/>
      </c>
      <c r="MQ488" s="1773" t="str">
        <f t="shared" si="334"/>
        <v/>
      </c>
      <c r="MR488" s="1773" t="str">
        <f t="shared" si="335"/>
        <v/>
      </c>
      <c r="MS488" s="1773" t="str">
        <f t="shared" si="336"/>
        <v/>
      </c>
      <c r="MT488" s="1773" t="str">
        <f t="shared" si="337"/>
        <v/>
      </c>
      <c r="MU488" s="251" t="str">
        <f t="shared" si="338"/>
        <v/>
      </c>
      <c r="MV488" s="251" t="str">
        <f t="shared" si="339"/>
        <v/>
      </c>
      <c r="MW488" s="251" t="str">
        <f t="shared" si="340"/>
        <v/>
      </c>
      <c r="MX488" s="251" t="str">
        <f t="shared" si="341"/>
        <v/>
      </c>
      <c r="MY488" s="251" t="str">
        <f t="shared" si="342"/>
        <v/>
      </c>
      <c r="MZ488" s="251" t="str">
        <f t="shared" si="343"/>
        <v/>
      </c>
      <c r="NA488" s="251" t="str">
        <f t="shared" si="344"/>
        <v/>
      </c>
      <c r="NB488" s="251" t="str">
        <f t="shared" si="345"/>
        <v/>
      </c>
      <c r="NC488" s="251" t="str">
        <f t="shared" si="346"/>
        <v/>
      </c>
      <c r="ND488" s="251" t="str">
        <f t="shared" si="347"/>
        <v/>
      </c>
      <c r="NE488" s="251" t="str">
        <f t="shared" si="348"/>
        <v/>
      </c>
      <c r="NF488" s="251" t="str">
        <f t="shared" si="349"/>
        <v/>
      </c>
      <c r="NG488" s="251" t="str">
        <f t="shared" si="350"/>
        <v/>
      </c>
      <c r="NH488" s="251" t="str">
        <f t="shared" si="351"/>
        <v/>
      </c>
      <c r="NI488" s="251" t="str">
        <f t="shared" si="352"/>
        <v/>
      </c>
      <c r="NJ488" s="251" t="str">
        <f t="shared" si="353"/>
        <v/>
      </c>
      <c r="NK488" s="251" t="str">
        <f t="shared" si="354"/>
        <v/>
      </c>
      <c r="NL488" s="251" t="str">
        <f t="shared" si="355"/>
        <v/>
      </c>
      <c r="NM488" s="251" t="str">
        <f t="shared" si="356"/>
        <v/>
      </c>
      <c r="NN488" s="251" t="str">
        <f t="shared" si="357"/>
        <v/>
      </c>
      <c r="NO488" s="1185">
        <f t="shared" si="358"/>
        <v>0</v>
      </c>
      <c r="NP488" s="1185">
        <f t="shared" si="359"/>
        <v>0</v>
      </c>
      <c r="NQ488" s="1185">
        <f t="shared" si="360"/>
        <v>0</v>
      </c>
      <c r="NR488" s="1185">
        <f t="shared" si="361"/>
        <v>0</v>
      </c>
      <c r="NS488" s="1185">
        <f t="shared" si="362"/>
        <v>0</v>
      </c>
      <c r="NT488" s="1185">
        <f t="shared" si="368"/>
        <v>0</v>
      </c>
      <c r="NU488" s="1185">
        <f t="shared" si="369"/>
        <v>0</v>
      </c>
      <c r="NV488" s="1185">
        <f t="shared" si="370"/>
        <v>0</v>
      </c>
      <c r="NW488" s="1185">
        <f t="shared" si="371"/>
        <v>0</v>
      </c>
      <c r="NX488" s="1185">
        <f t="shared" si="372"/>
        <v>0</v>
      </c>
      <c r="NY488" s="1185">
        <f t="shared" si="363"/>
        <v>0</v>
      </c>
      <c r="NZ488" s="1185">
        <f t="shared" si="364"/>
        <v>0</v>
      </c>
      <c r="OA488" s="1185">
        <f t="shared" si="365"/>
        <v>0</v>
      </c>
      <c r="OB488" s="1185">
        <f t="shared" si="366"/>
        <v>0</v>
      </c>
      <c r="OC488" s="1185">
        <f t="shared" si="367"/>
        <v>0</v>
      </c>
      <c r="OY488" s="251" t="s">
        <v>1183</v>
      </c>
      <c r="OZ488" s="1296">
        <v>35</v>
      </c>
    </row>
    <row r="489" spans="1:416" ht="12" customHeight="1">
      <c r="A489" s="1979" t="str">
        <f t="shared" si="0"/>
        <v/>
      </c>
      <c r="B489" s="1998">
        <f>'Part V-Revenues &amp; Expenses'!B36</f>
        <v>0</v>
      </c>
      <c r="C489" s="1999">
        <f>'Part V-Revenues &amp; Expenses'!C36</f>
        <v>0</v>
      </c>
      <c r="D489" s="2000">
        <f>'Part V-Revenues &amp; Expenses'!D36</f>
        <v>0</v>
      </c>
      <c r="E489" s="2001">
        <f>'Part V-Revenues &amp; Expenses'!E36</f>
        <v>0</v>
      </c>
      <c r="F489" s="2001">
        <f>'Part V-Revenues &amp; Expenses'!F36</f>
        <v>0</v>
      </c>
      <c r="G489" s="2001">
        <f>'Part V-Revenues &amp; Expenses'!G36</f>
        <v>0</v>
      </c>
      <c r="H489" s="2001">
        <f>'Part V-Revenues &amp; Expenses'!H36</f>
        <v>0</v>
      </c>
      <c r="I489" s="2001">
        <f>'Part V-Revenues &amp; Expenses'!I36</f>
        <v>0</v>
      </c>
      <c r="J489" s="2001">
        <f>'Part V-Revenues &amp; Expenses'!J36</f>
        <v>0</v>
      </c>
      <c r="K489" s="2002">
        <f>'Part V-Revenues &amp; Expenses'!K36</f>
        <v>0</v>
      </c>
      <c r="L489" s="2003">
        <f t="shared" si="1"/>
        <v>0</v>
      </c>
      <c r="M489" s="2003">
        <f t="shared" si="2"/>
        <v>0</v>
      </c>
      <c r="N489" s="1853">
        <f>'Part V-Revenues &amp; Expenses'!N36</f>
        <v>0</v>
      </c>
      <c r="O489" s="899">
        <f>'Part V-Revenues &amp; Expenses'!O36</f>
        <v>0</v>
      </c>
      <c r="P489" s="1853">
        <f>'Part V-Revenues &amp; Expenses'!P36</f>
        <v>0</v>
      </c>
      <c r="Q489" s="1772">
        <f>'Part V-Revenues &amp; Expenses'!Q36</f>
        <v>0</v>
      </c>
      <c r="R489" s="2004"/>
      <c r="S489" s="2005"/>
      <c r="T489" s="1920"/>
      <c r="U489" s="1920"/>
      <c r="V489" s="1920"/>
      <c r="W489" s="1920"/>
      <c r="X489" s="251" t="str">
        <f t="shared" si="3"/>
        <v/>
      </c>
      <c r="Y489" s="251" t="str">
        <f t="shared" si="4"/>
        <v/>
      </c>
      <c r="Z489" s="251" t="str">
        <f t="shared" si="5"/>
        <v/>
      </c>
      <c r="AA489" s="251" t="str">
        <f t="shared" si="6"/>
        <v/>
      </c>
      <c r="AB489" s="251" t="str">
        <f t="shared" si="7"/>
        <v/>
      </c>
      <c r="AC489" s="251" t="str">
        <f t="shared" si="8"/>
        <v/>
      </c>
      <c r="AD489" s="251" t="str">
        <f t="shared" si="9"/>
        <v/>
      </c>
      <c r="AE489" s="251" t="str">
        <f t="shared" si="10"/>
        <v/>
      </c>
      <c r="AF489" s="251" t="str">
        <f t="shared" si="11"/>
        <v/>
      </c>
      <c r="AG489" s="251" t="str">
        <f t="shared" si="12"/>
        <v/>
      </c>
      <c r="AH489" s="251" t="str">
        <f t="shared" si="13"/>
        <v/>
      </c>
      <c r="AI489" s="251" t="str">
        <f t="shared" si="14"/>
        <v/>
      </c>
      <c r="AJ489" s="251" t="str">
        <f t="shared" si="15"/>
        <v/>
      </c>
      <c r="AK489" s="251" t="str">
        <f t="shared" si="16"/>
        <v/>
      </c>
      <c r="AL489" s="251" t="str">
        <f t="shared" si="17"/>
        <v/>
      </c>
      <c r="AM489" s="251" t="str">
        <f t="shared" si="18"/>
        <v/>
      </c>
      <c r="AN489" s="251" t="str">
        <f t="shared" si="19"/>
        <v/>
      </c>
      <c r="AO489" s="251" t="str">
        <f t="shared" si="20"/>
        <v/>
      </c>
      <c r="AP489" s="251" t="str">
        <f t="shared" si="21"/>
        <v/>
      </c>
      <c r="AQ489" s="251" t="str">
        <f t="shared" si="22"/>
        <v/>
      </c>
      <c r="AR489" s="251" t="str">
        <f t="shared" si="23"/>
        <v/>
      </c>
      <c r="AS489" s="251" t="str">
        <f t="shared" si="24"/>
        <v/>
      </c>
      <c r="AT489" s="251" t="str">
        <f t="shared" si="25"/>
        <v/>
      </c>
      <c r="AU489" s="251" t="str">
        <f t="shared" si="26"/>
        <v/>
      </c>
      <c r="AV489" s="251" t="str">
        <f t="shared" si="27"/>
        <v/>
      </c>
      <c r="AW489" s="251" t="str">
        <f t="shared" si="28"/>
        <v/>
      </c>
      <c r="AX489" s="251" t="str">
        <f t="shared" si="29"/>
        <v/>
      </c>
      <c r="AY489" s="251" t="str">
        <f t="shared" si="30"/>
        <v/>
      </c>
      <c r="AZ489" s="251" t="str">
        <f t="shared" si="31"/>
        <v/>
      </c>
      <c r="BA489" s="251" t="str">
        <f t="shared" si="32"/>
        <v/>
      </c>
      <c r="BB489" s="251" t="str">
        <f t="shared" si="33"/>
        <v/>
      </c>
      <c r="BC489" s="251" t="str">
        <f t="shared" si="34"/>
        <v/>
      </c>
      <c r="BD489" s="251" t="str">
        <f t="shared" si="35"/>
        <v/>
      </c>
      <c r="BE489" s="251" t="str">
        <f t="shared" si="36"/>
        <v/>
      </c>
      <c r="BF489" s="251" t="str">
        <f t="shared" si="37"/>
        <v/>
      </c>
      <c r="BG489" s="251" t="str">
        <f t="shared" si="38"/>
        <v/>
      </c>
      <c r="BH489" s="251" t="str">
        <f t="shared" si="39"/>
        <v/>
      </c>
      <c r="BI489" s="251" t="str">
        <f t="shared" si="40"/>
        <v/>
      </c>
      <c r="BJ489" s="251" t="str">
        <f t="shared" si="41"/>
        <v/>
      </c>
      <c r="BK489" s="251" t="str">
        <f t="shared" si="42"/>
        <v/>
      </c>
      <c r="BL489" s="251" t="str">
        <f t="shared" si="43"/>
        <v/>
      </c>
      <c r="BM489" s="251" t="str">
        <f t="shared" si="44"/>
        <v/>
      </c>
      <c r="BN489" s="251" t="str">
        <f t="shared" si="45"/>
        <v/>
      </c>
      <c r="BO489" s="251" t="str">
        <f t="shared" si="46"/>
        <v/>
      </c>
      <c r="BP489" s="251" t="str">
        <f t="shared" si="47"/>
        <v/>
      </c>
      <c r="BQ489" s="251" t="str">
        <f t="shared" si="48"/>
        <v/>
      </c>
      <c r="BR489" s="251" t="str">
        <f t="shared" si="49"/>
        <v/>
      </c>
      <c r="BS489" s="251" t="str">
        <f t="shared" si="50"/>
        <v/>
      </c>
      <c r="BT489" s="251" t="str">
        <f t="shared" si="51"/>
        <v/>
      </c>
      <c r="BU489" s="251" t="str">
        <f t="shared" si="52"/>
        <v/>
      </c>
      <c r="BV489" s="251" t="str">
        <f t="shared" si="53"/>
        <v/>
      </c>
      <c r="BW489" s="251" t="str">
        <f t="shared" si="54"/>
        <v/>
      </c>
      <c r="BX489" s="251" t="str">
        <f t="shared" si="55"/>
        <v/>
      </c>
      <c r="BY489" s="251" t="str">
        <f t="shared" si="56"/>
        <v/>
      </c>
      <c r="BZ489" s="251" t="str">
        <f t="shared" si="57"/>
        <v/>
      </c>
      <c r="CA489" s="251" t="str">
        <f t="shared" si="58"/>
        <v/>
      </c>
      <c r="CB489" s="251" t="str">
        <f t="shared" si="59"/>
        <v/>
      </c>
      <c r="CC489" s="251" t="str">
        <f t="shared" si="60"/>
        <v/>
      </c>
      <c r="CD489" s="251" t="str">
        <f t="shared" si="61"/>
        <v/>
      </c>
      <c r="CE489" s="251" t="str">
        <f t="shared" si="62"/>
        <v/>
      </c>
      <c r="CF489" s="251" t="str">
        <f t="shared" si="63"/>
        <v/>
      </c>
      <c r="CG489" s="251" t="str">
        <f t="shared" si="64"/>
        <v/>
      </c>
      <c r="CH489" s="251" t="str">
        <f t="shared" si="65"/>
        <v/>
      </c>
      <c r="CI489" s="251" t="str">
        <f t="shared" si="66"/>
        <v/>
      </c>
      <c r="CJ489" s="251" t="str">
        <f t="shared" si="67"/>
        <v/>
      </c>
      <c r="CK489" s="251" t="str">
        <f t="shared" si="68"/>
        <v/>
      </c>
      <c r="CL489" s="251" t="str">
        <f t="shared" si="69"/>
        <v/>
      </c>
      <c r="CM489" s="251" t="str">
        <f t="shared" si="70"/>
        <v/>
      </c>
      <c r="CN489" s="251" t="str">
        <f t="shared" si="71"/>
        <v/>
      </c>
      <c r="CO489" s="251" t="str">
        <f t="shared" si="72"/>
        <v/>
      </c>
      <c r="CP489" s="251" t="str">
        <f t="shared" si="73"/>
        <v/>
      </c>
      <c r="CQ489" s="251" t="str">
        <f t="shared" si="74"/>
        <v/>
      </c>
      <c r="CR489" s="251" t="str">
        <f t="shared" si="75"/>
        <v/>
      </c>
      <c r="CS489" s="251" t="str">
        <f t="shared" si="76"/>
        <v/>
      </c>
      <c r="CT489" s="251" t="str">
        <f t="shared" si="77"/>
        <v/>
      </c>
      <c r="CU489" s="251" t="str">
        <f t="shared" si="78"/>
        <v/>
      </c>
      <c r="CV489" s="251" t="str">
        <f t="shared" si="79"/>
        <v/>
      </c>
      <c r="CW489" s="251" t="str">
        <f t="shared" si="80"/>
        <v/>
      </c>
      <c r="CX489" s="251" t="str">
        <f t="shared" si="81"/>
        <v/>
      </c>
      <c r="CY489" s="251" t="str">
        <f t="shared" si="82"/>
        <v/>
      </c>
      <c r="CZ489" s="251" t="str">
        <f t="shared" si="83"/>
        <v/>
      </c>
      <c r="DA489" s="251" t="str">
        <f t="shared" si="84"/>
        <v/>
      </c>
      <c r="DB489" s="251" t="str">
        <f t="shared" si="85"/>
        <v/>
      </c>
      <c r="DC489" s="251" t="str">
        <f t="shared" si="86"/>
        <v/>
      </c>
      <c r="DD489" s="251" t="str">
        <f t="shared" si="87"/>
        <v/>
      </c>
      <c r="DE489" s="251" t="str">
        <f t="shared" si="88"/>
        <v/>
      </c>
      <c r="DF489" s="251" t="str">
        <f t="shared" si="89"/>
        <v/>
      </c>
      <c r="DG489" s="251" t="str">
        <f t="shared" si="90"/>
        <v/>
      </c>
      <c r="DH489" s="251" t="str">
        <f t="shared" si="91"/>
        <v/>
      </c>
      <c r="DI489" s="251" t="str">
        <f t="shared" si="92"/>
        <v/>
      </c>
      <c r="DJ489" s="251" t="str">
        <f t="shared" si="93"/>
        <v/>
      </c>
      <c r="DK489" s="251" t="str">
        <f t="shared" si="94"/>
        <v/>
      </c>
      <c r="DL489" s="251" t="str">
        <f t="shared" si="95"/>
        <v/>
      </c>
      <c r="DM489" s="251" t="str">
        <f t="shared" si="96"/>
        <v/>
      </c>
      <c r="DN489" s="251" t="str">
        <f t="shared" si="97"/>
        <v/>
      </c>
      <c r="DO489" s="251" t="str">
        <f t="shared" si="98"/>
        <v/>
      </c>
      <c r="DP489" s="251" t="str">
        <f t="shared" si="99"/>
        <v/>
      </c>
      <c r="DQ489" s="251" t="str">
        <f t="shared" si="100"/>
        <v/>
      </c>
      <c r="DR489" s="251" t="str">
        <f t="shared" si="101"/>
        <v/>
      </c>
      <c r="DS489" s="251" t="str">
        <f t="shared" si="102"/>
        <v/>
      </c>
      <c r="DT489" s="251" t="str">
        <f t="shared" si="103"/>
        <v/>
      </c>
      <c r="DU489" s="251" t="str">
        <f t="shared" si="104"/>
        <v/>
      </c>
      <c r="DV489" s="251" t="str">
        <f t="shared" si="105"/>
        <v/>
      </c>
      <c r="DW489" s="251" t="str">
        <f t="shared" si="106"/>
        <v/>
      </c>
      <c r="DX489" s="251" t="str">
        <f t="shared" si="107"/>
        <v/>
      </c>
      <c r="DY489" s="251" t="str">
        <f t="shared" si="108"/>
        <v/>
      </c>
      <c r="DZ489" s="251" t="str">
        <f t="shared" si="109"/>
        <v/>
      </c>
      <c r="EA489" s="251" t="str">
        <f t="shared" si="110"/>
        <v/>
      </c>
      <c r="EB489" s="251" t="str">
        <f t="shared" si="111"/>
        <v/>
      </c>
      <c r="EC489" s="251" t="str">
        <f t="shared" si="112"/>
        <v/>
      </c>
      <c r="ED489" s="251" t="str">
        <f t="shared" si="113"/>
        <v/>
      </c>
      <c r="EE489" s="251" t="str">
        <f t="shared" si="114"/>
        <v/>
      </c>
      <c r="EF489" s="251" t="str">
        <f t="shared" si="115"/>
        <v/>
      </c>
      <c r="EG489" s="251" t="str">
        <f t="shared" si="116"/>
        <v/>
      </c>
      <c r="EH489" s="251" t="str">
        <f t="shared" si="117"/>
        <v/>
      </c>
      <c r="EI489" s="251" t="str">
        <f t="shared" si="118"/>
        <v/>
      </c>
      <c r="EJ489" s="251" t="str">
        <f t="shared" si="119"/>
        <v/>
      </c>
      <c r="EK489" s="251" t="str">
        <f t="shared" si="120"/>
        <v/>
      </c>
      <c r="EL489" s="251" t="str">
        <f t="shared" si="121"/>
        <v/>
      </c>
      <c r="EM489" s="251" t="str">
        <f t="shared" si="122"/>
        <v/>
      </c>
      <c r="EN489" s="251" t="str">
        <f t="shared" si="123"/>
        <v/>
      </c>
      <c r="EO489" s="251" t="str">
        <f t="shared" si="124"/>
        <v/>
      </c>
      <c r="EP489" s="251" t="str">
        <f t="shared" si="125"/>
        <v/>
      </c>
      <c r="EQ489" s="251" t="str">
        <f t="shared" si="126"/>
        <v/>
      </c>
      <c r="ER489" s="251" t="str">
        <f t="shared" si="127"/>
        <v/>
      </c>
      <c r="ES489" s="251" t="str">
        <f t="shared" si="128"/>
        <v/>
      </c>
      <c r="ET489" s="251" t="str">
        <f t="shared" si="129"/>
        <v/>
      </c>
      <c r="EU489" s="251" t="str">
        <f t="shared" si="130"/>
        <v/>
      </c>
      <c r="EV489" s="251" t="str">
        <f t="shared" si="131"/>
        <v/>
      </c>
      <c r="EW489" s="251" t="str">
        <f t="shared" si="132"/>
        <v/>
      </c>
      <c r="EX489" s="251" t="str">
        <f t="shared" si="133"/>
        <v/>
      </c>
      <c r="EY489" s="251" t="str">
        <f t="shared" si="134"/>
        <v/>
      </c>
      <c r="EZ489" s="251" t="str">
        <f t="shared" si="135"/>
        <v/>
      </c>
      <c r="FA489" s="251" t="str">
        <f t="shared" si="136"/>
        <v/>
      </c>
      <c r="FB489" s="251" t="str">
        <f t="shared" si="137"/>
        <v/>
      </c>
      <c r="FC489" s="251" t="str">
        <f t="shared" si="138"/>
        <v/>
      </c>
      <c r="FD489" s="251" t="str">
        <f t="shared" si="139"/>
        <v/>
      </c>
      <c r="FE489" s="251" t="str">
        <f t="shared" si="140"/>
        <v/>
      </c>
      <c r="FF489" s="251" t="str">
        <f t="shared" si="141"/>
        <v/>
      </c>
      <c r="FG489" s="251" t="str">
        <f t="shared" si="142"/>
        <v/>
      </c>
      <c r="FH489" s="251" t="str">
        <f t="shared" si="143"/>
        <v/>
      </c>
      <c r="FI489" s="251" t="str">
        <f t="shared" si="144"/>
        <v/>
      </c>
      <c r="FJ489" s="251" t="str">
        <f t="shared" si="145"/>
        <v/>
      </c>
      <c r="FK489" s="251" t="str">
        <f t="shared" si="146"/>
        <v/>
      </c>
      <c r="FL489" s="251" t="str">
        <f t="shared" si="147"/>
        <v/>
      </c>
      <c r="FM489" s="251" t="str">
        <f t="shared" si="148"/>
        <v/>
      </c>
      <c r="FN489" s="251" t="str">
        <f t="shared" si="149"/>
        <v/>
      </c>
      <c r="FO489" s="251" t="str">
        <f t="shared" si="150"/>
        <v/>
      </c>
      <c r="FP489" s="251" t="str">
        <f t="shared" si="151"/>
        <v/>
      </c>
      <c r="FQ489" s="251" t="str">
        <f t="shared" si="152"/>
        <v/>
      </c>
      <c r="FR489" s="251" t="str">
        <f t="shared" si="153"/>
        <v/>
      </c>
      <c r="FS489" s="251" t="str">
        <f t="shared" si="154"/>
        <v/>
      </c>
      <c r="FT489" s="251" t="str">
        <f t="shared" si="155"/>
        <v/>
      </c>
      <c r="FU489" s="251" t="str">
        <f t="shared" si="156"/>
        <v/>
      </c>
      <c r="FV489" s="251" t="str">
        <f t="shared" si="157"/>
        <v/>
      </c>
      <c r="FW489" s="251" t="str">
        <f t="shared" si="158"/>
        <v/>
      </c>
      <c r="FX489" s="251" t="str">
        <f t="shared" si="159"/>
        <v/>
      </c>
      <c r="FY489" s="251" t="str">
        <f t="shared" si="160"/>
        <v/>
      </c>
      <c r="FZ489" s="251" t="str">
        <f t="shared" si="161"/>
        <v/>
      </c>
      <c r="GA489" s="251" t="str">
        <f t="shared" si="162"/>
        <v/>
      </c>
      <c r="GB489" s="251" t="str">
        <f t="shared" si="163"/>
        <v/>
      </c>
      <c r="GC489" s="251" t="str">
        <f t="shared" si="164"/>
        <v/>
      </c>
      <c r="GD489" s="251" t="str">
        <f t="shared" si="165"/>
        <v/>
      </c>
      <c r="GE489" s="251" t="str">
        <f t="shared" si="166"/>
        <v/>
      </c>
      <c r="GF489" s="251" t="str">
        <f t="shared" si="167"/>
        <v/>
      </c>
      <c r="GG489" s="251" t="str">
        <f t="shared" si="168"/>
        <v/>
      </c>
      <c r="GH489" s="251" t="str">
        <f t="shared" si="169"/>
        <v/>
      </c>
      <c r="GI489" s="251" t="str">
        <f t="shared" si="170"/>
        <v/>
      </c>
      <c r="GJ489" s="251" t="str">
        <f t="shared" si="171"/>
        <v/>
      </c>
      <c r="GK489" s="251" t="str">
        <f t="shared" si="172"/>
        <v/>
      </c>
      <c r="GL489" s="251" t="str">
        <f t="shared" si="173"/>
        <v/>
      </c>
      <c r="GM489" s="251" t="str">
        <f t="shared" si="174"/>
        <v/>
      </c>
      <c r="GN489" s="251" t="str">
        <f t="shared" si="175"/>
        <v/>
      </c>
      <c r="GO489" s="251" t="str">
        <f t="shared" si="176"/>
        <v/>
      </c>
      <c r="GP489" s="251" t="str">
        <f t="shared" si="177"/>
        <v/>
      </c>
      <c r="GQ489" s="251" t="str">
        <f t="shared" si="178"/>
        <v/>
      </c>
      <c r="GR489" s="251" t="str">
        <f t="shared" si="179"/>
        <v/>
      </c>
      <c r="GS489" s="251" t="str">
        <f t="shared" si="180"/>
        <v/>
      </c>
      <c r="GT489" s="251" t="str">
        <f t="shared" si="181"/>
        <v/>
      </c>
      <c r="GU489" s="251" t="str">
        <f t="shared" si="182"/>
        <v/>
      </c>
      <c r="GV489" s="251" t="str">
        <f t="shared" si="183"/>
        <v/>
      </c>
      <c r="GW489" s="251" t="str">
        <f t="shared" si="184"/>
        <v/>
      </c>
      <c r="GX489" s="251" t="str">
        <f t="shared" si="185"/>
        <v/>
      </c>
      <c r="GY489" s="251" t="str">
        <f t="shared" si="186"/>
        <v/>
      </c>
      <c r="GZ489" s="251" t="str">
        <f t="shared" si="187"/>
        <v/>
      </c>
      <c r="HA489" s="251" t="str">
        <f t="shared" si="188"/>
        <v/>
      </c>
      <c r="HB489" s="251" t="str">
        <f t="shared" si="189"/>
        <v/>
      </c>
      <c r="HC489" s="251" t="str">
        <f t="shared" si="190"/>
        <v/>
      </c>
      <c r="HD489" s="251" t="str">
        <f t="shared" si="191"/>
        <v/>
      </c>
      <c r="HE489" s="251" t="str">
        <f t="shared" si="192"/>
        <v/>
      </c>
      <c r="HF489" s="251" t="str">
        <f t="shared" si="193"/>
        <v/>
      </c>
      <c r="HG489" s="251" t="str">
        <f t="shared" si="194"/>
        <v/>
      </c>
      <c r="HH489" s="251" t="str">
        <f t="shared" si="195"/>
        <v/>
      </c>
      <c r="HI489" s="251" t="str">
        <f t="shared" si="196"/>
        <v/>
      </c>
      <c r="HJ489" s="251" t="str">
        <f t="shared" si="197"/>
        <v/>
      </c>
      <c r="HK489" s="251" t="str">
        <f t="shared" si="198"/>
        <v/>
      </c>
      <c r="HL489" s="251" t="str">
        <f t="shared" si="199"/>
        <v/>
      </c>
      <c r="HM489" s="251" t="str">
        <f t="shared" si="200"/>
        <v/>
      </c>
      <c r="HN489" s="251" t="str">
        <f t="shared" si="201"/>
        <v/>
      </c>
      <c r="HO489" s="251" t="str">
        <f t="shared" si="202"/>
        <v/>
      </c>
      <c r="HP489" s="251" t="str">
        <f t="shared" si="203"/>
        <v/>
      </c>
      <c r="HQ489" s="251" t="str">
        <f t="shared" si="204"/>
        <v/>
      </c>
      <c r="HR489" s="251" t="str">
        <f t="shared" si="205"/>
        <v/>
      </c>
      <c r="HS489" s="251" t="str">
        <f t="shared" si="206"/>
        <v/>
      </c>
      <c r="HT489" s="251" t="str">
        <f t="shared" si="207"/>
        <v/>
      </c>
      <c r="HU489" s="251" t="str">
        <f t="shared" si="208"/>
        <v/>
      </c>
      <c r="HV489" s="251" t="str">
        <f t="shared" si="209"/>
        <v/>
      </c>
      <c r="HW489" s="251" t="str">
        <f t="shared" si="210"/>
        <v/>
      </c>
      <c r="HX489" s="251" t="str">
        <f t="shared" si="211"/>
        <v/>
      </c>
      <c r="HY489" s="251" t="str">
        <f t="shared" si="212"/>
        <v/>
      </c>
      <c r="HZ489" s="251" t="str">
        <f t="shared" si="213"/>
        <v/>
      </c>
      <c r="IA489" s="251" t="str">
        <f t="shared" si="214"/>
        <v/>
      </c>
      <c r="IB489" s="251" t="str">
        <f t="shared" si="215"/>
        <v/>
      </c>
      <c r="IC489" s="251" t="str">
        <f t="shared" si="216"/>
        <v/>
      </c>
      <c r="ID489" s="251" t="str">
        <f t="shared" si="217"/>
        <v/>
      </c>
      <c r="IE489" s="251" t="str">
        <f t="shared" si="218"/>
        <v/>
      </c>
      <c r="IF489" s="251" t="str">
        <f t="shared" si="219"/>
        <v/>
      </c>
      <c r="IG489" s="251" t="str">
        <f t="shared" si="220"/>
        <v/>
      </c>
      <c r="IH489" s="251" t="str">
        <f t="shared" si="221"/>
        <v/>
      </c>
      <c r="II489" s="251" t="str">
        <f t="shared" si="222"/>
        <v/>
      </c>
      <c r="IJ489" s="251" t="str">
        <f t="shared" si="223"/>
        <v/>
      </c>
      <c r="IK489" s="251" t="str">
        <f t="shared" si="224"/>
        <v/>
      </c>
      <c r="IL489" s="251" t="str">
        <f t="shared" si="225"/>
        <v/>
      </c>
      <c r="IM489" s="251" t="str">
        <f t="shared" si="226"/>
        <v/>
      </c>
      <c r="IN489" s="251" t="str">
        <f t="shared" si="227"/>
        <v/>
      </c>
      <c r="IO489" s="251" t="str">
        <f t="shared" si="228"/>
        <v/>
      </c>
      <c r="IP489" s="251" t="str">
        <f t="shared" si="229"/>
        <v/>
      </c>
      <c r="IQ489" s="251" t="str">
        <f t="shared" si="230"/>
        <v/>
      </c>
      <c r="IR489" s="251" t="str">
        <f t="shared" si="231"/>
        <v/>
      </c>
      <c r="IS489" s="251" t="str">
        <f t="shared" si="232"/>
        <v/>
      </c>
      <c r="IT489" s="251" t="str">
        <f t="shared" si="233"/>
        <v/>
      </c>
      <c r="IU489" s="251" t="str">
        <f t="shared" si="234"/>
        <v/>
      </c>
      <c r="IV489" s="251" t="str">
        <f t="shared" si="235"/>
        <v/>
      </c>
      <c r="IW489" s="251" t="str">
        <f t="shared" si="236"/>
        <v/>
      </c>
      <c r="IX489" s="251" t="str">
        <f t="shared" si="237"/>
        <v/>
      </c>
      <c r="IY489" s="251" t="str">
        <f t="shared" si="238"/>
        <v/>
      </c>
      <c r="IZ489" s="251" t="str">
        <f t="shared" si="239"/>
        <v/>
      </c>
      <c r="JA489" s="251" t="str">
        <f t="shared" si="240"/>
        <v/>
      </c>
      <c r="JB489" s="251" t="str">
        <f t="shared" si="241"/>
        <v/>
      </c>
      <c r="JC489" s="251" t="str">
        <f t="shared" si="242"/>
        <v/>
      </c>
      <c r="JD489" s="251" t="str">
        <f t="shared" si="243"/>
        <v/>
      </c>
      <c r="JE489" s="251" t="str">
        <f t="shared" si="244"/>
        <v/>
      </c>
      <c r="JF489" s="251" t="str">
        <f t="shared" si="245"/>
        <v/>
      </c>
      <c r="JG489" s="251" t="str">
        <f t="shared" si="246"/>
        <v/>
      </c>
      <c r="JH489" s="251" t="str">
        <f t="shared" si="247"/>
        <v/>
      </c>
      <c r="JI489" s="1297" t="str">
        <f t="shared" si="248"/>
        <v/>
      </c>
      <c r="JJ489" s="1297" t="str">
        <f t="shared" si="249"/>
        <v/>
      </c>
      <c r="JK489" s="1297" t="str">
        <f t="shared" si="250"/>
        <v/>
      </c>
      <c r="JL489" s="1297" t="str">
        <f t="shared" si="251"/>
        <v/>
      </c>
      <c r="JM489" s="1297" t="str">
        <f t="shared" si="252"/>
        <v/>
      </c>
      <c r="JN489" s="1297" t="str">
        <f t="shared" si="253"/>
        <v/>
      </c>
      <c r="JO489" s="1297" t="str">
        <f t="shared" si="254"/>
        <v/>
      </c>
      <c r="JP489" s="1297" t="str">
        <f t="shared" si="255"/>
        <v/>
      </c>
      <c r="JQ489" s="1297" t="str">
        <f t="shared" si="256"/>
        <v/>
      </c>
      <c r="JR489" s="1297" t="str">
        <f t="shared" si="257"/>
        <v/>
      </c>
      <c r="JS489" s="1297" t="str">
        <f t="shared" si="258"/>
        <v/>
      </c>
      <c r="JT489" s="1297" t="str">
        <f t="shared" si="259"/>
        <v/>
      </c>
      <c r="JU489" s="1297" t="str">
        <f t="shared" si="260"/>
        <v/>
      </c>
      <c r="JV489" s="1297" t="str">
        <f t="shared" si="261"/>
        <v/>
      </c>
      <c r="JW489" s="1297" t="str">
        <f t="shared" si="262"/>
        <v/>
      </c>
      <c r="JX489" s="1297" t="str">
        <f t="shared" si="263"/>
        <v/>
      </c>
      <c r="JY489" s="1297" t="str">
        <f t="shared" si="264"/>
        <v/>
      </c>
      <c r="JZ489" s="1297" t="str">
        <f t="shared" si="265"/>
        <v/>
      </c>
      <c r="KA489" s="1297" t="str">
        <f t="shared" si="266"/>
        <v/>
      </c>
      <c r="KB489" s="1297" t="str">
        <f t="shared" si="267"/>
        <v/>
      </c>
      <c r="KC489" s="1297" t="str">
        <f t="shared" si="268"/>
        <v/>
      </c>
      <c r="KD489" s="1297" t="str">
        <f t="shared" si="269"/>
        <v/>
      </c>
      <c r="KE489" s="1297" t="str">
        <f t="shared" si="270"/>
        <v/>
      </c>
      <c r="KF489" s="1297" t="str">
        <f t="shared" si="271"/>
        <v/>
      </c>
      <c r="KG489" s="1297" t="str">
        <f t="shared" si="272"/>
        <v/>
      </c>
      <c r="KH489" s="1297" t="str">
        <f t="shared" si="273"/>
        <v/>
      </c>
      <c r="KI489" s="1297" t="str">
        <f t="shared" si="274"/>
        <v/>
      </c>
      <c r="KJ489" s="1297" t="str">
        <f t="shared" si="275"/>
        <v/>
      </c>
      <c r="KK489" s="1297" t="str">
        <f t="shared" si="276"/>
        <v/>
      </c>
      <c r="KL489" s="1297" t="str">
        <f t="shared" si="277"/>
        <v/>
      </c>
      <c r="KM489" s="1297" t="str">
        <f t="shared" si="278"/>
        <v/>
      </c>
      <c r="KN489" s="1297" t="str">
        <f t="shared" si="279"/>
        <v/>
      </c>
      <c r="KO489" s="1297" t="str">
        <f t="shared" si="280"/>
        <v/>
      </c>
      <c r="KP489" s="1297" t="str">
        <f t="shared" si="281"/>
        <v/>
      </c>
      <c r="KQ489" s="1297" t="str">
        <f t="shared" si="282"/>
        <v/>
      </c>
      <c r="KR489" s="1297" t="str">
        <f t="shared" si="283"/>
        <v/>
      </c>
      <c r="KS489" s="1297" t="str">
        <f t="shared" si="284"/>
        <v/>
      </c>
      <c r="KT489" s="1297" t="str">
        <f t="shared" si="285"/>
        <v/>
      </c>
      <c r="KU489" s="1297" t="str">
        <f t="shared" si="286"/>
        <v/>
      </c>
      <c r="KV489" s="1297" t="str">
        <f t="shared" si="287"/>
        <v/>
      </c>
      <c r="KW489" s="1297" t="str">
        <f t="shared" si="288"/>
        <v/>
      </c>
      <c r="KX489" s="1297" t="str">
        <f t="shared" si="289"/>
        <v/>
      </c>
      <c r="KY489" s="1297" t="str">
        <f t="shared" si="290"/>
        <v/>
      </c>
      <c r="KZ489" s="1297" t="str">
        <f t="shared" si="291"/>
        <v/>
      </c>
      <c r="LA489" s="1297" t="str">
        <f t="shared" si="292"/>
        <v/>
      </c>
      <c r="LB489" s="1297" t="str">
        <f t="shared" si="293"/>
        <v/>
      </c>
      <c r="LC489" s="1297" t="str">
        <f t="shared" si="294"/>
        <v/>
      </c>
      <c r="LD489" s="1297" t="str">
        <f t="shared" si="295"/>
        <v/>
      </c>
      <c r="LE489" s="1297" t="str">
        <f t="shared" si="296"/>
        <v/>
      </c>
      <c r="LF489" s="1297" t="str">
        <f t="shared" si="297"/>
        <v/>
      </c>
      <c r="LG489" s="1297" t="str">
        <f t="shared" si="298"/>
        <v/>
      </c>
      <c r="LH489" s="1297" t="str">
        <f t="shared" si="299"/>
        <v/>
      </c>
      <c r="LI489" s="1297" t="str">
        <f t="shared" si="300"/>
        <v/>
      </c>
      <c r="LJ489" s="1297" t="str">
        <f t="shared" si="301"/>
        <v/>
      </c>
      <c r="LK489" s="1297" t="str">
        <f t="shared" si="302"/>
        <v/>
      </c>
      <c r="LL489" s="1297" t="str">
        <f t="shared" si="303"/>
        <v/>
      </c>
      <c r="LM489" s="1297" t="str">
        <f t="shared" si="304"/>
        <v/>
      </c>
      <c r="LN489" s="1297" t="str">
        <f t="shared" si="305"/>
        <v/>
      </c>
      <c r="LO489" s="1297" t="str">
        <f t="shared" si="306"/>
        <v/>
      </c>
      <c r="LP489" s="1297" t="str">
        <f t="shared" si="307"/>
        <v/>
      </c>
      <c r="LQ489" s="1297" t="str">
        <f t="shared" si="308"/>
        <v/>
      </c>
      <c r="LR489" s="1297" t="str">
        <f t="shared" si="309"/>
        <v/>
      </c>
      <c r="LS489" s="1297" t="str">
        <f t="shared" si="310"/>
        <v/>
      </c>
      <c r="LT489" s="1297" t="str">
        <f t="shared" si="311"/>
        <v/>
      </c>
      <c r="LU489" s="1297" t="str">
        <f t="shared" si="312"/>
        <v/>
      </c>
      <c r="LV489" s="1297" t="str">
        <f t="shared" si="313"/>
        <v/>
      </c>
      <c r="LW489" s="1297" t="str">
        <f t="shared" si="314"/>
        <v/>
      </c>
      <c r="LX489" s="1297" t="str">
        <f t="shared" si="315"/>
        <v/>
      </c>
      <c r="LY489" s="1297" t="str">
        <f t="shared" si="316"/>
        <v/>
      </c>
      <c r="LZ489" s="1297" t="str">
        <f t="shared" si="317"/>
        <v/>
      </c>
      <c r="MA489" s="1297" t="str">
        <f t="shared" si="318"/>
        <v/>
      </c>
      <c r="MB489" s="1297" t="str">
        <f t="shared" si="319"/>
        <v/>
      </c>
      <c r="MC489" s="1297" t="str">
        <f t="shared" si="320"/>
        <v/>
      </c>
      <c r="MD489" s="1297" t="str">
        <f t="shared" si="321"/>
        <v/>
      </c>
      <c r="ME489" s="1297" t="str">
        <f t="shared" si="322"/>
        <v/>
      </c>
      <c r="MF489" s="1297" t="str">
        <f t="shared" si="323"/>
        <v/>
      </c>
      <c r="MG489" s="1297" t="str">
        <f t="shared" si="324"/>
        <v/>
      </c>
      <c r="MH489" s="1297" t="str">
        <f t="shared" si="325"/>
        <v/>
      </c>
      <c r="MI489" s="1297" t="str">
        <f t="shared" si="326"/>
        <v/>
      </c>
      <c r="MJ489" s="1297" t="str">
        <f t="shared" si="327"/>
        <v/>
      </c>
      <c r="MK489" s="1297" t="str">
        <f t="shared" si="328"/>
        <v/>
      </c>
      <c r="ML489" s="1297" t="str">
        <f t="shared" si="329"/>
        <v/>
      </c>
      <c r="MM489" s="1297" t="str">
        <f t="shared" si="330"/>
        <v/>
      </c>
      <c r="MN489" s="1297" t="str">
        <f t="shared" si="331"/>
        <v/>
      </c>
      <c r="MO489" s="1297" t="str">
        <f t="shared" si="332"/>
        <v/>
      </c>
      <c r="MP489" s="1773" t="str">
        <f t="shared" si="333"/>
        <v/>
      </c>
      <c r="MQ489" s="1773" t="str">
        <f t="shared" si="334"/>
        <v/>
      </c>
      <c r="MR489" s="1773" t="str">
        <f t="shared" si="335"/>
        <v/>
      </c>
      <c r="MS489" s="1773" t="str">
        <f t="shared" si="336"/>
        <v/>
      </c>
      <c r="MT489" s="1773" t="str">
        <f t="shared" si="337"/>
        <v/>
      </c>
      <c r="MU489" s="251" t="str">
        <f t="shared" si="338"/>
        <v/>
      </c>
      <c r="MV489" s="251" t="str">
        <f t="shared" si="339"/>
        <v/>
      </c>
      <c r="MW489" s="251" t="str">
        <f t="shared" si="340"/>
        <v/>
      </c>
      <c r="MX489" s="251" t="str">
        <f t="shared" si="341"/>
        <v/>
      </c>
      <c r="MY489" s="251" t="str">
        <f t="shared" si="342"/>
        <v/>
      </c>
      <c r="MZ489" s="251" t="str">
        <f t="shared" si="343"/>
        <v/>
      </c>
      <c r="NA489" s="251" t="str">
        <f t="shared" si="344"/>
        <v/>
      </c>
      <c r="NB489" s="251" t="str">
        <f t="shared" si="345"/>
        <v/>
      </c>
      <c r="NC489" s="251" t="str">
        <f t="shared" si="346"/>
        <v/>
      </c>
      <c r="ND489" s="251" t="str">
        <f t="shared" si="347"/>
        <v/>
      </c>
      <c r="NE489" s="251" t="str">
        <f t="shared" si="348"/>
        <v/>
      </c>
      <c r="NF489" s="251" t="str">
        <f t="shared" si="349"/>
        <v/>
      </c>
      <c r="NG489" s="251" t="str">
        <f t="shared" si="350"/>
        <v/>
      </c>
      <c r="NH489" s="251" t="str">
        <f t="shared" si="351"/>
        <v/>
      </c>
      <c r="NI489" s="251" t="str">
        <f t="shared" si="352"/>
        <v/>
      </c>
      <c r="NJ489" s="251" t="str">
        <f t="shared" si="353"/>
        <v/>
      </c>
      <c r="NK489" s="251" t="str">
        <f t="shared" si="354"/>
        <v/>
      </c>
      <c r="NL489" s="251" t="str">
        <f t="shared" si="355"/>
        <v/>
      </c>
      <c r="NM489" s="251" t="str">
        <f t="shared" si="356"/>
        <v/>
      </c>
      <c r="NN489" s="251" t="str">
        <f t="shared" si="357"/>
        <v/>
      </c>
      <c r="NO489" s="1185">
        <f t="shared" si="358"/>
        <v>0</v>
      </c>
      <c r="NP489" s="1185">
        <f t="shared" si="359"/>
        <v>0</v>
      </c>
      <c r="NQ489" s="1185">
        <f t="shared" si="360"/>
        <v>0</v>
      </c>
      <c r="NR489" s="1185">
        <f t="shared" si="361"/>
        <v>0</v>
      </c>
      <c r="NS489" s="1185">
        <f t="shared" si="362"/>
        <v>0</v>
      </c>
      <c r="NT489" s="1185">
        <f t="shared" si="368"/>
        <v>0</v>
      </c>
      <c r="NU489" s="1185">
        <f t="shared" si="369"/>
        <v>0</v>
      </c>
      <c r="NV489" s="1185">
        <f t="shared" si="370"/>
        <v>0</v>
      </c>
      <c r="NW489" s="1185">
        <f t="shared" si="371"/>
        <v>0</v>
      </c>
      <c r="NX489" s="1185">
        <f t="shared" si="372"/>
        <v>0</v>
      </c>
      <c r="NY489" s="1185">
        <f t="shared" si="363"/>
        <v>0</v>
      </c>
      <c r="NZ489" s="1185">
        <f t="shared" si="364"/>
        <v>0</v>
      </c>
      <c r="OA489" s="1185">
        <f t="shared" si="365"/>
        <v>0</v>
      </c>
      <c r="OB489" s="1185">
        <f t="shared" si="366"/>
        <v>0</v>
      </c>
      <c r="OC489" s="1185">
        <f t="shared" si="367"/>
        <v>0</v>
      </c>
      <c r="OY489" s="251" t="s">
        <v>1184</v>
      </c>
      <c r="OZ489" s="1185">
        <v>36</v>
      </c>
    </row>
    <row r="490" spans="1:416" ht="12" customHeight="1">
      <c r="A490" s="1979" t="str">
        <f t="shared" si="0"/>
        <v/>
      </c>
      <c r="B490" s="1998">
        <f>'Part V-Revenues &amp; Expenses'!B37</f>
        <v>0</v>
      </c>
      <c r="C490" s="1999">
        <f>'Part V-Revenues &amp; Expenses'!C37</f>
        <v>0</v>
      </c>
      <c r="D490" s="2000">
        <f>'Part V-Revenues &amp; Expenses'!D37</f>
        <v>0</v>
      </c>
      <c r="E490" s="2001">
        <f>'Part V-Revenues &amp; Expenses'!E37</f>
        <v>0</v>
      </c>
      <c r="F490" s="2001">
        <f>'Part V-Revenues &amp; Expenses'!F37</f>
        <v>0</v>
      </c>
      <c r="G490" s="2001">
        <f>'Part V-Revenues &amp; Expenses'!G37</f>
        <v>0</v>
      </c>
      <c r="H490" s="2001">
        <f>'Part V-Revenues &amp; Expenses'!H37</f>
        <v>0</v>
      </c>
      <c r="I490" s="2001">
        <f>'Part V-Revenues &amp; Expenses'!I37</f>
        <v>0</v>
      </c>
      <c r="J490" s="2001">
        <f>'Part V-Revenues &amp; Expenses'!J37</f>
        <v>0</v>
      </c>
      <c r="K490" s="2002">
        <f>'Part V-Revenues &amp; Expenses'!K37</f>
        <v>0</v>
      </c>
      <c r="L490" s="2003">
        <f t="shared" si="1"/>
        <v>0</v>
      </c>
      <c r="M490" s="2003">
        <f t="shared" si="2"/>
        <v>0</v>
      </c>
      <c r="N490" s="1853">
        <f>'Part V-Revenues &amp; Expenses'!N37</f>
        <v>0</v>
      </c>
      <c r="O490" s="899">
        <f>'Part V-Revenues &amp; Expenses'!O37</f>
        <v>0</v>
      </c>
      <c r="P490" s="1853">
        <f>'Part V-Revenues &amp; Expenses'!P37</f>
        <v>0</v>
      </c>
      <c r="Q490" s="1772">
        <f>'Part V-Revenues &amp; Expenses'!Q37</f>
        <v>0</v>
      </c>
      <c r="R490" s="2004"/>
      <c r="S490" s="2005"/>
      <c r="T490" s="1920"/>
      <c r="U490" s="1920"/>
      <c r="V490" s="1920"/>
      <c r="W490" s="1920"/>
      <c r="X490" s="251" t="str">
        <f t="shared" si="3"/>
        <v/>
      </c>
      <c r="Y490" s="251" t="str">
        <f t="shared" si="4"/>
        <v/>
      </c>
      <c r="Z490" s="251" t="str">
        <f t="shared" si="5"/>
        <v/>
      </c>
      <c r="AA490" s="251" t="str">
        <f t="shared" si="6"/>
        <v/>
      </c>
      <c r="AB490" s="251" t="str">
        <f t="shared" si="7"/>
        <v/>
      </c>
      <c r="AC490" s="251" t="str">
        <f t="shared" si="8"/>
        <v/>
      </c>
      <c r="AD490" s="251" t="str">
        <f t="shared" si="9"/>
        <v/>
      </c>
      <c r="AE490" s="251" t="str">
        <f t="shared" si="10"/>
        <v/>
      </c>
      <c r="AF490" s="251" t="str">
        <f t="shared" si="11"/>
        <v/>
      </c>
      <c r="AG490" s="251" t="str">
        <f t="shared" si="12"/>
        <v/>
      </c>
      <c r="AH490" s="251" t="str">
        <f t="shared" si="13"/>
        <v/>
      </c>
      <c r="AI490" s="251" t="str">
        <f t="shared" si="14"/>
        <v/>
      </c>
      <c r="AJ490" s="251" t="str">
        <f t="shared" si="15"/>
        <v/>
      </c>
      <c r="AK490" s="251" t="str">
        <f t="shared" si="16"/>
        <v/>
      </c>
      <c r="AL490" s="251" t="str">
        <f t="shared" si="17"/>
        <v/>
      </c>
      <c r="AM490" s="251" t="str">
        <f t="shared" si="18"/>
        <v/>
      </c>
      <c r="AN490" s="251" t="str">
        <f t="shared" si="19"/>
        <v/>
      </c>
      <c r="AO490" s="251" t="str">
        <f t="shared" si="20"/>
        <v/>
      </c>
      <c r="AP490" s="251" t="str">
        <f t="shared" si="21"/>
        <v/>
      </c>
      <c r="AQ490" s="251" t="str">
        <f t="shared" si="22"/>
        <v/>
      </c>
      <c r="AR490" s="251" t="str">
        <f t="shared" si="23"/>
        <v/>
      </c>
      <c r="AS490" s="251" t="str">
        <f t="shared" si="24"/>
        <v/>
      </c>
      <c r="AT490" s="251" t="str">
        <f t="shared" si="25"/>
        <v/>
      </c>
      <c r="AU490" s="251" t="str">
        <f t="shared" si="26"/>
        <v/>
      </c>
      <c r="AV490" s="251" t="str">
        <f t="shared" si="27"/>
        <v/>
      </c>
      <c r="AW490" s="251" t="str">
        <f t="shared" si="28"/>
        <v/>
      </c>
      <c r="AX490" s="251" t="str">
        <f t="shared" si="29"/>
        <v/>
      </c>
      <c r="AY490" s="251" t="str">
        <f t="shared" si="30"/>
        <v/>
      </c>
      <c r="AZ490" s="251" t="str">
        <f t="shared" si="31"/>
        <v/>
      </c>
      <c r="BA490" s="251" t="str">
        <f t="shared" si="32"/>
        <v/>
      </c>
      <c r="BB490" s="251" t="str">
        <f t="shared" si="33"/>
        <v/>
      </c>
      <c r="BC490" s="251" t="str">
        <f t="shared" si="34"/>
        <v/>
      </c>
      <c r="BD490" s="251" t="str">
        <f t="shared" si="35"/>
        <v/>
      </c>
      <c r="BE490" s="251" t="str">
        <f t="shared" si="36"/>
        <v/>
      </c>
      <c r="BF490" s="251" t="str">
        <f t="shared" si="37"/>
        <v/>
      </c>
      <c r="BG490" s="251" t="str">
        <f t="shared" si="38"/>
        <v/>
      </c>
      <c r="BH490" s="251" t="str">
        <f t="shared" si="39"/>
        <v/>
      </c>
      <c r="BI490" s="251" t="str">
        <f t="shared" si="40"/>
        <v/>
      </c>
      <c r="BJ490" s="251" t="str">
        <f t="shared" si="41"/>
        <v/>
      </c>
      <c r="BK490" s="251" t="str">
        <f t="shared" si="42"/>
        <v/>
      </c>
      <c r="BL490" s="251" t="str">
        <f t="shared" si="43"/>
        <v/>
      </c>
      <c r="BM490" s="251" t="str">
        <f t="shared" si="44"/>
        <v/>
      </c>
      <c r="BN490" s="251" t="str">
        <f t="shared" si="45"/>
        <v/>
      </c>
      <c r="BO490" s="251" t="str">
        <f t="shared" si="46"/>
        <v/>
      </c>
      <c r="BP490" s="251" t="str">
        <f t="shared" si="47"/>
        <v/>
      </c>
      <c r="BQ490" s="251" t="str">
        <f t="shared" si="48"/>
        <v/>
      </c>
      <c r="BR490" s="251" t="str">
        <f t="shared" si="49"/>
        <v/>
      </c>
      <c r="BS490" s="251" t="str">
        <f t="shared" si="50"/>
        <v/>
      </c>
      <c r="BT490" s="251" t="str">
        <f t="shared" si="51"/>
        <v/>
      </c>
      <c r="BU490" s="251" t="str">
        <f t="shared" si="52"/>
        <v/>
      </c>
      <c r="BV490" s="251" t="str">
        <f t="shared" si="53"/>
        <v/>
      </c>
      <c r="BW490" s="251" t="str">
        <f t="shared" si="54"/>
        <v/>
      </c>
      <c r="BX490" s="251" t="str">
        <f t="shared" si="55"/>
        <v/>
      </c>
      <c r="BY490" s="251" t="str">
        <f t="shared" si="56"/>
        <v/>
      </c>
      <c r="BZ490" s="251" t="str">
        <f t="shared" si="57"/>
        <v/>
      </c>
      <c r="CA490" s="251" t="str">
        <f t="shared" si="58"/>
        <v/>
      </c>
      <c r="CB490" s="251" t="str">
        <f t="shared" si="59"/>
        <v/>
      </c>
      <c r="CC490" s="251" t="str">
        <f t="shared" si="60"/>
        <v/>
      </c>
      <c r="CD490" s="251" t="str">
        <f t="shared" si="61"/>
        <v/>
      </c>
      <c r="CE490" s="251" t="str">
        <f t="shared" si="62"/>
        <v/>
      </c>
      <c r="CF490" s="251" t="str">
        <f t="shared" si="63"/>
        <v/>
      </c>
      <c r="CG490" s="251" t="str">
        <f t="shared" si="64"/>
        <v/>
      </c>
      <c r="CH490" s="251" t="str">
        <f t="shared" si="65"/>
        <v/>
      </c>
      <c r="CI490" s="251" t="str">
        <f t="shared" si="66"/>
        <v/>
      </c>
      <c r="CJ490" s="251" t="str">
        <f t="shared" si="67"/>
        <v/>
      </c>
      <c r="CK490" s="251" t="str">
        <f t="shared" si="68"/>
        <v/>
      </c>
      <c r="CL490" s="251" t="str">
        <f t="shared" si="69"/>
        <v/>
      </c>
      <c r="CM490" s="251" t="str">
        <f t="shared" si="70"/>
        <v/>
      </c>
      <c r="CN490" s="251" t="str">
        <f t="shared" si="71"/>
        <v/>
      </c>
      <c r="CO490" s="251" t="str">
        <f t="shared" si="72"/>
        <v/>
      </c>
      <c r="CP490" s="251" t="str">
        <f t="shared" si="73"/>
        <v/>
      </c>
      <c r="CQ490" s="251" t="str">
        <f t="shared" si="74"/>
        <v/>
      </c>
      <c r="CR490" s="251" t="str">
        <f t="shared" si="75"/>
        <v/>
      </c>
      <c r="CS490" s="251" t="str">
        <f t="shared" si="76"/>
        <v/>
      </c>
      <c r="CT490" s="251" t="str">
        <f t="shared" si="77"/>
        <v/>
      </c>
      <c r="CU490" s="251" t="str">
        <f t="shared" si="78"/>
        <v/>
      </c>
      <c r="CV490" s="251" t="str">
        <f t="shared" si="79"/>
        <v/>
      </c>
      <c r="CW490" s="251" t="str">
        <f t="shared" si="80"/>
        <v/>
      </c>
      <c r="CX490" s="251" t="str">
        <f t="shared" si="81"/>
        <v/>
      </c>
      <c r="CY490" s="251" t="str">
        <f t="shared" si="82"/>
        <v/>
      </c>
      <c r="CZ490" s="251" t="str">
        <f t="shared" si="83"/>
        <v/>
      </c>
      <c r="DA490" s="251" t="str">
        <f t="shared" si="84"/>
        <v/>
      </c>
      <c r="DB490" s="251" t="str">
        <f t="shared" si="85"/>
        <v/>
      </c>
      <c r="DC490" s="251" t="str">
        <f t="shared" si="86"/>
        <v/>
      </c>
      <c r="DD490" s="251" t="str">
        <f t="shared" si="87"/>
        <v/>
      </c>
      <c r="DE490" s="251" t="str">
        <f t="shared" si="88"/>
        <v/>
      </c>
      <c r="DF490" s="251" t="str">
        <f t="shared" si="89"/>
        <v/>
      </c>
      <c r="DG490" s="251" t="str">
        <f t="shared" si="90"/>
        <v/>
      </c>
      <c r="DH490" s="251" t="str">
        <f t="shared" si="91"/>
        <v/>
      </c>
      <c r="DI490" s="251" t="str">
        <f t="shared" si="92"/>
        <v/>
      </c>
      <c r="DJ490" s="251" t="str">
        <f t="shared" si="93"/>
        <v/>
      </c>
      <c r="DK490" s="251" t="str">
        <f t="shared" si="94"/>
        <v/>
      </c>
      <c r="DL490" s="251" t="str">
        <f t="shared" si="95"/>
        <v/>
      </c>
      <c r="DM490" s="251" t="str">
        <f t="shared" si="96"/>
        <v/>
      </c>
      <c r="DN490" s="251" t="str">
        <f t="shared" si="97"/>
        <v/>
      </c>
      <c r="DO490" s="251" t="str">
        <f t="shared" si="98"/>
        <v/>
      </c>
      <c r="DP490" s="251" t="str">
        <f t="shared" si="99"/>
        <v/>
      </c>
      <c r="DQ490" s="251" t="str">
        <f t="shared" si="100"/>
        <v/>
      </c>
      <c r="DR490" s="251" t="str">
        <f t="shared" si="101"/>
        <v/>
      </c>
      <c r="DS490" s="251" t="str">
        <f t="shared" si="102"/>
        <v/>
      </c>
      <c r="DT490" s="251" t="str">
        <f t="shared" si="103"/>
        <v/>
      </c>
      <c r="DU490" s="251" t="str">
        <f t="shared" si="104"/>
        <v/>
      </c>
      <c r="DV490" s="251" t="str">
        <f t="shared" si="105"/>
        <v/>
      </c>
      <c r="DW490" s="251" t="str">
        <f t="shared" si="106"/>
        <v/>
      </c>
      <c r="DX490" s="251" t="str">
        <f t="shared" si="107"/>
        <v/>
      </c>
      <c r="DY490" s="251" t="str">
        <f t="shared" si="108"/>
        <v/>
      </c>
      <c r="DZ490" s="251" t="str">
        <f t="shared" si="109"/>
        <v/>
      </c>
      <c r="EA490" s="251" t="str">
        <f t="shared" si="110"/>
        <v/>
      </c>
      <c r="EB490" s="251" t="str">
        <f t="shared" si="111"/>
        <v/>
      </c>
      <c r="EC490" s="251" t="str">
        <f t="shared" si="112"/>
        <v/>
      </c>
      <c r="ED490" s="251" t="str">
        <f t="shared" si="113"/>
        <v/>
      </c>
      <c r="EE490" s="251" t="str">
        <f t="shared" si="114"/>
        <v/>
      </c>
      <c r="EF490" s="251" t="str">
        <f t="shared" si="115"/>
        <v/>
      </c>
      <c r="EG490" s="251" t="str">
        <f t="shared" si="116"/>
        <v/>
      </c>
      <c r="EH490" s="251" t="str">
        <f t="shared" si="117"/>
        <v/>
      </c>
      <c r="EI490" s="251" t="str">
        <f t="shared" si="118"/>
        <v/>
      </c>
      <c r="EJ490" s="251" t="str">
        <f t="shared" si="119"/>
        <v/>
      </c>
      <c r="EK490" s="251" t="str">
        <f t="shared" si="120"/>
        <v/>
      </c>
      <c r="EL490" s="251" t="str">
        <f t="shared" si="121"/>
        <v/>
      </c>
      <c r="EM490" s="251" t="str">
        <f t="shared" si="122"/>
        <v/>
      </c>
      <c r="EN490" s="251" t="str">
        <f t="shared" si="123"/>
        <v/>
      </c>
      <c r="EO490" s="251" t="str">
        <f t="shared" si="124"/>
        <v/>
      </c>
      <c r="EP490" s="251" t="str">
        <f t="shared" si="125"/>
        <v/>
      </c>
      <c r="EQ490" s="251" t="str">
        <f t="shared" si="126"/>
        <v/>
      </c>
      <c r="ER490" s="251" t="str">
        <f t="shared" si="127"/>
        <v/>
      </c>
      <c r="ES490" s="251" t="str">
        <f t="shared" si="128"/>
        <v/>
      </c>
      <c r="ET490" s="251" t="str">
        <f t="shared" si="129"/>
        <v/>
      </c>
      <c r="EU490" s="251" t="str">
        <f t="shared" si="130"/>
        <v/>
      </c>
      <c r="EV490" s="251" t="str">
        <f t="shared" si="131"/>
        <v/>
      </c>
      <c r="EW490" s="251" t="str">
        <f t="shared" si="132"/>
        <v/>
      </c>
      <c r="EX490" s="251" t="str">
        <f t="shared" si="133"/>
        <v/>
      </c>
      <c r="EY490" s="251" t="str">
        <f t="shared" si="134"/>
        <v/>
      </c>
      <c r="EZ490" s="251" t="str">
        <f t="shared" si="135"/>
        <v/>
      </c>
      <c r="FA490" s="251" t="str">
        <f t="shared" si="136"/>
        <v/>
      </c>
      <c r="FB490" s="251" t="str">
        <f t="shared" si="137"/>
        <v/>
      </c>
      <c r="FC490" s="251" t="str">
        <f t="shared" si="138"/>
        <v/>
      </c>
      <c r="FD490" s="251" t="str">
        <f t="shared" si="139"/>
        <v/>
      </c>
      <c r="FE490" s="251" t="str">
        <f t="shared" si="140"/>
        <v/>
      </c>
      <c r="FF490" s="251" t="str">
        <f t="shared" si="141"/>
        <v/>
      </c>
      <c r="FG490" s="251" t="str">
        <f t="shared" si="142"/>
        <v/>
      </c>
      <c r="FH490" s="251" t="str">
        <f t="shared" si="143"/>
        <v/>
      </c>
      <c r="FI490" s="251" t="str">
        <f t="shared" si="144"/>
        <v/>
      </c>
      <c r="FJ490" s="251" t="str">
        <f t="shared" si="145"/>
        <v/>
      </c>
      <c r="FK490" s="251" t="str">
        <f t="shared" si="146"/>
        <v/>
      </c>
      <c r="FL490" s="251" t="str">
        <f t="shared" si="147"/>
        <v/>
      </c>
      <c r="FM490" s="251" t="str">
        <f t="shared" si="148"/>
        <v/>
      </c>
      <c r="FN490" s="251" t="str">
        <f t="shared" si="149"/>
        <v/>
      </c>
      <c r="FO490" s="251" t="str">
        <f t="shared" si="150"/>
        <v/>
      </c>
      <c r="FP490" s="251" t="str">
        <f t="shared" si="151"/>
        <v/>
      </c>
      <c r="FQ490" s="251" t="str">
        <f t="shared" si="152"/>
        <v/>
      </c>
      <c r="FR490" s="251" t="str">
        <f t="shared" si="153"/>
        <v/>
      </c>
      <c r="FS490" s="251" t="str">
        <f t="shared" si="154"/>
        <v/>
      </c>
      <c r="FT490" s="251" t="str">
        <f t="shared" si="155"/>
        <v/>
      </c>
      <c r="FU490" s="251" t="str">
        <f t="shared" si="156"/>
        <v/>
      </c>
      <c r="FV490" s="251" t="str">
        <f t="shared" si="157"/>
        <v/>
      </c>
      <c r="FW490" s="251" t="str">
        <f t="shared" si="158"/>
        <v/>
      </c>
      <c r="FX490" s="251" t="str">
        <f t="shared" si="159"/>
        <v/>
      </c>
      <c r="FY490" s="251" t="str">
        <f t="shared" si="160"/>
        <v/>
      </c>
      <c r="FZ490" s="251" t="str">
        <f t="shared" si="161"/>
        <v/>
      </c>
      <c r="GA490" s="251" t="str">
        <f t="shared" si="162"/>
        <v/>
      </c>
      <c r="GB490" s="251" t="str">
        <f t="shared" si="163"/>
        <v/>
      </c>
      <c r="GC490" s="251" t="str">
        <f t="shared" si="164"/>
        <v/>
      </c>
      <c r="GD490" s="251" t="str">
        <f t="shared" si="165"/>
        <v/>
      </c>
      <c r="GE490" s="251" t="str">
        <f t="shared" si="166"/>
        <v/>
      </c>
      <c r="GF490" s="251" t="str">
        <f t="shared" si="167"/>
        <v/>
      </c>
      <c r="GG490" s="251" t="str">
        <f t="shared" si="168"/>
        <v/>
      </c>
      <c r="GH490" s="251" t="str">
        <f t="shared" si="169"/>
        <v/>
      </c>
      <c r="GI490" s="251" t="str">
        <f t="shared" si="170"/>
        <v/>
      </c>
      <c r="GJ490" s="251" t="str">
        <f t="shared" si="171"/>
        <v/>
      </c>
      <c r="GK490" s="251" t="str">
        <f t="shared" si="172"/>
        <v/>
      </c>
      <c r="GL490" s="251" t="str">
        <f t="shared" si="173"/>
        <v/>
      </c>
      <c r="GM490" s="251" t="str">
        <f t="shared" si="174"/>
        <v/>
      </c>
      <c r="GN490" s="251" t="str">
        <f t="shared" si="175"/>
        <v/>
      </c>
      <c r="GO490" s="251" t="str">
        <f t="shared" si="176"/>
        <v/>
      </c>
      <c r="GP490" s="251" t="str">
        <f t="shared" si="177"/>
        <v/>
      </c>
      <c r="GQ490" s="251" t="str">
        <f t="shared" si="178"/>
        <v/>
      </c>
      <c r="GR490" s="251" t="str">
        <f t="shared" si="179"/>
        <v/>
      </c>
      <c r="GS490" s="251" t="str">
        <f t="shared" si="180"/>
        <v/>
      </c>
      <c r="GT490" s="251" t="str">
        <f t="shared" si="181"/>
        <v/>
      </c>
      <c r="GU490" s="251" t="str">
        <f t="shared" si="182"/>
        <v/>
      </c>
      <c r="GV490" s="251" t="str">
        <f t="shared" si="183"/>
        <v/>
      </c>
      <c r="GW490" s="251" t="str">
        <f t="shared" si="184"/>
        <v/>
      </c>
      <c r="GX490" s="251" t="str">
        <f t="shared" si="185"/>
        <v/>
      </c>
      <c r="GY490" s="251" t="str">
        <f t="shared" si="186"/>
        <v/>
      </c>
      <c r="GZ490" s="251" t="str">
        <f t="shared" si="187"/>
        <v/>
      </c>
      <c r="HA490" s="251" t="str">
        <f t="shared" si="188"/>
        <v/>
      </c>
      <c r="HB490" s="251" t="str">
        <f t="shared" si="189"/>
        <v/>
      </c>
      <c r="HC490" s="251" t="str">
        <f t="shared" si="190"/>
        <v/>
      </c>
      <c r="HD490" s="251" t="str">
        <f t="shared" si="191"/>
        <v/>
      </c>
      <c r="HE490" s="251" t="str">
        <f t="shared" si="192"/>
        <v/>
      </c>
      <c r="HF490" s="251" t="str">
        <f t="shared" si="193"/>
        <v/>
      </c>
      <c r="HG490" s="251" t="str">
        <f t="shared" si="194"/>
        <v/>
      </c>
      <c r="HH490" s="251" t="str">
        <f t="shared" si="195"/>
        <v/>
      </c>
      <c r="HI490" s="251" t="str">
        <f t="shared" si="196"/>
        <v/>
      </c>
      <c r="HJ490" s="251" t="str">
        <f t="shared" si="197"/>
        <v/>
      </c>
      <c r="HK490" s="251" t="str">
        <f t="shared" si="198"/>
        <v/>
      </c>
      <c r="HL490" s="251" t="str">
        <f t="shared" si="199"/>
        <v/>
      </c>
      <c r="HM490" s="251" t="str">
        <f t="shared" si="200"/>
        <v/>
      </c>
      <c r="HN490" s="251" t="str">
        <f t="shared" si="201"/>
        <v/>
      </c>
      <c r="HO490" s="251" t="str">
        <f t="shared" si="202"/>
        <v/>
      </c>
      <c r="HP490" s="251" t="str">
        <f t="shared" si="203"/>
        <v/>
      </c>
      <c r="HQ490" s="251" t="str">
        <f t="shared" si="204"/>
        <v/>
      </c>
      <c r="HR490" s="251" t="str">
        <f t="shared" si="205"/>
        <v/>
      </c>
      <c r="HS490" s="251" t="str">
        <f t="shared" si="206"/>
        <v/>
      </c>
      <c r="HT490" s="251" t="str">
        <f t="shared" si="207"/>
        <v/>
      </c>
      <c r="HU490" s="251" t="str">
        <f t="shared" si="208"/>
        <v/>
      </c>
      <c r="HV490" s="251" t="str">
        <f t="shared" si="209"/>
        <v/>
      </c>
      <c r="HW490" s="251" t="str">
        <f t="shared" si="210"/>
        <v/>
      </c>
      <c r="HX490" s="251" t="str">
        <f t="shared" si="211"/>
        <v/>
      </c>
      <c r="HY490" s="251" t="str">
        <f t="shared" si="212"/>
        <v/>
      </c>
      <c r="HZ490" s="251" t="str">
        <f t="shared" si="213"/>
        <v/>
      </c>
      <c r="IA490" s="251" t="str">
        <f t="shared" si="214"/>
        <v/>
      </c>
      <c r="IB490" s="251" t="str">
        <f t="shared" si="215"/>
        <v/>
      </c>
      <c r="IC490" s="251" t="str">
        <f t="shared" si="216"/>
        <v/>
      </c>
      <c r="ID490" s="251" t="str">
        <f t="shared" si="217"/>
        <v/>
      </c>
      <c r="IE490" s="251" t="str">
        <f t="shared" si="218"/>
        <v/>
      </c>
      <c r="IF490" s="251" t="str">
        <f t="shared" si="219"/>
        <v/>
      </c>
      <c r="IG490" s="251" t="str">
        <f t="shared" si="220"/>
        <v/>
      </c>
      <c r="IH490" s="251" t="str">
        <f t="shared" si="221"/>
        <v/>
      </c>
      <c r="II490" s="251" t="str">
        <f t="shared" si="222"/>
        <v/>
      </c>
      <c r="IJ490" s="251" t="str">
        <f t="shared" si="223"/>
        <v/>
      </c>
      <c r="IK490" s="251" t="str">
        <f t="shared" si="224"/>
        <v/>
      </c>
      <c r="IL490" s="251" t="str">
        <f t="shared" si="225"/>
        <v/>
      </c>
      <c r="IM490" s="251" t="str">
        <f t="shared" si="226"/>
        <v/>
      </c>
      <c r="IN490" s="251" t="str">
        <f t="shared" si="227"/>
        <v/>
      </c>
      <c r="IO490" s="251" t="str">
        <f t="shared" si="228"/>
        <v/>
      </c>
      <c r="IP490" s="251" t="str">
        <f t="shared" si="229"/>
        <v/>
      </c>
      <c r="IQ490" s="251" t="str">
        <f t="shared" si="230"/>
        <v/>
      </c>
      <c r="IR490" s="251" t="str">
        <f t="shared" si="231"/>
        <v/>
      </c>
      <c r="IS490" s="251" t="str">
        <f t="shared" si="232"/>
        <v/>
      </c>
      <c r="IT490" s="251" t="str">
        <f t="shared" si="233"/>
        <v/>
      </c>
      <c r="IU490" s="251" t="str">
        <f t="shared" si="234"/>
        <v/>
      </c>
      <c r="IV490" s="251" t="str">
        <f t="shared" si="235"/>
        <v/>
      </c>
      <c r="IW490" s="251" t="str">
        <f t="shared" si="236"/>
        <v/>
      </c>
      <c r="IX490" s="251" t="str">
        <f t="shared" si="237"/>
        <v/>
      </c>
      <c r="IY490" s="251" t="str">
        <f t="shared" si="238"/>
        <v/>
      </c>
      <c r="IZ490" s="251" t="str">
        <f t="shared" si="239"/>
        <v/>
      </c>
      <c r="JA490" s="251" t="str">
        <f t="shared" si="240"/>
        <v/>
      </c>
      <c r="JB490" s="251" t="str">
        <f t="shared" si="241"/>
        <v/>
      </c>
      <c r="JC490" s="251" t="str">
        <f t="shared" si="242"/>
        <v/>
      </c>
      <c r="JD490" s="251" t="str">
        <f t="shared" si="243"/>
        <v/>
      </c>
      <c r="JE490" s="251" t="str">
        <f t="shared" si="244"/>
        <v/>
      </c>
      <c r="JF490" s="251" t="str">
        <f t="shared" si="245"/>
        <v/>
      </c>
      <c r="JG490" s="251" t="str">
        <f t="shared" si="246"/>
        <v/>
      </c>
      <c r="JH490" s="251" t="str">
        <f t="shared" si="247"/>
        <v/>
      </c>
      <c r="JI490" s="1297" t="str">
        <f t="shared" si="248"/>
        <v/>
      </c>
      <c r="JJ490" s="1297" t="str">
        <f t="shared" si="249"/>
        <v/>
      </c>
      <c r="JK490" s="1297" t="str">
        <f t="shared" si="250"/>
        <v/>
      </c>
      <c r="JL490" s="1297" t="str">
        <f t="shared" si="251"/>
        <v/>
      </c>
      <c r="JM490" s="1297" t="str">
        <f t="shared" si="252"/>
        <v/>
      </c>
      <c r="JN490" s="1297" t="str">
        <f t="shared" si="253"/>
        <v/>
      </c>
      <c r="JO490" s="1297" t="str">
        <f t="shared" si="254"/>
        <v/>
      </c>
      <c r="JP490" s="1297" t="str">
        <f t="shared" si="255"/>
        <v/>
      </c>
      <c r="JQ490" s="1297" t="str">
        <f t="shared" si="256"/>
        <v/>
      </c>
      <c r="JR490" s="1297" t="str">
        <f t="shared" si="257"/>
        <v/>
      </c>
      <c r="JS490" s="1297" t="str">
        <f t="shared" si="258"/>
        <v/>
      </c>
      <c r="JT490" s="1297" t="str">
        <f t="shared" si="259"/>
        <v/>
      </c>
      <c r="JU490" s="1297" t="str">
        <f t="shared" si="260"/>
        <v/>
      </c>
      <c r="JV490" s="1297" t="str">
        <f t="shared" si="261"/>
        <v/>
      </c>
      <c r="JW490" s="1297" t="str">
        <f t="shared" si="262"/>
        <v/>
      </c>
      <c r="JX490" s="1297" t="str">
        <f t="shared" si="263"/>
        <v/>
      </c>
      <c r="JY490" s="1297" t="str">
        <f t="shared" si="264"/>
        <v/>
      </c>
      <c r="JZ490" s="1297" t="str">
        <f t="shared" si="265"/>
        <v/>
      </c>
      <c r="KA490" s="1297" t="str">
        <f t="shared" si="266"/>
        <v/>
      </c>
      <c r="KB490" s="1297" t="str">
        <f t="shared" si="267"/>
        <v/>
      </c>
      <c r="KC490" s="1297" t="str">
        <f t="shared" si="268"/>
        <v/>
      </c>
      <c r="KD490" s="1297" t="str">
        <f t="shared" si="269"/>
        <v/>
      </c>
      <c r="KE490" s="1297" t="str">
        <f t="shared" si="270"/>
        <v/>
      </c>
      <c r="KF490" s="1297" t="str">
        <f t="shared" si="271"/>
        <v/>
      </c>
      <c r="KG490" s="1297" t="str">
        <f t="shared" si="272"/>
        <v/>
      </c>
      <c r="KH490" s="1297" t="str">
        <f t="shared" si="273"/>
        <v/>
      </c>
      <c r="KI490" s="1297" t="str">
        <f t="shared" si="274"/>
        <v/>
      </c>
      <c r="KJ490" s="1297" t="str">
        <f t="shared" si="275"/>
        <v/>
      </c>
      <c r="KK490" s="1297" t="str">
        <f t="shared" si="276"/>
        <v/>
      </c>
      <c r="KL490" s="1297" t="str">
        <f t="shared" si="277"/>
        <v/>
      </c>
      <c r="KM490" s="1297" t="str">
        <f t="shared" si="278"/>
        <v/>
      </c>
      <c r="KN490" s="1297" t="str">
        <f t="shared" si="279"/>
        <v/>
      </c>
      <c r="KO490" s="1297" t="str">
        <f t="shared" si="280"/>
        <v/>
      </c>
      <c r="KP490" s="1297" t="str">
        <f t="shared" si="281"/>
        <v/>
      </c>
      <c r="KQ490" s="1297" t="str">
        <f t="shared" si="282"/>
        <v/>
      </c>
      <c r="KR490" s="1297" t="str">
        <f t="shared" si="283"/>
        <v/>
      </c>
      <c r="KS490" s="1297" t="str">
        <f t="shared" si="284"/>
        <v/>
      </c>
      <c r="KT490" s="1297" t="str">
        <f t="shared" si="285"/>
        <v/>
      </c>
      <c r="KU490" s="1297" t="str">
        <f t="shared" si="286"/>
        <v/>
      </c>
      <c r="KV490" s="1297" t="str">
        <f t="shared" si="287"/>
        <v/>
      </c>
      <c r="KW490" s="1297" t="str">
        <f t="shared" si="288"/>
        <v/>
      </c>
      <c r="KX490" s="1297" t="str">
        <f t="shared" si="289"/>
        <v/>
      </c>
      <c r="KY490" s="1297" t="str">
        <f t="shared" si="290"/>
        <v/>
      </c>
      <c r="KZ490" s="1297" t="str">
        <f t="shared" si="291"/>
        <v/>
      </c>
      <c r="LA490" s="1297" t="str">
        <f t="shared" si="292"/>
        <v/>
      </c>
      <c r="LB490" s="1297" t="str">
        <f t="shared" si="293"/>
        <v/>
      </c>
      <c r="LC490" s="1297" t="str">
        <f t="shared" si="294"/>
        <v/>
      </c>
      <c r="LD490" s="1297" t="str">
        <f t="shared" si="295"/>
        <v/>
      </c>
      <c r="LE490" s="1297" t="str">
        <f t="shared" si="296"/>
        <v/>
      </c>
      <c r="LF490" s="1297" t="str">
        <f t="shared" si="297"/>
        <v/>
      </c>
      <c r="LG490" s="1297" t="str">
        <f t="shared" si="298"/>
        <v/>
      </c>
      <c r="LH490" s="1297" t="str">
        <f t="shared" si="299"/>
        <v/>
      </c>
      <c r="LI490" s="1297" t="str">
        <f t="shared" si="300"/>
        <v/>
      </c>
      <c r="LJ490" s="1297" t="str">
        <f t="shared" si="301"/>
        <v/>
      </c>
      <c r="LK490" s="1297" t="str">
        <f t="shared" si="302"/>
        <v/>
      </c>
      <c r="LL490" s="1297" t="str">
        <f t="shared" si="303"/>
        <v/>
      </c>
      <c r="LM490" s="1297" t="str">
        <f t="shared" si="304"/>
        <v/>
      </c>
      <c r="LN490" s="1297" t="str">
        <f t="shared" si="305"/>
        <v/>
      </c>
      <c r="LO490" s="1297" t="str">
        <f t="shared" si="306"/>
        <v/>
      </c>
      <c r="LP490" s="1297" t="str">
        <f t="shared" si="307"/>
        <v/>
      </c>
      <c r="LQ490" s="1297" t="str">
        <f t="shared" si="308"/>
        <v/>
      </c>
      <c r="LR490" s="1297" t="str">
        <f t="shared" si="309"/>
        <v/>
      </c>
      <c r="LS490" s="1297" t="str">
        <f t="shared" si="310"/>
        <v/>
      </c>
      <c r="LT490" s="1297" t="str">
        <f t="shared" si="311"/>
        <v/>
      </c>
      <c r="LU490" s="1297" t="str">
        <f t="shared" si="312"/>
        <v/>
      </c>
      <c r="LV490" s="1297" t="str">
        <f t="shared" si="313"/>
        <v/>
      </c>
      <c r="LW490" s="1297" t="str">
        <f t="shared" si="314"/>
        <v/>
      </c>
      <c r="LX490" s="1297" t="str">
        <f t="shared" si="315"/>
        <v/>
      </c>
      <c r="LY490" s="1297" t="str">
        <f t="shared" si="316"/>
        <v/>
      </c>
      <c r="LZ490" s="1297" t="str">
        <f t="shared" si="317"/>
        <v/>
      </c>
      <c r="MA490" s="1297" t="str">
        <f t="shared" si="318"/>
        <v/>
      </c>
      <c r="MB490" s="1297" t="str">
        <f t="shared" si="319"/>
        <v/>
      </c>
      <c r="MC490" s="1297" t="str">
        <f t="shared" si="320"/>
        <v/>
      </c>
      <c r="MD490" s="1297" t="str">
        <f t="shared" si="321"/>
        <v/>
      </c>
      <c r="ME490" s="1297" t="str">
        <f t="shared" si="322"/>
        <v/>
      </c>
      <c r="MF490" s="1297" t="str">
        <f t="shared" si="323"/>
        <v/>
      </c>
      <c r="MG490" s="1297" t="str">
        <f t="shared" si="324"/>
        <v/>
      </c>
      <c r="MH490" s="1297" t="str">
        <f t="shared" si="325"/>
        <v/>
      </c>
      <c r="MI490" s="1297" t="str">
        <f t="shared" si="326"/>
        <v/>
      </c>
      <c r="MJ490" s="1297" t="str">
        <f t="shared" si="327"/>
        <v/>
      </c>
      <c r="MK490" s="1297" t="str">
        <f t="shared" si="328"/>
        <v/>
      </c>
      <c r="ML490" s="1297" t="str">
        <f t="shared" si="329"/>
        <v/>
      </c>
      <c r="MM490" s="1297" t="str">
        <f t="shared" si="330"/>
        <v/>
      </c>
      <c r="MN490" s="1297" t="str">
        <f t="shared" si="331"/>
        <v/>
      </c>
      <c r="MO490" s="1297" t="str">
        <f t="shared" si="332"/>
        <v/>
      </c>
      <c r="MP490" s="1773" t="str">
        <f t="shared" si="333"/>
        <v/>
      </c>
      <c r="MQ490" s="1773" t="str">
        <f t="shared" si="334"/>
        <v/>
      </c>
      <c r="MR490" s="1773" t="str">
        <f t="shared" si="335"/>
        <v/>
      </c>
      <c r="MS490" s="1773" t="str">
        <f t="shared" si="336"/>
        <v/>
      </c>
      <c r="MT490" s="1773" t="str">
        <f t="shared" si="337"/>
        <v/>
      </c>
      <c r="MU490" s="251" t="str">
        <f t="shared" si="338"/>
        <v/>
      </c>
      <c r="MV490" s="251" t="str">
        <f t="shared" si="339"/>
        <v/>
      </c>
      <c r="MW490" s="251" t="str">
        <f t="shared" si="340"/>
        <v/>
      </c>
      <c r="MX490" s="251" t="str">
        <f t="shared" si="341"/>
        <v/>
      </c>
      <c r="MY490" s="251" t="str">
        <f t="shared" si="342"/>
        <v/>
      </c>
      <c r="MZ490" s="251" t="str">
        <f t="shared" si="343"/>
        <v/>
      </c>
      <c r="NA490" s="251" t="str">
        <f t="shared" si="344"/>
        <v/>
      </c>
      <c r="NB490" s="251" t="str">
        <f t="shared" si="345"/>
        <v/>
      </c>
      <c r="NC490" s="251" t="str">
        <f t="shared" si="346"/>
        <v/>
      </c>
      <c r="ND490" s="251" t="str">
        <f t="shared" si="347"/>
        <v/>
      </c>
      <c r="NE490" s="251" t="str">
        <f t="shared" si="348"/>
        <v/>
      </c>
      <c r="NF490" s="251" t="str">
        <f t="shared" si="349"/>
        <v/>
      </c>
      <c r="NG490" s="251" t="str">
        <f t="shared" si="350"/>
        <v/>
      </c>
      <c r="NH490" s="251" t="str">
        <f t="shared" si="351"/>
        <v/>
      </c>
      <c r="NI490" s="251" t="str">
        <f t="shared" si="352"/>
        <v/>
      </c>
      <c r="NJ490" s="251" t="str">
        <f t="shared" si="353"/>
        <v/>
      </c>
      <c r="NK490" s="251" t="str">
        <f t="shared" si="354"/>
        <v/>
      </c>
      <c r="NL490" s="251" t="str">
        <f t="shared" si="355"/>
        <v/>
      </c>
      <c r="NM490" s="251" t="str">
        <f t="shared" si="356"/>
        <v/>
      </c>
      <c r="NN490" s="251" t="str">
        <f t="shared" si="357"/>
        <v/>
      </c>
      <c r="NO490" s="1185">
        <f t="shared" si="358"/>
        <v>0</v>
      </c>
      <c r="NP490" s="1185">
        <f t="shared" si="359"/>
        <v>0</v>
      </c>
      <c r="NQ490" s="1185">
        <f t="shared" si="360"/>
        <v>0</v>
      </c>
      <c r="NR490" s="1185">
        <f t="shared" si="361"/>
        <v>0</v>
      </c>
      <c r="NS490" s="1185">
        <f t="shared" si="362"/>
        <v>0</v>
      </c>
      <c r="NT490" s="1185">
        <f t="shared" si="368"/>
        <v>0</v>
      </c>
      <c r="NU490" s="1185">
        <f t="shared" si="369"/>
        <v>0</v>
      </c>
      <c r="NV490" s="1185">
        <f t="shared" si="370"/>
        <v>0</v>
      </c>
      <c r="NW490" s="1185">
        <f t="shared" si="371"/>
        <v>0</v>
      </c>
      <c r="NX490" s="1185">
        <f t="shared" si="372"/>
        <v>0</v>
      </c>
      <c r="NY490" s="1185">
        <f t="shared" si="363"/>
        <v>0</v>
      </c>
      <c r="NZ490" s="1185">
        <f t="shared" si="364"/>
        <v>0</v>
      </c>
      <c r="OA490" s="1185">
        <f t="shared" si="365"/>
        <v>0</v>
      </c>
      <c r="OB490" s="1185">
        <f t="shared" si="366"/>
        <v>0</v>
      </c>
      <c r="OC490" s="1185">
        <f t="shared" si="367"/>
        <v>0</v>
      </c>
      <c r="OY490" s="251" t="s">
        <v>1185</v>
      </c>
      <c r="OZ490" s="1296">
        <v>37</v>
      </c>
    </row>
    <row r="491" spans="1:416" ht="12" customHeight="1">
      <c r="A491" s="1979" t="str">
        <f t="shared" si="0"/>
        <v/>
      </c>
      <c r="B491" s="1998">
        <f>'Part V-Revenues &amp; Expenses'!B38</f>
        <v>0</v>
      </c>
      <c r="C491" s="1999">
        <f>'Part V-Revenues &amp; Expenses'!C38</f>
        <v>0</v>
      </c>
      <c r="D491" s="2000">
        <f>'Part V-Revenues &amp; Expenses'!D38</f>
        <v>0</v>
      </c>
      <c r="E491" s="2001">
        <f>'Part V-Revenues &amp; Expenses'!E38</f>
        <v>0</v>
      </c>
      <c r="F491" s="2001">
        <f>'Part V-Revenues &amp; Expenses'!F38</f>
        <v>0</v>
      </c>
      <c r="G491" s="2001">
        <f>'Part V-Revenues &amp; Expenses'!G38</f>
        <v>0</v>
      </c>
      <c r="H491" s="2001">
        <f>'Part V-Revenues &amp; Expenses'!H38</f>
        <v>0</v>
      </c>
      <c r="I491" s="2001">
        <f>'Part V-Revenues &amp; Expenses'!I38</f>
        <v>0</v>
      </c>
      <c r="J491" s="2001">
        <f>'Part V-Revenues &amp; Expenses'!J38</f>
        <v>0</v>
      </c>
      <c r="K491" s="2002">
        <f>'Part V-Revenues &amp; Expenses'!K38</f>
        <v>0</v>
      </c>
      <c r="L491" s="2003">
        <f t="shared" si="1"/>
        <v>0</v>
      </c>
      <c r="M491" s="2003">
        <f t="shared" si="2"/>
        <v>0</v>
      </c>
      <c r="N491" s="1853">
        <f>'Part V-Revenues &amp; Expenses'!N38</f>
        <v>0</v>
      </c>
      <c r="O491" s="899">
        <f>'Part V-Revenues &amp; Expenses'!O38</f>
        <v>0</v>
      </c>
      <c r="P491" s="1853">
        <f>'Part V-Revenues &amp; Expenses'!P38</f>
        <v>0</v>
      </c>
      <c r="Q491" s="1772">
        <f>'Part V-Revenues &amp; Expenses'!Q38</f>
        <v>0</v>
      </c>
      <c r="R491" s="2004"/>
      <c r="S491" s="2005"/>
      <c r="T491" s="1920"/>
      <c r="U491" s="1920"/>
      <c r="V491" s="1920"/>
      <c r="W491" s="1920"/>
      <c r="X491" s="251" t="str">
        <f t="shared" si="3"/>
        <v/>
      </c>
      <c r="Y491" s="251" t="str">
        <f t="shared" si="4"/>
        <v/>
      </c>
      <c r="Z491" s="251" t="str">
        <f t="shared" si="5"/>
        <v/>
      </c>
      <c r="AA491" s="251" t="str">
        <f t="shared" si="6"/>
        <v/>
      </c>
      <c r="AB491" s="251" t="str">
        <f t="shared" si="7"/>
        <v/>
      </c>
      <c r="AC491" s="251" t="str">
        <f t="shared" si="8"/>
        <v/>
      </c>
      <c r="AD491" s="251" t="str">
        <f t="shared" si="9"/>
        <v/>
      </c>
      <c r="AE491" s="251" t="str">
        <f t="shared" si="10"/>
        <v/>
      </c>
      <c r="AF491" s="251" t="str">
        <f t="shared" si="11"/>
        <v/>
      </c>
      <c r="AG491" s="251" t="str">
        <f t="shared" si="12"/>
        <v/>
      </c>
      <c r="AH491" s="251" t="str">
        <f t="shared" si="13"/>
        <v/>
      </c>
      <c r="AI491" s="251" t="str">
        <f t="shared" si="14"/>
        <v/>
      </c>
      <c r="AJ491" s="251" t="str">
        <f t="shared" si="15"/>
        <v/>
      </c>
      <c r="AK491" s="251" t="str">
        <f t="shared" si="16"/>
        <v/>
      </c>
      <c r="AL491" s="251" t="str">
        <f t="shared" si="17"/>
        <v/>
      </c>
      <c r="AM491" s="251" t="str">
        <f t="shared" si="18"/>
        <v/>
      </c>
      <c r="AN491" s="251" t="str">
        <f t="shared" si="19"/>
        <v/>
      </c>
      <c r="AO491" s="251" t="str">
        <f t="shared" si="20"/>
        <v/>
      </c>
      <c r="AP491" s="251" t="str">
        <f t="shared" si="21"/>
        <v/>
      </c>
      <c r="AQ491" s="251" t="str">
        <f t="shared" si="22"/>
        <v/>
      </c>
      <c r="AR491" s="251" t="str">
        <f t="shared" si="23"/>
        <v/>
      </c>
      <c r="AS491" s="251" t="str">
        <f t="shared" si="24"/>
        <v/>
      </c>
      <c r="AT491" s="251" t="str">
        <f t="shared" si="25"/>
        <v/>
      </c>
      <c r="AU491" s="251" t="str">
        <f t="shared" si="26"/>
        <v/>
      </c>
      <c r="AV491" s="251" t="str">
        <f t="shared" si="27"/>
        <v/>
      </c>
      <c r="AW491" s="251" t="str">
        <f t="shared" si="28"/>
        <v/>
      </c>
      <c r="AX491" s="251" t="str">
        <f t="shared" si="29"/>
        <v/>
      </c>
      <c r="AY491" s="251" t="str">
        <f t="shared" si="30"/>
        <v/>
      </c>
      <c r="AZ491" s="251" t="str">
        <f t="shared" si="31"/>
        <v/>
      </c>
      <c r="BA491" s="251" t="str">
        <f t="shared" si="32"/>
        <v/>
      </c>
      <c r="BB491" s="251" t="str">
        <f t="shared" si="33"/>
        <v/>
      </c>
      <c r="BC491" s="251" t="str">
        <f t="shared" si="34"/>
        <v/>
      </c>
      <c r="BD491" s="251" t="str">
        <f t="shared" si="35"/>
        <v/>
      </c>
      <c r="BE491" s="251" t="str">
        <f t="shared" si="36"/>
        <v/>
      </c>
      <c r="BF491" s="251" t="str">
        <f t="shared" si="37"/>
        <v/>
      </c>
      <c r="BG491" s="251" t="str">
        <f t="shared" si="38"/>
        <v/>
      </c>
      <c r="BH491" s="251" t="str">
        <f t="shared" si="39"/>
        <v/>
      </c>
      <c r="BI491" s="251" t="str">
        <f t="shared" si="40"/>
        <v/>
      </c>
      <c r="BJ491" s="251" t="str">
        <f t="shared" si="41"/>
        <v/>
      </c>
      <c r="BK491" s="251" t="str">
        <f t="shared" si="42"/>
        <v/>
      </c>
      <c r="BL491" s="251" t="str">
        <f t="shared" si="43"/>
        <v/>
      </c>
      <c r="BM491" s="251" t="str">
        <f t="shared" si="44"/>
        <v/>
      </c>
      <c r="BN491" s="251" t="str">
        <f t="shared" si="45"/>
        <v/>
      </c>
      <c r="BO491" s="251" t="str">
        <f t="shared" si="46"/>
        <v/>
      </c>
      <c r="BP491" s="251" t="str">
        <f t="shared" si="47"/>
        <v/>
      </c>
      <c r="BQ491" s="251" t="str">
        <f t="shared" si="48"/>
        <v/>
      </c>
      <c r="BR491" s="251" t="str">
        <f t="shared" si="49"/>
        <v/>
      </c>
      <c r="BS491" s="251" t="str">
        <f t="shared" si="50"/>
        <v/>
      </c>
      <c r="BT491" s="251" t="str">
        <f t="shared" si="51"/>
        <v/>
      </c>
      <c r="BU491" s="251" t="str">
        <f t="shared" si="52"/>
        <v/>
      </c>
      <c r="BV491" s="251" t="str">
        <f t="shared" si="53"/>
        <v/>
      </c>
      <c r="BW491" s="251" t="str">
        <f t="shared" si="54"/>
        <v/>
      </c>
      <c r="BX491" s="251" t="str">
        <f t="shared" si="55"/>
        <v/>
      </c>
      <c r="BY491" s="251" t="str">
        <f t="shared" si="56"/>
        <v/>
      </c>
      <c r="BZ491" s="251" t="str">
        <f t="shared" si="57"/>
        <v/>
      </c>
      <c r="CA491" s="251" t="str">
        <f t="shared" si="58"/>
        <v/>
      </c>
      <c r="CB491" s="251" t="str">
        <f t="shared" si="59"/>
        <v/>
      </c>
      <c r="CC491" s="251" t="str">
        <f t="shared" si="60"/>
        <v/>
      </c>
      <c r="CD491" s="251" t="str">
        <f t="shared" si="61"/>
        <v/>
      </c>
      <c r="CE491" s="251" t="str">
        <f t="shared" si="62"/>
        <v/>
      </c>
      <c r="CF491" s="251" t="str">
        <f t="shared" si="63"/>
        <v/>
      </c>
      <c r="CG491" s="251" t="str">
        <f t="shared" si="64"/>
        <v/>
      </c>
      <c r="CH491" s="251" t="str">
        <f t="shared" si="65"/>
        <v/>
      </c>
      <c r="CI491" s="251" t="str">
        <f t="shared" si="66"/>
        <v/>
      </c>
      <c r="CJ491" s="251" t="str">
        <f t="shared" si="67"/>
        <v/>
      </c>
      <c r="CK491" s="251" t="str">
        <f t="shared" si="68"/>
        <v/>
      </c>
      <c r="CL491" s="251" t="str">
        <f t="shared" si="69"/>
        <v/>
      </c>
      <c r="CM491" s="251" t="str">
        <f t="shared" si="70"/>
        <v/>
      </c>
      <c r="CN491" s="251" t="str">
        <f t="shared" si="71"/>
        <v/>
      </c>
      <c r="CO491" s="251" t="str">
        <f t="shared" si="72"/>
        <v/>
      </c>
      <c r="CP491" s="251" t="str">
        <f t="shared" si="73"/>
        <v/>
      </c>
      <c r="CQ491" s="251" t="str">
        <f t="shared" si="74"/>
        <v/>
      </c>
      <c r="CR491" s="251" t="str">
        <f t="shared" si="75"/>
        <v/>
      </c>
      <c r="CS491" s="251" t="str">
        <f t="shared" si="76"/>
        <v/>
      </c>
      <c r="CT491" s="251" t="str">
        <f t="shared" si="77"/>
        <v/>
      </c>
      <c r="CU491" s="251" t="str">
        <f t="shared" si="78"/>
        <v/>
      </c>
      <c r="CV491" s="251" t="str">
        <f t="shared" si="79"/>
        <v/>
      </c>
      <c r="CW491" s="251" t="str">
        <f t="shared" si="80"/>
        <v/>
      </c>
      <c r="CX491" s="251" t="str">
        <f t="shared" si="81"/>
        <v/>
      </c>
      <c r="CY491" s="251" t="str">
        <f t="shared" si="82"/>
        <v/>
      </c>
      <c r="CZ491" s="251" t="str">
        <f t="shared" si="83"/>
        <v/>
      </c>
      <c r="DA491" s="251" t="str">
        <f t="shared" si="84"/>
        <v/>
      </c>
      <c r="DB491" s="251" t="str">
        <f t="shared" si="85"/>
        <v/>
      </c>
      <c r="DC491" s="251" t="str">
        <f t="shared" si="86"/>
        <v/>
      </c>
      <c r="DD491" s="251" t="str">
        <f t="shared" si="87"/>
        <v/>
      </c>
      <c r="DE491" s="251" t="str">
        <f t="shared" si="88"/>
        <v/>
      </c>
      <c r="DF491" s="251" t="str">
        <f t="shared" si="89"/>
        <v/>
      </c>
      <c r="DG491" s="251" t="str">
        <f t="shared" si="90"/>
        <v/>
      </c>
      <c r="DH491" s="251" t="str">
        <f t="shared" si="91"/>
        <v/>
      </c>
      <c r="DI491" s="251" t="str">
        <f t="shared" si="92"/>
        <v/>
      </c>
      <c r="DJ491" s="251" t="str">
        <f t="shared" si="93"/>
        <v/>
      </c>
      <c r="DK491" s="251" t="str">
        <f t="shared" si="94"/>
        <v/>
      </c>
      <c r="DL491" s="251" t="str">
        <f t="shared" si="95"/>
        <v/>
      </c>
      <c r="DM491" s="251" t="str">
        <f t="shared" si="96"/>
        <v/>
      </c>
      <c r="DN491" s="251" t="str">
        <f t="shared" si="97"/>
        <v/>
      </c>
      <c r="DO491" s="251" t="str">
        <f t="shared" si="98"/>
        <v/>
      </c>
      <c r="DP491" s="251" t="str">
        <f t="shared" si="99"/>
        <v/>
      </c>
      <c r="DQ491" s="251" t="str">
        <f t="shared" si="100"/>
        <v/>
      </c>
      <c r="DR491" s="251" t="str">
        <f t="shared" si="101"/>
        <v/>
      </c>
      <c r="DS491" s="251" t="str">
        <f t="shared" si="102"/>
        <v/>
      </c>
      <c r="DT491" s="251" t="str">
        <f t="shared" si="103"/>
        <v/>
      </c>
      <c r="DU491" s="251" t="str">
        <f t="shared" si="104"/>
        <v/>
      </c>
      <c r="DV491" s="251" t="str">
        <f t="shared" si="105"/>
        <v/>
      </c>
      <c r="DW491" s="251" t="str">
        <f t="shared" si="106"/>
        <v/>
      </c>
      <c r="DX491" s="251" t="str">
        <f t="shared" si="107"/>
        <v/>
      </c>
      <c r="DY491" s="251" t="str">
        <f t="shared" si="108"/>
        <v/>
      </c>
      <c r="DZ491" s="251" t="str">
        <f t="shared" si="109"/>
        <v/>
      </c>
      <c r="EA491" s="251" t="str">
        <f t="shared" si="110"/>
        <v/>
      </c>
      <c r="EB491" s="251" t="str">
        <f t="shared" si="111"/>
        <v/>
      </c>
      <c r="EC491" s="251" t="str">
        <f t="shared" si="112"/>
        <v/>
      </c>
      <c r="ED491" s="251" t="str">
        <f t="shared" si="113"/>
        <v/>
      </c>
      <c r="EE491" s="251" t="str">
        <f t="shared" si="114"/>
        <v/>
      </c>
      <c r="EF491" s="251" t="str">
        <f t="shared" si="115"/>
        <v/>
      </c>
      <c r="EG491" s="251" t="str">
        <f t="shared" si="116"/>
        <v/>
      </c>
      <c r="EH491" s="251" t="str">
        <f t="shared" si="117"/>
        <v/>
      </c>
      <c r="EI491" s="251" t="str">
        <f t="shared" si="118"/>
        <v/>
      </c>
      <c r="EJ491" s="251" t="str">
        <f t="shared" si="119"/>
        <v/>
      </c>
      <c r="EK491" s="251" t="str">
        <f t="shared" si="120"/>
        <v/>
      </c>
      <c r="EL491" s="251" t="str">
        <f t="shared" si="121"/>
        <v/>
      </c>
      <c r="EM491" s="251" t="str">
        <f t="shared" si="122"/>
        <v/>
      </c>
      <c r="EN491" s="251" t="str">
        <f t="shared" si="123"/>
        <v/>
      </c>
      <c r="EO491" s="251" t="str">
        <f t="shared" si="124"/>
        <v/>
      </c>
      <c r="EP491" s="251" t="str">
        <f t="shared" si="125"/>
        <v/>
      </c>
      <c r="EQ491" s="251" t="str">
        <f t="shared" si="126"/>
        <v/>
      </c>
      <c r="ER491" s="251" t="str">
        <f t="shared" si="127"/>
        <v/>
      </c>
      <c r="ES491" s="251" t="str">
        <f t="shared" si="128"/>
        <v/>
      </c>
      <c r="ET491" s="251" t="str">
        <f t="shared" si="129"/>
        <v/>
      </c>
      <c r="EU491" s="251" t="str">
        <f t="shared" si="130"/>
        <v/>
      </c>
      <c r="EV491" s="251" t="str">
        <f t="shared" si="131"/>
        <v/>
      </c>
      <c r="EW491" s="251" t="str">
        <f t="shared" si="132"/>
        <v/>
      </c>
      <c r="EX491" s="251" t="str">
        <f t="shared" si="133"/>
        <v/>
      </c>
      <c r="EY491" s="251" t="str">
        <f t="shared" si="134"/>
        <v/>
      </c>
      <c r="EZ491" s="251" t="str">
        <f t="shared" si="135"/>
        <v/>
      </c>
      <c r="FA491" s="251" t="str">
        <f t="shared" si="136"/>
        <v/>
      </c>
      <c r="FB491" s="251" t="str">
        <f t="shared" si="137"/>
        <v/>
      </c>
      <c r="FC491" s="251" t="str">
        <f t="shared" si="138"/>
        <v/>
      </c>
      <c r="FD491" s="251" t="str">
        <f t="shared" si="139"/>
        <v/>
      </c>
      <c r="FE491" s="251" t="str">
        <f t="shared" si="140"/>
        <v/>
      </c>
      <c r="FF491" s="251" t="str">
        <f t="shared" si="141"/>
        <v/>
      </c>
      <c r="FG491" s="251" t="str">
        <f t="shared" si="142"/>
        <v/>
      </c>
      <c r="FH491" s="251" t="str">
        <f t="shared" si="143"/>
        <v/>
      </c>
      <c r="FI491" s="251" t="str">
        <f t="shared" si="144"/>
        <v/>
      </c>
      <c r="FJ491" s="251" t="str">
        <f t="shared" si="145"/>
        <v/>
      </c>
      <c r="FK491" s="251" t="str">
        <f t="shared" si="146"/>
        <v/>
      </c>
      <c r="FL491" s="251" t="str">
        <f t="shared" si="147"/>
        <v/>
      </c>
      <c r="FM491" s="251" t="str">
        <f t="shared" si="148"/>
        <v/>
      </c>
      <c r="FN491" s="251" t="str">
        <f t="shared" si="149"/>
        <v/>
      </c>
      <c r="FO491" s="251" t="str">
        <f t="shared" si="150"/>
        <v/>
      </c>
      <c r="FP491" s="251" t="str">
        <f t="shared" si="151"/>
        <v/>
      </c>
      <c r="FQ491" s="251" t="str">
        <f t="shared" si="152"/>
        <v/>
      </c>
      <c r="FR491" s="251" t="str">
        <f t="shared" si="153"/>
        <v/>
      </c>
      <c r="FS491" s="251" t="str">
        <f t="shared" si="154"/>
        <v/>
      </c>
      <c r="FT491" s="251" t="str">
        <f t="shared" si="155"/>
        <v/>
      </c>
      <c r="FU491" s="251" t="str">
        <f t="shared" si="156"/>
        <v/>
      </c>
      <c r="FV491" s="251" t="str">
        <f t="shared" si="157"/>
        <v/>
      </c>
      <c r="FW491" s="251" t="str">
        <f t="shared" si="158"/>
        <v/>
      </c>
      <c r="FX491" s="251" t="str">
        <f t="shared" si="159"/>
        <v/>
      </c>
      <c r="FY491" s="251" t="str">
        <f t="shared" si="160"/>
        <v/>
      </c>
      <c r="FZ491" s="251" t="str">
        <f t="shared" si="161"/>
        <v/>
      </c>
      <c r="GA491" s="251" t="str">
        <f t="shared" si="162"/>
        <v/>
      </c>
      <c r="GB491" s="251" t="str">
        <f t="shared" si="163"/>
        <v/>
      </c>
      <c r="GC491" s="251" t="str">
        <f t="shared" si="164"/>
        <v/>
      </c>
      <c r="GD491" s="251" t="str">
        <f t="shared" si="165"/>
        <v/>
      </c>
      <c r="GE491" s="251" t="str">
        <f t="shared" si="166"/>
        <v/>
      </c>
      <c r="GF491" s="251" t="str">
        <f t="shared" si="167"/>
        <v/>
      </c>
      <c r="GG491" s="251" t="str">
        <f t="shared" si="168"/>
        <v/>
      </c>
      <c r="GH491" s="251" t="str">
        <f t="shared" si="169"/>
        <v/>
      </c>
      <c r="GI491" s="251" t="str">
        <f t="shared" si="170"/>
        <v/>
      </c>
      <c r="GJ491" s="251" t="str">
        <f t="shared" si="171"/>
        <v/>
      </c>
      <c r="GK491" s="251" t="str">
        <f t="shared" si="172"/>
        <v/>
      </c>
      <c r="GL491" s="251" t="str">
        <f t="shared" si="173"/>
        <v/>
      </c>
      <c r="GM491" s="251" t="str">
        <f t="shared" si="174"/>
        <v/>
      </c>
      <c r="GN491" s="251" t="str">
        <f t="shared" si="175"/>
        <v/>
      </c>
      <c r="GO491" s="251" t="str">
        <f t="shared" si="176"/>
        <v/>
      </c>
      <c r="GP491" s="251" t="str">
        <f t="shared" si="177"/>
        <v/>
      </c>
      <c r="GQ491" s="251" t="str">
        <f t="shared" si="178"/>
        <v/>
      </c>
      <c r="GR491" s="251" t="str">
        <f t="shared" si="179"/>
        <v/>
      </c>
      <c r="GS491" s="251" t="str">
        <f t="shared" si="180"/>
        <v/>
      </c>
      <c r="GT491" s="251" t="str">
        <f t="shared" si="181"/>
        <v/>
      </c>
      <c r="GU491" s="251" t="str">
        <f t="shared" si="182"/>
        <v/>
      </c>
      <c r="GV491" s="251" t="str">
        <f t="shared" si="183"/>
        <v/>
      </c>
      <c r="GW491" s="251" t="str">
        <f t="shared" si="184"/>
        <v/>
      </c>
      <c r="GX491" s="251" t="str">
        <f t="shared" si="185"/>
        <v/>
      </c>
      <c r="GY491" s="251" t="str">
        <f t="shared" si="186"/>
        <v/>
      </c>
      <c r="GZ491" s="251" t="str">
        <f t="shared" si="187"/>
        <v/>
      </c>
      <c r="HA491" s="251" t="str">
        <f t="shared" si="188"/>
        <v/>
      </c>
      <c r="HB491" s="251" t="str">
        <f t="shared" si="189"/>
        <v/>
      </c>
      <c r="HC491" s="251" t="str">
        <f t="shared" si="190"/>
        <v/>
      </c>
      <c r="HD491" s="251" t="str">
        <f t="shared" si="191"/>
        <v/>
      </c>
      <c r="HE491" s="251" t="str">
        <f t="shared" si="192"/>
        <v/>
      </c>
      <c r="HF491" s="251" t="str">
        <f t="shared" si="193"/>
        <v/>
      </c>
      <c r="HG491" s="251" t="str">
        <f t="shared" si="194"/>
        <v/>
      </c>
      <c r="HH491" s="251" t="str">
        <f t="shared" si="195"/>
        <v/>
      </c>
      <c r="HI491" s="251" t="str">
        <f t="shared" si="196"/>
        <v/>
      </c>
      <c r="HJ491" s="251" t="str">
        <f t="shared" si="197"/>
        <v/>
      </c>
      <c r="HK491" s="251" t="str">
        <f t="shared" si="198"/>
        <v/>
      </c>
      <c r="HL491" s="251" t="str">
        <f t="shared" si="199"/>
        <v/>
      </c>
      <c r="HM491" s="251" t="str">
        <f t="shared" si="200"/>
        <v/>
      </c>
      <c r="HN491" s="251" t="str">
        <f t="shared" si="201"/>
        <v/>
      </c>
      <c r="HO491" s="251" t="str">
        <f t="shared" si="202"/>
        <v/>
      </c>
      <c r="HP491" s="251" t="str">
        <f t="shared" si="203"/>
        <v/>
      </c>
      <c r="HQ491" s="251" t="str">
        <f t="shared" si="204"/>
        <v/>
      </c>
      <c r="HR491" s="251" t="str">
        <f t="shared" si="205"/>
        <v/>
      </c>
      <c r="HS491" s="251" t="str">
        <f t="shared" si="206"/>
        <v/>
      </c>
      <c r="HT491" s="251" t="str">
        <f t="shared" si="207"/>
        <v/>
      </c>
      <c r="HU491" s="251" t="str">
        <f t="shared" si="208"/>
        <v/>
      </c>
      <c r="HV491" s="251" t="str">
        <f t="shared" si="209"/>
        <v/>
      </c>
      <c r="HW491" s="251" t="str">
        <f t="shared" si="210"/>
        <v/>
      </c>
      <c r="HX491" s="251" t="str">
        <f t="shared" si="211"/>
        <v/>
      </c>
      <c r="HY491" s="251" t="str">
        <f t="shared" si="212"/>
        <v/>
      </c>
      <c r="HZ491" s="251" t="str">
        <f t="shared" si="213"/>
        <v/>
      </c>
      <c r="IA491" s="251" t="str">
        <f t="shared" si="214"/>
        <v/>
      </c>
      <c r="IB491" s="251" t="str">
        <f t="shared" si="215"/>
        <v/>
      </c>
      <c r="IC491" s="251" t="str">
        <f t="shared" si="216"/>
        <v/>
      </c>
      <c r="ID491" s="251" t="str">
        <f t="shared" si="217"/>
        <v/>
      </c>
      <c r="IE491" s="251" t="str">
        <f t="shared" si="218"/>
        <v/>
      </c>
      <c r="IF491" s="251" t="str">
        <f t="shared" si="219"/>
        <v/>
      </c>
      <c r="IG491" s="251" t="str">
        <f t="shared" si="220"/>
        <v/>
      </c>
      <c r="IH491" s="251" t="str">
        <f t="shared" si="221"/>
        <v/>
      </c>
      <c r="II491" s="251" t="str">
        <f t="shared" si="222"/>
        <v/>
      </c>
      <c r="IJ491" s="251" t="str">
        <f t="shared" si="223"/>
        <v/>
      </c>
      <c r="IK491" s="251" t="str">
        <f t="shared" si="224"/>
        <v/>
      </c>
      <c r="IL491" s="251" t="str">
        <f t="shared" si="225"/>
        <v/>
      </c>
      <c r="IM491" s="251" t="str">
        <f t="shared" si="226"/>
        <v/>
      </c>
      <c r="IN491" s="251" t="str">
        <f t="shared" si="227"/>
        <v/>
      </c>
      <c r="IO491" s="251" t="str">
        <f t="shared" si="228"/>
        <v/>
      </c>
      <c r="IP491" s="251" t="str">
        <f t="shared" si="229"/>
        <v/>
      </c>
      <c r="IQ491" s="251" t="str">
        <f t="shared" si="230"/>
        <v/>
      </c>
      <c r="IR491" s="251" t="str">
        <f t="shared" si="231"/>
        <v/>
      </c>
      <c r="IS491" s="251" t="str">
        <f t="shared" si="232"/>
        <v/>
      </c>
      <c r="IT491" s="251" t="str">
        <f t="shared" si="233"/>
        <v/>
      </c>
      <c r="IU491" s="251" t="str">
        <f t="shared" si="234"/>
        <v/>
      </c>
      <c r="IV491" s="251" t="str">
        <f t="shared" si="235"/>
        <v/>
      </c>
      <c r="IW491" s="251" t="str">
        <f t="shared" si="236"/>
        <v/>
      </c>
      <c r="IX491" s="251" t="str">
        <f t="shared" si="237"/>
        <v/>
      </c>
      <c r="IY491" s="251" t="str">
        <f t="shared" si="238"/>
        <v/>
      </c>
      <c r="IZ491" s="251" t="str">
        <f t="shared" si="239"/>
        <v/>
      </c>
      <c r="JA491" s="251" t="str">
        <f t="shared" si="240"/>
        <v/>
      </c>
      <c r="JB491" s="251" t="str">
        <f t="shared" si="241"/>
        <v/>
      </c>
      <c r="JC491" s="251" t="str">
        <f t="shared" si="242"/>
        <v/>
      </c>
      <c r="JD491" s="251" t="str">
        <f t="shared" si="243"/>
        <v/>
      </c>
      <c r="JE491" s="251" t="str">
        <f t="shared" si="244"/>
        <v/>
      </c>
      <c r="JF491" s="251" t="str">
        <f t="shared" si="245"/>
        <v/>
      </c>
      <c r="JG491" s="251" t="str">
        <f t="shared" si="246"/>
        <v/>
      </c>
      <c r="JH491" s="251" t="str">
        <f t="shared" si="247"/>
        <v/>
      </c>
      <c r="JI491" s="1297" t="str">
        <f t="shared" si="248"/>
        <v/>
      </c>
      <c r="JJ491" s="1297" t="str">
        <f t="shared" si="249"/>
        <v/>
      </c>
      <c r="JK491" s="1297" t="str">
        <f t="shared" si="250"/>
        <v/>
      </c>
      <c r="JL491" s="1297" t="str">
        <f t="shared" si="251"/>
        <v/>
      </c>
      <c r="JM491" s="1297" t="str">
        <f t="shared" si="252"/>
        <v/>
      </c>
      <c r="JN491" s="1297" t="str">
        <f t="shared" si="253"/>
        <v/>
      </c>
      <c r="JO491" s="1297" t="str">
        <f t="shared" si="254"/>
        <v/>
      </c>
      <c r="JP491" s="1297" t="str">
        <f t="shared" si="255"/>
        <v/>
      </c>
      <c r="JQ491" s="1297" t="str">
        <f t="shared" si="256"/>
        <v/>
      </c>
      <c r="JR491" s="1297" t="str">
        <f t="shared" si="257"/>
        <v/>
      </c>
      <c r="JS491" s="1297" t="str">
        <f t="shared" si="258"/>
        <v/>
      </c>
      <c r="JT491" s="1297" t="str">
        <f t="shared" si="259"/>
        <v/>
      </c>
      <c r="JU491" s="1297" t="str">
        <f t="shared" si="260"/>
        <v/>
      </c>
      <c r="JV491" s="1297" t="str">
        <f t="shared" si="261"/>
        <v/>
      </c>
      <c r="JW491" s="1297" t="str">
        <f t="shared" si="262"/>
        <v/>
      </c>
      <c r="JX491" s="1297" t="str">
        <f t="shared" si="263"/>
        <v/>
      </c>
      <c r="JY491" s="1297" t="str">
        <f t="shared" si="264"/>
        <v/>
      </c>
      <c r="JZ491" s="1297" t="str">
        <f t="shared" si="265"/>
        <v/>
      </c>
      <c r="KA491" s="1297" t="str">
        <f t="shared" si="266"/>
        <v/>
      </c>
      <c r="KB491" s="1297" t="str">
        <f t="shared" si="267"/>
        <v/>
      </c>
      <c r="KC491" s="1297" t="str">
        <f t="shared" si="268"/>
        <v/>
      </c>
      <c r="KD491" s="1297" t="str">
        <f t="shared" si="269"/>
        <v/>
      </c>
      <c r="KE491" s="1297" t="str">
        <f t="shared" si="270"/>
        <v/>
      </c>
      <c r="KF491" s="1297" t="str">
        <f t="shared" si="271"/>
        <v/>
      </c>
      <c r="KG491" s="1297" t="str">
        <f t="shared" si="272"/>
        <v/>
      </c>
      <c r="KH491" s="1297" t="str">
        <f t="shared" si="273"/>
        <v/>
      </c>
      <c r="KI491" s="1297" t="str">
        <f t="shared" si="274"/>
        <v/>
      </c>
      <c r="KJ491" s="1297" t="str">
        <f t="shared" si="275"/>
        <v/>
      </c>
      <c r="KK491" s="1297" t="str">
        <f t="shared" si="276"/>
        <v/>
      </c>
      <c r="KL491" s="1297" t="str">
        <f t="shared" si="277"/>
        <v/>
      </c>
      <c r="KM491" s="1297" t="str">
        <f t="shared" si="278"/>
        <v/>
      </c>
      <c r="KN491" s="1297" t="str">
        <f t="shared" si="279"/>
        <v/>
      </c>
      <c r="KO491" s="1297" t="str">
        <f t="shared" si="280"/>
        <v/>
      </c>
      <c r="KP491" s="1297" t="str">
        <f t="shared" si="281"/>
        <v/>
      </c>
      <c r="KQ491" s="1297" t="str">
        <f t="shared" si="282"/>
        <v/>
      </c>
      <c r="KR491" s="1297" t="str">
        <f t="shared" si="283"/>
        <v/>
      </c>
      <c r="KS491" s="1297" t="str">
        <f t="shared" si="284"/>
        <v/>
      </c>
      <c r="KT491" s="1297" t="str">
        <f t="shared" si="285"/>
        <v/>
      </c>
      <c r="KU491" s="1297" t="str">
        <f t="shared" si="286"/>
        <v/>
      </c>
      <c r="KV491" s="1297" t="str">
        <f t="shared" si="287"/>
        <v/>
      </c>
      <c r="KW491" s="1297" t="str">
        <f t="shared" si="288"/>
        <v/>
      </c>
      <c r="KX491" s="1297" t="str">
        <f t="shared" si="289"/>
        <v/>
      </c>
      <c r="KY491" s="1297" t="str">
        <f t="shared" si="290"/>
        <v/>
      </c>
      <c r="KZ491" s="1297" t="str">
        <f t="shared" si="291"/>
        <v/>
      </c>
      <c r="LA491" s="1297" t="str">
        <f t="shared" si="292"/>
        <v/>
      </c>
      <c r="LB491" s="1297" t="str">
        <f t="shared" si="293"/>
        <v/>
      </c>
      <c r="LC491" s="1297" t="str">
        <f t="shared" si="294"/>
        <v/>
      </c>
      <c r="LD491" s="1297" t="str">
        <f t="shared" si="295"/>
        <v/>
      </c>
      <c r="LE491" s="1297" t="str">
        <f t="shared" si="296"/>
        <v/>
      </c>
      <c r="LF491" s="1297" t="str">
        <f t="shared" si="297"/>
        <v/>
      </c>
      <c r="LG491" s="1297" t="str">
        <f t="shared" si="298"/>
        <v/>
      </c>
      <c r="LH491" s="1297" t="str">
        <f t="shared" si="299"/>
        <v/>
      </c>
      <c r="LI491" s="1297" t="str">
        <f t="shared" si="300"/>
        <v/>
      </c>
      <c r="LJ491" s="1297" t="str">
        <f t="shared" si="301"/>
        <v/>
      </c>
      <c r="LK491" s="1297" t="str">
        <f t="shared" si="302"/>
        <v/>
      </c>
      <c r="LL491" s="1297" t="str">
        <f t="shared" si="303"/>
        <v/>
      </c>
      <c r="LM491" s="1297" t="str">
        <f t="shared" si="304"/>
        <v/>
      </c>
      <c r="LN491" s="1297" t="str">
        <f t="shared" si="305"/>
        <v/>
      </c>
      <c r="LO491" s="1297" t="str">
        <f t="shared" si="306"/>
        <v/>
      </c>
      <c r="LP491" s="1297" t="str">
        <f t="shared" si="307"/>
        <v/>
      </c>
      <c r="LQ491" s="1297" t="str">
        <f t="shared" si="308"/>
        <v/>
      </c>
      <c r="LR491" s="1297" t="str">
        <f t="shared" si="309"/>
        <v/>
      </c>
      <c r="LS491" s="1297" t="str">
        <f t="shared" si="310"/>
        <v/>
      </c>
      <c r="LT491" s="1297" t="str">
        <f t="shared" si="311"/>
        <v/>
      </c>
      <c r="LU491" s="1297" t="str">
        <f t="shared" si="312"/>
        <v/>
      </c>
      <c r="LV491" s="1297" t="str">
        <f t="shared" si="313"/>
        <v/>
      </c>
      <c r="LW491" s="1297" t="str">
        <f t="shared" si="314"/>
        <v/>
      </c>
      <c r="LX491" s="1297" t="str">
        <f t="shared" si="315"/>
        <v/>
      </c>
      <c r="LY491" s="1297" t="str">
        <f t="shared" si="316"/>
        <v/>
      </c>
      <c r="LZ491" s="1297" t="str">
        <f t="shared" si="317"/>
        <v/>
      </c>
      <c r="MA491" s="1297" t="str">
        <f t="shared" si="318"/>
        <v/>
      </c>
      <c r="MB491" s="1297" t="str">
        <f t="shared" si="319"/>
        <v/>
      </c>
      <c r="MC491" s="1297" t="str">
        <f t="shared" si="320"/>
        <v/>
      </c>
      <c r="MD491" s="1297" t="str">
        <f t="shared" si="321"/>
        <v/>
      </c>
      <c r="ME491" s="1297" t="str">
        <f t="shared" si="322"/>
        <v/>
      </c>
      <c r="MF491" s="1297" t="str">
        <f t="shared" si="323"/>
        <v/>
      </c>
      <c r="MG491" s="1297" t="str">
        <f t="shared" si="324"/>
        <v/>
      </c>
      <c r="MH491" s="1297" t="str">
        <f t="shared" si="325"/>
        <v/>
      </c>
      <c r="MI491" s="1297" t="str">
        <f t="shared" si="326"/>
        <v/>
      </c>
      <c r="MJ491" s="1297" t="str">
        <f t="shared" si="327"/>
        <v/>
      </c>
      <c r="MK491" s="1297" t="str">
        <f t="shared" si="328"/>
        <v/>
      </c>
      <c r="ML491" s="1297" t="str">
        <f t="shared" si="329"/>
        <v/>
      </c>
      <c r="MM491" s="1297" t="str">
        <f t="shared" si="330"/>
        <v/>
      </c>
      <c r="MN491" s="1297" t="str">
        <f t="shared" si="331"/>
        <v/>
      </c>
      <c r="MO491" s="1297" t="str">
        <f t="shared" si="332"/>
        <v/>
      </c>
      <c r="MP491" s="1773" t="str">
        <f t="shared" si="333"/>
        <v/>
      </c>
      <c r="MQ491" s="1773" t="str">
        <f t="shared" si="334"/>
        <v/>
      </c>
      <c r="MR491" s="1773" t="str">
        <f t="shared" si="335"/>
        <v/>
      </c>
      <c r="MS491" s="1773" t="str">
        <f t="shared" si="336"/>
        <v/>
      </c>
      <c r="MT491" s="1773" t="str">
        <f t="shared" si="337"/>
        <v/>
      </c>
      <c r="MU491" s="251" t="str">
        <f t="shared" si="338"/>
        <v/>
      </c>
      <c r="MV491" s="251" t="str">
        <f t="shared" si="339"/>
        <v/>
      </c>
      <c r="MW491" s="251" t="str">
        <f t="shared" si="340"/>
        <v/>
      </c>
      <c r="MX491" s="251" t="str">
        <f t="shared" si="341"/>
        <v/>
      </c>
      <c r="MY491" s="251" t="str">
        <f t="shared" si="342"/>
        <v/>
      </c>
      <c r="MZ491" s="251" t="str">
        <f t="shared" si="343"/>
        <v/>
      </c>
      <c r="NA491" s="251" t="str">
        <f t="shared" si="344"/>
        <v/>
      </c>
      <c r="NB491" s="251" t="str">
        <f t="shared" si="345"/>
        <v/>
      </c>
      <c r="NC491" s="251" t="str">
        <f t="shared" si="346"/>
        <v/>
      </c>
      <c r="ND491" s="251" t="str">
        <f t="shared" si="347"/>
        <v/>
      </c>
      <c r="NE491" s="251" t="str">
        <f t="shared" si="348"/>
        <v/>
      </c>
      <c r="NF491" s="251" t="str">
        <f t="shared" si="349"/>
        <v/>
      </c>
      <c r="NG491" s="251" t="str">
        <f t="shared" si="350"/>
        <v/>
      </c>
      <c r="NH491" s="251" t="str">
        <f t="shared" si="351"/>
        <v/>
      </c>
      <c r="NI491" s="251" t="str">
        <f t="shared" si="352"/>
        <v/>
      </c>
      <c r="NJ491" s="251" t="str">
        <f t="shared" si="353"/>
        <v/>
      </c>
      <c r="NK491" s="251" t="str">
        <f t="shared" si="354"/>
        <v/>
      </c>
      <c r="NL491" s="251" t="str">
        <f t="shared" si="355"/>
        <v/>
      </c>
      <c r="NM491" s="251" t="str">
        <f t="shared" si="356"/>
        <v/>
      </c>
      <c r="NN491" s="251" t="str">
        <f t="shared" si="357"/>
        <v/>
      </c>
      <c r="NO491" s="1185">
        <f t="shared" si="358"/>
        <v>0</v>
      </c>
      <c r="NP491" s="1185">
        <f t="shared" si="359"/>
        <v>0</v>
      </c>
      <c r="NQ491" s="1185">
        <f t="shared" si="360"/>
        <v>0</v>
      </c>
      <c r="NR491" s="1185">
        <f t="shared" si="361"/>
        <v>0</v>
      </c>
      <c r="NS491" s="1185">
        <f t="shared" si="362"/>
        <v>0</v>
      </c>
      <c r="NT491" s="1185">
        <f t="shared" si="368"/>
        <v>0</v>
      </c>
      <c r="NU491" s="1185">
        <f t="shared" si="369"/>
        <v>0</v>
      </c>
      <c r="NV491" s="1185">
        <f t="shared" si="370"/>
        <v>0</v>
      </c>
      <c r="NW491" s="1185">
        <f t="shared" si="371"/>
        <v>0</v>
      </c>
      <c r="NX491" s="1185">
        <f t="shared" si="372"/>
        <v>0</v>
      </c>
      <c r="NY491" s="1185">
        <f t="shared" si="363"/>
        <v>0</v>
      </c>
      <c r="NZ491" s="1185">
        <f t="shared" si="364"/>
        <v>0</v>
      </c>
      <c r="OA491" s="1185">
        <f t="shared" si="365"/>
        <v>0</v>
      </c>
      <c r="OB491" s="1185">
        <f t="shared" si="366"/>
        <v>0</v>
      </c>
      <c r="OC491" s="1185">
        <f t="shared" si="367"/>
        <v>0</v>
      </c>
      <c r="OY491" s="251" t="s">
        <v>1186</v>
      </c>
      <c r="OZ491" s="1296">
        <v>38</v>
      </c>
    </row>
    <row r="492" spans="1:416" ht="12" customHeight="1">
      <c r="A492" s="1979" t="str">
        <f t="shared" si="0"/>
        <v/>
      </c>
      <c r="B492" s="1998">
        <f>'Part V-Revenues &amp; Expenses'!B39</f>
        <v>0</v>
      </c>
      <c r="C492" s="1999">
        <f>'Part V-Revenues &amp; Expenses'!C39</f>
        <v>0</v>
      </c>
      <c r="D492" s="2000">
        <f>'Part V-Revenues &amp; Expenses'!D39</f>
        <v>0</v>
      </c>
      <c r="E492" s="2001">
        <f>'Part V-Revenues &amp; Expenses'!E39</f>
        <v>0</v>
      </c>
      <c r="F492" s="2001">
        <f>'Part V-Revenues &amp; Expenses'!F39</f>
        <v>0</v>
      </c>
      <c r="G492" s="2001">
        <f>'Part V-Revenues &amp; Expenses'!G39</f>
        <v>0</v>
      </c>
      <c r="H492" s="2001">
        <f>'Part V-Revenues &amp; Expenses'!H39</f>
        <v>0</v>
      </c>
      <c r="I492" s="2001">
        <f>'Part V-Revenues &amp; Expenses'!I39</f>
        <v>0</v>
      </c>
      <c r="J492" s="2001">
        <f>'Part V-Revenues &amp; Expenses'!J39</f>
        <v>0</v>
      </c>
      <c r="K492" s="2002">
        <f>'Part V-Revenues &amp; Expenses'!K39</f>
        <v>0</v>
      </c>
      <c r="L492" s="2003">
        <f t="shared" si="1"/>
        <v>0</v>
      </c>
      <c r="M492" s="2003">
        <f t="shared" si="2"/>
        <v>0</v>
      </c>
      <c r="N492" s="1853">
        <f>'Part V-Revenues &amp; Expenses'!N39</f>
        <v>0</v>
      </c>
      <c r="O492" s="899">
        <f>'Part V-Revenues &amp; Expenses'!O39</f>
        <v>0</v>
      </c>
      <c r="P492" s="1853">
        <f>'Part V-Revenues &amp; Expenses'!P39</f>
        <v>0</v>
      </c>
      <c r="Q492" s="1772">
        <f>'Part V-Revenues &amp; Expenses'!Q39</f>
        <v>0</v>
      </c>
      <c r="R492" s="2004"/>
      <c r="S492" s="2005"/>
      <c r="T492" s="1920"/>
      <c r="U492" s="1920"/>
      <c r="V492" s="1920"/>
      <c r="W492" s="1920"/>
      <c r="X492" s="251" t="str">
        <f t="shared" si="3"/>
        <v/>
      </c>
      <c r="Y492" s="251" t="str">
        <f t="shared" si="4"/>
        <v/>
      </c>
      <c r="Z492" s="251" t="str">
        <f t="shared" si="5"/>
        <v/>
      </c>
      <c r="AA492" s="251" t="str">
        <f t="shared" si="6"/>
        <v/>
      </c>
      <c r="AB492" s="251" t="str">
        <f t="shared" si="7"/>
        <v/>
      </c>
      <c r="AC492" s="251" t="str">
        <f t="shared" si="8"/>
        <v/>
      </c>
      <c r="AD492" s="251" t="str">
        <f t="shared" si="9"/>
        <v/>
      </c>
      <c r="AE492" s="251" t="str">
        <f t="shared" si="10"/>
        <v/>
      </c>
      <c r="AF492" s="251" t="str">
        <f t="shared" si="11"/>
        <v/>
      </c>
      <c r="AG492" s="251" t="str">
        <f t="shared" si="12"/>
        <v/>
      </c>
      <c r="AH492" s="251" t="str">
        <f t="shared" si="13"/>
        <v/>
      </c>
      <c r="AI492" s="251" t="str">
        <f t="shared" si="14"/>
        <v/>
      </c>
      <c r="AJ492" s="251" t="str">
        <f t="shared" si="15"/>
        <v/>
      </c>
      <c r="AK492" s="251" t="str">
        <f t="shared" si="16"/>
        <v/>
      </c>
      <c r="AL492" s="251" t="str">
        <f t="shared" si="17"/>
        <v/>
      </c>
      <c r="AM492" s="251" t="str">
        <f t="shared" si="18"/>
        <v/>
      </c>
      <c r="AN492" s="251" t="str">
        <f t="shared" si="19"/>
        <v/>
      </c>
      <c r="AO492" s="251" t="str">
        <f t="shared" si="20"/>
        <v/>
      </c>
      <c r="AP492" s="251" t="str">
        <f t="shared" si="21"/>
        <v/>
      </c>
      <c r="AQ492" s="251" t="str">
        <f t="shared" si="22"/>
        <v/>
      </c>
      <c r="AR492" s="251" t="str">
        <f t="shared" si="23"/>
        <v/>
      </c>
      <c r="AS492" s="251" t="str">
        <f t="shared" si="24"/>
        <v/>
      </c>
      <c r="AT492" s="251" t="str">
        <f t="shared" si="25"/>
        <v/>
      </c>
      <c r="AU492" s="251" t="str">
        <f t="shared" si="26"/>
        <v/>
      </c>
      <c r="AV492" s="251" t="str">
        <f t="shared" si="27"/>
        <v/>
      </c>
      <c r="AW492" s="251" t="str">
        <f t="shared" si="28"/>
        <v/>
      </c>
      <c r="AX492" s="251" t="str">
        <f t="shared" si="29"/>
        <v/>
      </c>
      <c r="AY492" s="251" t="str">
        <f t="shared" si="30"/>
        <v/>
      </c>
      <c r="AZ492" s="251" t="str">
        <f t="shared" si="31"/>
        <v/>
      </c>
      <c r="BA492" s="251" t="str">
        <f t="shared" si="32"/>
        <v/>
      </c>
      <c r="BB492" s="251" t="str">
        <f t="shared" si="33"/>
        <v/>
      </c>
      <c r="BC492" s="251" t="str">
        <f t="shared" si="34"/>
        <v/>
      </c>
      <c r="BD492" s="251" t="str">
        <f t="shared" si="35"/>
        <v/>
      </c>
      <c r="BE492" s="251" t="str">
        <f t="shared" si="36"/>
        <v/>
      </c>
      <c r="BF492" s="251" t="str">
        <f t="shared" si="37"/>
        <v/>
      </c>
      <c r="BG492" s="251" t="str">
        <f t="shared" si="38"/>
        <v/>
      </c>
      <c r="BH492" s="251" t="str">
        <f t="shared" si="39"/>
        <v/>
      </c>
      <c r="BI492" s="251" t="str">
        <f t="shared" si="40"/>
        <v/>
      </c>
      <c r="BJ492" s="251" t="str">
        <f t="shared" si="41"/>
        <v/>
      </c>
      <c r="BK492" s="251" t="str">
        <f t="shared" si="42"/>
        <v/>
      </c>
      <c r="BL492" s="251" t="str">
        <f t="shared" si="43"/>
        <v/>
      </c>
      <c r="BM492" s="251" t="str">
        <f t="shared" si="44"/>
        <v/>
      </c>
      <c r="BN492" s="251" t="str">
        <f t="shared" si="45"/>
        <v/>
      </c>
      <c r="BO492" s="251" t="str">
        <f t="shared" si="46"/>
        <v/>
      </c>
      <c r="BP492" s="251" t="str">
        <f t="shared" si="47"/>
        <v/>
      </c>
      <c r="BQ492" s="251" t="str">
        <f t="shared" si="48"/>
        <v/>
      </c>
      <c r="BR492" s="251" t="str">
        <f t="shared" si="49"/>
        <v/>
      </c>
      <c r="BS492" s="251" t="str">
        <f t="shared" si="50"/>
        <v/>
      </c>
      <c r="BT492" s="251" t="str">
        <f t="shared" si="51"/>
        <v/>
      </c>
      <c r="BU492" s="251" t="str">
        <f t="shared" si="52"/>
        <v/>
      </c>
      <c r="BV492" s="251" t="str">
        <f t="shared" si="53"/>
        <v/>
      </c>
      <c r="BW492" s="251" t="str">
        <f t="shared" si="54"/>
        <v/>
      </c>
      <c r="BX492" s="251" t="str">
        <f t="shared" si="55"/>
        <v/>
      </c>
      <c r="BY492" s="251" t="str">
        <f t="shared" si="56"/>
        <v/>
      </c>
      <c r="BZ492" s="251" t="str">
        <f t="shared" si="57"/>
        <v/>
      </c>
      <c r="CA492" s="251" t="str">
        <f t="shared" si="58"/>
        <v/>
      </c>
      <c r="CB492" s="251" t="str">
        <f t="shared" si="59"/>
        <v/>
      </c>
      <c r="CC492" s="251" t="str">
        <f t="shared" si="60"/>
        <v/>
      </c>
      <c r="CD492" s="251" t="str">
        <f t="shared" si="61"/>
        <v/>
      </c>
      <c r="CE492" s="251" t="str">
        <f t="shared" si="62"/>
        <v/>
      </c>
      <c r="CF492" s="251" t="str">
        <f t="shared" si="63"/>
        <v/>
      </c>
      <c r="CG492" s="251" t="str">
        <f t="shared" si="64"/>
        <v/>
      </c>
      <c r="CH492" s="251" t="str">
        <f t="shared" si="65"/>
        <v/>
      </c>
      <c r="CI492" s="251" t="str">
        <f t="shared" si="66"/>
        <v/>
      </c>
      <c r="CJ492" s="251" t="str">
        <f t="shared" si="67"/>
        <v/>
      </c>
      <c r="CK492" s="251" t="str">
        <f t="shared" si="68"/>
        <v/>
      </c>
      <c r="CL492" s="251" t="str">
        <f t="shared" si="69"/>
        <v/>
      </c>
      <c r="CM492" s="251" t="str">
        <f t="shared" si="70"/>
        <v/>
      </c>
      <c r="CN492" s="251" t="str">
        <f t="shared" si="71"/>
        <v/>
      </c>
      <c r="CO492" s="251" t="str">
        <f t="shared" si="72"/>
        <v/>
      </c>
      <c r="CP492" s="251" t="str">
        <f t="shared" si="73"/>
        <v/>
      </c>
      <c r="CQ492" s="251" t="str">
        <f t="shared" si="74"/>
        <v/>
      </c>
      <c r="CR492" s="251" t="str">
        <f t="shared" si="75"/>
        <v/>
      </c>
      <c r="CS492" s="251" t="str">
        <f t="shared" si="76"/>
        <v/>
      </c>
      <c r="CT492" s="251" t="str">
        <f t="shared" si="77"/>
        <v/>
      </c>
      <c r="CU492" s="251" t="str">
        <f t="shared" si="78"/>
        <v/>
      </c>
      <c r="CV492" s="251" t="str">
        <f t="shared" si="79"/>
        <v/>
      </c>
      <c r="CW492" s="251" t="str">
        <f t="shared" si="80"/>
        <v/>
      </c>
      <c r="CX492" s="251" t="str">
        <f t="shared" si="81"/>
        <v/>
      </c>
      <c r="CY492" s="251" t="str">
        <f t="shared" si="82"/>
        <v/>
      </c>
      <c r="CZ492" s="251" t="str">
        <f t="shared" si="83"/>
        <v/>
      </c>
      <c r="DA492" s="251" t="str">
        <f t="shared" si="84"/>
        <v/>
      </c>
      <c r="DB492" s="251" t="str">
        <f t="shared" si="85"/>
        <v/>
      </c>
      <c r="DC492" s="251" t="str">
        <f t="shared" si="86"/>
        <v/>
      </c>
      <c r="DD492" s="251" t="str">
        <f t="shared" si="87"/>
        <v/>
      </c>
      <c r="DE492" s="251" t="str">
        <f t="shared" si="88"/>
        <v/>
      </c>
      <c r="DF492" s="251" t="str">
        <f t="shared" si="89"/>
        <v/>
      </c>
      <c r="DG492" s="251" t="str">
        <f t="shared" si="90"/>
        <v/>
      </c>
      <c r="DH492" s="251" t="str">
        <f t="shared" si="91"/>
        <v/>
      </c>
      <c r="DI492" s="251" t="str">
        <f t="shared" si="92"/>
        <v/>
      </c>
      <c r="DJ492" s="251" t="str">
        <f t="shared" si="93"/>
        <v/>
      </c>
      <c r="DK492" s="251" t="str">
        <f t="shared" si="94"/>
        <v/>
      </c>
      <c r="DL492" s="251" t="str">
        <f t="shared" si="95"/>
        <v/>
      </c>
      <c r="DM492" s="251" t="str">
        <f t="shared" si="96"/>
        <v/>
      </c>
      <c r="DN492" s="251" t="str">
        <f t="shared" si="97"/>
        <v/>
      </c>
      <c r="DO492" s="251" t="str">
        <f t="shared" si="98"/>
        <v/>
      </c>
      <c r="DP492" s="251" t="str">
        <f t="shared" si="99"/>
        <v/>
      </c>
      <c r="DQ492" s="251" t="str">
        <f t="shared" si="100"/>
        <v/>
      </c>
      <c r="DR492" s="251" t="str">
        <f t="shared" si="101"/>
        <v/>
      </c>
      <c r="DS492" s="251" t="str">
        <f t="shared" si="102"/>
        <v/>
      </c>
      <c r="DT492" s="251" t="str">
        <f t="shared" si="103"/>
        <v/>
      </c>
      <c r="DU492" s="251" t="str">
        <f t="shared" si="104"/>
        <v/>
      </c>
      <c r="DV492" s="251" t="str">
        <f t="shared" si="105"/>
        <v/>
      </c>
      <c r="DW492" s="251" t="str">
        <f t="shared" si="106"/>
        <v/>
      </c>
      <c r="DX492" s="251" t="str">
        <f t="shared" si="107"/>
        <v/>
      </c>
      <c r="DY492" s="251" t="str">
        <f t="shared" si="108"/>
        <v/>
      </c>
      <c r="DZ492" s="251" t="str">
        <f t="shared" si="109"/>
        <v/>
      </c>
      <c r="EA492" s="251" t="str">
        <f t="shared" si="110"/>
        <v/>
      </c>
      <c r="EB492" s="251" t="str">
        <f t="shared" si="111"/>
        <v/>
      </c>
      <c r="EC492" s="251" t="str">
        <f t="shared" si="112"/>
        <v/>
      </c>
      <c r="ED492" s="251" t="str">
        <f t="shared" si="113"/>
        <v/>
      </c>
      <c r="EE492" s="251" t="str">
        <f t="shared" si="114"/>
        <v/>
      </c>
      <c r="EF492" s="251" t="str">
        <f t="shared" si="115"/>
        <v/>
      </c>
      <c r="EG492" s="251" t="str">
        <f t="shared" si="116"/>
        <v/>
      </c>
      <c r="EH492" s="251" t="str">
        <f t="shared" si="117"/>
        <v/>
      </c>
      <c r="EI492" s="251" t="str">
        <f t="shared" si="118"/>
        <v/>
      </c>
      <c r="EJ492" s="251" t="str">
        <f t="shared" si="119"/>
        <v/>
      </c>
      <c r="EK492" s="251" t="str">
        <f t="shared" si="120"/>
        <v/>
      </c>
      <c r="EL492" s="251" t="str">
        <f t="shared" si="121"/>
        <v/>
      </c>
      <c r="EM492" s="251" t="str">
        <f t="shared" si="122"/>
        <v/>
      </c>
      <c r="EN492" s="251" t="str">
        <f t="shared" si="123"/>
        <v/>
      </c>
      <c r="EO492" s="251" t="str">
        <f t="shared" si="124"/>
        <v/>
      </c>
      <c r="EP492" s="251" t="str">
        <f t="shared" si="125"/>
        <v/>
      </c>
      <c r="EQ492" s="251" t="str">
        <f t="shared" si="126"/>
        <v/>
      </c>
      <c r="ER492" s="251" t="str">
        <f t="shared" si="127"/>
        <v/>
      </c>
      <c r="ES492" s="251" t="str">
        <f t="shared" si="128"/>
        <v/>
      </c>
      <c r="ET492" s="251" t="str">
        <f t="shared" si="129"/>
        <v/>
      </c>
      <c r="EU492" s="251" t="str">
        <f t="shared" si="130"/>
        <v/>
      </c>
      <c r="EV492" s="251" t="str">
        <f t="shared" si="131"/>
        <v/>
      </c>
      <c r="EW492" s="251" t="str">
        <f t="shared" si="132"/>
        <v/>
      </c>
      <c r="EX492" s="251" t="str">
        <f t="shared" si="133"/>
        <v/>
      </c>
      <c r="EY492" s="251" t="str">
        <f t="shared" si="134"/>
        <v/>
      </c>
      <c r="EZ492" s="251" t="str">
        <f t="shared" si="135"/>
        <v/>
      </c>
      <c r="FA492" s="251" t="str">
        <f t="shared" si="136"/>
        <v/>
      </c>
      <c r="FB492" s="251" t="str">
        <f t="shared" si="137"/>
        <v/>
      </c>
      <c r="FC492" s="251" t="str">
        <f t="shared" si="138"/>
        <v/>
      </c>
      <c r="FD492" s="251" t="str">
        <f t="shared" si="139"/>
        <v/>
      </c>
      <c r="FE492" s="251" t="str">
        <f t="shared" si="140"/>
        <v/>
      </c>
      <c r="FF492" s="251" t="str">
        <f t="shared" si="141"/>
        <v/>
      </c>
      <c r="FG492" s="251" t="str">
        <f t="shared" si="142"/>
        <v/>
      </c>
      <c r="FH492" s="251" t="str">
        <f t="shared" si="143"/>
        <v/>
      </c>
      <c r="FI492" s="251" t="str">
        <f t="shared" si="144"/>
        <v/>
      </c>
      <c r="FJ492" s="251" t="str">
        <f t="shared" si="145"/>
        <v/>
      </c>
      <c r="FK492" s="251" t="str">
        <f t="shared" si="146"/>
        <v/>
      </c>
      <c r="FL492" s="251" t="str">
        <f t="shared" si="147"/>
        <v/>
      </c>
      <c r="FM492" s="251" t="str">
        <f t="shared" si="148"/>
        <v/>
      </c>
      <c r="FN492" s="251" t="str">
        <f t="shared" si="149"/>
        <v/>
      </c>
      <c r="FO492" s="251" t="str">
        <f t="shared" si="150"/>
        <v/>
      </c>
      <c r="FP492" s="251" t="str">
        <f t="shared" si="151"/>
        <v/>
      </c>
      <c r="FQ492" s="251" t="str">
        <f t="shared" si="152"/>
        <v/>
      </c>
      <c r="FR492" s="251" t="str">
        <f t="shared" si="153"/>
        <v/>
      </c>
      <c r="FS492" s="251" t="str">
        <f t="shared" si="154"/>
        <v/>
      </c>
      <c r="FT492" s="251" t="str">
        <f t="shared" si="155"/>
        <v/>
      </c>
      <c r="FU492" s="251" t="str">
        <f t="shared" si="156"/>
        <v/>
      </c>
      <c r="FV492" s="251" t="str">
        <f t="shared" si="157"/>
        <v/>
      </c>
      <c r="FW492" s="251" t="str">
        <f t="shared" si="158"/>
        <v/>
      </c>
      <c r="FX492" s="251" t="str">
        <f t="shared" si="159"/>
        <v/>
      </c>
      <c r="FY492" s="251" t="str">
        <f t="shared" si="160"/>
        <v/>
      </c>
      <c r="FZ492" s="251" t="str">
        <f t="shared" si="161"/>
        <v/>
      </c>
      <c r="GA492" s="251" t="str">
        <f t="shared" si="162"/>
        <v/>
      </c>
      <c r="GB492" s="251" t="str">
        <f t="shared" si="163"/>
        <v/>
      </c>
      <c r="GC492" s="251" t="str">
        <f t="shared" si="164"/>
        <v/>
      </c>
      <c r="GD492" s="251" t="str">
        <f t="shared" si="165"/>
        <v/>
      </c>
      <c r="GE492" s="251" t="str">
        <f t="shared" si="166"/>
        <v/>
      </c>
      <c r="GF492" s="251" t="str">
        <f t="shared" si="167"/>
        <v/>
      </c>
      <c r="GG492" s="251" t="str">
        <f t="shared" si="168"/>
        <v/>
      </c>
      <c r="GH492" s="251" t="str">
        <f t="shared" si="169"/>
        <v/>
      </c>
      <c r="GI492" s="251" t="str">
        <f t="shared" si="170"/>
        <v/>
      </c>
      <c r="GJ492" s="251" t="str">
        <f t="shared" si="171"/>
        <v/>
      </c>
      <c r="GK492" s="251" t="str">
        <f t="shared" si="172"/>
        <v/>
      </c>
      <c r="GL492" s="251" t="str">
        <f t="shared" si="173"/>
        <v/>
      </c>
      <c r="GM492" s="251" t="str">
        <f t="shared" si="174"/>
        <v/>
      </c>
      <c r="GN492" s="251" t="str">
        <f t="shared" si="175"/>
        <v/>
      </c>
      <c r="GO492" s="251" t="str">
        <f t="shared" si="176"/>
        <v/>
      </c>
      <c r="GP492" s="251" t="str">
        <f t="shared" si="177"/>
        <v/>
      </c>
      <c r="GQ492" s="251" t="str">
        <f t="shared" si="178"/>
        <v/>
      </c>
      <c r="GR492" s="251" t="str">
        <f t="shared" si="179"/>
        <v/>
      </c>
      <c r="GS492" s="251" t="str">
        <f t="shared" si="180"/>
        <v/>
      </c>
      <c r="GT492" s="251" t="str">
        <f t="shared" si="181"/>
        <v/>
      </c>
      <c r="GU492" s="251" t="str">
        <f t="shared" si="182"/>
        <v/>
      </c>
      <c r="GV492" s="251" t="str">
        <f t="shared" si="183"/>
        <v/>
      </c>
      <c r="GW492" s="251" t="str">
        <f t="shared" si="184"/>
        <v/>
      </c>
      <c r="GX492" s="251" t="str">
        <f t="shared" si="185"/>
        <v/>
      </c>
      <c r="GY492" s="251" t="str">
        <f t="shared" si="186"/>
        <v/>
      </c>
      <c r="GZ492" s="251" t="str">
        <f t="shared" si="187"/>
        <v/>
      </c>
      <c r="HA492" s="251" t="str">
        <f t="shared" si="188"/>
        <v/>
      </c>
      <c r="HB492" s="251" t="str">
        <f t="shared" si="189"/>
        <v/>
      </c>
      <c r="HC492" s="251" t="str">
        <f t="shared" si="190"/>
        <v/>
      </c>
      <c r="HD492" s="251" t="str">
        <f t="shared" si="191"/>
        <v/>
      </c>
      <c r="HE492" s="251" t="str">
        <f t="shared" si="192"/>
        <v/>
      </c>
      <c r="HF492" s="251" t="str">
        <f t="shared" si="193"/>
        <v/>
      </c>
      <c r="HG492" s="251" t="str">
        <f t="shared" si="194"/>
        <v/>
      </c>
      <c r="HH492" s="251" t="str">
        <f t="shared" si="195"/>
        <v/>
      </c>
      <c r="HI492" s="251" t="str">
        <f t="shared" si="196"/>
        <v/>
      </c>
      <c r="HJ492" s="251" t="str">
        <f t="shared" si="197"/>
        <v/>
      </c>
      <c r="HK492" s="251" t="str">
        <f t="shared" si="198"/>
        <v/>
      </c>
      <c r="HL492" s="251" t="str">
        <f t="shared" si="199"/>
        <v/>
      </c>
      <c r="HM492" s="251" t="str">
        <f t="shared" si="200"/>
        <v/>
      </c>
      <c r="HN492" s="251" t="str">
        <f t="shared" si="201"/>
        <v/>
      </c>
      <c r="HO492" s="251" t="str">
        <f t="shared" si="202"/>
        <v/>
      </c>
      <c r="HP492" s="251" t="str">
        <f t="shared" si="203"/>
        <v/>
      </c>
      <c r="HQ492" s="251" t="str">
        <f t="shared" si="204"/>
        <v/>
      </c>
      <c r="HR492" s="251" t="str">
        <f t="shared" si="205"/>
        <v/>
      </c>
      <c r="HS492" s="251" t="str">
        <f t="shared" si="206"/>
        <v/>
      </c>
      <c r="HT492" s="251" t="str">
        <f t="shared" si="207"/>
        <v/>
      </c>
      <c r="HU492" s="251" t="str">
        <f t="shared" si="208"/>
        <v/>
      </c>
      <c r="HV492" s="251" t="str">
        <f t="shared" si="209"/>
        <v/>
      </c>
      <c r="HW492" s="251" t="str">
        <f t="shared" si="210"/>
        <v/>
      </c>
      <c r="HX492" s="251" t="str">
        <f t="shared" si="211"/>
        <v/>
      </c>
      <c r="HY492" s="251" t="str">
        <f t="shared" si="212"/>
        <v/>
      </c>
      <c r="HZ492" s="251" t="str">
        <f t="shared" si="213"/>
        <v/>
      </c>
      <c r="IA492" s="251" t="str">
        <f t="shared" si="214"/>
        <v/>
      </c>
      <c r="IB492" s="251" t="str">
        <f t="shared" si="215"/>
        <v/>
      </c>
      <c r="IC492" s="251" t="str">
        <f t="shared" si="216"/>
        <v/>
      </c>
      <c r="ID492" s="251" t="str">
        <f t="shared" si="217"/>
        <v/>
      </c>
      <c r="IE492" s="251" t="str">
        <f t="shared" si="218"/>
        <v/>
      </c>
      <c r="IF492" s="251" t="str">
        <f t="shared" si="219"/>
        <v/>
      </c>
      <c r="IG492" s="251" t="str">
        <f t="shared" si="220"/>
        <v/>
      </c>
      <c r="IH492" s="251" t="str">
        <f t="shared" si="221"/>
        <v/>
      </c>
      <c r="II492" s="251" t="str">
        <f t="shared" si="222"/>
        <v/>
      </c>
      <c r="IJ492" s="251" t="str">
        <f t="shared" si="223"/>
        <v/>
      </c>
      <c r="IK492" s="251" t="str">
        <f t="shared" si="224"/>
        <v/>
      </c>
      <c r="IL492" s="251" t="str">
        <f t="shared" si="225"/>
        <v/>
      </c>
      <c r="IM492" s="251" t="str">
        <f t="shared" si="226"/>
        <v/>
      </c>
      <c r="IN492" s="251" t="str">
        <f t="shared" si="227"/>
        <v/>
      </c>
      <c r="IO492" s="251" t="str">
        <f t="shared" si="228"/>
        <v/>
      </c>
      <c r="IP492" s="251" t="str">
        <f t="shared" si="229"/>
        <v/>
      </c>
      <c r="IQ492" s="251" t="str">
        <f t="shared" si="230"/>
        <v/>
      </c>
      <c r="IR492" s="251" t="str">
        <f t="shared" si="231"/>
        <v/>
      </c>
      <c r="IS492" s="251" t="str">
        <f t="shared" si="232"/>
        <v/>
      </c>
      <c r="IT492" s="251" t="str">
        <f t="shared" si="233"/>
        <v/>
      </c>
      <c r="IU492" s="251" t="str">
        <f t="shared" si="234"/>
        <v/>
      </c>
      <c r="IV492" s="251" t="str">
        <f t="shared" si="235"/>
        <v/>
      </c>
      <c r="IW492" s="251" t="str">
        <f t="shared" si="236"/>
        <v/>
      </c>
      <c r="IX492" s="251" t="str">
        <f t="shared" si="237"/>
        <v/>
      </c>
      <c r="IY492" s="251" t="str">
        <f t="shared" si="238"/>
        <v/>
      </c>
      <c r="IZ492" s="251" t="str">
        <f t="shared" si="239"/>
        <v/>
      </c>
      <c r="JA492" s="251" t="str">
        <f t="shared" si="240"/>
        <v/>
      </c>
      <c r="JB492" s="251" t="str">
        <f t="shared" si="241"/>
        <v/>
      </c>
      <c r="JC492" s="251" t="str">
        <f t="shared" si="242"/>
        <v/>
      </c>
      <c r="JD492" s="251" t="str">
        <f t="shared" si="243"/>
        <v/>
      </c>
      <c r="JE492" s="251" t="str">
        <f t="shared" si="244"/>
        <v/>
      </c>
      <c r="JF492" s="251" t="str">
        <f t="shared" si="245"/>
        <v/>
      </c>
      <c r="JG492" s="251" t="str">
        <f t="shared" si="246"/>
        <v/>
      </c>
      <c r="JH492" s="251" t="str">
        <f t="shared" si="247"/>
        <v/>
      </c>
      <c r="JI492" s="1297" t="str">
        <f t="shared" si="248"/>
        <v/>
      </c>
      <c r="JJ492" s="1297" t="str">
        <f t="shared" si="249"/>
        <v/>
      </c>
      <c r="JK492" s="1297" t="str">
        <f t="shared" si="250"/>
        <v/>
      </c>
      <c r="JL492" s="1297" t="str">
        <f t="shared" si="251"/>
        <v/>
      </c>
      <c r="JM492" s="1297" t="str">
        <f t="shared" si="252"/>
        <v/>
      </c>
      <c r="JN492" s="1297" t="str">
        <f t="shared" si="253"/>
        <v/>
      </c>
      <c r="JO492" s="1297" t="str">
        <f t="shared" si="254"/>
        <v/>
      </c>
      <c r="JP492" s="1297" t="str">
        <f t="shared" si="255"/>
        <v/>
      </c>
      <c r="JQ492" s="1297" t="str">
        <f t="shared" si="256"/>
        <v/>
      </c>
      <c r="JR492" s="1297" t="str">
        <f t="shared" si="257"/>
        <v/>
      </c>
      <c r="JS492" s="1297" t="str">
        <f t="shared" si="258"/>
        <v/>
      </c>
      <c r="JT492" s="1297" t="str">
        <f t="shared" si="259"/>
        <v/>
      </c>
      <c r="JU492" s="1297" t="str">
        <f t="shared" si="260"/>
        <v/>
      </c>
      <c r="JV492" s="1297" t="str">
        <f t="shared" si="261"/>
        <v/>
      </c>
      <c r="JW492" s="1297" t="str">
        <f t="shared" si="262"/>
        <v/>
      </c>
      <c r="JX492" s="1297" t="str">
        <f t="shared" si="263"/>
        <v/>
      </c>
      <c r="JY492" s="1297" t="str">
        <f t="shared" si="264"/>
        <v/>
      </c>
      <c r="JZ492" s="1297" t="str">
        <f t="shared" si="265"/>
        <v/>
      </c>
      <c r="KA492" s="1297" t="str">
        <f t="shared" si="266"/>
        <v/>
      </c>
      <c r="KB492" s="1297" t="str">
        <f t="shared" si="267"/>
        <v/>
      </c>
      <c r="KC492" s="1297" t="str">
        <f t="shared" si="268"/>
        <v/>
      </c>
      <c r="KD492" s="1297" t="str">
        <f t="shared" si="269"/>
        <v/>
      </c>
      <c r="KE492" s="1297" t="str">
        <f t="shared" si="270"/>
        <v/>
      </c>
      <c r="KF492" s="1297" t="str">
        <f t="shared" si="271"/>
        <v/>
      </c>
      <c r="KG492" s="1297" t="str">
        <f t="shared" si="272"/>
        <v/>
      </c>
      <c r="KH492" s="1297" t="str">
        <f t="shared" si="273"/>
        <v/>
      </c>
      <c r="KI492" s="1297" t="str">
        <f t="shared" si="274"/>
        <v/>
      </c>
      <c r="KJ492" s="1297" t="str">
        <f t="shared" si="275"/>
        <v/>
      </c>
      <c r="KK492" s="1297" t="str">
        <f t="shared" si="276"/>
        <v/>
      </c>
      <c r="KL492" s="1297" t="str">
        <f t="shared" si="277"/>
        <v/>
      </c>
      <c r="KM492" s="1297" t="str">
        <f t="shared" si="278"/>
        <v/>
      </c>
      <c r="KN492" s="1297" t="str">
        <f t="shared" si="279"/>
        <v/>
      </c>
      <c r="KO492" s="1297" t="str">
        <f t="shared" si="280"/>
        <v/>
      </c>
      <c r="KP492" s="1297" t="str">
        <f t="shared" si="281"/>
        <v/>
      </c>
      <c r="KQ492" s="1297" t="str">
        <f t="shared" si="282"/>
        <v/>
      </c>
      <c r="KR492" s="1297" t="str">
        <f t="shared" si="283"/>
        <v/>
      </c>
      <c r="KS492" s="1297" t="str">
        <f t="shared" si="284"/>
        <v/>
      </c>
      <c r="KT492" s="1297" t="str">
        <f t="shared" si="285"/>
        <v/>
      </c>
      <c r="KU492" s="1297" t="str">
        <f t="shared" si="286"/>
        <v/>
      </c>
      <c r="KV492" s="1297" t="str">
        <f t="shared" si="287"/>
        <v/>
      </c>
      <c r="KW492" s="1297" t="str">
        <f t="shared" si="288"/>
        <v/>
      </c>
      <c r="KX492" s="1297" t="str">
        <f t="shared" si="289"/>
        <v/>
      </c>
      <c r="KY492" s="1297" t="str">
        <f t="shared" si="290"/>
        <v/>
      </c>
      <c r="KZ492" s="1297" t="str">
        <f t="shared" si="291"/>
        <v/>
      </c>
      <c r="LA492" s="1297" t="str">
        <f t="shared" si="292"/>
        <v/>
      </c>
      <c r="LB492" s="1297" t="str">
        <f t="shared" si="293"/>
        <v/>
      </c>
      <c r="LC492" s="1297" t="str">
        <f t="shared" si="294"/>
        <v/>
      </c>
      <c r="LD492" s="1297" t="str">
        <f t="shared" si="295"/>
        <v/>
      </c>
      <c r="LE492" s="1297" t="str">
        <f t="shared" si="296"/>
        <v/>
      </c>
      <c r="LF492" s="1297" t="str">
        <f t="shared" si="297"/>
        <v/>
      </c>
      <c r="LG492" s="1297" t="str">
        <f t="shared" si="298"/>
        <v/>
      </c>
      <c r="LH492" s="1297" t="str">
        <f t="shared" si="299"/>
        <v/>
      </c>
      <c r="LI492" s="1297" t="str">
        <f t="shared" si="300"/>
        <v/>
      </c>
      <c r="LJ492" s="1297" t="str">
        <f t="shared" si="301"/>
        <v/>
      </c>
      <c r="LK492" s="1297" t="str">
        <f t="shared" si="302"/>
        <v/>
      </c>
      <c r="LL492" s="1297" t="str">
        <f t="shared" si="303"/>
        <v/>
      </c>
      <c r="LM492" s="1297" t="str">
        <f t="shared" si="304"/>
        <v/>
      </c>
      <c r="LN492" s="1297" t="str">
        <f t="shared" si="305"/>
        <v/>
      </c>
      <c r="LO492" s="1297" t="str">
        <f t="shared" si="306"/>
        <v/>
      </c>
      <c r="LP492" s="1297" t="str">
        <f t="shared" si="307"/>
        <v/>
      </c>
      <c r="LQ492" s="1297" t="str">
        <f t="shared" si="308"/>
        <v/>
      </c>
      <c r="LR492" s="1297" t="str">
        <f t="shared" si="309"/>
        <v/>
      </c>
      <c r="LS492" s="1297" t="str">
        <f t="shared" si="310"/>
        <v/>
      </c>
      <c r="LT492" s="1297" t="str">
        <f t="shared" si="311"/>
        <v/>
      </c>
      <c r="LU492" s="1297" t="str">
        <f t="shared" si="312"/>
        <v/>
      </c>
      <c r="LV492" s="1297" t="str">
        <f t="shared" si="313"/>
        <v/>
      </c>
      <c r="LW492" s="1297" t="str">
        <f t="shared" si="314"/>
        <v/>
      </c>
      <c r="LX492" s="1297" t="str">
        <f t="shared" si="315"/>
        <v/>
      </c>
      <c r="LY492" s="1297" t="str">
        <f t="shared" si="316"/>
        <v/>
      </c>
      <c r="LZ492" s="1297" t="str">
        <f t="shared" si="317"/>
        <v/>
      </c>
      <c r="MA492" s="1297" t="str">
        <f t="shared" si="318"/>
        <v/>
      </c>
      <c r="MB492" s="1297" t="str">
        <f t="shared" si="319"/>
        <v/>
      </c>
      <c r="MC492" s="1297" t="str">
        <f t="shared" si="320"/>
        <v/>
      </c>
      <c r="MD492" s="1297" t="str">
        <f t="shared" si="321"/>
        <v/>
      </c>
      <c r="ME492" s="1297" t="str">
        <f t="shared" si="322"/>
        <v/>
      </c>
      <c r="MF492" s="1297" t="str">
        <f t="shared" si="323"/>
        <v/>
      </c>
      <c r="MG492" s="1297" t="str">
        <f t="shared" si="324"/>
        <v/>
      </c>
      <c r="MH492" s="1297" t="str">
        <f t="shared" si="325"/>
        <v/>
      </c>
      <c r="MI492" s="1297" t="str">
        <f t="shared" si="326"/>
        <v/>
      </c>
      <c r="MJ492" s="1297" t="str">
        <f t="shared" si="327"/>
        <v/>
      </c>
      <c r="MK492" s="1297" t="str">
        <f t="shared" si="328"/>
        <v/>
      </c>
      <c r="ML492" s="1297" t="str">
        <f t="shared" si="329"/>
        <v/>
      </c>
      <c r="MM492" s="1297" t="str">
        <f t="shared" si="330"/>
        <v/>
      </c>
      <c r="MN492" s="1297" t="str">
        <f t="shared" si="331"/>
        <v/>
      </c>
      <c r="MO492" s="1297" t="str">
        <f t="shared" si="332"/>
        <v/>
      </c>
      <c r="MP492" s="1773" t="str">
        <f t="shared" si="333"/>
        <v/>
      </c>
      <c r="MQ492" s="1773" t="str">
        <f t="shared" si="334"/>
        <v/>
      </c>
      <c r="MR492" s="1773" t="str">
        <f t="shared" si="335"/>
        <v/>
      </c>
      <c r="MS492" s="1773" t="str">
        <f t="shared" si="336"/>
        <v/>
      </c>
      <c r="MT492" s="1773" t="str">
        <f t="shared" si="337"/>
        <v/>
      </c>
      <c r="MU492" s="251" t="str">
        <f t="shared" si="338"/>
        <v/>
      </c>
      <c r="MV492" s="251" t="str">
        <f t="shared" si="339"/>
        <v/>
      </c>
      <c r="MW492" s="251" t="str">
        <f t="shared" si="340"/>
        <v/>
      </c>
      <c r="MX492" s="251" t="str">
        <f t="shared" si="341"/>
        <v/>
      </c>
      <c r="MY492" s="251" t="str">
        <f t="shared" si="342"/>
        <v/>
      </c>
      <c r="MZ492" s="251" t="str">
        <f t="shared" si="343"/>
        <v/>
      </c>
      <c r="NA492" s="251" t="str">
        <f t="shared" si="344"/>
        <v/>
      </c>
      <c r="NB492" s="251" t="str">
        <f t="shared" si="345"/>
        <v/>
      </c>
      <c r="NC492" s="251" t="str">
        <f t="shared" si="346"/>
        <v/>
      </c>
      <c r="ND492" s="251" t="str">
        <f t="shared" si="347"/>
        <v/>
      </c>
      <c r="NE492" s="251" t="str">
        <f t="shared" si="348"/>
        <v/>
      </c>
      <c r="NF492" s="251" t="str">
        <f t="shared" si="349"/>
        <v/>
      </c>
      <c r="NG492" s="251" t="str">
        <f t="shared" si="350"/>
        <v/>
      </c>
      <c r="NH492" s="251" t="str">
        <f t="shared" si="351"/>
        <v/>
      </c>
      <c r="NI492" s="251" t="str">
        <f t="shared" si="352"/>
        <v/>
      </c>
      <c r="NJ492" s="251" t="str">
        <f t="shared" si="353"/>
        <v/>
      </c>
      <c r="NK492" s="251" t="str">
        <f t="shared" si="354"/>
        <v/>
      </c>
      <c r="NL492" s="251" t="str">
        <f t="shared" si="355"/>
        <v/>
      </c>
      <c r="NM492" s="251" t="str">
        <f t="shared" si="356"/>
        <v/>
      </c>
      <c r="NN492" s="251" t="str">
        <f t="shared" si="357"/>
        <v/>
      </c>
      <c r="NO492" s="1185">
        <f t="shared" si="358"/>
        <v>0</v>
      </c>
      <c r="NP492" s="1185">
        <f t="shared" si="359"/>
        <v>0</v>
      </c>
      <c r="NQ492" s="1185">
        <f t="shared" si="360"/>
        <v>0</v>
      </c>
      <c r="NR492" s="1185">
        <f t="shared" si="361"/>
        <v>0</v>
      </c>
      <c r="NS492" s="1185">
        <f t="shared" si="362"/>
        <v>0</v>
      </c>
      <c r="NT492" s="1185">
        <f t="shared" si="368"/>
        <v>0</v>
      </c>
      <c r="NU492" s="1185">
        <f t="shared" si="369"/>
        <v>0</v>
      </c>
      <c r="NV492" s="1185">
        <f t="shared" si="370"/>
        <v>0</v>
      </c>
      <c r="NW492" s="1185">
        <f t="shared" si="371"/>
        <v>0</v>
      </c>
      <c r="NX492" s="1185">
        <f t="shared" si="372"/>
        <v>0</v>
      </c>
      <c r="NY492" s="1185">
        <f t="shared" si="363"/>
        <v>0</v>
      </c>
      <c r="NZ492" s="1185">
        <f t="shared" si="364"/>
        <v>0</v>
      </c>
      <c r="OA492" s="1185">
        <f t="shared" si="365"/>
        <v>0</v>
      </c>
      <c r="OB492" s="1185">
        <f t="shared" si="366"/>
        <v>0</v>
      </c>
      <c r="OC492" s="1185">
        <f t="shared" si="367"/>
        <v>0</v>
      </c>
      <c r="OY492" s="251" t="s">
        <v>1187</v>
      </c>
      <c r="OZ492" s="1296">
        <v>39</v>
      </c>
    </row>
    <row r="493" spans="1:416" ht="12" customHeight="1">
      <c r="A493" s="1979" t="str">
        <f t="shared" si="0"/>
        <v/>
      </c>
      <c r="B493" s="1998">
        <f>'Part V-Revenues &amp; Expenses'!B40</f>
        <v>0</v>
      </c>
      <c r="C493" s="1999">
        <f>'Part V-Revenues &amp; Expenses'!C40</f>
        <v>0</v>
      </c>
      <c r="D493" s="2000">
        <f>'Part V-Revenues &amp; Expenses'!D40</f>
        <v>0</v>
      </c>
      <c r="E493" s="2001">
        <f>'Part V-Revenues &amp; Expenses'!E40</f>
        <v>0</v>
      </c>
      <c r="F493" s="2001">
        <f>'Part V-Revenues &amp; Expenses'!F40</f>
        <v>0</v>
      </c>
      <c r="G493" s="2001">
        <f>'Part V-Revenues &amp; Expenses'!G40</f>
        <v>0</v>
      </c>
      <c r="H493" s="2001">
        <f>'Part V-Revenues &amp; Expenses'!H40</f>
        <v>0</v>
      </c>
      <c r="I493" s="2001">
        <f>'Part V-Revenues &amp; Expenses'!I40</f>
        <v>0</v>
      </c>
      <c r="J493" s="2001">
        <f>'Part V-Revenues &amp; Expenses'!J40</f>
        <v>0</v>
      </c>
      <c r="K493" s="2002">
        <f>'Part V-Revenues &amp; Expenses'!K40</f>
        <v>0</v>
      </c>
      <c r="L493" s="2003">
        <f t="shared" si="1"/>
        <v>0</v>
      </c>
      <c r="M493" s="2003">
        <f t="shared" si="2"/>
        <v>0</v>
      </c>
      <c r="N493" s="1853">
        <f>'Part V-Revenues &amp; Expenses'!N40</f>
        <v>0</v>
      </c>
      <c r="O493" s="899">
        <f>'Part V-Revenues &amp; Expenses'!O40</f>
        <v>0</v>
      </c>
      <c r="P493" s="1853">
        <f>'Part V-Revenues &amp; Expenses'!P40</f>
        <v>0</v>
      </c>
      <c r="Q493" s="1772">
        <f>'Part V-Revenues &amp; Expenses'!Q40</f>
        <v>0</v>
      </c>
      <c r="R493" s="2004"/>
      <c r="S493" s="2005"/>
      <c r="T493" s="1920"/>
      <c r="U493" s="1920"/>
      <c r="V493" s="1920"/>
      <c r="W493" s="1920"/>
      <c r="X493" s="251" t="str">
        <f t="shared" si="3"/>
        <v/>
      </c>
      <c r="Y493" s="251" t="str">
        <f t="shared" si="4"/>
        <v/>
      </c>
      <c r="Z493" s="251" t="str">
        <f t="shared" si="5"/>
        <v/>
      </c>
      <c r="AA493" s="251" t="str">
        <f t="shared" si="6"/>
        <v/>
      </c>
      <c r="AB493" s="251" t="str">
        <f t="shared" si="7"/>
        <v/>
      </c>
      <c r="AC493" s="251" t="str">
        <f t="shared" si="8"/>
        <v/>
      </c>
      <c r="AD493" s="251" t="str">
        <f t="shared" si="9"/>
        <v/>
      </c>
      <c r="AE493" s="251" t="str">
        <f t="shared" si="10"/>
        <v/>
      </c>
      <c r="AF493" s="251" t="str">
        <f t="shared" si="11"/>
        <v/>
      </c>
      <c r="AG493" s="251" t="str">
        <f t="shared" si="12"/>
        <v/>
      </c>
      <c r="AH493" s="251" t="str">
        <f t="shared" si="13"/>
        <v/>
      </c>
      <c r="AI493" s="251" t="str">
        <f t="shared" si="14"/>
        <v/>
      </c>
      <c r="AJ493" s="251" t="str">
        <f t="shared" si="15"/>
        <v/>
      </c>
      <c r="AK493" s="251" t="str">
        <f t="shared" si="16"/>
        <v/>
      </c>
      <c r="AL493" s="251" t="str">
        <f t="shared" si="17"/>
        <v/>
      </c>
      <c r="AM493" s="251" t="str">
        <f t="shared" si="18"/>
        <v/>
      </c>
      <c r="AN493" s="251" t="str">
        <f t="shared" si="19"/>
        <v/>
      </c>
      <c r="AO493" s="251" t="str">
        <f t="shared" si="20"/>
        <v/>
      </c>
      <c r="AP493" s="251" t="str">
        <f t="shared" si="21"/>
        <v/>
      </c>
      <c r="AQ493" s="251" t="str">
        <f t="shared" si="22"/>
        <v/>
      </c>
      <c r="AR493" s="251" t="str">
        <f t="shared" si="23"/>
        <v/>
      </c>
      <c r="AS493" s="251" t="str">
        <f t="shared" si="24"/>
        <v/>
      </c>
      <c r="AT493" s="251" t="str">
        <f t="shared" si="25"/>
        <v/>
      </c>
      <c r="AU493" s="251" t="str">
        <f t="shared" si="26"/>
        <v/>
      </c>
      <c r="AV493" s="251" t="str">
        <f t="shared" si="27"/>
        <v/>
      </c>
      <c r="AW493" s="251" t="str">
        <f t="shared" si="28"/>
        <v/>
      </c>
      <c r="AX493" s="251" t="str">
        <f t="shared" si="29"/>
        <v/>
      </c>
      <c r="AY493" s="251" t="str">
        <f t="shared" si="30"/>
        <v/>
      </c>
      <c r="AZ493" s="251" t="str">
        <f t="shared" si="31"/>
        <v/>
      </c>
      <c r="BA493" s="251" t="str">
        <f t="shared" si="32"/>
        <v/>
      </c>
      <c r="BB493" s="251" t="str">
        <f t="shared" si="33"/>
        <v/>
      </c>
      <c r="BC493" s="251" t="str">
        <f t="shared" si="34"/>
        <v/>
      </c>
      <c r="BD493" s="251" t="str">
        <f t="shared" si="35"/>
        <v/>
      </c>
      <c r="BE493" s="251" t="str">
        <f t="shared" si="36"/>
        <v/>
      </c>
      <c r="BF493" s="251" t="str">
        <f t="shared" si="37"/>
        <v/>
      </c>
      <c r="BG493" s="251" t="str">
        <f t="shared" si="38"/>
        <v/>
      </c>
      <c r="BH493" s="251" t="str">
        <f t="shared" si="39"/>
        <v/>
      </c>
      <c r="BI493" s="251" t="str">
        <f t="shared" si="40"/>
        <v/>
      </c>
      <c r="BJ493" s="251" t="str">
        <f t="shared" si="41"/>
        <v/>
      </c>
      <c r="BK493" s="251" t="str">
        <f t="shared" si="42"/>
        <v/>
      </c>
      <c r="BL493" s="251" t="str">
        <f t="shared" si="43"/>
        <v/>
      </c>
      <c r="BM493" s="251" t="str">
        <f t="shared" si="44"/>
        <v/>
      </c>
      <c r="BN493" s="251" t="str">
        <f t="shared" si="45"/>
        <v/>
      </c>
      <c r="BO493" s="251" t="str">
        <f t="shared" si="46"/>
        <v/>
      </c>
      <c r="BP493" s="251" t="str">
        <f t="shared" si="47"/>
        <v/>
      </c>
      <c r="BQ493" s="251" t="str">
        <f t="shared" si="48"/>
        <v/>
      </c>
      <c r="BR493" s="251" t="str">
        <f t="shared" si="49"/>
        <v/>
      </c>
      <c r="BS493" s="251" t="str">
        <f t="shared" si="50"/>
        <v/>
      </c>
      <c r="BT493" s="251" t="str">
        <f t="shared" si="51"/>
        <v/>
      </c>
      <c r="BU493" s="251" t="str">
        <f t="shared" si="52"/>
        <v/>
      </c>
      <c r="BV493" s="251" t="str">
        <f t="shared" si="53"/>
        <v/>
      </c>
      <c r="BW493" s="251" t="str">
        <f t="shared" si="54"/>
        <v/>
      </c>
      <c r="BX493" s="251" t="str">
        <f t="shared" si="55"/>
        <v/>
      </c>
      <c r="BY493" s="251" t="str">
        <f t="shared" si="56"/>
        <v/>
      </c>
      <c r="BZ493" s="251" t="str">
        <f t="shared" si="57"/>
        <v/>
      </c>
      <c r="CA493" s="251" t="str">
        <f t="shared" si="58"/>
        <v/>
      </c>
      <c r="CB493" s="251" t="str">
        <f t="shared" si="59"/>
        <v/>
      </c>
      <c r="CC493" s="251" t="str">
        <f t="shared" si="60"/>
        <v/>
      </c>
      <c r="CD493" s="251" t="str">
        <f t="shared" si="61"/>
        <v/>
      </c>
      <c r="CE493" s="251" t="str">
        <f t="shared" si="62"/>
        <v/>
      </c>
      <c r="CF493" s="251" t="str">
        <f t="shared" si="63"/>
        <v/>
      </c>
      <c r="CG493" s="251" t="str">
        <f t="shared" si="64"/>
        <v/>
      </c>
      <c r="CH493" s="251" t="str">
        <f t="shared" si="65"/>
        <v/>
      </c>
      <c r="CI493" s="251" t="str">
        <f t="shared" si="66"/>
        <v/>
      </c>
      <c r="CJ493" s="251" t="str">
        <f t="shared" si="67"/>
        <v/>
      </c>
      <c r="CK493" s="251" t="str">
        <f t="shared" si="68"/>
        <v/>
      </c>
      <c r="CL493" s="251" t="str">
        <f t="shared" si="69"/>
        <v/>
      </c>
      <c r="CM493" s="251" t="str">
        <f t="shared" si="70"/>
        <v/>
      </c>
      <c r="CN493" s="251" t="str">
        <f t="shared" si="71"/>
        <v/>
      </c>
      <c r="CO493" s="251" t="str">
        <f t="shared" si="72"/>
        <v/>
      </c>
      <c r="CP493" s="251" t="str">
        <f t="shared" si="73"/>
        <v/>
      </c>
      <c r="CQ493" s="251" t="str">
        <f t="shared" si="74"/>
        <v/>
      </c>
      <c r="CR493" s="251" t="str">
        <f t="shared" si="75"/>
        <v/>
      </c>
      <c r="CS493" s="251" t="str">
        <f t="shared" si="76"/>
        <v/>
      </c>
      <c r="CT493" s="251" t="str">
        <f t="shared" si="77"/>
        <v/>
      </c>
      <c r="CU493" s="251" t="str">
        <f t="shared" si="78"/>
        <v/>
      </c>
      <c r="CV493" s="251" t="str">
        <f t="shared" si="79"/>
        <v/>
      </c>
      <c r="CW493" s="251" t="str">
        <f t="shared" si="80"/>
        <v/>
      </c>
      <c r="CX493" s="251" t="str">
        <f t="shared" si="81"/>
        <v/>
      </c>
      <c r="CY493" s="251" t="str">
        <f t="shared" si="82"/>
        <v/>
      </c>
      <c r="CZ493" s="251" t="str">
        <f t="shared" si="83"/>
        <v/>
      </c>
      <c r="DA493" s="251" t="str">
        <f t="shared" si="84"/>
        <v/>
      </c>
      <c r="DB493" s="251" t="str">
        <f t="shared" si="85"/>
        <v/>
      </c>
      <c r="DC493" s="251" t="str">
        <f t="shared" si="86"/>
        <v/>
      </c>
      <c r="DD493" s="251" t="str">
        <f t="shared" si="87"/>
        <v/>
      </c>
      <c r="DE493" s="251" t="str">
        <f t="shared" si="88"/>
        <v/>
      </c>
      <c r="DF493" s="251" t="str">
        <f t="shared" si="89"/>
        <v/>
      </c>
      <c r="DG493" s="251" t="str">
        <f t="shared" si="90"/>
        <v/>
      </c>
      <c r="DH493" s="251" t="str">
        <f t="shared" si="91"/>
        <v/>
      </c>
      <c r="DI493" s="251" t="str">
        <f t="shared" si="92"/>
        <v/>
      </c>
      <c r="DJ493" s="251" t="str">
        <f t="shared" si="93"/>
        <v/>
      </c>
      <c r="DK493" s="251" t="str">
        <f t="shared" si="94"/>
        <v/>
      </c>
      <c r="DL493" s="251" t="str">
        <f t="shared" si="95"/>
        <v/>
      </c>
      <c r="DM493" s="251" t="str">
        <f t="shared" si="96"/>
        <v/>
      </c>
      <c r="DN493" s="251" t="str">
        <f t="shared" si="97"/>
        <v/>
      </c>
      <c r="DO493" s="251" t="str">
        <f t="shared" si="98"/>
        <v/>
      </c>
      <c r="DP493" s="251" t="str">
        <f t="shared" si="99"/>
        <v/>
      </c>
      <c r="DQ493" s="251" t="str">
        <f t="shared" si="100"/>
        <v/>
      </c>
      <c r="DR493" s="251" t="str">
        <f t="shared" si="101"/>
        <v/>
      </c>
      <c r="DS493" s="251" t="str">
        <f t="shared" si="102"/>
        <v/>
      </c>
      <c r="DT493" s="251" t="str">
        <f t="shared" si="103"/>
        <v/>
      </c>
      <c r="DU493" s="251" t="str">
        <f t="shared" si="104"/>
        <v/>
      </c>
      <c r="DV493" s="251" t="str">
        <f t="shared" si="105"/>
        <v/>
      </c>
      <c r="DW493" s="251" t="str">
        <f t="shared" si="106"/>
        <v/>
      </c>
      <c r="DX493" s="251" t="str">
        <f t="shared" si="107"/>
        <v/>
      </c>
      <c r="DY493" s="251" t="str">
        <f t="shared" si="108"/>
        <v/>
      </c>
      <c r="DZ493" s="251" t="str">
        <f t="shared" si="109"/>
        <v/>
      </c>
      <c r="EA493" s="251" t="str">
        <f t="shared" si="110"/>
        <v/>
      </c>
      <c r="EB493" s="251" t="str">
        <f t="shared" si="111"/>
        <v/>
      </c>
      <c r="EC493" s="251" t="str">
        <f t="shared" si="112"/>
        <v/>
      </c>
      <c r="ED493" s="251" t="str">
        <f t="shared" si="113"/>
        <v/>
      </c>
      <c r="EE493" s="251" t="str">
        <f t="shared" si="114"/>
        <v/>
      </c>
      <c r="EF493" s="251" t="str">
        <f t="shared" si="115"/>
        <v/>
      </c>
      <c r="EG493" s="251" t="str">
        <f t="shared" si="116"/>
        <v/>
      </c>
      <c r="EH493" s="251" t="str">
        <f t="shared" si="117"/>
        <v/>
      </c>
      <c r="EI493" s="251" t="str">
        <f t="shared" si="118"/>
        <v/>
      </c>
      <c r="EJ493" s="251" t="str">
        <f t="shared" si="119"/>
        <v/>
      </c>
      <c r="EK493" s="251" t="str">
        <f t="shared" si="120"/>
        <v/>
      </c>
      <c r="EL493" s="251" t="str">
        <f t="shared" si="121"/>
        <v/>
      </c>
      <c r="EM493" s="251" t="str">
        <f t="shared" si="122"/>
        <v/>
      </c>
      <c r="EN493" s="251" t="str">
        <f t="shared" si="123"/>
        <v/>
      </c>
      <c r="EO493" s="251" t="str">
        <f t="shared" si="124"/>
        <v/>
      </c>
      <c r="EP493" s="251" t="str">
        <f t="shared" si="125"/>
        <v/>
      </c>
      <c r="EQ493" s="251" t="str">
        <f t="shared" si="126"/>
        <v/>
      </c>
      <c r="ER493" s="251" t="str">
        <f t="shared" si="127"/>
        <v/>
      </c>
      <c r="ES493" s="251" t="str">
        <f t="shared" si="128"/>
        <v/>
      </c>
      <c r="ET493" s="251" t="str">
        <f t="shared" si="129"/>
        <v/>
      </c>
      <c r="EU493" s="251" t="str">
        <f t="shared" si="130"/>
        <v/>
      </c>
      <c r="EV493" s="251" t="str">
        <f t="shared" si="131"/>
        <v/>
      </c>
      <c r="EW493" s="251" t="str">
        <f t="shared" si="132"/>
        <v/>
      </c>
      <c r="EX493" s="251" t="str">
        <f t="shared" si="133"/>
        <v/>
      </c>
      <c r="EY493" s="251" t="str">
        <f t="shared" si="134"/>
        <v/>
      </c>
      <c r="EZ493" s="251" t="str">
        <f t="shared" si="135"/>
        <v/>
      </c>
      <c r="FA493" s="251" t="str">
        <f t="shared" si="136"/>
        <v/>
      </c>
      <c r="FB493" s="251" t="str">
        <f t="shared" si="137"/>
        <v/>
      </c>
      <c r="FC493" s="251" t="str">
        <f t="shared" si="138"/>
        <v/>
      </c>
      <c r="FD493" s="251" t="str">
        <f t="shared" si="139"/>
        <v/>
      </c>
      <c r="FE493" s="251" t="str">
        <f t="shared" si="140"/>
        <v/>
      </c>
      <c r="FF493" s="251" t="str">
        <f t="shared" si="141"/>
        <v/>
      </c>
      <c r="FG493" s="251" t="str">
        <f t="shared" si="142"/>
        <v/>
      </c>
      <c r="FH493" s="251" t="str">
        <f t="shared" si="143"/>
        <v/>
      </c>
      <c r="FI493" s="251" t="str">
        <f t="shared" si="144"/>
        <v/>
      </c>
      <c r="FJ493" s="251" t="str">
        <f t="shared" si="145"/>
        <v/>
      </c>
      <c r="FK493" s="251" t="str">
        <f t="shared" si="146"/>
        <v/>
      </c>
      <c r="FL493" s="251" t="str">
        <f t="shared" si="147"/>
        <v/>
      </c>
      <c r="FM493" s="251" t="str">
        <f t="shared" si="148"/>
        <v/>
      </c>
      <c r="FN493" s="251" t="str">
        <f t="shared" si="149"/>
        <v/>
      </c>
      <c r="FO493" s="251" t="str">
        <f t="shared" si="150"/>
        <v/>
      </c>
      <c r="FP493" s="251" t="str">
        <f t="shared" si="151"/>
        <v/>
      </c>
      <c r="FQ493" s="251" t="str">
        <f t="shared" si="152"/>
        <v/>
      </c>
      <c r="FR493" s="251" t="str">
        <f t="shared" si="153"/>
        <v/>
      </c>
      <c r="FS493" s="251" t="str">
        <f t="shared" si="154"/>
        <v/>
      </c>
      <c r="FT493" s="251" t="str">
        <f t="shared" si="155"/>
        <v/>
      </c>
      <c r="FU493" s="251" t="str">
        <f t="shared" si="156"/>
        <v/>
      </c>
      <c r="FV493" s="251" t="str">
        <f t="shared" si="157"/>
        <v/>
      </c>
      <c r="FW493" s="251" t="str">
        <f t="shared" si="158"/>
        <v/>
      </c>
      <c r="FX493" s="251" t="str">
        <f t="shared" si="159"/>
        <v/>
      </c>
      <c r="FY493" s="251" t="str">
        <f t="shared" si="160"/>
        <v/>
      </c>
      <c r="FZ493" s="251" t="str">
        <f t="shared" si="161"/>
        <v/>
      </c>
      <c r="GA493" s="251" t="str">
        <f t="shared" si="162"/>
        <v/>
      </c>
      <c r="GB493" s="251" t="str">
        <f t="shared" si="163"/>
        <v/>
      </c>
      <c r="GC493" s="251" t="str">
        <f t="shared" si="164"/>
        <v/>
      </c>
      <c r="GD493" s="251" t="str">
        <f t="shared" si="165"/>
        <v/>
      </c>
      <c r="GE493" s="251" t="str">
        <f t="shared" si="166"/>
        <v/>
      </c>
      <c r="GF493" s="251" t="str">
        <f t="shared" si="167"/>
        <v/>
      </c>
      <c r="GG493" s="251" t="str">
        <f t="shared" si="168"/>
        <v/>
      </c>
      <c r="GH493" s="251" t="str">
        <f t="shared" si="169"/>
        <v/>
      </c>
      <c r="GI493" s="251" t="str">
        <f t="shared" si="170"/>
        <v/>
      </c>
      <c r="GJ493" s="251" t="str">
        <f t="shared" si="171"/>
        <v/>
      </c>
      <c r="GK493" s="251" t="str">
        <f t="shared" si="172"/>
        <v/>
      </c>
      <c r="GL493" s="251" t="str">
        <f t="shared" si="173"/>
        <v/>
      </c>
      <c r="GM493" s="251" t="str">
        <f t="shared" si="174"/>
        <v/>
      </c>
      <c r="GN493" s="251" t="str">
        <f t="shared" si="175"/>
        <v/>
      </c>
      <c r="GO493" s="251" t="str">
        <f t="shared" si="176"/>
        <v/>
      </c>
      <c r="GP493" s="251" t="str">
        <f t="shared" si="177"/>
        <v/>
      </c>
      <c r="GQ493" s="251" t="str">
        <f t="shared" si="178"/>
        <v/>
      </c>
      <c r="GR493" s="251" t="str">
        <f t="shared" si="179"/>
        <v/>
      </c>
      <c r="GS493" s="251" t="str">
        <f t="shared" si="180"/>
        <v/>
      </c>
      <c r="GT493" s="251" t="str">
        <f t="shared" si="181"/>
        <v/>
      </c>
      <c r="GU493" s="251" t="str">
        <f t="shared" si="182"/>
        <v/>
      </c>
      <c r="GV493" s="251" t="str">
        <f t="shared" si="183"/>
        <v/>
      </c>
      <c r="GW493" s="251" t="str">
        <f t="shared" si="184"/>
        <v/>
      </c>
      <c r="GX493" s="251" t="str">
        <f t="shared" si="185"/>
        <v/>
      </c>
      <c r="GY493" s="251" t="str">
        <f t="shared" si="186"/>
        <v/>
      </c>
      <c r="GZ493" s="251" t="str">
        <f t="shared" si="187"/>
        <v/>
      </c>
      <c r="HA493" s="251" t="str">
        <f t="shared" si="188"/>
        <v/>
      </c>
      <c r="HB493" s="251" t="str">
        <f t="shared" si="189"/>
        <v/>
      </c>
      <c r="HC493" s="251" t="str">
        <f t="shared" si="190"/>
        <v/>
      </c>
      <c r="HD493" s="251" t="str">
        <f t="shared" si="191"/>
        <v/>
      </c>
      <c r="HE493" s="251" t="str">
        <f t="shared" si="192"/>
        <v/>
      </c>
      <c r="HF493" s="251" t="str">
        <f t="shared" si="193"/>
        <v/>
      </c>
      <c r="HG493" s="251" t="str">
        <f t="shared" si="194"/>
        <v/>
      </c>
      <c r="HH493" s="251" t="str">
        <f t="shared" si="195"/>
        <v/>
      </c>
      <c r="HI493" s="251" t="str">
        <f t="shared" si="196"/>
        <v/>
      </c>
      <c r="HJ493" s="251" t="str">
        <f t="shared" si="197"/>
        <v/>
      </c>
      <c r="HK493" s="251" t="str">
        <f t="shared" si="198"/>
        <v/>
      </c>
      <c r="HL493" s="251" t="str">
        <f t="shared" si="199"/>
        <v/>
      </c>
      <c r="HM493" s="251" t="str">
        <f t="shared" si="200"/>
        <v/>
      </c>
      <c r="HN493" s="251" t="str">
        <f t="shared" si="201"/>
        <v/>
      </c>
      <c r="HO493" s="251" t="str">
        <f t="shared" si="202"/>
        <v/>
      </c>
      <c r="HP493" s="251" t="str">
        <f t="shared" si="203"/>
        <v/>
      </c>
      <c r="HQ493" s="251" t="str">
        <f t="shared" si="204"/>
        <v/>
      </c>
      <c r="HR493" s="251" t="str">
        <f t="shared" si="205"/>
        <v/>
      </c>
      <c r="HS493" s="251" t="str">
        <f t="shared" si="206"/>
        <v/>
      </c>
      <c r="HT493" s="251" t="str">
        <f t="shared" si="207"/>
        <v/>
      </c>
      <c r="HU493" s="251" t="str">
        <f t="shared" si="208"/>
        <v/>
      </c>
      <c r="HV493" s="251" t="str">
        <f t="shared" si="209"/>
        <v/>
      </c>
      <c r="HW493" s="251" t="str">
        <f t="shared" si="210"/>
        <v/>
      </c>
      <c r="HX493" s="251" t="str">
        <f t="shared" si="211"/>
        <v/>
      </c>
      <c r="HY493" s="251" t="str">
        <f t="shared" si="212"/>
        <v/>
      </c>
      <c r="HZ493" s="251" t="str">
        <f t="shared" si="213"/>
        <v/>
      </c>
      <c r="IA493" s="251" t="str">
        <f t="shared" si="214"/>
        <v/>
      </c>
      <c r="IB493" s="251" t="str">
        <f t="shared" si="215"/>
        <v/>
      </c>
      <c r="IC493" s="251" t="str">
        <f t="shared" si="216"/>
        <v/>
      </c>
      <c r="ID493" s="251" t="str">
        <f t="shared" si="217"/>
        <v/>
      </c>
      <c r="IE493" s="251" t="str">
        <f t="shared" si="218"/>
        <v/>
      </c>
      <c r="IF493" s="251" t="str">
        <f t="shared" si="219"/>
        <v/>
      </c>
      <c r="IG493" s="251" t="str">
        <f t="shared" si="220"/>
        <v/>
      </c>
      <c r="IH493" s="251" t="str">
        <f t="shared" si="221"/>
        <v/>
      </c>
      <c r="II493" s="251" t="str">
        <f t="shared" si="222"/>
        <v/>
      </c>
      <c r="IJ493" s="251" t="str">
        <f t="shared" si="223"/>
        <v/>
      </c>
      <c r="IK493" s="251" t="str">
        <f t="shared" si="224"/>
        <v/>
      </c>
      <c r="IL493" s="251" t="str">
        <f t="shared" si="225"/>
        <v/>
      </c>
      <c r="IM493" s="251" t="str">
        <f t="shared" si="226"/>
        <v/>
      </c>
      <c r="IN493" s="251" t="str">
        <f t="shared" si="227"/>
        <v/>
      </c>
      <c r="IO493" s="251" t="str">
        <f t="shared" si="228"/>
        <v/>
      </c>
      <c r="IP493" s="251" t="str">
        <f t="shared" si="229"/>
        <v/>
      </c>
      <c r="IQ493" s="251" t="str">
        <f t="shared" si="230"/>
        <v/>
      </c>
      <c r="IR493" s="251" t="str">
        <f t="shared" si="231"/>
        <v/>
      </c>
      <c r="IS493" s="251" t="str">
        <f t="shared" si="232"/>
        <v/>
      </c>
      <c r="IT493" s="251" t="str">
        <f t="shared" si="233"/>
        <v/>
      </c>
      <c r="IU493" s="251" t="str">
        <f t="shared" si="234"/>
        <v/>
      </c>
      <c r="IV493" s="251" t="str">
        <f t="shared" si="235"/>
        <v/>
      </c>
      <c r="IW493" s="251" t="str">
        <f t="shared" si="236"/>
        <v/>
      </c>
      <c r="IX493" s="251" t="str">
        <f t="shared" si="237"/>
        <v/>
      </c>
      <c r="IY493" s="251" t="str">
        <f t="shared" si="238"/>
        <v/>
      </c>
      <c r="IZ493" s="251" t="str">
        <f t="shared" si="239"/>
        <v/>
      </c>
      <c r="JA493" s="251" t="str">
        <f t="shared" si="240"/>
        <v/>
      </c>
      <c r="JB493" s="251" t="str">
        <f t="shared" si="241"/>
        <v/>
      </c>
      <c r="JC493" s="251" t="str">
        <f t="shared" si="242"/>
        <v/>
      </c>
      <c r="JD493" s="251" t="str">
        <f t="shared" si="243"/>
        <v/>
      </c>
      <c r="JE493" s="251" t="str">
        <f t="shared" si="244"/>
        <v/>
      </c>
      <c r="JF493" s="251" t="str">
        <f t="shared" si="245"/>
        <v/>
      </c>
      <c r="JG493" s="251" t="str">
        <f t="shared" si="246"/>
        <v/>
      </c>
      <c r="JH493" s="251" t="str">
        <f t="shared" si="247"/>
        <v/>
      </c>
      <c r="JI493" s="1297" t="str">
        <f t="shared" si="248"/>
        <v/>
      </c>
      <c r="JJ493" s="1297" t="str">
        <f t="shared" si="249"/>
        <v/>
      </c>
      <c r="JK493" s="1297" t="str">
        <f t="shared" si="250"/>
        <v/>
      </c>
      <c r="JL493" s="1297" t="str">
        <f t="shared" si="251"/>
        <v/>
      </c>
      <c r="JM493" s="1297" t="str">
        <f t="shared" si="252"/>
        <v/>
      </c>
      <c r="JN493" s="1297" t="str">
        <f t="shared" si="253"/>
        <v/>
      </c>
      <c r="JO493" s="1297" t="str">
        <f t="shared" si="254"/>
        <v/>
      </c>
      <c r="JP493" s="1297" t="str">
        <f t="shared" si="255"/>
        <v/>
      </c>
      <c r="JQ493" s="1297" t="str">
        <f t="shared" si="256"/>
        <v/>
      </c>
      <c r="JR493" s="1297" t="str">
        <f t="shared" si="257"/>
        <v/>
      </c>
      <c r="JS493" s="1297" t="str">
        <f t="shared" si="258"/>
        <v/>
      </c>
      <c r="JT493" s="1297" t="str">
        <f t="shared" si="259"/>
        <v/>
      </c>
      <c r="JU493" s="1297" t="str">
        <f t="shared" si="260"/>
        <v/>
      </c>
      <c r="JV493" s="1297" t="str">
        <f t="shared" si="261"/>
        <v/>
      </c>
      <c r="JW493" s="1297" t="str">
        <f t="shared" si="262"/>
        <v/>
      </c>
      <c r="JX493" s="1297" t="str">
        <f t="shared" si="263"/>
        <v/>
      </c>
      <c r="JY493" s="1297" t="str">
        <f t="shared" si="264"/>
        <v/>
      </c>
      <c r="JZ493" s="1297" t="str">
        <f t="shared" si="265"/>
        <v/>
      </c>
      <c r="KA493" s="1297" t="str">
        <f t="shared" si="266"/>
        <v/>
      </c>
      <c r="KB493" s="1297" t="str">
        <f t="shared" si="267"/>
        <v/>
      </c>
      <c r="KC493" s="1297" t="str">
        <f t="shared" si="268"/>
        <v/>
      </c>
      <c r="KD493" s="1297" t="str">
        <f t="shared" si="269"/>
        <v/>
      </c>
      <c r="KE493" s="1297" t="str">
        <f t="shared" si="270"/>
        <v/>
      </c>
      <c r="KF493" s="1297" t="str">
        <f t="shared" si="271"/>
        <v/>
      </c>
      <c r="KG493" s="1297" t="str">
        <f t="shared" si="272"/>
        <v/>
      </c>
      <c r="KH493" s="1297" t="str">
        <f t="shared" si="273"/>
        <v/>
      </c>
      <c r="KI493" s="1297" t="str">
        <f t="shared" si="274"/>
        <v/>
      </c>
      <c r="KJ493" s="1297" t="str">
        <f t="shared" si="275"/>
        <v/>
      </c>
      <c r="KK493" s="1297" t="str">
        <f t="shared" si="276"/>
        <v/>
      </c>
      <c r="KL493" s="1297" t="str">
        <f t="shared" si="277"/>
        <v/>
      </c>
      <c r="KM493" s="1297" t="str">
        <f t="shared" si="278"/>
        <v/>
      </c>
      <c r="KN493" s="1297" t="str">
        <f t="shared" si="279"/>
        <v/>
      </c>
      <c r="KO493" s="1297" t="str">
        <f t="shared" si="280"/>
        <v/>
      </c>
      <c r="KP493" s="1297" t="str">
        <f t="shared" si="281"/>
        <v/>
      </c>
      <c r="KQ493" s="1297" t="str">
        <f t="shared" si="282"/>
        <v/>
      </c>
      <c r="KR493" s="1297" t="str">
        <f t="shared" si="283"/>
        <v/>
      </c>
      <c r="KS493" s="1297" t="str">
        <f t="shared" si="284"/>
        <v/>
      </c>
      <c r="KT493" s="1297" t="str">
        <f t="shared" si="285"/>
        <v/>
      </c>
      <c r="KU493" s="1297" t="str">
        <f t="shared" si="286"/>
        <v/>
      </c>
      <c r="KV493" s="1297" t="str">
        <f t="shared" si="287"/>
        <v/>
      </c>
      <c r="KW493" s="1297" t="str">
        <f t="shared" si="288"/>
        <v/>
      </c>
      <c r="KX493" s="1297" t="str">
        <f t="shared" si="289"/>
        <v/>
      </c>
      <c r="KY493" s="1297" t="str">
        <f t="shared" si="290"/>
        <v/>
      </c>
      <c r="KZ493" s="1297" t="str">
        <f t="shared" si="291"/>
        <v/>
      </c>
      <c r="LA493" s="1297" t="str">
        <f t="shared" si="292"/>
        <v/>
      </c>
      <c r="LB493" s="1297" t="str">
        <f t="shared" si="293"/>
        <v/>
      </c>
      <c r="LC493" s="1297" t="str">
        <f t="shared" si="294"/>
        <v/>
      </c>
      <c r="LD493" s="1297" t="str">
        <f t="shared" si="295"/>
        <v/>
      </c>
      <c r="LE493" s="1297" t="str">
        <f t="shared" si="296"/>
        <v/>
      </c>
      <c r="LF493" s="1297" t="str">
        <f t="shared" si="297"/>
        <v/>
      </c>
      <c r="LG493" s="1297" t="str">
        <f t="shared" si="298"/>
        <v/>
      </c>
      <c r="LH493" s="1297" t="str">
        <f t="shared" si="299"/>
        <v/>
      </c>
      <c r="LI493" s="1297" t="str">
        <f t="shared" si="300"/>
        <v/>
      </c>
      <c r="LJ493" s="1297" t="str">
        <f t="shared" si="301"/>
        <v/>
      </c>
      <c r="LK493" s="1297" t="str">
        <f t="shared" si="302"/>
        <v/>
      </c>
      <c r="LL493" s="1297" t="str">
        <f t="shared" si="303"/>
        <v/>
      </c>
      <c r="LM493" s="1297" t="str">
        <f t="shared" si="304"/>
        <v/>
      </c>
      <c r="LN493" s="1297" t="str">
        <f t="shared" si="305"/>
        <v/>
      </c>
      <c r="LO493" s="1297" t="str">
        <f t="shared" si="306"/>
        <v/>
      </c>
      <c r="LP493" s="1297" t="str">
        <f t="shared" si="307"/>
        <v/>
      </c>
      <c r="LQ493" s="1297" t="str">
        <f t="shared" si="308"/>
        <v/>
      </c>
      <c r="LR493" s="1297" t="str">
        <f t="shared" si="309"/>
        <v/>
      </c>
      <c r="LS493" s="1297" t="str">
        <f t="shared" si="310"/>
        <v/>
      </c>
      <c r="LT493" s="1297" t="str">
        <f t="shared" si="311"/>
        <v/>
      </c>
      <c r="LU493" s="1297" t="str">
        <f t="shared" si="312"/>
        <v/>
      </c>
      <c r="LV493" s="1297" t="str">
        <f t="shared" si="313"/>
        <v/>
      </c>
      <c r="LW493" s="1297" t="str">
        <f t="shared" si="314"/>
        <v/>
      </c>
      <c r="LX493" s="1297" t="str">
        <f t="shared" si="315"/>
        <v/>
      </c>
      <c r="LY493" s="1297" t="str">
        <f t="shared" si="316"/>
        <v/>
      </c>
      <c r="LZ493" s="1297" t="str">
        <f t="shared" si="317"/>
        <v/>
      </c>
      <c r="MA493" s="1297" t="str">
        <f t="shared" si="318"/>
        <v/>
      </c>
      <c r="MB493" s="1297" t="str">
        <f t="shared" si="319"/>
        <v/>
      </c>
      <c r="MC493" s="1297" t="str">
        <f t="shared" si="320"/>
        <v/>
      </c>
      <c r="MD493" s="1297" t="str">
        <f t="shared" si="321"/>
        <v/>
      </c>
      <c r="ME493" s="1297" t="str">
        <f t="shared" si="322"/>
        <v/>
      </c>
      <c r="MF493" s="1297" t="str">
        <f t="shared" si="323"/>
        <v/>
      </c>
      <c r="MG493" s="1297" t="str">
        <f t="shared" si="324"/>
        <v/>
      </c>
      <c r="MH493" s="1297" t="str">
        <f t="shared" si="325"/>
        <v/>
      </c>
      <c r="MI493" s="1297" t="str">
        <f t="shared" si="326"/>
        <v/>
      </c>
      <c r="MJ493" s="1297" t="str">
        <f t="shared" si="327"/>
        <v/>
      </c>
      <c r="MK493" s="1297" t="str">
        <f t="shared" si="328"/>
        <v/>
      </c>
      <c r="ML493" s="1297" t="str">
        <f t="shared" si="329"/>
        <v/>
      </c>
      <c r="MM493" s="1297" t="str">
        <f t="shared" si="330"/>
        <v/>
      </c>
      <c r="MN493" s="1297" t="str">
        <f t="shared" si="331"/>
        <v/>
      </c>
      <c r="MO493" s="1297" t="str">
        <f t="shared" si="332"/>
        <v/>
      </c>
      <c r="MP493" s="1773" t="str">
        <f t="shared" si="333"/>
        <v/>
      </c>
      <c r="MQ493" s="1773" t="str">
        <f t="shared" si="334"/>
        <v/>
      </c>
      <c r="MR493" s="1773" t="str">
        <f t="shared" si="335"/>
        <v/>
      </c>
      <c r="MS493" s="1773" t="str">
        <f t="shared" si="336"/>
        <v/>
      </c>
      <c r="MT493" s="1773" t="str">
        <f t="shared" si="337"/>
        <v/>
      </c>
      <c r="MU493" s="251" t="str">
        <f t="shared" si="338"/>
        <v/>
      </c>
      <c r="MV493" s="251" t="str">
        <f t="shared" si="339"/>
        <v/>
      </c>
      <c r="MW493" s="251" t="str">
        <f t="shared" si="340"/>
        <v/>
      </c>
      <c r="MX493" s="251" t="str">
        <f t="shared" si="341"/>
        <v/>
      </c>
      <c r="MY493" s="251" t="str">
        <f t="shared" si="342"/>
        <v/>
      </c>
      <c r="MZ493" s="251" t="str">
        <f t="shared" si="343"/>
        <v/>
      </c>
      <c r="NA493" s="251" t="str">
        <f t="shared" si="344"/>
        <v/>
      </c>
      <c r="NB493" s="251" t="str">
        <f t="shared" si="345"/>
        <v/>
      </c>
      <c r="NC493" s="251" t="str">
        <f t="shared" si="346"/>
        <v/>
      </c>
      <c r="ND493" s="251" t="str">
        <f t="shared" si="347"/>
        <v/>
      </c>
      <c r="NE493" s="251" t="str">
        <f t="shared" si="348"/>
        <v/>
      </c>
      <c r="NF493" s="251" t="str">
        <f t="shared" si="349"/>
        <v/>
      </c>
      <c r="NG493" s="251" t="str">
        <f t="shared" si="350"/>
        <v/>
      </c>
      <c r="NH493" s="251" t="str">
        <f t="shared" si="351"/>
        <v/>
      </c>
      <c r="NI493" s="251" t="str">
        <f t="shared" si="352"/>
        <v/>
      </c>
      <c r="NJ493" s="251" t="str">
        <f t="shared" si="353"/>
        <v/>
      </c>
      <c r="NK493" s="251" t="str">
        <f t="shared" si="354"/>
        <v/>
      </c>
      <c r="NL493" s="251" t="str">
        <f t="shared" si="355"/>
        <v/>
      </c>
      <c r="NM493" s="251" t="str">
        <f t="shared" si="356"/>
        <v/>
      </c>
      <c r="NN493" s="251" t="str">
        <f t="shared" si="357"/>
        <v/>
      </c>
      <c r="NO493" s="1185">
        <f t="shared" si="358"/>
        <v>0</v>
      </c>
      <c r="NP493" s="1185">
        <f t="shared" si="359"/>
        <v>0</v>
      </c>
      <c r="NQ493" s="1185">
        <f t="shared" si="360"/>
        <v>0</v>
      </c>
      <c r="NR493" s="1185">
        <f t="shared" si="361"/>
        <v>0</v>
      </c>
      <c r="NS493" s="1185">
        <f t="shared" si="362"/>
        <v>0</v>
      </c>
      <c r="NT493" s="1185">
        <f t="shared" si="368"/>
        <v>0</v>
      </c>
      <c r="NU493" s="1185">
        <f t="shared" si="369"/>
        <v>0</v>
      </c>
      <c r="NV493" s="1185">
        <f t="shared" si="370"/>
        <v>0</v>
      </c>
      <c r="NW493" s="1185">
        <f t="shared" si="371"/>
        <v>0</v>
      </c>
      <c r="NX493" s="1185">
        <f t="shared" si="372"/>
        <v>0</v>
      </c>
      <c r="NY493" s="1185">
        <f t="shared" si="363"/>
        <v>0</v>
      </c>
      <c r="NZ493" s="1185">
        <f t="shared" si="364"/>
        <v>0</v>
      </c>
      <c r="OA493" s="1185">
        <f t="shared" si="365"/>
        <v>0</v>
      </c>
      <c r="OB493" s="1185">
        <f t="shared" si="366"/>
        <v>0</v>
      </c>
      <c r="OC493" s="1185">
        <f t="shared" si="367"/>
        <v>0</v>
      </c>
      <c r="OY493" s="251" t="s">
        <v>1188</v>
      </c>
      <c r="OZ493" s="1296">
        <v>40</v>
      </c>
    </row>
    <row r="494" spans="1:416" ht="12" customHeight="1">
      <c r="A494" s="1979" t="str">
        <f t="shared" si="0"/>
        <v/>
      </c>
      <c r="B494" s="1998">
        <f>'Part V-Revenues &amp; Expenses'!B41</f>
        <v>0</v>
      </c>
      <c r="C494" s="1999">
        <f>'Part V-Revenues &amp; Expenses'!C41</f>
        <v>0</v>
      </c>
      <c r="D494" s="2000">
        <f>'Part V-Revenues &amp; Expenses'!D41</f>
        <v>0</v>
      </c>
      <c r="E494" s="2001">
        <f>'Part V-Revenues &amp; Expenses'!E41</f>
        <v>0</v>
      </c>
      <c r="F494" s="2001">
        <f>'Part V-Revenues &amp; Expenses'!F41</f>
        <v>0</v>
      </c>
      <c r="G494" s="2001">
        <f>'Part V-Revenues &amp; Expenses'!G41</f>
        <v>0</v>
      </c>
      <c r="H494" s="2001">
        <f>'Part V-Revenues &amp; Expenses'!H41</f>
        <v>0</v>
      </c>
      <c r="I494" s="2001">
        <f>'Part V-Revenues &amp; Expenses'!I41</f>
        <v>0</v>
      </c>
      <c r="J494" s="2001">
        <f>'Part V-Revenues &amp; Expenses'!J41</f>
        <v>0</v>
      </c>
      <c r="K494" s="2002">
        <f>'Part V-Revenues &amp; Expenses'!K41</f>
        <v>0</v>
      </c>
      <c r="L494" s="2003">
        <f t="shared" si="1"/>
        <v>0</v>
      </c>
      <c r="M494" s="2003">
        <f t="shared" si="2"/>
        <v>0</v>
      </c>
      <c r="N494" s="1853">
        <f>'Part V-Revenues &amp; Expenses'!N41</f>
        <v>0</v>
      </c>
      <c r="O494" s="899">
        <f>'Part V-Revenues &amp; Expenses'!O41</f>
        <v>0</v>
      </c>
      <c r="P494" s="1853">
        <f>'Part V-Revenues &amp; Expenses'!P41</f>
        <v>0</v>
      </c>
      <c r="Q494" s="1772">
        <f>'Part V-Revenues &amp; Expenses'!Q41</f>
        <v>0</v>
      </c>
      <c r="R494" s="2004"/>
      <c r="S494" s="2005"/>
      <c r="T494" s="1920"/>
      <c r="U494" s="1920"/>
      <c r="V494" s="1920"/>
      <c r="W494" s="1920"/>
      <c r="X494" s="251" t="str">
        <f t="shared" si="3"/>
        <v/>
      </c>
      <c r="Y494" s="251" t="str">
        <f t="shared" si="4"/>
        <v/>
      </c>
      <c r="Z494" s="251" t="str">
        <f t="shared" si="5"/>
        <v/>
      </c>
      <c r="AA494" s="251" t="str">
        <f t="shared" si="6"/>
        <v/>
      </c>
      <c r="AB494" s="251" t="str">
        <f t="shared" si="7"/>
        <v/>
      </c>
      <c r="AC494" s="251" t="str">
        <f t="shared" si="8"/>
        <v/>
      </c>
      <c r="AD494" s="251" t="str">
        <f t="shared" si="9"/>
        <v/>
      </c>
      <c r="AE494" s="251" t="str">
        <f t="shared" si="10"/>
        <v/>
      </c>
      <c r="AF494" s="251" t="str">
        <f t="shared" si="11"/>
        <v/>
      </c>
      <c r="AG494" s="251" t="str">
        <f t="shared" si="12"/>
        <v/>
      </c>
      <c r="AH494" s="251" t="str">
        <f t="shared" si="13"/>
        <v/>
      </c>
      <c r="AI494" s="251" t="str">
        <f t="shared" si="14"/>
        <v/>
      </c>
      <c r="AJ494" s="251" t="str">
        <f t="shared" si="15"/>
        <v/>
      </c>
      <c r="AK494" s="251" t="str">
        <f t="shared" si="16"/>
        <v/>
      </c>
      <c r="AL494" s="251" t="str">
        <f t="shared" si="17"/>
        <v/>
      </c>
      <c r="AM494" s="251" t="str">
        <f t="shared" si="18"/>
        <v/>
      </c>
      <c r="AN494" s="251" t="str">
        <f t="shared" si="19"/>
        <v/>
      </c>
      <c r="AO494" s="251" t="str">
        <f t="shared" si="20"/>
        <v/>
      </c>
      <c r="AP494" s="251" t="str">
        <f t="shared" si="21"/>
        <v/>
      </c>
      <c r="AQ494" s="251" t="str">
        <f t="shared" si="22"/>
        <v/>
      </c>
      <c r="AR494" s="251" t="str">
        <f t="shared" si="23"/>
        <v/>
      </c>
      <c r="AS494" s="251" t="str">
        <f t="shared" si="24"/>
        <v/>
      </c>
      <c r="AT494" s="251" t="str">
        <f t="shared" si="25"/>
        <v/>
      </c>
      <c r="AU494" s="251" t="str">
        <f t="shared" si="26"/>
        <v/>
      </c>
      <c r="AV494" s="251" t="str">
        <f t="shared" si="27"/>
        <v/>
      </c>
      <c r="AW494" s="251" t="str">
        <f t="shared" si="28"/>
        <v/>
      </c>
      <c r="AX494" s="251" t="str">
        <f t="shared" si="29"/>
        <v/>
      </c>
      <c r="AY494" s="251" t="str">
        <f t="shared" si="30"/>
        <v/>
      </c>
      <c r="AZ494" s="251" t="str">
        <f t="shared" si="31"/>
        <v/>
      </c>
      <c r="BA494" s="251" t="str">
        <f t="shared" si="32"/>
        <v/>
      </c>
      <c r="BB494" s="251" t="str">
        <f t="shared" si="33"/>
        <v/>
      </c>
      <c r="BC494" s="251" t="str">
        <f t="shared" si="34"/>
        <v/>
      </c>
      <c r="BD494" s="251" t="str">
        <f t="shared" si="35"/>
        <v/>
      </c>
      <c r="BE494" s="251" t="str">
        <f t="shared" si="36"/>
        <v/>
      </c>
      <c r="BF494" s="251" t="str">
        <f t="shared" si="37"/>
        <v/>
      </c>
      <c r="BG494" s="251" t="str">
        <f t="shared" si="38"/>
        <v/>
      </c>
      <c r="BH494" s="251" t="str">
        <f t="shared" si="39"/>
        <v/>
      </c>
      <c r="BI494" s="251" t="str">
        <f t="shared" si="40"/>
        <v/>
      </c>
      <c r="BJ494" s="251" t="str">
        <f t="shared" si="41"/>
        <v/>
      </c>
      <c r="BK494" s="251" t="str">
        <f t="shared" si="42"/>
        <v/>
      </c>
      <c r="BL494" s="251" t="str">
        <f t="shared" si="43"/>
        <v/>
      </c>
      <c r="BM494" s="251" t="str">
        <f t="shared" si="44"/>
        <v/>
      </c>
      <c r="BN494" s="251" t="str">
        <f t="shared" si="45"/>
        <v/>
      </c>
      <c r="BO494" s="251" t="str">
        <f t="shared" si="46"/>
        <v/>
      </c>
      <c r="BP494" s="251" t="str">
        <f t="shared" si="47"/>
        <v/>
      </c>
      <c r="BQ494" s="251" t="str">
        <f t="shared" si="48"/>
        <v/>
      </c>
      <c r="BR494" s="251" t="str">
        <f t="shared" si="49"/>
        <v/>
      </c>
      <c r="BS494" s="251" t="str">
        <f t="shared" si="50"/>
        <v/>
      </c>
      <c r="BT494" s="251" t="str">
        <f t="shared" si="51"/>
        <v/>
      </c>
      <c r="BU494" s="251" t="str">
        <f t="shared" si="52"/>
        <v/>
      </c>
      <c r="BV494" s="251" t="str">
        <f t="shared" si="53"/>
        <v/>
      </c>
      <c r="BW494" s="251" t="str">
        <f t="shared" si="54"/>
        <v/>
      </c>
      <c r="BX494" s="251" t="str">
        <f t="shared" si="55"/>
        <v/>
      </c>
      <c r="BY494" s="251" t="str">
        <f t="shared" si="56"/>
        <v/>
      </c>
      <c r="BZ494" s="251" t="str">
        <f t="shared" si="57"/>
        <v/>
      </c>
      <c r="CA494" s="251" t="str">
        <f t="shared" si="58"/>
        <v/>
      </c>
      <c r="CB494" s="251" t="str">
        <f t="shared" si="59"/>
        <v/>
      </c>
      <c r="CC494" s="251" t="str">
        <f t="shared" si="60"/>
        <v/>
      </c>
      <c r="CD494" s="251" t="str">
        <f t="shared" si="61"/>
        <v/>
      </c>
      <c r="CE494" s="251" t="str">
        <f t="shared" si="62"/>
        <v/>
      </c>
      <c r="CF494" s="251" t="str">
        <f t="shared" si="63"/>
        <v/>
      </c>
      <c r="CG494" s="251" t="str">
        <f t="shared" si="64"/>
        <v/>
      </c>
      <c r="CH494" s="251" t="str">
        <f t="shared" si="65"/>
        <v/>
      </c>
      <c r="CI494" s="251" t="str">
        <f t="shared" si="66"/>
        <v/>
      </c>
      <c r="CJ494" s="251" t="str">
        <f t="shared" si="67"/>
        <v/>
      </c>
      <c r="CK494" s="251" t="str">
        <f t="shared" si="68"/>
        <v/>
      </c>
      <c r="CL494" s="251" t="str">
        <f t="shared" si="69"/>
        <v/>
      </c>
      <c r="CM494" s="251" t="str">
        <f t="shared" si="70"/>
        <v/>
      </c>
      <c r="CN494" s="251" t="str">
        <f t="shared" si="71"/>
        <v/>
      </c>
      <c r="CO494" s="251" t="str">
        <f t="shared" si="72"/>
        <v/>
      </c>
      <c r="CP494" s="251" t="str">
        <f t="shared" si="73"/>
        <v/>
      </c>
      <c r="CQ494" s="251" t="str">
        <f t="shared" si="74"/>
        <v/>
      </c>
      <c r="CR494" s="251" t="str">
        <f t="shared" si="75"/>
        <v/>
      </c>
      <c r="CS494" s="251" t="str">
        <f t="shared" si="76"/>
        <v/>
      </c>
      <c r="CT494" s="251" t="str">
        <f t="shared" si="77"/>
        <v/>
      </c>
      <c r="CU494" s="251" t="str">
        <f t="shared" si="78"/>
        <v/>
      </c>
      <c r="CV494" s="251" t="str">
        <f t="shared" si="79"/>
        <v/>
      </c>
      <c r="CW494" s="251" t="str">
        <f t="shared" si="80"/>
        <v/>
      </c>
      <c r="CX494" s="251" t="str">
        <f t="shared" si="81"/>
        <v/>
      </c>
      <c r="CY494" s="251" t="str">
        <f t="shared" si="82"/>
        <v/>
      </c>
      <c r="CZ494" s="251" t="str">
        <f t="shared" si="83"/>
        <v/>
      </c>
      <c r="DA494" s="251" t="str">
        <f t="shared" si="84"/>
        <v/>
      </c>
      <c r="DB494" s="251" t="str">
        <f t="shared" si="85"/>
        <v/>
      </c>
      <c r="DC494" s="251" t="str">
        <f t="shared" si="86"/>
        <v/>
      </c>
      <c r="DD494" s="251" t="str">
        <f t="shared" si="87"/>
        <v/>
      </c>
      <c r="DE494" s="251" t="str">
        <f t="shared" si="88"/>
        <v/>
      </c>
      <c r="DF494" s="251" t="str">
        <f t="shared" si="89"/>
        <v/>
      </c>
      <c r="DG494" s="251" t="str">
        <f t="shared" si="90"/>
        <v/>
      </c>
      <c r="DH494" s="251" t="str">
        <f t="shared" si="91"/>
        <v/>
      </c>
      <c r="DI494" s="251" t="str">
        <f t="shared" si="92"/>
        <v/>
      </c>
      <c r="DJ494" s="251" t="str">
        <f t="shared" si="93"/>
        <v/>
      </c>
      <c r="DK494" s="251" t="str">
        <f t="shared" si="94"/>
        <v/>
      </c>
      <c r="DL494" s="251" t="str">
        <f t="shared" si="95"/>
        <v/>
      </c>
      <c r="DM494" s="251" t="str">
        <f t="shared" si="96"/>
        <v/>
      </c>
      <c r="DN494" s="251" t="str">
        <f t="shared" si="97"/>
        <v/>
      </c>
      <c r="DO494" s="251" t="str">
        <f t="shared" si="98"/>
        <v/>
      </c>
      <c r="DP494" s="251" t="str">
        <f t="shared" si="99"/>
        <v/>
      </c>
      <c r="DQ494" s="251" t="str">
        <f t="shared" si="100"/>
        <v/>
      </c>
      <c r="DR494" s="251" t="str">
        <f t="shared" si="101"/>
        <v/>
      </c>
      <c r="DS494" s="251" t="str">
        <f t="shared" si="102"/>
        <v/>
      </c>
      <c r="DT494" s="251" t="str">
        <f t="shared" si="103"/>
        <v/>
      </c>
      <c r="DU494" s="251" t="str">
        <f t="shared" si="104"/>
        <v/>
      </c>
      <c r="DV494" s="251" t="str">
        <f t="shared" si="105"/>
        <v/>
      </c>
      <c r="DW494" s="251" t="str">
        <f t="shared" si="106"/>
        <v/>
      </c>
      <c r="DX494" s="251" t="str">
        <f t="shared" si="107"/>
        <v/>
      </c>
      <c r="DY494" s="251" t="str">
        <f t="shared" si="108"/>
        <v/>
      </c>
      <c r="DZ494" s="251" t="str">
        <f t="shared" si="109"/>
        <v/>
      </c>
      <c r="EA494" s="251" t="str">
        <f t="shared" si="110"/>
        <v/>
      </c>
      <c r="EB494" s="251" t="str">
        <f t="shared" si="111"/>
        <v/>
      </c>
      <c r="EC494" s="251" t="str">
        <f t="shared" si="112"/>
        <v/>
      </c>
      <c r="ED494" s="251" t="str">
        <f t="shared" si="113"/>
        <v/>
      </c>
      <c r="EE494" s="251" t="str">
        <f t="shared" si="114"/>
        <v/>
      </c>
      <c r="EF494" s="251" t="str">
        <f t="shared" si="115"/>
        <v/>
      </c>
      <c r="EG494" s="251" t="str">
        <f t="shared" si="116"/>
        <v/>
      </c>
      <c r="EH494" s="251" t="str">
        <f t="shared" si="117"/>
        <v/>
      </c>
      <c r="EI494" s="251" t="str">
        <f t="shared" si="118"/>
        <v/>
      </c>
      <c r="EJ494" s="251" t="str">
        <f t="shared" si="119"/>
        <v/>
      </c>
      <c r="EK494" s="251" t="str">
        <f t="shared" si="120"/>
        <v/>
      </c>
      <c r="EL494" s="251" t="str">
        <f t="shared" si="121"/>
        <v/>
      </c>
      <c r="EM494" s="251" t="str">
        <f t="shared" si="122"/>
        <v/>
      </c>
      <c r="EN494" s="251" t="str">
        <f t="shared" si="123"/>
        <v/>
      </c>
      <c r="EO494" s="251" t="str">
        <f t="shared" si="124"/>
        <v/>
      </c>
      <c r="EP494" s="251" t="str">
        <f t="shared" si="125"/>
        <v/>
      </c>
      <c r="EQ494" s="251" t="str">
        <f t="shared" si="126"/>
        <v/>
      </c>
      <c r="ER494" s="251" t="str">
        <f t="shared" si="127"/>
        <v/>
      </c>
      <c r="ES494" s="251" t="str">
        <f t="shared" si="128"/>
        <v/>
      </c>
      <c r="ET494" s="251" t="str">
        <f t="shared" si="129"/>
        <v/>
      </c>
      <c r="EU494" s="251" t="str">
        <f t="shared" si="130"/>
        <v/>
      </c>
      <c r="EV494" s="251" t="str">
        <f t="shared" si="131"/>
        <v/>
      </c>
      <c r="EW494" s="251" t="str">
        <f t="shared" si="132"/>
        <v/>
      </c>
      <c r="EX494" s="251" t="str">
        <f t="shared" si="133"/>
        <v/>
      </c>
      <c r="EY494" s="251" t="str">
        <f t="shared" si="134"/>
        <v/>
      </c>
      <c r="EZ494" s="251" t="str">
        <f t="shared" si="135"/>
        <v/>
      </c>
      <c r="FA494" s="251" t="str">
        <f t="shared" si="136"/>
        <v/>
      </c>
      <c r="FB494" s="251" t="str">
        <f t="shared" si="137"/>
        <v/>
      </c>
      <c r="FC494" s="251" t="str">
        <f t="shared" si="138"/>
        <v/>
      </c>
      <c r="FD494" s="251" t="str">
        <f t="shared" si="139"/>
        <v/>
      </c>
      <c r="FE494" s="251" t="str">
        <f t="shared" si="140"/>
        <v/>
      </c>
      <c r="FF494" s="251" t="str">
        <f t="shared" si="141"/>
        <v/>
      </c>
      <c r="FG494" s="251" t="str">
        <f t="shared" si="142"/>
        <v/>
      </c>
      <c r="FH494" s="251" t="str">
        <f t="shared" si="143"/>
        <v/>
      </c>
      <c r="FI494" s="251" t="str">
        <f t="shared" si="144"/>
        <v/>
      </c>
      <c r="FJ494" s="251" t="str">
        <f t="shared" si="145"/>
        <v/>
      </c>
      <c r="FK494" s="251" t="str">
        <f t="shared" si="146"/>
        <v/>
      </c>
      <c r="FL494" s="251" t="str">
        <f t="shared" si="147"/>
        <v/>
      </c>
      <c r="FM494" s="251" t="str">
        <f t="shared" si="148"/>
        <v/>
      </c>
      <c r="FN494" s="251" t="str">
        <f t="shared" si="149"/>
        <v/>
      </c>
      <c r="FO494" s="251" t="str">
        <f t="shared" si="150"/>
        <v/>
      </c>
      <c r="FP494" s="251" t="str">
        <f t="shared" si="151"/>
        <v/>
      </c>
      <c r="FQ494" s="251" t="str">
        <f t="shared" si="152"/>
        <v/>
      </c>
      <c r="FR494" s="251" t="str">
        <f t="shared" si="153"/>
        <v/>
      </c>
      <c r="FS494" s="251" t="str">
        <f t="shared" si="154"/>
        <v/>
      </c>
      <c r="FT494" s="251" t="str">
        <f t="shared" si="155"/>
        <v/>
      </c>
      <c r="FU494" s="251" t="str">
        <f t="shared" si="156"/>
        <v/>
      </c>
      <c r="FV494" s="251" t="str">
        <f t="shared" si="157"/>
        <v/>
      </c>
      <c r="FW494" s="251" t="str">
        <f t="shared" si="158"/>
        <v/>
      </c>
      <c r="FX494" s="251" t="str">
        <f t="shared" si="159"/>
        <v/>
      </c>
      <c r="FY494" s="251" t="str">
        <f t="shared" si="160"/>
        <v/>
      </c>
      <c r="FZ494" s="251" t="str">
        <f t="shared" si="161"/>
        <v/>
      </c>
      <c r="GA494" s="251" t="str">
        <f t="shared" si="162"/>
        <v/>
      </c>
      <c r="GB494" s="251" t="str">
        <f t="shared" si="163"/>
        <v/>
      </c>
      <c r="GC494" s="251" t="str">
        <f t="shared" si="164"/>
        <v/>
      </c>
      <c r="GD494" s="251" t="str">
        <f t="shared" si="165"/>
        <v/>
      </c>
      <c r="GE494" s="251" t="str">
        <f t="shared" si="166"/>
        <v/>
      </c>
      <c r="GF494" s="251" t="str">
        <f t="shared" si="167"/>
        <v/>
      </c>
      <c r="GG494" s="251" t="str">
        <f t="shared" si="168"/>
        <v/>
      </c>
      <c r="GH494" s="251" t="str">
        <f t="shared" si="169"/>
        <v/>
      </c>
      <c r="GI494" s="251" t="str">
        <f t="shared" si="170"/>
        <v/>
      </c>
      <c r="GJ494" s="251" t="str">
        <f t="shared" si="171"/>
        <v/>
      </c>
      <c r="GK494" s="251" t="str">
        <f t="shared" si="172"/>
        <v/>
      </c>
      <c r="GL494" s="251" t="str">
        <f t="shared" si="173"/>
        <v/>
      </c>
      <c r="GM494" s="251" t="str">
        <f t="shared" si="174"/>
        <v/>
      </c>
      <c r="GN494" s="251" t="str">
        <f t="shared" si="175"/>
        <v/>
      </c>
      <c r="GO494" s="251" t="str">
        <f t="shared" si="176"/>
        <v/>
      </c>
      <c r="GP494" s="251" t="str">
        <f t="shared" si="177"/>
        <v/>
      </c>
      <c r="GQ494" s="251" t="str">
        <f t="shared" si="178"/>
        <v/>
      </c>
      <c r="GR494" s="251" t="str">
        <f t="shared" si="179"/>
        <v/>
      </c>
      <c r="GS494" s="251" t="str">
        <f t="shared" si="180"/>
        <v/>
      </c>
      <c r="GT494" s="251" t="str">
        <f t="shared" si="181"/>
        <v/>
      </c>
      <c r="GU494" s="251" t="str">
        <f t="shared" si="182"/>
        <v/>
      </c>
      <c r="GV494" s="251" t="str">
        <f t="shared" si="183"/>
        <v/>
      </c>
      <c r="GW494" s="251" t="str">
        <f t="shared" si="184"/>
        <v/>
      </c>
      <c r="GX494" s="251" t="str">
        <f t="shared" si="185"/>
        <v/>
      </c>
      <c r="GY494" s="251" t="str">
        <f t="shared" si="186"/>
        <v/>
      </c>
      <c r="GZ494" s="251" t="str">
        <f t="shared" si="187"/>
        <v/>
      </c>
      <c r="HA494" s="251" t="str">
        <f t="shared" si="188"/>
        <v/>
      </c>
      <c r="HB494" s="251" t="str">
        <f t="shared" si="189"/>
        <v/>
      </c>
      <c r="HC494" s="251" t="str">
        <f t="shared" si="190"/>
        <v/>
      </c>
      <c r="HD494" s="251" t="str">
        <f t="shared" si="191"/>
        <v/>
      </c>
      <c r="HE494" s="251" t="str">
        <f t="shared" si="192"/>
        <v/>
      </c>
      <c r="HF494" s="251" t="str">
        <f t="shared" si="193"/>
        <v/>
      </c>
      <c r="HG494" s="251" t="str">
        <f t="shared" si="194"/>
        <v/>
      </c>
      <c r="HH494" s="251" t="str">
        <f t="shared" si="195"/>
        <v/>
      </c>
      <c r="HI494" s="251" t="str">
        <f t="shared" si="196"/>
        <v/>
      </c>
      <c r="HJ494" s="251" t="str">
        <f t="shared" si="197"/>
        <v/>
      </c>
      <c r="HK494" s="251" t="str">
        <f t="shared" si="198"/>
        <v/>
      </c>
      <c r="HL494" s="251" t="str">
        <f t="shared" si="199"/>
        <v/>
      </c>
      <c r="HM494" s="251" t="str">
        <f t="shared" si="200"/>
        <v/>
      </c>
      <c r="HN494" s="251" t="str">
        <f t="shared" si="201"/>
        <v/>
      </c>
      <c r="HO494" s="251" t="str">
        <f t="shared" si="202"/>
        <v/>
      </c>
      <c r="HP494" s="251" t="str">
        <f t="shared" si="203"/>
        <v/>
      </c>
      <c r="HQ494" s="251" t="str">
        <f t="shared" si="204"/>
        <v/>
      </c>
      <c r="HR494" s="251" t="str">
        <f t="shared" si="205"/>
        <v/>
      </c>
      <c r="HS494" s="251" t="str">
        <f t="shared" si="206"/>
        <v/>
      </c>
      <c r="HT494" s="251" t="str">
        <f t="shared" si="207"/>
        <v/>
      </c>
      <c r="HU494" s="251" t="str">
        <f t="shared" si="208"/>
        <v/>
      </c>
      <c r="HV494" s="251" t="str">
        <f t="shared" si="209"/>
        <v/>
      </c>
      <c r="HW494" s="251" t="str">
        <f t="shared" si="210"/>
        <v/>
      </c>
      <c r="HX494" s="251" t="str">
        <f t="shared" si="211"/>
        <v/>
      </c>
      <c r="HY494" s="251" t="str">
        <f t="shared" si="212"/>
        <v/>
      </c>
      <c r="HZ494" s="251" t="str">
        <f t="shared" si="213"/>
        <v/>
      </c>
      <c r="IA494" s="251" t="str">
        <f t="shared" si="214"/>
        <v/>
      </c>
      <c r="IB494" s="251" t="str">
        <f t="shared" si="215"/>
        <v/>
      </c>
      <c r="IC494" s="251" t="str">
        <f t="shared" si="216"/>
        <v/>
      </c>
      <c r="ID494" s="251" t="str">
        <f t="shared" si="217"/>
        <v/>
      </c>
      <c r="IE494" s="251" t="str">
        <f t="shared" si="218"/>
        <v/>
      </c>
      <c r="IF494" s="251" t="str">
        <f t="shared" si="219"/>
        <v/>
      </c>
      <c r="IG494" s="251" t="str">
        <f t="shared" si="220"/>
        <v/>
      </c>
      <c r="IH494" s="251" t="str">
        <f t="shared" si="221"/>
        <v/>
      </c>
      <c r="II494" s="251" t="str">
        <f t="shared" si="222"/>
        <v/>
      </c>
      <c r="IJ494" s="251" t="str">
        <f t="shared" si="223"/>
        <v/>
      </c>
      <c r="IK494" s="251" t="str">
        <f t="shared" si="224"/>
        <v/>
      </c>
      <c r="IL494" s="251" t="str">
        <f t="shared" si="225"/>
        <v/>
      </c>
      <c r="IM494" s="251" t="str">
        <f t="shared" si="226"/>
        <v/>
      </c>
      <c r="IN494" s="251" t="str">
        <f t="shared" si="227"/>
        <v/>
      </c>
      <c r="IO494" s="251" t="str">
        <f t="shared" si="228"/>
        <v/>
      </c>
      <c r="IP494" s="251" t="str">
        <f t="shared" si="229"/>
        <v/>
      </c>
      <c r="IQ494" s="251" t="str">
        <f t="shared" si="230"/>
        <v/>
      </c>
      <c r="IR494" s="251" t="str">
        <f t="shared" si="231"/>
        <v/>
      </c>
      <c r="IS494" s="251" t="str">
        <f t="shared" si="232"/>
        <v/>
      </c>
      <c r="IT494" s="251" t="str">
        <f t="shared" si="233"/>
        <v/>
      </c>
      <c r="IU494" s="251" t="str">
        <f t="shared" si="234"/>
        <v/>
      </c>
      <c r="IV494" s="251" t="str">
        <f t="shared" si="235"/>
        <v/>
      </c>
      <c r="IW494" s="251" t="str">
        <f t="shared" si="236"/>
        <v/>
      </c>
      <c r="IX494" s="251" t="str">
        <f t="shared" si="237"/>
        <v/>
      </c>
      <c r="IY494" s="251" t="str">
        <f t="shared" si="238"/>
        <v/>
      </c>
      <c r="IZ494" s="251" t="str">
        <f t="shared" si="239"/>
        <v/>
      </c>
      <c r="JA494" s="251" t="str">
        <f t="shared" si="240"/>
        <v/>
      </c>
      <c r="JB494" s="251" t="str">
        <f t="shared" si="241"/>
        <v/>
      </c>
      <c r="JC494" s="251" t="str">
        <f t="shared" si="242"/>
        <v/>
      </c>
      <c r="JD494" s="251" t="str">
        <f t="shared" si="243"/>
        <v/>
      </c>
      <c r="JE494" s="251" t="str">
        <f t="shared" si="244"/>
        <v/>
      </c>
      <c r="JF494" s="251" t="str">
        <f t="shared" si="245"/>
        <v/>
      </c>
      <c r="JG494" s="251" t="str">
        <f t="shared" si="246"/>
        <v/>
      </c>
      <c r="JH494" s="251" t="str">
        <f t="shared" si="247"/>
        <v/>
      </c>
      <c r="JI494" s="1297" t="str">
        <f t="shared" si="248"/>
        <v/>
      </c>
      <c r="JJ494" s="1297" t="str">
        <f t="shared" si="249"/>
        <v/>
      </c>
      <c r="JK494" s="1297" t="str">
        <f t="shared" si="250"/>
        <v/>
      </c>
      <c r="JL494" s="1297" t="str">
        <f t="shared" si="251"/>
        <v/>
      </c>
      <c r="JM494" s="1297" t="str">
        <f t="shared" si="252"/>
        <v/>
      </c>
      <c r="JN494" s="1297" t="str">
        <f t="shared" si="253"/>
        <v/>
      </c>
      <c r="JO494" s="1297" t="str">
        <f t="shared" si="254"/>
        <v/>
      </c>
      <c r="JP494" s="1297" t="str">
        <f t="shared" si="255"/>
        <v/>
      </c>
      <c r="JQ494" s="1297" t="str">
        <f t="shared" si="256"/>
        <v/>
      </c>
      <c r="JR494" s="1297" t="str">
        <f t="shared" si="257"/>
        <v/>
      </c>
      <c r="JS494" s="1297" t="str">
        <f t="shared" si="258"/>
        <v/>
      </c>
      <c r="JT494" s="1297" t="str">
        <f t="shared" si="259"/>
        <v/>
      </c>
      <c r="JU494" s="1297" t="str">
        <f t="shared" si="260"/>
        <v/>
      </c>
      <c r="JV494" s="1297" t="str">
        <f t="shared" si="261"/>
        <v/>
      </c>
      <c r="JW494" s="1297" t="str">
        <f t="shared" si="262"/>
        <v/>
      </c>
      <c r="JX494" s="1297" t="str">
        <f t="shared" si="263"/>
        <v/>
      </c>
      <c r="JY494" s="1297" t="str">
        <f t="shared" si="264"/>
        <v/>
      </c>
      <c r="JZ494" s="1297" t="str">
        <f t="shared" si="265"/>
        <v/>
      </c>
      <c r="KA494" s="1297" t="str">
        <f t="shared" si="266"/>
        <v/>
      </c>
      <c r="KB494" s="1297" t="str">
        <f t="shared" si="267"/>
        <v/>
      </c>
      <c r="KC494" s="1297" t="str">
        <f t="shared" si="268"/>
        <v/>
      </c>
      <c r="KD494" s="1297" t="str">
        <f t="shared" si="269"/>
        <v/>
      </c>
      <c r="KE494" s="1297" t="str">
        <f t="shared" si="270"/>
        <v/>
      </c>
      <c r="KF494" s="1297" t="str">
        <f t="shared" si="271"/>
        <v/>
      </c>
      <c r="KG494" s="1297" t="str">
        <f t="shared" si="272"/>
        <v/>
      </c>
      <c r="KH494" s="1297" t="str">
        <f t="shared" si="273"/>
        <v/>
      </c>
      <c r="KI494" s="1297" t="str">
        <f t="shared" si="274"/>
        <v/>
      </c>
      <c r="KJ494" s="1297" t="str">
        <f t="shared" si="275"/>
        <v/>
      </c>
      <c r="KK494" s="1297" t="str">
        <f t="shared" si="276"/>
        <v/>
      </c>
      <c r="KL494" s="1297" t="str">
        <f t="shared" si="277"/>
        <v/>
      </c>
      <c r="KM494" s="1297" t="str">
        <f t="shared" si="278"/>
        <v/>
      </c>
      <c r="KN494" s="1297" t="str">
        <f t="shared" si="279"/>
        <v/>
      </c>
      <c r="KO494" s="1297" t="str">
        <f t="shared" si="280"/>
        <v/>
      </c>
      <c r="KP494" s="1297" t="str">
        <f t="shared" si="281"/>
        <v/>
      </c>
      <c r="KQ494" s="1297" t="str">
        <f t="shared" si="282"/>
        <v/>
      </c>
      <c r="KR494" s="1297" t="str">
        <f t="shared" si="283"/>
        <v/>
      </c>
      <c r="KS494" s="1297" t="str">
        <f t="shared" si="284"/>
        <v/>
      </c>
      <c r="KT494" s="1297" t="str">
        <f t="shared" si="285"/>
        <v/>
      </c>
      <c r="KU494" s="1297" t="str">
        <f t="shared" si="286"/>
        <v/>
      </c>
      <c r="KV494" s="1297" t="str">
        <f t="shared" si="287"/>
        <v/>
      </c>
      <c r="KW494" s="1297" t="str">
        <f t="shared" si="288"/>
        <v/>
      </c>
      <c r="KX494" s="1297" t="str">
        <f t="shared" si="289"/>
        <v/>
      </c>
      <c r="KY494" s="1297" t="str">
        <f t="shared" si="290"/>
        <v/>
      </c>
      <c r="KZ494" s="1297" t="str">
        <f t="shared" si="291"/>
        <v/>
      </c>
      <c r="LA494" s="1297" t="str">
        <f t="shared" si="292"/>
        <v/>
      </c>
      <c r="LB494" s="1297" t="str">
        <f t="shared" si="293"/>
        <v/>
      </c>
      <c r="LC494" s="1297" t="str">
        <f t="shared" si="294"/>
        <v/>
      </c>
      <c r="LD494" s="1297" t="str">
        <f t="shared" si="295"/>
        <v/>
      </c>
      <c r="LE494" s="1297" t="str">
        <f t="shared" si="296"/>
        <v/>
      </c>
      <c r="LF494" s="1297" t="str">
        <f t="shared" si="297"/>
        <v/>
      </c>
      <c r="LG494" s="1297" t="str">
        <f t="shared" si="298"/>
        <v/>
      </c>
      <c r="LH494" s="1297" t="str">
        <f t="shared" si="299"/>
        <v/>
      </c>
      <c r="LI494" s="1297" t="str">
        <f t="shared" si="300"/>
        <v/>
      </c>
      <c r="LJ494" s="1297" t="str">
        <f t="shared" si="301"/>
        <v/>
      </c>
      <c r="LK494" s="1297" t="str">
        <f t="shared" si="302"/>
        <v/>
      </c>
      <c r="LL494" s="1297" t="str">
        <f t="shared" si="303"/>
        <v/>
      </c>
      <c r="LM494" s="1297" t="str">
        <f t="shared" si="304"/>
        <v/>
      </c>
      <c r="LN494" s="1297" t="str">
        <f t="shared" si="305"/>
        <v/>
      </c>
      <c r="LO494" s="1297" t="str">
        <f t="shared" si="306"/>
        <v/>
      </c>
      <c r="LP494" s="1297" t="str">
        <f t="shared" si="307"/>
        <v/>
      </c>
      <c r="LQ494" s="1297" t="str">
        <f t="shared" si="308"/>
        <v/>
      </c>
      <c r="LR494" s="1297" t="str">
        <f t="shared" si="309"/>
        <v/>
      </c>
      <c r="LS494" s="1297" t="str">
        <f t="shared" si="310"/>
        <v/>
      </c>
      <c r="LT494" s="1297" t="str">
        <f t="shared" si="311"/>
        <v/>
      </c>
      <c r="LU494" s="1297" t="str">
        <f t="shared" si="312"/>
        <v/>
      </c>
      <c r="LV494" s="1297" t="str">
        <f t="shared" si="313"/>
        <v/>
      </c>
      <c r="LW494" s="1297" t="str">
        <f t="shared" si="314"/>
        <v/>
      </c>
      <c r="LX494" s="1297" t="str">
        <f t="shared" si="315"/>
        <v/>
      </c>
      <c r="LY494" s="1297" t="str">
        <f t="shared" si="316"/>
        <v/>
      </c>
      <c r="LZ494" s="1297" t="str">
        <f t="shared" si="317"/>
        <v/>
      </c>
      <c r="MA494" s="1297" t="str">
        <f t="shared" si="318"/>
        <v/>
      </c>
      <c r="MB494" s="1297" t="str">
        <f t="shared" si="319"/>
        <v/>
      </c>
      <c r="MC494" s="1297" t="str">
        <f t="shared" si="320"/>
        <v/>
      </c>
      <c r="MD494" s="1297" t="str">
        <f t="shared" si="321"/>
        <v/>
      </c>
      <c r="ME494" s="1297" t="str">
        <f t="shared" si="322"/>
        <v/>
      </c>
      <c r="MF494" s="1297" t="str">
        <f t="shared" si="323"/>
        <v/>
      </c>
      <c r="MG494" s="1297" t="str">
        <f t="shared" si="324"/>
        <v/>
      </c>
      <c r="MH494" s="1297" t="str">
        <f t="shared" si="325"/>
        <v/>
      </c>
      <c r="MI494" s="1297" t="str">
        <f t="shared" si="326"/>
        <v/>
      </c>
      <c r="MJ494" s="1297" t="str">
        <f t="shared" si="327"/>
        <v/>
      </c>
      <c r="MK494" s="1297" t="str">
        <f t="shared" si="328"/>
        <v/>
      </c>
      <c r="ML494" s="1297" t="str">
        <f t="shared" si="329"/>
        <v/>
      </c>
      <c r="MM494" s="1297" t="str">
        <f t="shared" si="330"/>
        <v/>
      </c>
      <c r="MN494" s="1297" t="str">
        <f t="shared" si="331"/>
        <v/>
      </c>
      <c r="MO494" s="1297" t="str">
        <f t="shared" si="332"/>
        <v/>
      </c>
      <c r="MP494" s="1773" t="str">
        <f t="shared" si="333"/>
        <v/>
      </c>
      <c r="MQ494" s="1773" t="str">
        <f t="shared" si="334"/>
        <v/>
      </c>
      <c r="MR494" s="1773" t="str">
        <f t="shared" si="335"/>
        <v/>
      </c>
      <c r="MS494" s="1773" t="str">
        <f t="shared" si="336"/>
        <v/>
      </c>
      <c r="MT494" s="1773" t="str">
        <f t="shared" si="337"/>
        <v/>
      </c>
      <c r="MU494" s="251" t="str">
        <f t="shared" si="338"/>
        <v/>
      </c>
      <c r="MV494" s="251" t="str">
        <f t="shared" si="339"/>
        <v/>
      </c>
      <c r="MW494" s="251" t="str">
        <f t="shared" si="340"/>
        <v/>
      </c>
      <c r="MX494" s="251" t="str">
        <f t="shared" si="341"/>
        <v/>
      </c>
      <c r="MY494" s="251" t="str">
        <f t="shared" si="342"/>
        <v/>
      </c>
      <c r="MZ494" s="251" t="str">
        <f t="shared" si="343"/>
        <v/>
      </c>
      <c r="NA494" s="251" t="str">
        <f t="shared" si="344"/>
        <v/>
      </c>
      <c r="NB494" s="251" t="str">
        <f t="shared" si="345"/>
        <v/>
      </c>
      <c r="NC494" s="251" t="str">
        <f t="shared" si="346"/>
        <v/>
      </c>
      <c r="ND494" s="251" t="str">
        <f t="shared" si="347"/>
        <v/>
      </c>
      <c r="NE494" s="251" t="str">
        <f t="shared" si="348"/>
        <v/>
      </c>
      <c r="NF494" s="251" t="str">
        <f t="shared" si="349"/>
        <v/>
      </c>
      <c r="NG494" s="251" t="str">
        <f t="shared" si="350"/>
        <v/>
      </c>
      <c r="NH494" s="251" t="str">
        <f t="shared" si="351"/>
        <v/>
      </c>
      <c r="NI494" s="251" t="str">
        <f t="shared" si="352"/>
        <v/>
      </c>
      <c r="NJ494" s="251" t="str">
        <f t="shared" si="353"/>
        <v/>
      </c>
      <c r="NK494" s="251" t="str">
        <f t="shared" si="354"/>
        <v/>
      </c>
      <c r="NL494" s="251" t="str">
        <f t="shared" si="355"/>
        <v/>
      </c>
      <c r="NM494" s="251" t="str">
        <f t="shared" si="356"/>
        <v/>
      </c>
      <c r="NN494" s="251" t="str">
        <f t="shared" si="357"/>
        <v/>
      </c>
      <c r="NO494" s="1185">
        <f t="shared" si="358"/>
        <v>0</v>
      </c>
      <c r="NP494" s="1185">
        <f t="shared" si="359"/>
        <v>0</v>
      </c>
      <c r="NQ494" s="1185">
        <f t="shared" si="360"/>
        <v>0</v>
      </c>
      <c r="NR494" s="1185">
        <f t="shared" si="361"/>
        <v>0</v>
      </c>
      <c r="NS494" s="1185">
        <f t="shared" si="362"/>
        <v>0</v>
      </c>
      <c r="NT494" s="1185">
        <f t="shared" si="368"/>
        <v>0</v>
      </c>
      <c r="NU494" s="1185">
        <f t="shared" si="369"/>
        <v>0</v>
      </c>
      <c r="NV494" s="1185">
        <f t="shared" si="370"/>
        <v>0</v>
      </c>
      <c r="NW494" s="1185">
        <f t="shared" si="371"/>
        <v>0</v>
      </c>
      <c r="NX494" s="1185">
        <f t="shared" si="372"/>
        <v>0</v>
      </c>
      <c r="NY494" s="1185">
        <f t="shared" si="363"/>
        <v>0</v>
      </c>
      <c r="NZ494" s="1185">
        <f t="shared" si="364"/>
        <v>0</v>
      </c>
      <c r="OA494" s="1185">
        <f t="shared" si="365"/>
        <v>0</v>
      </c>
      <c r="OB494" s="1185">
        <f t="shared" si="366"/>
        <v>0</v>
      </c>
      <c r="OC494" s="1185">
        <f t="shared" si="367"/>
        <v>0</v>
      </c>
      <c r="OY494" s="251" t="s">
        <v>1189</v>
      </c>
      <c r="OZ494" s="1296">
        <v>41</v>
      </c>
    </row>
    <row r="495" spans="1:416" ht="12" customHeight="1">
      <c r="A495" s="1979" t="str">
        <f t="shared" si="0"/>
        <v/>
      </c>
      <c r="B495" s="1998">
        <f>'Part V-Revenues &amp; Expenses'!B42</f>
        <v>0</v>
      </c>
      <c r="C495" s="1999">
        <f>'Part V-Revenues &amp; Expenses'!C42</f>
        <v>0</v>
      </c>
      <c r="D495" s="2000">
        <f>'Part V-Revenues &amp; Expenses'!D42</f>
        <v>0</v>
      </c>
      <c r="E495" s="2001">
        <f>'Part V-Revenues &amp; Expenses'!E42</f>
        <v>0</v>
      </c>
      <c r="F495" s="2001">
        <f>'Part V-Revenues &amp; Expenses'!F42</f>
        <v>0</v>
      </c>
      <c r="G495" s="2001">
        <f>'Part V-Revenues &amp; Expenses'!G42</f>
        <v>0</v>
      </c>
      <c r="H495" s="2001">
        <f>'Part V-Revenues &amp; Expenses'!H42</f>
        <v>0</v>
      </c>
      <c r="I495" s="2001">
        <f>'Part V-Revenues &amp; Expenses'!I42</f>
        <v>0</v>
      </c>
      <c r="J495" s="2001">
        <f>'Part V-Revenues &amp; Expenses'!J42</f>
        <v>0</v>
      </c>
      <c r="K495" s="2002">
        <f>'Part V-Revenues &amp; Expenses'!K42</f>
        <v>0</v>
      </c>
      <c r="L495" s="2003">
        <f t="shared" si="1"/>
        <v>0</v>
      </c>
      <c r="M495" s="2003">
        <f t="shared" si="2"/>
        <v>0</v>
      </c>
      <c r="N495" s="1853">
        <f>'Part V-Revenues &amp; Expenses'!N42</f>
        <v>0</v>
      </c>
      <c r="O495" s="899">
        <f>'Part V-Revenues &amp; Expenses'!O42</f>
        <v>0</v>
      </c>
      <c r="P495" s="1853">
        <f>'Part V-Revenues &amp; Expenses'!P42</f>
        <v>0</v>
      </c>
      <c r="Q495" s="1772">
        <f>'Part V-Revenues &amp; Expenses'!Q42</f>
        <v>0</v>
      </c>
      <c r="R495" s="2004"/>
      <c r="S495" s="2005"/>
      <c r="T495" s="1920"/>
      <c r="U495" s="1920"/>
      <c r="V495" s="1920"/>
      <c r="W495" s="1920"/>
      <c r="X495" s="251" t="str">
        <f t="shared" si="3"/>
        <v/>
      </c>
      <c r="Y495" s="251" t="str">
        <f t="shared" si="4"/>
        <v/>
      </c>
      <c r="Z495" s="251" t="str">
        <f t="shared" si="5"/>
        <v/>
      </c>
      <c r="AA495" s="251" t="str">
        <f t="shared" si="6"/>
        <v/>
      </c>
      <c r="AB495" s="251" t="str">
        <f t="shared" si="7"/>
        <v/>
      </c>
      <c r="AC495" s="251" t="str">
        <f t="shared" si="8"/>
        <v/>
      </c>
      <c r="AD495" s="251" t="str">
        <f t="shared" si="9"/>
        <v/>
      </c>
      <c r="AE495" s="251" t="str">
        <f t="shared" si="10"/>
        <v/>
      </c>
      <c r="AF495" s="251" t="str">
        <f t="shared" si="11"/>
        <v/>
      </c>
      <c r="AG495" s="251" t="str">
        <f t="shared" si="12"/>
        <v/>
      </c>
      <c r="AH495" s="251" t="str">
        <f t="shared" si="13"/>
        <v/>
      </c>
      <c r="AI495" s="251" t="str">
        <f t="shared" si="14"/>
        <v/>
      </c>
      <c r="AJ495" s="251" t="str">
        <f t="shared" si="15"/>
        <v/>
      </c>
      <c r="AK495" s="251" t="str">
        <f t="shared" si="16"/>
        <v/>
      </c>
      <c r="AL495" s="251" t="str">
        <f t="shared" si="17"/>
        <v/>
      </c>
      <c r="AM495" s="251" t="str">
        <f t="shared" si="18"/>
        <v/>
      </c>
      <c r="AN495" s="251" t="str">
        <f t="shared" si="19"/>
        <v/>
      </c>
      <c r="AO495" s="251" t="str">
        <f t="shared" si="20"/>
        <v/>
      </c>
      <c r="AP495" s="251" t="str">
        <f t="shared" si="21"/>
        <v/>
      </c>
      <c r="AQ495" s="251" t="str">
        <f t="shared" si="22"/>
        <v/>
      </c>
      <c r="AR495" s="251" t="str">
        <f t="shared" si="23"/>
        <v/>
      </c>
      <c r="AS495" s="251" t="str">
        <f t="shared" si="24"/>
        <v/>
      </c>
      <c r="AT495" s="251" t="str">
        <f t="shared" si="25"/>
        <v/>
      </c>
      <c r="AU495" s="251" t="str">
        <f t="shared" si="26"/>
        <v/>
      </c>
      <c r="AV495" s="251" t="str">
        <f t="shared" si="27"/>
        <v/>
      </c>
      <c r="AW495" s="251" t="str">
        <f t="shared" si="28"/>
        <v/>
      </c>
      <c r="AX495" s="251" t="str">
        <f t="shared" si="29"/>
        <v/>
      </c>
      <c r="AY495" s="251" t="str">
        <f t="shared" si="30"/>
        <v/>
      </c>
      <c r="AZ495" s="251" t="str">
        <f t="shared" si="31"/>
        <v/>
      </c>
      <c r="BA495" s="251" t="str">
        <f t="shared" si="32"/>
        <v/>
      </c>
      <c r="BB495" s="251" t="str">
        <f t="shared" si="33"/>
        <v/>
      </c>
      <c r="BC495" s="251" t="str">
        <f t="shared" si="34"/>
        <v/>
      </c>
      <c r="BD495" s="251" t="str">
        <f t="shared" si="35"/>
        <v/>
      </c>
      <c r="BE495" s="251" t="str">
        <f t="shared" si="36"/>
        <v/>
      </c>
      <c r="BF495" s="251" t="str">
        <f t="shared" si="37"/>
        <v/>
      </c>
      <c r="BG495" s="251" t="str">
        <f t="shared" si="38"/>
        <v/>
      </c>
      <c r="BH495" s="251" t="str">
        <f t="shared" si="39"/>
        <v/>
      </c>
      <c r="BI495" s="251" t="str">
        <f t="shared" si="40"/>
        <v/>
      </c>
      <c r="BJ495" s="251" t="str">
        <f t="shared" si="41"/>
        <v/>
      </c>
      <c r="BK495" s="251" t="str">
        <f t="shared" si="42"/>
        <v/>
      </c>
      <c r="BL495" s="251" t="str">
        <f t="shared" si="43"/>
        <v/>
      </c>
      <c r="BM495" s="251" t="str">
        <f t="shared" si="44"/>
        <v/>
      </c>
      <c r="BN495" s="251" t="str">
        <f t="shared" si="45"/>
        <v/>
      </c>
      <c r="BO495" s="251" t="str">
        <f t="shared" si="46"/>
        <v/>
      </c>
      <c r="BP495" s="251" t="str">
        <f t="shared" si="47"/>
        <v/>
      </c>
      <c r="BQ495" s="251" t="str">
        <f t="shared" si="48"/>
        <v/>
      </c>
      <c r="BR495" s="251" t="str">
        <f t="shared" si="49"/>
        <v/>
      </c>
      <c r="BS495" s="251" t="str">
        <f t="shared" si="50"/>
        <v/>
      </c>
      <c r="BT495" s="251" t="str">
        <f t="shared" si="51"/>
        <v/>
      </c>
      <c r="BU495" s="251" t="str">
        <f t="shared" si="52"/>
        <v/>
      </c>
      <c r="BV495" s="251" t="str">
        <f t="shared" si="53"/>
        <v/>
      </c>
      <c r="BW495" s="251" t="str">
        <f t="shared" si="54"/>
        <v/>
      </c>
      <c r="BX495" s="251" t="str">
        <f t="shared" si="55"/>
        <v/>
      </c>
      <c r="BY495" s="251" t="str">
        <f t="shared" si="56"/>
        <v/>
      </c>
      <c r="BZ495" s="251" t="str">
        <f t="shared" si="57"/>
        <v/>
      </c>
      <c r="CA495" s="251" t="str">
        <f t="shared" si="58"/>
        <v/>
      </c>
      <c r="CB495" s="251" t="str">
        <f t="shared" si="59"/>
        <v/>
      </c>
      <c r="CC495" s="251" t="str">
        <f t="shared" si="60"/>
        <v/>
      </c>
      <c r="CD495" s="251" t="str">
        <f t="shared" si="61"/>
        <v/>
      </c>
      <c r="CE495" s="251" t="str">
        <f t="shared" si="62"/>
        <v/>
      </c>
      <c r="CF495" s="251" t="str">
        <f t="shared" si="63"/>
        <v/>
      </c>
      <c r="CG495" s="251" t="str">
        <f t="shared" si="64"/>
        <v/>
      </c>
      <c r="CH495" s="251" t="str">
        <f t="shared" si="65"/>
        <v/>
      </c>
      <c r="CI495" s="251" t="str">
        <f t="shared" si="66"/>
        <v/>
      </c>
      <c r="CJ495" s="251" t="str">
        <f t="shared" si="67"/>
        <v/>
      </c>
      <c r="CK495" s="251" t="str">
        <f t="shared" si="68"/>
        <v/>
      </c>
      <c r="CL495" s="251" t="str">
        <f t="shared" si="69"/>
        <v/>
      </c>
      <c r="CM495" s="251" t="str">
        <f t="shared" si="70"/>
        <v/>
      </c>
      <c r="CN495" s="251" t="str">
        <f t="shared" si="71"/>
        <v/>
      </c>
      <c r="CO495" s="251" t="str">
        <f t="shared" si="72"/>
        <v/>
      </c>
      <c r="CP495" s="251" t="str">
        <f t="shared" si="73"/>
        <v/>
      </c>
      <c r="CQ495" s="251" t="str">
        <f t="shared" si="74"/>
        <v/>
      </c>
      <c r="CR495" s="251" t="str">
        <f t="shared" si="75"/>
        <v/>
      </c>
      <c r="CS495" s="251" t="str">
        <f t="shared" si="76"/>
        <v/>
      </c>
      <c r="CT495" s="251" t="str">
        <f t="shared" si="77"/>
        <v/>
      </c>
      <c r="CU495" s="251" t="str">
        <f t="shared" si="78"/>
        <v/>
      </c>
      <c r="CV495" s="251" t="str">
        <f t="shared" si="79"/>
        <v/>
      </c>
      <c r="CW495" s="251" t="str">
        <f t="shared" si="80"/>
        <v/>
      </c>
      <c r="CX495" s="251" t="str">
        <f t="shared" si="81"/>
        <v/>
      </c>
      <c r="CY495" s="251" t="str">
        <f t="shared" si="82"/>
        <v/>
      </c>
      <c r="CZ495" s="251" t="str">
        <f t="shared" si="83"/>
        <v/>
      </c>
      <c r="DA495" s="251" t="str">
        <f t="shared" si="84"/>
        <v/>
      </c>
      <c r="DB495" s="251" t="str">
        <f t="shared" si="85"/>
        <v/>
      </c>
      <c r="DC495" s="251" t="str">
        <f t="shared" si="86"/>
        <v/>
      </c>
      <c r="DD495" s="251" t="str">
        <f t="shared" si="87"/>
        <v/>
      </c>
      <c r="DE495" s="251" t="str">
        <f t="shared" si="88"/>
        <v/>
      </c>
      <c r="DF495" s="251" t="str">
        <f t="shared" si="89"/>
        <v/>
      </c>
      <c r="DG495" s="251" t="str">
        <f t="shared" si="90"/>
        <v/>
      </c>
      <c r="DH495" s="251" t="str">
        <f t="shared" si="91"/>
        <v/>
      </c>
      <c r="DI495" s="251" t="str">
        <f t="shared" si="92"/>
        <v/>
      </c>
      <c r="DJ495" s="251" t="str">
        <f t="shared" si="93"/>
        <v/>
      </c>
      <c r="DK495" s="251" t="str">
        <f t="shared" si="94"/>
        <v/>
      </c>
      <c r="DL495" s="251" t="str">
        <f t="shared" si="95"/>
        <v/>
      </c>
      <c r="DM495" s="251" t="str">
        <f t="shared" si="96"/>
        <v/>
      </c>
      <c r="DN495" s="251" t="str">
        <f t="shared" si="97"/>
        <v/>
      </c>
      <c r="DO495" s="251" t="str">
        <f t="shared" si="98"/>
        <v/>
      </c>
      <c r="DP495" s="251" t="str">
        <f t="shared" si="99"/>
        <v/>
      </c>
      <c r="DQ495" s="251" t="str">
        <f t="shared" si="100"/>
        <v/>
      </c>
      <c r="DR495" s="251" t="str">
        <f t="shared" si="101"/>
        <v/>
      </c>
      <c r="DS495" s="251" t="str">
        <f t="shared" si="102"/>
        <v/>
      </c>
      <c r="DT495" s="251" t="str">
        <f t="shared" si="103"/>
        <v/>
      </c>
      <c r="DU495" s="251" t="str">
        <f t="shared" si="104"/>
        <v/>
      </c>
      <c r="DV495" s="251" t="str">
        <f t="shared" si="105"/>
        <v/>
      </c>
      <c r="DW495" s="251" t="str">
        <f t="shared" si="106"/>
        <v/>
      </c>
      <c r="DX495" s="251" t="str">
        <f t="shared" si="107"/>
        <v/>
      </c>
      <c r="DY495" s="251" t="str">
        <f t="shared" si="108"/>
        <v/>
      </c>
      <c r="DZ495" s="251" t="str">
        <f t="shared" si="109"/>
        <v/>
      </c>
      <c r="EA495" s="251" t="str">
        <f t="shared" si="110"/>
        <v/>
      </c>
      <c r="EB495" s="251" t="str">
        <f t="shared" si="111"/>
        <v/>
      </c>
      <c r="EC495" s="251" t="str">
        <f t="shared" si="112"/>
        <v/>
      </c>
      <c r="ED495" s="251" t="str">
        <f t="shared" si="113"/>
        <v/>
      </c>
      <c r="EE495" s="251" t="str">
        <f t="shared" si="114"/>
        <v/>
      </c>
      <c r="EF495" s="251" t="str">
        <f t="shared" si="115"/>
        <v/>
      </c>
      <c r="EG495" s="251" t="str">
        <f t="shared" si="116"/>
        <v/>
      </c>
      <c r="EH495" s="251" t="str">
        <f t="shared" si="117"/>
        <v/>
      </c>
      <c r="EI495" s="251" t="str">
        <f t="shared" si="118"/>
        <v/>
      </c>
      <c r="EJ495" s="251" t="str">
        <f t="shared" si="119"/>
        <v/>
      </c>
      <c r="EK495" s="251" t="str">
        <f t="shared" si="120"/>
        <v/>
      </c>
      <c r="EL495" s="251" t="str">
        <f t="shared" si="121"/>
        <v/>
      </c>
      <c r="EM495" s="251" t="str">
        <f t="shared" si="122"/>
        <v/>
      </c>
      <c r="EN495" s="251" t="str">
        <f t="shared" si="123"/>
        <v/>
      </c>
      <c r="EO495" s="251" t="str">
        <f t="shared" si="124"/>
        <v/>
      </c>
      <c r="EP495" s="251" t="str">
        <f t="shared" si="125"/>
        <v/>
      </c>
      <c r="EQ495" s="251" t="str">
        <f t="shared" si="126"/>
        <v/>
      </c>
      <c r="ER495" s="251" t="str">
        <f t="shared" si="127"/>
        <v/>
      </c>
      <c r="ES495" s="251" t="str">
        <f t="shared" si="128"/>
        <v/>
      </c>
      <c r="ET495" s="251" t="str">
        <f t="shared" si="129"/>
        <v/>
      </c>
      <c r="EU495" s="251" t="str">
        <f t="shared" si="130"/>
        <v/>
      </c>
      <c r="EV495" s="251" t="str">
        <f t="shared" si="131"/>
        <v/>
      </c>
      <c r="EW495" s="251" t="str">
        <f t="shared" si="132"/>
        <v/>
      </c>
      <c r="EX495" s="251" t="str">
        <f t="shared" si="133"/>
        <v/>
      </c>
      <c r="EY495" s="251" t="str">
        <f t="shared" si="134"/>
        <v/>
      </c>
      <c r="EZ495" s="251" t="str">
        <f t="shared" si="135"/>
        <v/>
      </c>
      <c r="FA495" s="251" t="str">
        <f t="shared" si="136"/>
        <v/>
      </c>
      <c r="FB495" s="251" t="str">
        <f t="shared" si="137"/>
        <v/>
      </c>
      <c r="FC495" s="251" t="str">
        <f t="shared" si="138"/>
        <v/>
      </c>
      <c r="FD495" s="251" t="str">
        <f t="shared" si="139"/>
        <v/>
      </c>
      <c r="FE495" s="251" t="str">
        <f t="shared" si="140"/>
        <v/>
      </c>
      <c r="FF495" s="251" t="str">
        <f t="shared" si="141"/>
        <v/>
      </c>
      <c r="FG495" s="251" t="str">
        <f t="shared" si="142"/>
        <v/>
      </c>
      <c r="FH495" s="251" t="str">
        <f t="shared" si="143"/>
        <v/>
      </c>
      <c r="FI495" s="251" t="str">
        <f t="shared" si="144"/>
        <v/>
      </c>
      <c r="FJ495" s="251" t="str">
        <f t="shared" si="145"/>
        <v/>
      </c>
      <c r="FK495" s="251" t="str">
        <f t="shared" si="146"/>
        <v/>
      </c>
      <c r="FL495" s="251" t="str">
        <f t="shared" si="147"/>
        <v/>
      </c>
      <c r="FM495" s="251" t="str">
        <f t="shared" si="148"/>
        <v/>
      </c>
      <c r="FN495" s="251" t="str">
        <f t="shared" si="149"/>
        <v/>
      </c>
      <c r="FO495" s="251" t="str">
        <f t="shared" si="150"/>
        <v/>
      </c>
      <c r="FP495" s="251" t="str">
        <f t="shared" si="151"/>
        <v/>
      </c>
      <c r="FQ495" s="251" t="str">
        <f t="shared" si="152"/>
        <v/>
      </c>
      <c r="FR495" s="251" t="str">
        <f t="shared" si="153"/>
        <v/>
      </c>
      <c r="FS495" s="251" t="str">
        <f t="shared" si="154"/>
        <v/>
      </c>
      <c r="FT495" s="251" t="str">
        <f t="shared" si="155"/>
        <v/>
      </c>
      <c r="FU495" s="251" t="str">
        <f t="shared" si="156"/>
        <v/>
      </c>
      <c r="FV495" s="251" t="str">
        <f t="shared" si="157"/>
        <v/>
      </c>
      <c r="FW495" s="251" t="str">
        <f t="shared" si="158"/>
        <v/>
      </c>
      <c r="FX495" s="251" t="str">
        <f t="shared" si="159"/>
        <v/>
      </c>
      <c r="FY495" s="251" t="str">
        <f t="shared" si="160"/>
        <v/>
      </c>
      <c r="FZ495" s="251" t="str">
        <f t="shared" si="161"/>
        <v/>
      </c>
      <c r="GA495" s="251" t="str">
        <f t="shared" si="162"/>
        <v/>
      </c>
      <c r="GB495" s="251" t="str">
        <f t="shared" si="163"/>
        <v/>
      </c>
      <c r="GC495" s="251" t="str">
        <f t="shared" si="164"/>
        <v/>
      </c>
      <c r="GD495" s="251" t="str">
        <f t="shared" si="165"/>
        <v/>
      </c>
      <c r="GE495" s="251" t="str">
        <f t="shared" si="166"/>
        <v/>
      </c>
      <c r="GF495" s="251" t="str">
        <f t="shared" si="167"/>
        <v/>
      </c>
      <c r="GG495" s="251" t="str">
        <f t="shared" si="168"/>
        <v/>
      </c>
      <c r="GH495" s="251" t="str">
        <f t="shared" si="169"/>
        <v/>
      </c>
      <c r="GI495" s="251" t="str">
        <f t="shared" si="170"/>
        <v/>
      </c>
      <c r="GJ495" s="251" t="str">
        <f t="shared" si="171"/>
        <v/>
      </c>
      <c r="GK495" s="251" t="str">
        <f t="shared" si="172"/>
        <v/>
      </c>
      <c r="GL495" s="251" t="str">
        <f t="shared" si="173"/>
        <v/>
      </c>
      <c r="GM495" s="251" t="str">
        <f t="shared" si="174"/>
        <v/>
      </c>
      <c r="GN495" s="251" t="str">
        <f t="shared" si="175"/>
        <v/>
      </c>
      <c r="GO495" s="251" t="str">
        <f t="shared" si="176"/>
        <v/>
      </c>
      <c r="GP495" s="251" t="str">
        <f t="shared" si="177"/>
        <v/>
      </c>
      <c r="GQ495" s="251" t="str">
        <f t="shared" si="178"/>
        <v/>
      </c>
      <c r="GR495" s="251" t="str">
        <f t="shared" si="179"/>
        <v/>
      </c>
      <c r="GS495" s="251" t="str">
        <f t="shared" si="180"/>
        <v/>
      </c>
      <c r="GT495" s="251" t="str">
        <f t="shared" si="181"/>
        <v/>
      </c>
      <c r="GU495" s="251" t="str">
        <f t="shared" si="182"/>
        <v/>
      </c>
      <c r="GV495" s="251" t="str">
        <f t="shared" si="183"/>
        <v/>
      </c>
      <c r="GW495" s="251" t="str">
        <f t="shared" si="184"/>
        <v/>
      </c>
      <c r="GX495" s="251" t="str">
        <f t="shared" si="185"/>
        <v/>
      </c>
      <c r="GY495" s="251" t="str">
        <f t="shared" si="186"/>
        <v/>
      </c>
      <c r="GZ495" s="251" t="str">
        <f t="shared" si="187"/>
        <v/>
      </c>
      <c r="HA495" s="251" t="str">
        <f t="shared" si="188"/>
        <v/>
      </c>
      <c r="HB495" s="251" t="str">
        <f t="shared" si="189"/>
        <v/>
      </c>
      <c r="HC495" s="251" t="str">
        <f t="shared" si="190"/>
        <v/>
      </c>
      <c r="HD495" s="251" t="str">
        <f t="shared" si="191"/>
        <v/>
      </c>
      <c r="HE495" s="251" t="str">
        <f t="shared" si="192"/>
        <v/>
      </c>
      <c r="HF495" s="251" t="str">
        <f t="shared" si="193"/>
        <v/>
      </c>
      <c r="HG495" s="251" t="str">
        <f t="shared" si="194"/>
        <v/>
      </c>
      <c r="HH495" s="251" t="str">
        <f t="shared" si="195"/>
        <v/>
      </c>
      <c r="HI495" s="251" t="str">
        <f t="shared" si="196"/>
        <v/>
      </c>
      <c r="HJ495" s="251" t="str">
        <f t="shared" si="197"/>
        <v/>
      </c>
      <c r="HK495" s="251" t="str">
        <f t="shared" si="198"/>
        <v/>
      </c>
      <c r="HL495" s="251" t="str">
        <f t="shared" si="199"/>
        <v/>
      </c>
      <c r="HM495" s="251" t="str">
        <f t="shared" si="200"/>
        <v/>
      </c>
      <c r="HN495" s="251" t="str">
        <f t="shared" si="201"/>
        <v/>
      </c>
      <c r="HO495" s="251" t="str">
        <f t="shared" si="202"/>
        <v/>
      </c>
      <c r="HP495" s="251" t="str">
        <f t="shared" si="203"/>
        <v/>
      </c>
      <c r="HQ495" s="251" t="str">
        <f t="shared" si="204"/>
        <v/>
      </c>
      <c r="HR495" s="251" t="str">
        <f t="shared" si="205"/>
        <v/>
      </c>
      <c r="HS495" s="251" t="str">
        <f t="shared" si="206"/>
        <v/>
      </c>
      <c r="HT495" s="251" t="str">
        <f t="shared" si="207"/>
        <v/>
      </c>
      <c r="HU495" s="251" t="str">
        <f t="shared" si="208"/>
        <v/>
      </c>
      <c r="HV495" s="251" t="str">
        <f t="shared" si="209"/>
        <v/>
      </c>
      <c r="HW495" s="251" t="str">
        <f t="shared" si="210"/>
        <v/>
      </c>
      <c r="HX495" s="251" t="str">
        <f t="shared" si="211"/>
        <v/>
      </c>
      <c r="HY495" s="251" t="str">
        <f t="shared" si="212"/>
        <v/>
      </c>
      <c r="HZ495" s="251" t="str">
        <f t="shared" si="213"/>
        <v/>
      </c>
      <c r="IA495" s="251" t="str">
        <f t="shared" si="214"/>
        <v/>
      </c>
      <c r="IB495" s="251" t="str">
        <f t="shared" si="215"/>
        <v/>
      </c>
      <c r="IC495" s="251" t="str">
        <f t="shared" si="216"/>
        <v/>
      </c>
      <c r="ID495" s="251" t="str">
        <f t="shared" si="217"/>
        <v/>
      </c>
      <c r="IE495" s="251" t="str">
        <f t="shared" si="218"/>
        <v/>
      </c>
      <c r="IF495" s="251" t="str">
        <f t="shared" si="219"/>
        <v/>
      </c>
      <c r="IG495" s="251" t="str">
        <f t="shared" si="220"/>
        <v/>
      </c>
      <c r="IH495" s="251" t="str">
        <f t="shared" si="221"/>
        <v/>
      </c>
      <c r="II495" s="251" t="str">
        <f t="shared" si="222"/>
        <v/>
      </c>
      <c r="IJ495" s="251" t="str">
        <f t="shared" si="223"/>
        <v/>
      </c>
      <c r="IK495" s="251" t="str">
        <f t="shared" si="224"/>
        <v/>
      </c>
      <c r="IL495" s="251" t="str">
        <f t="shared" si="225"/>
        <v/>
      </c>
      <c r="IM495" s="251" t="str">
        <f t="shared" si="226"/>
        <v/>
      </c>
      <c r="IN495" s="251" t="str">
        <f t="shared" si="227"/>
        <v/>
      </c>
      <c r="IO495" s="251" t="str">
        <f t="shared" si="228"/>
        <v/>
      </c>
      <c r="IP495" s="251" t="str">
        <f t="shared" si="229"/>
        <v/>
      </c>
      <c r="IQ495" s="251" t="str">
        <f t="shared" si="230"/>
        <v/>
      </c>
      <c r="IR495" s="251" t="str">
        <f t="shared" si="231"/>
        <v/>
      </c>
      <c r="IS495" s="251" t="str">
        <f t="shared" si="232"/>
        <v/>
      </c>
      <c r="IT495" s="251" t="str">
        <f t="shared" si="233"/>
        <v/>
      </c>
      <c r="IU495" s="251" t="str">
        <f t="shared" si="234"/>
        <v/>
      </c>
      <c r="IV495" s="251" t="str">
        <f t="shared" si="235"/>
        <v/>
      </c>
      <c r="IW495" s="251" t="str">
        <f t="shared" si="236"/>
        <v/>
      </c>
      <c r="IX495" s="251" t="str">
        <f t="shared" si="237"/>
        <v/>
      </c>
      <c r="IY495" s="251" t="str">
        <f t="shared" si="238"/>
        <v/>
      </c>
      <c r="IZ495" s="251" t="str">
        <f t="shared" si="239"/>
        <v/>
      </c>
      <c r="JA495" s="251" t="str">
        <f t="shared" si="240"/>
        <v/>
      </c>
      <c r="JB495" s="251" t="str">
        <f t="shared" si="241"/>
        <v/>
      </c>
      <c r="JC495" s="251" t="str">
        <f t="shared" si="242"/>
        <v/>
      </c>
      <c r="JD495" s="251" t="str">
        <f t="shared" si="243"/>
        <v/>
      </c>
      <c r="JE495" s="251" t="str">
        <f t="shared" si="244"/>
        <v/>
      </c>
      <c r="JF495" s="251" t="str">
        <f t="shared" si="245"/>
        <v/>
      </c>
      <c r="JG495" s="251" t="str">
        <f t="shared" si="246"/>
        <v/>
      </c>
      <c r="JH495" s="251" t="str">
        <f t="shared" si="247"/>
        <v/>
      </c>
      <c r="JI495" s="1297" t="str">
        <f t="shared" si="248"/>
        <v/>
      </c>
      <c r="JJ495" s="1297" t="str">
        <f t="shared" si="249"/>
        <v/>
      </c>
      <c r="JK495" s="1297" t="str">
        <f t="shared" si="250"/>
        <v/>
      </c>
      <c r="JL495" s="1297" t="str">
        <f t="shared" si="251"/>
        <v/>
      </c>
      <c r="JM495" s="1297" t="str">
        <f t="shared" si="252"/>
        <v/>
      </c>
      <c r="JN495" s="1297" t="str">
        <f t="shared" si="253"/>
        <v/>
      </c>
      <c r="JO495" s="1297" t="str">
        <f t="shared" si="254"/>
        <v/>
      </c>
      <c r="JP495" s="1297" t="str">
        <f t="shared" si="255"/>
        <v/>
      </c>
      <c r="JQ495" s="1297" t="str">
        <f t="shared" si="256"/>
        <v/>
      </c>
      <c r="JR495" s="1297" t="str">
        <f t="shared" si="257"/>
        <v/>
      </c>
      <c r="JS495" s="1297" t="str">
        <f t="shared" si="258"/>
        <v/>
      </c>
      <c r="JT495" s="1297" t="str">
        <f t="shared" si="259"/>
        <v/>
      </c>
      <c r="JU495" s="1297" t="str">
        <f t="shared" si="260"/>
        <v/>
      </c>
      <c r="JV495" s="1297" t="str">
        <f t="shared" si="261"/>
        <v/>
      </c>
      <c r="JW495" s="1297" t="str">
        <f t="shared" si="262"/>
        <v/>
      </c>
      <c r="JX495" s="1297" t="str">
        <f t="shared" si="263"/>
        <v/>
      </c>
      <c r="JY495" s="1297" t="str">
        <f t="shared" si="264"/>
        <v/>
      </c>
      <c r="JZ495" s="1297" t="str">
        <f t="shared" si="265"/>
        <v/>
      </c>
      <c r="KA495" s="1297" t="str">
        <f t="shared" si="266"/>
        <v/>
      </c>
      <c r="KB495" s="1297" t="str">
        <f t="shared" si="267"/>
        <v/>
      </c>
      <c r="KC495" s="1297" t="str">
        <f t="shared" si="268"/>
        <v/>
      </c>
      <c r="KD495" s="1297" t="str">
        <f t="shared" si="269"/>
        <v/>
      </c>
      <c r="KE495" s="1297" t="str">
        <f t="shared" si="270"/>
        <v/>
      </c>
      <c r="KF495" s="1297" t="str">
        <f t="shared" si="271"/>
        <v/>
      </c>
      <c r="KG495" s="1297" t="str">
        <f t="shared" si="272"/>
        <v/>
      </c>
      <c r="KH495" s="1297" t="str">
        <f t="shared" si="273"/>
        <v/>
      </c>
      <c r="KI495" s="1297" t="str">
        <f t="shared" si="274"/>
        <v/>
      </c>
      <c r="KJ495" s="1297" t="str">
        <f t="shared" si="275"/>
        <v/>
      </c>
      <c r="KK495" s="1297" t="str">
        <f t="shared" si="276"/>
        <v/>
      </c>
      <c r="KL495" s="1297" t="str">
        <f t="shared" si="277"/>
        <v/>
      </c>
      <c r="KM495" s="1297" t="str">
        <f t="shared" si="278"/>
        <v/>
      </c>
      <c r="KN495" s="1297" t="str">
        <f t="shared" si="279"/>
        <v/>
      </c>
      <c r="KO495" s="1297" t="str">
        <f t="shared" si="280"/>
        <v/>
      </c>
      <c r="KP495" s="1297" t="str">
        <f t="shared" si="281"/>
        <v/>
      </c>
      <c r="KQ495" s="1297" t="str">
        <f t="shared" si="282"/>
        <v/>
      </c>
      <c r="KR495" s="1297" t="str">
        <f t="shared" si="283"/>
        <v/>
      </c>
      <c r="KS495" s="1297" t="str">
        <f t="shared" si="284"/>
        <v/>
      </c>
      <c r="KT495" s="1297" t="str">
        <f t="shared" si="285"/>
        <v/>
      </c>
      <c r="KU495" s="1297" t="str">
        <f t="shared" si="286"/>
        <v/>
      </c>
      <c r="KV495" s="1297" t="str">
        <f t="shared" si="287"/>
        <v/>
      </c>
      <c r="KW495" s="1297" t="str">
        <f t="shared" si="288"/>
        <v/>
      </c>
      <c r="KX495" s="1297" t="str">
        <f t="shared" si="289"/>
        <v/>
      </c>
      <c r="KY495" s="1297" t="str">
        <f t="shared" si="290"/>
        <v/>
      </c>
      <c r="KZ495" s="1297" t="str">
        <f t="shared" si="291"/>
        <v/>
      </c>
      <c r="LA495" s="1297" t="str">
        <f t="shared" si="292"/>
        <v/>
      </c>
      <c r="LB495" s="1297" t="str">
        <f t="shared" si="293"/>
        <v/>
      </c>
      <c r="LC495" s="1297" t="str">
        <f t="shared" si="294"/>
        <v/>
      </c>
      <c r="LD495" s="1297" t="str">
        <f t="shared" si="295"/>
        <v/>
      </c>
      <c r="LE495" s="1297" t="str">
        <f t="shared" si="296"/>
        <v/>
      </c>
      <c r="LF495" s="1297" t="str">
        <f t="shared" si="297"/>
        <v/>
      </c>
      <c r="LG495" s="1297" t="str">
        <f t="shared" si="298"/>
        <v/>
      </c>
      <c r="LH495" s="1297" t="str">
        <f t="shared" si="299"/>
        <v/>
      </c>
      <c r="LI495" s="1297" t="str">
        <f t="shared" si="300"/>
        <v/>
      </c>
      <c r="LJ495" s="1297" t="str">
        <f t="shared" si="301"/>
        <v/>
      </c>
      <c r="LK495" s="1297" t="str">
        <f t="shared" si="302"/>
        <v/>
      </c>
      <c r="LL495" s="1297" t="str">
        <f t="shared" si="303"/>
        <v/>
      </c>
      <c r="LM495" s="1297" t="str">
        <f t="shared" si="304"/>
        <v/>
      </c>
      <c r="LN495" s="1297" t="str">
        <f t="shared" si="305"/>
        <v/>
      </c>
      <c r="LO495" s="1297" t="str">
        <f t="shared" si="306"/>
        <v/>
      </c>
      <c r="LP495" s="1297" t="str">
        <f t="shared" si="307"/>
        <v/>
      </c>
      <c r="LQ495" s="1297" t="str">
        <f t="shared" si="308"/>
        <v/>
      </c>
      <c r="LR495" s="1297" t="str">
        <f t="shared" si="309"/>
        <v/>
      </c>
      <c r="LS495" s="1297" t="str">
        <f t="shared" si="310"/>
        <v/>
      </c>
      <c r="LT495" s="1297" t="str">
        <f t="shared" si="311"/>
        <v/>
      </c>
      <c r="LU495" s="1297" t="str">
        <f t="shared" si="312"/>
        <v/>
      </c>
      <c r="LV495" s="1297" t="str">
        <f t="shared" si="313"/>
        <v/>
      </c>
      <c r="LW495" s="1297" t="str">
        <f t="shared" si="314"/>
        <v/>
      </c>
      <c r="LX495" s="1297" t="str">
        <f t="shared" si="315"/>
        <v/>
      </c>
      <c r="LY495" s="1297" t="str">
        <f t="shared" si="316"/>
        <v/>
      </c>
      <c r="LZ495" s="1297" t="str">
        <f t="shared" si="317"/>
        <v/>
      </c>
      <c r="MA495" s="1297" t="str">
        <f t="shared" si="318"/>
        <v/>
      </c>
      <c r="MB495" s="1297" t="str">
        <f t="shared" si="319"/>
        <v/>
      </c>
      <c r="MC495" s="1297" t="str">
        <f t="shared" si="320"/>
        <v/>
      </c>
      <c r="MD495" s="1297" t="str">
        <f t="shared" si="321"/>
        <v/>
      </c>
      <c r="ME495" s="1297" t="str">
        <f t="shared" si="322"/>
        <v/>
      </c>
      <c r="MF495" s="1297" t="str">
        <f t="shared" si="323"/>
        <v/>
      </c>
      <c r="MG495" s="1297" t="str">
        <f t="shared" si="324"/>
        <v/>
      </c>
      <c r="MH495" s="1297" t="str">
        <f t="shared" si="325"/>
        <v/>
      </c>
      <c r="MI495" s="1297" t="str">
        <f t="shared" si="326"/>
        <v/>
      </c>
      <c r="MJ495" s="1297" t="str">
        <f t="shared" si="327"/>
        <v/>
      </c>
      <c r="MK495" s="1297" t="str">
        <f t="shared" si="328"/>
        <v/>
      </c>
      <c r="ML495" s="1297" t="str">
        <f t="shared" si="329"/>
        <v/>
      </c>
      <c r="MM495" s="1297" t="str">
        <f t="shared" si="330"/>
        <v/>
      </c>
      <c r="MN495" s="1297" t="str">
        <f t="shared" si="331"/>
        <v/>
      </c>
      <c r="MO495" s="1297" t="str">
        <f t="shared" si="332"/>
        <v/>
      </c>
      <c r="MP495" s="1773" t="str">
        <f t="shared" si="333"/>
        <v/>
      </c>
      <c r="MQ495" s="1773" t="str">
        <f t="shared" si="334"/>
        <v/>
      </c>
      <c r="MR495" s="1773" t="str">
        <f t="shared" si="335"/>
        <v/>
      </c>
      <c r="MS495" s="1773" t="str">
        <f t="shared" si="336"/>
        <v/>
      </c>
      <c r="MT495" s="1773" t="str">
        <f t="shared" si="337"/>
        <v/>
      </c>
      <c r="MU495" s="251" t="str">
        <f t="shared" si="338"/>
        <v/>
      </c>
      <c r="MV495" s="251" t="str">
        <f t="shared" si="339"/>
        <v/>
      </c>
      <c r="MW495" s="251" t="str">
        <f t="shared" si="340"/>
        <v/>
      </c>
      <c r="MX495" s="251" t="str">
        <f t="shared" si="341"/>
        <v/>
      </c>
      <c r="MY495" s="251" t="str">
        <f t="shared" si="342"/>
        <v/>
      </c>
      <c r="MZ495" s="251" t="str">
        <f t="shared" si="343"/>
        <v/>
      </c>
      <c r="NA495" s="251" t="str">
        <f t="shared" si="344"/>
        <v/>
      </c>
      <c r="NB495" s="251" t="str">
        <f t="shared" si="345"/>
        <v/>
      </c>
      <c r="NC495" s="251" t="str">
        <f t="shared" si="346"/>
        <v/>
      </c>
      <c r="ND495" s="251" t="str">
        <f t="shared" si="347"/>
        <v/>
      </c>
      <c r="NE495" s="251" t="str">
        <f t="shared" si="348"/>
        <v/>
      </c>
      <c r="NF495" s="251" t="str">
        <f t="shared" si="349"/>
        <v/>
      </c>
      <c r="NG495" s="251" t="str">
        <f t="shared" si="350"/>
        <v/>
      </c>
      <c r="NH495" s="251" t="str">
        <f t="shared" si="351"/>
        <v/>
      </c>
      <c r="NI495" s="251" t="str">
        <f t="shared" si="352"/>
        <v/>
      </c>
      <c r="NJ495" s="251" t="str">
        <f t="shared" si="353"/>
        <v/>
      </c>
      <c r="NK495" s="251" t="str">
        <f t="shared" si="354"/>
        <v/>
      </c>
      <c r="NL495" s="251" t="str">
        <f t="shared" si="355"/>
        <v/>
      </c>
      <c r="NM495" s="251" t="str">
        <f t="shared" si="356"/>
        <v/>
      </c>
      <c r="NN495" s="251" t="str">
        <f t="shared" si="357"/>
        <v/>
      </c>
      <c r="NO495" s="1185">
        <f t="shared" si="358"/>
        <v>0</v>
      </c>
      <c r="NP495" s="1185">
        <f t="shared" si="359"/>
        <v>0</v>
      </c>
      <c r="NQ495" s="1185">
        <f t="shared" si="360"/>
        <v>0</v>
      </c>
      <c r="NR495" s="1185">
        <f t="shared" si="361"/>
        <v>0</v>
      </c>
      <c r="NS495" s="1185">
        <f t="shared" si="362"/>
        <v>0</v>
      </c>
      <c r="NT495" s="1185">
        <f t="shared" si="368"/>
        <v>0</v>
      </c>
      <c r="NU495" s="1185">
        <f t="shared" si="369"/>
        <v>0</v>
      </c>
      <c r="NV495" s="1185">
        <f t="shared" si="370"/>
        <v>0</v>
      </c>
      <c r="NW495" s="1185">
        <f t="shared" si="371"/>
        <v>0</v>
      </c>
      <c r="NX495" s="1185">
        <f t="shared" si="372"/>
        <v>0</v>
      </c>
      <c r="NY495" s="1185">
        <f t="shared" si="363"/>
        <v>0</v>
      </c>
      <c r="NZ495" s="1185">
        <f t="shared" si="364"/>
        <v>0</v>
      </c>
      <c r="OA495" s="1185">
        <f t="shared" si="365"/>
        <v>0</v>
      </c>
      <c r="OB495" s="1185">
        <f t="shared" si="366"/>
        <v>0</v>
      </c>
      <c r="OC495" s="1185">
        <f t="shared" si="367"/>
        <v>0</v>
      </c>
      <c r="OY495" s="251" t="s">
        <v>1190</v>
      </c>
      <c r="OZ495" s="1771">
        <v>42</v>
      </c>
    </row>
    <row r="496" spans="1:416" ht="12" customHeight="1">
      <c r="A496" s="1979" t="str">
        <f t="shared" si="0"/>
        <v/>
      </c>
      <c r="B496" s="1998">
        <f>'Part V-Revenues &amp; Expenses'!B43</f>
        <v>0</v>
      </c>
      <c r="C496" s="1999">
        <f>'Part V-Revenues &amp; Expenses'!C43</f>
        <v>0</v>
      </c>
      <c r="D496" s="2000">
        <f>'Part V-Revenues &amp; Expenses'!D43</f>
        <v>0</v>
      </c>
      <c r="E496" s="2001">
        <f>'Part V-Revenues &amp; Expenses'!E43</f>
        <v>0</v>
      </c>
      <c r="F496" s="2001">
        <f>'Part V-Revenues &amp; Expenses'!F43</f>
        <v>0</v>
      </c>
      <c r="G496" s="2001">
        <f>'Part V-Revenues &amp; Expenses'!G43</f>
        <v>0</v>
      </c>
      <c r="H496" s="2001">
        <f>'Part V-Revenues &amp; Expenses'!H43</f>
        <v>0</v>
      </c>
      <c r="I496" s="2001">
        <f>'Part V-Revenues &amp; Expenses'!I43</f>
        <v>0</v>
      </c>
      <c r="J496" s="2001">
        <f>'Part V-Revenues &amp; Expenses'!J43</f>
        <v>0</v>
      </c>
      <c r="K496" s="2002">
        <f>'Part V-Revenues &amp; Expenses'!K43</f>
        <v>0</v>
      </c>
      <c r="L496" s="2003">
        <f t="shared" si="1"/>
        <v>0</v>
      </c>
      <c r="M496" s="2003">
        <f t="shared" si="2"/>
        <v>0</v>
      </c>
      <c r="N496" s="1853">
        <f>'Part V-Revenues &amp; Expenses'!N43</f>
        <v>0</v>
      </c>
      <c r="O496" s="899">
        <f>'Part V-Revenues &amp; Expenses'!O43</f>
        <v>0</v>
      </c>
      <c r="P496" s="1853">
        <f>'Part V-Revenues &amp; Expenses'!P43</f>
        <v>0</v>
      </c>
      <c r="Q496" s="1772">
        <f>'Part V-Revenues &amp; Expenses'!Q43</f>
        <v>0</v>
      </c>
      <c r="R496" s="2004"/>
      <c r="S496" s="2005"/>
      <c r="T496" s="1920"/>
      <c r="U496" s="1920"/>
      <c r="V496" s="1920"/>
      <c r="W496" s="1920"/>
      <c r="X496" s="251" t="str">
        <f t="shared" si="3"/>
        <v/>
      </c>
      <c r="Y496" s="251" t="str">
        <f t="shared" si="4"/>
        <v/>
      </c>
      <c r="Z496" s="251" t="str">
        <f t="shared" si="5"/>
        <v/>
      </c>
      <c r="AA496" s="251" t="str">
        <f t="shared" si="6"/>
        <v/>
      </c>
      <c r="AB496" s="251" t="str">
        <f t="shared" si="7"/>
        <v/>
      </c>
      <c r="AC496" s="251" t="str">
        <f t="shared" si="8"/>
        <v/>
      </c>
      <c r="AD496" s="251" t="str">
        <f t="shared" si="9"/>
        <v/>
      </c>
      <c r="AE496" s="251" t="str">
        <f t="shared" si="10"/>
        <v/>
      </c>
      <c r="AF496" s="251" t="str">
        <f t="shared" si="11"/>
        <v/>
      </c>
      <c r="AG496" s="251" t="str">
        <f t="shared" si="12"/>
        <v/>
      </c>
      <c r="AH496" s="251" t="str">
        <f t="shared" si="13"/>
        <v/>
      </c>
      <c r="AI496" s="251" t="str">
        <f t="shared" si="14"/>
        <v/>
      </c>
      <c r="AJ496" s="251" t="str">
        <f t="shared" si="15"/>
        <v/>
      </c>
      <c r="AK496" s="251" t="str">
        <f t="shared" si="16"/>
        <v/>
      </c>
      <c r="AL496" s="251" t="str">
        <f t="shared" si="17"/>
        <v/>
      </c>
      <c r="AM496" s="251" t="str">
        <f t="shared" si="18"/>
        <v/>
      </c>
      <c r="AN496" s="251" t="str">
        <f t="shared" si="19"/>
        <v/>
      </c>
      <c r="AO496" s="251" t="str">
        <f t="shared" si="20"/>
        <v/>
      </c>
      <c r="AP496" s="251" t="str">
        <f t="shared" si="21"/>
        <v/>
      </c>
      <c r="AQ496" s="251" t="str">
        <f t="shared" si="22"/>
        <v/>
      </c>
      <c r="AR496" s="251" t="str">
        <f t="shared" si="23"/>
        <v/>
      </c>
      <c r="AS496" s="251" t="str">
        <f t="shared" si="24"/>
        <v/>
      </c>
      <c r="AT496" s="251" t="str">
        <f t="shared" si="25"/>
        <v/>
      </c>
      <c r="AU496" s="251" t="str">
        <f t="shared" si="26"/>
        <v/>
      </c>
      <c r="AV496" s="251" t="str">
        <f t="shared" si="27"/>
        <v/>
      </c>
      <c r="AW496" s="251" t="str">
        <f t="shared" si="28"/>
        <v/>
      </c>
      <c r="AX496" s="251" t="str">
        <f t="shared" si="29"/>
        <v/>
      </c>
      <c r="AY496" s="251" t="str">
        <f t="shared" si="30"/>
        <v/>
      </c>
      <c r="AZ496" s="251" t="str">
        <f t="shared" si="31"/>
        <v/>
      </c>
      <c r="BA496" s="251" t="str">
        <f t="shared" si="32"/>
        <v/>
      </c>
      <c r="BB496" s="251" t="str">
        <f t="shared" si="33"/>
        <v/>
      </c>
      <c r="BC496" s="251" t="str">
        <f t="shared" si="34"/>
        <v/>
      </c>
      <c r="BD496" s="251" t="str">
        <f t="shared" si="35"/>
        <v/>
      </c>
      <c r="BE496" s="251" t="str">
        <f t="shared" si="36"/>
        <v/>
      </c>
      <c r="BF496" s="251" t="str">
        <f t="shared" si="37"/>
        <v/>
      </c>
      <c r="BG496" s="251" t="str">
        <f t="shared" si="38"/>
        <v/>
      </c>
      <c r="BH496" s="251" t="str">
        <f t="shared" si="39"/>
        <v/>
      </c>
      <c r="BI496" s="251" t="str">
        <f t="shared" si="40"/>
        <v/>
      </c>
      <c r="BJ496" s="251" t="str">
        <f t="shared" si="41"/>
        <v/>
      </c>
      <c r="BK496" s="251" t="str">
        <f t="shared" si="42"/>
        <v/>
      </c>
      <c r="BL496" s="251" t="str">
        <f t="shared" si="43"/>
        <v/>
      </c>
      <c r="BM496" s="251" t="str">
        <f t="shared" si="44"/>
        <v/>
      </c>
      <c r="BN496" s="251" t="str">
        <f t="shared" si="45"/>
        <v/>
      </c>
      <c r="BO496" s="251" t="str">
        <f t="shared" si="46"/>
        <v/>
      </c>
      <c r="BP496" s="251" t="str">
        <f t="shared" si="47"/>
        <v/>
      </c>
      <c r="BQ496" s="251" t="str">
        <f t="shared" si="48"/>
        <v/>
      </c>
      <c r="BR496" s="251" t="str">
        <f t="shared" si="49"/>
        <v/>
      </c>
      <c r="BS496" s="251" t="str">
        <f t="shared" si="50"/>
        <v/>
      </c>
      <c r="BT496" s="251" t="str">
        <f t="shared" si="51"/>
        <v/>
      </c>
      <c r="BU496" s="251" t="str">
        <f t="shared" si="52"/>
        <v/>
      </c>
      <c r="BV496" s="251" t="str">
        <f t="shared" si="53"/>
        <v/>
      </c>
      <c r="BW496" s="251" t="str">
        <f t="shared" si="54"/>
        <v/>
      </c>
      <c r="BX496" s="251" t="str">
        <f t="shared" si="55"/>
        <v/>
      </c>
      <c r="BY496" s="251" t="str">
        <f t="shared" si="56"/>
        <v/>
      </c>
      <c r="BZ496" s="251" t="str">
        <f t="shared" si="57"/>
        <v/>
      </c>
      <c r="CA496" s="251" t="str">
        <f t="shared" si="58"/>
        <v/>
      </c>
      <c r="CB496" s="251" t="str">
        <f t="shared" si="59"/>
        <v/>
      </c>
      <c r="CC496" s="251" t="str">
        <f t="shared" si="60"/>
        <v/>
      </c>
      <c r="CD496" s="251" t="str">
        <f t="shared" si="61"/>
        <v/>
      </c>
      <c r="CE496" s="251" t="str">
        <f t="shared" si="62"/>
        <v/>
      </c>
      <c r="CF496" s="251" t="str">
        <f t="shared" si="63"/>
        <v/>
      </c>
      <c r="CG496" s="251" t="str">
        <f t="shared" si="64"/>
        <v/>
      </c>
      <c r="CH496" s="251" t="str">
        <f t="shared" si="65"/>
        <v/>
      </c>
      <c r="CI496" s="251" t="str">
        <f t="shared" si="66"/>
        <v/>
      </c>
      <c r="CJ496" s="251" t="str">
        <f t="shared" si="67"/>
        <v/>
      </c>
      <c r="CK496" s="251" t="str">
        <f t="shared" si="68"/>
        <v/>
      </c>
      <c r="CL496" s="251" t="str">
        <f t="shared" si="69"/>
        <v/>
      </c>
      <c r="CM496" s="251" t="str">
        <f t="shared" si="70"/>
        <v/>
      </c>
      <c r="CN496" s="251" t="str">
        <f t="shared" si="71"/>
        <v/>
      </c>
      <c r="CO496" s="251" t="str">
        <f t="shared" si="72"/>
        <v/>
      </c>
      <c r="CP496" s="251" t="str">
        <f t="shared" si="73"/>
        <v/>
      </c>
      <c r="CQ496" s="251" t="str">
        <f t="shared" si="74"/>
        <v/>
      </c>
      <c r="CR496" s="251" t="str">
        <f t="shared" si="75"/>
        <v/>
      </c>
      <c r="CS496" s="251" t="str">
        <f t="shared" si="76"/>
        <v/>
      </c>
      <c r="CT496" s="251" t="str">
        <f t="shared" si="77"/>
        <v/>
      </c>
      <c r="CU496" s="251" t="str">
        <f t="shared" si="78"/>
        <v/>
      </c>
      <c r="CV496" s="251" t="str">
        <f t="shared" si="79"/>
        <v/>
      </c>
      <c r="CW496" s="251" t="str">
        <f t="shared" si="80"/>
        <v/>
      </c>
      <c r="CX496" s="251" t="str">
        <f t="shared" si="81"/>
        <v/>
      </c>
      <c r="CY496" s="251" t="str">
        <f t="shared" si="82"/>
        <v/>
      </c>
      <c r="CZ496" s="251" t="str">
        <f t="shared" si="83"/>
        <v/>
      </c>
      <c r="DA496" s="251" t="str">
        <f t="shared" si="84"/>
        <v/>
      </c>
      <c r="DB496" s="251" t="str">
        <f t="shared" si="85"/>
        <v/>
      </c>
      <c r="DC496" s="251" t="str">
        <f t="shared" si="86"/>
        <v/>
      </c>
      <c r="DD496" s="251" t="str">
        <f t="shared" si="87"/>
        <v/>
      </c>
      <c r="DE496" s="251" t="str">
        <f t="shared" si="88"/>
        <v/>
      </c>
      <c r="DF496" s="251" t="str">
        <f t="shared" si="89"/>
        <v/>
      </c>
      <c r="DG496" s="251" t="str">
        <f t="shared" si="90"/>
        <v/>
      </c>
      <c r="DH496" s="251" t="str">
        <f t="shared" si="91"/>
        <v/>
      </c>
      <c r="DI496" s="251" t="str">
        <f t="shared" si="92"/>
        <v/>
      </c>
      <c r="DJ496" s="251" t="str">
        <f t="shared" si="93"/>
        <v/>
      </c>
      <c r="DK496" s="251" t="str">
        <f t="shared" si="94"/>
        <v/>
      </c>
      <c r="DL496" s="251" t="str">
        <f t="shared" si="95"/>
        <v/>
      </c>
      <c r="DM496" s="251" t="str">
        <f t="shared" si="96"/>
        <v/>
      </c>
      <c r="DN496" s="251" t="str">
        <f t="shared" si="97"/>
        <v/>
      </c>
      <c r="DO496" s="251" t="str">
        <f t="shared" si="98"/>
        <v/>
      </c>
      <c r="DP496" s="251" t="str">
        <f t="shared" si="99"/>
        <v/>
      </c>
      <c r="DQ496" s="251" t="str">
        <f t="shared" si="100"/>
        <v/>
      </c>
      <c r="DR496" s="251" t="str">
        <f t="shared" si="101"/>
        <v/>
      </c>
      <c r="DS496" s="251" t="str">
        <f t="shared" si="102"/>
        <v/>
      </c>
      <c r="DT496" s="251" t="str">
        <f t="shared" si="103"/>
        <v/>
      </c>
      <c r="DU496" s="251" t="str">
        <f t="shared" si="104"/>
        <v/>
      </c>
      <c r="DV496" s="251" t="str">
        <f t="shared" si="105"/>
        <v/>
      </c>
      <c r="DW496" s="251" t="str">
        <f t="shared" si="106"/>
        <v/>
      </c>
      <c r="DX496" s="251" t="str">
        <f t="shared" si="107"/>
        <v/>
      </c>
      <c r="DY496" s="251" t="str">
        <f t="shared" si="108"/>
        <v/>
      </c>
      <c r="DZ496" s="251" t="str">
        <f t="shared" si="109"/>
        <v/>
      </c>
      <c r="EA496" s="251" t="str">
        <f t="shared" si="110"/>
        <v/>
      </c>
      <c r="EB496" s="251" t="str">
        <f t="shared" si="111"/>
        <v/>
      </c>
      <c r="EC496" s="251" t="str">
        <f t="shared" si="112"/>
        <v/>
      </c>
      <c r="ED496" s="251" t="str">
        <f t="shared" si="113"/>
        <v/>
      </c>
      <c r="EE496" s="251" t="str">
        <f t="shared" si="114"/>
        <v/>
      </c>
      <c r="EF496" s="251" t="str">
        <f t="shared" si="115"/>
        <v/>
      </c>
      <c r="EG496" s="251" t="str">
        <f t="shared" si="116"/>
        <v/>
      </c>
      <c r="EH496" s="251" t="str">
        <f t="shared" si="117"/>
        <v/>
      </c>
      <c r="EI496" s="251" t="str">
        <f t="shared" si="118"/>
        <v/>
      </c>
      <c r="EJ496" s="251" t="str">
        <f t="shared" si="119"/>
        <v/>
      </c>
      <c r="EK496" s="251" t="str">
        <f t="shared" si="120"/>
        <v/>
      </c>
      <c r="EL496" s="251" t="str">
        <f t="shared" si="121"/>
        <v/>
      </c>
      <c r="EM496" s="251" t="str">
        <f t="shared" si="122"/>
        <v/>
      </c>
      <c r="EN496" s="251" t="str">
        <f t="shared" si="123"/>
        <v/>
      </c>
      <c r="EO496" s="251" t="str">
        <f t="shared" si="124"/>
        <v/>
      </c>
      <c r="EP496" s="251" t="str">
        <f t="shared" si="125"/>
        <v/>
      </c>
      <c r="EQ496" s="251" t="str">
        <f t="shared" si="126"/>
        <v/>
      </c>
      <c r="ER496" s="251" t="str">
        <f t="shared" si="127"/>
        <v/>
      </c>
      <c r="ES496" s="251" t="str">
        <f t="shared" si="128"/>
        <v/>
      </c>
      <c r="ET496" s="251" t="str">
        <f t="shared" si="129"/>
        <v/>
      </c>
      <c r="EU496" s="251" t="str">
        <f t="shared" si="130"/>
        <v/>
      </c>
      <c r="EV496" s="251" t="str">
        <f t="shared" si="131"/>
        <v/>
      </c>
      <c r="EW496" s="251" t="str">
        <f t="shared" si="132"/>
        <v/>
      </c>
      <c r="EX496" s="251" t="str">
        <f t="shared" si="133"/>
        <v/>
      </c>
      <c r="EY496" s="251" t="str">
        <f t="shared" si="134"/>
        <v/>
      </c>
      <c r="EZ496" s="251" t="str">
        <f t="shared" si="135"/>
        <v/>
      </c>
      <c r="FA496" s="251" t="str">
        <f t="shared" si="136"/>
        <v/>
      </c>
      <c r="FB496" s="251" t="str">
        <f t="shared" si="137"/>
        <v/>
      </c>
      <c r="FC496" s="251" t="str">
        <f t="shared" si="138"/>
        <v/>
      </c>
      <c r="FD496" s="251" t="str">
        <f t="shared" si="139"/>
        <v/>
      </c>
      <c r="FE496" s="251" t="str">
        <f t="shared" si="140"/>
        <v/>
      </c>
      <c r="FF496" s="251" t="str">
        <f t="shared" si="141"/>
        <v/>
      </c>
      <c r="FG496" s="251" t="str">
        <f t="shared" si="142"/>
        <v/>
      </c>
      <c r="FH496" s="251" t="str">
        <f t="shared" si="143"/>
        <v/>
      </c>
      <c r="FI496" s="251" t="str">
        <f t="shared" si="144"/>
        <v/>
      </c>
      <c r="FJ496" s="251" t="str">
        <f t="shared" si="145"/>
        <v/>
      </c>
      <c r="FK496" s="251" t="str">
        <f t="shared" si="146"/>
        <v/>
      </c>
      <c r="FL496" s="251" t="str">
        <f t="shared" si="147"/>
        <v/>
      </c>
      <c r="FM496" s="251" t="str">
        <f t="shared" si="148"/>
        <v/>
      </c>
      <c r="FN496" s="251" t="str">
        <f t="shared" si="149"/>
        <v/>
      </c>
      <c r="FO496" s="251" t="str">
        <f t="shared" si="150"/>
        <v/>
      </c>
      <c r="FP496" s="251" t="str">
        <f t="shared" si="151"/>
        <v/>
      </c>
      <c r="FQ496" s="251" t="str">
        <f t="shared" si="152"/>
        <v/>
      </c>
      <c r="FR496" s="251" t="str">
        <f t="shared" si="153"/>
        <v/>
      </c>
      <c r="FS496" s="251" t="str">
        <f t="shared" si="154"/>
        <v/>
      </c>
      <c r="FT496" s="251" t="str">
        <f t="shared" si="155"/>
        <v/>
      </c>
      <c r="FU496" s="251" t="str">
        <f t="shared" si="156"/>
        <v/>
      </c>
      <c r="FV496" s="251" t="str">
        <f t="shared" si="157"/>
        <v/>
      </c>
      <c r="FW496" s="251" t="str">
        <f t="shared" si="158"/>
        <v/>
      </c>
      <c r="FX496" s="251" t="str">
        <f t="shared" si="159"/>
        <v/>
      </c>
      <c r="FY496" s="251" t="str">
        <f t="shared" si="160"/>
        <v/>
      </c>
      <c r="FZ496" s="251" t="str">
        <f t="shared" si="161"/>
        <v/>
      </c>
      <c r="GA496" s="251" t="str">
        <f t="shared" si="162"/>
        <v/>
      </c>
      <c r="GB496" s="251" t="str">
        <f t="shared" si="163"/>
        <v/>
      </c>
      <c r="GC496" s="251" t="str">
        <f t="shared" si="164"/>
        <v/>
      </c>
      <c r="GD496" s="251" t="str">
        <f t="shared" si="165"/>
        <v/>
      </c>
      <c r="GE496" s="251" t="str">
        <f t="shared" si="166"/>
        <v/>
      </c>
      <c r="GF496" s="251" t="str">
        <f t="shared" si="167"/>
        <v/>
      </c>
      <c r="GG496" s="251" t="str">
        <f t="shared" si="168"/>
        <v/>
      </c>
      <c r="GH496" s="251" t="str">
        <f t="shared" si="169"/>
        <v/>
      </c>
      <c r="GI496" s="251" t="str">
        <f t="shared" si="170"/>
        <v/>
      </c>
      <c r="GJ496" s="251" t="str">
        <f t="shared" si="171"/>
        <v/>
      </c>
      <c r="GK496" s="251" t="str">
        <f t="shared" si="172"/>
        <v/>
      </c>
      <c r="GL496" s="251" t="str">
        <f t="shared" si="173"/>
        <v/>
      </c>
      <c r="GM496" s="251" t="str">
        <f t="shared" si="174"/>
        <v/>
      </c>
      <c r="GN496" s="251" t="str">
        <f t="shared" si="175"/>
        <v/>
      </c>
      <c r="GO496" s="251" t="str">
        <f t="shared" si="176"/>
        <v/>
      </c>
      <c r="GP496" s="251" t="str">
        <f t="shared" si="177"/>
        <v/>
      </c>
      <c r="GQ496" s="251" t="str">
        <f t="shared" si="178"/>
        <v/>
      </c>
      <c r="GR496" s="251" t="str">
        <f t="shared" si="179"/>
        <v/>
      </c>
      <c r="GS496" s="251" t="str">
        <f t="shared" si="180"/>
        <v/>
      </c>
      <c r="GT496" s="251" t="str">
        <f t="shared" si="181"/>
        <v/>
      </c>
      <c r="GU496" s="251" t="str">
        <f t="shared" si="182"/>
        <v/>
      </c>
      <c r="GV496" s="251" t="str">
        <f t="shared" si="183"/>
        <v/>
      </c>
      <c r="GW496" s="251" t="str">
        <f t="shared" si="184"/>
        <v/>
      </c>
      <c r="GX496" s="251" t="str">
        <f t="shared" si="185"/>
        <v/>
      </c>
      <c r="GY496" s="251" t="str">
        <f t="shared" si="186"/>
        <v/>
      </c>
      <c r="GZ496" s="251" t="str">
        <f t="shared" si="187"/>
        <v/>
      </c>
      <c r="HA496" s="251" t="str">
        <f t="shared" si="188"/>
        <v/>
      </c>
      <c r="HB496" s="251" t="str">
        <f t="shared" si="189"/>
        <v/>
      </c>
      <c r="HC496" s="251" t="str">
        <f t="shared" si="190"/>
        <v/>
      </c>
      <c r="HD496" s="251" t="str">
        <f t="shared" si="191"/>
        <v/>
      </c>
      <c r="HE496" s="251" t="str">
        <f t="shared" si="192"/>
        <v/>
      </c>
      <c r="HF496" s="251" t="str">
        <f t="shared" si="193"/>
        <v/>
      </c>
      <c r="HG496" s="251" t="str">
        <f t="shared" si="194"/>
        <v/>
      </c>
      <c r="HH496" s="251" t="str">
        <f t="shared" si="195"/>
        <v/>
      </c>
      <c r="HI496" s="251" t="str">
        <f t="shared" si="196"/>
        <v/>
      </c>
      <c r="HJ496" s="251" t="str">
        <f t="shared" si="197"/>
        <v/>
      </c>
      <c r="HK496" s="251" t="str">
        <f t="shared" si="198"/>
        <v/>
      </c>
      <c r="HL496" s="251" t="str">
        <f t="shared" si="199"/>
        <v/>
      </c>
      <c r="HM496" s="251" t="str">
        <f t="shared" si="200"/>
        <v/>
      </c>
      <c r="HN496" s="251" t="str">
        <f t="shared" si="201"/>
        <v/>
      </c>
      <c r="HO496" s="251" t="str">
        <f t="shared" si="202"/>
        <v/>
      </c>
      <c r="HP496" s="251" t="str">
        <f t="shared" si="203"/>
        <v/>
      </c>
      <c r="HQ496" s="251" t="str">
        <f t="shared" si="204"/>
        <v/>
      </c>
      <c r="HR496" s="251" t="str">
        <f t="shared" si="205"/>
        <v/>
      </c>
      <c r="HS496" s="251" t="str">
        <f t="shared" si="206"/>
        <v/>
      </c>
      <c r="HT496" s="251" t="str">
        <f t="shared" si="207"/>
        <v/>
      </c>
      <c r="HU496" s="251" t="str">
        <f t="shared" si="208"/>
        <v/>
      </c>
      <c r="HV496" s="251" t="str">
        <f t="shared" si="209"/>
        <v/>
      </c>
      <c r="HW496" s="251" t="str">
        <f t="shared" si="210"/>
        <v/>
      </c>
      <c r="HX496" s="251" t="str">
        <f t="shared" si="211"/>
        <v/>
      </c>
      <c r="HY496" s="251" t="str">
        <f t="shared" si="212"/>
        <v/>
      </c>
      <c r="HZ496" s="251" t="str">
        <f t="shared" si="213"/>
        <v/>
      </c>
      <c r="IA496" s="251" t="str">
        <f t="shared" si="214"/>
        <v/>
      </c>
      <c r="IB496" s="251" t="str">
        <f t="shared" si="215"/>
        <v/>
      </c>
      <c r="IC496" s="251" t="str">
        <f t="shared" si="216"/>
        <v/>
      </c>
      <c r="ID496" s="251" t="str">
        <f t="shared" si="217"/>
        <v/>
      </c>
      <c r="IE496" s="251" t="str">
        <f t="shared" si="218"/>
        <v/>
      </c>
      <c r="IF496" s="251" t="str">
        <f t="shared" si="219"/>
        <v/>
      </c>
      <c r="IG496" s="251" t="str">
        <f t="shared" si="220"/>
        <v/>
      </c>
      <c r="IH496" s="251" t="str">
        <f t="shared" si="221"/>
        <v/>
      </c>
      <c r="II496" s="251" t="str">
        <f t="shared" si="222"/>
        <v/>
      </c>
      <c r="IJ496" s="251" t="str">
        <f t="shared" si="223"/>
        <v/>
      </c>
      <c r="IK496" s="251" t="str">
        <f t="shared" si="224"/>
        <v/>
      </c>
      <c r="IL496" s="251" t="str">
        <f t="shared" si="225"/>
        <v/>
      </c>
      <c r="IM496" s="251" t="str">
        <f t="shared" si="226"/>
        <v/>
      </c>
      <c r="IN496" s="251" t="str">
        <f t="shared" si="227"/>
        <v/>
      </c>
      <c r="IO496" s="251" t="str">
        <f t="shared" si="228"/>
        <v/>
      </c>
      <c r="IP496" s="251" t="str">
        <f t="shared" si="229"/>
        <v/>
      </c>
      <c r="IQ496" s="251" t="str">
        <f t="shared" si="230"/>
        <v/>
      </c>
      <c r="IR496" s="251" t="str">
        <f t="shared" si="231"/>
        <v/>
      </c>
      <c r="IS496" s="251" t="str">
        <f t="shared" si="232"/>
        <v/>
      </c>
      <c r="IT496" s="251" t="str">
        <f t="shared" si="233"/>
        <v/>
      </c>
      <c r="IU496" s="251" t="str">
        <f t="shared" si="234"/>
        <v/>
      </c>
      <c r="IV496" s="251" t="str">
        <f t="shared" si="235"/>
        <v/>
      </c>
      <c r="IW496" s="251" t="str">
        <f t="shared" si="236"/>
        <v/>
      </c>
      <c r="IX496" s="251" t="str">
        <f t="shared" si="237"/>
        <v/>
      </c>
      <c r="IY496" s="251" t="str">
        <f t="shared" si="238"/>
        <v/>
      </c>
      <c r="IZ496" s="251" t="str">
        <f t="shared" si="239"/>
        <v/>
      </c>
      <c r="JA496" s="251" t="str">
        <f t="shared" si="240"/>
        <v/>
      </c>
      <c r="JB496" s="251" t="str">
        <f t="shared" si="241"/>
        <v/>
      </c>
      <c r="JC496" s="251" t="str">
        <f t="shared" si="242"/>
        <v/>
      </c>
      <c r="JD496" s="251" t="str">
        <f t="shared" si="243"/>
        <v/>
      </c>
      <c r="JE496" s="251" t="str">
        <f t="shared" si="244"/>
        <v/>
      </c>
      <c r="JF496" s="251" t="str">
        <f t="shared" si="245"/>
        <v/>
      </c>
      <c r="JG496" s="251" t="str">
        <f t="shared" si="246"/>
        <v/>
      </c>
      <c r="JH496" s="251" t="str">
        <f t="shared" si="247"/>
        <v/>
      </c>
      <c r="JI496" s="1297" t="str">
        <f t="shared" si="248"/>
        <v/>
      </c>
      <c r="JJ496" s="1297" t="str">
        <f t="shared" si="249"/>
        <v/>
      </c>
      <c r="JK496" s="1297" t="str">
        <f t="shared" si="250"/>
        <v/>
      </c>
      <c r="JL496" s="1297" t="str">
        <f t="shared" si="251"/>
        <v/>
      </c>
      <c r="JM496" s="1297" t="str">
        <f t="shared" si="252"/>
        <v/>
      </c>
      <c r="JN496" s="1297" t="str">
        <f t="shared" si="253"/>
        <v/>
      </c>
      <c r="JO496" s="1297" t="str">
        <f t="shared" si="254"/>
        <v/>
      </c>
      <c r="JP496" s="1297" t="str">
        <f t="shared" si="255"/>
        <v/>
      </c>
      <c r="JQ496" s="1297" t="str">
        <f t="shared" si="256"/>
        <v/>
      </c>
      <c r="JR496" s="1297" t="str">
        <f t="shared" si="257"/>
        <v/>
      </c>
      <c r="JS496" s="1297" t="str">
        <f t="shared" si="258"/>
        <v/>
      </c>
      <c r="JT496" s="1297" t="str">
        <f t="shared" si="259"/>
        <v/>
      </c>
      <c r="JU496" s="1297" t="str">
        <f t="shared" si="260"/>
        <v/>
      </c>
      <c r="JV496" s="1297" t="str">
        <f t="shared" si="261"/>
        <v/>
      </c>
      <c r="JW496" s="1297" t="str">
        <f t="shared" si="262"/>
        <v/>
      </c>
      <c r="JX496" s="1297" t="str">
        <f t="shared" si="263"/>
        <v/>
      </c>
      <c r="JY496" s="1297" t="str">
        <f t="shared" si="264"/>
        <v/>
      </c>
      <c r="JZ496" s="1297" t="str">
        <f t="shared" si="265"/>
        <v/>
      </c>
      <c r="KA496" s="1297" t="str">
        <f t="shared" si="266"/>
        <v/>
      </c>
      <c r="KB496" s="1297" t="str">
        <f t="shared" si="267"/>
        <v/>
      </c>
      <c r="KC496" s="1297" t="str">
        <f t="shared" si="268"/>
        <v/>
      </c>
      <c r="KD496" s="1297" t="str">
        <f t="shared" si="269"/>
        <v/>
      </c>
      <c r="KE496" s="1297" t="str">
        <f t="shared" si="270"/>
        <v/>
      </c>
      <c r="KF496" s="1297" t="str">
        <f t="shared" si="271"/>
        <v/>
      </c>
      <c r="KG496" s="1297" t="str">
        <f t="shared" si="272"/>
        <v/>
      </c>
      <c r="KH496" s="1297" t="str">
        <f t="shared" si="273"/>
        <v/>
      </c>
      <c r="KI496" s="1297" t="str">
        <f t="shared" si="274"/>
        <v/>
      </c>
      <c r="KJ496" s="1297" t="str">
        <f t="shared" si="275"/>
        <v/>
      </c>
      <c r="KK496" s="1297" t="str">
        <f t="shared" si="276"/>
        <v/>
      </c>
      <c r="KL496" s="1297" t="str">
        <f t="shared" si="277"/>
        <v/>
      </c>
      <c r="KM496" s="1297" t="str">
        <f t="shared" si="278"/>
        <v/>
      </c>
      <c r="KN496" s="1297" t="str">
        <f t="shared" si="279"/>
        <v/>
      </c>
      <c r="KO496" s="1297" t="str">
        <f t="shared" si="280"/>
        <v/>
      </c>
      <c r="KP496" s="1297" t="str">
        <f t="shared" si="281"/>
        <v/>
      </c>
      <c r="KQ496" s="1297" t="str">
        <f t="shared" si="282"/>
        <v/>
      </c>
      <c r="KR496" s="1297" t="str">
        <f t="shared" si="283"/>
        <v/>
      </c>
      <c r="KS496" s="1297" t="str">
        <f t="shared" si="284"/>
        <v/>
      </c>
      <c r="KT496" s="1297" t="str">
        <f t="shared" si="285"/>
        <v/>
      </c>
      <c r="KU496" s="1297" t="str">
        <f t="shared" si="286"/>
        <v/>
      </c>
      <c r="KV496" s="1297" t="str">
        <f t="shared" si="287"/>
        <v/>
      </c>
      <c r="KW496" s="1297" t="str">
        <f t="shared" si="288"/>
        <v/>
      </c>
      <c r="KX496" s="1297" t="str">
        <f t="shared" si="289"/>
        <v/>
      </c>
      <c r="KY496" s="1297" t="str">
        <f t="shared" si="290"/>
        <v/>
      </c>
      <c r="KZ496" s="1297" t="str">
        <f t="shared" si="291"/>
        <v/>
      </c>
      <c r="LA496" s="1297" t="str">
        <f t="shared" si="292"/>
        <v/>
      </c>
      <c r="LB496" s="1297" t="str">
        <f t="shared" si="293"/>
        <v/>
      </c>
      <c r="LC496" s="1297" t="str">
        <f t="shared" si="294"/>
        <v/>
      </c>
      <c r="LD496" s="1297" t="str">
        <f t="shared" si="295"/>
        <v/>
      </c>
      <c r="LE496" s="1297" t="str">
        <f t="shared" si="296"/>
        <v/>
      </c>
      <c r="LF496" s="1297" t="str">
        <f t="shared" si="297"/>
        <v/>
      </c>
      <c r="LG496" s="1297" t="str">
        <f t="shared" si="298"/>
        <v/>
      </c>
      <c r="LH496" s="1297" t="str">
        <f t="shared" si="299"/>
        <v/>
      </c>
      <c r="LI496" s="1297" t="str">
        <f t="shared" si="300"/>
        <v/>
      </c>
      <c r="LJ496" s="1297" t="str">
        <f t="shared" si="301"/>
        <v/>
      </c>
      <c r="LK496" s="1297" t="str">
        <f t="shared" si="302"/>
        <v/>
      </c>
      <c r="LL496" s="1297" t="str">
        <f t="shared" si="303"/>
        <v/>
      </c>
      <c r="LM496" s="1297" t="str">
        <f t="shared" si="304"/>
        <v/>
      </c>
      <c r="LN496" s="1297" t="str">
        <f t="shared" si="305"/>
        <v/>
      </c>
      <c r="LO496" s="1297" t="str">
        <f t="shared" si="306"/>
        <v/>
      </c>
      <c r="LP496" s="1297" t="str">
        <f t="shared" si="307"/>
        <v/>
      </c>
      <c r="LQ496" s="1297" t="str">
        <f t="shared" si="308"/>
        <v/>
      </c>
      <c r="LR496" s="1297" t="str">
        <f t="shared" si="309"/>
        <v/>
      </c>
      <c r="LS496" s="1297" t="str">
        <f t="shared" si="310"/>
        <v/>
      </c>
      <c r="LT496" s="1297" t="str">
        <f t="shared" si="311"/>
        <v/>
      </c>
      <c r="LU496" s="1297" t="str">
        <f t="shared" si="312"/>
        <v/>
      </c>
      <c r="LV496" s="1297" t="str">
        <f t="shared" si="313"/>
        <v/>
      </c>
      <c r="LW496" s="1297" t="str">
        <f t="shared" si="314"/>
        <v/>
      </c>
      <c r="LX496" s="1297" t="str">
        <f t="shared" si="315"/>
        <v/>
      </c>
      <c r="LY496" s="1297" t="str">
        <f t="shared" si="316"/>
        <v/>
      </c>
      <c r="LZ496" s="1297" t="str">
        <f t="shared" si="317"/>
        <v/>
      </c>
      <c r="MA496" s="1297" t="str">
        <f t="shared" si="318"/>
        <v/>
      </c>
      <c r="MB496" s="1297" t="str">
        <f t="shared" si="319"/>
        <v/>
      </c>
      <c r="MC496" s="1297" t="str">
        <f t="shared" si="320"/>
        <v/>
      </c>
      <c r="MD496" s="1297" t="str">
        <f t="shared" si="321"/>
        <v/>
      </c>
      <c r="ME496" s="1297" t="str">
        <f t="shared" si="322"/>
        <v/>
      </c>
      <c r="MF496" s="1297" t="str">
        <f t="shared" si="323"/>
        <v/>
      </c>
      <c r="MG496" s="1297" t="str">
        <f t="shared" si="324"/>
        <v/>
      </c>
      <c r="MH496" s="1297" t="str">
        <f t="shared" si="325"/>
        <v/>
      </c>
      <c r="MI496" s="1297" t="str">
        <f t="shared" si="326"/>
        <v/>
      </c>
      <c r="MJ496" s="1297" t="str">
        <f t="shared" si="327"/>
        <v/>
      </c>
      <c r="MK496" s="1297" t="str">
        <f t="shared" si="328"/>
        <v/>
      </c>
      <c r="ML496" s="1297" t="str">
        <f t="shared" si="329"/>
        <v/>
      </c>
      <c r="MM496" s="1297" t="str">
        <f t="shared" si="330"/>
        <v/>
      </c>
      <c r="MN496" s="1297" t="str">
        <f t="shared" si="331"/>
        <v/>
      </c>
      <c r="MO496" s="1297" t="str">
        <f t="shared" si="332"/>
        <v/>
      </c>
      <c r="MP496" s="1773" t="str">
        <f t="shared" si="333"/>
        <v/>
      </c>
      <c r="MQ496" s="1773" t="str">
        <f t="shared" si="334"/>
        <v/>
      </c>
      <c r="MR496" s="1773" t="str">
        <f t="shared" si="335"/>
        <v/>
      </c>
      <c r="MS496" s="1773" t="str">
        <f t="shared" si="336"/>
        <v/>
      </c>
      <c r="MT496" s="1773" t="str">
        <f t="shared" si="337"/>
        <v/>
      </c>
      <c r="MU496" s="251" t="str">
        <f t="shared" si="338"/>
        <v/>
      </c>
      <c r="MV496" s="251" t="str">
        <f t="shared" si="339"/>
        <v/>
      </c>
      <c r="MW496" s="251" t="str">
        <f t="shared" si="340"/>
        <v/>
      </c>
      <c r="MX496" s="251" t="str">
        <f t="shared" si="341"/>
        <v/>
      </c>
      <c r="MY496" s="251" t="str">
        <f t="shared" si="342"/>
        <v/>
      </c>
      <c r="MZ496" s="251" t="str">
        <f t="shared" si="343"/>
        <v/>
      </c>
      <c r="NA496" s="251" t="str">
        <f t="shared" si="344"/>
        <v/>
      </c>
      <c r="NB496" s="251" t="str">
        <f t="shared" si="345"/>
        <v/>
      </c>
      <c r="NC496" s="251" t="str">
        <f t="shared" si="346"/>
        <v/>
      </c>
      <c r="ND496" s="251" t="str">
        <f t="shared" si="347"/>
        <v/>
      </c>
      <c r="NE496" s="251" t="str">
        <f t="shared" si="348"/>
        <v/>
      </c>
      <c r="NF496" s="251" t="str">
        <f t="shared" si="349"/>
        <v/>
      </c>
      <c r="NG496" s="251" t="str">
        <f t="shared" si="350"/>
        <v/>
      </c>
      <c r="NH496" s="251" t="str">
        <f t="shared" si="351"/>
        <v/>
      </c>
      <c r="NI496" s="251" t="str">
        <f t="shared" si="352"/>
        <v/>
      </c>
      <c r="NJ496" s="251" t="str">
        <f t="shared" si="353"/>
        <v/>
      </c>
      <c r="NK496" s="251" t="str">
        <f t="shared" si="354"/>
        <v/>
      </c>
      <c r="NL496" s="251" t="str">
        <f t="shared" si="355"/>
        <v/>
      </c>
      <c r="NM496" s="251" t="str">
        <f t="shared" si="356"/>
        <v/>
      </c>
      <c r="NN496" s="251" t="str">
        <f t="shared" si="357"/>
        <v/>
      </c>
      <c r="NO496" s="1185">
        <f t="shared" si="358"/>
        <v>0</v>
      </c>
      <c r="NP496" s="1185">
        <f t="shared" si="359"/>
        <v>0</v>
      </c>
      <c r="NQ496" s="1185">
        <f t="shared" si="360"/>
        <v>0</v>
      </c>
      <c r="NR496" s="1185">
        <f t="shared" si="361"/>
        <v>0</v>
      </c>
      <c r="NS496" s="1185">
        <f t="shared" si="362"/>
        <v>0</v>
      </c>
      <c r="NT496" s="1185">
        <f t="shared" si="368"/>
        <v>0</v>
      </c>
      <c r="NU496" s="1185">
        <f t="shared" si="369"/>
        <v>0</v>
      </c>
      <c r="NV496" s="1185">
        <f t="shared" si="370"/>
        <v>0</v>
      </c>
      <c r="NW496" s="1185">
        <f t="shared" si="371"/>
        <v>0</v>
      </c>
      <c r="NX496" s="1185">
        <f t="shared" si="372"/>
        <v>0</v>
      </c>
      <c r="NY496" s="1185">
        <f t="shared" si="363"/>
        <v>0</v>
      </c>
      <c r="NZ496" s="1185">
        <f t="shared" si="364"/>
        <v>0</v>
      </c>
      <c r="OA496" s="1185">
        <f t="shared" si="365"/>
        <v>0</v>
      </c>
      <c r="OB496" s="1185">
        <f t="shared" si="366"/>
        <v>0</v>
      </c>
      <c r="OC496" s="1185">
        <f t="shared" si="367"/>
        <v>0</v>
      </c>
      <c r="OY496" s="251" t="s">
        <v>1191</v>
      </c>
      <c r="OZ496" s="1296">
        <v>43</v>
      </c>
    </row>
    <row r="497" spans="1:416" ht="12" customHeight="1">
      <c r="A497" s="1979" t="str">
        <f t="shared" si="0"/>
        <v/>
      </c>
      <c r="B497" s="1998">
        <f>'Part V-Revenues &amp; Expenses'!B44</f>
        <v>0</v>
      </c>
      <c r="C497" s="1999">
        <f>'Part V-Revenues &amp; Expenses'!C44</f>
        <v>0</v>
      </c>
      <c r="D497" s="2000">
        <f>'Part V-Revenues &amp; Expenses'!D44</f>
        <v>0</v>
      </c>
      <c r="E497" s="2001">
        <f>'Part V-Revenues &amp; Expenses'!E44</f>
        <v>0</v>
      </c>
      <c r="F497" s="2001">
        <f>'Part V-Revenues &amp; Expenses'!F44</f>
        <v>0</v>
      </c>
      <c r="G497" s="2001">
        <f>'Part V-Revenues &amp; Expenses'!G44</f>
        <v>0</v>
      </c>
      <c r="H497" s="2001">
        <f>'Part V-Revenues &amp; Expenses'!H44</f>
        <v>0</v>
      </c>
      <c r="I497" s="2001">
        <f>'Part V-Revenues &amp; Expenses'!I44</f>
        <v>0</v>
      </c>
      <c r="J497" s="2001">
        <f>'Part V-Revenues &amp; Expenses'!J44</f>
        <v>0</v>
      </c>
      <c r="K497" s="2002">
        <f>'Part V-Revenues &amp; Expenses'!K44</f>
        <v>0</v>
      </c>
      <c r="L497" s="2003">
        <f t="shared" si="1"/>
        <v>0</v>
      </c>
      <c r="M497" s="2003">
        <f t="shared" si="2"/>
        <v>0</v>
      </c>
      <c r="N497" s="1853">
        <f>'Part V-Revenues &amp; Expenses'!N44</f>
        <v>0</v>
      </c>
      <c r="O497" s="899">
        <f>'Part V-Revenues &amp; Expenses'!O44</f>
        <v>0</v>
      </c>
      <c r="P497" s="1853">
        <f>'Part V-Revenues &amp; Expenses'!P44</f>
        <v>0</v>
      </c>
      <c r="Q497" s="1772">
        <f>'Part V-Revenues &amp; Expenses'!Q44</f>
        <v>0</v>
      </c>
      <c r="R497" s="2004"/>
      <c r="S497" s="2005"/>
      <c r="T497" s="1920"/>
      <c r="U497" s="1920"/>
      <c r="V497" s="1920"/>
      <c r="W497" s="1920"/>
      <c r="X497" s="251" t="str">
        <f t="shared" si="3"/>
        <v/>
      </c>
      <c r="Y497" s="251" t="str">
        <f t="shared" si="4"/>
        <v/>
      </c>
      <c r="Z497" s="251" t="str">
        <f t="shared" si="5"/>
        <v/>
      </c>
      <c r="AA497" s="251" t="str">
        <f t="shared" si="6"/>
        <v/>
      </c>
      <c r="AB497" s="251" t="str">
        <f t="shared" si="7"/>
        <v/>
      </c>
      <c r="AC497" s="251" t="str">
        <f t="shared" si="8"/>
        <v/>
      </c>
      <c r="AD497" s="251" t="str">
        <f t="shared" si="9"/>
        <v/>
      </c>
      <c r="AE497" s="251" t="str">
        <f t="shared" si="10"/>
        <v/>
      </c>
      <c r="AF497" s="251" t="str">
        <f t="shared" si="11"/>
        <v/>
      </c>
      <c r="AG497" s="251" t="str">
        <f t="shared" si="12"/>
        <v/>
      </c>
      <c r="AH497" s="251" t="str">
        <f t="shared" si="13"/>
        <v/>
      </c>
      <c r="AI497" s="251" t="str">
        <f t="shared" si="14"/>
        <v/>
      </c>
      <c r="AJ497" s="251" t="str">
        <f t="shared" si="15"/>
        <v/>
      </c>
      <c r="AK497" s="251" t="str">
        <f t="shared" si="16"/>
        <v/>
      </c>
      <c r="AL497" s="251" t="str">
        <f t="shared" si="17"/>
        <v/>
      </c>
      <c r="AM497" s="251" t="str">
        <f t="shared" si="18"/>
        <v/>
      </c>
      <c r="AN497" s="251" t="str">
        <f t="shared" si="19"/>
        <v/>
      </c>
      <c r="AO497" s="251" t="str">
        <f t="shared" si="20"/>
        <v/>
      </c>
      <c r="AP497" s="251" t="str">
        <f t="shared" si="21"/>
        <v/>
      </c>
      <c r="AQ497" s="251" t="str">
        <f t="shared" si="22"/>
        <v/>
      </c>
      <c r="AR497" s="251" t="str">
        <f t="shared" si="23"/>
        <v/>
      </c>
      <c r="AS497" s="251" t="str">
        <f t="shared" si="24"/>
        <v/>
      </c>
      <c r="AT497" s="251" t="str">
        <f t="shared" si="25"/>
        <v/>
      </c>
      <c r="AU497" s="251" t="str">
        <f t="shared" si="26"/>
        <v/>
      </c>
      <c r="AV497" s="251" t="str">
        <f t="shared" si="27"/>
        <v/>
      </c>
      <c r="AW497" s="251" t="str">
        <f t="shared" si="28"/>
        <v/>
      </c>
      <c r="AX497" s="251" t="str">
        <f t="shared" si="29"/>
        <v/>
      </c>
      <c r="AY497" s="251" t="str">
        <f t="shared" si="30"/>
        <v/>
      </c>
      <c r="AZ497" s="251" t="str">
        <f t="shared" si="31"/>
        <v/>
      </c>
      <c r="BA497" s="251" t="str">
        <f t="shared" si="32"/>
        <v/>
      </c>
      <c r="BB497" s="251" t="str">
        <f t="shared" si="33"/>
        <v/>
      </c>
      <c r="BC497" s="251" t="str">
        <f t="shared" si="34"/>
        <v/>
      </c>
      <c r="BD497" s="251" t="str">
        <f t="shared" si="35"/>
        <v/>
      </c>
      <c r="BE497" s="251" t="str">
        <f t="shared" si="36"/>
        <v/>
      </c>
      <c r="BF497" s="251" t="str">
        <f t="shared" si="37"/>
        <v/>
      </c>
      <c r="BG497" s="251" t="str">
        <f t="shared" si="38"/>
        <v/>
      </c>
      <c r="BH497" s="251" t="str">
        <f t="shared" si="39"/>
        <v/>
      </c>
      <c r="BI497" s="251" t="str">
        <f t="shared" si="40"/>
        <v/>
      </c>
      <c r="BJ497" s="251" t="str">
        <f t="shared" si="41"/>
        <v/>
      </c>
      <c r="BK497" s="251" t="str">
        <f t="shared" si="42"/>
        <v/>
      </c>
      <c r="BL497" s="251" t="str">
        <f t="shared" si="43"/>
        <v/>
      </c>
      <c r="BM497" s="251" t="str">
        <f t="shared" si="44"/>
        <v/>
      </c>
      <c r="BN497" s="251" t="str">
        <f t="shared" si="45"/>
        <v/>
      </c>
      <c r="BO497" s="251" t="str">
        <f t="shared" si="46"/>
        <v/>
      </c>
      <c r="BP497" s="251" t="str">
        <f t="shared" si="47"/>
        <v/>
      </c>
      <c r="BQ497" s="251" t="str">
        <f t="shared" si="48"/>
        <v/>
      </c>
      <c r="BR497" s="251" t="str">
        <f t="shared" si="49"/>
        <v/>
      </c>
      <c r="BS497" s="251" t="str">
        <f t="shared" si="50"/>
        <v/>
      </c>
      <c r="BT497" s="251" t="str">
        <f t="shared" si="51"/>
        <v/>
      </c>
      <c r="BU497" s="251" t="str">
        <f t="shared" si="52"/>
        <v/>
      </c>
      <c r="BV497" s="251" t="str">
        <f t="shared" si="53"/>
        <v/>
      </c>
      <c r="BW497" s="251" t="str">
        <f t="shared" si="54"/>
        <v/>
      </c>
      <c r="BX497" s="251" t="str">
        <f t="shared" si="55"/>
        <v/>
      </c>
      <c r="BY497" s="251" t="str">
        <f t="shared" si="56"/>
        <v/>
      </c>
      <c r="BZ497" s="251" t="str">
        <f t="shared" si="57"/>
        <v/>
      </c>
      <c r="CA497" s="251" t="str">
        <f t="shared" si="58"/>
        <v/>
      </c>
      <c r="CB497" s="251" t="str">
        <f t="shared" si="59"/>
        <v/>
      </c>
      <c r="CC497" s="251" t="str">
        <f t="shared" si="60"/>
        <v/>
      </c>
      <c r="CD497" s="251" t="str">
        <f t="shared" si="61"/>
        <v/>
      </c>
      <c r="CE497" s="251" t="str">
        <f t="shared" si="62"/>
        <v/>
      </c>
      <c r="CF497" s="251" t="str">
        <f t="shared" si="63"/>
        <v/>
      </c>
      <c r="CG497" s="251" t="str">
        <f t="shared" si="64"/>
        <v/>
      </c>
      <c r="CH497" s="251" t="str">
        <f t="shared" si="65"/>
        <v/>
      </c>
      <c r="CI497" s="251" t="str">
        <f t="shared" si="66"/>
        <v/>
      </c>
      <c r="CJ497" s="251" t="str">
        <f t="shared" si="67"/>
        <v/>
      </c>
      <c r="CK497" s="251" t="str">
        <f t="shared" si="68"/>
        <v/>
      </c>
      <c r="CL497" s="251" t="str">
        <f t="shared" si="69"/>
        <v/>
      </c>
      <c r="CM497" s="251" t="str">
        <f t="shared" si="70"/>
        <v/>
      </c>
      <c r="CN497" s="251" t="str">
        <f t="shared" si="71"/>
        <v/>
      </c>
      <c r="CO497" s="251" t="str">
        <f t="shared" si="72"/>
        <v/>
      </c>
      <c r="CP497" s="251" t="str">
        <f t="shared" si="73"/>
        <v/>
      </c>
      <c r="CQ497" s="251" t="str">
        <f t="shared" si="74"/>
        <v/>
      </c>
      <c r="CR497" s="251" t="str">
        <f t="shared" si="75"/>
        <v/>
      </c>
      <c r="CS497" s="251" t="str">
        <f t="shared" si="76"/>
        <v/>
      </c>
      <c r="CT497" s="251" t="str">
        <f t="shared" si="77"/>
        <v/>
      </c>
      <c r="CU497" s="251" t="str">
        <f t="shared" si="78"/>
        <v/>
      </c>
      <c r="CV497" s="251" t="str">
        <f t="shared" si="79"/>
        <v/>
      </c>
      <c r="CW497" s="251" t="str">
        <f t="shared" si="80"/>
        <v/>
      </c>
      <c r="CX497" s="251" t="str">
        <f t="shared" si="81"/>
        <v/>
      </c>
      <c r="CY497" s="251" t="str">
        <f t="shared" si="82"/>
        <v/>
      </c>
      <c r="CZ497" s="251" t="str">
        <f t="shared" si="83"/>
        <v/>
      </c>
      <c r="DA497" s="251" t="str">
        <f t="shared" si="84"/>
        <v/>
      </c>
      <c r="DB497" s="251" t="str">
        <f t="shared" si="85"/>
        <v/>
      </c>
      <c r="DC497" s="251" t="str">
        <f t="shared" si="86"/>
        <v/>
      </c>
      <c r="DD497" s="251" t="str">
        <f t="shared" si="87"/>
        <v/>
      </c>
      <c r="DE497" s="251" t="str">
        <f t="shared" si="88"/>
        <v/>
      </c>
      <c r="DF497" s="251" t="str">
        <f t="shared" si="89"/>
        <v/>
      </c>
      <c r="DG497" s="251" t="str">
        <f t="shared" si="90"/>
        <v/>
      </c>
      <c r="DH497" s="251" t="str">
        <f t="shared" si="91"/>
        <v/>
      </c>
      <c r="DI497" s="251" t="str">
        <f t="shared" si="92"/>
        <v/>
      </c>
      <c r="DJ497" s="251" t="str">
        <f t="shared" si="93"/>
        <v/>
      </c>
      <c r="DK497" s="251" t="str">
        <f t="shared" si="94"/>
        <v/>
      </c>
      <c r="DL497" s="251" t="str">
        <f t="shared" si="95"/>
        <v/>
      </c>
      <c r="DM497" s="251" t="str">
        <f t="shared" si="96"/>
        <v/>
      </c>
      <c r="DN497" s="251" t="str">
        <f t="shared" si="97"/>
        <v/>
      </c>
      <c r="DO497" s="251" t="str">
        <f t="shared" si="98"/>
        <v/>
      </c>
      <c r="DP497" s="251" t="str">
        <f t="shared" si="99"/>
        <v/>
      </c>
      <c r="DQ497" s="251" t="str">
        <f t="shared" si="100"/>
        <v/>
      </c>
      <c r="DR497" s="251" t="str">
        <f t="shared" si="101"/>
        <v/>
      </c>
      <c r="DS497" s="251" t="str">
        <f t="shared" si="102"/>
        <v/>
      </c>
      <c r="DT497" s="251" t="str">
        <f t="shared" si="103"/>
        <v/>
      </c>
      <c r="DU497" s="251" t="str">
        <f t="shared" si="104"/>
        <v/>
      </c>
      <c r="DV497" s="251" t="str">
        <f t="shared" si="105"/>
        <v/>
      </c>
      <c r="DW497" s="251" t="str">
        <f t="shared" si="106"/>
        <v/>
      </c>
      <c r="DX497" s="251" t="str">
        <f t="shared" si="107"/>
        <v/>
      </c>
      <c r="DY497" s="251" t="str">
        <f t="shared" si="108"/>
        <v/>
      </c>
      <c r="DZ497" s="251" t="str">
        <f t="shared" si="109"/>
        <v/>
      </c>
      <c r="EA497" s="251" t="str">
        <f t="shared" si="110"/>
        <v/>
      </c>
      <c r="EB497" s="251" t="str">
        <f t="shared" si="111"/>
        <v/>
      </c>
      <c r="EC497" s="251" t="str">
        <f t="shared" si="112"/>
        <v/>
      </c>
      <c r="ED497" s="251" t="str">
        <f t="shared" si="113"/>
        <v/>
      </c>
      <c r="EE497" s="251" t="str">
        <f t="shared" si="114"/>
        <v/>
      </c>
      <c r="EF497" s="251" t="str">
        <f t="shared" si="115"/>
        <v/>
      </c>
      <c r="EG497" s="251" t="str">
        <f t="shared" si="116"/>
        <v/>
      </c>
      <c r="EH497" s="251" t="str">
        <f t="shared" si="117"/>
        <v/>
      </c>
      <c r="EI497" s="251" t="str">
        <f t="shared" si="118"/>
        <v/>
      </c>
      <c r="EJ497" s="251" t="str">
        <f t="shared" si="119"/>
        <v/>
      </c>
      <c r="EK497" s="251" t="str">
        <f t="shared" si="120"/>
        <v/>
      </c>
      <c r="EL497" s="251" t="str">
        <f t="shared" si="121"/>
        <v/>
      </c>
      <c r="EM497" s="251" t="str">
        <f t="shared" si="122"/>
        <v/>
      </c>
      <c r="EN497" s="251" t="str">
        <f t="shared" si="123"/>
        <v/>
      </c>
      <c r="EO497" s="251" t="str">
        <f t="shared" si="124"/>
        <v/>
      </c>
      <c r="EP497" s="251" t="str">
        <f t="shared" si="125"/>
        <v/>
      </c>
      <c r="EQ497" s="251" t="str">
        <f t="shared" si="126"/>
        <v/>
      </c>
      <c r="ER497" s="251" t="str">
        <f t="shared" si="127"/>
        <v/>
      </c>
      <c r="ES497" s="251" t="str">
        <f t="shared" si="128"/>
        <v/>
      </c>
      <c r="ET497" s="251" t="str">
        <f t="shared" si="129"/>
        <v/>
      </c>
      <c r="EU497" s="251" t="str">
        <f t="shared" si="130"/>
        <v/>
      </c>
      <c r="EV497" s="251" t="str">
        <f t="shared" si="131"/>
        <v/>
      </c>
      <c r="EW497" s="251" t="str">
        <f t="shared" si="132"/>
        <v/>
      </c>
      <c r="EX497" s="251" t="str">
        <f t="shared" si="133"/>
        <v/>
      </c>
      <c r="EY497" s="251" t="str">
        <f t="shared" si="134"/>
        <v/>
      </c>
      <c r="EZ497" s="251" t="str">
        <f t="shared" si="135"/>
        <v/>
      </c>
      <c r="FA497" s="251" t="str">
        <f t="shared" si="136"/>
        <v/>
      </c>
      <c r="FB497" s="251" t="str">
        <f t="shared" si="137"/>
        <v/>
      </c>
      <c r="FC497" s="251" t="str">
        <f t="shared" si="138"/>
        <v/>
      </c>
      <c r="FD497" s="251" t="str">
        <f t="shared" si="139"/>
        <v/>
      </c>
      <c r="FE497" s="251" t="str">
        <f t="shared" si="140"/>
        <v/>
      </c>
      <c r="FF497" s="251" t="str">
        <f t="shared" si="141"/>
        <v/>
      </c>
      <c r="FG497" s="251" t="str">
        <f t="shared" si="142"/>
        <v/>
      </c>
      <c r="FH497" s="251" t="str">
        <f t="shared" si="143"/>
        <v/>
      </c>
      <c r="FI497" s="251" t="str">
        <f t="shared" si="144"/>
        <v/>
      </c>
      <c r="FJ497" s="251" t="str">
        <f t="shared" si="145"/>
        <v/>
      </c>
      <c r="FK497" s="251" t="str">
        <f t="shared" si="146"/>
        <v/>
      </c>
      <c r="FL497" s="251" t="str">
        <f t="shared" si="147"/>
        <v/>
      </c>
      <c r="FM497" s="251" t="str">
        <f t="shared" si="148"/>
        <v/>
      </c>
      <c r="FN497" s="251" t="str">
        <f t="shared" si="149"/>
        <v/>
      </c>
      <c r="FO497" s="251" t="str">
        <f t="shared" si="150"/>
        <v/>
      </c>
      <c r="FP497" s="251" t="str">
        <f t="shared" si="151"/>
        <v/>
      </c>
      <c r="FQ497" s="251" t="str">
        <f t="shared" si="152"/>
        <v/>
      </c>
      <c r="FR497" s="251" t="str">
        <f t="shared" si="153"/>
        <v/>
      </c>
      <c r="FS497" s="251" t="str">
        <f t="shared" si="154"/>
        <v/>
      </c>
      <c r="FT497" s="251" t="str">
        <f t="shared" si="155"/>
        <v/>
      </c>
      <c r="FU497" s="251" t="str">
        <f t="shared" si="156"/>
        <v/>
      </c>
      <c r="FV497" s="251" t="str">
        <f t="shared" si="157"/>
        <v/>
      </c>
      <c r="FW497" s="251" t="str">
        <f t="shared" si="158"/>
        <v/>
      </c>
      <c r="FX497" s="251" t="str">
        <f t="shared" si="159"/>
        <v/>
      </c>
      <c r="FY497" s="251" t="str">
        <f t="shared" si="160"/>
        <v/>
      </c>
      <c r="FZ497" s="251" t="str">
        <f t="shared" si="161"/>
        <v/>
      </c>
      <c r="GA497" s="251" t="str">
        <f t="shared" si="162"/>
        <v/>
      </c>
      <c r="GB497" s="251" t="str">
        <f t="shared" si="163"/>
        <v/>
      </c>
      <c r="GC497" s="251" t="str">
        <f t="shared" si="164"/>
        <v/>
      </c>
      <c r="GD497" s="251" t="str">
        <f t="shared" si="165"/>
        <v/>
      </c>
      <c r="GE497" s="251" t="str">
        <f t="shared" si="166"/>
        <v/>
      </c>
      <c r="GF497" s="251" t="str">
        <f t="shared" si="167"/>
        <v/>
      </c>
      <c r="GG497" s="251" t="str">
        <f t="shared" si="168"/>
        <v/>
      </c>
      <c r="GH497" s="251" t="str">
        <f t="shared" si="169"/>
        <v/>
      </c>
      <c r="GI497" s="251" t="str">
        <f t="shared" si="170"/>
        <v/>
      </c>
      <c r="GJ497" s="251" t="str">
        <f t="shared" si="171"/>
        <v/>
      </c>
      <c r="GK497" s="251" t="str">
        <f t="shared" si="172"/>
        <v/>
      </c>
      <c r="GL497" s="251" t="str">
        <f t="shared" si="173"/>
        <v/>
      </c>
      <c r="GM497" s="251" t="str">
        <f t="shared" si="174"/>
        <v/>
      </c>
      <c r="GN497" s="251" t="str">
        <f t="shared" si="175"/>
        <v/>
      </c>
      <c r="GO497" s="251" t="str">
        <f t="shared" si="176"/>
        <v/>
      </c>
      <c r="GP497" s="251" t="str">
        <f t="shared" si="177"/>
        <v/>
      </c>
      <c r="GQ497" s="251" t="str">
        <f t="shared" si="178"/>
        <v/>
      </c>
      <c r="GR497" s="251" t="str">
        <f t="shared" si="179"/>
        <v/>
      </c>
      <c r="GS497" s="251" t="str">
        <f t="shared" si="180"/>
        <v/>
      </c>
      <c r="GT497" s="251" t="str">
        <f t="shared" si="181"/>
        <v/>
      </c>
      <c r="GU497" s="251" t="str">
        <f t="shared" si="182"/>
        <v/>
      </c>
      <c r="GV497" s="251" t="str">
        <f t="shared" si="183"/>
        <v/>
      </c>
      <c r="GW497" s="251" t="str">
        <f t="shared" si="184"/>
        <v/>
      </c>
      <c r="GX497" s="251" t="str">
        <f t="shared" si="185"/>
        <v/>
      </c>
      <c r="GY497" s="251" t="str">
        <f t="shared" si="186"/>
        <v/>
      </c>
      <c r="GZ497" s="251" t="str">
        <f t="shared" si="187"/>
        <v/>
      </c>
      <c r="HA497" s="251" t="str">
        <f t="shared" si="188"/>
        <v/>
      </c>
      <c r="HB497" s="251" t="str">
        <f t="shared" si="189"/>
        <v/>
      </c>
      <c r="HC497" s="251" t="str">
        <f t="shared" si="190"/>
        <v/>
      </c>
      <c r="HD497" s="251" t="str">
        <f t="shared" si="191"/>
        <v/>
      </c>
      <c r="HE497" s="251" t="str">
        <f t="shared" si="192"/>
        <v/>
      </c>
      <c r="HF497" s="251" t="str">
        <f t="shared" si="193"/>
        <v/>
      </c>
      <c r="HG497" s="251" t="str">
        <f t="shared" si="194"/>
        <v/>
      </c>
      <c r="HH497" s="251" t="str">
        <f t="shared" si="195"/>
        <v/>
      </c>
      <c r="HI497" s="251" t="str">
        <f t="shared" si="196"/>
        <v/>
      </c>
      <c r="HJ497" s="251" t="str">
        <f t="shared" si="197"/>
        <v/>
      </c>
      <c r="HK497" s="251" t="str">
        <f t="shared" si="198"/>
        <v/>
      </c>
      <c r="HL497" s="251" t="str">
        <f t="shared" si="199"/>
        <v/>
      </c>
      <c r="HM497" s="251" t="str">
        <f t="shared" si="200"/>
        <v/>
      </c>
      <c r="HN497" s="251" t="str">
        <f t="shared" si="201"/>
        <v/>
      </c>
      <c r="HO497" s="251" t="str">
        <f t="shared" si="202"/>
        <v/>
      </c>
      <c r="HP497" s="251" t="str">
        <f t="shared" si="203"/>
        <v/>
      </c>
      <c r="HQ497" s="251" t="str">
        <f t="shared" si="204"/>
        <v/>
      </c>
      <c r="HR497" s="251" t="str">
        <f t="shared" si="205"/>
        <v/>
      </c>
      <c r="HS497" s="251" t="str">
        <f t="shared" si="206"/>
        <v/>
      </c>
      <c r="HT497" s="251" t="str">
        <f t="shared" si="207"/>
        <v/>
      </c>
      <c r="HU497" s="251" t="str">
        <f t="shared" si="208"/>
        <v/>
      </c>
      <c r="HV497" s="251" t="str">
        <f t="shared" si="209"/>
        <v/>
      </c>
      <c r="HW497" s="251" t="str">
        <f t="shared" si="210"/>
        <v/>
      </c>
      <c r="HX497" s="251" t="str">
        <f t="shared" si="211"/>
        <v/>
      </c>
      <c r="HY497" s="251" t="str">
        <f t="shared" si="212"/>
        <v/>
      </c>
      <c r="HZ497" s="251" t="str">
        <f t="shared" si="213"/>
        <v/>
      </c>
      <c r="IA497" s="251" t="str">
        <f t="shared" si="214"/>
        <v/>
      </c>
      <c r="IB497" s="251" t="str">
        <f t="shared" si="215"/>
        <v/>
      </c>
      <c r="IC497" s="251" t="str">
        <f t="shared" si="216"/>
        <v/>
      </c>
      <c r="ID497" s="251" t="str">
        <f t="shared" si="217"/>
        <v/>
      </c>
      <c r="IE497" s="251" t="str">
        <f t="shared" si="218"/>
        <v/>
      </c>
      <c r="IF497" s="251" t="str">
        <f t="shared" si="219"/>
        <v/>
      </c>
      <c r="IG497" s="251" t="str">
        <f t="shared" si="220"/>
        <v/>
      </c>
      <c r="IH497" s="251" t="str">
        <f t="shared" si="221"/>
        <v/>
      </c>
      <c r="II497" s="251" t="str">
        <f t="shared" si="222"/>
        <v/>
      </c>
      <c r="IJ497" s="251" t="str">
        <f t="shared" si="223"/>
        <v/>
      </c>
      <c r="IK497" s="251" t="str">
        <f t="shared" si="224"/>
        <v/>
      </c>
      <c r="IL497" s="251" t="str">
        <f t="shared" si="225"/>
        <v/>
      </c>
      <c r="IM497" s="251" t="str">
        <f t="shared" si="226"/>
        <v/>
      </c>
      <c r="IN497" s="251" t="str">
        <f t="shared" si="227"/>
        <v/>
      </c>
      <c r="IO497" s="251" t="str">
        <f t="shared" si="228"/>
        <v/>
      </c>
      <c r="IP497" s="251" t="str">
        <f t="shared" si="229"/>
        <v/>
      </c>
      <c r="IQ497" s="251" t="str">
        <f t="shared" si="230"/>
        <v/>
      </c>
      <c r="IR497" s="251" t="str">
        <f t="shared" si="231"/>
        <v/>
      </c>
      <c r="IS497" s="251" t="str">
        <f t="shared" si="232"/>
        <v/>
      </c>
      <c r="IT497" s="251" t="str">
        <f t="shared" si="233"/>
        <v/>
      </c>
      <c r="IU497" s="251" t="str">
        <f t="shared" si="234"/>
        <v/>
      </c>
      <c r="IV497" s="251" t="str">
        <f t="shared" si="235"/>
        <v/>
      </c>
      <c r="IW497" s="251" t="str">
        <f t="shared" si="236"/>
        <v/>
      </c>
      <c r="IX497" s="251" t="str">
        <f t="shared" si="237"/>
        <v/>
      </c>
      <c r="IY497" s="251" t="str">
        <f t="shared" si="238"/>
        <v/>
      </c>
      <c r="IZ497" s="251" t="str">
        <f t="shared" si="239"/>
        <v/>
      </c>
      <c r="JA497" s="251" t="str">
        <f t="shared" si="240"/>
        <v/>
      </c>
      <c r="JB497" s="251" t="str">
        <f t="shared" si="241"/>
        <v/>
      </c>
      <c r="JC497" s="251" t="str">
        <f t="shared" si="242"/>
        <v/>
      </c>
      <c r="JD497" s="251" t="str">
        <f t="shared" si="243"/>
        <v/>
      </c>
      <c r="JE497" s="251" t="str">
        <f t="shared" si="244"/>
        <v/>
      </c>
      <c r="JF497" s="251" t="str">
        <f t="shared" si="245"/>
        <v/>
      </c>
      <c r="JG497" s="251" t="str">
        <f t="shared" si="246"/>
        <v/>
      </c>
      <c r="JH497" s="251" t="str">
        <f t="shared" si="247"/>
        <v/>
      </c>
      <c r="JI497" s="1297" t="str">
        <f t="shared" si="248"/>
        <v/>
      </c>
      <c r="JJ497" s="1297" t="str">
        <f t="shared" si="249"/>
        <v/>
      </c>
      <c r="JK497" s="1297" t="str">
        <f t="shared" si="250"/>
        <v/>
      </c>
      <c r="JL497" s="1297" t="str">
        <f t="shared" si="251"/>
        <v/>
      </c>
      <c r="JM497" s="1297" t="str">
        <f t="shared" si="252"/>
        <v/>
      </c>
      <c r="JN497" s="1297" t="str">
        <f t="shared" si="253"/>
        <v/>
      </c>
      <c r="JO497" s="1297" t="str">
        <f t="shared" si="254"/>
        <v/>
      </c>
      <c r="JP497" s="1297" t="str">
        <f t="shared" si="255"/>
        <v/>
      </c>
      <c r="JQ497" s="1297" t="str">
        <f t="shared" si="256"/>
        <v/>
      </c>
      <c r="JR497" s="1297" t="str">
        <f t="shared" si="257"/>
        <v/>
      </c>
      <c r="JS497" s="1297" t="str">
        <f t="shared" si="258"/>
        <v/>
      </c>
      <c r="JT497" s="1297" t="str">
        <f t="shared" si="259"/>
        <v/>
      </c>
      <c r="JU497" s="1297" t="str">
        <f t="shared" si="260"/>
        <v/>
      </c>
      <c r="JV497" s="1297" t="str">
        <f t="shared" si="261"/>
        <v/>
      </c>
      <c r="JW497" s="1297" t="str">
        <f t="shared" si="262"/>
        <v/>
      </c>
      <c r="JX497" s="1297" t="str">
        <f t="shared" si="263"/>
        <v/>
      </c>
      <c r="JY497" s="1297" t="str">
        <f t="shared" si="264"/>
        <v/>
      </c>
      <c r="JZ497" s="1297" t="str">
        <f t="shared" si="265"/>
        <v/>
      </c>
      <c r="KA497" s="1297" t="str">
        <f t="shared" si="266"/>
        <v/>
      </c>
      <c r="KB497" s="1297" t="str">
        <f t="shared" si="267"/>
        <v/>
      </c>
      <c r="KC497" s="1297" t="str">
        <f t="shared" si="268"/>
        <v/>
      </c>
      <c r="KD497" s="1297" t="str">
        <f t="shared" si="269"/>
        <v/>
      </c>
      <c r="KE497" s="1297" t="str">
        <f t="shared" si="270"/>
        <v/>
      </c>
      <c r="KF497" s="1297" t="str">
        <f t="shared" si="271"/>
        <v/>
      </c>
      <c r="KG497" s="1297" t="str">
        <f t="shared" si="272"/>
        <v/>
      </c>
      <c r="KH497" s="1297" t="str">
        <f t="shared" si="273"/>
        <v/>
      </c>
      <c r="KI497" s="1297" t="str">
        <f t="shared" si="274"/>
        <v/>
      </c>
      <c r="KJ497" s="1297" t="str">
        <f t="shared" si="275"/>
        <v/>
      </c>
      <c r="KK497" s="1297" t="str">
        <f t="shared" si="276"/>
        <v/>
      </c>
      <c r="KL497" s="1297" t="str">
        <f t="shared" si="277"/>
        <v/>
      </c>
      <c r="KM497" s="1297" t="str">
        <f t="shared" si="278"/>
        <v/>
      </c>
      <c r="KN497" s="1297" t="str">
        <f t="shared" si="279"/>
        <v/>
      </c>
      <c r="KO497" s="1297" t="str">
        <f t="shared" si="280"/>
        <v/>
      </c>
      <c r="KP497" s="1297" t="str">
        <f t="shared" si="281"/>
        <v/>
      </c>
      <c r="KQ497" s="1297" t="str">
        <f t="shared" si="282"/>
        <v/>
      </c>
      <c r="KR497" s="1297" t="str">
        <f t="shared" si="283"/>
        <v/>
      </c>
      <c r="KS497" s="1297" t="str">
        <f t="shared" si="284"/>
        <v/>
      </c>
      <c r="KT497" s="1297" t="str">
        <f t="shared" si="285"/>
        <v/>
      </c>
      <c r="KU497" s="1297" t="str">
        <f t="shared" si="286"/>
        <v/>
      </c>
      <c r="KV497" s="1297" t="str">
        <f t="shared" si="287"/>
        <v/>
      </c>
      <c r="KW497" s="1297" t="str">
        <f t="shared" si="288"/>
        <v/>
      </c>
      <c r="KX497" s="1297" t="str">
        <f t="shared" si="289"/>
        <v/>
      </c>
      <c r="KY497" s="1297" t="str">
        <f t="shared" si="290"/>
        <v/>
      </c>
      <c r="KZ497" s="1297" t="str">
        <f t="shared" si="291"/>
        <v/>
      </c>
      <c r="LA497" s="1297" t="str">
        <f t="shared" si="292"/>
        <v/>
      </c>
      <c r="LB497" s="1297" t="str">
        <f t="shared" si="293"/>
        <v/>
      </c>
      <c r="LC497" s="1297" t="str">
        <f t="shared" si="294"/>
        <v/>
      </c>
      <c r="LD497" s="1297" t="str">
        <f t="shared" si="295"/>
        <v/>
      </c>
      <c r="LE497" s="1297" t="str">
        <f t="shared" si="296"/>
        <v/>
      </c>
      <c r="LF497" s="1297" t="str">
        <f t="shared" si="297"/>
        <v/>
      </c>
      <c r="LG497" s="1297" t="str">
        <f t="shared" si="298"/>
        <v/>
      </c>
      <c r="LH497" s="1297" t="str">
        <f t="shared" si="299"/>
        <v/>
      </c>
      <c r="LI497" s="1297" t="str">
        <f t="shared" si="300"/>
        <v/>
      </c>
      <c r="LJ497" s="1297" t="str">
        <f t="shared" si="301"/>
        <v/>
      </c>
      <c r="LK497" s="1297" t="str">
        <f t="shared" si="302"/>
        <v/>
      </c>
      <c r="LL497" s="1297" t="str">
        <f t="shared" si="303"/>
        <v/>
      </c>
      <c r="LM497" s="1297" t="str">
        <f t="shared" si="304"/>
        <v/>
      </c>
      <c r="LN497" s="1297" t="str">
        <f t="shared" si="305"/>
        <v/>
      </c>
      <c r="LO497" s="1297" t="str">
        <f t="shared" si="306"/>
        <v/>
      </c>
      <c r="LP497" s="1297" t="str">
        <f t="shared" si="307"/>
        <v/>
      </c>
      <c r="LQ497" s="1297" t="str">
        <f t="shared" si="308"/>
        <v/>
      </c>
      <c r="LR497" s="1297" t="str">
        <f t="shared" si="309"/>
        <v/>
      </c>
      <c r="LS497" s="1297" t="str">
        <f t="shared" si="310"/>
        <v/>
      </c>
      <c r="LT497" s="1297" t="str">
        <f t="shared" si="311"/>
        <v/>
      </c>
      <c r="LU497" s="1297" t="str">
        <f t="shared" si="312"/>
        <v/>
      </c>
      <c r="LV497" s="1297" t="str">
        <f t="shared" si="313"/>
        <v/>
      </c>
      <c r="LW497" s="1297" t="str">
        <f t="shared" si="314"/>
        <v/>
      </c>
      <c r="LX497" s="1297" t="str">
        <f t="shared" si="315"/>
        <v/>
      </c>
      <c r="LY497" s="1297" t="str">
        <f t="shared" si="316"/>
        <v/>
      </c>
      <c r="LZ497" s="1297" t="str">
        <f t="shared" si="317"/>
        <v/>
      </c>
      <c r="MA497" s="1297" t="str">
        <f t="shared" si="318"/>
        <v/>
      </c>
      <c r="MB497" s="1297" t="str">
        <f t="shared" si="319"/>
        <v/>
      </c>
      <c r="MC497" s="1297" t="str">
        <f t="shared" si="320"/>
        <v/>
      </c>
      <c r="MD497" s="1297" t="str">
        <f t="shared" si="321"/>
        <v/>
      </c>
      <c r="ME497" s="1297" t="str">
        <f t="shared" si="322"/>
        <v/>
      </c>
      <c r="MF497" s="1297" t="str">
        <f t="shared" si="323"/>
        <v/>
      </c>
      <c r="MG497" s="1297" t="str">
        <f t="shared" si="324"/>
        <v/>
      </c>
      <c r="MH497" s="1297" t="str">
        <f t="shared" si="325"/>
        <v/>
      </c>
      <c r="MI497" s="1297" t="str">
        <f t="shared" si="326"/>
        <v/>
      </c>
      <c r="MJ497" s="1297" t="str">
        <f t="shared" si="327"/>
        <v/>
      </c>
      <c r="MK497" s="1297" t="str">
        <f t="shared" si="328"/>
        <v/>
      </c>
      <c r="ML497" s="1297" t="str">
        <f t="shared" si="329"/>
        <v/>
      </c>
      <c r="MM497" s="1297" t="str">
        <f t="shared" si="330"/>
        <v/>
      </c>
      <c r="MN497" s="1297" t="str">
        <f t="shared" si="331"/>
        <v/>
      </c>
      <c r="MO497" s="1297" t="str">
        <f t="shared" si="332"/>
        <v/>
      </c>
      <c r="MP497" s="1773" t="str">
        <f t="shared" si="333"/>
        <v/>
      </c>
      <c r="MQ497" s="1773" t="str">
        <f t="shared" si="334"/>
        <v/>
      </c>
      <c r="MR497" s="1773" t="str">
        <f t="shared" si="335"/>
        <v/>
      </c>
      <c r="MS497" s="1773" t="str">
        <f t="shared" si="336"/>
        <v/>
      </c>
      <c r="MT497" s="1773" t="str">
        <f t="shared" si="337"/>
        <v/>
      </c>
      <c r="MU497" s="251" t="str">
        <f t="shared" si="338"/>
        <v/>
      </c>
      <c r="MV497" s="251" t="str">
        <f t="shared" si="339"/>
        <v/>
      </c>
      <c r="MW497" s="251" t="str">
        <f t="shared" si="340"/>
        <v/>
      </c>
      <c r="MX497" s="251" t="str">
        <f t="shared" si="341"/>
        <v/>
      </c>
      <c r="MY497" s="251" t="str">
        <f t="shared" si="342"/>
        <v/>
      </c>
      <c r="MZ497" s="251" t="str">
        <f t="shared" si="343"/>
        <v/>
      </c>
      <c r="NA497" s="251" t="str">
        <f t="shared" si="344"/>
        <v/>
      </c>
      <c r="NB497" s="251" t="str">
        <f t="shared" si="345"/>
        <v/>
      </c>
      <c r="NC497" s="251" t="str">
        <f t="shared" si="346"/>
        <v/>
      </c>
      <c r="ND497" s="251" t="str">
        <f t="shared" si="347"/>
        <v/>
      </c>
      <c r="NE497" s="251" t="str">
        <f t="shared" si="348"/>
        <v/>
      </c>
      <c r="NF497" s="251" t="str">
        <f t="shared" si="349"/>
        <v/>
      </c>
      <c r="NG497" s="251" t="str">
        <f t="shared" si="350"/>
        <v/>
      </c>
      <c r="NH497" s="251" t="str">
        <f t="shared" si="351"/>
        <v/>
      </c>
      <c r="NI497" s="251" t="str">
        <f t="shared" si="352"/>
        <v/>
      </c>
      <c r="NJ497" s="251" t="str">
        <f t="shared" si="353"/>
        <v/>
      </c>
      <c r="NK497" s="251" t="str">
        <f t="shared" si="354"/>
        <v/>
      </c>
      <c r="NL497" s="251" t="str">
        <f t="shared" si="355"/>
        <v/>
      </c>
      <c r="NM497" s="251" t="str">
        <f t="shared" si="356"/>
        <v/>
      </c>
      <c r="NN497" s="251" t="str">
        <f t="shared" si="357"/>
        <v/>
      </c>
      <c r="NO497" s="1185">
        <f t="shared" si="358"/>
        <v>0</v>
      </c>
      <c r="NP497" s="1185">
        <f t="shared" si="359"/>
        <v>0</v>
      </c>
      <c r="NQ497" s="1185">
        <f t="shared" si="360"/>
        <v>0</v>
      </c>
      <c r="NR497" s="1185">
        <f t="shared" si="361"/>
        <v>0</v>
      </c>
      <c r="NS497" s="1185">
        <f t="shared" si="362"/>
        <v>0</v>
      </c>
      <c r="NT497" s="1185">
        <f t="shared" si="368"/>
        <v>0</v>
      </c>
      <c r="NU497" s="1185">
        <f t="shared" si="369"/>
        <v>0</v>
      </c>
      <c r="NV497" s="1185">
        <f t="shared" si="370"/>
        <v>0</v>
      </c>
      <c r="NW497" s="1185">
        <f t="shared" si="371"/>
        <v>0</v>
      </c>
      <c r="NX497" s="1185">
        <f t="shared" si="372"/>
        <v>0</v>
      </c>
      <c r="NY497" s="1185">
        <f t="shared" si="363"/>
        <v>0</v>
      </c>
      <c r="NZ497" s="1185">
        <f t="shared" si="364"/>
        <v>0</v>
      </c>
      <c r="OA497" s="1185">
        <f t="shared" si="365"/>
        <v>0</v>
      </c>
      <c r="OB497" s="1185">
        <f t="shared" si="366"/>
        <v>0</v>
      </c>
      <c r="OC497" s="1185">
        <f t="shared" si="367"/>
        <v>0</v>
      </c>
      <c r="OY497" s="251" t="s">
        <v>1192</v>
      </c>
      <c r="OZ497" s="1185">
        <v>44</v>
      </c>
    </row>
    <row r="498" spans="1:416" ht="12" customHeight="1">
      <c r="A498" s="1979" t="str">
        <f t="shared" si="0"/>
        <v/>
      </c>
      <c r="B498" s="1998">
        <f>'Part V-Revenues &amp; Expenses'!B45</f>
        <v>0</v>
      </c>
      <c r="C498" s="1999">
        <f>'Part V-Revenues &amp; Expenses'!C45</f>
        <v>0</v>
      </c>
      <c r="D498" s="2000">
        <f>'Part V-Revenues &amp; Expenses'!D45</f>
        <v>0</v>
      </c>
      <c r="E498" s="2001">
        <f>'Part V-Revenues &amp; Expenses'!E45</f>
        <v>0</v>
      </c>
      <c r="F498" s="2001">
        <f>'Part V-Revenues &amp; Expenses'!F45</f>
        <v>0</v>
      </c>
      <c r="G498" s="2001">
        <f>'Part V-Revenues &amp; Expenses'!G45</f>
        <v>0</v>
      </c>
      <c r="H498" s="2001">
        <f>'Part V-Revenues &amp; Expenses'!H45</f>
        <v>0</v>
      </c>
      <c r="I498" s="2001">
        <f>'Part V-Revenues &amp; Expenses'!I45</f>
        <v>0</v>
      </c>
      <c r="J498" s="2001">
        <f>'Part V-Revenues &amp; Expenses'!J45</f>
        <v>0</v>
      </c>
      <c r="K498" s="2002">
        <f>'Part V-Revenues &amp; Expenses'!K45</f>
        <v>0</v>
      </c>
      <c r="L498" s="2003">
        <f t="shared" si="1"/>
        <v>0</v>
      </c>
      <c r="M498" s="2003">
        <f t="shared" si="2"/>
        <v>0</v>
      </c>
      <c r="N498" s="1853">
        <f>'Part V-Revenues &amp; Expenses'!N45</f>
        <v>0</v>
      </c>
      <c r="O498" s="899">
        <f>'Part V-Revenues &amp; Expenses'!O45</f>
        <v>0</v>
      </c>
      <c r="P498" s="1853">
        <f>'Part V-Revenues &amp; Expenses'!P45</f>
        <v>0</v>
      </c>
      <c r="Q498" s="1772">
        <f>'Part V-Revenues &amp; Expenses'!Q45</f>
        <v>0</v>
      </c>
      <c r="R498" s="2004"/>
      <c r="S498" s="2005"/>
      <c r="T498" s="1920"/>
      <c r="U498" s="1920"/>
      <c r="V498" s="1920"/>
      <c r="W498" s="1920"/>
      <c r="X498" s="251" t="str">
        <f t="shared" si="3"/>
        <v/>
      </c>
      <c r="Y498" s="251" t="str">
        <f t="shared" si="4"/>
        <v/>
      </c>
      <c r="Z498" s="251" t="str">
        <f t="shared" si="5"/>
        <v/>
      </c>
      <c r="AA498" s="251" t="str">
        <f t="shared" si="6"/>
        <v/>
      </c>
      <c r="AB498" s="251" t="str">
        <f t="shared" si="7"/>
        <v/>
      </c>
      <c r="AC498" s="251" t="str">
        <f t="shared" si="8"/>
        <v/>
      </c>
      <c r="AD498" s="251" t="str">
        <f t="shared" si="9"/>
        <v/>
      </c>
      <c r="AE498" s="251" t="str">
        <f t="shared" si="10"/>
        <v/>
      </c>
      <c r="AF498" s="251" t="str">
        <f t="shared" si="11"/>
        <v/>
      </c>
      <c r="AG498" s="251" t="str">
        <f t="shared" si="12"/>
        <v/>
      </c>
      <c r="AH498" s="251" t="str">
        <f t="shared" si="13"/>
        <v/>
      </c>
      <c r="AI498" s="251" t="str">
        <f t="shared" si="14"/>
        <v/>
      </c>
      <c r="AJ498" s="251" t="str">
        <f t="shared" si="15"/>
        <v/>
      </c>
      <c r="AK498" s="251" t="str">
        <f t="shared" si="16"/>
        <v/>
      </c>
      <c r="AL498" s="251" t="str">
        <f t="shared" si="17"/>
        <v/>
      </c>
      <c r="AM498" s="251" t="str">
        <f t="shared" si="18"/>
        <v/>
      </c>
      <c r="AN498" s="251" t="str">
        <f t="shared" si="19"/>
        <v/>
      </c>
      <c r="AO498" s="251" t="str">
        <f t="shared" si="20"/>
        <v/>
      </c>
      <c r="AP498" s="251" t="str">
        <f t="shared" si="21"/>
        <v/>
      </c>
      <c r="AQ498" s="251" t="str">
        <f t="shared" si="22"/>
        <v/>
      </c>
      <c r="AR498" s="251" t="str">
        <f t="shared" si="23"/>
        <v/>
      </c>
      <c r="AS498" s="251" t="str">
        <f t="shared" si="24"/>
        <v/>
      </c>
      <c r="AT498" s="251" t="str">
        <f t="shared" si="25"/>
        <v/>
      </c>
      <c r="AU498" s="251" t="str">
        <f t="shared" si="26"/>
        <v/>
      </c>
      <c r="AV498" s="251" t="str">
        <f t="shared" si="27"/>
        <v/>
      </c>
      <c r="AW498" s="251" t="str">
        <f t="shared" si="28"/>
        <v/>
      </c>
      <c r="AX498" s="251" t="str">
        <f t="shared" si="29"/>
        <v/>
      </c>
      <c r="AY498" s="251" t="str">
        <f t="shared" si="30"/>
        <v/>
      </c>
      <c r="AZ498" s="251" t="str">
        <f t="shared" si="31"/>
        <v/>
      </c>
      <c r="BA498" s="251" t="str">
        <f t="shared" si="32"/>
        <v/>
      </c>
      <c r="BB498" s="251" t="str">
        <f t="shared" si="33"/>
        <v/>
      </c>
      <c r="BC498" s="251" t="str">
        <f t="shared" si="34"/>
        <v/>
      </c>
      <c r="BD498" s="251" t="str">
        <f t="shared" si="35"/>
        <v/>
      </c>
      <c r="BE498" s="251" t="str">
        <f t="shared" si="36"/>
        <v/>
      </c>
      <c r="BF498" s="251" t="str">
        <f t="shared" si="37"/>
        <v/>
      </c>
      <c r="BG498" s="251" t="str">
        <f t="shared" si="38"/>
        <v/>
      </c>
      <c r="BH498" s="251" t="str">
        <f t="shared" si="39"/>
        <v/>
      </c>
      <c r="BI498" s="251" t="str">
        <f t="shared" si="40"/>
        <v/>
      </c>
      <c r="BJ498" s="251" t="str">
        <f t="shared" si="41"/>
        <v/>
      </c>
      <c r="BK498" s="251" t="str">
        <f t="shared" si="42"/>
        <v/>
      </c>
      <c r="BL498" s="251" t="str">
        <f t="shared" si="43"/>
        <v/>
      </c>
      <c r="BM498" s="251" t="str">
        <f t="shared" si="44"/>
        <v/>
      </c>
      <c r="BN498" s="251" t="str">
        <f t="shared" si="45"/>
        <v/>
      </c>
      <c r="BO498" s="251" t="str">
        <f t="shared" si="46"/>
        <v/>
      </c>
      <c r="BP498" s="251" t="str">
        <f t="shared" si="47"/>
        <v/>
      </c>
      <c r="BQ498" s="251" t="str">
        <f t="shared" si="48"/>
        <v/>
      </c>
      <c r="BR498" s="251" t="str">
        <f t="shared" si="49"/>
        <v/>
      </c>
      <c r="BS498" s="251" t="str">
        <f t="shared" si="50"/>
        <v/>
      </c>
      <c r="BT498" s="251" t="str">
        <f t="shared" si="51"/>
        <v/>
      </c>
      <c r="BU498" s="251" t="str">
        <f t="shared" si="52"/>
        <v/>
      </c>
      <c r="BV498" s="251" t="str">
        <f t="shared" si="53"/>
        <v/>
      </c>
      <c r="BW498" s="251" t="str">
        <f t="shared" si="54"/>
        <v/>
      </c>
      <c r="BX498" s="251" t="str">
        <f t="shared" si="55"/>
        <v/>
      </c>
      <c r="BY498" s="251" t="str">
        <f t="shared" si="56"/>
        <v/>
      </c>
      <c r="BZ498" s="251" t="str">
        <f t="shared" si="57"/>
        <v/>
      </c>
      <c r="CA498" s="251" t="str">
        <f t="shared" si="58"/>
        <v/>
      </c>
      <c r="CB498" s="251" t="str">
        <f t="shared" si="59"/>
        <v/>
      </c>
      <c r="CC498" s="251" t="str">
        <f t="shared" si="60"/>
        <v/>
      </c>
      <c r="CD498" s="251" t="str">
        <f t="shared" si="61"/>
        <v/>
      </c>
      <c r="CE498" s="251" t="str">
        <f t="shared" si="62"/>
        <v/>
      </c>
      <c r="CF498" s="251" t="str">
        <f t="shared" si="63"/>
        <v/>
      </c>
      <c r="CG498" s="251" t="str">
        <f t="shared" si="64"/>
        <v/>
      </c>
      <c r="CH498" s="251" t="str">
        <f t="shared" si="65"/>
        <v/>
      </c>
      <c r="CI498" s="251" t="str">
        <f t="shared" si="66"/>
        <v/>
      </c>
      <c r="CJ498" s="251" t="str">
        <f t="shared" si="67"/>
        <v/>
      </c>
      <c r="CK498" s="251" t="str">
        <f t="shared" si="68"/>
        <v/>
      </c>
      <c r="CL498" s="251" t="str">
        <f t="shared" si="69"/>
        <v/>
      </c>
      <c r="CM498" s="251" t="str">
        <f t="shared" si="70"/>
        <v/>
      </c>
      <c r="CN498" s="251" t="str">
        <f t="shared" si="71"/>
        <v/>
      </c>
      <c r="CO498" s="251" t="str">
        <f t="shared" si="72"/>
        <v/>
      </c>
      <c r="CP498" s="251" t="str">
        <f t="shared" si="73"/>
        <v/>
      </c>
      <c r="CQ498" s="251" t="str">
        <f t="shared" si="74"/>
        <v/>
      </c>
      <c r="CR498" s="251" t="str">
        <f t="shared" si="75"/>
        <v/>
      </c>
      <c r="CS498" s="251" t="str">
        <f t="shared" si="76"/>
        <v/>
      </c>
      <c r="CT498" s="251" t="str">
        <f t="shared" si="77"/>
        <v/>
      </c>
      <c r="CU498" s="251" t="str">
        <f t="shared" si="78"/>
        <v/>
      </c>
      <c r="CV498" s="251" t="str">
        <f t="shared" si="79"/>
        <v/>
      </c>
      <c r="CW498" s="251" t="str">
        <f t="shared" si="80"/>
        <v/>
      </c>
      <c r="CX498" s="251" t="str">
        <f t="shared" si="81"/>
        <v/>
      </c>
      <c r="CY498" s="251" t="str">
        <f t="shared" si="82"/>
        <v/>
      </c>
      <c r="CZ498" s="251" t="str">
        <f t="shared" si="83"/>
        <v/>
      </c>
      <c r="DA498" s="251" t="str">
        <f t="shared" si="84"/>
        <v/>
      </c>
      <c r="DB498" s="251" t="str">
        <f t="shared" si="85"/>
        <v/>
      </c>
      <c r="DC498" s="251" t="str">
        <f t="shared" si="86"/>
        <v/>
      </c>
      <c r="DD498" s="251" t="str">
        <f t="shared" si="87"/>
        <v/>
      </c>
      <c r="DE498" s="251" t="str">
        <f t="shared" si="88"/>
        <v/>
      </c>
      <c r="DF498" s="251" t="str">
        <f t="shared" si="89"/>
        <v/>
      </c>
      <c r="DG498" s="251" t="str">
        <f t="shared" si="90"/>
        <v/>
      </c>
      <c r="DH498" s="251" t="str">
        <f t="shared" si="91"/>
        <v/>
      </c>
      <c r="DI498" s="251" t="str">
        <f t="shared" si="92"/>
        <v/>
      </c>
      <c r="DJ498" s="251" t="str">
        <f t="shared" si="93"/>
        <v/>
      </c>
      <c r="DK498" s="251" t="str">
        <f t="shared" si="94"/>
        <v/>
      </c>
      <c r="DL498" s="251" t="str">
        <f t="shared" si="95"/>
        <v/>
      </c>
      <c r="DM498" s="251" t="str">
        <f t="shared" si="96"/>
        <v/>
      </c>
      <c r="DN498" s="251" t="str">
        <f t="shared" si="97"/>
        <v/>
      </c>
      <c r="DO498" s="251" t="str">
        <f t="shared" si="98"/>
        <v/>
      </c>
      <c r="DP498" s="251" t="str">
        <f t="shared" si="99"/>
        <v/>
      </c>
      <c r="DQ498" s="251" t="str">
        <f t="shared" si="100"/>
        <v/>
      </c>
      <c r="DR498" s="251" t="str">
        <f t="shared" si="101"/>
        <v/>
      </c>
      <c r="DS498" s="251" t="str">
        <f t="shared" si="102"/>
        <v/>
      </c>
      <c r="DT498" s="251" t="str">
        <f t="shared" si="103"/>
        <v/>
      </c>
      <c r="DU498" s="251" t="str">
        <f t="shared" si="104"/>
        <v/>
      </c>
      <c r="DV498" s="251" t="str">
        <f t="shared" si="105"/>
        <v/>
      </c>
      <c r="DW498" s="251" t="str">
        <f t="shared" si="106"/>
        <v/>
      </c>
      <c r="DX498" s="251" t="str">
        <f t="shared" si="107"/>
        <v/>
      </c>
      <c r="DY498" s="251" t="str">
        <f t="shared" si="108"/>
        <v/>
      </c>
      <c r="DZ498" s="251" t="str">
        <f t="shared" si="109"/>
        <v/>
      </c>
      <c r="EA498" s="251" t="str">
        <f t="shared" si="110"/>
        <v/>
      </c>
      <c r="EB498" s="251" t="str">
        <f t="shared" si="111"/>
        <v/>
      </c>
      <c r="EC498" s="251" t="str">
        <f t="shared" si="112"/>
        <v/>
      </c>
      <c r="ED498" s="251" t="str">
        <f t="shared" si="113"/>
        <v/>
      </c>
      <c r="EE498" s="251" t="str">
        <f t="shared" si="114"/>
        <v/>
      </c>
      <c r="EF498" s="251" t="str">
        <f t="shared" si="115"/>
        <v/>
      </c>
      <c r="EG498" s="251" t="str">
        <f t="shared" si="116"/>
        <v/>
      </c>
      <c r="EH498" s="251" t="str">
        <f t="shared" si="117"/>
        <v/>
      </c>
      <c r="EI498" s="251" t="str">
        <f t="shared" si="118"/>
        <v/>
      </c>
      <c r="EJ498" s="251" t="str">
        <f t="shared" si="119"/>
        <v/>
      </c>
      <c r="EK498" s="251" t="str">
        <f t="shared" si="120"/>
        <v/>
      </c>
      <c r="EL498" s="251" t="str">
        <f t="shared" si="121"/>
        <v/>
      </c>
      <c r="EM498" s="251" t="str">
        <f t="shared" si="122"/>
        <v/>
      </c>
      <c r="EN498" s="251" t="str">
        <f t="shared" si="123"/>
        <v/>
      </c>
      <c r="EO498" s="251" t="str">
        <f t="shared" si="124"/>
        <v/>
      </c>
      <c r="EP498" s="251" t="str">
        <f t="shared" si="125"/>
        <v/>
      </c>
      <c r="EQ498" s="251" t="str">
        <f t="shared" si="126"/>
        <v/>
      </c>
      <c r="ER498" s="251" t="str">
        <f t="shared" si="127"/>
        <v/>
      </c>
      <c r="ES498" s="251" t="str">
        <f t="shared" si="128"/>
        <v/>
      </c>
      <c r="ET498" s="251" t="str">
        <f t="shared" si="129"/>
        <v/>
      </c>
      <c r="EU498" s="251" t="str">
        <f t="shared" si="130"/>
        <v/>
      </c>
      <c r="EV498" s="251" t="str">
        <f t="shared" si="131"/>
        <v/>
      </c>
      <c r="EW498" s="251" t="str">
        <f t="shared" si="132"/>
        <v/>
      </c>
      <c r="EX498" s="251" t="str">
        <f t="shared" si="133"/>
        <v/>
      </c>
      <c r="EY498" s="251" t="str">
        <f t="shared" si="134"/>
        <v/>
      </c>
      <c r="EZ498" s="251" t="str">
        <f t="shared" si="135"/>
        <v/>
      </c>
      <c r="FA498" s="251" t="str">
        <f t="shared" si="136"/>
        <v/>
      </c>
      <c r="FB498" s="251" t="str">
        <f t="shared" si="137"/>
        <v/>
      </c>
      <c r="FC498" s="251" t="str">
        <f t="shared" si="138"/>
        <v/>
      </c>
      <c r="FD498" s="251" t="str">
        <f t="shared" si="139"/>
        <v/>
      </c>
      <c r="FE498" s="251" t="str">
        <f t="shared" si="140"/>
        <v/>
      </c>
      <c r="FF498" s="251" t="str">
        <f t="shared" si="141"/>
        <v/>
      </c>
      <c r="FG498" s="251" t="str">
        <f t="shared" si="142"/>
        <v/>
      </c>
      <c r="FH498" s="251" t="str">
        <f t="shared" si="143"/>
        <v/>
      </c>
      <c r="FI498" s="251" t="str">
        <f t="shared" si="144"/>
        <v/>
      </c>
      <c r="FJ498" s="251" t="str">
        <f t="shared" si="145"/>
        <v/>
      </c>
      <c r="FK498" s="251" t="str">
        <f t="shared" si="146"/>
        <v/>
      </c>
      <c r="FL498" s="251" t="str">
        <f t="shared" si="147"/>
        <v/>
      </c>
      <c r="FM498" s="251" t="str">
        <f t="shared" si="148"/>
        <v/>
      </c>
      <c r="FN498" s="251" t="str">
        <f t="shared" si="149"/>
        <v/>
      </c>
      <c r="FO498" s="251" t="str">
        <f t="shared" si="150"/>
        <v/>
      </c>
      <c r="FP498" s="251" t="str">
        <f t="shared" si="151"/>
        <v/>
      </c>
      <c r="FQ498" s="251" t="str">
        <f t="shared" si="152"/>
        <v/>
      </c>
      <c r="FR498" s="251" t="str">
        <f t="shared" si="153"/>
        <v/>
      </c>
      <c r="FS498" s="251" t="str">
        <f t="shared" si="154"/>
        <v/>
      </c>
      <c r="FT498" s="251" t="str">
        <f t="shared" si="155"/>
        <v/>
      </c>
      <c r="FU498" s="251" t="str">
        <f t="shared" si="156"/>
        <v/>
      </c>
      <c r="FV498" s="251" t="str">
        <f t="shared" si="157"/>
        <v/>
      </c>
      <c r="FW498" s="251" t="str">
        <f t="shared" si="158"/>
        <v/>
      </c>
      <c r="FX498" s="251" t="str">
        <f t="shared" si="159"/>
        <v/>
      </c>
      <c r="FY498" s="251" t="str">
        <f t="shared" si="160"/>
        <v/>
      </c>
      <c r="FZ498" s="251" t="str">
        <f t="shared" si="161"/>
        <v/>
      </c>
      <c r="GA498" s="251" t="str">
        <f t="shared" si="162"/>
        <v/>
      </c>
      <c r="GB498" s="251" t="str">
        <f t="shared" si="163"/>
        <v/>
      </c>
      <c r="GC498" s="251" t="str">
        <f t="shared" si="164"/>
        <v/>
      </c>
      <c r="GD498" s="251" t="str">
        <f t="shared" si="165"/>
        <v/>
      </c>
      <c r="GE498" s="251" t="str">
        <f t="shared" si="166"/>
        <v/>
      </c>
      <c r="GF498" s="251" t="str">
        <f t="shared" si="167"/>
        <v/>
      </c>
      <c r="GG498" s="251" t="str">
        <f t="shared" si="168"/>
        <v/>
      </c>
      <c r="GH498" s="251" t="str">
        <f t="shared" si="169"/>
        <v/>
      </c>
      <c r="GI498" s="251" t="str">
        <f t="shared" si="170"/>
        <v/>
      </c>
      <c r="GJ498" s="251" t="str">
        <f t="shared" si="171"/>
        <v/>
      </c>
      <c r="GK498" s="251" t="str">
        <f t="shared" si="172"/>
        <v/>
      </c>
      <c r="GL498" s="251" t="str">
        <f t="shared" si="173"/>
        <v/>
      </c>
      <c r="GM498" s="251" t="str">
        <f t="shared" si="174"/>
        <v/>
      </c>
      <c r="GN498" s="251" t="str">
        <f t="shared" si="175"/>
        <v/>
      </c>
      <c r="GO498" s="251" t="str">
        <f t="shared" si="176"/>
        <v/>
      </c>
      <c r="GP498" s="251" t="str">
        <f t="shared" si="177"/>
        <v/>
      </c>
      <c r="GQ498" s="251" t="str">
        <f t="shared" si="178"/>
        <v/>
      </c>
      <c r="GR498" s="251" t="str">
        <f t="shared" si="179"/>
        <v/>
      </c>
      <c r="GS498" s="251" t="str">
        <f t="shared" si="180"/>
        <v/>
      </c>
      <c r="GT498" s="251" t="str">
        <f t="shared" si="181"/>
        <v/>
      </c>
      <c r="GU498" s="251" t="str">
        <f t="shared" si="182"/>
        <v/>
      </c>
      <c r="GV498" s="251" t="str">
        <f t="shared" si="183"/>
        <v/>
      </c>
      <c r="GW498" s="251" t="str">
        <f t="shared" si="184"/>
        <v/>
      </c>
      <c r="GX498" s="251" t="str">
        <f t="shared" si="185"/>
        <v/>
      </c>
      <c r="GY498" s="251" t="str">
        <f t="shared" si="186"/>
        <v/>
      </c>
      <c r="GZ498" s="251" t="str">
        <f t="shared" si="187"/>
        <v/>
      </c>
      <c r="HA498" s="251" t="str">
        <f t="shared" si="188"/>
        <v/>
      </c>
      <c r="HB498" s="251" t="str">
        <f t="shared" si="189"/>
        <v/>
      </c>
      <c r="HC498" s="251" t="str">
        <f t="shared" si="190"/>
        <v/>
      </c>
      <c r="HD498" s="251" t="str">
        <f t="shared" si="191"/>
        <v/>
      </c>
      <c r="HE498" s="251" t="str">
        <f t="shared" si="192"/>
        <v/>
      </c>
      <c r="HF498" s="251" t="str">
        <f t="shared" si="193"/>
        <v/>
      </c>
      <c r="HG498" s="251" t="str">
        <f t="shared" si="194"/>
        <v/>
      </c>
      <c r="HH498" s="251" t="str">
        <f t="shared" si="195"/>
        <v/>
      </c>
      <c r="HI498" s="251" t="str">
        <f t="shared" si="196"/>
        <v/>
      </c>
      <c r="HJ498" s="251" t="str">
        <f t="shared" si="197"/>
        <v/>
      </c>
      <c r="HK498" s="251" t="str">
        <f t="shared" si="198"/>
        <v/>
      </c>
      <c r="HL498" s="251" t="str">
        <f t="shared" si="199"/>
        <v/>
      </c>
      <c r="HM498" s="251" t="str">
        <f t="shared" si="200"/>
        <v/>
      </c>
      <c r="HN498" s="251" t="str">
        <f t="shared" si="201"/>
        <v/>
      </c>
      <c r="HO498" s="251" t="str">
        <f t="shared" si="202"/>
        <v/>
      </c>
      <c r="HP498" s="251" t="str">
        <f t="shared" si="203"/>
        <v/>
      </c>
      <c r="HQ498" s="251" t="str">
        <f t="shared" si="204"/>
        <v/>
      </c>
      <c r="HR498" s="251" t="str">
        <f t="shared" si="205"/>
        <v/>
      </c>
      <c r="HS498" s="251" t="str">
        <f t="shared" si="206"/>
        <v/>
      </c>
      <c r="HT498" s="251" t="str">
        <f t="shared" si="207"/>
        <v/>
      </c>
      <c r="HU498" s="251" t="str">
        <f t="shared" si="208"/>
        <v/>
      </c>
      <c r="HV498" s="251" t="str">
        <f t="shared" si="209"/>
        <v/>
      </c>
      <c r="HW498" s="251" t="str">
        <f t="shared" si="210"/>
        <v/>
      </c>
      <c r="HX498" s="251" t="str">
        <f t="shared" si="211"/>
        <v/>
      </c>
      <c r="HY498" s="251" t="str">
        <f t="shared" si="212"/>
        <v/>
      </c>
      <c r="HZ498" s="251" t="str">
        <f t="shared" si="213"/>
        <v/>
      </c>
      <c r="IA498" s="251" t="str">
        <f t="shared" si="214"/>
        <v/>
      </c>
      <c r="IB498" s="251" t="str">
        <f t="shared" si="215"/>
        <v/>
      </c>
      <c r="IC498" s="251" t="str">
        <f t="shared" si="216"/>
        <v/>
      </c>
      <c r="ID498" s="251" t="str">
        <f t="shared" si="217"/>
        <v/>
      </c>
      <c r="IE498" s="251" t="str">
        <f t="shared" si="218"/>
        <v/>
      </c>
      <c r="IF498" s="251" t="str">
        <f t="shared" si="219"/>
        <v/>
      </c>
      <c r="IG498" s="251" t="str">
        <f t="shared" si="220"/>
        <v/>
      </c>
      <c r="IH498" s="251" t="str">
        <f t="shared" si="221"/>
        <v/>
      </c>
      <c r="II498" s="251" t="str">
        <f t="shared" si="222"/>
        <v/>
      </c>
      <c r="IJ498" s="251" t="str">
        <f t="shared" si="223"/>
        <v/>
      </c>
      <c r="IK498" s="251" t="str">
        <f t="shared" si="224"/>
        <v/>
      </c>
      <c r="IL498" s="251" t="str">
        <f t="shared" si="225"/>
        <v/>
      </c>
      <c r="IM498" s="251" t="str">
        <f t="shared" si="226"/>
        <v/>
      </c>
      <c r="IN498" s="251" t="str">
        <f t="shared" si="227"/>
        <v/>
      </c>
      <c r="IO498" s="251" t="str">
        <f t="shared" si="228"/>
        <v/>
      </c>
      <c r="IP498" s="251" t="str">
        <f t="shared" si="229"/>
        <v/>
      </c>
      <c r="IQ498" s="251" t="str">
        <f t="shared" si="230"/>
        <v/>
      </c>
      <c r="IR498" s="251" t="str">
        <f t="shared" si="231"/>
        <v/>
      </c>
      <c r="IS498" s="251" t="str">
        <f t="shared" si="232"/>
        <v/>
      </c>
      <c r="IT498" s="251" t="str">
        <f t="shared" si="233"/>
        <v/>
      </c>
      <c r="IU498" s="251" t="str">
        <f t="shared" si="234"/>
        <v/>
      </c>
      <c r="IV498" s="251" t="str">
        <f t="shared" si="235"/>
        <v/>
      </c>
      <c r="IW498" s="251" t="str">
        <f t="shared" si="236"/>
        <v/>
      </c>
      <c r="IX498" s="251" t="str">
        <f t="shared" si="237"/>
        <v/>
      </c>
      <c r="IY498" s="251" t="str">
        <f t="shared" si="238"/>
        <v/>
      </c>
      <c r="IZ498" s="251" t="str">
        <f t="shared" si="239"/>
        <v/>
      </c>
      <c r="JA498" s="251" t="str">
        <f t="shared" si="240"/>
        <v/>
      </c>
      <c r="JB498" s="251" t="str">
        <f t="shared" si="241"/>
        <v/>
      </c>
      <c r="JC498" s="251" t="str">
        <f t="shared" si="242"/>
        <v/>
      </c>
      <c r="JD498" s="251" t="str">
        <f t="shared" si="243"/>
        <v/>
      </c>
      <c r="JE498" s="251" t="str">
        <f t="shared" si="244"/>
        <v/>
      </c>
      <c r="JF498" s="251" t="str">
        <f t="shared" si="245"/>
        <v/>
      </c>
      <c r="JG498" s="251" t="str">
        <f t="shared" si="246"/>
        <v/>
      </c>
      <c r="JH498" s="251" t="str">
        <f t="shared" si="247"/>
        <v/>
      </c>
      <c r="JI498" s="1297" t="str">
        <f t="shared" si="248"/>
        <v/>
      </c>
      <c r="JJ498" s="1297" t="str">
        <f t="shared" si="249"/>
        <v/>
      </c>
      <c r="JK498" s="1297" t="str">
        <f t="shared" si="250"/>
        <v/>
      </c>
      <c r="JL498" s="1297" t="str">
        <f t="shared" si="251"/>
        <v/>
      </c>
      <c r="JM498" s="1297" t="str">
        <f t="shared" si="252"/>
        <v/>
      </c>
      <c r="JN498" s="1297" t="str">
        <f t="shared" si="253"/>
        <v/>
      </c>
      <c r="JO498" s="1297" t="str">
        <f t="shared" si="254"/>
        <v/>
      </c>
      <c r="JP498" s="1297" t="str">
        <f t="shared" si="255"/>
        <v/>
      </c>
      <c r="JQ498" s="1297" t="str">
        <f t="shared" si="256"/>
        <v/>
      </c>
      <c r="JR498" s="1297" t="str">
        <f t="shared" si="257"/>
        <v/>
      </c>
      <c r="JS498" s="1297" t="str">
        <f t="shared" si="258"/>
        <v/>
      </c>
      <c r="JT498" s="1297" t="str">
        <f t="shared" si="259"/>
        <v/>
      </c>
      <c r="JU498" s="1297" t="str">
        <f t="shared" si="260"/>
        <v/>
      </c>
      <c r="JV498" s="1297" t="str">
        <f t="shared" si="261"/>
        <v/>
      </c>
      <c r="JW498" s="1297" t="str">
        <f t="shared" si="262"/>
        <v/>
      </c>
      <c r="JX498" s="1297" t="str">
        <f t="shared" si="263"/>
        <v/>
      </c>
      <c r="JY498" s="1297" t="str">
        <f t="shared" si="264"/>
        <v/>
      </c>
      <c r="JZ498" s="1297" t="str">
        <f t="shared" si="265"/>
        <v/>
      </c>
      <c r="KA498" s="1297" t="str">
        <f t="shared" si="266"/>
        <v/>
      </c>
      <c r="KB498" s="1297" t="str">
        <f t="shared" si="267"/>
        <v/>
      </c>
      <c r="KC498" s="1297" t="str">
        <f t="shared" si="268"/>
        <v/>
      </c>
      <c r="KD498" s="1297" t="str">
        <f t="shared" si="269"/>
        <v/>
      </c>
      <c r="KE498" s="1297" t="str">
        <f t="shared" si="270"/>
        <v/>
      </c>
      <c r="KF498" s="1297" t="str">
        <f t="shared" si="271"/>
        <v/>
      </c>
      <c r="KG498" s="1297" t="str">
        <f t="shared" si="272"/>
        <v/>
      </c>
      <c r="KH498" s="1297" t="str">
        <f t="shared" si="273"/>
        <v/>
      </c>
      <c r="KI498" s="1297" t="str">
        <f t="shared" si="274"/>
        <v/>
      </c>
      <c r="KJ498" s="1297" t="str">
        <f t="shared" si="275"/>
        <v/>
      </c>
      <c r="KK498" s="1297" t="str">
        <f t="shared" si="276"/>
        <v/>
      </c>
      <c r="KL498" s="1297" t="str">
        <f t="shared" si="277"/>
        <v/>
      </c>
      <c r="KM498" s="1297" t="str">
        <f t="shared" si="278"/>
        <v/>
      </c>
      <c r="KN498" s="1297" t="str">
        <f t="shared" si="279"/>
        <v/>
      </c>
      <c r="KO498" s="1297" t="str">
        <f t="shared" si="280"/>
        <v/>
      </c>
      <c r="KP498" s="1297" t="str">
        <f t="shared" si="281"/>
        <v/>
      </c>
      <c r="KQ498" s="1297" t="str">
        <f t="shared" si="282"/>
        <v/>
      </c>
      <c r="KR498" s="1297" t="str">
        <f t="shared" si="283"/>
        <v/>
      </c>
      <c r="KS498" s="1297" t="str">
        <f t="shared" si="284"/>
        <v/>
      </c>
      <c r="KT498" s="1297" t="str">
        <f t="shared" si="285"/>
        <v/>
      </c>
      <c r="KU498" s="1297" t="str">
        <f t="shared" si="286"/>
        <v/>
      </c>
      <c r="KV498" s="1297" t="str">
        <f t="shared" si="287"/>
        <v/>
      </c>
      <c r="KW498" s="1297" t="str">
        <f t="shared" si="288"/>
        <v/>
      </c>
      <c r="KX498" s="1297" t="str">
        <f t="shared" si="289"/>
        <v/>
      </c>
      <c r="KY498" s="1297" t="str">
        <f t="shared" si="290"/>
        <v/>
      </c>
      <c r="KZ498" s="1297" t="str">
        <f t="shared" si="291"/>
        <v/>
      </c>
      <c r="LA498" s="1297" t="str">
        <f t="shared" si="292"/>
        <v/>
      </c>
      <c r="LB498" s="1297" t="str">
        <f t="shared" si="293"/>
        <v/>
      </c>
      <c r="LC498" s="1297" t="str">
        <f t="shared" si="294"/>
        <v/>
      </c>
      <c r="LD498" s="1297" t="str">
        <f t="shared" si="295"/>
        <v/>
      </c>
      <c r="LE498" s="1297" t="str">
        <f t="shared" si="296"/>
        <v/>
      </c>
      <c r="LF498" s="1297" t="str">
        <f t="shared" si="297"/>
        <v/>
      </c>
      <c r="LG498" s="1297" t="str">
        <f t="shared" si="298"/>
        <v/>
      </c>
      <c r="LH498" s="1297" t="str">
        <f t="shared" si="299"/>
        <v/>
      </c>
      <c r="LI498" s="1297" t="str">
        <f t="shared" si="300"/>
        <v/>
      </c>
      <c r="LJ498" s="1297" t="str">
        <f t="shared" si="301"/>
        <v/>
      </c>
      <c r="LK498" s="1297" t="str">
        <f t="shared" si="302"/>
        <v/>
      </c>
      <c r="LL498" s="1297" t="str">
        <f t="shared" si="303"/>
        <v/>
      </c>
      <c r="LM498" s="1297" t="str">
        <f t="shared" si="304"/>
        <v/>
      </c>
      <c r="LN498" s="1297" t="str">
        <f t="shared" si="305"/>
        <v/>
      </c>
      <c r="LO498" s="1297" t="str">
        <f t="shared" si="306"/>
        <v/>
      </c>
      <c r="LP498" s="1297" t="str">
        <f t="shared" si="307"/>
        <v/>
      </c>
      <c r="LQ498" s="1297" t="str">
        <f t="shared" si="308"/>
        <v/>
      </c>
      <c r="LR498" s="1297" t="str">
        <f t="shared" si="309"/>
        <v/>
      </c>
      <c r="LS498" s="1297" t="str">
        <f t="shared" si="310"/>
        <v/>
      </c>
      <c r="LT498" s="1297" t="str">
        <f t="shared" si="311"/>
        <v/>
      </c>
      <c r="LU498" s="1297" t="str">
        <f t="shared" si="312"/>
        <v/>
      </c>
      <c r="LV498" s="1297" t="str">
        <f t="shared" si="313"/>
        <v/>
      </c>
      <c r="LW498" s="1297" t="str">
        <f t="shared" si="314"/>
        <v/>
      </c>
      <c r="LX498" s="1297" t="str">
        <f t="shared" si="315"/>
        <v/>
      </c>
      <c r="LY498" s="1297" t="str">
        <f t="shared" si="316"/>
        <v/>
      </c>
      <c r="LZ498" s="1297" t="str">
        <f t="shared" si="317"/>
        <v/>
      </c>
      <c r="MA498" s="1297" t="str">
        <f t="shared" si="318"/>
        <v/>
      </c>
      <c r="MB498" s="1297" t="str">
        <f t="shared" si="319"/>
        <v/>
      </c>
      <c r="MC498" s="1297" t="str">
        <f t="shared" si="320"/>
        <v/>
      </c>
      <c r="MD498" s="1297" t="str">
        <f t="shared" si="321"/>
        <v/>
      </c>
      <c r="ME498" s="1297" t="str">
        <f t="shared" si="322"/>
        <v/>
      </c>
      <c r="MF498" s="1297" t="str">
        <f t="shared" si="323"/>
        <v/>
      </c>
      <c r="MG498" s="1297" t="str">
        <f t="shared" si="324"/>
        <v/>
      </c>
      <c r="MH498" s="1297" t="str">
        <f t="shared" si="325"/>
        <v/>
      </c>
      <c r="MI498" s="1297" t="str">
        <f t="shared" si="326"/>
        <v/>
      </c>
      <c r="MJ498" s="1297" t="str">
        <f t="shared" si="327"/>
        <v/>
      </c>
      <c r="MK498" s="1297" t="str">
        <f t="shared" si="328"/>
        <v/>
      </c>
      <c r="ML498" s="1297" t="str">
        <f t="shared" si="329"/>
        <v/>
      </c>
      <c r="MM498" s="1297" t="str">
        <f t="shared" si="330"/>
        <v/>
      </c>
      <c r="MN498" s="1297" t="str">
        <f t="shared" si="331"/>
        <v/>
      </c>
      <c r="MO498" s="1297" t="str">
        <f t="shared" si="332"/>
        <v/>
      </c>
      <c r="MP498" s="1773" t="str">
        <f t="shared" si="333"/>
        <v/>
      </c>
      <c r="MQ498" s="1773" t="str">
        <f t="shared" si="334"/>
        <v/>
      </c>
      <c r="MR498" s="1773" t="str">
        <f t="shared" si="335"/>
        <v/>
      </c>
      <c r="MS498" s="1773" t="str">
        <f t="shared" si="336"/>
        <v/>
      </c>
      <c r="MT498" s="1773" t="str">
        <f t="shared" si="337"/>
        <v/>
      </c>
      <c r="MU498" s="251" t="str">
        <f t="shared" si="338"/>
        <v/>
      </c>
      <c r="MV498" s="251" t="str">
        <f t="shared" si="339"/>
        <v/>
      </c>
      <c r="MW498" s="251" t="str">
        <f t="shared" si="340"/>
        <v/>
      </c>
      <c r="MX498" s="251" t="str">
        <f t="shared" si="341"/>
        <v/>
      </c>
      <c r="MY498" s="251" t="str">
        <f t="shared" si="342"/>
        <v/>
      </c>
      <c r="MZ498" s="251" t="str">
        <f t="shared" si="343"/>
        <v/>
      </c>
      <c r="NA498" s="251" t="str">
        <f t="shared" si="344"/>
        <v/>
      </c>
      <c r="NB498" s="251" t="str">
        <f t="shared" si="345"/>
        <v/>
      </c>
      <c r="NC498" s="251" t="str">
        <f t="shared" si="346"/>
        <v/>
      </c>
      <c r="ND498" s="251" t="str">
        <f t="shared" si="347"/>
        <v/>
      </c>
      <c r="NE498" s="251" t="str">
        <f t="shared" si="348"/>
        <v/>
      </c>
      <c r="NF498" s="251" t="str">
        <f t="shared" si="349"/>
        <v/>
      </c>
      <c r="NG498" s="251" t="str">
        <f t="shared" si="350"/>
        <v/>
      </c>
      <c r="NH498" s="251" t="str">
        <f t="shared" si="351"/>
        <v/>
      </c>
      <c r="NI498" s="251" t="str">
        <f t="shared" si="352"/>
        <v/>
      </c>
      <c r="NJ498" s="251" t="str">
        <f t="shared" si="353"/>
        <v/>
      </c>
      <c r="NK498" s="251" t="str">
        <f t="shared" si="354"/>
        <v/>
      </c>
      <c r="NL498" s="251" t="str">
        <f t="shared" si="355"/>
        <v/>
      </c>
      <c r="NM498" s="251" t="str">
        <f t="shared" si="356"/>
        <v/>
      </c>
      <c r="NN498" s="251" t="str">
        <f t="shared" si="357"/>
        <v/>
      </c>
      <c r="NO498" s="1185">
        <f t="shared" si="358"/>
        <v>0</v>
      </c>
      <c r="NP498" s="1185">
        <f t="shared" si="359"/>
        <v>0</v>
      </c>
      <c r="NQ498" s="1185">
        <f t="shared" si="360"/>
        <v>0</v>
      </c>
      <c r="NR498" s="1185">
        <f t="shared" si="361"/>
        <v>0</v>
      </c>
      <c r="NS498" s="1185">
        <f t="shared" si="362"/>
        <v>0</v>
      </c>
      <c r="NT498" s="1185">
        <f t="shared" si="368"/>
        <v>0</v>
      </c>
      <c r="NU498" s="1185">
        <f t="shared" si="369"/>
        <v>0</v>
      </c>
      <c r="NV498" s="1185">
        <f t="shared" si="370"/>
        <v>0</v>
      </c>
      <c r="NW498" s="1185">
        <f t="shared" si="371"/>
        <v>0</v>
      </c>
      <c r="NX498" s="1185">
        <f t="shared" si="372"/>
        <v>0</v>
      </c>
      <c r="NY498" s="1185">
        <f t="shared" si="363"/>
        <v>0</v>
      </c>
      <c r="NZ498" s="1185">
        <f t="shared" si="364"/>
        <v>0</v>
      </c>
      <c r="OA498" s="1185">
        <f t="shared" si="365"/>
        <v>0</v>
      </c>
      <c r="OB498" s="1185">
        <f t="shared" si="366"/>
        <v>0</v>
      </c>
      <c r="OC498" s="1185">
        <f t="shared" si="367"/>
        <v>0</v>
      </c>
      <c r="OY498" s="251" t="s">
        <v>1193</v>
      </c>
      <c r="OZ498" s="1296">
        <v>45</v>
      </c>
    </row>
    <row r="499" spans="1:416" ht="12" customHeight="1">
      <c r="A499" s="1979" t="str">
        <f t="shared" si="0"/>
        <v/>
      </c>
      <c r="B499" s="1998">
        <f>'Part V-Revenues &amp; Expenses'!B46</f>
        <v>0</v>
      </c>
      <c r="C499" s="1999">
        <f>'Part V-Revenues &amp; Expenses'!C46</f>
        <v>0</v>
      </c>
      <c r="D499" s="2000">
        <f>'Part V-Revenues &amp; Expenses'!D46</f>
        <v>0</v>
      </c>
      <c r="E499" s="2001">
        <f>'Part V-Revenues &amp; Expenses'!E46</f>
        <v>0</v>
      </c>
      <c r="F499" s="2001">
        <f>'Part V-Revenues &amp; Expenses'!F46</f>
        <v>0</v>
      </c>
      <c r="G499" s="2001">
        <f>'Part V-Revenues &amp; Expenses'!G46</f>
        <v>0</v>
      </c>
      <c r="H499" s="2001">
        <f>'Part V-Revenues &amp; Expenses'!H46</f>
        <v>0</v>
      </c>
      <c r="I499" s="2001">
        <f>'Part V-Revenues &amp; Expenses'!I46</f>
        <v>0</v>
      </c>
      <c r="J499" s="2001">
        <f>'Part V-Revenues &amp; Expenses'!J46</f>
        <v>0</v>
      </c>
      <c r="K499" s="2002">
        <f>'Part V-Revenues &amp; Expenses'!K46</f>
        <v>0</v>
      </c>
      <c r="L499" s="2003">
        <f t="shared" si="1"/>
        <v>0</v>
      </c>
      <c r="M499" s="2003">
        <f t="shared" si="2"/>
        <v>0</v>
      </c>
      <c r="N499" s="1853">
        <f>'Part V-Revenues &amp; Expenses'!N46</f>
        <v>0</v>
      </c>
      <c r="O499" s="899">
        <f>'Part V-Revenues &amp; Expenses'!O46</f>
        <v>0</v>
      </c>
      <c r="P499" s="1853">
        <f>'Part V-Revenues &amp; Expenses'!P46</f>
        <v>0</v>
      </c>
      <c r="Q499" s="1772">
        <f>'Part V-Revenues &amp; Expenses'!Q46</f>
        <v>0</v>
      </c>
      <c r="R499" s="2004"/>
      <c r="S499" s="2005"/>
      <c r="T499" s="1920"/>
      <c r="U499" s="1920"/>
      <c r="V499" s="1920"/>
      <c r="W499" s="1920"/>
      <c r="X499" s="251" t="str">
        <f t="shared" si="3"/>
        <v/>
      </c>
      <c r="Y499" s="251" t="str">
        <f t="shared" si="4"/>
        <v/>
      </c>
      <c r="Z499" s="251" t="str">
        <f t="shared" si="5"/>
        <v/>
      </c>
      <c r="AA499" s="251" t="str">
        <f t="shared" si="6"/>
        <v/>
      </c>
      <c r="AB499" s="251" t="str">
        <f t="shared" si="7"/>
        <v/>
      </c>
      <c r="AC499" s="251" t="str">
        <f t="shared" si="8"/>
        <v/>
      </c>
      <c r="AD499" s="251" t="str">
        <f t="shared" si="9"/>
        <v/>
      </c>
      <c r="AE499" s="251" t="str">
        <f t="shared" si="10"/>
        <v/>
      </c>
      <c r="AF499" s="251" t="str">
        <f t="shared" si="11"/>
        <v/>
      </c>
      <c r="AG499" s="251" t="str">
        <f t="shared" si="12"/>
        <v/>
      </c>
      <c r="AH499" s="251" t="str">
        <f t="shared" si="13"/>
        <v/>
      </c>
      <c r="AI499" s="251" t="str">
        <f t="shared" si="14"/>
        <v/>
      </c>
      <c r="AJ499" s="251" t="str">
        <f t="shared" si="15"/>
        <v/>
      </c>
      <c r="AK499" s="251" t="str">
        <f t="shared" si="16"/>
        <v/>
      </c>
      <c r="AL499" s="251" t="str">
        <f t="shared" si="17"/>
        <v/>
      </c>
      <c r="AM499" s="251" t="str">
        <f t="shared" si="18"/>
        <v/>
      </c>
      <c r="AN499" s="251" t="str">
        <f t="shared" si="19"/>
        <v/>
      </c>
      <c r="AO499" s="251" t="str">
        <f t="shared" si="20"/>
        <v/>
      </c>
      <c r="AP499" s="251" t="str">
        <f t="shared" si="21"/>
        <v/>
      </c>
      <c r="AQ499" s="251" t="str">
        <f t="shared" si="22"/>
        <v/>
      </c>
      <c r="AR499" s="251" t="str">
        <f t="shared" si="23"/>
        <v/>
      </c>
      <c r="AS499" s="251" t="str">
        <f t="shared" si="24"/>
        <v/>
      </c>
      <c r="AT499" s="251" t="str">
        <f t="shared" si="25"/>
        <v/>
      </c>
      <c r="AU499" s="251" t="str">
        <f t="shared" si="26"/>
        <v/>
      </c>
      <c r="AV499" s="251" t="str">
        <f t="shared" si="27"/>
        <v/>
      </c>
      <c r="AW499" s="251" t="str">
        <f t="shared" si="28"/>
        <v/>
      </c>
      <c r="AX499" s="251" t="str">
        <f t="shared" si="29"/>
        <v/>
      </c>
      <c r="AY499" s="251" t="str">
        <f t="shared" si="30"/>
        <v/>
      </c>
      <c r="AZ499" s="251" t="str">
        <f t="shared" si="31"/>
        <v/>
      </c>
      <c r="BA499" s="251" t="str">
        <f t="shared" si="32"/>
        <v/>
      </c>
      <c r="BB499" s="251" t="str">
        <f t="shared" si="33"/>
        <v/>
      </c>
      <c r="BC499" s="251" t="str">
        <f t="shared" si="34"/>
        <v/>
      </c>
      <c r="BD499" s="251" t="str">
        <f t="shared" si="35"/>
        <v/>
      </c>
      <c r="BE499" s="251" t="str">
        <f t="shared" si="36"/>
        <v/>
      </c>
      <c r="BF499" s="251" t="str">
        <f t="shared" si="37"/>
        <v/>
      </c>
      <c r="BG499" s="251" t="str">
        <f t="shared" si="38"/>
        <v/>
      </c>
      <c r="BH499" s="251" t="str">
        <f t="shared" si="39"/>
        <v/>
      </c>
      <c r="BI499" s="251" t="str">
        <f t="shared" si="40"/>
        <v/>
      </c>
      <c r="BJ499" s="251" t="str">
        <f t="shared" si="41"/>
        <v/>
      </c>
      <c r="BK499" s="251" t="str">
        <f t="shared" si="42"/>
        <v/>
      </c>
      <c r="BL499" s="251" t="str">
        <f t="shared" si="43"/>
        <v/>
      </c>
      <c r="BM499" s="251" t="str">
        <f t="shared" si="44"/>
        <v/>
      </c>
      <c r="BN499" s="251" t="str">
        <f t="shared" si="45"/>
        <v/>
      </c>
      <c r="BO499" s="251" t="str">
        <f t="shared" si="46"/>
        <v/>
      </c>
      <c r="BP499" s="251" t="str">
        <f t="shared" si="47"/>
        <v/>
      </c>
      <c r="BQ499" s="251" t="str">
        <f t="shared" si="48"/>
        <v/>
      </c>
      <c r="BR499" s="251" t="str">
        <f t="shared" si="49"/>
        <v/>
      </c>
      <c r="BS499" s="251" t="str">
        <f t="shared" si="50"/>
        <v/>
      </c>
      <c r="BT499" s="251" t="str">
        <f t="shared" si="51"/>
        <v/>
      </c>
      <c r="BU499" s="251" t="str">
        <f t="shared" si="52"/>
        <v/>
      </c>
      <c r="BV499" s="251" t="str">
        <f t="shared" si="53"/>
        <v/>
      </c>
      <c r="BW499" s="251" t="str">
        <f t="shared" si="54"/>
        <v/>
      </c>
      <c r="BX499" s="251" t="str">
        <f t="shared" si="55"/>
        <v/>
      </c>
      <c r="BY499" s="251" t="str">
        <f t="shared" si="56"/>
        <v/>
      </c>
      <c r="BZ499" s="251" t="str">
        <f t="shared" si="57"/>
        <v/>
      </c>
      <c r="CA499" s="251" t="str">
        <f t="shared" si="58"/>
        <v/>
      </c>
      <c r="CB499" s="251" t="str">
        <f t="shared" si="59"/>
        <v/>
      </c>
      <c r="CC499" s="251" t="str">
        <f t="shared" si="60"/>
        <v/>
      </c>
      <c r="CD499" s="251" t="str">
        <f t="shared" si="61"/>
        <v/>
      </c>
      <c r="CE499" s="251" t="str">
        <f t="shared" si="62"/>
        <v/>
      </c>
      <c r="CF499" s="251" t="str">
        <f t="shared" si="63"/>
        <v/>
      </c>
      <c r="CG499" s="251" t="str">
        <f t="shared" si="64"/>
        <v/>
      </c>
      <c r="CH499" s="251" t="str">
        <f t="shared" si="65"/>
        <v/>
      </c>
      <c r="CI499" s="251" t="str">
        <f t="shared" si="66"/>
        <v/>
      </c>
      <c r="CJ499" s="251" t="str">
        <f t="shared" si="67"/>
        <v/>
      </c>
      <c r="CK499" s="251" t="str">
        <f t="shared" si="68"/>
        <v/>
      </c>
      <c r="CL499" s="251" t="str">
        <f t="shared" si="69"/>
        <v/>
      </c>
      <c r="CM499" s="251" t="str">
        <f t="shared" si="70"/>
        <v/>
      </c>
      <c r="CN499" s="251" t="str">
        <f t="shared" si="71"/>
        <v/>
      </c>
      <c r="CO499" s="251" t="str">
        <f t="shared" si="72"/>
        <v/>
      </c>
      <c r="CP499" s="251" t="str">
        <f t="shared" si="73"/>
        <v/>
      </c>
      <c r="CQ499" s="251" t="str">
        <f t="shared" si="74"/>
        <v/>
      </c>
      <c r="CR499" s="251" t="str">
        <f t="shared" si="75"/>
        <v/>
      </c>
      <c r="CS499" s="251" t="str">
        <f t="shared" si="76"/>
        <v/>
      </c>
      <c r="CT499" s="251" t="str">
        <f t="shared" si="77"/>
        <v/>
      </c>
      <c r="CU499" s="251" t="str">
        <f t="shared" si="78"/>
        <v/>
      </c>
      <c r="CV499" s="251" t="str">
        <f t="shared" si="79"/>
        <v/>
      </c>
      <c r="CW499" s="251" t="str">
        <f t="shared" si="80"/>
        <v/>
      </c>
      <c r="CX499" s="251" t="str">
        <f t="shared" si="81"/>
        <v/>
      </c>
      <c r="CY499" s="251" t="str">
        <f t="shared" si="82"/>
        <v/>
      </c>
      <c r="CZ499" s="251" t="str">
        <f t="shared" si="83"/>
        <v/>
      </c>
      <c r="DA499" s="251" t="str">
        <f t="shared" si="84"/>
        <v/>
      </c>
      <c r="DB499" s="251" t="str">
        <f t="shared" si="85"/>
        <v/>
      </c>
      <c r="DC499" s="251" t="str">
        <f t="shared" si="86"/>
        <v/>
      </c>
      <c r="DD499" s="251" t="str">
        <f t="shared" si="87"/>
        <v/>
      </c>
      <c r="DE499" s="251" t="str">
        <f t="shared" si="88"/>
        <v/>
      </c>
      <c r="DF499" s="251" t="str">
        <f t="shared" si="89"/>
        <v/>
      </c>
      <c r="DG499" s="251" t="str">
        <f t="shared" si="90"/>
        <v/>
      </c>
      <c r="DH499" s="251" t="str">
        <f t="shared" si="91"/>
        <v/>
      </c>
      <c r="DI499" s="251" t="str">
        <f t="shared" si="92"/>
        <v/>
      </c>
      <c r="DJ499" s="251" t="str">
        <f t="shared" si="93"/>
        <v/>
      </c>
      <c r="DK499" s="251" t="str">
        <f t="shared" si="94"/>
        <v/>
      </c>
      <c r="DL499" s="251" t="str">
        <f t="shared" si="95"/>
        <v/>
      </c>
      <c r="DM499" s="251" t="str">
        <f t="shared" si="96"/>
        <v/>
      </c>
      <c r="DN499" s="251" t="str">
        <f t="shared" si="97"/>
        <v/>
      </c>
      <c r="DO499" s="251" t="str">
        <f t="shared" si="98"/>
        <v/>
      </c>
      <c r="DP499" s="251" t="str">
        <f t="shared" si="99"/>
        <v/>
      </c>
      <c r="DQ499" s="251" t="str">
        <f t="shared" si="100"/>
        <v/>
      </c>
      <c r="DR499" s="251" t="str">
        <f t="shared" si="101"/>
        <v/>
      </c>
      <c r="DS499" s="251" t="str">
        <f t="shared" si="102"/>
        <v/>
      </c>
      <c r="DT499" s="251" t="str">
        <f t="shared" si="103"/>
        <v/>
      </c>
      <c r="DU499" s="251" t="str">
        <f t="shared" si="104"/>
        <v/>
      </c>
      <c r="DV499" s="251" t="str">
        <f t="shared" si="105"/>
        <v/>
      </c>
      <c r="DW499" s="251" t="str">
        <f t="shared" si="106"/>
        <v/>
      </c>
      <c r="DX499" s="251" t="str">
        <f t="shared" si="107"/>
        <v/>
      </c>
      <c r="DY499" s="251" t="str">
        <f t="shared" si="108"/>
        <v/>
      </c>
      <c r="DZ499" s="251" t="str">
        <f t="shared" si="109"/>
        <v/>
      </c>
      <c r="EA499" s="251" t="str">
        <f t="shared" si="110"/>
        <v/>
      </c>
      <c r="EB499" s="251" t="str">
        <f t="shared" si="111"/>
        <v/>
      </c>
      <c r="EC499" s="251" t="str">
        <f t="shared" si="112"/>
        <v/>
      </c>
      <c r="ED499" s="251" t="str">
        <f t="shared" si="113"/>
        <v/>
      </c>
      <c r="EE499" s="251" t="str">
        <f t="shared" si="114"/>
        <v/>
      </c>
      <c r="EF499" s="251" t="str">
        <f t="shared" si="115"/>
        <v/>
      </c>
      <c r="EG499" s="251" t="str">
        <f t="shared" si="116"/>
        <v/>
      </c>
      <c r="EH499" s="251" t="str">
        <f t="shared" si="117"/>
        <v/>
      </c>
      <c r="EI499" s="251" t="str">
        <f t="shared" si="118"/>
        <v/>
      </c>
      <c r="EJ499" s="251" t="str">
        <f t="shared" si="119"/>
        <v/>
      </c>
      <c r="EK499" s="251" t="str">
        <f t="shared" si="120"/>
        <v/>
      </c>
      <c r="EL499" s="251" t="str">
        <f t="shared" si="121"/>
        <v/>
      </c>
      <c r="EM499" s="251" t="str">
        <f t="shared" si="122"/>
        <v/>
      </c>
      <c r="EN499" s="251" t="str">
        <f t="shared" si="123"/>
        <v/>
      </c>
      <c r="EO499" s="251" t="str">
        <f t="shared" si="124"/>
        <v/>
      </c>
      <c r="EP499" s="251" t="str">
        <f t="shared" si="125"/>
        <v/>
      </c>
      <c r="EQ499" s="251" t="str">
        <f t="shared" si="126"/>
        <v/>
      </c>
      <c r="ER499" s="251" t="str">
        <f t="shared" si="127"/>
        <v/>
      </c>
      <c r="ES499" s="251" t="str">
        <f t="shared" si="128"/>
        <v/>
      </c>
      <c r="ET499" s="251" t="str">
        <f t="shared" si="129"/>
        <v/>
      </c>
      <c r="EU499" s="251" t="str">
        <f t="shared" si="130"/>
        <v/>
      </c>
      <c r="EV499" s="251" t="str">
        <f t="shared" si="131"/>
        <v/>
      </c>
      <c r="EW499" s="251" t="str">
        <f t="shared" si="132"/>
        <v/>
      </c>
      <c r="EX499" s="251" t="str">
        <f t="shared" si="133"/>
        <v/>
      </c>
      <c r="EY499" s="251" t="str">
        <f t="shared" si="134"/>
        <v/>
      </c>
      <c r="EZ499" s="251" t="str">
        <f t="shared" si="135"/>
        <v/>
      </c>
      <c r="FA499" s="251" t="str">
        <f t="shared" si="136"/>
        <v/>
      </c>
      <c r="FB499" s="251" t="str">
        <f t="shared" si="137"/>
        <v/>
      </c>
      <c r="FC499" s="251" t="str">
        <f t="shared" si="138"/>
        <v/>
      </c>
      <c r="FD499" s="251" t="str">
        <f t="shared" si="139"/>
        <v/>
      </c>
      <c r="FE499" s="251" t="str">
        <f t="shared" si="140"/>
        <v/>
      </c>
      <c r="FF499" s="251" t="str">
        <f t="shared" si="141"/>
        <v/>
      </c>
      <c r="FG499" s="251" t="str">
        <f t="shared" si="142"/>
        <v/>
      </c>
      <c r="FH499" s="251" t="str">
        <f t="shared" si="143"/>
        <v/>
      </c>
      <c r="FI499" s="251" t="str">
        <f t="shared" si="144"/>
        <v/>
      </c>
      <c r="FJ499" s="251" t="str">
        <f t="shared" si="145"/>
        <v/>
      </c>
      <c r="FK499" s="251" t="str">
        <f t="shared" si="146"/>
        <v/>
      </c>
      <c r="FL499" s="251" t="str">
        <f t="shared" si="147"/>
        <v/>
      </c>
      <c r="FM499" s="251" t="str">
        <f t="shared" si="148"/>
        <v/>
      </c>
      <c r="FN499" s="251" t="str">
        <f t="shared" si="149"/>
        <v/>
      </c>
      <c r="FO499" s="251" t="str">
        <f t="shared" si="150"/>
        <v/>
      </c>
      <c r="FP499" s="251" t="str">
        <f t="shared" si="151"/>
        <v/>
      </c>
      <c r="FQ499" s="251" t="str">
        <f t="shared" si="152"/>
        <v/>
      </c>
      <c r="FR499" s="251" t="str">
        <f t="shared" si="153"/>
        <v/>
      </c>
      <c r="FS499" s="251" t="str">
        <f t="shared" si="154"/>
        <v/>
      </c>
      <c r="FT499" s="251" t="str">
        <f t="shared" si="155"/>
        <v/>
      </c>
      <c r="FU499" s="251" t="str">
        <f t="shared" si="156"/>
        <v/>
      </c>
      <c r="FV499" s="251" t="str">
        <f t="shared" si="157"/>
        <v/>
      </c>
      <c r="FW499" s="251" t="str">
        <f t="shared" si="158"/>
        <v/>
      </c>
      <c r="FX499" s="251" t="str">
        <f t="shared" si="159"/>
        <v/>
      </c>
      <c r="FY499" s="251" t="str">
        <f t="shared" si="160"/>
        <v/>
      </c>
      <c r="FZ499" s="251" t="str">
        <f t="shared" si="161"/>
        <v/>
      </c>
      <c r="GA499" s="251" t="str">
        <f t="shared" si="162"/>
        <v/>
      </c>
      <c r="GB499" s="251" t="str">
        <f t="shared" si="163"/>
        <v/>
      </c>
      <c r="GC499" s="251" t="str">
        <f t="shared" si="164"/>
        <v/>
      </c>
      <c r="GD499" s="251" t="str">
        <f t="shared" si="165"/>
        <v/>
      </c>
      <c r="GE499" s="251" t="str">
        <f t="shared" si="166"/>
        <v/>
      </c>
      <c r="GF499" s="251" t="str">
        <f t="shared" si="167"/>
        <v/>
      </c>
      <c r="GG499" s="251" t="str">
        <f t="shared" si="168"/>
        <v/>
      </c>
      <c r="GH499" s="251" t="str">
        <f t="shared" si="169"/>
        <v/>
      </c>
      <c r="GI499" s="251" t="str">
        <f t="shared" si="170"/>
        <v/>
      </c>
      <c r="GJ499" s="251" t="str">
        <f t="shared" si="171"/>
        <v/>
      </c>
      <c r="GK499" s="251" t="str">
        <f t="shared" si="172"/>
        <v/>
      </c>
      <c r="GL499" s="251" t="str">
        <f t="shared" si="173"/>
        <v/>
      </c>
      <c r="GM499" s="251" t="str">
        <f t="shared" si="174"/>
        <v/>
      </c>
      <c r="GN499" s="251" t="str">
        <f t="shared" si="175"/>
        <v/>
      </c>
      <c r="GO499" s="251" t="str">
        <f t="shared" si="176"/>
        <v/>
      </c>
      <c r="GP499" s="251" t="str">
        <f t="shared" si="177"/>
        <v/>
      </c>
      <c r="GQ499" s="251" t="str">
        <f t="shared" si="178"/>
        <v/>
      </c>
      <c r="GR499" s="251" t="str">
        <f t="shared" si="179"/>
        <v/>
      </c>
      <c r="GS499" s="251" t="str">
        <f t="shared" si="180"/>
        <v/>
      </c>
      <c r="GT499" s="251" t="str">
        <f t="shared" si="181"/>
        <v/>
      </c>
      <c r="GU499" s="251" t="str">
        <f t="shared" si="182"/>
        <v/>
      </c>
      <c r="GV499" s="251" t="str">
        <f t="shared" si="183"/>
        <v/>
      </c>
      <c r="GW499" s="251" t="str">
        <f t="shared" si="184"/>
        <v/>
      </c>
      <c r="GX499" s="251" t="str">
        <f t="shared" si="185"/>
        <v/>
      </c>
      <c r="GY499" s="251" t="str">
        <f t="shared" si="186"/>
        <v/>
      </c>
      <c r="GZ499" s="251" t="str">
        <f t="shared" si="187"/>
        <v/>
      </c>
      <c r="HA499" s="251" t="str">
        <f t="shared" si="188"/>
        <v/>
      </c>
      <c r="HB499" s="251" t="str">
        <f t="shared" si="189"/>
        <v/>
      </c>
      <c r="HC499" s="251" t="str">
        <f t="shared" si="190"/>
        <v/>
      </c>
      <c r="HD499" s="251" t="str">
        <f t="shared" si="191"/>
        <v/>
      </c>
      <c r="HE499" s="251" t="str">
        <f t="shared" si="192"/>
        <v/>
      </c>
      <c r="HF499" s="251" t="str">
        <f t="shared" si="193"/>
        <v/>
      </c>
      <c r="HG499" s="251" t="str">
        <f t="shared" si="194"/>
        <v/>
      </c>
      <c r="HH499" s="251" t="str">
        <f t="shared" si="195"/>
        <v/>
      </c>
      <c r="HI499" s="251" t="str">
        <f t="shared" si="196"/>
        <v/>
      </c>
      <c r="HJ499" s="251" t="str">
        <f t="shared" si="197"/>
        <v/>
      </c>
      <c r="HK499" s="251" t="str">
        <f t="shared" si="198"/>
        <v/>
      </c>
      <c r="HL499" s="251" t="str">
        <f t="shared" si="199"/>
        <v/>
      </c>
      <c r="HM499" s="251" t="str">
        <f t="shared" si="200"/>
        <v/>
      </c>
      <c r="HN499" s="251" t="str">
        <f t="shared" si="201"/>
        <v/>
      </c>
      <c r="HO499" s="251" t="str">
        <f t="shared" si="202"/>
        <v/>
      </c>
      <c r="HP499" s="251" t="str">
        <f t="shared" si="203"/>
        <v/>
      </c>
      <c r="HQ499" s="251" t="str">
        <f t="shared" si="204"/>
        <v/>
      </c>
      <c r="HR499" s="251" t="str">
        <f t="shared" si="205"/>
        <v/>
      </c>
      <c r="HS499" s="251" t="str">
        <f t="shared" si="206"/>
        <v/>
      </c>
      <c r="HT499" s="251" t="str">
        <f t="shared" si="207"/>
        <v/>
      </c>
      <c r="HU499" s="251" t="str">
        <f t="shared" si="208"/>
        <v/>
      </c>
      <c r="HV499" s="251" t="str">
        <f t="shared" si="209"/>
        <v/>
      </c>
      <c r="HW499" s="251" t="str">
        <f t="shared" si="210"/>
        <v/>
      </c>
      <c r="HX499" s="251" t="str">
        <f t="shared" si="211"/>
        <v/>
      </c>
      <c r="HY499" s="251" t="str">
        <f t="shared" si="212"/>
        <v/>
      </c>
      <c r="HZ499" s="251" t="str">
        <f t="shared" si="213"/>
        <v/>
      </c>
      <c r="IA499" s="251" t="str">
        <f t="shared" si="214"/>
        <v/>
      </c>
      <c r="IB499" s="251" t="str">
        <f t="shared" si="215"/>
        <v/>
      </c>
      <c r="IC499" s="251" t="str">
        <f t="shared" si="216"/>
        <v/>
      </c>
      <c r="ID499" s="251" t="str">
        <f t="shared" si="217"/>
        <v/>
      </c>
      <c r="IE499" s="251" t="str">
        <f t="shared" si="218"/>
        <v/>
      </c>
      <c r="IF499" s="251" t="str">
        <f t="shared" si="219"/>
        <v/>
      </c>
      <c r="IG499" s="251" t="str">
        <f t="shared" si="220"/>
        <v/>
      </c>
      <c r="IH499" s="251" t="str">
        <f t="shared" si="221"/>
        <v/>
      </c>
      <c r="II499" s="251" t="str">
        <f t="shared" si="222"/>
        <v/>
      </c>
      <c r="IJ499" s="251" t="str">
        <f t="shared" si="223"/>
        <v/>
      </c>
      <c r="IK499" s="251" t="str">
        <f t="shared" si="224"/>
        <v/>
      </c>
      <c r="IL499" s="251" t="str">
        <f t="shared" si="225"/>
        <v/>
      </c>
      <c r="IM499" s="251" t="str">
        <f t="shared" si="226"/>
        <v/>
      </c>
      <c r="IN499" s="251" t="str">
        <f t="shared" si="227"/>
        <v/>
      </c>
      <c r="IO499" s="251" t="str">
        <f t="shared" si="228"/>
        <v/>
      </c>
      <c r="IP499" s="251" t="str">
        <f t="shared" si="229"/>
        <v/>
      </c>
      <c r="IQ499" s="251" t="str">
        <f t="shared" si="230"/>
        <v/>
      </c>
      <c r="IR499" s="251" t="str">
        <f t="shared" si="231"/>
        <v/>
      </c>
      <c r="IS499" s="251" t="str">
        <f t="shared" si="232"/>
        <v/>
      </c>
      <c r="IT499" s="251" t="str">
        <f t="shared" si="233"/>
        <v/>
      </c>
      <c r="IU499" s="251" t="str">
        <f t="shared" si="234"/>
        <v/>
      </c>
      <c r="IV499" s="251" t="str">
        <f t="shared" si="235"/>
        <v/>
      </c>
      <c r="IW499" s="251" t="str">
        <f t="shared" si="236"/>
        <v/>
      </c>
      <c r="IX499" s="251" t="str">
        <f t="shared" si="237"/>
        <v/>
      </c>
      <c r="IY499" s="251" t="str">
        <f t="shared" si="238"/>
        <v/>
      </c>
      <c r="IZ499" s="251" t="str">
        <f t="shared" si="239"/>
        <v/>
      </c>
      <c r="JA499" s="251" t="str">
        <f t="shared" si="240"/>
        <v/>
      </c>
      <c r="JB499" s="251" t="str">
        <f t="shared" si="241"/>
        <v/>
      </c>
      <c r="JC499" s="251" t="str">
        <f t="shared" si="242"/>
        <v/>
      </c>
      <c r="JD499" s="251" t="str">
        <f t="shared" si="243"/>
        <v/>
      </c>
      <c r="JE499" s="251" t="str">
        <f t="shared" si="244"/>
        <v/>
      </c>
      <c r="JF499" s="251" t="str">
        <f t="shared" si="245"/>
        <v/>
      </c>
      <c r="JG499" s="251" t="str">
        <f t="shared" si="246"/>
        <v/>
      </c>
      <c r="JH499" s="251" t="str">
        <f t="shared" si="247"/>
        <v/>
      </c>
      <c r="JI499" s="1297" t="str">
        <f t="shared" si="248"/>
        <v/>
      </c>
      <c r="JJ499" s="1297" t="str">
        <f t="shared" si="249"/>
        <v/>
      </c>
      <c r="JK499" s="1297" t="str">
        <f t="shared" si="250"/>
        <v/>
      </c>
      <c r="JL499" s="1297" t="str">
        <f t="shared" si="251"/>
        <v/>
      </c>
      <c r="JM499" s="1297" t="str">
        <f t="shared" si="252"/>
        <v/>
      </c>
      <c r="JN499" s="1297" t="str">
        <f t="shared" si="253"/>
        <v/>
      </c>
      <c r="JO499" s="1297" t="str">
        <f t="shared" si="254"/>
        <v/>
      </c>
      <c r="JP499" s="1297" t="str">
        <f t="shared" si="255"/>
        <v/>
      </c>
      <c r="JQ499" s="1297" t="str">
        <f t="shared" si="256"/>
        <v/>
      </c>
      <c r="JR499" s="1297" t="str">
        <f t="shared" si="257"/>
        <v/>
      </c>
      <c r="JS499" s="1297" t="str">
        <f t="shared" si="258"/>
        <v/>
      </c>
      <c r="JT499" s="1297" t="str">
        <f t="shared" si="259"/>
        <v/>
      </c>
      <c r="JU499" s="1297" t="str">
        <f t="shared" si="260"/>
        <v/>
      </c>
      <c r="JV499" s="1297" t="str">
        <f t="shared" si="261"/>
        <v/>
      </c>
      <c r="JW499" s="1297" t="str">
        <f t="shared" si="262"/>
        <v/>
      </c>
      <c r="JX499" s="1297" t="str">
        <f t="shared" si="263"/>
        <v/>
      </c>
      <c r="JY499" s="1297" t="str">
        <f t="shared" si="264"/>
        <v/>
      </c>
      <c r="JZ499" s="1297" t="str">
        <f t="shared" si="265"/>
        <v/>
      </c>
      <c r="KA499" s="1297" t="str">
        <f t="shared" si="266"/>
        <v/>
      </c>
      <c r="KB499" s="1297" t="str">
        <f t="shared" si="267"/>
        <v/>
      </c>
      <c r="KC499" s="1297" t="str">
        <f t="shared" si="268"/>
        <v/>
      </c>
      <c r="KD499" s="1297" t="str">
        <f t="shared" si="269"/>
        <v/>
      </c>
      <c r="KE499" s="1297" t="str">
        <f t="shared" si="270"/>
        <v/>
      </c>
      <c r="KF499" s="1297" t="str">
        <f t="shared" si="271"/>
        <v/>
      </c>
      <c r="KG499" s="1297" t="str">
        <f t="shared" si="272"/>
        <v/>
      </c>
      <c r="KH499" s="1297" t="str">
        <f t="shared" si="273"/>
        <v/>
      </c>
      <c r="KI499" s="1297" t="str">
        <f t="shared" si="274"/>
        <v/>
      </c>
      <c r="KJ499" s="1297" t="str">
        <f t="shared" si="275"/>
        <v/>
      </c>
      <c r="KK499" s="1297" t="str">
        <f t="shared" si="276"/>
        <v/>
      </c>
      <c r="KL499" s="1297" t="str">
        <f t="shared" si="277"/>
        <v/>
      </c>
      <c r="KM499" s="1297" t="str">
        <f t="shared" si="278"/>
        <v/>
      </c>
      <c r="KN499" s="1297" t="str">
        <f t="shared" si="279"/>
        <v/>
      </c>
      <c r="KO499" s="1297" t="str">
        <f t="shared" si="280"/>
        <v/>
      </c>
      <c r="KP499" s="1297" t="str">
        <f t="shared" si="281"/>
        <v/>
      </c>
      <c r="KQ499" s="1297" t="str">
        <f t="shared" si="282"/>
        <v/>
      </c>
      <c r="KR499" s="1297" t="str">
        <f t="shared" si="283"/>
        <v/>
      </c>
      <c r="KS499" s="1297" t="str">
        <f t="shared" si="284"/>
        <v/>
      </c>
      <c r="KT499" s="1297" t="str">
        <f t="shared" si="285"/>
        <v/>
      </c>
      <c r="KU499" s="1297" t="str">
        <f t="shared" si="286"/>
        <v/>
      </c>
      <c r="KV499" s="1297" t="str">
        <f t="shared" si="287"/>
        <v/>
      </c>
      <c r="KW499" s="1297" t="str">
        <f t="shared" si="288"/>
        <v/>
      </c>
      <c r="KX499" s="1297" t="str">
        <f t="shared" si="289"/>
        <v/>
      </c>
      <c r="KY499" s="1297" t="str">
        <f t="shared" si="290"/>
        <v/>
      </c>
      <c r="KZ499" s="1297" t="str">
        <f t="shared" si="291"/>
        <v/>
      </c>
      <c r="LA499" s="1297" t="str">
        <f t="shared" si="292"/>
        <v/>
      </c>
      <c r="LB499" s="1297" t="str">
        <f t="shared" si="293"/>
        <v/>
      </c>
      <c r="LC499" s="1297" t="str">
        <f t="shared" si="294"/>
        <v/>
      </c>
      <c r="LD499" s="1297" t="str">
        <f t="shared" si="295"/>
        <v/>
      </c>
      <c r="LE499" s="1297" t="str">
        <f t="shared" si="296"/>
        <v/>
      </c>
      <c r="LF499" s="1297" t="str">
        <f t="shared" si="297"/>
        <v/>
      </c>
      <c r="LG499" s="1297" t="str">
        <f t="shared" si="298"/>
        <v/>
      </c>
      <c r="LH499" s="1297" t="str">
        <f t="shared" si="299"/>
        <v/>
      </c>
      <c r="LI499" s="1297" t="str">
        <f t="shared" si="300"/>
        <v/>
      </c>
      <c r="LJ499" s="1297" t="str">
        <f t="shared" si="301"/>
        <v/>
      </c>
      <c r="LK499" s="1297" t="str">
        <f t="shared" si="302"/>
        <v/>
      </c>
      <c r="LL499" s="1297" t="str">
        <f t="shared" si="303"/>
        <v/>
      </c>
      <c r="LM499" s="1297" t="str">
        <f t="shared" si="304"/>
        <v/>
      </c>
      <c r="LN499" s="1297" t="str">
        <f t="shared" si="305"/>
        <v/>
      </c>
      <c r="LO499" s="1297" t="str">
        <f t="shared" si="306"/>
        <v/>
      </c>
      <c r="LP499" s="1297" t="str">
        <f t="shared" si="307"/>
        <v/>
      </c>
      <c r="LQ499" s="1297" t="str">
        <f t="shared" si="308"/>
        <v/>
      </c>
      <c r="LR499" s="1297" t="str">
        <f t="shared" si="309"/>
        <v/>
      </c>
      <c r="LS499" s="1297" t="str">
        <f t="shared" si="310"/>
        <v/>
      </c>
      <c r="LT499" s="1297" t="str">
        <f t="shared" si="311"/>
        <v/>
      </c>
      <c r="LU499" s="1297" t="str">
        <f t="shared" si="312"/>
        <v/>
      </c>
      <c r="LV499" s="1297" t="str">
        <f t="shared" si="313"/>
        <v/>
      </c>
      <c r="LW499" s="1297" t="str">
        <f t="shared" si="314"/>
        <v/>
      </c>
      <c r="LX499" s="1297" t="str">
        <f t="shared" si="315"/>
        <v/>
      </c>
      <c r="LY499" s="1297" t="str">
        <f t="shared" si="316"/>
        <v/>
      </c>
      <c r="LZ499" s="1297" t="str">
        <f t="shared" si="317"/>
        <v/>
      </c>
      <c r="MA499" s="1297" t="str">
        <f t="shared" si="318"/>
        <v/>
      </c>
      <c r="MB499" s="1297" t="str">
        <f t="shared" si="319"/>
        <v/>
      </c>
      <c r="MC499" s="1297" t="str">
        <f t="shared" si="320"/>
        <v/>
      </c>
      <c r="MD499" s="1297" t="str">
        <f t="shared" si="321"/>
        <v/>
      </c>
      <c r="ME499" s="1297" t="str">
        <f t="shared" si="322"/>
        <v/>
      </c>
      <c r="MF499" s="1297" t="str">
        <f t="shared" si="323"/>
        <v/>
      </c>
      <c r="MG499" s="1297" t="str">
        <f t="shared" si="324"/>
        <v/>
      </c>
      <c r="MH499" s="1297" t="str">
        <f t="shared" si="325"/>
        <v/>
      </c>
      <c r="MI499" s="1297" t="str">
        <f t="shared" si="326"/>
        <v/>
      </c>
      <c r="MJ499" s="1297" t="str">
        <f t="shared" si="327"/>
        <v/>
      </c>
      <c r="MK499" s="1297" t="str">
        <f t="shared" si="328"/>
        <v/>
      </c>
      <c r="ML499" s="1297" t="str">
        <f t="shared" si="329"/>
        <v/>
      </c>
      <c r="MM499" s="1297" t="str">
        <f t="shared" si="330"/>
        <v/>
      </c>
      <c r="MN499" s="1297" t="str">
        <f t="shared" si="331"/>
        <v/>
      </c>
      <c r="MO499" s="1297" t="str">
        <f t="shared" si="332"/>
        <v/>
      </c>
      <c r="MP499" s="1773" t="str">
        <f t="shared" si="333"/>
        <v/>
      </c>
      <c r="MQ499" s="1773" t="str">
        <f t="shared" si="334"/>
        <v/>
      </c>
      <c r="MR499" s="1773" t="str">
        <f t="shared" si="335"/>
        <v/>
      </c>
      <c r="MS499" s="1773" t="str">
        <f t="shared" si="336"/>
        <v/>
      </c>
      <c r="MT499" s="1773" t="str">
        <f t="shared" si="337"/>
        <v/>
      </c>
      <c r="MU499" s="251" t="str">
        <f t="shared" si="338"/>
        <v/>
      </c>
      <c r="MV499" s="251" t="str">
        <f t="shared" si="339"/>
        <v/>
      </c>
      <c r="MW499" s="251" t="str">
        <f t="shared" si="340"/>
        <v/>
      </c>
      <c r="MX499" s="251" t="str">
        <f t="shared" si="341"/>
        <v/>
      </c>
      <c r="MY499" s="251" t="str">
        <f t="shared" si="342"/>
        <v/>
      </c>
      <c r="MZ499" s="251" t="str">
        <f t="shared" si="343"/>
        <v/>
      </c>
      <c r="NA499" s="251" t="str">
        <f t="shared" si="344"/>
        <v/>
      </c>
      <c r="NB499" s="251" t="str">
        <f t="shared" si="345"/>
        <v/>
      </c>
      <c r="NC499" s="251" t="str">
        <f t="shared" si="346"/>
        <v/>
      </c>
      <c r="ND499" s="251" t="str">
        <f t="shared" si="347"/>
        <v/>
      </c>
      <c r="NE499" s="251" t="str">
        <f t="shared" si="348"/>
        <v/>
      </c>
      <c r="NF499" s="251" t="str">
        <f t="shared" si="349"/>
        <v/>
      </c>
      <c r="NG499" s="251" t="str">
        <f t="shared" si="350"/>
        <v/>
      </c>
      <c r="NH499" s="251" t="str">
        <f t="shared" si="351"/>
        <v/>
      </c>
      <c r="NI499" s="251" t="str">
        <f t="shared" si="352"/>
        <v/>
      </c>
      <c r="NJ499" s="251" t="str">
        <f t="shared" si="353"/>
        <v/>
      </c>
      <c r="NK499" s="251" t="str">
        <f t="shared" si="354"/>
        <v/>
      </c>
      <c r="NL499" s="251" t="str">
        <f t="shared" si="355"/>
        <v/>
      </c>
      <c r="NM499" s="251" t="str">
        <f t="shared" si="356"/>
        <v/>
      </c>
      <c r="NN499" s="251" t="str">
        <f t="shared" si="357"/>
        <v/>
      </c>
      <c r="NO499" s="1185">
        <f t="shared" si="358"/>
        <v>0</v>
      </c>
      <c r="NP499" s="1185">
        <f t="shared" si="359"/>
        <v>0</v>
      </c>
      <c r="NQ499" s="1185">
        <f t="shared" si="360"/>
        <v>0</v>
      </c>
      <c r="NR499" s="1185">
        <f t="shared" si="361"/>
        <v>0</v>
      </c>
      <c r="NS499" s="1185">
        <f t="shared" si="362"/>
        <v>0</v>
      </c>
      <c r="NT499" s="1185">
        <f t="shared" si="368"/>
        <v>0</v>
      </c>
      <c r="NU499" s="1185">
        <f t="shared" si="369"/>
        <v>0</v>
      </c>
      <c r="NV499" s="1185">
        <f t="shared" si="370"/>
        <v>0</v>
      </c>
      <c r="NW499" s="1185">
        <f t="shared" si="371"/>
        <v>0</v>
      </c>
      <c r="NX499" s="1185">
        <f t="shared" si="372"/>
        <v>0</v>
      </c>
      <c r="NY499" s="1185">
        <f t="shared" si="363"/>
        <v>0</v>
      </c>
      <c r="NZ499" s="1185">
        <f t="shared" si="364"/>
        <v>0</v>
      </c>
      <c r="OA499" s="1185">
        <f t="shared" si="365"/>
        <v>0</v>
      </c>
      <c r="OB499" s="1185">
        <f t="shared" si="366"/>
        <v>0</v>
      </c>
      <c r="OC499" s="1185">
        <f t="shared" si="367"/>
        <v>0</v>
      </c>
      <c r="OY499" s="251" t="s">
        <v>1194</v>
      </c>
      <c r="OZ499" s="1296">
        <v>46</v>
      </c>
    </row>
    <row r="500" spans="1:416" ht="12" customHeight="1">
      <c r="A500" s="1979" t="str">
        <f t="shared" si="0"/>
        <v/>
      </c>
      <c r="B500" s="1998">
        <f>'Part V-Revenues &amp; Expenses'!B47</f>
        <v>0</v>
      </c>
      <c r="C500" s="1999">
        <f>'Part V-Revenues &amp; Expenses'!C47</f>
        <v>0</v>
      </c>
      <c r="D500" s="2000">
        <f>'Part V-Revenues &amp; Expenses'!D47</f>
        <v>0</v>
      </c>
      <c r="E500" s="2001">
        <f>'Part V-Revenues &amp; Expenses'!E47</f>
        <v>0</v>
      </c>
      <c r="F500" s="2001">
        <f>'Part V-Revenues &amp; Expenses'!F47</f>
        <v>0</v>
      </c>
      <c r="G500" s="2001">
        <f>'Part V-Revenues &amp; Expenses'!G47</f>
        <v>0</v>
      </c>
      <c r="H500" s="2001">
        <f>'Part V-Revenues &amp; Expenses'!H47</f>
        <v>0</v>
      </c>
      <c r="I500" s="2001">
        <f>'Part V-Revenues &amp; Expenses'!I47</f>
        <v>0</v>
      </c>
      <c r="J500" s="2001">
        <f>'Part V-Revenues &amp; Expenses'!J47</f>
        <v>0</v>
      </c>
      <c r="K500" s="2002">
        <f>'Part V-Revenues &amp; Expenses'!K47</f>
        <v>0</v>
      </c>
      <c r="L500" s="2003">
        <f t="shared" si="1"/>
        <v>0</v>
      </c>
      <c r="M500" s="2003">
        <f t="shared" si="2"/>
        <v>0</v>
      </c>
      <c r="N500" s="1853">
        <f>'Part V-Revenues &amp; Expenses'!N47</f>
        <v>0</v>
      </c>
      <c r="O500" s="899">
        <f>'Part V-Revenues &amp; Expenses'!O47</f>
        <v>0</v>
      </c>
      <c r="P500" s="1853">
        <f>'Part V-Revenues &amp; Expenses'!P47</f>
        <v>0</v>
      </c>
      <c r="Q500" s="1772">
        <f>'Part V-Revenues &amp; Expenses'!Q47</f>
        <v>0</v>
      </c>
      <c r="R500" s="2004"/>
      <c r="S500" s="2005"/>
      <c r="T500" s="1920"/>
      <c r="U500" s="1920"/>
      <c r="V500" s="1920"/>
      <c r="W500" s="1920"/>
      <c r="X500" s="251" t="str">
        <f t="shared" si="3"/>
        <v/>
      </c>
      <c r="Y500" s="251" t="str">
        <f t="shared" si="4"/>
        <v/>
      </c>
      <c r="Z500" s="251" t="str">
        <f t="shared" si="5"/>
        <v/>
      </c>
      <c r="AA500" s="251" t="str">
        <f t="shared" si="6"/>
        <v/>
      </c>
      <c r="AB500" s="251" t="str">
        <f t="shared" si="7"/>
        <v/>
      </c>
      <c r="AC500" s="251" t="str">
        <f t="shared" si="8"/>
        <v/>
      </c>
      <c r="AD500" s="251" t="str">
        <f t="shared" si="9"/>
        <v/>
      </c>
      <c r="AE500" s="251" t="str">
        <f t="shared" si="10"/>
        <v/>
      </c>
      <c r="AF500" s="251" t="str">
        <f t="shared" si="11"/>
        <v/>
      </c>
      <c r="AG500" s="251" t="str">
        <f t="shared" si="12"/>
        <v/>
      </c>
      <c r="AH500" s="251" t="str">
        <f t="shared" si="13"/>
        <v/>
      </c>
      <c r="AI500" s="251" t="str">
        <f t="shared" si="14"/>
        <v/>
      </c>
      <c r="AJ500" s="251" t="str">
        <f t="shared" si="15"/>
        <v/>
      </c>
      <c r="AK500" s="251" t="str">
        <f t="shared" si="16"/>
        <v/>
      </c>
      <c r="AL500" s="251" t="str">
        <f t="shared" si="17"/>
        <v/>
      </c>
      <c r="AM500" s="251" t="str">
        <f t="shared" si="18"/>
        <v/>
      </c>
      <c r="AN500" s="251" t="str">
        <f t="shared" si="19"/>
        <v/>
      </c>
      <c r="AO500" s="251" t="str">
        <f t="shared" si="20"/>
        <v/>
      </c>
      <c r="AP500" s="251" t="str">
        <f t="shared" si="21"/>
        <v/>
      </c>
      <c r="AQ500" s="251" t="str">
        <f t="shared" si="22"/>
        <v/>
      </c>
      <c r="AR500" s="251" t="str">
        <f t="shared" si="23"/>
        <v/>
      </c>
      <c r="AS500" s="251" t="str">
        <f t="shared" si="24"/>
        <v/>
      </c>
      <c r="AT500" s="251" t="str">
        <f t="shared" si="25"/>
        <v/>
      </c>
      <c r="AU500" s="251" t="str">
        <f t="shared" si="26"/>
        <v/>
      </c>
      <c r="AV500" s="251" t="str">
        <f t="shared" si="27"/>
        <v/>
      </c>
      <c r="AW500" s="251" t="str">
        <f t="shared" si="28"/>
        <v/>
      </c>
      <c r="AX500" s="251" t="str">
        <f t="shared" si="29"/>
        <v/>
      </c>
      <c r="AY500" s="251" t="str">
        <f t="shared" si="30"/>
        <v/>
      </c>
      <c r="AZ500" s="251" t="str">
        <f t="shared" si="31"/>
        <v/>
      </c>
      <c r="BA500" s="251" t="str">
        <f t="shared" si="32"/>
        <v/>
      </c>
      <c r="BB500" s="251" t="str">
        <f t="shared" si="33"/>
        <v/>
      </c>
      <c r="BC500" s="251" t="str">
        <f t="shared" si="34"/>
        <v/>
      </c>
      <c r="BD500" s="251" t="str">
        <f t="shared" si="35"/>
        <v/>
      </c>
      <c r="BE500" s="251" t="str">
        <f t="shared" si="36"/>
        <v/>
      </c>
      <c r="BF500" s="251" t="str">
        <f t="shared" si="37"/>
        <v/>
      </c>
      <c r="BG500" s="251" t="str">
        <f t="shared" si="38"/>
        <v/>
      </c>
      <c r="BH500" s="251" t="str">
        <f t="shared" si="39"/>
        <v/>
      </c>
      <c r="BI500" s="251" t="str">
        <f t="shared" si="40"/>
        <v/>
      </c>
      <c r="BJ500" s="251" t="str">
        <f t="shared" si="41"/>
        <v/>
      </c>
      <c r="BK500" s="251" t="str">
        <f t="shared" si="42"/>
        <v/>
      </c>
      <c r="BL500" s="251" t="str">
        <f t="shared" si="43"/>
        <v/>
      </c>
      <c r="BM500" s="251" t="str">
        <f t="shared" si="44"/>
        <v/>
      </c>
      <c r="BN500" s="251" t="str">
        <f t="shared" si="45"/>
        <v/>
      </c>
      <c r="BO500" s="251" t="str">
        <f t="shared" si="46"/>
        <v/>
      </c>
      <c r="BP500" s="251" t="str">
        <f t="shared" si="47"/>
        <v/>
      </c>
      <c r="BQ500" s="251" t="str">
        <f t="shared" si="48"/>
        <v/>
      </c>
      <c r="BR500" s="251" t="str">
        <f t="shared" si="49"/>
        <v/>
      </c>
      <c r="BS500" s="251" t="str">
        <f t="shared" si="50"/>
        <v/>
      </c>
      <c r="BT500" s="251" t="str">
        <f t="shared" si="51"/>
        <v/>
      </c>
      <c r="BU500" s="251" t="str">
        <f t="shared" si="52"/>
        <v/>
      </c>
      <c r="BV500" s="251" t="str">
        <f t="shared" si="53"/>
        <v/>
      </c>
      <c r="BW500" s="251" t="str">
        <f t="shared" si="54"/>
        <v/>
      </c>
      <c r="BX500" s="251" t="str">
        <f t="shared" si="55"/>
        <v/>
      </c>
      <c r="BY500" s="251" t="str">
        <f t="shared" si="56"/>
        <v/>
      </c>
      <c r="BZ500" s="251" t="str">
        <f t="shared" si="57"/>
        <v/>
      </c>
      <c r="CA500" s="251" t="str">
        <f t="shared" si="58"/>
        <v/>
      </c>
      <c r="CB500" s="251" t="str">
        <f t="shared" si="59"/>
        <v/>
      </c>
      <c r="CC500" s="251" t="str">
        <f t="shared" si="60"/>
        <v/>
      </c>
      <c r="CD500" s="251" t="str">
        <f t="shared" si="61"/>
        <v/>
      </c>
      <c r="CE500" s="251" t="str">
        <f t="shared" si="62"/>
        <v/>
      </c>
      <c r="CF500" s="251" t="str">
        <f t="shared" si="63"/>
        <v/>
      </c>
      <c r="CG500" s="251" t="str">
        <f t="shared" si="64"/>
        <v/>
      </c>
      <c r="CH500" s="251" t="str">
        <f t="shared" si="65"/>
        <v/>
      </c>
      <c r="CI500" s="251" t="str">
        <f t="shared" si="66"/>
        <v/>
      </c>
      <c r="CJ500" s="251" t="str">
        <f t="shared" si="67"/>
        <v/>
      </c>
      <c r="CK500" s="251" t="str">
        <f t="shared" si="68"/>
        <v/>
      </c>
      <c r="CL500" s="251" t="str">
        <f t="shared" si="69"/>
        <v/>
      </c>
      <c r="CM500" s="251" t="str">
        <f t="shared" si="70"/>
        <v/>
      </c>
      <c r="CN500" s="251" t="str">
        <f t="shared" si="71"/>
        <v/>
      </c>
      <c r="CO500" s="251" t="str">
        <f t="shared" si="72"/>
        <v/>
      </c>
      <c r="CP500" s="251" t="str">
        <f t="shared" si="73"/>
        <v/>
      </c>
      <c r="CQ500" s="251" t="str">
        <f t="shared" si="74"/>
        <v/>
      </c>
      <c r="CR500" s="251" t="str">
        <f t="shared" si="75"/>
        <v/>
      </c>
      <c r="CS500" s="251" t="str">
        <f t="shared" si="76"/>
        <v/>
      </c>
      <c r="CT500" s="251" t="str">
        <f t="shared" si="77"/>
        <v/>
      </c>
      <c r="CU500" s="251" t="str">
        <f t="shared" si="78"/>
        <v/>
      </c>
      <c r="CV500" s="251" t="str">
        <f t="shared" si="79"/>
        <v/>
      </c>
      <c r="CW500" s="251" t="str">
        <f t="shared" si="80"/>
        <v/>
      </c>
      <c r="CX500" s="251" t="str">
        <f t="shared" si="81"/>
        <v/>
      </c>
      <c r="CY500" s="251" t="str">
        <f t="shared" si="82"/>
        <v/>
      </c>
      <c r="CZ500" s="251" t="str">
        <f t="shared" si="83"/>
        <v/>
      </c>
      <c r="DA500" s="251" t="str">
        <f t="shared" si="84"/>
        <v/>
      </c>
      <c r="DB500" s="251" t="str">
        <f t="shared" si="85"/>
        <v/>
      </c>
      <c r="DC500" s="251" t="str">
        <f t="shared" si="86"/>
        <v/>
      </c>
      <c r="DD500" s="251" t="str">
        <f t="shared" si="87"/>
        <v/>
      </c>
      <c r="DE500" s="251" t="str">
        <f t="shared" si="88"/>
        <v/>
      </c>
      <c r="DF500" s="251" t="str">
        <f t="shared" si="89"/>
        <v/>
      </c>
      <c r="DG500" s="251" t="str">
        <f t="shared" si="90"/>
        <v/>
      </c>
      <c r="DH500" s="251" t="str">
        <f t="shared" si="91"/>
        <v/>
      </c>
      <c r="DI500" s="251" t="str">
        <f t="shared" si="92"/>
        <v/>
      </c>
      <c r="DJ500" s="251" t="str">
        <f t="shared" si="93"/>
        <v/>
      </c>
      <c r="DK500" s="251" t="str">
        <f t="shared" si="94"/>
        <v/>
      </c>
      <c r="DL500" s="251" t="str">
        <f t="shared" si="95"/>
        <v/>
      </c>
      <c r="DM500" s="251" t="str">
        <f t="shared" si="96"/>
        <v/>
      </c>
      <c r="DN500" s="251" t="str">
        <f t="shared" si="97"/>
        <v/>
      </c>
      <c r="DO500" s="251" t="str">
        <f t="shared" si="98"/>
        <v/>
      </c>
      <c r="DP500" s="251" t="str">
        <f t="shared" si="99"/>
        <v/>
      </c>
      <c r="DQ500" s="251" t="str">
        <f t="shared" si="100"/>
        <v/>
      </c>
      <c r="DR500" s="251" t="str">
        <f t="shared" si="101"/>
        <v/>
      </c>
      <c r="DS500" s="251" t="str">
        <f t="shared" si="102"/>
        <v/>
      </c>
      <c r="DT500" s="251" t="str">
        <f t="shared" si="103"/>
        <v/>
      </c>
      <c r="DU500" s="251" t="str">
        <f t="shared" si="104"/>
        <v/>
      </c>
      <c r="DV500" s="251" t="str">
        <f t="shared" si="105"/>
        <v/>
      </c>
      <c r="DW500" s="251" t="str">
        <f t="shared" si="106"/>
        <v/>
      </c>
      <c r="DX500" s="251" t="str">
        <f t="shared" si="107"/>
        <v/>
      </c>
      <c r="DY500" s="251" t="str">
        <f t="shared" si="108"/>
        <v/>
      </c>
      <c r="DZ500" s="251" t="str">
        <f t="shared" si="109"/>
        <v/>
      </c>
      <c r="EA500" s="251" t="str">
        <f t="shared" si="110"/>
        <v/>
      </c>
      <c r="EB500" s="251" t="str">
        <f t="shared" si="111"/>
        <v/>
      </c>
      <c r="EC500" s="251" t="str">
        <f t="shared" si="112"/>
        <v/>
      </c>
      <c r="ED500" s="251" t="str">
        <f t="shared" si="113"/>
        <v/>
      </c>
      <c r="EE500" s="251" t="str">
        <f t="shared" si="114"/>
        <v/>
      </c>
      <c r="EF500" s="251" t="str">
        <f t="shared" si="115"/>
        <v/>
      </c>
      <c r="EG500" s="251" t="str">
        <f t="shared" si="116"/>
        <v/>
      </c>
      <c r="EH500" s="251" t="str">
        <f t="shared" si="117"/>
        <v/>
      </c>
      <c r="EI500" s="251" t="str">
        <f t="shared" si="118"/>
        <v/>
      </c>
      <c r="EJ500" s="251" t="str">
        <f t="shared" si="119"/>
        <v/>
      </c>
      <c r="EK500" s="251" t="str">
        <f t="shared" si="120"/>
        <v/>
      </c>
      <c r="EL500" s="251" t="str">
        <f t="shared" si="121"/>
        <v/>
      </c>
      <c r="EM500" s="251" t="str">
        <f t="shared" si="122"/>
        <v/>
      </c>
      <c r="EN500" s="251" t="str">
        <f t="shared" si="123"/>
        <v/>
      </c>
      <c r="EO500" s="251" t="str">
        <f t="shared" si="124"/>
        <v/>
      </c>
      <c r="EP500" s="251" t="str">
        <f t="shared" si="125"/>
        <v/>
      </c>
      <c r="EQ500" s="251" t="str">
        <f t="shared" si="126"/>
        <v/>
      </c>
      <c r="ER500" s="251" t="str">
        <f t="shared" si="127"/>
        <v/>
      </c>
      <c r="ES500" s="251" t="str">
        <f t="shared" si="128"/>
        <v/>
      </c>
      <c r="ET500" s="251" t="str">
        <f t="shared" si="129"/>
        <v/>
      </c>
      <c r="EU500" s="251" t="str">
        <f t="shared" si="130"/>
        <v/>
      </c>
      <c r="EV500" s="251" t="str">
        <f t="shared" si="131"/>
        <v/>
      </c>
      <c r="EW500" s="251" t="str">
        <f t="shared" si="132"/>
        <v/>
      </c>
      <c r="EX500" s="251" t="str">
        <f t="shared" si="133"/>
        <v/>
      </c>
      <c r="EY500" s="251" t="str">
        <f t="shared" si="134"/>
        <v/>
      </c>
      <c r="EZ500" s="251" t="str">
        <f t="shared" si="135"/>
        <v/>
      </c>
      <c r="FA500" s="251" t="str">
        <f t="shared" si="136"/>
        <v/>
      </c>
      <c r="FB500" s="251" t="str">
        <f t="shared" si="137"/>
        <v/>
      </c>
      <c r="FC500" s="251" t="str">
        <f t="shared" si="138"/>
        <v/>
      </c>
      <c r="FD500" s="251" t="str">
        <f t="shared" si="139"/>
        <v/>
      </c>
      <c r="FE500" s="251" t="str">
        <f t="shared" si="140"/>
        <v/>
      </c>
      <c r="FF500" s="251" t="str">
        <f t="shared" si="141"/>
        <v/>
      </c>
      <c r="FG500" s="251" t="str">
        <f t="shared" si="142"/>
        <v/>
      </c>
      <c r="FH500" s="251" t="str">
        <f t="shared" si="143"/>
        <v/>
      </c>
      <c r="FI500" s="251" t="str">
        <f t="shared" si="144"/>
        <v/>
      </c>
      <c r="FJ500" s="251" t="str">
        <f t="shared" si="145"/>
        <v/>
      </c>
      <c r="FK500" s="251" t="str">
        <f t="shared" si="146"/>
        <v/>
      </c>
      <c r="FL500" s="251" t="str">
        <f t="shared" si="147"/>
        <v/>
      </c>
      <c r="FM500" s="251" t="str">
        <f t="shared" si="148"/>
        <v/>
      </c>
      <c r="FN500" s="251" t="str">
        <f t="shared" si="149"/>
        <v/>
      </c>
      <c r="FO500" s="251" t="str">
        <f t="shared" si="150"/>
        <v/>
      </c>
      <c r="FP500" s="251" t="str">
        <f t="shared" si="151"/>
        <v/>
      </c>
      <c r="FQ500" s="251" t="str">
        <f t="shared" si="152"/>
        <v/>
      </c>
      <c r="FR500" s="251" t="str">
        <f t="shared" si="153"/>
        <v/>
      </c>
      <c r="FS500" s="251" t="str">
        <f t="shared" si="154"/>
        <v/>
      </c>
      <c r="FT500" s="251" t="str">
        <f t="shared" si="155"/>
        <v/>
      </c>
      <c r="FU500" s="251" t="str">
        <f t="shared" si="156"/>
        <v/>
      </c>
      <c r="FV500" s="251" t="str">
        <f t="shared" si="157"/>
        <v/>
      </c>
      <c r="FW500" s="251" t="str">
        <f t="shared" si="158"/>
        <v/>
      </c>
      <c r="FX500" s="251" t="str">
        <f t="shared" si="159"/>
        <v/>
      </c>
      <c r="FY500" s="251" t="str">
        <f t="shared" si="160"/>
        <v/>
      </c>
      <c r="FZ500" s="251" t="str">
        <f t="shared" si="161"/>
        <v/>
      </c>
      <c r="GA500" s="251" t="str">
        <f t="shared" si="162"/>
        <v/>
      </c>
      <c r="GB500" s="251" t="str">
        <f t="shared" si="163"/>
        <v/>
      </c>
      <c r="GC500" s="251" t="str">
        <f t="shared" si="164"/>
        <v/>
      </c>
      <c r="GD500" s="251" t="str">
        <f t="shared" si="165"/>
        <v/>
      </c>
      <c r="GE500" s="251" t="str">
        <f t="shared" si="166"/>
        <v/>
      </c>
      <c r="GF500" s="251" t="str">
        <f t="shared" si="167"/>
        <v/>
      </c>
      <c r="GG500" s="251" t="str">
        <f t="shared" si="168"/>
        <v/>
      </c>
      <c r="GH500" s="251" t="str">
        <f t="shared" si="169"/>
        <v/>
      </c>
      <c r="GI500" s="251" t="str">
        <f t="shared" si="170"/>
        <v/>
      </c>
      <c r="GJ500" s="251" t="str">
        <f t="shared" si="171"/>
        <v/>
      </c>
      <c r="GK500" s="251" t="str">
        <f t="shared" si="172"/>
        <v/>
      </c>
      <c r="GL500" s="251" t="str">
        <f t="shared" si="173"/>
        <v/>
      </c>
      <c r="GM500" s="251" t="str">
        <f t="shared" si="174"/>
        <v/>
      </c>
      <c r="GN500" s="251" t="str">
        <f t="shared" si="175"/>
        <v/>
      </c>
      <c r="GO500" s="251" t="str">
        <f t="shared" si="176"/>
        <v/>
      </c>
      <c r="GP500" s="251" t="str">
        <f t="shared" si="177"/>
        <v/>
      </c>
      <c r="GQ500" s="251" t="str">
        <f t="shared" si="178"/>
        <v/>
      </c>
      <c r="GR500" s="251" t="str">
        <f t="shared" si="179"/>
        <v/>
      </c>
      <c r="GS500" s="251" t="str">
        <f t="shared" si="180"/>
        <v/>
      </c>
      <c r="GT500" s="251" t="str">
        <f t="shared" si="181"/>
        <v/>
      </c>
      <c r="GU500" s="251" t="str">
        <f t="shared" si="182"/>
        <v/>
      </c>
      <c r="GV500" s="251" t="str">
        <f t="shared" si="183"/>
        <v/>
      </c>
      <c r="GW500" s="251" t="str">
        <f t="shared" si="184"/>
        <v/>
      </c>
      <c r="GX500" s="251" t="str">
        <f t="shared" si="185"/>
        <v/>
      </c>
      <c r="GY500" s="251" t="str">
        <f t="shared" si="186"/>
        <v/>
      </c>
      <c r="GZ500" s="251" t="str">
        <f t="shared" si="187"/>
        <v/>
      </c>
      <c r="HA500" s="251" t="str">
        <f t="shared" si="188"/>
        <v/>
      </c>
      <c r="HB500" s="251" t="str">
        <f t="shared" si="189"/>
        <v/>
      </c>
      <c r="HC500" s="251" t="str">
        <f t="shared" si="190"/>
        <v/>
      </c>
      <c r="HD500" s="251" t="str">
        <f t="shared" si="191"/>
        <v/>
      </c>
      <c r="HE500" s="251" t="str">
        <f t="shared" si="192"/>
        <v/>
      </c>
      <c r="HF500" s="251" t="str">
        <f t="shared" si="193"/>
        <v/>
      </c>
      <c r="HG500" s="251" t="str">
        <f t="shared" si="194"/>
        <v/>
      </c>
      <c r="HH500" s="251" t="str">
        <f t="shared" si="195"/>
        <v/>
      </c>
      <c r="HI500" s="251" t="str">
        <f t="shared" si="196"/>
        <v/>
      </c>
      <c r="HJ500" s="251" t="str">
        <f t="shared" si="197"/>
        <v/>
      </c>
      <c r="HK500" s="251" t="str">
        <f t="shared" si="198"/>
        <v/>
      </c>
      <c r="HL500" s="251" t="str">
        <f t="shared" si="199"/>
        <v/>
      </c>
      <c r="HM500" s="251" t="str">
        <f t="shared" si="200"/>
        <v/>
      </c>
      <c r="HN500" s="251" t="str">
        <f t="shared" si="201"/>
        <v/>
      </c>
      <c r="HO500" s="251" t="str">
        <f t="shared" si="202"/>
        <v/>
      </c>
      <c r="HP500" s="251" t="str">
        <f t="shared" si="203"/>
        <v/>
      </c>
      <c r="HQ500" s="251" t="str">
        <f t="shared" si="204"/>
        <v/>
      </c>
      <c r="HR500" s="251" t="str">
        <f t="shared" si="205"/>
        <v/>
      </c>
      <c r="HS500" s="251" t="str">
        <f t="shared" si="206"/>
        <v/>
      </c>
      <c r="HT500" s="251" t="str">
        <f t="shared" si="207"/>
        <v/>
      </c>
      <c r="HU500" s="251" t="str">
        <f t="shared" si="208"/>
        <v/>
      </c>
      <c r="HV500" s="251" t="str">
        <f t="shared" si="209"/>
        <v/>
      </c>
      <c r="HW500" s="251" t="str">
        <f t="shared" si="210"/>
        <v/>
      </c>
      <c r="HX500" s="251" t="str">
        <f t="shared" si="211"/>
        <v/>
      </c>
      <c r="HY500" s="251" t="str">
        <f t="shared" si="212"/>
        <v/>
      </c>
      <c r="HZ500" s="251" t="str">
        <f t="shared" si="213"/>
        <v/>
      </c>
      <c r="IA500" s="251" t="str">
        <f t="shared" si="214"/>
        <v/>
      </c>
      <c r="IB500" s="251" t="str">
        <f t="shared" si="215"/>
        <v/>
      </c>
      <c r="IC500" s="251" t="str">
        <f t="shared" si="216"/>
        <v/>
      </c>
      <c r="ID500" s="251" t="str">
        <f t="shared" si="217"/>
        <v/>
      </c>
      <c r="IE500" s="251" t="str">
        <f t="shared" si="218"/>
        <v/>
      </c>
      <c r="IF500" s="251" t="str">
        <f t="shared" si="219"/>
        <v/>
      </c>
      <c r="IG500" s="251" t="str">
        <f t="shared" si="220"/>
        <v/>
      </c>
      <c r="IH500" s="251" t="str">
        <f t="shared" si="221"/>
        <v/>
      </c>
      <c r="II500" s="251" t="str">
        <f t="shared" si="222"/>
        <v/>
      </c>
      <c r="IJ500" s="251" t="str">
        <f t="shared" si="223"/>
        <v/>
      </c>
      <c r="IK500" s="251" t="str">
        <f t="shared" si="224"/>
        <v/>
      </c>
      <c r="IL500" s="251" t="str">
        <f t="shared" si="225"/>
        <v/>
      </c>
      <c r="IM500" s="251" t="str">
        <f t="shared" si="226"/>
        <v/>
      </c>
      <c r="IN500" s="251" t="str">
        <f t="shared" si="227"/>
        <v/>
      </c>
      <c r="IO500" s="251" t="str">
        <f t="shared" si="228"/>
        <v/>
      </c>
      <c r="IP500" s="251" t="str">
        <f t="shared" si="229"/>
        <v/>
      </c>
      <c r="IQ500" s="251" t="str">
        <f t="shared" si="230"/>
        <v/>
      </c>
      <c r="IR500" s="251" t="str">
        <f t="shared" si="231"/>
        <v/>
      </c>
      <c r="IS500" s="251" t="str">
        <f t="shared" si="232"/>
        <v/>
      </c>
      <c r="IT500" s="251" t="str">
        <f t="shared" si="233"/>
        <v/>
      </c>
      <c r="IU500" s="251" t="str">
        <f t="shared" si="234"/>
        <v/>
      </c>
      <c r="IV500" s="251" t="str">
        <f t="shared" si="235"/>
        <v/>
      </c>
      <c r="IW500" s="251" t="str">
        <f t="shared" si="236"/>
        <v/>
      </c>
      <c r="IX500" s="251" t="str">
        <f t="shared" si="237"/>
        <v/>
      </c>
      <c r="IY500" s="251" t="str">
        <f t="shared" si="238"/>
        <v/>
      </c>
      <c r="IZ500" s="251" t="str">
        <f t="shared" si="239"/>
        <v/>
      </c>
      <c r="JA500" s="251" t="str">
        <f t="shared" si="240"/>
        <v/>
      </c>
      <c r="JB500" s="251" t="str">
        <f t="shared" si="241"/>
        <v/>
      </c>
      <c r="JC500" s="251" t="str">
        <f t="shared" si="242"/>
        <v/>
      </c>
      <c r="JD500" s="251" t="str">
        <f t="shared" si="243"/>
        <v/>
      </c>
      <c r="JE500" s="251" t="str">
        <f t="shared" si="244"/>
        <v/>
      </c>
      <c r="JF500" s="251" t="str">
        <f t="shared" si="245"/>
        <v/>
      </c>
      <c r="JG500" s="251" t="str">
        <f t="shared" si="246"/>
        <v/>
      </c>
      <c r="JH500" s="251" t="str">
        <f t="shared" si="247"/>
        <v/>
      </c>
      <c r="JI500" s="1297" t="str">
        <f t="shared" si="248"/>
        <v/>
      </c>
      <c r="JJ500" s="1297" t="str">
        <f t="shared" si="249"/>
        <v/>
      </c>
      <c r="JK500" s="1297" t="str">
        <f t="shared" si="250"/>
        <v/>
      </c>
      <c r="JL500" s="1297" t="str">
        <f t="shared" si="251"/>
        <v/>
      </c>
      <c r="JM500" s="1297" t="str">
        <f t="shared" si="252"/>
        <v/>
      </c>
      <c r="JN500" s="1297" t="str">
        <f t="shared" si="253"/>
        <v/>
      </c>
      <c r="JO500" s="1297" t="str">
        <f t="shared" si="254"/>
        <v/>
      </c>
      <c r="JP500" s="1297" t="str">
        <f t="shared" si="255"/>
        <v/>
      </c>
      <c r="JQ500" s="1297" t="str">
        <f t="shared" si="256"/>
        <v/>
      </c>
      <c r="JR500" s="1297" t="str">
        <f t="shared" si="257"/>
        <v/>
      </c>
      <c r="JS500" s="1297" t="str">
        <f t="shared" si="258"/>
        <v/>
      </c>
      <c r="JT500" s="1297" t="str">
        <f t="shared" si="259"/>
        <v/>
      </c>
      <c r="JU500" s="1297" t="str">
        <f t="shared" si="260"/>
        <v/>
      </c>
      <c r="JV500" s="1297" t="str">
        <f t="shared" si="261"/>
        <v/>
      </c>
      <c r="JW500" s="1297" t="str">
        <f t="shared" si="262"/>
        <v/>
      </c>
      <c r="JX500" s="1297" t="str">
        <f t="shared" si="263"/>
        <v/>
      </c>
      <c r="JY500" s="1297" t="str">
        <f t="shared" si="264"/>
        <v/>
      </c>
      <c r="JZ500" s="1297" t="str">
        <f t="shared" si="265"/>
        <v/>
      </c>
      <c r="KA500" s="1297" t="str">
        <f t="shared" si="266"/>
        <v/>
      </c>
      <c r="KB500" s="1297" t="str">
        <f t="shared" si="267"/>
        <v/>
      </c>
      <c r="KC500" s="1297" t="str">
        <f t="shared" si="268"/>
        <v/>
      </c>
      <c r="KD500" s="1297" t="str">
        <f t="shared" si="269"/>
        <v/>
      </c>
      <c r="KE500" s="1297" t="str">
        <f t="shared" si="270"/>
        <v/>
      </c>
      <c r="KF500" s="1297" t="str">
        <f t="shared" si="271"/>
        <v/>
      </c>
      <c r="KG500" s="1297" t="str">
        <f t="shared" si="272"/>
        <v/>
      </c>
      <c r="KH500" s="1297" t="str">
        <f t="shared" si="273"/>
        <v/>
      </c>
      <c r="KI500" s="1297" t="str">
        <f t="shared" si="274"/>
        <v/>
      </c>
      <c r="KJ500" s="1297" t="str">
        <f t="shared" si="275"/>
        <v/>
      </c>
      <c r="KK500" s="1297" t="str">
        <f t="shared" si="276"/>
        <v/>
      </c>
      <c r="KL500" s="1297" t="str">
        <f t="shared" si="277"/>
        <v/>
      </c>
      <c r="KM500" s="1297" t="str">
        <f t="shared" si="278"/>
        <v/>
      </c>
      <c r="KN500" s="1297" t="str">
        <f t="shared" si="279"/>
        <v/>
      </c>
      <c r="KO500" s="1297" t="str">
        <f t="shared" si="280"/>
        <v/>
      </c>
      <c r="KP500" s="1297" t="str">
        <f t="shared" si="281"/>
        <v/>
      </c>
      <c r="KQ500" s="1297" t="str">
        <f t="shared" si="282"/>
        <v/>
      </c>
      <c r="KR500" s="1297" t="str">
        <f t="shared" si="283"/>
        <v/>
      </c>
      <c r="KS500" s="1297" t="str">
        <f t="shared" si="284"/>
        <v/>
      </c>
      <c r="KT500" s="1297" t="str">
        <f t="shared" si="285"/>
        <v/>
      </c>
      <c r="KU500" s="1297" t="str">
        <f t="shared" si="286"/>
        <v/>
      </c>
      <c r="KV500" s="1297" t="str">
        <f t="shared" si="287"/>
        <v/>
      </c>
      <c r="KW500" s="1297" t="str">
        <f t="shared" si="288"/>
        <v/>
      </c>
      <c r="KX500" s="1297" t="str">
        <f t="shared" si="289"/>
        <v/>
      </c>
      <c r="KY500" s="1297" t="str">
        <f t="shared" si="290"/>
        <v/>
      </c>
      <c r="KZ500" s="1297" t="str">
        <f t="shared" si="291"/>
        <v/>
      </c>
      <c r="LA500" s="1297" t="str">
        <f t="shared" si="292"/>
        <v/>
      </c>
      <c r="LB500" s="1297" t="str">
        <f t="shared" si="293"/>
        <v/>
      </c>
      <c r="LC500" s="1297" t="str">
        <f t="shared" si="294"/>
        <v/>
      </c>
      <c r="LD500" s="1297" t="str">
        <f t="shared" si="295"/>
        <v/>
      </c>
      <c r="LE500" s="1297" t="str">
        <f t="shared" si="296"/>
        <v/>
      </c>
      <c r="LF500" s="1297" t="str">
        <f t="shared" si="297"/>
        <v/>
      </c>
      <c r="LG500" s="1297" t="str">
        <f t="shared" si="298"/>
        <v/>
      </c>
      <c r="LH500" s="1297" t="str">
        <f t="shared" si="299"/>
        <v/>
      </c>
      <c r="LI500" s="1297" t="str">
        <f t="shared" si="300"/>
        <v/>
      </c>
      <c r="LJ500" s="1297" t="str">
        <f t="shared" si="301"/>
        <v/>
      </c>
      <c r="LK500" s="1297" t="str">
        <f t="shared" si="302"/>
        <v/>
      </c>
      <c r="LL500" s="1297" t="str">
        <f t="shared" si="303"/>
        <v/>
      </c>
      <c r="LM500" s="1297" t="str">
        <f t="shared" si="304"/>
        <v/>
      </c>
      <c r="LN500" s="1297" t="str">
        <f t="shared" si="305"/>
        <v/>
      </c>
      <c r="LO500" s="1297" t="str">
        <f t="shared" si="306"/>
        <v/>
      </c>
      <c r="LP500" s="1297" t="str">
        <f t="shared" si="307"/>
        <v/>
      </c>
      <c r="LQ500" s="1297" t="str">
        <f t="shared" si="308"/>
        <v/>
      </c>
      <c r="LR500" s="1297" t="str">
        <f t="shared" si="309"/>
        <v/>
      </c>
      <c r="LS500" s="1297" t="str">
        <f t="shared" si="310"/>
        <v/>
      </c>
      <c r="LT500" s="1297" t="str">
        <f t="shared" si="311"/>
        <v/>
      </c>
      <c r="LU500" s="1297" t="str">
        <f t="shared" si="312"/>
        <v/>
      </c>
      <c r="LV500" s="1297" t="str">
        <f t="shared" si="313"/>
        <v/>
      </c>
      <c r="LW500" s="1297" t="str">
        <f t="shared" si="314"/>
        <v/>
      </c>
      <c r="LX500" s="1297" t="str">
        <f t="shared" si="315"/>
        <v/>
      </c>
      <c r="LY500" s="1297" t="str">
        <f t="shared" si="316"/>
        <v/>
      </c>
      <c r="LZ500" s="1297" t="str">
        <f t="shared" si="317"/>
        <v/>
      </c>
      <c r="MA500" s="1297" t="str">
        <f t="shared" si="318"/>
        <v/>
      </c>
      <c r="MB500" s="1297" t="str">
        <f t="shared" si="319"/>
        <v/>
      </c>
      <c r="MC500" s="1297" t="str">
        <f t="shared" si="320"/>
        <v/>
      </c>
      <c r="MD500" s="1297" t="str">
        <f t="shared" si="321"/>
        <v/>
      </c>
      <c r="ME500" s="1297" t="str">
        <f t="shared" si="322"/>
        <v/>
      </c>
      <c r="MF500" s="1297" t="str">
        <f t="shared" si="323"/>
        <v/>
      </c>
      <c r="MG500" s="1297" t="str">
        <f t="shared" si="324"/>
        <v/>
      </c>
      <c r="MH500" s="1297" t="str">
        <f t="shared" si="325"/>
        <v/>
      </c>
      <c r="MI500" s="1297" t="str">
        <f t="shared" si="326"/>
        <v/>
      </c>
      <c r="MJ500" s="1297" t="str">
        <f t="shared" si="327"/>
        <v/>
      </c>
      <c r="MK500" s="1297" t="str">
        <f t="shared" si="328"/>
        <v/>
      </c>
      <c r="ML500" s="1297" t="str">
        <f t="shared" si="329"/>
        <v/>
      </c>
      <c r="MM500" s="1297" t="str">
        <f t="shared" si="330"/>
        <v/>
      </c>
      <c r="MN500" s="1297" t="str">
        <f t="shared" si="331"/>
        <v/>
      </c>
      <c r="MO500" s="1297" t="str">
        <f t="shared" si="332"/>
        <v/>
      </c>
      <c r="MP500" s="1773" t="str">
        <f t="shared" si="333"/>
        <v/>
      </c>
      <c r="MQ500" s="1773" t="str">
        <f t="shared" si="334"/>
        <v/>
      </c>
      <c r="MR500" s="1773" t="str">
        <f t="shared" si="335"/>
        <v/>
      </c>
      <c r="MS500" s="1773" t="str">
        <f t="shared" si="336"/>
        <v/>
      </c>
      <c r="MT500" s="1773" t="str">
        <f t="shared" si="337"/>
        <v/>
      </c>
      <c r="MU500" s="251" t="str">
        <f t="shared" si="338"/>
        <v/>
      </c>
      <c r="MV500" s="251" t="str">
        <f t="shared" si="339"/>
        <v/>
      </c>
      <c r="MW500" s="251" t="str">
        <f t="shared" si="340"/>
        <v/>
      </c>
      <c r="MX500" s="251" t="str">
        <f t="shared" si="341"/>
        <v/>
      </c>
      <c r="MY500" s="251" t="str">
        <f t="shared" si="342"/>
        <v/>
      </c>
      <c r="MZ500" s="251" t="str">
        <f t="shared" si="343"/>
        <v/>
      </c>
      <c r="NA500" s="251" t="str">
        <f t="shared" si="344"/>
        <v/>
      </c>
      <c r="NB500" s="251" t="str">
        <f t="shared" si="345"/>
        <v/>
      </c>
      <c r="NC500" s="251" t="str">
        <f t="shared" si="346"/>
        <v/>
      </c>
      <c r="ND500" s="251" t="str">
        <f t="shared" si="347"/>
        <v/>
      </c>
      <c r="NE500" s="251" t="str">
        <f t="shared" si="348"/>
        <v/>
      </c>
      <c r="NF500" s="251" t="str">
        <f t="shared" si="349"/>
        <v/>
      </c>
      <c r="NG500" s="251" t="str">
        <f t="shared" si="350"/>
        <v/>
      </c>
      <c r="NH500" s="251" t="str">
        <f t="shared" si="351"/>
        <v/>
      </c>
      <c r="NI500" s="251" t="str">
        <f t="shared" si="352"/>
        <v/>
      </c>
      <c r="NJ500" s="251" t="str">
        <f t="shared" si="353"/>
        <v/>
      </c>
      <c r="NK500" s="251" t="str">
        <f t="shared" si="354"/>
        <v/>
      </c>
      <c r="NL500" s="251" t="str">
        <f t="shared" si="355"/>
        <v/>
      </c>
      <c r="NM500" s="251" t="str">
        <f t="shared" si="356"/>
        <v/>
      </c>
      <c r="NN500" s="251" t="str">
        <f t="shared" si="357"/>
        <v/>
      </c>
      <c r="NO500" s="1185">
        <f t="shared" si="358"/>
        <v>0</v>
      </c>
      <c r="NP500" s="1185">
        <f t="shared" si="359"/>
        <v>0</v>
      </c>
      <c r="NQ500" s="1185">
        <f t="shared" si="360"/>
        <v>0</v>
      </c>
      <c r="NR500" s="1185">
        <f t="shared" si="361"/>
        <v>0</v>
      </c>
      <c r="NS500" s="1185">
        <f t="shared" si="362"/>
        <v>0</v>
      </c>
      <c r="NT500" s="1185">
        <f t="shared" si="368"/>
        <v>0</v>
      </c>
      <c r="NU500" s="1185">
        <f t="shared" si="369"/>
        <v>0</v>
      </c>
      <c r="NV500" s="1185">
        <f t="shared" si="370"/>
        <v>0</v>
      </c>
      <c r="NW500" s="1185">
        <f t="shared" si="371"/>
        <v>0</v>
      </c>
      <c r="NX500" s="1185">
        <f t="shared" si="372"/>
        <v>0</v>
      </c>
      <c r="NY500" s="1185">
        <f t="shared" si="363"/>
        <v>0</v>
      </c>
      <c r="NZ500" s="1185">
        <f t="shared" si="364"/>
        <v>0</v>
      </c>
      <c r="OA500" s="1185">
        <f t="shared" si="365"/>
        <v>0</v>
      </c>
      <c r="OB500" s="1185">
        <f t="shared" si="366"/>
        <v>0</v>
      </c>
      <c r="OC500" s="1185">
        <f t="shared" si="367"/>
        <v>0</v>
      </c>
      <c r="OY500" s="251" t="s">
        <v>1195</v>
      </c>
      <c r="OZ500" s="1185">
        <v>47</v>
      </c>
    </row>
    <row r="501" spans="1:416" ht="12" customHeight="1">
      <c r="A501" s="1979" t="str">
        <f t="shared" si="0"/>
        <v/>
      </c>
      <c r="B501" s="1998">
        <f>'Part V-Revenues &amp; Expenses'!B48</f>
        <v>0</v>
      </c>
      <c r="C501" s="1999">
        <f>'Part V-Revenues &amp; Expenses'!C48</f>
        <v>0</v>
      </c>
      <c r="D501" s="2000">
        <f>'Part V-Revenues &amp; Expenses'!D48</f>
        <v>0</v>
      </c>
      <c r="E501" s="2001">
        <f>'Part V-Revenues &amp; Expenses'!E48</f>
        <v>0</v>
      </c>
      <c r="F501" s="2001">
        <f>'Part V-Revenues &amp; Expenses'!F48</f>
        <v>0</v>
      </c>
      <c r="G501" s="2001">
        <f>'Part V-Revenues &amp; Expenses'!G48</f>
        <v>0</v>
      </c>
      <c r="H501" s="2001">
        <f>'Part V-Revenues &amp; Expenses'!H48</f>
        <v>0</v>
      </c>
      <c r="I501" s="2001">
        <f>'Part V-Revenues &amp; Expenses'!I48</f>
        <v>0</v>
      </c>
      <c r="J501" s="2001">
        <f>'Part V-Revenues &amp; Expenses'!J48</f>
        <v>0</v>
      </c>
      <c r="K501" s="2002">
        <f>'Part V-Revenues &amp; Expenses'!K48</f>
        <v>0</v>
      </c>
      <c r="L501" s="2003">
        <f t="shared" si="1"/>
        <v>0</v>
      </c>
      <c r="M501" s="2003">
        <f t="shared" si="2"/>
        <v>0</v>
      </c>
      <c r="N501" s="1853">
        <f>'Part V-Revenues &amp; Expenses'!N48</f>
        <v>0</v>
      </c>
      <c r="O501" s="899">
        <f>'Part V-Revenues &amp; Expenses'!O48</f>
        <v>0</v>
      </c>
      <c r="P501" s="1853">
        <f>'Part V-Revenues &amp; Expenses'!P48</f>
        <v>0</v>
      </c>
      <c r="Q501" s="1772">
        <f>'Part V-Revenues &amp; Expenses'!Q48</f>
        <v>0</v>
      </c>
      <c r="R501" s="2004"/>
      <c r="S501" s="2005"/>
      <c r="T501" s="1920"/>
      <c r="U501" s="1920"/>
      <c r="V501" s="1920"/>
      <c r="W501" s="1920"/>
      <c r="X501" s="251" t="str">
        <f t="shared" si="3"/>
        <v/>
      </c>
      <c r="Y501" s="251" t="str">
        <f t="shared" si="4"/>
        <v/>
      </c>
      <c r="Z501" s="251" t="str">
        <f t="shared" si="5"/>
        <v/>
      </c>
      <c r="AA501" s="251" t="str">
        <f t="shared" si="6"/>
        <v/>
      </c>
      <c r="AB501" s="251" t="str">
        <f t="shared" si="7"/>
        <v/>
      </c>
      <c r="AC501" s="251" t="str">
        <f t="shared" si="8"/>
        <v/>
      </c>
      <c r="AD501" s="251" t="str">
        <f t="shared" si="9"/>
        <v/>
      </c>
      <c r="AE501" s="251" t="str">
        <f t="shared" si="10"/>
        <v/>
      </c>
      <c r="AF501" s="251" t="str">
        <f t="shared" si="11"/>
        <v/>
      </c>
      <c r="AG501" s="251" t="str">
        <f t="shared" si="12"/>
        <v/>
      </c>
      <c r="AH501" s="251" t="str">
        <f t="shared" si="13"/>
        <v/>
      </c>
      <c r="AI501" s="251" t="str">
        <f t="shared" si="14"/>
        <v/>
      </c>
      <c r="AJ501" s="251" t="str">
        <f t="shared" si="15"/>
        <v/>
      </c>
      <c r="AK501" s="251" t="str">
        <f t="shared" si="16"/>
        <v/>
      </c>
      <c r="AL501" s="251" t="str">
        <f t="shared" si="17"/>
        <v/>
      </c>
      <c r="AM501" s="251" t="str">
        <f t="shared" si="18"/>
        <v/>
      </c>
      <c r="AN501" s="251" t="str">
        <f t="shared" si="19"/>
        <v/>
      </c>
      <c r="AO501" s="251" t="str">
        <f t="shared" si="20"/>
        <v/>
      </c>
      <c r="AP501" s="251" t="str">
        <f t="shared" si="21"/>
        <v/>
      </c>
      <c r="AQ501" s="251" t="str">
        <f t="shared" si="22"/>
        <v/>
      </c>
      <c r="AR501" s="251" t="str">
        <f t="shared" si="23"/>
        <v/>
      </c>
      <c r="AS501" s="251" t="str">
        <f t="shared" si="24"/>
        <v/>
      </c>
      <c r="AT501" s="251" t="str">
        <f t="shared" si="25"/>
        <v/>
      </c>
      <c r="AU501" s="251" t="str">
        <f t="shared" si="26"/>
        <v/>
      </c>
      <c r="AV501" s="251" t="str">
        <f t="shared" si="27"/>
        <v/>
      </c>
      <c r="AW501" s="251" t="str">
        <f t="shared" si="28"/>
        <v/>
      </c>
      <c r="AX501" s="251" t="str">
        <f t="shared" si="29"/>
        <v/>
      </c>
      <c r="AY501" s="251" t="str">
        <f t="shared" si="30"/>
        <v/>
      </c>
      <c r="AZ501" s="251" t="str">
        <f t="shared" si="31"/>
        <v/>
      </c>
      <c r="BA501" s="251" t="str">
        <f t="shared" si="32"/>
        <v/>
      </c>
      <c r="BB501" s="251" t="str">
        <f t="shared" si="33"/>
        <v/>
      </c>
      <c r="BC501" s="251" t="str">
        <f t="shared" si="34"/>
        <v/>
      </c>
      <c r="BD501" s="251" t="str">
        <f t="shared" si="35"/>
        <v/>
      </c>
      <c r="BE501" s="251" t="str">
        <f t="shared" si="36"/>
        <v/>
      </c>
      <c r="BF501" s="251" t="str">
        <f t="shared" si="37"/>
        <v/>
      </c>
      <c r="BG501" s="251" t="str">
        <f t="shared" si="38"/>
        <v/>
      </c>
      <c r="BH501" s="251" t="str">
        <f t="shared" si="39"/>
        <v/>
      </c>
      <c r="BI501" s="251" t="str">
        <f t="shared" si="40"/>
        <v/>
      </c>
      <c r="BJ501" s="251" t="str">
        <f t="shared" si="41"/>
        <v/>
      </c>
      <c r="BK501" s="251" t="str">
        <f t="shared" si="42"/>
        <v/>
      </c>
      <c r="BL501" s="251" t="str">
        <f t="shared" si="43"/>
        <v/>
      </c>
      <c r="BM501" s="251" t="str">
        <f t="shared" si="44"/>
        <v/>
      </c>
      <c r="BN501" s="251" t="str">
        <f t="shared" si="45"/>
        <v/>
      </c>
      <c r="BO501" s="251" t="str">
        <f t="shared" si="46"/>
        <v/>
      </c>
      <c r="BP501" s="251" t="str">
        <f t="shared" si="47"/>
        <v/>
      </c>
      <c r="BQ501" s="251" t="str">
        <f t="shared" si="48"/>
        <v/>
      </c>
      <c r="BR501" s="251" t="str">
        <f t="shared" si="49"/>
        <v/>
      </c>
      <c r="BS501" s="251" t="str">
        <f t="shared" si="50"/>
        <v/>
      </c>
      <c r="BT501" s="251" t="str">
        <f t="shared" si="51"/>
        <v/>
      </c>
      <c r="BU501" s="251" t="str">
        <f t="shared" si="52"/>
        <v/>
      </c>
      <c r="BV501" s="251" t="str">
        <f t="shared" si="53"/>
        <v/>
      </c>
      <c r="BW501" s="251" t="str">
        <f t="shared" si="54"/>
        <v/>
      </c>
      <c r="BX501" s="251" t="str">
        <f t="shared" si="55"/>
        <v/>
      </c>
      <c r="BY501" s="251" t="str">
        <f t="shared" si="56"/>
        <v/>
      </c>
      <c r="BZ501" s="251" t="str">
        <f t="shared" si="57"/>
        <v/>
      </c>
      <c r="CA501" s="251" t="str">
        <f t="shared" si="58"/>
        <v/>
      </c>
      <c r="CB501" s="251" t="str">
        <f t="shared" si="59"/>
        <v/>
      </c>
      <c r="CC501" s="251" t="str">
        <f t="shared" si="60"/>
        <v/>
      </c>
      <c r="CD501" s="251" t="str">
        <f t="shared" si="61"/>
        <v/>
      </c>
      <c r="CE501" s="251" t="str">
        <f t="shared" si="62"/>
        <v/>
      </c>
      <c r="CF501" s="251" t="str">
        <f t="shared" si="63"/>
        <v/>
      </c>
      <c r="CG501" s="251" t="str">
        <f t="shared" si="64"/>
        <v/>
      </c>
      <c r="CH501" s="251" t="str">
        <f t="shared" si="65"/>
        <v/>
      </c>
      <c r="CI501" s="251" t="str">
        <f t="shared" si="66"/>
        <v/>
      </c>
      <c r="CJ501" s="251" t="str">
        <f t="shared" si="67"/>
        <v/>
      </c>
      <c r="CK501" s="251" t="str">
        <f t="shared" si="68"/>
        <v/>
      </c>
      <c r="CL501" s="251" t="str">
        <f t="shared" si="69"/>
        <v/>
      </c>
      <c r="CM501" s="251" t="str">
        <f t="shared" si="70"/>
        <v/>
      </c>
      <c r="CN501" s="251" t="str">
        <f t="shared" si="71"/>
        <v/>
      </c>
      <c r="CO501" s="251" t="str">
        <f t="shared" si="72"/>
        <v/>
      </c>
      <c r="CP501" s="251" t="str">
        <f t="shared" si="73"/>
        <v/>
      </c>
      <c r="CQ501" s="251" t="str">
        <f t="shared" si="74"/>
        <v/>
      </c>
      <c r="CR501" s="251" t="str">
        <f t="shared" si="75"/>
        <v/>
      </c>
      <c r="CS501" s="251" t="str">
        <f t="shared" si="76"/>
        <v/>
      </c>
      <c r="CT501" s="251" t="str">
        <f t="shared" si="77"/>
        <v/>
      </c>
      <c r="CU501" s="251" t="str">
        <f t="shared" si="78"/>
        <v/>
      </c>
      <c r="CV501" s="251" t="str">
        <f t="shared" si="79"/>
        <v/>
      </c>
      <c r="CW501" s="251" t="str">
        <f t="shared" si="80"/>
        <v/>
      </c>
      <c r="CX501" s="251" t="str">
        <f t="shared" si="81"/>
        <v/>
      </c>
      <c r="CY501" s="251" t="str">
        <f t="shared" si="82"/>
        <v/>
      </c>
      <c r="CZ501" s="251" t="str">
        <f t="shared" si="83"/>
        <v/>
      </c>
      <c r="DA501" s="251" t="str">
        <f t="shared" si="84"/>
        <v/>
      </c>
      <c r="DB501" s="251" t="str">
        <f t="shared" si="85"/>
        <v/>
      </c>
      <c r="DC501" s="251" t="str">
        <f t="shared" si="86"/>
        <v/>
      </c>
      <c r="DD501" s="251" t="str">
        <f t="shared" si="87"/>
        <v/>
      </c>
      <c r="DE501" s="251" t="str">
        <f t="shared" si="88"/>
        <v/>
      </c>
      <c r="DF501" s="251" t="str">
        <f t="shared" si="89"/>
        <v/>
      </c>
      <c r="DG501" s="251" t="str">
        <f t="shared" si="90"/>
        <v/>
      </c>
      <c r="DH501" s="251" t="str">
        <f t="shared" si="91"/>
        <v/>
      </c>
      <c r="DI501" s="251" t="str">
        <f t="shared" si="92"/>
        <v/>
      </c>
      <c r="DJ501" s="251" t="str">
        <f t="shared" si="93"/>
        <v/>
      </c>
      <c r="DK501" s="251" t="str">
        <f t="shared" si="94"/>
        <v/>
      </c>
      <c r="DL501" s="251" t="str">
        <f t="shared" si="95"/>
        <v/>
      </c>
      <c r="DM501" s="251" t="str">
        <f t="shared" si="96"/>
        <v/>
      </c>
      <c r="DN501" s="251" t="str">
        <f t="shared" si="97"/>
        <v/>
      </c>
      <c r="DO501" s="251" t="str">
        <f t="shared" si="98"/>
        <v/>
      </c>
      <c r="DP501" s="251" t="str">
        <f t="shared" si="99"/>
        <v/>
      </c>
      <c r="DQ501" s="251" t="str">
        <f t="shared" si="100"/>
        <v/>
      </c>
      <c r="DR501" s="251" t="str">
        <f t="shared" si="101"/>
        <v/>
      </c>
      <c r="DS501" s="251" t="str">
        <f t="shared" si="102"/>
        <v/>
      </c>
      <c r="DT501" s="251" t="str">
        <f t="shared" si="103"/>
        <v/>
      </c>
      <c r="DU501" s="251" t="str">
        <f t="shared" si="104"/>
        <v/>
      </c>
      <c r="DV501" s="251" t="str">
        <f t="shared" si="105"/>
        <v/>
      </c>
      <c r="DW501" s="251" t="str">
        <f t="shared" si="106"/>
        <v/>
      </c>
      <c r="DX501" s="251" t="str">
        <f t="shared" si="107"/>
        <v/>
      </c>
      <c r="DY501" s="251" t="str">
        <f t="shared" si="108"/>
        <v/>
      </c>
      <c r="DZ501" s="251" t="str">
        <f t="shared" si="109"/>
        <v/>
      </c>
      <c r="EA501" s="251" t="str">
        <f t="shared" si="110"/>
        <v/>
      </c>
      <c r="EB501" s="251" t="str">
        <f t="shared" si="111"/>
        <v/>
      </c>
      <c r="EC501" s="251" t="str">
        <f t="shared" si="112"/>
        <v/>
      </c>
      <c r="ED501" s="251" t="str">
        <f t="shared" si="113"/>
        <v/>
      </c>
      <c r="EE501" s="251" t="str">
        <f t="shared" si="114"/>
        <v/>
      </c>
      <c r="EF501" s="251" t="str">
        <f t="shared" si="115"/>
        <v/>
      </c>
      <c r="EG501" s="251" t="str">
        <f t="shared" si="116"/>
        <v/>
      </c>
      <c r="EH501" s="251" t="str">
        <f t="shared" si="117"/>
        <v/>
      </c>
      <c r="EI501" s="251" t="str">
        <f t="shared" si="118"/>
        <v/>
      </c>
      <c r="EJ501" s="251" t="str">
        <f t="shared" si="119"/>
        <v/>
      </c>
      <c r="EK501" s="251" t="str">
        <f t="shared" si="120"/>
        <v/>
      </c>
      <c r="EL501" s="251" t="str">
        <f t="shared" si="121"/>
        <v/>
      </c>
      <c r="EM501" s="251" t="str">
        <f t="shared" si="122"/>
        <v/>
      </c>
      <c r="EN501" s="251" t="str">
        <f t="shared" si="123"/>
        <v/>
      </c>
      <c r="EO501" s="251" t="str">
        <f t="shared" si="124"/>
        <v/>
      </c>
      <c r="EP501" s="251" t="str">
        <f t="shared" si="125"/>
        <v/>
      </c>
      <c r="EQ501" s="251" t="str">
        <f t="shared" si="126"/>
        <v/>
      </c>
      <c r="ER501" s="251" t="str">
        <f t="shared" si="127"/>
        <v/>
      </c>
      <c r="ES501" s="251" t="str">
        <f t="shared" si="128"/>
        <v/>
      </c>
      <c r="ET501" s="251" t="str">
        <f t="shared" si="129"/>
        <v/>
      </c>
      <c r="EU501" s="251" t="str">
        <f t="shared" si="130"/>
        <v/>
      </c>
      <c r="EV501" s="251" t="str">
        <f t="shared" si="131"/>
        <v/>
      </c>
      <c r="EW501" s="251" t="str">
        <f t="shared" si="132"/>
        <v/>
      </c>
      <c r="EX501" s="251" t="str">
        <f t="shared" si="133"/>
        <v/>
      </c>
      <c r="EY501" s="251" t="str">
        <f t="shared" si="134"/>
        <v/>
      </c>
      <c r="EZ501" s="251" t="str">
        <f t="shared" si="135"/>
        <v/>
      </c>
      <c r="FA501" s="251" t="str">
        <f t="shared" si="136"/>
        <v/>
      </c>
      <c r="FB501" s="251" t="str">
        <f t="shared" si="137"/>
        <v/>
      </c>
      <c r="FC501" s="251" t="str">
        <f t="shared" si="138"/>
        <v/>
      </c>
      <c r="FD501" s="251" t="str">
        <f t="shared" si="139"/>
        <v/>
      </c>
      <c r="FE501" s="251" t="str">
        <f t="shared" si="140"/>
        <v/>
      </c>
      <c r="FF501" s="251" t="str">
        <f t="shared" si="141"/>
        <v/>
      </c>
      <c r="FG501" s="251" t="str">
        <f t="shared" si="142"/>
        <v/>
      </c>
      <c r="FH501" s="251" t="str">
        <f t="shared" si="143"/>
        <v/>
      </c>
      <c r="FI501" s="251" t="str">
        <f t="shared" si="144"/>
        <v/>
      </c>
      <c r="FJ501" s="251" t="str">
        <f t="shared" si="145"/>
        <v/>
      </c>
      <c r="FK501" s="251" t="str">
        <f t="shared" si="146"/>
        <v/>
      </c>
      <c r="FL501" s="251" t="str">
        <f t="shared" si="147"/>
        <v/>
      </c>
      <c r="FM501" s="251" t="str">
        <f t="shared" si="148"/>
        <v/>
      </c>
      <c r="FN501" s="251" t="str">
        <f t="shared" si="149"/>
        <v/>
      </c>
      <c r="FO501" s="251" t="str">
        <f t="shared" si="150"/>
        <v/>
      </c>
      <c r="FP501" s="251" t="str">
        <f t="shared" si="151"/>
        <v/>
      </c>
      <c r="FQ501" s="251" t="str">
        <f t="shared" si="152"/>
        <v/>
      </c>
      <c r="FR501" s="251" t="str">
        <f t="shared" si="153"/>
        <v/>
      </c>
      <c r="FS501" s="251" t="str">
        <f t="shared" si="154"/>
        <v/>
      </c>
      <c r="FT501" s="251" t="str">
        <f t="shared" si="155"/>
        <v/>
      </c>
      <c r="FU501" s="251" t="str">
        <f t="shared" si="156"/>
        <v/>
      </c>
      <c r="FV501" s="251" t="str">
        <f t="shared" si="157"/>
        <v/>
      </c>
      <c r="FW501" s="251" t="str">
        <f t="shared" si="158"/>
        <v/>
      </c>
      <c r="FX501" s="251" t="str">
        <f t="shared" si="159"/>
        <v/>
      </c>
      <c r="FY501" s="251" t="str">
        <f t="shared" si="160"/>
        <v/>
      </c>
      <c r="FZ501" s="251" t="str">
        <f t="shared" si="161"/>
        <v/>
      </c>
      <c r="GA501" s="251" t="str">
        <f t="shared" si="162"/>
        <v/>
      </c>
      <c r="GB501" s="251" t="str">
        <f t="shared" si="163"/>
        <v/>
      </c>
      <c r="GC501" s="251" t="str">
        <f t="shared" si="164"/>
        <v/>
      </c>
      <c r="GD501" s="251" t="str">
        <f t="shared" si="165"/>
        <v/>
      </c>
      <c r="GE501" s="251" t="str">
        <f t="shared" si="166"/>
        <v/>
      </c>
      <c r="GF501" s="251" t="str">
        <f t="shared" si="167"/>
        <v/>
      </c>
      <c r="GG501" s="251" t="str">
        <f t="shared" si="168"/>
        <v/>
      </c>
      <c r="GH501" s="251" t="str">
        <f t="shared" si="169"/>
        <v/>
      </c>
      <c r="GI501" s="251" t="str">
        <f t="shared" si="170"/>
        <v/>
      </c>
      <c r="GJ501" s="251" t="str">
        <f t="shared" si="171"/>
        <v/>
      </c>
      <c r="GK501" s="251" t="str">
        <f t="shared" si="172"/>
        <v/>
      </c>
      <c r="GL501" s="251" t="str">
        <f t="shared" si="173"/>
        <v/>
      </c>
      <c r="GM501" s="251" t="str">
        <f t="shared" si="174"/>
        <v/>
      </c>
      <c r="GN501" s="251" t="str">
        <f t="shared" si="175"/>
        <v/>
      </c>
      <c r="GO501" s="251" t="str">
        <f t="shared" si="176"/>
        <v/>
      </c>
      <c r="GP501" s="251" t="str">
        <f t="shared" si="177"/>
        <v/>
      </c>
      <c r="GQ501" s="251" t="str">
        <f t="shared" si="178"/>
        <v/>
      </c>
      <c r="GR501" s="251" t="str">
        <f t="shared" si="179"/>
        <v/>
      </c>
      <c r="GS501" s="251" t="str">
        <f t="shared" si="180"/>
        <v/>
      </c>
      <c r="GT501" s="251" t="str">
        <f t="shared" si="181"/>
        <v/>
      </c>
      <c r="GU501" s="251" t="str">
        <f t="shared" si="182"/>
        <v/>
      </c>
      <c r="GV501" s="251" t="str">
        <f t="shared" si="183"/>
        <v/>
      </c>
      <c r="GW501" s="251" t="str">
        <f t="shared" si="184"/>
        <v/>
      </c>
      <c r="GX501" s="251" t="str">
        <f t="shared" si="185"/>
        <v/>
      </c>
      <c r="GY501" s="251" t="str">
        <f t="shared" si="186"/>
        <v/>
      </c>
      <c r="GZ501" s="251" t="str">
        <f t="shared" si="187"/>
        <v/>
      </c>
      <c r="HA501" s="251" t="str">
        <f t="shared" si="188"/>
        <v/>
      </c>
      <c r="HB501" s="251" t="str">
        <f t="shared" si="189"/>
        <v/>
      </c>
      <c r="HC501" s="251" t="str">
        <f t="shared" si="190"/>
        <v/>
      </c>
      <c r="HD501" s="251" t="str">
        <f t="shared" si="191"/>
        <v/>
      </c>
      <c r="HE501" s="251" t="str">
        <f t="shared" si="192"/>
        <v/>
      </c>
      <c r="HF501" s="251" t="str">
        <f t="shared" si="193"/>
        <v/>
      </c>
      <c r="HG501" s="251" t="str">
        <f t="shared" si="194"/>
        <v/>
      </c>
      <c r="HH501" s="251" t="str">
        <f t="shared" si="195"/>
        <v/>
      </c>
      <c r="HI501" s="251" t="str">
        <f t="shared" si="196"/>
        <v/>
      </c>
      <c r="HJ501" s="251" t="str">
        <f t="shared" si="197"/>
        <v/>
      </c>
      <c r="HK501" s="251" t="str">
        <f t="shared" si="198"/>
        <v/>
      </c>
      <c r="HL501" s="251" t="str">
        <f t="shared" si="199"/>
        <v/>
      </c>
      <c r="HM501" s="251" t="str">
        <f t="shared" si="200"/>
        <v/>
      </c>
      <c r="HN501" s="251" t="str">
        <f t="shared" si="201"/>
        <v/>
      </c>
      <c r="HO501" s="251" t="str">
        <f t="shared" si="202"/>
        <v/>
      </c>
      <c r="HP501" s="251" t="str">
        <f t="shared" si="203"/>
        <v/>
      </c>
      <c r="HQ501" s="251" t="str">
        <f t="shared" si="204"/>
        <v/>
      </c>
      <c r="HR501" s="251" t="str">
        <f t="shared" si="205"/>
        <v/>
      </c>
      <c r="HS501" s="251" t="str">
        <f t="shared" si="206"/>
        <v/>
      </c>
      <c r="HT501" s="251" t="str">
        <f t="shared" si="207"/>
        <v/>
      </c>
      <c r="HU501" s="251" t="str">
        <f t="shared" si="208"/>
        <v/>
      </c>
      <c r="HV501" s="251" t="str">
        <f t="shared" si="209"/>
        <v/>
      </c>
      <c r="HW501" s="251" t="str">
        <f t="shared" si="210"/>
        <v/>
      </c>
      <c r="HX501" s="251" t="str">
        <f t="shared" si="211"/>
        <v/>
      </c>
      <c r="HY501" s="251" t="str">
        <f t="shared" si="212"/>
        <v/>
      </c>
      <c r="HZ501" s="251" t="str">
        <f t="shared" si="213"/>
        <v/>
      </c>
      <c r="IA501" s="251" t="str">
        <f t="shared" si="214"/>
        <v/>
      </c>
      <c r="IB501" s="251" t="str">
        <f t="shared" si="215"/>
        <v/>
      </c>
      <c r="IC501" s="251" t="str">
        <f t="shared" si="216"/>
        <v/>
      </c>
      <c r="ID501" s="251" t="str">
        <f t="shared" si="217"/>
        <v/>
      </c>
      <c r="IE501" s="251" t="str">
        <f t="shared" si="218"/>
        <v/>
      </c>
      <c r="IF501" s="251" t="str">
        <f t="shared" si="219"/>
        <v/>
      </c>
      <c r="IG501" s="251" t="str">
        <f t="shared" si="220"/>
        <v/>
      </c>
      <c r="IH501" s="251" t="str">
        <f t="shared" si="221"/>
        <v/>
      </c>
      <c r="II501" s="251" t="str">
        <f t="shared" si="222"/>
        <v/>
      </c>
      <c r="IJ501" s="251" t="str">
        <f t="shared" si="223"/>
        <v/>
      </c>
      <c r="IK501" s="251" t="str">
        <f t="shared" si="224"/>
        <v/>
      </c>
      <c r="IL501" s="251" t="str">
        <f t="shared" si="225"/>
        <v/>
      </c>
      <c r="IM501" s="251" t="str">
        <f t="shared" si="226"/>
        <v/>
      </c>
      <c r="IN501" s="251" t="str">
        <f t="shared" si="227"/>
        <v/>
      </c>
      <c r="IO501" s="251" t="str">
        <f t="shared" si="228"/>
        <v/>
      </c>
      <c r="IP501" s="251" t="str">
        <f t="shared" si="229"/>
        <v/>
      </c>
      <c r="IQ501" s="251" t="str">
        <f t="shared" si="230"/>
        <v/>
      </c>
      <c r="IR501" s="251" t="str">
        <f t="shared" si="231"/>
        <v/>
      </c>
      <c r="IS501" s="251" t="str">
        <f t="shared" si="232"/>
        <v/>
      </c>
      <c r="IT501" s="251" t="str">
        <f t="shared" si="233"/>
        <v/>
      </c>
      <c r="IU501" s="251" t="str">
        <f t="shared" si="234"/>
        <v/>
      </c>
      <c r="IV501" s="251" t="str">
        <f t="shared" si="235"/>
        <v/>
      </c>
      <c r="IW501" s="251" t="str">
        <f t="shared" si="236"/>
        <v/>
      </c>
      <c r="IX501" s="251" t="str">
        <f t="shared" si="237"/>
        <v/>
      </c>
      <c r="IY501" s="251" t="str">
        <f t="shared" si="238"/>
        <v/>
      </c>
      <c r="IZ501" s="251" t="str">
        <f t="shared" si="239"/>
        <v/>
      </c>
      <c r="JA501" s="251" t="str">
        <f t="shared" si="240"/>
        <v/>
      </c>
      <c r="JB501" s="251" t="str">
        <f t="shared" si="241"/>
        <v/>
      </c>
      <c r="JC501" s="251" t="str">
        <f t="shared" si="242"/>
        <v/>
      </c>
      <c r="JD501" s="251" t="str">
        <f t="shared" si="243"/>
        <v/>
      </c>
      <c r="JE501" s="251" t="str">
        <f t="shared" si="244"/>
        <v/>
      </c>
      <c r="JF501" s="251" t="str">
        <f t="shared" si="245"/>
        <v/>
      </c>
      <c r="JG501" s="251" t="str">
        <f t="shared" si="246"/>
        <v/>
      </c>
      <c r="JH501" s="251" t="str">
        <f t="shared" si="247"/>
        <v/>
      </c>
      <c r="JI501" s="1297" t="str">
        <f t="shared" si="248"/>
        <v/>
      </c>
      <c r="JJ501" s="1297" t="str">
        <f t="shared" si="249"/>
        <v/>
      </c>
      <c r="JK501" s="1297" t="str">
        <f t="shared" si="250"/>
        <v/>
      </c>
      <c r="JL501" s="1297" t="str">
        <f t="shared" si="251"/>
        <v/>
      </c>
      <c r="JM501" s="1297" t="str">
        <f t="shared" si="252"/>
        <v/>
      </c>
      <c r="JN501" s="1297" t="str">
        <f t="shared" si="253"/>
        <v/>
      </c>
      <c r="JO501" s="1297" t="str">
        <f t="shared" si="254"/>
        <v/>
      </c>
      <c r="JP501" s="1297" t="str">
        <f t="shared" si="255"/>
        <v/>
      </c>
      <c r="JQ501" s="1297" t="str">
        <f t="shared" si="256"/>
        <v/>
      </c>
      <c r="JR501" s="1297" t="str">
        <f t="shared" si="257"/>
        <v/>
      </c>
      <c r="JS501" s="1297" t="str">
        <f t="shared" si="258"/>
        <v/>
      </c>
      <c r="JT501" s="1297" t="str">
        <f t="shared" si="259"/>
        <v/>
      </c>
      <c r="JU501" s="1297" t="str">
        <f t="shared" si="260"/>
        <v/>
      </c>
      <c r="JV501" s="1297" t="str">
        <f t="shared" si="261"/>
        <v/>
      </c>
      <c r="JW501" s="1297" t="str">
        <f t="shared" si="262"/>
        <v/>
      </c>
      <c r="JX501" s="1297" t="str">
        <f t="shared" si="263"/>
        <v/>
      </c>
      <c r="JY501" s="1297" t="str">
        <f t="shared" si="264"/>
        <v/>
      </c>
      <c r="JZ501" s="1297" t="str">
        <f t="shared" si="265"/>
        <v/>
      </c>
      <c r="KA501" s="1297" t="str">
        <f t="shared" si="266"/>
        <v/>
      </c>
      <c r="KB501" s="1297" t="str">
        <f t="shared" si="267"/>
        <v/>
      </c>
      <c r="KC501" s="1297" t="str">
        <f t="shared" si="268"/>
        <v/>
      </c>
      <c r="KD501" s="1297" t="str">
        <f t="shared" si="269"/>
        <v/>
      </c>
      <c r="KE501" s="1297" t="str">
        <f t="shared" si="270"/>
        <v/>
      </c>
      <c r="KF501" s="1297" t="str">
        <f t="shared" si="271"/>
        <v/>
      </c>
      <c r="KG501" s="1297" t="str">
        <f t="shared" si="272"/>
        <v/>
      </c>
      <c r="KH501" s="1297" t="str">
        <f t="shared" si="273"/>
        <v/>
      </c>
      <c r="KI501" s="1297" t="str">
        <f t="shared" si="274"/>
        <v/>
      </c>
      <c r="KJ501" s="1297" t="str">
        <f t="shared" si="275"/>
        <v/>
      </c>
      <c r="KK501" s="1297" t="str">
        <f t="shared" si="276"/>
        <v/>
      </c>
      <c r="KL501" s="1297" t="str">
        <f t="shared" si="277"/>
        <v/>
      </c>
      <c r="KM501" s="1297" t="str">
        <f t="shared" si="278"/>
        <v/>
      </c>
      <c r="KN501" s="1297" t="str">
        <f t="shared" si="279"/>
        <v/>
      </c>
      <c r="KO501" s="1297" t="str">
        <f t="shared" si="280"/>
        <v/>
      </c>
      <c r="KP501" s="1297" t="str">
        <f t="shared" si="281"/>
        <v/>
      </c>
      <c r="KQ501" s="1297" t="str">
        <f t="shared" si="282"/>
        <v/>
      </c>
      <c r="KR501" s="1297" t="str">
        <f t="shared" si="283"/>
        <v/>
      </c>
      <c r="KS501" s="1297" t="str">
        <f t="shared" si="284"/>
        <v/>
      </c>
      <c r="KT501" s="1297" t="str">
        <f t="shared" si="285"/>
        <v/>
      </c>
      <c r="KU501" s="1297" t="str">
        <f t="shared" si="286"/>
        <v/>
      </c>
      <c r="KV501" s="1297" t="str">
        <f t="shared" si="287"/>
        <v/>
      </c>
      <c r="KW501" s="1297" t="str">
        <f t="shared" si="288"/>
        <v/>
      </c>
      <c r="KX501" s="1297" t="str">
        <f t="shared" si="289"/>
        <v/>
      </c>
      <c r="KY501" s="1297" t="str">
        <f t="shared" si="290"/>
        <v/>
      </c>
      <c r="KZ501" s="1297" t="str">
        <f t="shared" si="291"/>
        <v/>
      </c>
      <c r="LA501" s="1297" t="str">
        <f t="shared" si="292"/>
        <v/>
      </c>
      <c r="LB501" s="1297" t="str">
        <f t="shared" si="293"/>
        <v/>
      </c>
      <c r="LC501" s="1297" t="str">
        <f t="shared" si="294"/>
        <v/>
      </c>
      <c r="LD501" s="1297" t="str">
        <f t="shared" si="295"/>
        <v/>
      </c>
      <c r="LE501" s="1297" t="str">
        <f t="shared" si="296"/>
        <v/>
      </c>
      <c r="LF501" s="1297" t="str">
        <f t="shared" si="297"/>
        <v/>
      </c>
      <c r="LG501" s="1297" t="str">
        <f t="shared" si="298"/>
        <v/>
      </c>
      <c r="LH501" s="1297" t="str">
        <f t="shared" si="299"/>
        <v/>
      </c>
      <c r="LI501" s="1297" t="str">
        <f t="shared" si="300"/>
        <v/>
      </c>
      <c r="LJ501" s="1297" t="str">
        <f t="shared" si="301"/>
        <v/>
      </c>
      <c r="LK501" s="1297" t="str">
        <f t="shared" si="302"/>
        <v/>
      </c>
      <c r="LL501" s="1297" t="str">
        <f t="shared" si="303"/>
        <v/>
      </c>
      <c r="LM501" s="1297" t="str">
        <f t="shared" si="304"/>
        <v/>
      </c>
      <c r="LN501" s="1297" t="str">
        <f t="shared" si="305"/>
        <v/>
      </c>
      <c r="LO501" s="1297" t="str">
        <f t="shared" si="306"/>
        <v/>
      </c>
      <c r="LP501" s="1297" t="str">
        <f t="shared" si="307"/>
        <v/>
      </c>
      <c r="LQ501" s="1297" t="str">
        <f t="shared" si="308"/>
        <v/>
      </c>
      <c r="LR501" s="1297" t="str">
        <f t="shared" si="309"/>
        <v/>
      </c>
      <c r="LS501" s="1297" t="str">
        <f t="shared" si="310"/>
        <v/>
      </c>
      <c r="LT501" s="1297" t="str">
        <f t="shared" si="311"/>
        <v/>
      </c>
      <c r="LU501" s="1297" t="str">
        <f t="shared" si="312"/>
        <v/>
      </c>
      <c r="LV501" s="1297" t="str">
        <f t="shared" si="313"/>
        <v/>
      </c>
      <c r="LW501" s="1297" t="str">
        <f t="shared" si="314"/>
        <v/>
      </c>
      <c r="LX501" s="1297" t="str">
        <f t="shared" si="315"/>
        <v/>
      </c>
      <c r="LY501" s="1297" t="str">
        <f t="shared" si="316"/>
        <v/>
      </c>
      <c r="LZ501" s="1297" t="str">
        <f t="shared" si="317"/>
        <v/>
      </c>
      <c r="MA501" s="1297" t="str">
        <f t="shared" si="318"/>
        <v/>
      </c>
      <c r="MB501" s="1297" t="str">
        <f t="shared" si="319"/>
        <v/>
      </c>
      <c r="MC501" s="1297" t="str">
        <f t="shared" si="320"/>
        <v/>
      </c>
      <c r="MD501" s="1297" t="str">
        <f t="shared" si="321"/>
        <v/>
      </c>
      <c r="ME501" s="1297" t="str">
        <f t="shared" si="322"/>
        <v/>
      </c>
      <c r="MF501" s="1297" t="str">
        <f t="shared" si="323"/>
        <v/>
      </c>
      <c r="MG501" s="1297" t="str">
        <f t="shared" si="324"/>
        <v/>
      </c>
      <c r="MH501" s="1297" t="str">
        <f t="shared" si="325"/>
        <v/>
      </c>
      <c r="MI501" s="1297" t="str">
        <f t="shared" si="326"/>
        <v/>
      </c>
      <c r="MJ501" s="1297" t="str">
        <f t="shared" si="327"/>
        <v/>
      </c>
      <c r="MK501" s="1297" t="str">
        <f t="shared" si="328"/>
        <v/>
      </c>
      <c r="ML501" s="1297" t="str">
        <f t="shared" si="329"/>
        <v/>
      </c>
      <c r="MM501" s="1297" t="str">
        <f t="shared" si="330"/>
        <v/>
      </c>
      <c r="MN501" s="1297" t="str">
        <f t="shared" si="331"/>
        <v/>
      </c>
      <c r="MO501" s="1297" t="str">
        <f t="shared" si="332"/>
        <v/>
      </c>
      <c r="MP501" s="1773" t="str">
        <f t="shared" si="333"/>
        <v/>
      </c>
      <c r="MQ501" s="1773" t="str">
        <f t="shared" si="334"/>
        <v/>
      </c>
      <c r="MR501" s="1773" t="str">
        <f t="shared" si="335"/>
        <v/>
      </c>
      <c r="MS501" s="1773" t="str">
        <f t="shared" si="336"/>
        <v/>
      </c>
      <c r="MT501" s="1773" t="str">
        <f t="shared" si="337"/>
        <v/>
      </c>
      <c r="MU501" s="251" t="str">
        <f t="shared" si="338"/>
        <v/>
      </c>
      <c r="MV501" s="251" t="str">
        <f t="shared" si="339"/>
        <v/>
      </c>
      <c r="MW501" s="251" t="str">
        <f t="shared" si="340"/>
        <v/>
      </c>
      <c r="MX501" s="251" t="str">
        <f t="shared" si="341"/>
        <v/>
      </c>
      <c r="MY501" s="251" t="str">
        <f t="shared" si="342"/>
        <v/>
      </c>
      <c r="MZ501" s="251" t="str">
        <f t="shared" si="343"/>
        <v/>
      </c>
      <c r="NA501" s="251" t="str">
        <f t="shared" si="344"/>
        <v/>
      </c>
      <c r="NB501" s="251" t="str">
        <f t="shared" si="345"/>
        <v/>
      </c>
      <c r="NC501" s="251" t="str">
        <f t="shared" si="346"/>
        <v/>
      </c>
      <c r="ND501" s="251" t="str">
        <f t="shared" si="347"/>
        <v/>
      </c>
      <c r="NE501" s="251" t="str">
        <f t="shared" si="348"/>
        <v/>
      </c>
      <c r="NF501" s="251" t="str">
        <f t="shared" si="349"/>
        <v/>
      </c>
      <c r="NG501" s="251" t="str">
        <f t="shared" si="350"/>
        <v/>
      </c>
      <c r="NH501" s="251" t="str">
        <f t="shared" si="351"/>
        <v/>
      </c>
      <c r="NI501" s="251" t="str">
        <f t="shared" si="352"/>
        <v/>
      </c>
      <c r="NJ501" s="251" t="str">
        <f t="shared" si="353"/>
        <v/>
      </c>
      <c r="NK501" s="251" t="str">
        <f t="shared" si="354"/>
        <v/>
      </c>
      <c r="NL501" s="251" t="str">
        <f t="shared" si="355"/>
        <v/>
      </c>
      <c r="NM501" s="251" t="str">
        <f t="shared" si="356"/>
        <v/>
      </c>
      <c r="NN501" s="251" t="str">
        <f t="shared" si="357"/>
        <v/>
      </c>
      <c r="NO501" s="1185">
        <f t="shared" si="358"/>
        <v>0</v>
      </c>
      <c r="NP501" s="1185">
        <f t="shared" si="359"/>
        <v>0</v>
      </c>
      <c r="NQ501" s="1185">
        <f t="shared" si="360"/>
        <v>0</v>
      </c>
      <c r="NR501" s="1185">
        <f t="shared" si="361"/>
        <v>0</v>
      </c>
      <c r="NS501" s="1185">
        <f t="shared" si="362"/>
        <v>0</v>
      </c>
      <c r="NT501" s="1185">
        <f t="shared" si="368"/>
        <v>0</v>
      </c>
      <c r="NU501" s="1185">
        <f t="shared" si="369"/>
        <v>0</v>
      </c>
      <c r="NV501" s="1185">
        <f t="shared" si="370"/>
        <v>0</v>
      </c>
      <c r="NW501" s="1185">
        <f t="shared" si="371"/>
        <v>0</v>
      </c>
      <c r="NX501" s="1185">
        <f t="shared" si="372"/>
        <v>0</v>
      </c>
      <c r="NY501" s="1185">
        <f t="shared" si="363"/>
        <v>0</v>
      </c>
      <c r="NZ501" s="1185">
        <f t="shared" si="364"/>
        <v>0</v>
      </c>
      <c r="OA501" s="1185">
        <f t="shared" si="365"/>
        <v>0</v>
      </c>
      <c r="OB501" s="1185">
        <f t="shared" si="366"/>
        <v>0</v>
      </c>
      <c r="OC501" s="1185">
        <f t="shared" si="367"/>
        <v>0</v>
      </c>
      <c r="OY501" s="251" t="s">
        <v>1195</v>
      </c>
      <c r="OZ501" s="1185">
        <v>48</v>
      </c>
    </row>
    <row r="502" spans="1:416" ht="12" customHeight="1">
      <c r="A502" s="1979" t="str">
        <f t="shared" si="0"/>
        <v/>
      </c>
      <c r="B502" s="1998">
        <f>'Part V-Revenues &amp; Expenses'!B49</f>
        <v>0</v>
      </c>
      <c r="C502" s="1999">
        <f>'Part V-Revenues &amp; Expenses'!C49</f>
        <v>0</v>
      </c>
      <c r="D502" s="2000">
        <f>'Part V-Revenues &amp; Expenses'!D49</f>
        <v>0</v>
      </c>
      <c r="E502" s="2001">
        <f>'Part V-Revenues &amp; Expenses'!E49</f>
        <v>0</v>
      </c>
      <c r="F502" s="2001">
        <f>'Part V-Revenues &amp; Expenses'!F49</f>
        <v>0</v>
      </c>
      <c r="G502" s="2001">
        <f>'Part V-Revenues &amp; Expenses'!G49</f>
        <v>0</v>
      </c>
      <c r="H502" s="2001">
        <f>'Part V-Revenues &amp; Expenses'!H49</f>
        <v>0</v>
      </c>
      <c r="I502" s="2001">
        <f>'Part V-Revenues &amp; Expenses'!I49</f>
        <v>0</v>
      </c>
      <c r="J502" s="2001">
        <f>'Part V-Revenues &amp; Expenses'!J49</f>
        <v>0</v>
      </c>
      <c r="K502" s="2002">
        <f>'Part V-Revenues &amp; Expenses'!K49</f>
        <v>0</v>
      </c>
      <c r="L502" s="2003">
        <f t="shared" si="1"/>
        <v>0</v>
      </c>
      <c r="M502" s="2003">
        <f t="shared" si="2"/>
        <v>0</v>
      </c>
      <c r="N502" s="1853">
        <f>'Part V-Revenues &amp; Expenses'!N49</f>
        <v>0</v>
      </c>
      <c r="O502" s="899">
        <f>'Part V-Revenues &amp; Expenses'!O49</f>
        <v>0</v>
      </c>
      <c r="P502" s="1853">
        <f>'Part V-Revenues &amp; Expenses'!P49</f>
        <v>0</v>
      </c>
      <c r="Q502" s="1772">
        <f>'Part V-Revenues &amp; Expenses'!Q49</f>
        <v>0</v>
      </c>
      <c r="R502" s="2004"/>
      <c r="S502" s="2005"/>
      <c r="T502" s="1920"/>
      <c r="U502" s="1920"/>
      <c r="V502" s="1920"/>
      <c r="W502" s="1920"/>
      <c r="X502" s="251" t="str">
        <f t="shared" si="3"/>
        <v/>
      </c>
      <c r="Y502" s="251" t="str">
        <f t="shared" si="4"/>
        <v/>
      </c>
      <c r="Z502" s="251" t="str">
        <f t="shared" si="5"/>
        <v/>
      </c>
      <c r="AA502" s="251" t="str">
        <f t="shared" si="6"/>
        <v/>
      </c>
      <c r="AB502" s="251" t="str">
        <f t="shared" si="7"/>
        <v/>
      </c>
      <c r="AC502" s="251" t="str">
        <f t="shared" si="8"/>
        <v/>
      </c>
      <c r="AD502" s="251" t="str">
        <f t="shared" si="9"/>
        <v/>
      </c>
      <c r="AE502" s="251" t="str">
        <f t="shared" si="10"/>
        <v/>
      </c>
      <c r="AF502" s="251" t="str">
        <f t="shared" si="11"/>
        <v/>
      </c>
      <c r="AG502" s="251" t="str">
        <f t="shared" si="12"/>
        <v/>
      </c>
      <c r="AH502" s="251" t="str">
        <f t="shared" si="13"/>
        <v/>
      </c>
      <c r="AI502" s="251" t="str">
        <f t="shared" si="14"/>
        <v/>
      </c>
      <c r="AJ502" s="251" t="str">
        <f t="shared" si="15"/>
        <v/>
      </c>
      <c r="AK502" s="251" t="str">
        <f t="shared" si="16"/>
        <v/>
      </c>
      <c r="AL502" s="251" t="str">
        <f t="shared" si="17"/>
        <v/>
      </c>
      <c r="AM502" s="251" t="str">
        <f t="shared" si="18"/>
        <v/>
      </c>
      <c r="AN502" s="251" t="str">
        <f t="shared" si="19"/>
        <v/>
      </c>
      <c r="AO502" s="251" t="str">
        <f t="shared" si="20"/>
        <v/>
      </c>
      <c r="AP502" s="251" t="str">
        <f t="shared" si="21"/>
        <v/>
      </c>
      <c r="AQ502" s="251" t="str">
        <f t="shared" si="22"/>
        <v/>
      </c>
      <c r="AR502" s="251" t="str">
        <f t="shared" si="23"/>
        <v/>
      </c>
      <c r="AS502" s="251" t="str">
        <f t="shared" si="24"/>
        <v/>
      </c>
      <c r="AT502" s="251" t="str">
        <f t="shared" si="25"/>
        <v/>
      </c>
      <c r="AU502" s="251" t="str">
        <f t="shared" si="26"/>
        <v/>
      </c>
      <c r="AV502" s="251" t="str">
        <f t="shared" si="27"/>
        <v/>
      </c>
      <c r="AW502" s="251" t="str">
        <f t="shared" si="28"/>
        <v/>
      </c>
      <c r="AX502" s="251" t="str">
        <f t="shared" si="29"/>
        <v/>
      </c>
      <c r="AY502" s="251" t="str">
        <f t="shared" si="30"/>
        <v/>
      </c>
      <c r="AZ502" s="251" t="str">
        <f t="shared" si="31"/>
        <v/>
      </c>
      <c r="BA502" s="251" t="str">
        <f t="shared" si="32"/>
        <v/>
      </c>
      <c r="BB502" s="251" t="str">
        <f t="shared" si="33"/>
        <v/>
      </c>
      <c r="BC502" s="251" t="str">
        <f t="shared" si="34"/>
        <v/>
      </c>
      <c r="BD502" s="251" t="str">
        <f t="shared" si="35"/>
        <v/>
      </c>
      <c r="BE502" s="251" t="str">
        <f t="shared" si="36"/>
        <v/>
      </c>
      <c r="BF502" s="251" t="str">
        <f t="shared" si="37"/>
        <v/>
      </c>
      <c r="BG502" s="251" t="str">
        <f t="shared" si="38"/>
        <v/>
      </c>
      <c r="BH502" s="251" t="str">
        <f t="shared" si="39"/>
        <v/>
      </c>
      <c r="BI502" s="251" t="str">
        <f t="shared" si="40"/>
        <v/>
      </c>
      <c r="BJ502" s="251" t="str">
        <f t="shared" si="41"/>
        <v/>
      </c>
      <c r="BK502" s="251" t="str">
        <f t="shared" si="42"/>
        <v/>
      </c>
      <c r="BL502" s="251" t="str">
        <f t="shared" si="43"/>
        <v/>
      </c>
      <c r="BM502" s="251" t="str">
        <f t="shared" si="44"/>
        <v/>
      </c>
      <c r="BN502" s="251" t="str">
        <f t="shared" si="45"/>
        <v/>
      </c>
      <c r="BO502" s="251" t="str">
        <f t="shared" si="46"/>
        <v/>
      </c>
      <c r="BP502" s="251" t="str">
        <f t="shared" si="47"/>
        <v/>
      </c>
      <c r="BQ502" s="251" t="str">
        <f t="shared" si="48"/>
        <v/>
      </c>
      <c r="BR502" s="251" t="str">
        <f t="shared" si="49"/>
        <v/>
      </c>
      <c r="BS502" s="251" t="str">
        <f t="shared" si="50"/>
        <v/>
      </c>
      <c r="BT502" s="251" t="str">
        <f t="shared" si="51"/>
        <v/>
      </c>
      <c r="BU502" s="251" t="str">
        <f t="shared" si="52"/>
        <v/>
      </c>
      <c r="BV502" s="251" t="str">
        <f t="shared" si="53"/>
        <v/>
      </c>
      <c r="BW502" s="251" t="str">
        <f t="shared" si="54"/>
        <v/>
      </c>
      <c r="BX502" s="251" t="str">
        <f t="shared" si="55"/>
        <v/>
      </c>
      <c r="BY502" s="251" t="str">
        <f t="shared" si="56"/>
        <v/>
      </c>
      <c r="BZ502" s="251" t="str">
        <f t="shared" si="57"/>
        <v/>
      </c>
      <c r="CA502" s="251" t="str">
        <f t="shared" si="58"/>
        <v/>
      </c>
      <c r="CB502" s="251" t="str">
        <f t="shared" si="59"/>
        <v/>
      </c>
      <c r="CC502" s="251" t="str">
        <f t="shared" si="60"/>
        <v/>
      </c>
      <c r="CD502" s="251" t="str">
        <f t="shared" si="61"/>
        <v/>
      </c>
      <c r="CE502" s="251" t="str">
        <f t="shared" si="62"/>
        <v/>
      </c>
      <c r="CF502" s="251" t="str">
        <f t="shared" si="63"/>
        <v/>
      </c>
      <c r="CG502" s="251" t="str">
        <f t="shared" si="64"/>
        <v/>
      </c>
      <c r="CH502" s="251" t="str">
        <f t="shared" si="65"/>
        <v/>
      </c>
      <c r="CI502" s="251" t="str">
        <f t="shared" si="66"/>
        <v/>
      </c>
      <c r="CJ502" s="251" t="str">
        <f t="shared" si="67"/>
        <v/>
      </c>
      <c r="CK502" s="251" t="str">
        <f t="shared" si="68"/>
        <v/>
      </c>
      <c r="CL502" s="251" t="str">
        <f t="shared" si="69"/>
        <v/>
      </c>
      <c r="CM502" s="251" t="str">
        <f t="shared" si="70"/>
        <v/>
      </c>
      <c r="CN502" s="251" t="str">
        <f t="shared" si="71"/>
        <v/>
      </c>
      <c r="CO502" s="251" t="str">
        <f t="shared" si="72"/>
        <v/>
      </c>
      <c r="CP502" s="251" t="str">
        <f t="shared" si="73"/>
        <v/>
      </c>
      <c r="CQ502" s="251" t="str">
        <f t="shared" si="74"/>
        <v/>
      </c>
      <c r="CR502" s="251" t="str">
        <f t="shared" si="75"/>
        <v/>
      </c>
      <c r="CS502" s="251" t="str">
        <f t="shared" si="76"/>
        <v/>
      </c>
      <c r="CT502" s="251" t="str">
        <f t="shared" si="77"/>
        <v/>
      </c>
      <c r="CU502" s="251" t="str">
        <f t="shared" si="78"/>
        <v/>
      </c>
      <c r="CV502" s="251" t="str">
        <f t="shared" si="79"/>
        <v/>
      </c>
      <c r="CW502" s="251" t="str">
        <f t="shared" si="80"/>
        <v/>
      </c>
      <c r="CX502" s="251" t="str">
        <f t="shared" si="81"/>
        <v/>
      </c>
      <c r="CY502" s="251" t="str">
        <f t="shared" si="82"/>
        <v/>
      </c>
      <c r="CZ502" s="251" t="str">
        <f t="shared" si="83"/>
        <v/>
      </c>
      <c r="DA502" s="251" t="str">
        <f t="shared" si="84"/>
        <v/>
      </c>
      <c r="DB502" s="251" t="str">
        <f t="shared" si="85"/>
        <v/>
      </c>
      <c r="DC502" s="251" t="str">
        <f t="shared" si="86"/>
        <v/>
      </c>
      <c r="DD502" s="251" t="str">
        <f t="shared" si="87"/>
        <v/>
      </c>
      <c r="DE502" s="251" t="str">
        <f t="shared" si="88"/>
        <v/>
      </c>
      <c r="DF502" s="251" t="str">
        <f t="shared" si="89"/>
        <v/>
      </c>
      <c r="DG502" s="251" t="str">
        <f t="shared" si="90"/>
        <v/>
      </c>
      <c r="DH502" s="251" t="str">
        <f t="shared" si="91"/>
        <v/>
      </c>
      <c r="DI502" s="251" t="str">
        <f t="shared" si="92"/>
        <v/>
      </c>
      <c r="DJ502" s="251" t="str">
        <f t="shared" si="93"/>
        <v/>
      </c>
      <c r="DK502" s="251" t="str">
        <f t="shared" si="94"/>
        <v/>
      </c>
      <c r="DL502" s="251" t="str">
        <f t="shared" si="95"/>
        <v/>
      </c>
      <c r="DM502" s="251" t="str">
        <f t="shared" si="96"/>
        <v/>
      </c>
      <c r="DN502" s="251" t="str">
        <f t="shared" si="97"/>
        <v/>
      </c>
      <c r="DO502" s="251" t="str">
        <f t="shared" si="98"/>
        <v/>
      </c>
      <c r="DP502" s="251" t="str">
        <f t="shared" si="99"/>
        <v/>
      </c>
      <c r="DQ502" s="251" t="str">
        <f t="shared" si="100"/>
        <v/>
      </c>
      <c r="DR502" s="251" t="str">
        <f t="shared" si="101"/>
        <v/>
      </c>
      <c r="DS502" s="251" t="str">
        <f t="shared" si="102"/>
        <v/>
      </c>
      <c r="DT502" s="251" t="str">
        <f t="shared" si="103"/>
        <v/>
      </c>
      <c r="DU502" s="251" t="str">
        <f t="shared" si="104"/>
        <v/>
      </c>
      <c r="DV502" s="251" t="str">
        <f t="shared" si="105"/>
        <v/>
      </c>
      <c r="DW502" s="251" t="str">
        <f t="shared" si="106"/>
        <v/>
      </c>
      <c r="DX502" s="251" t="str">
        <f t="shared" si="107"/>
        <v/>
      </c>
      <c r="DY502" s="251" t="str">
        <f t="shared" si="108"/>
        <v/>
      </c>
      <c r="DZ502" s="251" t="str">
        <f t="shared" si="109"/>
        <v/>
      </c>
      <c r="EA502" s="251" t="str">
        <f t="shared" si="110"/>
        <v/>
      </c>
      <c r="EB502" s="251" t="str">
        <f t="shared" si="111"/>
        <v/>
      </c>
      <c r="EC502" s="251" t="str">
        <f t="shared" si="112"/>
        <v/>
      </c>
      <c r="ED502" s="251" t="str">
        <f t="shared" si="113"/>
        <v/>
      </c>
      <c r="EE502" s="251" t="str">
        <f t="shared" si="114"/>
        <v/>
      </c>
      <c r="EF502" s="251" t="str">
        <f t="shared" si="115"/>
        <v/>
      </c>
      <c r="EG502" s="251" t="str">
        <f t="shared" si="116"/>
        <v/>
      </c>
      <c r="EH502" s="251" t="str">
        <f t="shared" si="117"/>
        <v/>
      </c>
      <c r="EI502" s="251" t="str">
        <f t="shared" si="118"/>
        <v/>
      </c>
      <c r="EJ502" s="251" t="str">
        <f t="shared" si="119"/>
        <v/>
      </c>
      <c r="EK502" s="251" t="str">
        <f t="shared" si="120"/>
        <v/>
      </c>
      <c r="EL502" s="251" t="str">
        <f t="shared" si="121"/>
        <v/>
      </c>
      <c r="EM502" s="251" t="str">
        <f t="shared" si="122"/>
        <v/>
      </c>
      <c r="EN502" s="251" t="str">
        <f t="shared" si="123"/>
        <v/>
      </c>
      <c r="EO502" s="251" t="str">
        <f t="shared" si="124"/>
        <v/>
      </c>
      <c r="EP502" s="251" t="str">
        <f t="shared" si="125"/>
        <v/>
      </c>
      <c r="EQ502" s="251" t="str">
        <f t="shared" si="126"/>
        <v/>
      </c>
      <c r="ER502" s="251" t="str">
        <f t="shared" si="127"/>
        <v/>
      </c>
      <c r="ES502" s="251" t="str">
        <f t="shared" si="128"/>
        <v/>
      </c>
      <c r="ET502" s="251" t="str">
        <f t="shared" si="129"/>
        <v/>
      </c>
      <c r="EU502" s="251" t="str">
        <f t="shared" si="130"/>
        <v/>
      </c>
      <c r="EV502" s="251" t="str">
        <f t="shared" si="131"/>
        <v/>
      </c>
      <c r="EW502" s="251" t="str">
        <f t="shared" si="132"/>
        <v/>
      </c>
      <c r="EX502" s="251" t="str">
        <f t="shared" si="133"/>
        <v/>
      </c>
      <c r="EY502" s="251" t="str">
        <f t="shared" si="134"/>
        <v/>
      </c>
      <c r="EZ502" s="251" t="str">
        <f t="shared" si="135"/>
        <v/>
      </c>
      <c r="FA502" s="251" t="str">
        <f t="shared" si="136"/>
        <v/>
      </c>
      <c r="FB502" s="251" t="str">
        <f t="shared" si="137"/>
        <v/>
      </c>
      <c r="FC502" s="251" t="str">
        <f t="shared" si="138"/>
        <v/>
      </c>
      <c r="FD502" s="251" t="str">
        <f t="shared" si="139"/>
        <v/>
      </c>
      <c r="FE502" s="251" t="str">
        <f t="shared" si="140"/>
        <v/>
      </c>
      <c r="FF502" s="251" t="str">
        <f t="shared" si="141"/>
        <v/>
      </c>
      <c r="FG502" s="251" t="str">
        <f t="shared" si="142"/>
        <v/>
      </c>
      <c r="FH502" s="251" t="str">
        <f t="shared" si="143"/>
        <v/>
      </c>
      <c r="FI502" s="251" t="str">
        <f t="shared" si="144"/>
        <v/>
      </c>
      <c r="FJ502" s="251" t="str">
        <f t="shared" si="145"/>
        <v/>
      </c>
      <c r="FK502" s="251" t="str">
        <f t="shared" si="146"/>
        <v/>
      </c>
      <c r="FL502" s="251" t="str">
        <f t="shared" si="147"/>
        <v/>
      </c>
      <c r="FM502" s="251" t="str">
        <f t="shared" si="148"/>
        <v/>
      </c>
      <c r="FN502" s="251" t="str">
        <f t="shared" si="149"/>
        <v/>
      </c>
      <c r="FO502" s="251" t="str">
        <f t="shared" si="150"/>
        <v/>
      </c>
      <c r="FP502" s="251" t="str">
        <f t="shared" si="151"/>
        <v/>
      </c>
      <c r="FQ502" s="251" t="str">
        <f t="shared" si="152"/>
        <v/>
      </c>
      <c r="FR502" s="251" t="str">
        <f t="shared" si="153"/>
        <v/>
      </c>
      <c r="FS502" s="251" t="str">
        <f t="shared" si="154"/>
        <v/>
      </c>
      <c r="FT502" s="251" t="str">
        <f t="shared" si="155"/>
        <v/>
      </c>
      <c r="FU502" s="251" t="str">
        <f t="shared" si="156"/>
        <v/>
      </c>
      <c r="FV502" s="251" t="str">
        <f t="shared" si="157"/>
        <v/>
      </c>
      <c r="FW502" s="251" t="str">
        <f t="shared" si="158"/>
        <v/>
      </c>
      <c r="FX502" s="251" t="str">
        <f t="shared" si="159"/>
        <v/>
      </c>
      <c r="FY502" s="251" t="str">
        <f t="shared" si="160"/>
        <v/>
      </c>
      <c r="FZ502" s="251" t="str">
        <f t="shared" si="161"/>
        <v/>
      </c>
      <c r="GA502" s="251" t="str">
        <f t="shared" si="162"/>
        <v/>
      </c>
      <c r="GB502" s="251" t="str">
        <f t="shared" si="163"/>
        <v/>
      </c>
      <c r="GC502" s="251" t="str">
        <f t="shared" si="164"/>
        <v/>
      </c>
      <c r="GD502" s="251" t="str">
        <f t="shared" si="165"/>
        <v/>
      </c>
      <c r="GE502" s="251" t="str">
        <f t="shared" si="166"/>
        <v/>
      </c>
      <c r="GF502" s="251" t="str">
        <f t="shared" si="167"/>
        <v/>
      </c>
      <c r="GG502" s="251" t="str">
        <f t="shared" si="168"/>
        <v/>
      </c>
      <c r="GH502" s="251" t="str">
        <f t="shared" si="169"/>
        <v/>
      </c>
      <c r="GI502" s="251" t="str">
        <f t="shared" si="170"/>
        <v/>
      </c>
      <c r="GJ502" s="251" t="str">
        <f t="shared" si="171"/>
        <v/>
      </c>
      <c r="GK502" s="251" t="str">
        <f t="shared" si="172"/>
        <v/>
      </c>
      <c r="GL502" s="251" t="str">
        <f t="shared" si="173"/>
        <v/>
      </c>
      <c r="GM502" s="251" t="str">
        <f t="shared" si="174"/>
        <v/>
      </c>
      <c r="GN502" s="251" t="str">
        <f t="shared" si="175"/>
        <v/>
      </c>
      <c r="GO502" s="251" t="str">
        <f t="shared" si="176"/>
        <v/>
      </c>
      <c r="GP502" s="251" t="str">
        <f t="shared" si="177"/>
        <v/>
      </c>
      <c r="GQ502" s="251" t="str">
        <f t="shared" si="178"/>
        <v/>
      </c>
      <c r="GR502" s="251" t="str">
        <f t="shared" si="179"/>
        <v/>
      </c>
      <c r="GS502" s="251" t="str">
        <f t="shared" si="180"/>
        <v/>
      </c>
      <c r="GT502" s="251" t="str">
        <f t="shared" si="181"/>
        <v/>
      </c>
      <c r="GU502" s="251" t="str">
        <f t="shared" si="182"/>
        <v/>
      </c>
      <c r="GV502" s="251" t="str">
        <f t="shared" si="183"/>
        <v/>
      </c>
      <c r="GW502" s="251" t="str">
        <f t="shared" si="184"/>
        <v/>
      </c>
      <c r="GX502" s="251" t="str">
        <f t="shared" si="185"/>
        <v/>
      </c>
      <c r="GY502" s="251" t="str">
        <f t="shared" si="186"/>
        <v/>
      </c>
      <c r="GZ502" s="251" t="str">
        <f t="shared" si="187"/>
        <v/>
      </c>
      <c r="HA502" s="251" t="str">
        <f t="shared" si="188"/>
        <v/>
      </c>
      <c r="HB502" s="251" t="str">
        <f t="shared" si="189"/>
        <v/>
      </c>
      <c r="HC502" s="251" t="str">
        <f t="shared" si="190"/>
        <v/>
      </c>
      <c r="HD502" s="251" t="str">
        <f t="shared" si="191"/>
        <v/>
      </c>
      <c r="HE502" s="251" t="str">
        <f t="shared" si="192"/>
        <v/>
      </c>
      <c r="HF502" s="251" t="str">
        <f t="shared" si="193"/>
        <v/>
      </c>
      <c r="HG502" s="251" t="str">
        <f t="shared" si="194"/>
        <v/>
      </c>
      <c r="HH502" s="251" t="str">
        <f t="shared" si="195"/>
        <v/>
      </c>
      <c r="HI502" s="251" t="str">
        <f t="shared" si="196"/>
        <v/>
      </c>
      <c r="HJ502" s="251" t="str">
        <f t="shared" si="197"/>
        <v/>
      </c>
      <c r="HK502" s="251" t="str">
        <f t="shared" si="198"/>
        <v/>
      </c>
      <c r="HL502" s="251" t="str">
        <f t="shared" si="199"/>
        <v/>
      </c>
      <c r="HM502" s="251" t="str">
        <f t="shared" si="200"/>
        <v/>
      </c>
      <c r="HN502" s="251" t="str">
        <f t="shared" si="201"/>
        <v/>
      </c>
      <c r="HO502" s="251" t="str">
        <f t="shared" si="202"/>
        <v/>
      </c>
      <c r="HP502" s="251" t="str">
        <f t="shared" si="203"/>
        <v/>
      </c>
      <c r="HQ502" s="251" t="str">
        <f t="shared" si="204"/>
        <v/>
      </c>
      <c r="HR502" s="251" t="str">
        <f t="shared" si="205"/>
        <v/>
      </c>
      <c r="HS502" s="251" t="str">
        <f t="shared" si="206"/>
        <v/>
      </c>
      <c r="HT502" s="251" t="str">
        <f t="shared" si="207"/>
        <v/>
      </c>
      <c r="HU502" s="251" t="str">
        <f t="shared" si="208"/>
        <v/>
      </c>
      <c r="HV502" s="251" t="str">
        <f t="shared" si="209"/>
        <v/>
      </c>
      <c r="HW502" s="251" t="str">
        <f t="shared" si="210"/>
        <v/>
      </c>
      <c r="HX502" s="251" t="str">
        <f t="shared" si="211"/>
        <v/>
      </c>
      <c r="HY502" s="251" t="str">
        <f t="shared" si="212"/>
        <v/>
      </c>
      <c r="HZ502" s="251" t="str">
        <f t="shared" si="213"/>
        <v/>
      </c>
      <c r="IA502" s="251" t="str">
        <f t="shared" si="214"/>
        <v/>
      </c>
      <c r="IB502" s="251" t="str">
        <f t="shared" si="215"/>
        <v/>
      </c>
      <c r="IC502" s="251" t="str">
        <f t="shared" si="216"/>
        <v/>
      </c>
      <c r="ID502" s="251" t="str">
        <f t="shared" si="217"/>
        <v/>
      </c>
      <c r="IE502" s="251" t="str">
        <f t="shared" si="218"/>
        <v/>
      </c>
      <c r="IF502" s="251" t="str">
        <f t="shared" si="219"/>
        <v/>
      </c>
      <c r="IG502" s="251" t="str">
        <f t="shared" si="220"/>
        <v/>
      </c>
      <c r="IH502" s="251" t="str">
        <f t="shared" si="221"/>
        <v/>
      </c>
      <c r="II502" s="251" t="str">
        <f t="shared" si="222"/>
        <v/>
      </c>
      <c r="IJ502" s="251" t="str">
        <f t="shared" si="223"/>
        <v/>
      </c>
      <c r="IK502" s="251" t="str">
        <f t="shared" si="224"/>
        <v/>
      </c>
      <c r="IL502" s="251" t="str">
        <f t="shared" si="225"/>
        <v/>
      </c>
      <c r="IM502" s="251" t="str">
        <f t="shared" si="226"/>
        <v/>
      </c>
      <c r="IN502" s="251" t="str">
        <f t="shared" si="227"/>
        <v/>
      </c>
      <c r="IO502" s="251" t="str">
        <f t="shared" si="228"/>
        <v/>
      </c>
      <c r="IP502" s="251" t="str">
        <f t="shared" si="229"/>
        <v/>
      </c>
      <c r="IQ502" s="251" t="str">
        <f t="shared" si="230"/>
        <v/>
      </c>
      <c r="IR502" s="251" t="str">
        <f t="shared" si="231"/>
        <v/>
      </c>
      <c r="IS502" s="251" t="str">
        <f t="shared" si="232"/>
        <v/>
      </c>
      <c r="IT502" s="251" t="str">
        <f t="shared" si="233"/>
        <v/>
      </c>
      <c r="IU502" s="251" t="str">
        <f t="shared" si="234"/>
        <v/>
      </c>
      <c r="IV502" s="251" t="str">
        <f t="shared" si="235"/>
        <v/>
      </c>
      <c r="IW502" s="251" t="str">
        <f t="shared" si="236"/>
        <v/>
      </c>
      <c r="IX502" s="251" t="str">
        <f t="shared" si="237"/>
        <v/>
      </c>
      <c r="IY502" s="251" t="str">
        <f t="shared" si="238"/>
        <v/>
      </c>
      <c r="IZ502" s="251" t="str">
        <f t="shared" si="239"/>
        <v/>
      </c>
      <c r="JA502" s="251" t="str">
        <f t="shared" si="240"/>
        <v/>
      </c>
      <c r="JB502" s="251" t="str">
        <f t="shared" si="241"/>
        <v/>
      </c>
      <c r="JC502" s="251" t="str">
        <f t="shared" si="242"/>
        <v/>
      </c>
      <c r="JD502" s="251" t="str">
        <f t="shared" si="243"/>
        <v/>
      </c>
      <c r="JE502" s="251" t="str">
        <f t="shared" si="244"/>
        <v/>
      </c>
      <c r="JF502" s="251" t="str">
        <f t="shared" si="245"/>
        <v/>
      </c>
      <c r="JG502" s="251" t="str">
        <f t="shared" si="246"/>
        <v/>
      </c>
      <c r="JH502" s="251" t="str">
        <f t="shared" si="247"/>
        <v/>
      </c>
      <c r="JI502" s="1297" t="str">
        <f t="shared" si="248"/>
        <v/>
      </c>
      <c r="JJ502" s="1297" t="str">
        <f t="shared" si="249"/>
        <v/>
      </c>
      <c r="JK502" s="1297" t="str">
        <f t="shared" si="250"/>
        <v/>
      </c>
      <c r="JL502" s="1297" t="str">
        <f t="shared" si="251"/>
        <v/>
      </c>
      <c r="JM502" s="1297" t="str">
        <f t="shared" si="252"/>
        <v/>
      </c>
      <c r="JN502" s="1297" t="str">
        <f t="shared" si="253"/>
        <v/>
      </c>
      <c r="JO502" s="1297" t="str">
        <f t="shared" si="254"/>
        <v/>
      </c>
      <c r="JP502" s="1297" t="str">
        <f t="shared" si="255"/>
        <v/>
      </c>
      <c r="JQ502" s="1297" t="str">
        <f t="shared" si="256"/>
        <v/>
      </c>
      <c r="JR502" s="1297" t="str">
        <f t="shared" si="257"/>
        <v/>
      </c>
      <c r="JS502" s="1297" t="str">
        <f t="shared" si="258"/>
        <v/>
      </c>
      <c r="JT502" s="1297" t="str">
        <f t="shared" si="259"/>
        <v/>
      </c>
      <c r="JU502" s="1297" t="str">
        <f t="shared" si="260"/>
        <v/>
      </c>
      <c r="JV502" s="1297" t="str">
        <f t="shared" si="261"/>
        <v/>
      </c>
      <c r="JW502" s="1297" t="str">
        <f t="shared" si="262"/>
        <v/>
      </c>
      <c r="JX502" s="1297" t="str">
        <f t="shared" si="263"/>
        <v/>
      </c>
      <c r="JY502" s="1297" t="str">
        <f t="shared" si="264"/>
        <v/>
      </c>
      <c r="JZ502" s="1297" t="str">
        <f t="shared" si="265"/>
        <v/>
      </c>
      <c r="KA502" s="1297" t="str">
        <f t="shared" si="266"/>
        <v/>
      </c>
      <c r="KB502" s="1297" t="str">
        <f t="shared" si="267"/>
        <v/>
      </c>
      <c r="KC502" s="1297" t="str">
        <f t="shared" si="268"/>
        <v/>
      </c>
      <c r="KD502" s="1297" t="str">
        <f t="shared" si="269"/>
        <v/>
      </c>
      <c r="KE502" s="1297" t="str">
        <f t="shared" si="270"/>
        <v/>
      </c>
      <c r="KF502" s="1297" t="str">
        <f t="shared" si="271"/>
        <v/>
      </c>
      <c r="KG502" s="1297" t="str">
        <f t="shared" si="272"/>
        <v/>
      </c>
      <c r="KH502" s="1297" t="str">
        <f t="shared" si="273"/>
        <v/>
      </c>
      <c r="KI502" s="1297" t="str">
        <f t="shared" si="274"/>
        <v/>
      </c>
      <c r="KJ502" s="1297" t="str">
        <f t="shared" si="275"/>
        <v/>
      </c>
      <c r="KK502" s="1297" t="str">
        <f t="shared" si="276"/>
        <v/>
      </c>
      <c r="KL502" s="1297" t="str">
        <f t="shared" si="277"/>
        <v/>
      </c>
      <c r="KM502" s="1297" t="str">
        <f t="shared" si="278"/>
        <v/>
      </c>
      <c r="KN502" s="1297" t="str">
        <f t="shared" si="279"/>
        <v/>
      </c>
      <c r="KO502" s="1297" t="str">
        <f t="shared" si="280"/>
        <v/>
      </c>
      <c r="KP502" s="1297" t="str">
        <f t="shared" si="281"/>
        <v/>
      </c>
      <c r="KQ502" s="1297" t="str">
        <f t="shared" si="282"/>
        <v/>
      </c>
      <c r="KR502" s="1297" t="str">
        <f t="shared" si="283"/>
        <v/>
      </c>
      <c r="KS502" s="1297" t="str">
        <f t="shared" si="284"/>
        <v/>
      </c>
      <c r="KT502" s="1297" t="str">
        <f t="shared" si="285"/>
        <v/>
      </c>
      <c r="KU502" s="1297" t="str">
        <f t="shared" si="286"/>
        <v/>
      </c>
      <c r="KV502" s="1297" t="str">
        <f t="shared" si="287"/>
        <v/>
      </c>
      <c r="KW502" s="1297" t="str">
        <f t="shared" si="288"/>
        <v/>
      </c>
      <c r="KX502" s="1297" t="str">
        <f t="shared" si="289"/>
        <v/>
      </c>
      <c r="KY502" s="1297" t="str">
        <f t="shared" si="290"/>
        <v/>
      </c>
      <c r="KZ502" s="1297" t="str">
        <f t="shared" si="291"/>
        <v/>
      </c>
      <c r="LA502" s="1297" t="str">
        <f t="shared" si="292"/>
        <v/>
      </c>
      <c r="LB502" s="1297" t="str">
        <f t="shared" si="293"/>
        <v/>
      </c>
      <c r="LC502" s="1297" t="str">
        <f t="shared" si="294"/>
        <v/>
      </c>
      <c r="LD502" s="1297" t="str">
        <f t="shared" si="295"/>
        <v/>
      </c>
      <c r="LE502" s="1297" t="str">
        <f t="shared" si="296"/>
        <v/>
      </c>
      <c r="LF502" s="1297" t="str">
        <f t="shared" si="297"/>
        <v/>
      </c>
      <c r="LG502" s="1297" t="str">
        <f t="shared" si="298"/>
        <v/>
      </c>
      <c r="LH502" s="1297" t="str">
        <f t="shared" si="299"/>
        <v/>
      </c>
      <c r="LI502" s="1297" t="str">
        <f t="shared" si="300"/>
        <v/>
      </c>
      <c r="LJ502" s="1297" t="str">
        <f t="shared" si="301"/>
        <v/>
      </c>
      <c r="LK502" s="1297" t="str">
        <f t="shared" si="302"/>
        <v/>
      </c>
      <c r="LL502" s="1297" t="str">
        <f t="shared" si="303"/>
        <v/>
      </c>
      <c r="LM502" s="1297" t="str">
        <f t="shared" si="304"/>
        <v/>
      </c>
      <c r="LN502" s="1297" t="str">
        <f t="shared" si="305"/>
        <v/>
      </c>
      <c r="LO502" s="1297" t="str">
        <f t="shared" si="306"/>
        <v/>
      </c>
      <c r="LP502" s="1297" t="str">
        <f t="shared" si="307"/>
        <v/>
      </c>
      <c r="LQ502" s="1297" t="str">
        <f t="shared" si="308"/>
        <v/>
      </c>
      <c r="LR502" s="1297" t="str">
        <f t="shared" si="309"/>
        <v/>
      </c>
      <c r="LS502" s="1297" t="str">
        <f t="shared" si="310"/>
        <v/>
      </c>
      <c r="LT502" s="1297" t="str">
        <f t="shared" si="311"/>
        <v/>
      </c>
      <c r="LU502" s="1297" t="str">
        <f t="shared" si="312"/>
        <v/>
      </c>
      <c r="LV502" s="1297" t="str">
        <f t="shared" si="313"/>
        <v/>
      </c>
      <c r="LW502" s="1297" t="str">
        <f t="shared" si="314"/>
        <v/>
      </c>
      <c r="LX502" s="1297" t="str">
        <f t="shared" si="315"/>
        <v/>
      </c>
      <c r="LY502" s="1297" t="str">
        <f t="shared" si="316"/>
        <v/>
      </c>
      <c r="LZ502" s="1297" t="str">
        <f t="shared" si="317"/>
        <v/>
      </c>
      <c r="MA502" s="1297" t="str">
        <f t="shared" si="318"/>
        <v/>
      </c>
      <c r="MB502" s="1297" t="str">
        <f t="shared" si="319"/>
        <v/>
      </c>
      <c r="MC502" s="1297" t="str">
        <f t="shared" si="320"/>
        <v/>
      </c>
      <c r="MD502" s="1297" t="str">
        <f t="shared" si="321"/>
        <v/>
      </c>
      <c r="ME502" s="1297" t="str">
        <f t="shared" si="322"/>
        <v/>
      </c>
      <c r="MF502" s="1297" t="str">
        <f t="shared" si="323"/>
        <v/>
      </c>
      <c r="MG502" s="1297" t="str">
        <f t="shared" si="324"/>
        <v/>
      </c>
      <c r="MH502" s="1297" t="str">
        <f t="shared" si="325"/>
        <v/>
      </c>
      <c r="MI502" s="1297" t="str">
        <f t="shared" si="326"/>
        <v/>
      </c>
      <c r="MJ502" s="1297" t="str">
        <f t="shared" si="327"/>
        <v/>
      </c>
      <c r="MK502" s="1297" t="str">
        <f t="shared" si="328"/>
        <v/>
      </c>
      <c r="ML502" s="1297" t="str">
        <f t="shared" si="329"/>
        <v/>
      </c>
      <c r="MM502" s="1297" t="str">
        <f t="shared" si="330"/>
        <v/>
      </c>
      <c r="MN502" s="1297" t="str">
        <f t="shared" si="331"/>
        <v/>
      </c>
      <c r="MO502" s="1297" t="str">
        <f t="shared" si="332"/>
        <v/>
      </c>
      <c r="MP502" s="1773" t="str">
        <f t="shared" si="333"/>
        <v/>
      </c>
      <c r="MQ502" s="1773" t="str">
        <f t="shared" si="334"/>
        <v/>
      </c>
      <c r="MR502" s="1773" t="str">
        <f t="shared" si="335"/>
        <v/>
      </c>
      <c r="MS502" s="1773" t="str">
        <f t="shared" si="336"/>
        <v/>
      </c>
      <c r="MT502" s="1773" t="str">
        <f t="shared" si="337"/>
        <v/>
      </c>
      <c r="MU502" s="251" t="str">
        <f t="shared" si="338"/>
        <v/>
      </c>
      <c r="MV502" s="251" t="str">
        <f t="shared" si="339"/>
        <v/>
      </c>
      <c r="MW502" s="251" t="str">
        <f t="shared" si="340"/>
        <v/>
      </c>
      <c r="MX502" s="251" t="str">
        <f t="shared" si="341"/>
        <v/>
      </c>
      <c r="MY502" s="251" t="str">
        <f t="shared" si="342"/>
        <v/>
      </c>
      <c r="MZ502" s="251" t="str">
        <f t="shared" si="343"/>
        <v/>
      </c>
      <c r="NA502" s="251" t="str">
        <f t="shared" si="344"/>
        <v/>
      </c>
      <c r="NB502" s="251" t="str">
        <f t="shared" si="345"/>
        <v/>
      </c>
      <c r="NC502" s="251" t="str">
        <f t="shared" si="346"/>
        <v/>
      </c>
      <c r="ND502" s="251" t="str">
        <f t="shared" si="347"/>
        <v/>
      </c>
      <c r="NE502" s="251" t="str">
        <f t="shared" si="348"/>
        <v/>
      </c>
      <c r="NF502" s="251" t="str">
        <f t="shared" si="349"/>
        <v/>
      </c>
      <c r="NG502" s="251" t="str">
        <f t="shared" si="350"/>
        <v/>
      </c>
      <c r="NH502" s="251" t="str">
        <f t="shared" si="351"/>
        <v/>
      </c>
      <c r="NI502" s="251" t="str">
        <f t="shared" si="352"/>
        <v/>
      </c>
      <c r="NJ502" s="251" t="str">
        <f t="shared" si="353"/>
        <v/>
      </c>
      <c r="NK502" s="251" t="str">
        <f t="shared" si="354"/>
        <v/>
      </c>
      <c r="NL502" s="251" t="str">
        <f t="shared" si="355"/>
        <v/>
      </c>
      <c r="NM502" s="251" t="str">
        <f t="shared" si="356"/>
        <v/>
      </c>
      <c r="NN502" s="251" t="str">
        <f t="shared" si="357"/>
        <v/>
      </c>
      <c r="NO502" s="1185">
        <f t="shared" si="358"/>
        <v>0</v>
      </c>
      <c r="NP502" s="1185">
        <f t="shared" si="359"/>
        <v>0</v>
      </c>
      <c r="NQ502" s="1185">
        <f t="shared" si="360"/>
        <v>0</v>
      </c>
      <c r="NR502" s="1185">
        <f t="shared" si="361"/>
        <v>0</v>
      </c>
      <c r="NS502" s="1185">
        <f t="shared" si="362"/>
        <v>0</v>
      </c>
      <c r="NT502" s="1185">
        <f t="shared" si="368"/>
        <v>0</v>
      </c>
      <c r="NU502" s="1185">
        <f t="shared" si="369"/>
        <v>0</v>
      </c>
      <c r="NV502" s="1185">
        <f t="shared" si="370"/>
        <v>0</v>
      </c>
      <c r="NW502" s="1185">
        <f t="shared" si="371"/>
        <v>0</v>
      </c>
      <c r="NX502" s="1185">
        <f t="shared" si="372"/>
        <v>0</v>
      </c>
      <c r="NY502" s="1185">
        <f t="shared" si="363"/>
        <v>0</v>
      </c>
      <c r="NZ502" s="1185">
        <f t="shared" si="364"/>
        <v>0</v>
      </c>
      <c r="OA502" s="1185">
        <f t="shared" si="365"/>
        <v>0</v>
      </c>
      <c r="OB502" s="1185">
        <f t="shared" si="366"/>
        <v>0</v>
      </c>
      <c r="OC502" s="1185">
        <f t="shared" si="367"/>
        <v>0</v>
      </c>
      <c r="OY502" s="251" t="s">
        <v>1193</v>
      </c>
      <c r="OZ502" s="1296">
        <v>49</v>
      </c>
    </row>
    <row r="503" spans="1:416" ht="12" customHeight="1">
      <c r="A503" s="1979" t="str">
        <f t="shared" si="0"/>
        <v/>
      </c>
      <c r="B503" s="1998">
        <f>'Part V-Revenues &amp; Expenses'!B50</f>
        <v>0</v>
      </c>
      <c r="C503" s="1999">
        <f>'Part V-Revenues &amp; Expenses'!C50</f>
        <v>0</v>
      </c>
      <c r="D503" s="2000">
        <f>'Part V-Revenues &amp; Expenses'!D50</f>
        <v>0</v>
      </c>
      <c r="E503" s="2001">
        <f>'Part V-Revenues &amp; Expenses'!E50</f>
        <v>0</v>
      </c>
      <c r="F503" s="2001">
        <f>'Part V-Revenues &amp; Expenses'!F50</f>
        <v>0</v>
      </c>
      <c r="G503" s="2001">
        <f>'Part V-Revenues &amp; Expenses'!G50</f>
        <v>0</v>
      </c>
      <c r="H503" s="2001">
        <f>'Part V-Revenues &amp; Expenses'!H50</f>
        <v>0</v>
      </c>
      <c r="I503" s="2001">
        <f>'Part V-Revenues &amp; Expenses'!I50</f>
        <v>0</v>
      </c>
      <c r="J503" s="2001">
        <f>'Part V-Revenues &amp; Expenses'!J50</f>
        <v>0</v>
      </c>
      <c r="K503" s="2002">
        <f>'Part V-Revenues &amp; Expenses'!K50</f>
        <v>0</v>
      </c>
      <c r="L503" s="2003">
        <f t="shared" si="1"/>
        <v>0</v>
      </c>
      <c r="M503" s="2003">
        <f t="shared" si="2"/>
        <v>0</v>
      </c>
      <c r="N503" s="1853">
        <f>'Part V-Revenues &amp; Expenses'!N50</f>
        <v>0</v>
      </c>
      <c r="O503" s="899">
        <f>'Part V-Revenues &amp; Expenses'!O50</f>
        <v>0</v>
      </c>
      <c r="P503" s="1853">
        <f>'Part V-Revenues &amp; Expenses'!P50</f>
        <v>0</v>
      </c>
      <c r="Q503" s="1772">
        <f>'Part V-Revenues &amp; Expenses'!Q50</f>
        <v>0</v>
      </c>
      <c r="R503" s="2004"/>
      <c r="S503" s="2005"/>
      <c r="T503" s="1920"/>
      <c r="U503" s="1920"/>
      <c r="V503" s="1920"/>
      <c r="W503" s="1920"/>
      <c r="X503" s="251" t="str">
        <f t="shared" si="3"/>
        <v/>
      </c>
      <c r="Y503" s="251" t="str">
        <f t="shared" si="4"/>
        <v/>
      </c>
      <c r="Z503" s="251" t="str">
        <f t="shared" si="5"/>
        <v/>
      </c>
      <c r="AA503" s="251" t="str">
        <f t="shared" si="6"/>
        <v/>
      </c>
      <c r="AB503" s="251" t="str">
        <f t="shared" si="7"/>
        <v/>
      </c>
      <c r="AC503" s="251" t="str">
        <f t="shared" si="8"/>
        <v/>
      </c>
      <c r="AD503" s="251" t="str">
        <f t="shared" si="9"/>
        <v/>
      </c>
      <c r="AE503" s="251" t="str">
        <f t="shared" si="10"/>
        <v/>
      </c>
      <c r="AF503" s="251" t="str">
        <f t="shared" si="11"/>
        <v/>
      </c>
      <c r="AG503" s="251" t="str">
        <f t="shared" si="12"/>
        <v/>
      </c>
      <c r="AH503" s="251" t="str">
        <f t="shared" si="13"/>
        <v/>
      </c>
      <c r="AI503" s="251" t="str">
        <f t="shared" si="14"/>
        <v/>
      </c>
      <c r="AJ503" s="251" t="str">
        <f t="shared" si="15"/>
        <v/>
      </c>
      <c r="AK503" s="251" t="str">
        <f t="shared" si="16"/>
        <v/>
      </c>
      <c r="AL503" s="251" t="str">
        <f t="shared" si="17"/>
        <v/>
      </c>
      <c r="AM503" s="251" t="str">
        <f t="shared" si="18"/>
        <v/>
      </c>
      <c r="AN503" s="251" t="str">
        <f t="shared" si="19"/>
        <v/>
      </c>
      <c r="AO503" s="251" t="str">
        <f t="shared" si="20"/>
        <v/>
      </c>
      <c r="AP503" s="251" t="str">
        <f t="shared" si="21"/>
        <v/>
      </c>
      <c r="AQ503" s="251" t="str">
        <f t="shared" si="22"/>
        <v/>
      </c>
      <c r="AR503" s="251" t="str">
        <f t="shared" si="23"/>
        <v/>
      </c>
      <c r="AS503" s="251" t="str">
        <f t="shared" si="24"/>
        <v/>
      </c>
      <c r="AT503" s="251" t="str">
        <f t="shared" si="25"/>
        <v/>
      </c>
      <c r="AU503" s="251" t="str">
        <f t="shared" si="26"/>
        <v/>
      </c>
      <c r="AV503" s="251" t="str">
        <f t="shared" si="27"/>
        <v/>
      </c>
      <c r="AW503" s="251" t="str">
        <f t="shared" si="28"/>
        <v/>
      </c>
      <c r="AX503" s="251" t="str">
        <f t="shared" si="29"/>
        <v/>
      </c>
      <c r="AY503" s="251" t="str">
        <f t="shared" si="30"/>
        <v/>
      </c>
      <c r="AZ503" s="251" t="str">
        <f t="shared" si="31"/>
        <v/>
      </c>
      <c r="BA503" s="251" t="str">
        <f t="shared" si="32"/>
        <v/>
      </c>
      <c r="BB503" s="251" t="str">
        <f t="shared" si="33"/>
        <v/>
      </c>
      <c r="BC503" s="251" t="str">
        <f t="shared" si="34"/>
        <v/>
      </c>
      <c r="BD503" s="251" t="str">
        <f t="shared" si="35"/>
        <v/>
      </c>
      <c r="BE503" s="251" t="str">
        <f t="shared" si="36"/>
        <v/>
      </c>
      <c r="BF503" s="251" t="str">
        <f t="shared" si="37"/>
        <v/>
      </c>
      <c r="BG503" s="251" t="str">
        <f t="shared" si="38"/>
        <v/>
      </c>
      <c r="BH503" s="251" t="str">
        <f t="shared" si="39"/>
        <v/>
      </c>
      <c r="BI503" s="251" t="str">
        <f t="shared" si="40"/>
        <v/>
      </c>
      <c r="BJ503" s="251" t="str">
        <f t="shared" si="41"/>
        <v/>
      </c>
      <c r="BK503" s="251" t="str">
        <f t="shared" si="42"/>
        <v/>
      </c>
      <c r="BL503" s="251" t="str">
        <f t="shared" si="43"/>
        <v/>
      </c>
      <c r="BM503" s="251" t="str">
        <f t="shared" si="44"/>
        <v/>
      </c>
      <c r="BN503" s="251" t="str">
        <f t="shared" si="45"/>
        <v/>
      </c>
      <c r="BO503" s="251" t="str">
        <f t="shared" si="46"/>
        <v/>
      </c>
      <c r="BP503" s="251" t="str">
        <f t="shared" si="47"/>
        <v/>
      </c>
      <c r="BQ503" s="251" t="str">
        <f t="shared" si="48"/>
        <v/>
      </c>
      <c r="BR503" s="251" t="str">
        <f t="shared" si="49"/>
        <v/>
      </c>
      <c r="BS503" s="251" t="str">
        <f t="shared" si="50"/>
        <v/>
      </c>
      <c r="BT503" s="251" t="str">
        <f t="shared" si="51"/>
        <v/>
      </c>
      <c r="BU503" s="251" t="str">
        <f t="shared" si="52"/>
        <v/>
      </c>
      <c r="BV503" s="251" t="str">
        <f t="shared" si="53"/>
        <v/>
      </c>
      <c r="BW503" s="251" t="str">
        <f t="shared" si="54"/>
        <v/>
      </c>
      <c r="BX503" s="251" t="str">
        <f t="shared" si="55"/>
        <v/>
      </c>
      <c r="BY503" s="251" t="str">
        <f t="shared" si="56"/>
        <v/>
      </c>
      <c r="BZ503" s="251" t="str">
        <f t="shared" si="57"/>
        <v/>
      </c>
      <c r="CA503" s="251" t="str">
        <f t="shared" si="58"/>
        <v/>
      </c>
      <c r="CB503" s="251" t="str">
        <f t="shared" si="59"/>
        <v/>
      </c>
      <c r="CC503" s="251" t="str">
        <f t="shared" si="60"/>
        <v/>
      </c>
      <c r="CD503" s="251" t="str">
        <f t="shared" si="61"/>
        <v/>
      </c>
      <c r="CE503" s="251" t="str">
        <f t="shared" si="62"/>
        <v/>
      </c>
      <c r="CF503" s="251" t="str">
        <f t="shared" si="63"/>
        <v/>
      </c>
      <c r="CG503" s="251" t="str">
        <f t="shared" si="64"/>
        <v/>
      </c>
      <c r="CH503" s="251" t="str">
        <f t="shared" si="65"/>
        <v/>
      </c>
      <c r="CI503" s="251" t="str">
        <f t="shared" si="66"/>
        <v/>
      </c>
      <c r="CJ503" s="251" t="str">
        <f t="shared" si="67"/>
        <v/>
      </c>
      <c r="CK503" s="251" t="str">
        <f t="shared" si="68"/>
        <v/>
      </c>
      <c r="CL503" s="251" t="str">
        <f t="shared" si="69"/>
        <v/>
      </c>
      <c r="CM503" s="251" t="str">
        <f t="shared" si="70"/>
        <v/>
      </c>
      <c r="CN503" s="251" t="str">
        <f t="shared" si="71"/>
        <v/>
      </c>
      <c r="CO503" s="251" t="str">
        <f t="shared" si="72"/>
        <v/>
      </c>
      <c r="CP503" s="251" t="str">
        <f t="shared" si="73"/>
        <v/>
      </c>
      <c r="CQ503" s="251" t="str">
        <f t="shared" si="74"/>
        <v/>
      </c>
      <c r="CR503" s="251" t="str">
        <f t="shared" si="75"/>
        <v/>
      </c>
      <c r="CS503" s="251" t="str">
        <f t="shared" si="76"/>
        <v/>
      </c>
      <c r="CT503" s="251" t="str">
        <f t="shared" si="77"/>
        <v/>
      </c>
      <c r="CU503" s="251" t="str">
        <f t="shared" si="78"/>
        <v/>
      </c>
      <c r="CV503" s="251" t="str">
        <f t="shared" si="79"/>
        <v/>
      </c>
      <c r="CW503" s="251" t="str">
        <f t="shared" si="80"/>
        <v/>
      </c>
      <c r="CX503" s="251" t="str">
        <f t="shared" si="81"/>
        <v/>
      </c>
      <c r="CY503" s="251" t="str">
        <f t="shared" si="82"/>
        <v/>
      </c>
      <c r="CZ503" s="251" t="str">
        <f t="shared" si="83"/>
        <v/>
      </c>
      <c r="DA503" s="251" t="str">
        <f t="shared" si="84"/>
        <v/>
      </c>
      <c r="DB503" s="251" t="str">
        <f t="shared" si="85"/>
        <v/>
      </c>
      <c r="DC503" s="251" t="str">
        <f t="shared" si="86"/>
        <v/>
      </c>
      <c r="DD503" s="251" t="str">
        <f t="shared" si="87"/>
        <v/>
      </c>
      <c r="DE503" s="251" t="str">
        <f t="shared" si="88"/>
        <v/>
      </c>
      <c r="DF503" s="251" t="str">
        <f t="shared" si="89"/>
        <v/>
      </c>
      <c r="DG503" s="251" t="str">
        <f t="shared" si="90"/>
        <v/>
      </c>
      <c r="DH503" s="251" t="str">
        <f t="shared" si="91"/>
        <v/>
      </c>
      <c r="DI503" s="251" t="str">
        <f t="shared" si="92"/>
        <v/>
      </c>
      <c r="DJ503" s="251" t="str">
        <f t="shared" si="93"/>
        <v/>
      </c>
      <c r="DK503" s="251" t="str">
        <f t="shared" si="94"/>
        <v/>
      </c>
      <c r="DL503" s="251" t="str">
        <f t="shared" si="95"/>
        <v/>
      </c>
      <c r="DM503" s="251" t="str">
        <f t="shared" si="96"/>
        <v/>
      </c>
      <c r="DN503" s="251" t="str">
        <f t="shared" si="97"/>
        <v/>
      </c>
      <c r="DO503" s="251" t="str">
        <f t="shared" si="98"/>
        <v/>
      </c>
      <c r="DP503" s="251" t="str">
        <f t="shared" si="99"/>
        <v/>
      </c>
      <c r="DQ503" s="251" t="str">
        <f t="shared" si="100"/>
        <v/>
      </c>
      <c r="DR503" s="251" t="str">
        <f t="shared" si="101"/>
        <v/>
      </c>
      <c r="DS503" s="251" t="str">
        <f t="shared" si="102"/>
        <v/>
      </c>
      <c r="DT503" s="251" t="str">
        <f t="shared" si="103"/>
        <v/>
      </c>
      <c r="DU503" s="251" t="str">
        <f t="shared" si="104"/>
        <v/>
      </c>
      <c r="DV503" s="251" t="str">
        <f t="shared" si="105"/>
        <v/>
      </c>
      <c r="DW503" s="251" t="str">
        <f t="shared" si="106"/>
        <v/>
      </c>
      <c r="DX503" s="251" t="str">
        <f t="shared" si="107"/>
        <v/>
      </c>
      <c r="DY503" s="251" t="str">
        <f t="shared" si="108"/>
        <v/>
      </c>
      <c r="DZ503" s="251" t="str">
        <f t="shared" si="109"/>
        <v/>
      </c>
      <c r="EA503" s="251" t="str">
        <f t="shared" si="110"/>
        <v/>
      </c>
      <c r="EB503" s="251" t="str">
        <f t="shared" si="111"/>
        <v/>
      </c>
      <c r="EC503" s="251" t="str">
        <f t="shared" si="112"/>
        <v/>
      </c>
      <c r="ED503" s="251" t="str">
        <f t="shared" si="113"/>
        <v/>
      </c>
      <c r="EE503" s="251" t="str">
        <f t="shared" si="114"/>
        <v/>
      </c>
      <c r="EF503" s="251" t="str">
        <f t="shared" si="115"/>
        <v/>
      </c>
      <c r="EG503" s="251" t="str">
        <f t="shared" si="116"/>
        <v/>
      </c>
      <c r="EH503" s="251" t="str">
        <f t="shared" si="117"/>
        <v/>
      </c>
      <c r="EI503" s="251" t="str">
        <f t="shared" si="118"/>
        <v/>
      </c>
      <c r="EJ503" s="251" t="str">
        <f t="shared" si="119"/>
        <v/>
      </c>
      <c r="EK503" s="251" t="str">
        <f t="shared" si="120"/>
        <v/>
      </c>
      <c r="EL503" s="251" t="str">
        <f t="shared" si="121"/>
        <v/>
      </c>
      <c r="EM503" s="251" t="str">
        <f t="shared" si="122"/>
        <v/>
      </c>
      <c r="EN503" s="251" t="str">
        <f t="shared" si="123"/>
        <v/>
      </c>
      <c r="EO503" s="251" t="str">
        <f t="shared" si="124"/>
        <v/>
      </c>
      <c r="EP503" s="251" t="str">
        <f t="shared" si="125"/>
        <v/>
      </c>
      <c r="EQ503" s="251" t="str">
        <f t="shared" si="126"/>
        <v/>
      </c>
      <c r="ER503" s="251" t="str">
        <f t="shared" si="127"/>
        <v/>
      </c>
      <c r="ES503" s="251" t="str">
        <f t="shared" si="128"/>
        <v/>
      </c>
      <c r="ET503" s="251" t="str">
        <f t="shared" si="129"/>
        <v/>
      </c>
      <c r="EU503" s="251" t="str">
        <f t="shared" si="130"/>
        <v/>
      </c>
      <c r="EV503" s="251" t="str">
        <f t="shared" si="131"/>
        <v/>
      </c>
      <c r="EW503" s="251" t="str">
        <f t="shared" si="132"/>
        <v/>
      </c>
      <c r="EX503" s="251" t="str">
        <f t="shared" si="133"/>
        <v/>
      </c>
      <c r="EY503" s="251" t="str">
        <f t="shared" si="134"/>
        <v/>
      </c>
      <c r="EZ503" s="251" t="str">
        <f t="shared" si="135"/>
        <v/>
      </c>
      <c r="FA503" s="251" t="str">
        <f t="shared" si="136"/>
        <v/>
      </c>
      <c r="FB503" s="251" t="str">
        <f t="shared" si="137"/>
        <v/>
      </c>
      <c r="FC503" s="251" t="str">
        <f t="shared" si="138"/>
        <v/>
      </c>
      <c r="FD503" s="251" t="str">
        <f t="shared" si="139"/>
        <v/>
      </c>
      <c r="FE503" s="251" t="str">
        <f t="shared" si="140"/>
        <v/>
      </c>
      <c r="FF503" s="251" t="str">
        <f t="shared" si="141"/>
        <v/>
      </c>
      <c r="FG503" s="251" t="str">
        <f t="shared" si="142"/>
        <v/>
      </c>
      <c r="FH503" s="251" t="str">
        <f t="shared" si="143"/>
        <v/>
      </c>
      <c r="FI503" s="251" t="str">
        <f t="shared" si="144"/>
        <v/>
      </c>
      <c r="FJ503" s="251" t="str">
        <f t="shared" si="145"/>
        <v/>
      </c>
      <c r="FK503" s="251" t="str">
        <f t="shared" si="146"/>
        <v/>
      </c>
      <c r="FL503" s="251" t="str">
        <f t="shared" si="147"/>
        <v/>
      </c>
      <c r="FM503" s="251" t="str">
        <f t="shared" si="148"/>
        <v/>
      </c>
      <c r="FN503" s="251" t="str">
        <f t="shared" si="149"/>
        <v/>
      </c>
      <c r="FO503" s="251" t="str">
        <f t="shared" si="150"/>
        <v/>
      </c>
      <c r="FP503" s="251" t="str">
        <f t="shared" si="151"/>
        <v/>
      </c>
      <c r="FQ503" s="251" t="str">
        <f t="shared" si="152"/>
        <v/>
      </c>
      <c r="FR503" s="251" t="str">
        <f t="shared" si="153"/>
        <v/>
      </c>
      <c r="FS503" s="251" t="str">
        <f t="shared" si="154"/>
        <v/>
      </c>
      <c r="FT503" s="251" t="str">
        <f t="shared" si="155"/>
        <v/>
      </c>
      <c r="FU503" s="251" t="str">
        <f t="shared" si="156"/>
        <v/>
      </c>
      <c r="FV503" s="251" t="str">
        <f t="shared" si="157"/>
        <v/>
      </c>
      <c r="FW503" s="251" t="str">
        <f t="shared" si="158"/>
        <v/>
      </c>
      <c r="FX503" s="251" t="str">
        <f t="shared" si="159"/>
        <v/>
      </c>
      <c r="FY503" s="251" t="str">
        <f t="shared" si="160"/>
        <v/>
      </c>
      <c r="FZ503" s="251" t="str">
        <f t="shared" si="161"/>
        <v/>
      </c>
      <c r="GA503" s="251" t="str">
        <f t="shared" si="162"/>
        <v/>
      </c>
      <c r="GB503" s="251" t="str">
        <f t="shared" si="163"/>
        <v/>
      </c>
      <c r="GC503" s="251" t="str">
        <f t="shared" si="164"/>
        <v/>
      </c>
      <c r="GD503" s="251" t="str">
        <f t="shared" si="165"/>
        <v/>
      </c>
      <c r="GE503" s="251" t="str">
        <f t="shared" si="166"/>
        <v/>
      </c>
      <c r="GF503" s="251" t="str">
        <f t="shared" si="167"/>
        <v/>
      </c>
      <c r="GG503" s="251" t="str">
        <f t="shared" si="168"/>
        <v/>
      </c>
      <c r="GH503" s="251" t="str">
        <f t="shared" si="169"/>
        <v/>
      </c>
      <c r="GI503" s="251" t="str">
        <f t="shared" si="170"/>
        <v/>
      </c>
      <c r="GJ503" s="251" t="str">
        <f t="shared" si="171"/>
        <v/>
      </c>
      <c r="GK503" s="251" t="str">
        <f t="shared" si="172"/>
        <v/>
      </c>
      <c r="GL503" s="251" t="str">
        <f t="shared" si="173"/>
        <v/>
      </c>
      <c r="GM503" s="251" t="str">
        <f t="shared" si="174"/>
        <v/>
      </c>
      <c r="GN503" s="251" t="str">
        <f t="shared" si="175"/>
        <v/>
      </c>
      <c r="GO503" s="251" t="str">
        <f t="shared" si="176"/>
        <v/>
      </c>
      <c r="GP503" s="251" t="str">
        <f t="shared" si="177"/>
        <v/>
      </c>
      <c r="GQ503" s="251" t="str">
        <f t="shared" si="178"/>
        <v/>
      </c>
      <c r="GR503" s="251" t="str">
        <f t="shared" si="179"/>
        <v/>
      </c>
      <c r="GS503" s="251" t="str">
        <f t="shared" si="180"/>
        <v/>
      </c>
      <c r="GT503" s="251" t="str">
        <f t="shared" si="181"/>
        <v/>
      </c>
      <c r="GU503" s="251" t="str">
        <f t="shared" si="182"/>
        <v/>
      </c>
      <c r="GV503" s="251" t="str">
        <f t="shared" si="183"/>
        <v/>
      </c>
      <c r="GW503" s="251" t="str">
        <f t="shared" si="184"/>
        <v/>
      </c>
      <c r="GX503" s="251" t="str">
        <f t="shared" si="185"/>
        <v/>
      </c>
      <c r="GY503" s="251" t="str">
        <f t="shared" si="186"/>
        <v/>
      </c>
      <c r="GZ503" s="251" t="str">
        <f t="shared" si="187"/>
        <v/>
      </c>
      <c r="HA503" s="251" t="str">
        <f t="shared" si="188"/>
        <v/>
      </c>
      <c r="HB503" s="251" t="str">
        <f t="shared" si="189"/>
        <v/>
      </c>
      <c r="HC503" s="251" t="str">
        <f t="shared" si="190"/>
        <v/>
      </c>
      <c r="HD503" s="251" t="str">
        <f t="shared" si="191"/>
        <v/>
      </c>
      <c r="HE503" s="251" t="str">
        <f t="shared" si="192"/>
        <v/>
      </c>
      <c r="HF503" s="251" t="str">
        <f t="shared" si="193"/>
        <v/>
      </c>
      <c r="HG503" s="251" t="str">
        <f t="shared" si="194"/>
        <v/>
      </c>
      <c r="HH503" s="251" t="str">
        <f t="shared" si="195"/>
        <v/>
      </c>
      <c r="HI503" s="251" t="str">
        <f t="shared" si="196"/>
        <v/>
      </c>
      <c r="HJ503" s="251" t="str">
        <f t="shared" si="197"/>
        <v/>
      </c>
      <c r="HK503" s="251" t="str">
        <f t="shared" si="198"/>
        <v/>
      </c>
      <c r="HL503" s="251" t="str">
        <f t="shared" si="199"/>
        <v/>
      </c>
      <c r="HM503" s="251" t="str">
        <f t="shared" si="200"/>
        <v/>
      </c>
      <c r="HN503" s="251" t="str">
        <f t="shared" si="201"/>
        <v/>
      </c>
      <c r="HO503" s="251" t="str">
        <f t="shared" si="202"/>
        <v/>
      </c>
      <c r="HP503" s="251" t="str">
        <f t="shared" si="203"/>
        <v/>
      </c>
      <c r="HQ503" s="251" t="str">
        <f t="shared" si="204"/>
        <v/>
      </c>
      <c r="HR503" s="251" t="str">
        <f t="shared" si="205"/>
        <v/>
      </c>
      <c r="HS503" s="251" t="str">
        <f t="shared" si="206"/>
        <v/>
      </c>
      <c r="HT503" s="251" t="str">
        <f t="shared" si="207"/>
        <v/>
      </c>
      <c r="HU503" s="251" t="str">
        <f t="shared" si="208"/>
        <v/>
      </c>
      <c r="HV503" s="251" t="str">
        <f t="shared" si="209"/>
        <v/>
      </c>
      <c r="HW503" s="251" t="str">
        <f t="shared" si="210"/>
        <v/>
      </c>
      <c r="HX503" s="251" t="str">
        <f t="shared" si="211"/>
        <v/>
      </c>
      <c r="HY503" s="251" t="str">
        <f t="shared" si="212"/>
        <v/>
      </c>
      <c r="HZ503" s="251" t="str">
        <f t="shared" si="213"/>
        <v/>
      </c>
      <c r="IA503" s="251" t="str">
        <f t="shared" si="214"/>
        <v/>
      </c>
      <c r="IB503" s="251" t="str">
        <f t="shared" si="215"/>
        <v/>
      </c>
      <c r="IC503" s="251" t="str">
        <f t="shared" si="216"/>
        <v/>
      </c>
      <c r="ID503" s="251" t="str">
        <f t="shared" si="217"/>
        <v/>
      </c>
      <c r="IE503" s="251" t="str">
        <f t="shared" si="218"/>
        <v/>
      </c>
      <c r="IF503" s="251" t="str">
        <f t="shared" si="219"/>
        <v/>
      </c>
      <c r="IG503" s="251" t="str">
        <f t="shared" si="220"/>
        <v/>
      </c>
      <c r="IH503" s="251" t="str">
        <f t="shared" si="221"/>
        <v/>
      </c>
      <c r="II503" s="251" t="str">
        <f t="shared" si="222"/>
        <v/>
      </c>
      <c r="IJ503" s="251" t="str">
        <f t="shared" si="223"/>
        <v/>
      </c>
      <c r="IK503" s="251" t="str">
        <f t="shared" si="224"/>
        <v/>
      </c>
      <c r="IL503" s="251" t="str">
        <f t="shared" si="225"/>
        <v/>
      </c>
      <c r="IM503" s="251" t="str">
        <f t="shared" si="226"/>
        <v/>
      </c>
      <c r="IN503" s="251" t="str">
        <f t="shared" si="227"/>
        <v/>
      </c>
      <c r="IO503" s="251" t="str">
        <f t="shared" si="228"/>
        <v/>
      </c>
      <c r="IP503" s="251" t="str">
        <f t="shared" si="229"/>
        <v/>
      </c>
      <c r="IQ503" s="251" t="str">
        <f t="shared" si="230"/>
        <v/>
      </c>
      <c r="IR503" s="251" t="str">
        <f t="shared" si="231"/>
        <v/>
      </c>
      <c r="IS503" s="251" t="str">
        <f t="shared" si="232"/>
        <v/>
      </c>
      <c r="IT503" s="251" t="str">
        <f t="shared" si="233"/>
        <v/>
      </c>
      <c r="IU503" s="251" t="str">
        <f t="shared" si="234"/>
        <v/>
      </c>
      <c r="IV503" s="251" t="str">
        <f t="shared" si="235"/>
        <v/>
      </c>
      <c r="IW503" s="251" t="str">
        <f t="shared" si="236"/>
        <v/>
      </c>
      <c r="IX503" s="251" t="str">
        <f t="shared" si="237"/>
        <v/>
      </c>
      <c r="IY503" s="251" t="str">
        <f t="shared" si="238"/>
        <v/>
      </c>
      <c r="IZ503" s="251" t="str">
        <f t="shared" si="239"/>
        <v/>
      </c>
      <c r="JA503" s="251" t="str">
        <f t="shared" si="240"/>
        <v/>
      </c>
      <c r="JB503" s="251" t="str">
        <f t="shared" si="241"/>
        <v/>
      </c>
      <c r="JC503" s="251" t="str">
        <f t="shared" si="242"/>
        <v/>
      </c>
      <c r="JD503" s="251" t="str">
        <f t="shared" si="243"/>
        <v/>
      </c>
      <c r="JE503" s="251" t="str">
        <f t="shared" si="244"/>
        <v/>
      </c>
      <c r="JF503" s="251" t="str">
        <f t="shared" si="245"/>
        <v/>
      </c>
      <c r="JG503" s="251" t="str">
        <f t="shared" si="246"/>
        <v/>
      </c>
      <c r="JH503" s="251" t="str">
        <f t="shared" si="247"/>
        <v/>
      </c>
      <c r="JI503" s="1297" t="str">
        <f t="shared" si="248"/>
        <v/>
      </c>
      <c r="JJ503" s="1297" t="str">
        <f t="shared" si="249"/>
        <v/>
      </c>
      <c r="JK503" s="1297" t="str">
        <f t="shared" si="250"/>
        <v/>
      </c>
      <c r="JL503" s="1297" t="str">
        <f t="shared" si="251"/>
        <v/>
      </c>
      <c r="JM503" s="1297" t="str">
        <f t="shared" si="252"/>
        <v/>
      </c>
      <c r="JN503" s="1297" t="str">
        <f t="shared" si="253"/>
        <v/>
      </c>
      <c r="JO503" s="1297" t="str">
        <f t="shared" si="254"/>
        <v/>
      </c>
      <c r="JP503" s="1297" t="str">
        <f t="shared" si="255"/>
        <v/>
      </c>
      <c r="JQ503" s="1297" t="str">
        <f t="shared" si="256"/>
        <v/>
      </c>
      <c r="JR503" s="1297" t="str">
        <f t="shared" si="257"/>
        <v/>
      </c>
      <c r="JS503" s="1297" t="str">
        <f t="shared" si="258"/>
        <v/>
      </c>
      <c r="JT503" s="1297" t="str">
        <f t="shared" si="259"/>
        <v/>
      </c>
      <c r="JU503" s="1297" t="str">
        <f t="shared" si="260"/>
        <v/>
      </c>
      <c r="JV503" s="1297" t="str">
        <f t="shared" si="261"/>
        <v/>
      </c>
      <c r="JW503" s="1297" t="str">
        <f t="shared" si="262"/>
        <v/>
      </c>
      <c r="JX503" s="1297" t="str">
        <f t="shared" si="263"/>
        <v/>
      </c>
      <c r="JY503" s="1297" t="str">
        <f t="shared" si="264"/>
        <v/>
      </c>
      <c r="JZ503" s="1297" t="str">
        <f t="shared" si="265"/>
        <v/>
      </c>
      <c r="KA503" s="1297" t="str">
        <f t="shared" si="266"/>
        <v/>
      </c>
      <c r="KB503" s="1297" t="str">
        <f t="shared" si="267"/>
        <v/>
      </c>
      <c r="KC503" s="1297" t="str">
        <f t="shared" si="268"/>
        <v/>
      </c>
      <c r="KD503" s="1297" t="str">
        <f t="shared" si="269"/>
        <v/>
      </c>
      <c r="KE503" s="1297" t="str">
        <f t="shared" si="270"/>
        <v/>
      </c>
      <c r="KF503" s="1297" t="str">
        <f t="shared" si="271"/>
        <v/>
      </c>
      <c r="KG503" s="1297" t="str">
        <f t="shared" si="272"/>
        <v/>
      </c>
      <c r="KH503" s="1297" t="str">
        <f t="shared" si="273"/>
        <v/>
      </c>
      <c r="KI503" s="1297" t="str">
        <f t="shared" si="274"/>
        <v/>
      </c>
      <c r="KJ503" s="1297" t="str">
        <f t="shared" si="275"/>
        <v/>
      </c>
      <c r="KK503" s="1297" t="str">
        <f t="shared" si="276"/>
        <v/>
      </c>
      <c r="KL503" s="1297" t="str">
        <f t="shared" si="277"/>
        <v/>
      </c>
      <c r="KM503" s="1297" t="str">
        <f t="shared" si="278"/>
        <v/>
      </c>
      <c r="KN503" s="1297" t="str">
        <f t="shared" si="279"/>
        <v/>
      </c>
      <c r="KO503" s="1297" t="str">
        <f t="shared" si="280"/>
        <v/>
      </c>
      <c r="KP503" s="1297" t="str">
        <f t="shared" si="281"/>
        <v/>
      </c>
      <c r="KQ503" s="1297" t="str">
        <f t="shared" si="282"/>
        <v/>
      </c>
      <c r="KR503" s="1297" t="str">
        <f t="shared" si="283"/>
        <v/>
      </c>
      <c r="KS503" s="1297" t="str">
        <f t="shared" si="284"/>
        <v/>
      </c>
      <c r="KT503" s="1297" t="str">
        <f t="shared" si="285"/>
        <v/>
      </c>
      <c r="KU503" s="1297" t="str">
        <f t="shared" si="286"/>
        <v/>
      </c>
      <c r="KV503" s="1297" t="str">
        <f t="shared" si="287"/>
        <v/>
      </c>
      <c r="KW503" s="1297" t="str">
        <f t="shared" si="288"/>
        <v/>
      </c>
      <c r="KX503" s="1297" t="str">
        <f t="shared" si="289"/>
        <v/>
      </c>
      <c r="KY503" s="1297" t="str">
        <f t="shared" si="290"/>
        <v/>
      </c>
      <c r="KZ503" s="1297" t="str">
        <f t="shared" si="291"/>
        <v/>
      </c>
      <c r="LA503" s="1297" t="str">
        <f t="shared" si="292"/>
        <v/>
      </c>
      <c r="LB503" s="1297" t="str">
        <f t="shared" si="293"/>
        <v/>
      </c>
      <c r="LC503" s="1297" t="str">
        <f t="shared" si="294"/>
        <v/>
      </c>
      <c r="LD503" s="1297" t="str">
        <f t="shared" si="295"/>
        <v/>
      </c>
      <c r="LE503" s="1297" t="str">
        <f t="shared" si="296"/>
        <v/>
      </c>
      <c r="LF503" s="1297" t="str">
        <f t="shared" si="297"/>
        <v/>
      </c>
      <c r="LG503" s="1297" t="str">
        <f t="shared" si="298"/>
        <v/>
      </c>
      <c r="LH503" s="1297" t="str">
        <f t="shared" si="299"/>
        <v/>
      </c>
      <c r="LI503" s="1297" t="str">
        <f t="shared" si="300"/>
        <v/>
      </c>
      <c r="LJ503" s="1297" t="str">
        <f t="shared" si="301"/>
        <v/>
      </c>
      <c r="LK503" s="1297" t="str">
        <f t="shared" si="302"/>
        <v/>
      </c>
      <c r="LL503" s="1297" t="str">
        <f t="shared" si="303"/>
        <v/>
      </c>
      <c r="LM503" s="1297" t="str">
        <f t="shared" si="304"/>
        <v/>
      </c>
      <c r="LN503" s="1297" t="str">
        <f t="shared" si="305"/>
        <v/>
      </c>
      <c r="LO503" s="1297" t="str">
        <f t="shared" si="306"/>
        <v/>
      </c>
      <c r="LP503" s="1297" t="str">
        <f t="shared" si="307"/>
        <v/>
      </c>
      <c r="LQ503" s="1297" t="str">
        <f t="shared" si="308"/>
        <v/>
      </c>
      <c r="LR503" s="1297" t="str">
        <f t="shared" si="309"/>
        <v/>
      </c>
      <c r="LS503" s="1297" t="str">
        <f t="shared" si="310"/>
        <v/>
      </c>
      <c r="LT503" s="1297" t="str">
        <f t="shared" si="311"/>
        <v/>
      </c>
      <c r="LU503" s="1297" t="str">
        <f t="shared" si="312"/>
        <v/>
      </c>
      <c r="LV503" s="1297" t="str">
        <f t="shared" si="313"/>
        <v/>
      </c>
      <c r="LW503" s="1297" t="str">
        <f t="shared" si="314"/>
        <v/>
      </c>
      <c r="LX503" s="1297" t="str">
        <f t="shared" si="315"/>
        <v/>
      </c>
      <c r="LY503" s="1297" t="str">
        <f t="shared" si="316"/>
        <v/>
      </c>
      <c r="LZ503" s="1297" t="str">
        <f t="shared" si="317"/>
        <v/>
      </c>
      <c r="MA503" s="1297" t="str">
        <f t="shared" si="318"/>
        <v/>
      </c>
      <c r="MB503" s="1297" t="str">
        <f t="shared" si="319"/>
        <v/>
      </c>
      <c r="MC503" s="1297" t="str">
        <f t="shared" si="320"/>
        <v/>
      </c>
      <c r="MD503" s="1297" t="str">
        <f t="shared" si="321"/>
        <v/>
      </c>
      <c r="ME503" s="1297" t="str">
        <f t="shared" si="322"/>
        <v/>
      </c>
      <c r="MF503" s="1297" t="str">
        <f t="shared" si="323"/>
        <v/>
      </c>
      <c r="MG503" s="1297" t="str">
        <f t="shared" si="324"/>
        <v/>
      </c>
      <c r="MH503" s="1297" t="str">
        <f t="shared" si="325"/>
        <v/>
      </c>
      <c r="MI503" s="1297" t="str">
        <f t="shared" si="326"/>
        <v/>
      </c>
      <c r="MJ503" s="1297" t="str">
        <f t="shared" si="327"/>
        <v/>
      </c>
      <c r="MK503" s="1297" t="str">
        <f t="shared" si="328"/>
        <v/>
      </c>
      <c r="ML503" s="1297" t="str">
        <f t="shared" si="329"/>
        <v/>
      </c>
      <c r="MM503" s="1297" t="str">
        <f t="shared" si="330"/>
        <v/>
      </c>
      <c r="MN503" s="1297" t="str">
        <f t="shared" si="331"/>
        <v/>
      </c>
      <c r="MO503" s="1297" t="str">
        <f t="shared" si="332"/>
        <v/>
      </c>
      <c r="MP503" s="1773" t="str">
        <f t="shared" si="333"/>
        <v/>
      </c>
      <c r="MQ503" s="1773" t="str">
        <f t="shared" si="334"/>
        <v/>
      </c>
      <c r="MR503" s="1773" t="str">
        <f t="shared" si="335"/>
        <v/>
      </c>
      <c r="MS503" s="1773" t="str">
        <f t="shared" si="336"/>
        <v/>
      </c>
      <c r="MT503" s="1773" t="str">
        <f t="shared" si="337"/>
        <v/>
      </c>
      <c r="MU503" s="251" t="str">
        <f t="shared" si="338"/>
        <v/>
      </c>
      <c r="MV503" s="251" t="str">
        <f t="shared" si="339"/>
        <v/>
      </c>
      <c r="MW503" s="251" t="str">
        <f t="shared" si="340"/>
        <v/>
      </c>
      <c r="MX503" s="251" t="str">
        <f t="shared" si="341"/>
        <v/>
      </c>
      <c r="MY503" s="251" t="str">
        <f t="shared" si="342"/>
        <v/>
      </c>
      <c r="MZ503" s="251" t="str">
        <f t="shared" si="343"/>
        <v/>
      </c>
      <c r="NA503" s="251" t="str">
        <f t="shared" si="344"/>
        <v/>
      </c>
      <c r="NB503" s="251" t="str">
        <f t="shared" si="345"/>
        <v/>
      </c>
      <c r="NC503" s="251" t="str">
        <f t="shared" si="346"/>
        <v/>
      </c>
      <c r="ND503" s="251" t="str">
        <f t="shared" si="347"/>
        <v/>
      </c>
      <c r="NE503" s="251" t="str">
        <f t="shared" si="348"/>
        <v/>
      </c>
      <c r="NF503" s="251" t="str">
        <f t="shared" si="349"/>
        <v/>
      </c>
      <c r="NG503" s="251" t="str">
        <f t="shared" si="350"/>
        <v/>
      </c>
      <c r="NH503" s="251" t="str">
        <f t="shared" si="351"/>
        <v/>
      </c>
      <c r="NI503" s="251" t="str">
        <f t="shared" si="352"/>
        <v/>
      </c>
      <c r="NJ503" s="251" t="str">
        <f t="shared" si="353"/>
        <v/>
      </c>
      <c r="NK503" s="251" t="str">
        <f t="shared" si="354"/>
        <v/>
      </c>
      <c r="NL503" s="251" t="str">
        <f t="shared" si="355"/>
        <v/>
      </c>
      <c r="NM503" s="251" t="str">
        <f t="shared" si="356"/>
        <v/>
      </c>
      <c r="NN503" s="251" t="str">
        <f t="shared" si="357"/>
        <v/>
      </c>
      <c r="NO503" s="1185">
        <f t="shared" si="358"/>
        <v>0</v>
      </c>
      <c r="NP503" s="1185">
        <f t="shared" si="359"/>
        <v>0</v>
      </c>
      <c r="NQ503" s="1185">
        <f t="shared" si="360"/>
        <v>0</v>
      </c>
      <c r="NR503" s="1185">
        <f t="shared" si="361"/>
        <v>0</v>
      </c>
      <c r="NS503" s="1185">
        <f t="shared" si="362"/>
        <v>0</v>
      </c>
      <c r="NT503" s="1185">
        <f t="shared" si="368"/>
        <v>0</v>
      </c>
      <c r="NU503" s="1185">
        <f t="shared" si="369"/>
        <v>0</v>
      </c>
      <c r="NV503" s="1185">
        <f t="shared" si="370"/>
        <v>0</v>
      </c>
      <c r="NW503" s="1185">
        <f t="shared" si="371"/>
        <v>0</v>
      </c>
      <c r="NX503" s="1185">
        <f t="shared" si="372"/>
        <v>0</v>
      </c>
      <c r="NY503" s="1185">
        <f t="shared" si="363"/>
        <v>0</v>
      </c>
      <c r="NZ503" s="1185">
        <f t="shared" si="364"/>
        <v>0</v>
      </c>
      <c r="OA503" s="1185">
        <f t="shared" si="365"/>
        <v>0</v>
      </c>
      <c r="OB503" s="1185">
        <f t="shared" si="366"/>
        <v>0</v>
      </c>
      <c r="OC503" s="1185">
        <f t="shared" si="367"/>
        <v>0</v>
      </c>
      <c r="OY503" s="251" t="s">
        <v>1194</v>
      </c>
      <c r="OZ503" s="1296">
        <v>50</v>
      </c>
    </row>
    <row r="504" spans="1:416" ht="12" customHeight="1">
      <c r="A504" s="1979" t="str">
        <f t="shared" si="0"/>
        <v/>
      </c>
      <c r="B504" s="1998">
        <f>'Part V-Revenues &amp; Expenses'!B51</f>
        <v>0</v>
      </c>
      <c r="C504" s="1999">
        <f>'Part V-Revenues &amp; Expenses'!C51</f>
        <v>0</v>
      </c>
      <c r="D504" s="2000">
        <f>'Part V-Revenues &amp; Expenses'!D51</f>
        <v>0</v>
      </c>
      <c r="E504" s="2001">
        <f>'Part V-Revenues &amp; Expenses'!E51</f>
        <v>0</v>
      </c>
      <c r="F504" s="2001">
        <f>'Part V-Revenues &amp; Expenses'!F51</f>
        <v>0</v>
      </c>
      <c r="G504" s="2001">
        <f>'Part V-Revenues &amp; Expenses'!G51</f>
        <v>0</v>
      </c>
      <c r="H504" s="2001">
        <f>'Part V-Revenues &amp; Expenses'!H51</f>
        <v>0</v>
      </c>
      <c r="I504" s="2001">
        <f>'Part V-Revenues &amp; Expenses'!I51</f>
        <v>0</v>
      </c>
      <c r="J504" s="2001">
        <f>'Part V-Revenues &amp; Expenses'!J51</f>
        <v>0</v>
      </c>
      <c r="K504" s="2002">
        <f>'Part V-Revenues &amp; Expenses'!K51</f>
        <v>0</v>
      </c>
      <c r="L504" s="2003">
        <f t="shared" si="1"/>
        <v>0</v>
      </c>
      <c r="M504" s="2003">
        <f t="shared" si="2"/>
        <v>0</v>
      </c>
      <c r="N504" s="1853">
        <f>'Part V-Revenues &amp; Expenses'!N51</f>
        <v>0</v>
      </c>
      <c r="O504" s="899">
        <f>'Part V-Revenues &amp; Expenses'!O51</f>
        <v>0</v>
      </c>
      <c r="P504" s="1853">
        <f>'Part V-Revenues &amp; Expenses'!P51</f>
        <v>0</v>
      </c>
      <c r="Q504" s="1772">
        <f>'Part V-Revenues &amp; Expenses'!Q51</f>
        <v>0</v>
      </c>
      <c r="R504" s="2004"/>
      <c r="S504" s="2005"/>
      <c r="T504" s="1920"/>
      <c r="U504" s="1920"/>
      <c r="V504" s="1920"/>
      <c r="W504" s="1920"/>
      <c r="X504" s="251" t="str">
        <f t="shared" si="3"/>
        <v/>
      </c>
      <c r="Y504" s="251" t="str">
        <f t="shared" si="4"/>
        <v/>
      </c>
      <c r="Z504" s="251" t="str">
        <f t="shared" si="5"/>
        <v/>
      </c>
      <c r="AA504" s="251" t="str">
        <f t="shared" si="6"/>
        <v/>
      </c>
      <c r="AB504" s="251" t="str">
        <f t="shared" si="7"/>
        <v/>
      </c>
      <c r="AC504" s="251" t="str">
        <f t="shared" si="8"/>
        <v/>
      </c>
      <c r="AD504" s="251" t="str">
        <f t="shared" si="9"/>
        <v/>
      </c>
      <c r="AE504" s="251" t="str">
        <f t="shared" si="10"/>
        <v/>
      </c>
      <c r="AF504" s="251" t="str">
        <f t="shared" si="11"/>
        <v/>
      </c>
      <c r="AG504" s="251" t="str">
        <f t="shared" si="12"/>
        <v/>
      </c>
      <c r="AH504" s="251" t="str">
        <f t="shared" si="13"/>
        <v/>
      </c>
      <c r="AI504" s="251" t="str">
        <f t="shared" si="14"/>
        <v/>
      </c>
      <c r="AJ504" s="251" t="str">
        <f t="shared" si="15"/>
        <v/>
      </c>
      <c r="AK504" s="251" t="str">
        <f t="shared" si="16"/>
        <v/>
      </c>
      <c r="AL504" s="251" t="str">
        <f t="shared" si="17"/>
        <v/>
      </c>
      <c r="AM504" s="251" t="str">
        <f t="shared" si="18"/>
        <v/>
      </c>
      <c r="AN504" s="251" t="str">
        <f t="shared" si="19"/>
        <v/>
      </c>
      <c r="AO504" s="251" t="str">
        <f t="shared" si="20"/>
        <v/>
      </c>
      <c r="AP504" s="251" t="str">
        <f t="shared" si="21"/>
        <v/>
      </c>
      <c r="AQ504" s="251" t="str">
        <f t="shared" si="22"/>
        <v/>
      </c>
      <c r="AR504" s="251" t="str">
        <f t="shared" si="23"/>
        <v/>
      </c>
      <c r="AS504" s="251" t="str">
        <f t="shared" si="24"/>
        <v/>
      </c>
      <c r="AT504" s="251" t="str">
        <f t="shared" si="25"/>
        <v/>
      </c>
      <c r="AU504" s="251" t="str">
        <f t="shared" si="26"/>
        <v/>
      </c>
      <c r="AV504" s="251" t="str">
        <f t="shared" si="27"/>
        <v/>
      </c>
      <c r="AW504" s="251" t="str">
        <f t="shared" si="28"/>
        <v/>
      </c>
      <c r="AX504" s="251" t="str">
        <f t="shared" si="29"/>
        <v/>
      </c>
      <c r="AY504" s="251" t="str">
        <f t="shared" si="30"/>
        <v/>
      </c>
      <c r="AZ504" s="251" t="str">
        <f t="shared" si="31"/>
        <v/>
      </c>
      <c r="BA504" s="251" t="str">
        <f t="shared" si="32"/>
        <v/>
      </c>
      <c r="BB504" s="251" t="str">
        <f t="shared" si="33"/>
        <v/>
      </c>
      <c r="BC504" s="251" t="str">
        <f t="shared" si="34"/>
        <v/>
      </c>
      <c r="BD504" s="251" t="str">
        <f t="shared" si="35"/>
        <v/>
      </c>
      <c r="BE504" s="251" t="str">
        <f t="shared" si="36"/>
        <v/>
      </c>
      <c r="BF504" s="251" t="str">
        <f t="shared" si="37"/>
        <v/>
      </c>
      <c r="BG504" s="251" t="str">
        <f t="shared" si="38"/>
        <v/>
      </c>
      <c r="BH504" s="251" t="str">
        <f t="shared" si="39"/>
        <v/>
      </c>
      <c r="BI504" s="251" t="str">
        <f t="shared" si="40"/>
        <v/>
      </c>
      <c r="BJ504" s="251" t="str">
        <f t="shared" si="41"/>
        <v/>
      </c>
      <c r="BK504" s="251" t="str">
        <f t="shared" si="42"/>
        <v/>
      </c>
      <c r="BL504" s="251" t="str">
        <f t="shared" si="43"/>
        <v/>
      </c>
      <c r="BM504" s="251" t="str">
        <f t="shared" si="44"/>
        <v/>
      </c>
      <c r="BN504" s="251" t="str">
        <f t="shared" si="45"/>
        <v/>
      </c>
      <c r="BO504" s="251" t="str">
        <f t="shared" si="46"/>
        <v/>
      </c>
      <c r="BP504" s="251" t="str">
        <f t="shared" si="47"/>
        <v/>
      </c>
      <c r="BQ504" s="251" t="str">
        <f t="shared" si="48"/>
        <v/>
      </c>
      <c r="BR504" s="251" t="str">
        <f t="shared" si="49"/>
        <v/>
      </c>
      <c r="BS504" s="251" t="str">
        <f t="shared" si="50"/>
        <v/>
      </c>
      <c r="BT504" s="251" t="str">
        <f t="shared" si="51"/>
        <v/>
      </c>
      <c r="BU504" s="251" t="str">
        <f t="shared" si="52"/>
        <v/>
      </c>
      <c r="BV504" s="251" t="str">
        <f t="shared" si="53"/>
        <v/>
      </c>
      <c r="BW504" s="251" t="str">
        <f t="shared" si="54"/>
        <v/>
      </c>
      <c r="BX504" s="251" t="str">
        <f t="shared" si="55"/>
        <v/>
      </c>
      <c r="BY504" s="251" t="str">
        <f t="shared" si="56"/>
        <v/>
      </c>
      <c r="BZ504" s="251" t="str">
        <f t="shared" si="57"/>
        <v/>
      </c>
      <c r="CA504" s="251" t="str">
        <f t="shared" si="58"/>
        <v/>
      </c>
      <c r="CB504" s="251" t="str">
        <f t="shared" si="59"/>
        <v/>
      </c>
      <c r="CC504" s="251" t="str">
        <f t="shared" si="60"/>
        <v/>
      </c>
      <c r="CD504" s="251" t="str">
        <f t="shared" si="61"/>
        <v/>
      </c>
      <c r="CE504" s="251" t="str">
        <f t="shared" si="62"/>
        <v/>
      </c>
      <c r="CF504" s="251" t="str">
        <f t="shared" si="63"/>
        <v/>
      </c>
      <c r="CG504" s="251" t="str">
        <f t="shared" si="64"/>
        <v/>
      </c>
      <c r="CH504" s="251" t="str">
        <f t="shared" si="65"/>
        <v/>
      </c>
      <c r="CI504" s="251" t="str">
        <f t="shared" si="66"/>
        <v/>
      </c>
      <c r="CJ504" s="251" t="str">
        <f t="shared" si="67"/>
        <v/>
      </c>
      <c r="CK504" s="251" t="str">
        <f t="shared" si="68"/>
        <v/>
      </c>
      <c r="CL504" s="251" t="str">
        <f t="shared" si="69"/>
        <v/>
      </c>
      <c r="CM504" s="251" t="str">
        <f t="shared" si="70"/>
        <v/>
      </c>
      <c r="CN504" s="251" t="str">
        <f t="shared" si="71"/>
        <v/>
      </c>
      <c r="CO504" s="251" t="str">
        <f t="shared" si="72"/>
        <v/>
      </c>
      <c r="CP504" s="251" t="str">
        <f t="shared" si="73"/>
        <v/>
      </c>
      <c r="CQ504" s="251" t="str">
        <f t="shared" si="74"/>
        <v/>
      </c>
      <c r="CR504" s="251" t="str">
        <f t="shared" si="75"/>
        <v/>
      </c>
      <c r="CS504" s="251" t="str">
        <f t="shared" si="76"/>
        <v/>
      </c>
      <c r="CT504" s="251" t="str">
        <f t="shared" si="77"/>
        <v/>
      </c>
      <c r="CU504" s="251" t="str">
        <f t="shared" si="78"/>
        <v/>
      </c>
      <c r="CV504" s="251" t="str">
        <f t="shared" si="79"/>
        <v/>
      </c>
      <c r="CW504" s="251" t="str">
        <f t="shared" si="80"/>
        <v/>
      </c>
      <c r="CX504" s="251" t="str">
        <f t="shared" si="81"/>
        <v/>
      </c>
      <c r="CY504" s="251" t="str">
        <f t="shared" si="82"/>
        <v/>
      </c>
      <c r="CZ504" s="251" t="str">
        <f t="shared" si="83"/>
        <v/>
      </c>
      <c r="DA504" s="251" t="str">
        <f t="shared" si="84"/>
        <v/>
      </c>
      <c r="DB504" s="251" t="str">
        <f t="shared" si="85"/>
        <v/>
      </c>
      <c r="DC504" s="251" t="str">
        <f t="shared" si="86"/>
        <v/>
      </c>
      <c r="DD504" s="251" t="str">
        <f t="shared" si="87"/>
        <v/>
      </c>
      <c r="DE504" s="251" t="str">
        <f t="shared" si="88"/>
        <v/>
      </c>
      <c r="DF504" s="251" t="str">
        <f t="shared" si="89"/>
        <v/>
      </c>
      <c r="DG504" s="251" t="str">
        <f t="shared" si="90"/>
        <v/>
      </c>
      <c r="DH504" s="251" t="str">
        <f t="shared" si="91"/>
        <v/>
      </c>
      <c r="DI504" s="251" t="str">
        <f t="shared" si="92"/>
        <v/>
      </c>
      <c r="DJ504" s="251" t="str">
        <f t="shared" si="93"/>
        <v/>
      </c>
      <c r="DK504" s="251" t="str">
        <f t="shared" si="94"/>
        <v/>
      </c>
      <c r="DL504" s="251" t="str">
        <f t="shared" si="95"/>
        <v/>
      </c>
      <c r="DM504" s="251" t="str">
        <f t="shared" si="96"/>
        <v/>
      </c>
      <c r="DN504" s="251" t="str">
        <f t="shared" si="97"/>
        <v/>
      </c>
      <c r="DO504" s="251" t="str">
        <f t="shared" si="98"/>
        <v/>
      </c>
      <c r="DP504" s="251" t="str">
        <f t="shared" si="99"/>
        <v/>
      </c>
      <c r="DQ504" s="251" t="str">
        <f t="shared" si="100"/>
        <v/>
      </c>
      <c r="DR504" s="251" t="str">
        <f t="shared" si="101"/>
        <v/>
      </c>
      <c r="DS504" s="251" t="str">
        <f t="shared" si="102"/>
        <v/>
      </c>
      <c r="DT504" s="251" t="str">
        <f t="shared" si="103"/>
        <v/>
      </c>
      <c r="DU504" s="251" t="str">
        <f t="shared" si="104"/>
        <v/>
      </c>
      <c r="DV504" s="251" t="str">
        <f t="shared" si="105"/>
        <v/>
      </c>
      <c r="DW504" s="251" t="str">
        <f t="shared" si="106"/>
        <v/>
      </c>
      <c r="DX504" s="251" t="str">
        <f t="shared" si="107"/>
        <v/>
      </c>
      <c r="DY504" s="251" t="str">
        <f t="shared" si="108"/>
        <v/>
      </c>
      <c r="DZ504" s="251" t="str">
        <f t="shared" si="109"/>
        <v/>
      </c>
      <c r="EA504" s="251" t="str">
        <f t="shared" si="110"/>
        <v/>
      </c>
      <c r="EB504" s="251" t="str">
        <f t="shared" si="111"/>
        <v/>
      </c>
      <c r="EC504" s="251" t="str">
        <f t="shared" si="112"/>
        <v/>
      </c>
      <c r="ED504" s="251" t="str">
        <f t="shared" si="113"/>
        <v/>
      </c>
      <c r="EE504" s="251" t="str">
        <f t="shared" si="114"/>
        <v/>
      </c>
      <c r="EF504" s="251" t="str">
        <f t="shared" si="115"/>
        <v/>
      </c>
      <c r="EG504" s="251" t="str">
        <f t="shared" si="116"/>
        <v/>
      </c>
      <c r="EH504" s="251" t="str">
        <f t="shared" si="117"/>
        <v/>
      </c>
      <c r="EI504" s="251" t="str">
        <f t="shared" si="118"/>
        <v/>
      </c>
      <c r="EJ504" s="251" t="str">
        <f t="shared" si="119"/>
        <v/>
      </c>
      <c r="EK504" s="251" t="str">
        <f t="shared" si="120"/>
        <v/>
      </c>
      <c r="EL504" s="251" t="str">
        <f t="shared" si="121"/>
        <v/>
      </c>
      <c r="EM504" s="251" t="str">
        <f t="shared" si="122"/>
        <v/>
      </c>
      <c r="EN504" s="251" t="str">
        <f t="shared" si="123"/>
        <v/>
      </c>
      <c r="EO504" s="251" t="str">
        <f t="shared" si="124"/>
        <v/>
      </c>
      <c r="EP504" s="251" t="str">
        <f t="shared" si="125"/>
        <v/>
      </c>
      <c r="EQ504" s="251" t="str">
        <f t="shared" si="126"/>
        <v/>
      </c>
      <c r="ER504" s="251" t="str">
        <f t="shared" si="127"/>
        <v/>
      </c>
      <c r="ES504" s="251" t="str">
        <f t="shared" si="128"/>
        <v/>
      </c>
      <c r="ET504" s="251" t="str">
        <f t="shared" si="129"/>
        <v/>
      </c>
      <c r="EU504" s="251" t="str">
        <f t="shared" si="130"/>
        <v/>
      </c>
      <c r="EV504" s="251" t="str">
        <f t="shared" si="131"/>
        <v/>
      </c>
      <c r="EW504" s="251" t="str">
        <f t="shared" si="132"/>
        <v/>
      </c>
      <c r="EX504" s="251" t="str">
        <f t="shared" si="133"/>
        <v/>
      </c>
      <c r="EY504" s="251" t="str">
        <f t="shared" si="134"/>
        <v/>
      </c>
      <c r="EZ504" s="251" t="str">
        <f t="shared" si="135"/>
        <v/>
      </c>
      <c r="FA504" s="251" t="str">
        <f t="shared" si="136"/>
        <v/>
      </c>
      <c r="FB504" s="251" t="str">
        <f t="shared" si="137"/>
        <v/>
      </c>
      <c r="FC504" s="251" t="str">
        <f t="shared" si="138"/>
        <v/>
      </c>
      <c r="FD504" s="251" t="str">
        <f t="shared" si="139"/>
        <v/>
      </c>
      <c r="FE504" s="251" t="str">
        <f t="shared" si="140"/>
        <v/>
      </c>
      <c r="FF504" s="251" t="str">
        <f t="shared" si="141"/>
        <v/>
      </c>
      <c r="FG504" s="251" t="str">
        <f t="shared" si="142"/>
        <v/>
      </c>
      <c r="FH504" s="251" t="str">
        <f t="shared" si="143"/>
        <v/>
      </c>
      <c r="FI504" s="251" t="str">
        <f t="shared" si="144"/>
        <v/>
      </c>
      <c r="FJ504" s="251" t="str">
        <f t="shared" si="145"/>
        <v/>
      </c>
      <c r="FK504" s="251" t="str">
        <f t="shared" si="146"/>
        <v/>
      </c>
      <c r="FL504" s="251" t="str">
        <f t="shared" si="147"/>
        <v/>
      </c>
      <c r="FM504" s="251" t="str">
        <f t="shared" si="148"/>
        <v/>
      </c>
      <c r="FN504" s="251" t="str">
        <f t="shared" si="149"/>
        <v/>
      </c>
      <c r="FO504" s="251" t="str">
        <f t="shared" si="150"/>
        <v/>
      </c>
      <c r="FP504" s="251" t="str">
        <f t="shared" si="151"/>
        <v/>
      </c>
      <c r="FQ504" s="251" t="str">
        <f t="shared" si="152"/>
        <v/>
      </c>
      <c r="FR504" s="251" t="str">
        <f t="shared" si="153"/>
        <v/>
      </c>
      <c r="FS504" s="251" t="str">
        <f t="shared" si="154"/>
        <v/>
      </c>
      <c r="FT504" s="251" t="str">
        <f t="shared" si="155"/>
        <v/>
      </c>
      <c r="FU504" s="251" t="str">
        <f t="shared" si="156"/>
        <v/>
      </c>
      <c r="FV504" s="251" t="str">
        <f t="shared" si="157"/>
        <v/>
      </c>
      <c r="FW504" s="251" t="str">
        <f t="shared" si="158"/>
        <v/>
      </c>
      <c r="FX504" s="251" t="str">
        <f t="shared" si="159"/>
        <v/>
      </c>
      <c r="FY504" s="251" t="str">
        <f t="shared" si="160"/>
        <v/>
      </c>
      <c r="FZ504" s="251" t="str">
        <f t="shared" si="161"/>
        <v/>
      </c>
      <c r="GA504" s="251" t="str">
        <f t="shared" si="162"/>
        <v/>
      </c>
      <c r="GB504" s="251" t="str">
        <f t="shared" si="163"/>
        <v/>
      </c>
      <c r="GC504" s="251" t="str">
        <f t="shared" si="164"/>
        <v/>
      </c>
      <c r="GD504" s="251" t="str">
        <f t="shared" si="165"/>
        <v/>
      </c>
      <c r="GE504" s="251" t="str">
        <f t="shared" si="166"/>
        <v/>
      </c>
      <c r="GF504" s="251" t="str">
        <f t="shared" si="167"/>
        <v/>
      </c>
      <c r="GG504" s="251" t="str">
        <f t="shared" si="168"/>
        <v/>
      </c>
      <c r="GH504" s="251" t="str">
        <f t="shared" si="169"/>
        <v/>
      </c>
      <c r="GI504" s="251" t="str">
        <f t="shared" si="170"/>
        <v/>
      </c>
      <c r="GJ504" s="251" t="str">
        <f t="shared" si="171"/>
        <v/>
      </c>
      <c r="GK504" s="251" t="str">
        <f t="shared" si="172"/>
        <v/>
      </c>
      <c r="GL504" s="251" t="str">
        <f t="shared" si="173"/>
        <v/>
      </c>
      <c r="GM504" s="251" t="str">
        <f t="shared" si="174"/>
        <v/>
      </c>
      <c r="GN504" s="251" t="str">
        <f t="shared" si="175"/>
        <v/>
      </c>
      <c r="GO504" s="251" t="str">
        <f t="shared" si="176"/>
        <v/>
      </c>
      <c r="GP504" s="251" t="str">
        <f t="shared" si="177"/>
        <v/>
      </c>
      <c r="GQ504" s="251" t="str">
        <f t="shared" si="178"/>
        <v/>
      </c>
      <c r="GR504" s="251" t="str">
        <f t="shared" si="179"/>
        <v/>
      </c>
      <c r="GS504" s="251" t="str">
        <f t="shared" si="180"/>
        <v/>
      </c>
      <c r="GT504" s="251" t="str">
        <f t="shared" si="181"/>
        <v/>
      </c>
      <c r="GU504" s="251" t="str">
        <f t="shared" si="182"/>
        <v/>
      </c>
      <c r="GV504" s="251" t="str">
        <f t="shared" si="183"/>
        <v/>
      </c>
      <c r="GW504" s="251" t="str">
        <f t="shared" si="184"/>
        <v/>
      </c>
      <c r="GX504" s="251" t="str">
        <f t="shared" si="185"/>
        <v/>
      </c>
      <c r="GY504" s="251" t="str">
        <f t="shared" si="186"/>
        <v/>
      </c>
      <c r="GZ504" s="251" t="str">
        <f t="shared" si="187"/>
        <v/>
      </c>
      <c r="HA504" s="251" t="str">
        <f t="shared" si="188"/>
        <v/>
      </c>
      <c r="HB504" s="251" t="str">
        <f t="shared" si="189"/>
        <v/>
      </c>
      <c r="HC504" s="251" t="str">
        <f t="shared" si="190"/>
        <v/>
      </c>
      <c r="HD504" s="251" t="str">
        <f t="shared" si="191"/>
        <v/>
      </c>
      <c r="HE504" s="251" t="str">
        <f t="shared" si="192"/>
        <v/>
      </c>
      <c r="HF504" s="251" t="str">
        <f t="shared" si="193"/>
        <v/>
      </c>
      <c r="HG504" s="251" t="str">
        <f t="shared" si="194"/>
        <v/>
      </c>
      <c r="HH504" s="251" t="str">
        <f t="shared" si="195"/>
        <v/>
      </c>
      <c r="HI504" s="251" t="str">
        <f t="shared" si="196"/>
        <v/>
      </c>
      <c r="HJ504" s="251" t="str">
        <f t="shared" si="197"/>
        <v/>
      </c>
      <c r="HK504" s="251" t="str">
        <f t="shared" si="198"/>
        <v/>
      </c>
      <c r="HL504" s="251" t="str">
        <f t="shared" si="199"/>
        <v/>
      </c>
      <c r="HM504" s="251" t="str">
        <f t="shared" si="200"/>
        <v/>
      </c>
      <c r="HN504" s="251" t="str">
        <f t="shared" si="201"/>
        <v/>
      </c>
      <c r="HO504" s="251" t="str">
        <f t="shared" si="202"/>
        <v/>
      </c>
      <c r="HP504" s="251" t="str">
        <f t="shared" si="203"/>
        <v/>
      </c>
      <c r="HQ504" s="251" t="str">
        <f t="shared" si="204"/>
        <v/>
      </c>
      <c r="HR504" s="251" t="str">
        <f t="shared" si="205"/>
        <v/>
      </c>
      <c r="HS504" s="251" t="str">
        <f t="shared" si="206"/>
        <v/>
      </c>
      <c r="HT504" s="251" t="str">
        <f t="shared" si="207"/>
        <v/>
      </c>
      <c r="HU504" s="251" t="str">
        <f t="shared" si="208"/>
        <v/>
      </c>
      <c r="HV504" s="251" t="str">
        <f t="shared" si="209"/>
        <v/>
      </c>
      <c r="HW504" s="251" t="str">
        <f t="shared" si="210"/>
        <v/>
      </c>
      <c r="HX504" s="251" t="str">
        <f t="shared" si="211"/>
        <v/>
      </c>
      <c r="HY504" s="251" t="str">
        <f t="shared" si="212"/>
        <v/>
      </c>
      <c r="HZ504" s="251" t="str">
        <f t="shared" si="213"/>
        <v/>
      </c>
      <c r="IA504" s="251" t="str">
        <f t="shared" si="214"/>
        <v/>
      </c>
      <c r="IB504" s="251" t="str">
        <f t="shared" si="215"/>
        <v/>
      </c>
      <c r="IC504" s="251" t="str">
        <f t="shared" si="216"/>
        <v/>
      </c>
      <c r="ID504" s="251" t="str">
        <f t="shared" si="217"/>
        <v/>
      </c>
      <c r="IE504" s="251" t="str">
        <f t="shared" si="218"/>
        <v/>
      </c>
      <c r="IF504" s="251" t="str">
        <f t="shared" si="219"/>
        <v/>
      </c>
      <c r="IG504" s="251" t="str">
        <f t="shared" si="220"/>
        <v/>
      </c>
      <c r="IH504" s="251" t="str">
        <f t="shared" si="221"/>
        <v/>
      </c>
      <c r="II504" s="251" t="str">
        <f t="shared" si="222"/>
        <v/>
      </c>
      <c r="IJ504" s="251" t="str">
        <f t="shared" si="223"/>
        <v/>
      </c>
      <c r="IK504" s="251" t="str">
        <f t="shared" si="224"/>
        <v/>
      </c>
      <c r="IL504" s="251" t="str">
        <f t="shared" si="225"/>
        <v/>
      </c>
      <c r="IM504" s="251" t="str">
        <f t="shared" si="226"/>
        <v/>
      </c>
      <c r="IN504" s="251" t="str">
        <f t="shared" si="227"/>
        <v/>
      </c>
      <c r="IO504" s="251" t="str">
        <f t="shared" si="228"/>
        <v/>
      </c>
      <c r="IP504" s="251" t="str">
        <f t="shared" si="229"/>
        <v/>
      </c>
      <c r="IQ504" s="251" t="str">
        <f t="shared" si="230"/>
        <v/>
      </c>
      <c r="IR504" s="251" t="str">
        <f t="shared" si="231"/>
        <v/>
      </c>
      <c r="IS504" s="251" t="str">
        <f t="shared" si="232"/>
        <v/>
      </c>
      <c r="IT504" s="251" t="str">
        <f t="shared" si="233"/>
        <v/>
      </c>
      <c r="IU504" s="251" t="str">
        <f t="shared" si="234"/>
        <v/>
      </c>
      <c r="IV504" s="251" t="str">
        <f t="shared" si="235"/>
        <v/>
      </c>
      <c r="IW504" s="251" t="str">
        <f t="shared" si="236"/>
        <v/>
      </c>
      <c r="IX504" s="251" t="str">
        <f t="shared" si="237"/>
        <v/>
      </c>
      <c r="IY504" s="251" t="str">
        <f t="shared" si="238"/>
        <v/>
      </c>
      <c r="IZ504" s="251" t="str">
        <f t="shared" si="239"/>
        <v/>
      </c>
      <c r="JA504" s="251" t="str">
        <f t="shared" si="240"/>
        <v/>
      </c>
      <c r="JB504" s="251" t="str">
        <f t="shared" si="241"/>
        <v/>
      </c>
      <c r="JC504" s="251" t="str">
        <f t="shared" si="242"/>
        <v/>
      </c>
      <c r="JD504" s="251" t="str">
        <f t="shared" si="243"/>
        <v/>
      </c>
      <c r="JE504" s="251" t="str">
        <f t="shared" si="244"/>
        <v/>
      </c>
      <c r="JF504" s="251" t="str">
        <f t="shared" si="245"/>
        <v/>
      </c>
      <c r="JG504" s="251" t="str">
        <f t="shared" si="246"/>
        <v/>
      </c>
      <c r="JH504" s="251" t="str">
        <f t="shared" si="247"/>
        <v/>
      </c>
      <c r="JI504" s="1297" t="str">
        <f t="shared" si="248"/>
        <v/>
      </c>
      <c r="JJ504" s="1297" t="str">
        <f t="shared" si="249"/>
        <v/>
      </c>
      <c r="JK504" s="1297" t="str">
        <f t="shared" si="250"/>
        <v/>
      </c>
      <c r="JL504" s="1297" t="str">
        <f t="shared" si="251"/>
        <v/>
      </c>
      <c r="JM504" s="1297" t="str">
        <f t="shared" si="252"/>
        <v/>
      </c>
      <c r="JN504" s="1297" t="str">
        <f t="shared" si="253"/>
        <v/>
      </c>
      <c r="JO504" s="1297" t="str">
        <f t="shared" si="254"/>
        <v/>
      </c>
      <c r="JP504" s="1297" t="str">
        <f t="shared" si="255"/>
        <v/>
      </c>
      <c r="JQ504" s="1297" t="str">
        <f t="shared" si="256"/>
        <v/>
      </c>
      <c r="JR504" s="1297" t="str">
        <f t="shared" si="257"/>
        <v/>
      </c>
      <c r="JS504" s="1297" t="str">
        <f t="shared" si="258"/>
        <v/>
      </c>
      <c r="JT504" s="1297" t="str">
        <f t="shared" si="259"/>
        <v/>
      </c>
      <c r="JU504" s="1297" t="str">
        <f t="shared" si="260"/>
        <v/>
      </c>
      <c r="JV504" s="1297" t="str">
        <f t="shared" si="261"/>
        <v/>
      </c>
      <c r="JW504" s="1297" t="str">
        <f t="shared" si="262"/>
        <v/>
      </c>
      <c r="JX504" s="1297" t="str">
        <f t="shared" si="263"/>
        <v/>
      </c>
      <c r="JY504" s="1297" t="str">
        <f t="shared" si="264"/>
        <v/>
      </c>
      <c r="JZ504" s="1297" t="str">
        <f t="shared" si="265"/>
        <v/>
      </c>
      <c r="KA504" s="1297" t="str">
        <f t="shared" si="266"/>
        <v/>
      </c>
      <c r="KB504" s="1297" t="str">
        <f t="shared" si="267"/>
        <v/>
      </c>
      <c r="KC504" s="1297" t="str">
        <f t="shared" si="268"/>
        <v/>
      </c>
      <c r="KD504" s="1297" t="str">
        <f t="shared" si="269"/>
        <v/>
      </c>
      <c r="KE504" s="1297" t="str">
        <f t="shared" si="270"/>
        <v/>
      </c>
      <c r="KF504" s="1297" t="str">
        <f t="shared" si="271"/>
        <v/>
      </c>
      <c r="KG504" s="1297" t="str">
        <f t="shared" si="272"/>
        <v/>
      </c>
      <c r="KH504" s="1297" t="str">
        <f t="shared" si="273"/>
        <v/>
      </c>
      <c r="KI504" s="1297" t="str">
        <f t="shared" si="274"/>
        <v/>
      </c>
      <c r="KJ504" s="1297" t="str">
        <f t="shared" si="275"/>
        <v/>
      </c>
      <c r="KK504" s="1297" t="str">
        <f t="shared" si="276"/>
        <v/>
      </c>
      <c r="KL504" s="1297" t="str">
        <f t="shared" si="277"/>
        <v/>
      </c>
      <c r="KM504" s="1297" t="str">
        <f t="shared" si="278"/>
        <v/>
      </c>
      <c r="KN504" s="1297" t="str">
        <f t="shared" si="279"/>
        <v/>
      </c>
      <c r="KO504" s="1297" t="str">
        <f t="shared" si="280"/>
        <v/>
      </c>
      <c r="KP504" s="1297" t="str">
        <f t="shared" si="281"/>
        <v/>
      </c>
      <c r="KQ504" s="1297" t="str">
        <f t="shared" si="282"/>
        <v/>
      </c>
      <c r="KR504" s="1297" t="str">
        <f t="shared" si="283"/>
        <v/>
      </c>
      <c r="KS504" s="1297" t="str">
        <f t="shared" si="284"/>
        <v/>
      </c>
      <c r="KT504" s="1297" t="str">
        <f t="shared" si="285"/>
        <v/>
      </c>
      <c r="KU504" s="1297" t="str">
        <f t="shared" si="286"/>
        <v/>
      </c>
      <c r="KV504" s="1297" t="str">
        <f t="shared" si="287"/>
        <v/>
      </c>
      <c r="KW504" s="1297" t="str">
        <f t="shared" si="288"/>
        <v/>
      </c>
      <c r="KX504" s="1297" t="str">
        <f t="shared" si="289"/>
        <v/>
      </c>
      <c r="KY504" s="1297" t="str">
        <f t="shared" si="290"/>
        <v/>
      </c>
      <c r="KZ504" s="1297" t="str">
        <f t="shared" si="291"/>
        <v/>
      </c>
      <c r="LA504" s="1297" t="str">
        <f t="shared" si="292"/>
        <v/>
      </c>
      <c r="LB504" s="1297" t="str">
        <f t="shared" si="293"/>
        <v/>
      </c>
      <c r="LC504" s="1297" t="str">
        <f t="shared" si="294"/>
        <v/>
      </c>
      <c r="LD504" s="1297" t="str">
        <f t="shared" si="295"/>
        <v/>
      </c>
      <c r="LE504" s="1297" t="str">
        <f t="shared" si="296"/>
        <v/>
      </c>
      <c r="LF504" s="1297" t="str">
        <f t="shared" si="297"/>
        <v/>
      </c>
      <c r="LG504" s="1297" t="str">
        <f t="shared" si="298"/>
        <v/>
      </c>
      <c r="LH504" s="1297" t="str">
        <f t="shared" si="299"/>
        <v/>
      </c>
      <c r="LI504" s="1297" t="str">
        <f t="shared" si="300"/>
        <v/>
      </c>
      <c r="LJ504" s="1297" t="str">
        <f t="shared" si="301"/>
        <v/>
      </c>
      <c r="LK504" s="1297" t="str">
        <f t="shared" si="302"/>
        <v/>
      </c>
      <c r="LL504" s="1297" t="str">
        <f t="shared" si="303"/>
        <v/>
      </c>
      <c r="LM504" s="1297" t="str">
        <f t="shared" si="304"/>
        <v/>
      </c>
      <c r="LN504" s="1297" t="str">
        <f t="shared" si="305"/>
        <v/>
      </c>
      <c r="LO504" s="1297" t="str">
        <f t="shared" si="306"/>
        <v/>
      </c>
      <c r="LP504" s="1297" t="str">
        <f t="shared" si="307"/>
        <v/>
      </c>
      <c r="LQ504" s="1297" t="str">
        <f t="shared" si="308"/>
        <v/>
      </c>
      <c r="LR504" s="1297" t="str">
        <f t="shared" si="309"/>
        <v/>
      </c>
      <c r="LS504" s="1297" t="str">
        <f t="shared" si="310"/>
        <v/>
      </c>
      <c r="LT504" s="1297" t="str">
        <f t="shared" si="311"/>
        <v/>
      </c>
      <c r="LU504" s="1297" t="str">
        <f t="shared" si="312"/>
        <v/>
      </c>
      <c r="LV504" s="1297" t="str">
        <f t="shared" si="313"/>
        <v/>
      </c>
      <c r="LW504" s="1297" t="str">
        <f t="shared" si="314"/>
        <v/>
      </c>
      <c r="LX504" s="1297" t="str">
        <f t="shared" si="315"/>
        <v/>
      </c>
      <c r="LY504" s="1297" t="str">
        <f t="shared" si="316"/>
        <v/>
      </c>
      <c r="LZ504" s="1297" t="str">
        <f t="shared" si="317"/>
        <v/>
      </c>
      <c r="MA504" s="1297" t="str">
        <f t="shared" si="318"/>
        <v/>
      </c>
      <c r="MB504" s="1297" t="str">
        <f t="shared" si="319"/>
        <v/>
      </c>
      <c r="MC504" s="1297" t="str">
        <f t="shared" si="320"/>
        <v/>
      </c>
      <c r="MD504" s="1297" t="str">
        <f t="shared" si="321"/>
        <v/>
      </c>
      <c r="ME504" s="1297" t="str">
        <f t="shared" si="322"/>
        <v/>
      </c>
      <c r="MF504" s="1297" t="str">
        <f t="shared" si="323"/>
        <v/>
      </c>
      <c r="MG504" s="1297" t="str">
        <f t="shared" si="324"/>
        <v/>
      </c>
      <c r="MH504" s="1297" t="str">
        <f t="shared" si="325"/>
        <v/>
      </c>
      <c r="MI504" s="1297" t="str">
        <f t="shared" si="326"/>
        <v/>
      </c>
      <c r="MJ504" s="1297" t="str">
        <f t="shared" si="327"/>
        <v/>
      </c>
      <c r="MK504" s="1297" t="str">
        <f t="shared" si="328"/>
        <v/>
      </c>
      <c r="ML504" s="1297" t="str">
        <f t="shared" si="329"/>
        <v/>
      </c>
      <c r="MM504" s="1297" t="str">
        <f t="shared" si="330"/>
        <v/>
      </c>
      <c r="MN504" s="1297" t="str">
        <f t="shared" si="331"/>
        <v/>
      </c>
      <c r="MO504" s="1297" t="str">
        <f t="shared" si="332"/>
        <v/>
      </c>
      <c r="MP504" s="1773" t="str">
        <f t="shared" si="333"/>
        <v/>
      </c>
      <c r="MQ504" s="1773" t="str">
        <f t="shared" si="334"/>
        <v/>
      </c>
      <c r="MR504" s="1773" t="str">
        <f t="shared" si="335"/>
        <v/>
      </c>
      <c r="MS504" s="1773" t="str">
        <f t="shared" si="336"/>
        <v/>
      </c>
      <c r="MT504" s="1773" t="str">
        <f t="shared" si="337"/>
        <v/>
      </c>
      <c r="MU504" s="251" t="str">
        <f t="shared" si="338"/>
        <v/>
      </c>
      <c r="MV504" s="251" t="str">
        <f t="shared" si="339"/>
        <v/>
      </c>
      <c r="MW504" s="251" t="str">
        <f t="shared" si="340"/>
        <v/>
      </c>
      <c r="MX504" s="251" t="str">
        <f t="shared" si="341"/>
        <v/>
      </c>
      <c r="MY504" s="251" t="str">
        <f t="shared" si="342"/>
        <v/>
      </c>
      <c r="MZ504" s="251" t="str">
        <f t="shared" si="343"/>
        <v/>
      </c>
      <c r="NA504" s="251" t="str">
        <f t="shared" si="344"/>
        <v/>
      </c>
      <c r="NB504" s="251" t="str">
        <f t="shared" si="345"/>
        <v/>
      </c>
      <c r="NC504" s="251" t="str">
        <f t="shared" si="346"/>
        <v/>
      </c>
      <c r="ND504" s="251" t="str">
        <f t="shared" si="347"/>
        <v/>
      </c>
      <c r="NE504" s="251" t="str">
        <f t="shared" si="348"/>
        <v/>
      </c>
      <c r="NF504" s="251" t="str">
        <f t="shared" si="349"/>
        <v/>
      </c>
      <c r="NG504" s="251" t="str">
        <f t="shared" si="350"/>
        <v/>
      </c>
      <c r="NH504" s="251" t="str">
        <f t="shared" si="351"/>
        <v/>
      </c>
      <c r="NI504" s="251" t="str">
        <f t="shared" si="352"/>
        <v/>
      </c>
      <c r="NJ504" s="251" t="str">
        <f t="shared" si="353"/>
        <v/>
      </c>
      <c r="NK504" s="251" t="str">
        <f t="shared" si="354"/>
        <v/>
      </c>
      <c r="NL504" s="251" t="str">
        <f t="shared" si="355"/>
        <v/>
      </c>
      <c r="NM504" s="251" t="str">
        <f t="shared" si="356"/>
        <v/>
      </c>
      <c r="NN504" s="251" t="str">
        <f t="shared" si="357"/>
        <v/>
      </c>
      <c r="NO504" s="1185">
        <f t="shared" si="358"/>
        <v>0</v>
      </c>
      <c r="NP504" s="1185">
        <f t="shared" si="359"/>
        <v>0</v>
      </c>
      <c r="NQ504" s="1185">
        <f t="shared" si="360"/>
        <v>0</v>
      </c>
      <c r="NR504" s="1185">
        <f t="shared" si="361"/>
        <v>0</v>
      </c>
      <c r="NS504" s="1185">
        <f t="shared" si="362"/>
        <v>0</v>
      </c>
      <c r="NT504" s="1185">
        <f t="shared" si="368"/>
        <v>0</v>
      </c>
      <c r="NU504" s="1185">
        <f t="shared" si="369"/>
        <v>0</v>
      </c>
      <c r="NV504" s="1185">
        <f t="shared" si="370"/>
        <v>0</v>
      </c>
      <c r="NW504" s="1185">
        <f t="shared" si="371"/>
        <v>0</v>
      </c>
      <c r="NX504" s="1185">
        <f t="shared" si="372"/>
        <v>0</v>
      </c>
      <c r="NY504" s="1185">
        <f t="shared" si="363"/>
        <v>0</v>
      </c>
      <c r="NZ504" s="1185">
        <f t="shared" si="364"/>
        <v>0</v>
      </c>
      <c r="OA504" s="1185">
        <f t="shared" si="365"/>
        <v>0</v>
      </c>
      <c r="OB504" s="1185">
        <f t="shared" si="366"/>
        <v>0</v>
      </c>
      <c r="OC504" s="1185">
        <f t="shared" si="367"/>
        <v>0</v>
      </c>
      <c r="OY504" s="251" t="s">
        <v>1195</v>
      </c>
      <c r="OZ504" s="1185">
        <v>51</v>
      </c>
    </row>
    <row r="505" spans="1:416" ht="12" customHeight="1">
      <c r="A505" s="1979" t="str">
        <f t="shared" si="0"/>
        <v/>
      </c>
      <c r="B505" s="1998">
        <f>'Part V-Revenues &amp; Expenses'!B52</f>
        <v>0</v>
      </c>
      <c r="C505" s="1999">
        <f>'Part V-Revenues &amp; Expenses'!C52</f>
        <v>0</v>
      </c>
      <c r="D505" s="2000">
        <f>'Part V-Revenues &amp; Expenses'!D52</f>
        <v>0</v>
      </c>
      <c r="E505" s="2001">
        <f>'Part V-Revenues &amp; Expenses'!E52</f>
        <v>0</v>
      </c>
      <c r="F505" s="2001">
        <f>'Part V-Revenues &amp; Expenses'!F52</f>
        <v>0</v>
      </c>
      <c r="G505" s="2001">
        <f>'Part V-Revenues &amp; Expenses'!G52</f>
        <v>0</v>
      </c>
      <c r="H505" s="2001">
        <f>'Part V-Revenues &amp; Expenses'!H52</f>
        <v>0</v>
      </c>
      <c r="I505" s="2001">
        <f>'Part V-Revenues &amp; Expenses'!I52</f>
        <v>0</v>
      </c>
      <c r="J505" s="2001">
        <f>'Part V-Revenues &amp; Expenses'!J52</f>
        <v>0</v>
      </c>
      <c r="K505" s="2002">
        <f>'Part V-Revenues &amp; Expenses'!K52</f>
        <v>0</v>
      </c>
      <c r="L505" s="2003">
        <f t="shared" si="1"/>
        <v>0</v>
      </c>
      <c r="M505" s="2003">
        <f t="shared" si="2"/>
        <v>0</v>
      </c>
      <c r="N505" s="1853">
        <f>'Part V-Revenues &amp; Expenses'!N52</f>
        <v>0</v>
      </c>
      <c r="O505" s="899">
        <f>'Part V-Revenues &amp; Expenses'!O52</f>
        <v>0</v>
      </c>
      <c r="P505" s="1853">
        <f>'Part V-Revenues &amp; Expenses'!P52</f>
        <v>0</v>
      </c>
      <c r="Q505" s="1772">
        <f>'Part V-Revenues &amp; Expenses'!Q52</f>
        <v>0</v>
      </c>
      <c r="R505" s="2004"/>
      <c r="S505" s="2005"/>
      <c r="T505" s="1920"/>
      <c r="U505" s="1920"/>
      <c r="V505" s="1920"/>
      <c r="W505" s="1920"/>
      <c r="X505" s="251" t="str">
        <f t="shared" si="3"/>
        <v/>
      </c>
      <c r="Y505" s="251" t="str">
        <f t="shared" si="4"/>
        <v/>
      </c>
      <c r="Z505" s="251" t="str">
        <f t="shared" si="5"/>
        <v/>
      </c>
      <c r="AA505" s="251" t="str">
        <f t="shared" si="6"/>
        <v/>
      </c>
      <c r="AB505" s="251" t="str">
        <f t="shared" si="7"/>
        <v/>
      </c>
      <c r="AC505" s="251" t="str">
        <f t="shared" si="8"/>
        <v/>
      </c>
      <c r="AD505" s="251" t="str">
        <f t="shared" si="9"/>
        <v/>
      </c>
      <c r="AE505" s="251" t="str">
        <f t="shared" si="10"/>
        <v/>
      </c>
      <c r="AF505" s="251" t="str">
        <f t="shared" si="11"/>
        <v/>
      </c>
      <c r="AG505" s="251" t="str">
        <f t="shared" si="12"/>
        <v/>
      </c>
      <c r="AH505" s="251" t="str">
        <f t="shared" si="13"/>
        <v/>
      </c>
      <c r="AI505" s="251" t="str">
        <f t="shared" si="14"/>
        <v/>
      </c>
      <c r="AJ505" s="251" t="str">
        <f t="shared" si="15"/>
        <v/>
      </c>
      <c r="AK505" s="251" t="str">
        <f t="shared" si="16"/>
        <v/>
      </c>
      <c r="AL505" s="251" t="str">
        <f t="shared" si="17"/>
        <v/>
      </c>
      <c r="AM505" s="251" t="str">
        <f t="shared" si="18"/>
        <v/>
      </c>
      <c r="AN505" s="251" t="str">
        <f t="shared" si="19"/>
        <v/>
      </c>
      <c r="AO505" s="251" t="str">
        <f t="shared" si="20"/>
        <v/>
      </c>
      <c r="AP505" s="251" t="str">
        <f t="shared" si="21"/>
        <v/>
      </c>
      <c r="AQ505" s="251" t="str">
        <f t="shared" si="22"/>
        <v/>
      </c>
      <c r="AR505" s="251" t="str">
        <f t="shared" si="23"/>
        <v/>
      </c>
      <c r="AS505" s="251" t="str">
        <f t="shared" si="24"/>
        <v/>
      </c>
      <c r="AT505" s="251" t="str">
        <f t="shared" si="25"/>
        <v/>
      </c>
      <c r="AU505" s="251" t="str">
        <f t="shared" si="26"/>
        <v/>
      </c>
      <c r="AV505" s="251" t="str">
        <f t="shared" si="27"/>
        <v/>
      </c>
      <c r="AW505" s="251" t="str">
        <f t="shared" si="28"/>
        <v/>
      </c>
      <c r="AX505" s="251" t="str">
        <f t="shared" si="29"/>
        <v/>
      </c>
      <c r="AY505" s="251" t="str">
        <f t="shared" si="30"/>
        <v/>
      </c>
      <c r="AZ505" s="251" t="str">
        <f t="shared" si="31"/>
        <v/>
      </c>
      <c r="BA505" s="251" t="str">
        <f t="shared" si="32"/>
        <v/>
      </c>
      <c r="BB505" s="251" t="str">
        <f t="shared" si="33"/>
        <v/>
      </c>
      <c r="BC505" s="251" t="str">
        <f t="shared" si="34"/>
        <v/>
      </c>
      <c r="BD505" s="251" t="str">
        <f t="shared" si="35"/>
        <v/>
      </c>
      <c r="BE505" s="251" t="str">
        <f t="shared" si="36"/>
        <v/>
      </c>
      <c r="BF505" s="251" t="str">
        <f t="shared" si="37"/>
        <v/>
      </c>
      <c r="BG505" s="251" t="str">
        <f t="shared" si="38"/>
        <v/>
      </c>
      <c r="BH505" s="251" t="str">
        <f t="shared" si="39"/>
        <v/>
      </c>
      <c r="BI505" s="251" t="str">
        <f t="shared" si="40"/>
        <v/>
      </c>
      <c r="BJ505" s="251" t="str">
        <f t="shared" si="41"/>
        <v/>
      </c>
      <c r="BK505" s="251" t="str">
        <f t="shared" si="42"/>
        <v/>
      </c>
      <c r="BL505" s="251" t="str">
        <f t="shared" si="43"/>
        <v/>
      </c>
      <c r="BM505" s="251" t="str">
        <f t="shared" si="44"/>
        <v/>
      </c>
      <c r="BN505" s="251" t="str">
        <f t="shared" si="45"/>
        <v/>
      </c>
      <c r="BO505" s="251" t="str">
        <f t="shared" si="46"/>
        <v/>
      </c>
      <c r="BP505" s="251" t="str">
        <f t="shared" si="47"/>
        <v/>
      </c>
      <c r="BQ505" s="251" t="str">
        <f t="shared" si="48"/>
        <v/>
      </c>
      <c r="BR505" s="251" t="str">
        <f t="shared" si="49"/>
        <v/>
      </c>
      <c r="BS505" s="251" t="str">
        <f t="shared" si="50"/>
        <v/>
      </c>
      <c r="BT505" s="251" t="str">
        <f t="shared" si="51"/>
        <v/>
      </c>
      <c r="BU505" s="251" t="str">
        <f t="shared" si="52"/>
        <v/>
      </c>
      <c r="BV505" s="251" t="str">
        <f t="shared" si="53"/>
        <v/>
      </c>
      <c r="BW505" s="251" t="str">
        <f t="shared" si="54"/>
        <v/>
      </c>
      <c r="BX505" s="251" t="str">
        <f t="shared" si="55"/>
        <v/>
      </c>
      <c r="BY505" s="251" t="str">
        <f t="shared" si="56"/>
        <v/>
      </c>
      <c r="BZ505" s="251" t="str">
        <f t="shared" si="57"/>
        <v/>
      </c>
      <c r="CA505" s="251" t="str">
        <f t="shared" si="58"/>
        <v/>
      </c>
      <c r="CB505" s="251" t="str">
        <f t="shared" si="59"/>
        <v/>
      </c>
      <c r="CC505" s="251" t="str">
        <f t="shared" si="60"/>
        <v/>
      </c>
      <c r="CD505" s="251" t="str">
        <f t="shared" si="61"/>
        <v/>
      </c>
      <c r="CE505" s="251" t="str">
        <f t="shared" si="62"/>
        <v/>
      </c>
      <c r="CF505" s="251" t="str">
        <f t="shared" si="63"/>
        <v/>
      </c>
      <c r="CG505" s="251" t="str">
        <f t="shared" si="64"/>
        <v/>
      </c>
      <c r="CH505" s="251" t="str">
        <f t="shared" si="65"/>
        <v/>
      </c>
      <c r="CI505" s="251" t="str">
        <f t="shared" si="66"/>
        <v/>
      </c>
      <c r="CJ505" s="251" t="str">
        <f t="shared" si="67"/>
        <v/>
      </c>
      <c r="CK505" s="251" t="str">
        <f t="shared" si="68"/>
        <v/>
      </c>
      <c r="CL505" s="251" t="str">
        <f t="shared" si="69"/>
        <v/>
      </c>
      <c r="CM505" s="251" t="str">
        <f t="shared" si="70"/>
        <v/>
      </c>
      <c r="CN505" s="251" t="str">
        <f t="shared" si="71"/>
        <v/>
      </c>
      <c r="CO505" s="251" t="str">
        <f t="shared" si="72"/>
        <v/>
      </c>
      <c r="CP505" s="251" t="str">
        <f t="shared" si="73"/>
        <v/>
      </c>
      <c r="CQ505" s="251" t="str">
        <f t="shared" si="74"/>
        <v/>
      </c>
      <c r="CR505" s="251" t="str">
        <f t="shared" si="75"/>
        <v/>
      </c>
      <c r="CS505" s="251" t="str">
        <f t="shared" si="76"/>
        <v/>
      </c>
      <c r="CT505" s="251" t="str">
        <f t="shared" si="77"/>
        <v/>
      </c>
      <c r="CU505" s="251" t="str">
        <f t="shared" si="78"/>
        <v/>
      </c>
      <c r="CV505" s="251" t="str">
        <f t="shared" si="79"/>
        <v/>
      </c>
      <c r="CW505" s="251" t="str">
        <f t="shared" si="80"/>
        <v/>
      </c>
      <c r="CX505" s="251" t="str">
        <f t="shared" si="81"/>
        <v/>
      </c>
      <c r="CY505" s="251" t="str">
        <f t="shared" si="82"/>
        <v/>
      </c>
      <c r="CZ505" s="251" t="str">
        <f t="shared" si="83"/>
        <v/>
      </c>
      <c r="DA505" s="251" t="str">
        <f t="shared" si="84"/>
        <v/>
      </c>
      <c r="DB505" s="251" t="str">
        <f t="shared" si="85"/>
        <v/>
      </c>
      <c r="DC505" s="251" t="str">
        <f t="shared" si="86"/>
        <v/>
      </c>
      <c r="DD505" s="251" t="str">
        <f t="shared" si="87"/>
        <v/>
      </c>
      <c r="DE505" s="251" t="str">
        <f t="shared" si="88"/>
        <v/>
      </c>
      <c r="DF505" s="251" t="str">
        <f t="shared" si="89"/>
        <v/>
      </c>
      <c r="DG505" s="251" t="str">
        <f t="shared" si="90"/>
        <v/>
      </c>
      <c r="DH505" s="251" t="str">
        <f t="shared" si="91"/>
        <v/>
      </c>
      <c r="DI505" s="251" t="str">
        <f t="shared" si="92"/>
        <v/>
      </c>
      <c r="DJ505" s="251" t="str">
        <f t="shared" si="93"/>
        <v/>
      </c>
      <c r="DK505" s="251" t="str">
        <f t="shared" si="94"/>
        <v/>
      </c>
      <c r="DL505" s="251" t="str">
        <f t="shared" si="95"/>
        <v/>
      </c>
      <c r="DM505" s="251" t="str">
        <f t="shared" si="96"/>
        <v/>
      </c>
      <c r="DN505" s="251" t="str">
        <f t="shared" si="97"/>
        <v/>
      </c>
      <c r="DO505" s="251" t="str">
        <f t="shared" si="98"/>
        <v/>
      </c>
      <c r="DP505" s="251" t="str">
        <f t="shared" si="99"/>
        <v/>
      </c>
      <c r="DQ505" s="251" t="str">
        <f t="shared" si="100"/>
        <v/>
      </c>
      <c r="DR505" s="251" t="str">
        <f t="shared" si="101"/>
        <v/>
      </c>
      <c r="DS505" s="251" t="str">
        <f t="shared" si="102"/>
        <v/>
      </c>
      <c r="DT505" s="251" t="str">
        <f t="shared" si="103"/>
        <v/>
      </c>
      <c r="DU505" s="251" t="str">
        <f t="shared" si="104"/>
        <v/>
      </c>
      <c r="DV505" s="251" t="str">
        <f t="shared" si="105"/>
        <v/>
      </c>
      <c r="DW505" s="251" t="str">
        <f t="shared" si="106"/>
        <v/>
      </c>
      <c r="DX505" s="251" t="str">
        <f t="shared" si="107"/>
        <v/>
      </c>
      <c r="DY505" s="251" t="str">
        <f t="shared" si="108"/>
        <v/>
      </c>
      <c r="DZ505" s="251" t="str">
        <f t="shared" si="109"/>
        <v/>
      </c>
      <c r="EA505" s="251" t="str">
        <f t="shared" si="110"/>
        <v/>
      </c>
      <c r="EB505" s="251" t="str">
        <f t="shared" si="111"/>
        <v/>
      </c>
      <c r="EC505" s="251" t="str">
        <f t="shared" si="112"/>
        <v/>
      </c>
      <c r="ED505" s="251" t="str">
        <f t="shared" si="113"/>
        <v/>
      </c>
      <c r="EE505" s="251" t="str">
        <f t="shared" si="114"/>
        <v/>
      </c>
      <c r="EF505" s="251" t="str">
        <f t="shared" si="115"/>
        <v/>
      </c>
      <c r="EG505" s="251" t="str">
        <f t="shared" si="116"/>
        <v/>
      </c>
      <c r="EH505" s="251" t="str">
        <f t="shared" si="117"/>
        <v/>
      </c>
      <c r="EI505" s="251" t="str">
        <f t="shared" si="118"/>
        <v/>
      </c>
      <c r="EJ505" s="251" t="str">
        <f t="shared" si="119"/>
        <v/>
      </c>
      <c r="EK505" s="251" t="str">
        <f t="shared" si="120"/>
        <v/>
      </c>
      <c r="EL505" s="251" t="str">
        <f t="shared" si="121"/>
        <v/>
      </c>
      <c r="EM505" s="251" t="str">
        <f t="shared" si="122"/>
        <v/>
      </c>
      <c r="EN505" s="251" t="str">
        <f t="shared" si="123"/>
        <v/>
      </c>
      <c r="EO505" s="251" t="str">
        <f t="shared" si="124"/>
        <v/>
      </c>
      <c r="EP505" s="251" t="str">
        <f t="shared" si="125"/>
        <v/>
      </c>
      <c r="EQ505" s="251" t="str">
        <f t="shared" si="126"/>
        <v/>
      </c>
      <c r="ER505" s="251" t="str">
        <f t="shared" si="127"/>
        <v/>
      </c>
      <c r="ES505" s="251" t="str">
        <f t="shared" si="128"/>
        <v/>
      </c>
      <c r="ET505" s="251" t="str">
        <f t="shared" si="129"/>
        <v/>
      </c>
      <c r="EU505" s="251" t="str">
        <f t="shared" si="130"/>
        <v/>
      </c>
      <c r="EV505" s="251" t="str">
        <f t="shared" si="131"/>
        <v/>
      </c>
      <c r="EW505" s="251" t="str">
        <f t="shared" si="132"/>
        <v/>
      </c>
      <c r="EX505" s="251" t="str">
        <f t="shared" si="133"/>
        <v/>
      </c>
      <c r="EY505" s="251" t="str">
        <f t="shared" si="134"/>
        <v/>
      </c>
      <c r="EZ505" s="251" t="str">
        <f t="shared" si="135"/>
        <v/>
      </c>
      <c r="FA505" s="251" t="str">
        <f t="shared" si="136"/>
        <v/>
      </c>
      <c r="FB505" s="251" t="str">
        <f t="shared" si="137"/>
        <v/>
      </c>
      <c r="FC505" s="251" t="str">
        <f t="shared" si="138"/>
        <v/>
      </c>
      <c r="FD505" s="251" t="str">
        <f t="shared" si="139"/>
        <v/>
      </c>
      <c r="FE505" s="251" t="str">
        <f t="shared" si="140"/>
        <v/>
      </c>
      <c r="FF505" s="251" t="str">
        <f t="shared" si="141"/>
        <v/>
      </c>
      <c r="FG505" s="251" t="str">
        <f t="shared" si="142"/>
        <v/>
      </c>
      <c r="FH505" s="251" t="str">
        <f t="shared" si="143"/>
        <v/>
      </c>
      <c r="FI505" s="251" t="str">
        <f t="shared" si="144"/>
        <v/>
      </c>
      <c r="FJ505" s="251" t="str">
        <f t="shared" si="145"/>
        <v/>
      </c>
      <c r="FK505" s="251" t="str">
        <f t="shared" si="146"/>
        <v/>
      </c>
      <c r="FL505" s="251" t="str">
        <f t="shared" si="147"/>
        <v/>
      </c>
      <c r="FM505" s="251" t="str">
        <f t="shared" si="148"/>
        <v/>
      </c>
      <c r="FN505" s="251" t="str">
        <f t="shared" si="149"/>
        <v/>
      </c>
      <c r="FO505" s="251" t="str">
        <f t="shared" si="150"/>
        <v/>
      </c>
      <c r="FP505" s="251" t="str">
        <f t="shared" si="151"/>
        <v/>
      </c>
      <c r="FQ505" s="251" t="str">
        <f t="shared" si="152"/>
        <v/>
      </c>
      <c r="FR505" s="251" t="str">
        <f t="shared" si="153"/>
        <v/>
      </c>
      <c r="FS505" s="251" t="str">
        <f t="shared" si="154"/>
        <v/>
      </c>
      <c r="FT505" s="251" t="str">
        <f t="shared" si="155"/>
        <v/>
      </c>
      <c r="FU505" s="251" t="str">
        <f t="shared" si="156"/>
        <v/>
      </c>
      <c r="FV505" s="251" t="str">
        <f t="shared" si="157"/>
        <v/>
      </c>
      <c r="FW505" s="251" t="str">
        <f t="shared" si="158"/>
        <v/>
      </c>
      <c r="FX505" s="251" t="str">
        <f t="shared" si="159"/>
        <v/>
      </c>
      <c r="FY505" s="251" t="str">
        <f t="shared" si="160"/>
        <v/>
      </c>
      <c r="FZ505" s="251" t="str">
        <f t="shared" si="161"/>
        <v/>
      </c>
      <c r="GA505" s="251" t="str">
        <f t="shared" si="162"/>
        <v/>
      </c>
      <c r="GB505" s="251" t="str">
        <f t="shared" si="163"/>
        <v/>
      </c>
      <c r="GC505" s="251" t="str">
        <f t="shared" si="164"/>
        <v/>
      </c>
      <c r="GD505" s="251" t="str">
        <f t="shared" si="165"/>
        <v/>
      </c>
      <c r="GE505" s="251" t="str">
        <f t="shared" si="166"/>
        <v/>
      </c>
      <c r="GF505" s="251" t="str">
        <f t="shared" si="167"/>
        <v/>
      </c>
      <c r="GG505" s="251" t="str">
        <f t="shared" si="168"/>
        <v/>
      </c>
      <c r="GH505" s="251" t="str">
        <f t="shared" si="169"/>
        <v/>
      </c>
      <c r="GI505" s="251" t="str">
        <f t="shared" si="170"/>
        <v/>
      </c>
      <c r="GJ505" s="251" t="str">
        <f t="shared" si="171"/>
        <v/>
      </c>
      <c r="GK505" s="251" t="str">
        <f t="shared" si="172"/>
        <v/>
      </c>
      <c r="GL505" s="251" t="str">
        <f t="shared" si="173"/>
        <v/>
      </c>
      <c r="GM505" s="251" t="str">
        <f t="shared" si="174"/>
        <v/>
      </c>
      <c r="GN505" s="251" t="str">
        <f t="shared" si="175"/>
        <v/>
      </c>
      <c r="GO505" s="251" t="str">
        <f t="shared" si="176"/>
        <v/>
      </c>
      <c r="GP505" s="251" t="str">
        <f t="shared" si="177"/>
        <v/>
      </c>
      <c r="GQ505" s="251" t="str">
        <f t="shared" si="178"/>
        <v/>
      </c>
      <c r="GR505" s="251" t="str">
        <f t="shared" si="179"/>
        <v/>
      </c>
      <c r="GS505" s="251" t="str">
        <f t="shared" si="180"/>
        <v/>
      </c>
      <c r="GT505" s="251" t="str">
        <f t="shared" si="181"/>
        <v/>
      </c>
      <c r="GU505" s="251" t="str">
        <f t="shared" si="182"/>
        <v/>
      </c>
      <c r="GV505" s="251" t="str">
        <f t="shared" si="183"/>
        <v/>
      </c>
      <c r="GW505" s="251" t="str">
        <f t="shared" si="184"/>
        <v/>
      </c>
      <c r="GX505" s="251" t="str">
        <f t="shared" si="185"/>
        <v/>
      </c>
      <c r="GY505" s="251" t="str">
        <f t="shared" si="186"/>
        <v/>
      </c>
      <c r="GZ505" s="251" t="str">
        <f t="shared" si="187"/>
        <v/>
      </c>
      <c r="HA505" s="251" t="str">
        <f t="shared" si="188"/>
        <v/>
      </c>
      <c r="HB505" s="251" t="str">
        <f t="shared" si="189"/>
        <v/>
      </c>
      <c r="HC505" s="251" t="str">
        <f t="shared" si="190"/>
        <v/>
      </c>
      <c r="HD505" s="251" t="str">
        <f t="shared" si="191"/>
        <v/>
      </c>
      <c r="HE505" s="251" t="str">
        <f t="shared" si="192"/>
        <v/>
      </c>
      <c r="HF505" s="251" t="str">
        <f t="shared" si="193"/>
        <v/>
      </c>
      <c r="HG505" s="251" t="str">
        <f t="shared" si="194"/>
        <v/>
      </c>
      <c r="HH505" s="251" t="str">
        <f t="shared" si="195"/>
        <v/>
      </c>
      <c r="HI505" s="251" t="str">
        <f t="shared" si="196"/>
        <v/>
      </c>
      <c r="HJ505" s="251" t="str">
        <f t="shared" si="197"/>
        <v/>
      </c>
      <c r="HK505" s="251" t="str">
        <f t="shared" si="198"/>
        <v/>
      </c>
      <c r="HL505" s="251" t="str">
        <f t="shared" si="199"/>
        <v/>
      </c>
      <c r="HM505" s="251" t="str">
        <f t="shared" si="200"/>
        <v/>
      </c>
      <c r="HN505" s="251" t="str">
        <f t="shared" si="201"/>
        <v/>
      </c>
      <c r="HO505" s="251" t="str">
        <f t="shared" si="202"/>
        <v/>
      </c>
      <c r="HP505" s="251" t="str">
        <f t="shared" si="203"/>
        <v/>
      </c>
      <c r="HQ505" s="251" t="str">
        <f t="shared" si="204"/>
        <v/>
      </c>
      <c r="HR505" s="251" t="str">
        <f t="shared" si="205"/>
        <v/>
      </c>
      <c r="HS505" s="251" t="str">
        <f t="shared" si="206"/>
        <v/>
      </c>
      <c r="HT505" s="251" t="str">
        <f t="shared" si="207"/>
        <v/>
      </c>
      <c r="HU505" s="251" t="str">
        <f t="shared" si="208"/>
        <v/>
      </c>
      <c r="HV505" s="251" t="str">
        <f t="shared" si="209"/>
        <v/>
      </c>
      <c r="HW505" s="251" t="str">
        <f t="shared" si="210"/>
        <v/>
      </c>
      <c r="HX505" s="251" t="str">
        <f t="shared" si="211"/>
        <v/>
      </c>
      <c r="HY505" s="251" t="str">
        <f t="shared" si="212"/>
        <v/>
      </c>
      <c r="HZ505" s="251" t="str">
        <f t="shared" si="213"/>
        <v/>
      </c>
      <c r="IA505" s="251" t="str">
        <f t="shared" si="214"/>
        <v/>
      </c>
      <c r="IB505" s="251" t="str">
        <f t="shared" si="215"/>
        <v/>
      </c>
      <c r="IC505" s="251" t="str">
        <f t="shared" si="216"/>
        <v/>
      </c>
      <c r="ID505" s="251" t="str">
        <f t="shared" si="217"/>
        <v/>
      </c>
      <c r="IE505" s="251" t="str">
        <f t="shared" si="218"/>
        <v/>
      </c>
      <c r="IF505" s="251" t="str">
        <f t="shared" si="219"/>
        <v/>
      </c>
      <c r="IG505" s="251" t="str">
        <f t="shared" si="220"/>
        <v/>
      </c>
      <c r="IH505" s="251" t="str">
        <f t="shared" si="221"/>
        <v/>
      </c>
      <c r="II505" s="251" t="str">
        <f t="shared" si="222"/>
        <v/>
      </c>
      <c r="IJ505" s="251" t="str">
        <f t="shared" si="223"/>
        <v/>
      </c>
      <c r="IK505" s="251" t="str">
        <f t="shared" si="224"/>
        <v/>
      </c>
      <c r="IL505" s="251" t="str">
        <f t="shared" si="225"/>
        <v/>
      </c>
      <c r="IM505" s="251" t="str">
        <f t="shared" si="226"/>
        <v/>
      </c>
      <c r="IN505" s="251" t="str">
        <f t="shared" si="227"/>
        <v/>
      </c>
      <c r="IO505" s="251" t="str">
        <f t="shared" si="228"/>
        <v/>
      </c>
      <c r="IP505" s="251" t="str">
        <f t="shared" si="229"/>
        <v/>
      </c>
      <c r="IQ505" s="251" t="str">
        <f t="shared" si="230"/>
        <v/>
      </c>
      <c r="IR505" s="251" t="str">
        <f t="shared" si="231"/>
        <v/>
      </c>
      <c r="IS505" s="251" t="str">
        <f t="shared" si="232"/>
        <v/>
      </c>
      <c r="IT505" s="251" t="str">
        <f t="shared" si="233"/>
        <v/>
      </c>
      <c r="IU505" s="251" t="str">
        <f t="shared" si="234"/>
        <v/>
      </c>
      <c r="IV505" s="251" t="str">
        <f t="shared" si="235"/>
        <v/>
      </c>
      <c r="IW505" s="251" t="str">
        <f t="shared" si="236"/>
        <v/>
      </c>
      <c r="IX505" s="251" t="str">
        <f t="shared" si="237"/>
        <v/>
      </c>
      <c r="IY505" s="251" t="str">
        <f t="shared" si="238"/>
        <v/>
      </c>
      <c r="IZ505" s="251" t="str">
        <f t="shared" si="239"/>
        <v/>
      </c>
      <c r="JA505" s="251" t="str">
        <f t="shared" si="240"/>
        <v/>
      </c>
      <c r="JB505" s="251" t="str">
        <f t="shared" si="241"/>
        <v/>
      </c>
      <c r="JC505" s="251" t="str">
        <f t="shared" si="242"/>
        <v/>
      </c>
      <c r="JD505" s="251" t="str">
        <f t="shared" si="243"/>
        <v/>
      </c>
      <c r="JE505" s="251" t="str">
        <f t="shared" si="244"/>
        <v/>
      </c>
      <c r="JF505" s="251" t="str">
        <f t="shared" si="245"/>
        <v/>
      </c>
      <c r="JG505" s="251" t="str">
        <f t="shared" si="246"/>
        <v/>
      </c>
      <c r="JH505" s="251" t="str">
        <f t="shared" si="247"/>
        <v/>
      </c>
      <c r="JI505" s="1297" t="str">
        <f t="shared" si="248"/>
        <v/>
      </c>
      <c r="JJ505" s="1297" t="str">
        <f t="shared" si="249"/>
        <v/>
      </c>
      <c r="JK505" s="1297" t="str">
        <f t="shared" si="250"/>
        <v/>
      </c>
      <c r="JL505" s="1297" t="str">
        <f t="shared" si="251"/>
        <v/>
      </c>
      <c r="JM505" s="1297" t="str">
        <f t="shared" si="252"/>
        <v/>
      </c>
      <c r="JN505" s="1297" t="str">
        <f t="shared" si="253"/>
        <v/>
      </c>
      <c r="JO505" s="1297" t="str">
        <f t="shared" si="254"/>
        <v/>
      </c>
      <c r="JP505" s="1297" t="str">
        <f t="shared" si="255"/>
        <v/>
      </c>
      <c r="JQ505" s="1297" t="str">
        <f t="shared" si="256"/>
        <v/>
      </c>
      <c r="JR505" s="1297" t="str">
        <f t="shared" si="257"/>
        <v/>
      </c>
      <c r="JS505" s="1297" t="str">
        <f t="shared" si="258"/>
        <v/>
      </c>
      <c r="JT505" s="1297" t="str">
        <f t="shared" si="259"/>
        <v/>
      </c>
      <c r="JU505" s="1297" t="str">
        <f t="shared" si="260"/>
        <v/>
      </c>
      <c r="JV505" s="1297" t="str">
        <f t="shared" si="261"/>
        <v/>
      </c>
      <c r="JW505" s="1297" t="str">
        <f t="shared" si="262"/>
        <v/>
      </c>
      <c r="JX505" s="1297" t="str">
        <f t="shared" si="263"/>
        <v/>
      </c>
      <c r="JY505" s="1297" t="str">
        <f t="shared" si="264"/>
        <v/>
      </c>
      <c r="JZ505" s="1297" t="str">
        <f t="shared" si="265"/>
        <v/>
      </c>
      <c r="KA505" s="1297" t="str">
        <f t="shared" si="266"/>
        <v/>
      </c>
      <c r="KB505" s="1297" t="str">
        <f t="shared" si="267"/>
        <v/>
      </c>
      <c r="KC505" s="1297" t="str">
        <f t="shared" si="268"/>
        <v/>
      </c>
      <c r="KD505" s="1297" t="str">
        <f t="shared" si="269"/>
        <v/>
      </c>
      <c r="KE505" s="1297" t="str">
        <f t="shared" si="270"/>
        <v/>
      </c>
      <c r="KF505" s="1297" t="str">
        <f t="shared" si="271"/>
        <v/>
      </c>
      <c r="KG505" s="1297" t="str">
        <f t="shared" si="272"/>
        <v/>
      </c>
      <c r="KH505" s="1297" t="str">
        <f t="shared" si="273"/>
        <v/>
      </c>
      <c r="KI505" s="1297" t="str">
        <f t="shared" si="274"/>
        <v/>
      </c>
      <c r="KJ505" s="1297" t="str">
        <f t="shared" si="275"/>
        <v/>
      </c>
      <c r="KK505" s="1297" t="str">
        <f t="shared" si="276"/>
        <v/>
      </c>
      <c r="KL505" s="1297" t="str">
        <f t="shared" si="277"/>
        <v/>
      </c>
      <c r="KM505" s="1297" t="str">
        <f t="shared" si="278"/>
        <v/>
      </c>
      <c r="KN505" s="1297" t="str">
        <f t="shared" si="279"/>
        <v/>
      </c>
      <c r="KO505" s="1297" t="str">
        <f t="shared" si="280"/>
        <v/>
      </c>
      <c r="KP505" s="1297" t="str">
        <f t="shared" si="281"/>
        <v/>
      </c>
      <c r="KQ505" s="1297" t="str">
        <f t="shared" si="282"/>
        <v/>
      </c>
      <c r="KR505" s="1297" t="str">
        <f t="shared" si="283"/>
        <v/>
      </c>
      <c r="KS505" s="1297" t="str">
        <f t="shared" si="284"/>
        <v/>
      </c>
      <c r="KT505" s="1297" t="str">
        <f t="shared" si="285"/>
        <v/>
      </c>
      <c r="KU505" s="1297" t="str">
        <f t="shared" si="286"/>
        <v/>
      </c>
      <c r="KV505" s="1297" t="str">
        <f t="shared" si="287"/>
        <v/>
      </c>
      <c r="KW505" s="1297" t="str">
        <f t="shared" si="288"/>
        <v/>
      </c>
      <c r="KX505" s="1297" t="str">
        <f t="shared" si="289"/>
        <v/>
      </c>
      <c r="KY505" s="1297" t="str">
        <f t="shared" si="290"/>
        <v/>
      </c>
      <c r="KZ505" s="1297" t="str">
        <f t="shared" si="291"/>
        <v/>
      </c>
      <c r="LA505" s="1297" t="str">
        <f t="shared" si="292"/>
        <v/>
      </c>
      <c r="LB505" s="1297" t="str">
        <f t="shared" si="293"/>
        <v/>
      </c>
      <c r="LC505" s="1297" t="str">
        <f t="shared" si="294"/>
        <v/>
      </c>
      <c r="LD505" s="1297" t="str">
        <f t="shared" si="295"/>
        <v/>
      </c>
      <c r="LE505" s="1297" t="str">
        <f t="shared" si="296"/>
        <v/>
      </c>
      <c r="LF505" s="1297" t="str">
        <f t="shared" si="297"/>
        <v/>
      </c>
      <c r="LG505" s="1297" t="str">
        <f t="shared" si="298"/>
        <v/>
      </c>
      <c r="LH505" s="1297" t="str">
        <f t="shared" si="299"/>
        <v/>
      </c>
      <c r="LI505" s="1297" t="str">
        <f t="shared" si="300"/>
        <v/>
      </c>
      <c r="LJ505" s="1297" t="str">
        <f t="shared" si="301"/>
        <v/>
      </c>
      <c r="LK505" s="1297" t="str">
        <f t="shared" si="302"/>
        <v/>
      </c>
      <c r="LL505" s="1297" t="str">
        <f t="shared" si="303"/>
        <v/>
      </c>
      <c r="LM505" s="1297" t="str">
        <f t="shared" si="304"/>
        <v/>
      </c>
      <c r="LN505" s="1297" t="str">
        <f t="shared" si="305"/>
        <v/>
      </c>
      <c r="LO505" s="1297" t="str">
        <f t="shared" si="306"/>
        <v/>
      </c>
      <c r="LP505" s="1297" t="str">
        <f t="shared" si="307"/>
        <v/>
      </c>
      <c r="LQ505" s="1297" t="str">
        <f t="shared" si="308"/>
        <v/>
      </c>
      <c r="LR505" s="1297" t="str">
        <f t="shared" si="309"/>
        <v/>
      </c>
      <c r="LS505" s="1297" t="str">
        <f t="shared" si="310"/>
        <v/>
      </c>
      <c r="LT505" s="1297" t="str">
        <f t="shared" si="311"/>
        <v/>
      </c>
      <c r="LU505" s="1297" t="str">
        <f t="shared" si="312"/>
        <v/>
      </c>
      <c r="LV505" s="1297" t="str">
        <f t="shared" si="313"/>
        <v/>
      </c>
      <c r="LW505" s="1297" t="str">
        <f t="shared" si="314"/>
        <v/>
      </c>
      <c r="LX505" s="1297" t="str">
        <f t="shared" si="315"/>
        <v/>
      </c>
      <c r="LY505" s="1297" t="str">
        <f t="shared" si="316"/>
        <v/>
      </c>
      <c r="LZ505" s="1297" t="str">
        <f t="shared" si="317"/>
        <v/>
      </c>
      <c r="MA505" s="1297" t="str">
        <f t="shared" si="318"/>
        <v/>
      </c>
      <c r="MB505" s="1297" t="str">
        <f t="shared" si="319"/>
        <v/>
      </c>
      <c r="MC505" s="1297" t="str">
        <f t="shared" si="320"/>
        <v/>
      </c>
      <c r="MD505" s="1297" t="str">
        <f t="shared" si="321"/>
        <v/>
      </c>
      <c r="ME505" s="1297" t="str">
        <f t="shared" si="322"/>
        <v/>
      </c>
      <c r="MF505" s="1297" t="str">
        <f t="shared" si="323"/>
        <v/>
      </c>
      <c r="MG505" s="1297" t="str">
        <f t="shared" si="324"/>
        <v/>
      </c>
      <c r="MH505" s="1297" t="str">
        <f t="shared" si="325"/>
        <v/>
      </c>
      <c r="MI505" s="1297" t="str">
        <f t="shared" si="326"/>
        <v/>
      </c>
      <c r="MJ505" s="1297" t="str">
        <f t="shared" si="327"/>
        <v/>
      </c>
      <c r="MK505" s="1297" t="str">
        <f t="shared" si="328"/>
        <v/>
      </c>
      <c r="ML505" s="1297" t="str">
        <f t="shared" si="329"/>
        <v/>
      </c>
      <c r="MM505" s="1297" t="str">
        <f t="shared" si="330"/>
        <v/>
      </c>
      <c r="MN505" s="1297" t="str">
        <f t="shared" si="331"/>
        <v/>
      </c>
      <c r="MO505" s="1297" t="str">
        <f t="shared" si="332"/>
        <v/>
      </c>
      <c r="MP505" s="1773" t="str">
        <f t="shared" si="333"/>
        <v/>
      </c>
      <c r="MQ505" s="1773" t="str">
        <f t="shared" si="334"/>
        <v/>
      </c>
      <c r="MR505" s="1773" t="str">
        <f t="shared" si="335"/>
        <v/>
      </c>
      <c r="MS505" s="1773" t="str">
        <f t="shared" si="336"/>
        <v/>
      </c>
      <c r="MT505" s="1773" t="str">
        <f t="shared" si="337"/>
        <v/>
      </c>
      <c r="MU505" s="251" t="str">
        <f t="shared" si="338"/>
        <v/>
      </c>
      <c r="MV505" s="251" t="str">
        <f t="shared" si="339"/>
        <v/>
      </c>
      <c r="MW505" s="251" t="str">
        <f t="shared" si="340"/>
        <v/>
      </c>
      <c r="MX505" s="251" t="str">
        <f t="shared" si="341"/>
        <v/>
      </c>
      <c r="MY505" s="251" t="str">
        <f t="shared" si="342"/>
        <v/>
      </c>
      <c r="MZ505" s="251" t="str">
        <f t="shared" si="343"/>
        <v/>
      </c>
      <c r="NA505" s="251" t="str">
        <f t="shared" si="344"/>
        <v/>
      </c>
      <c r="NB505" s="251" t="str">
        <f t="shared" si="345"/>
        <v/>
      </c>
      <c r="NC505" s="251" t="str">
        <f t="shared" si="346"/>
        <v/>
      </c>
      <c r="ND505" s="251" t="str">
        <f t="shared" si="347"/>
        <v/>
      </c>
      <c r="NE505" s="251" t="str">
        <f t="shared" si="348"/>
        <v/>
      </c>
      <c r="NF505" s="251" t="str">
        <f t="shared" si="349"/>
        <v/>
      </c>
      <c r="NG505" s="251" t="str">
        <f t="shared" si="350"/>
        <v/>
      </c>
      <c r="NH505" s="251" t="str">
        <f t="shared" si="351"/>
        <v/>
      </c>
      <c r="NI505" s="251" t="str">
        <f t="shared" si="352"/>
        <v/>
      </c>
      <c r="NJ505" s="251" t="str">
        <f t="shared" si="353"/>
        <v/>
      </c>
      <c r="NK505" s="251" t="str">
        <f t="shared" si="354"/>
        <v/>
      </c>
      <c r="NL505" s="251" t="str">
        <f t="shared" si="355"/>
        <v/>
      </c>
      <c r="NM505" s="251" t="str">
        <f t="shared" si="356"/>
        <v/>
      </c>
      <c r="NN505" s="251" t="str">
        <f t="shared" si="357"/>
        <v/>
      </c>
      <c r="NO505" s="1185">
        <f t="shared" si="358"/>
        <v>0</v>
      </c>
      <c r="NP505" s="1185">
        <f t="shared" si="359"/>
        <v>0</v>
      </c>
      <c r="NQ505" s="1185">
        <f t="shared" si="360"/>
        <v>0</v>
      </c>
      <c r="NR505" s="1185">
        <f t="shared" si="361"/>
        <v>0</v>
      </c>
      <c r="NS505" s="1185">
        <f t="shared" si="362"/>
        <v>0</v>
      </c>
      <c r="NT505" s="1185">
        <f t="shared" si="368"/>
        <v>0</v>
      </c>
      <c r="NU505" s="1185">
        <f t="shared" si="369"/>
        <v>0</v>
      </c>
      <c r="NV505" s="1185">
        <f t="shared" si="370"/>
        <v>0</v>
      </c>
      <c r="NW505" s="1185">
        <f t="shared" si="371"/>
        <v>0</v>
      </c>
      <c r="NX505" s="1185">
        <f t="shared" si="372"/>
        <v>0</v>
      </c>
      <c r="NY505" s="1185">
        <f t="shared" si="363"/>
        <v>0</v>
      </c>
      <c r="NZ505" s="1185">
        <f t="shared" si="364"/>
        <v>0</v>
      </c>
      <c r="OA505" s="1185">
        <f t="shared" si="365"/>
        <v>0</v>
      </c>
      <c r="OB505" s="1185">
        <f t="shared" si="366"/>
        <v>0</v>
      </c>
      <c r="OC505" s="1185">
        <f t="shared" si="367"/>
        <v>0</v>
      </c>
      <c r="OY505" s="251" t="s">
        <v>1195</v>
      </c>
      <c r="OZ505" s="1185">
        <v>52</v>
      </c>
    </row>
    <row r="506" spans="1:416" ht="12" customHeight="1">
      <c r="A506" s="1979" t="str">
        <f t="shared" si="0"/>
        <v/>
      </c>
      <c r="B506" s="1998">
        <f>'Part V-Revenues &amp; Expenses'!B53</f>
        <v>0</v>
      </c>
      <c r="C506" s="1999">
        <f>'Part V-Revenues &amp; Expenses'!C53</f>
        <v>0</v>
      </c>
      <c r="D506" s="2000">
        <f>'Part V-Revenues &amp; Expenses'!D53</f>
        <v>0</v>
      </c>
      <c r="E506" s="2001">
        <f>'Part V-Revenues &amp; Expenses'!E53</f>
        <v>0</v>
      </c>
      <c r="F506" s="2001">
        <f>'Part V-Revenues &amp; Expenses'!F53</f>
        <v>0</v>
      </c>
      <c r="G506" s="2001">
        <f>'Part V-Revenues &amp; Expenses'!G53</f>
        <v>0</v>
      </c>
      <c r="H506" s="2001">
        <f>'Part V-Revenues &amp; Expenses'!H53</f>
        <v>0</v>
      </c>
      <c r="I506" s="2001">
        <f>'Part V-Revenues &amp; Expenses'!I53</f>
        <v>0</v>
      </c>
      <c r="J506" s="2001">
        <f>'Part V-Revenues &amp; Expenses'!J53</f>
        <v>0</v>
      </c>
      <c r="K506" s="2002">
        <f>'Part V-Revenues &amp; Expenses'!K53</f>
        <v>0</v>
      </c>
      <c r="L506" s="2003">
        <f t="shared" si="1"/>
        <v>0</v>
      </c>
      <c r="M506" s="2003">
        <f t="shared" si="2"/>
        <v>0</v>
      </c>
      <c r="N506" s="1853">
        <f>'Part V-Revenues &amp; Expenses'!N53</f>
        <v>0</v>
      </c>
      <c r="O506" s="899">
        <f>'Part V-Revenues &amp; Expenses'!O53</f>
        <v>0</v>
      </c>
      <c r="P506" s="1853">
        <f>'Part V-Revenues &amp; Expenses'!P53</f>
        <v>0</v>
      </c>
      <c r="Q506" s="1772">
        <f>'Part V-Revenues &amp; Expenses'!Q53</f>
        <v>0</v>
      </c>
      <c r="R506" s="2004"/>
      <c r="S506" s="2005"/>
      <c r="T506" s="1920"/>
      <c r="U506" s="1920"/>
      <c r="V506" s="1920"/>
      <c r="W506" s="1920"/>
      <c r="X506" s="251" t="str">
        <f t="shared" si="3"/>
        <v/>
      </c>
      <c r="Y506" s="251" t="str">
        <f t="shared" si="4"/>
        <v/>
      </c>
      <c r="Z506" s="251" t="str">
        <f t="shared" si="5"/>
        <v/>
      </c>
      <c r="AA506" s="251" t="str">
        <f t="shared" si="6"/>
        <v/>
      </c>
      <c r="AB506" s="251" t="str">
        <f t="shared" si="7"/>
        <v/>
      </c>
      <c r="AC506" s="251" t="str">
        <f t="shared" si="8"/>
        <v/>
      </c>
      <c r="AD506" s="251" t="str">
        <f t="shared" si="9"/>
        <v/>
      </c>
      <c r="AE506" s="251" t="str">
        <f t="shared" si="10"/>
        <v/>
      </c>
      <c r="AF506" s="251" t="str">
        <f t="shared" si="11"/>
        <v/>
      </c>
      <c r="AG506" s="251" t="str">
        <f t="shared" si="12"/>
        <v/>
      </c>
      <c r="AH506" s="251" t="str">
        <f t="shared" si="13"/>
        <v/>
      </c>
      <c r="AI506" s="251" t="str">
        <f t="shared" si="14"/>
        <v/>
      </c>
      <c r="AJ506" s="251" t="str">
        <f t="shared" si="15"/>
        <v/>
      </c>
      <c r="AK506" s="251" t="str">
        <f t="shared" si="16"/>
        <v/>
      </c>
      <c r="AL506" s="251" t="str">
        <f t="shared" si="17"/>
        <v/>
      </c>
      <c r="AM506" s="251" t="str">
        <f t="shared" si="18"/>
        <v/>
      </c>
      <c r="AN506" s="251" t="str">
        <f t="shared" si="19"/>
        <v/>
      </c>
      <c r="AO506" s="251" t="str">
        <f t="shared" si="20"/>
        <v/>
      </c>
      <c r="AP506" s="251" t="str">
        <f t="shared" si="21"/>
        <v/>
      </c>
      <c r="AQ506" s="251" t="str">
        <f t="shared" si="22"/>
        <v/>
      </c>
      <c r="AR506" s="251" t="str">
        <f t="shared" si="23"/>
        <v/>
      </c>
      <c r="AS506" s="251" t="str">
        <f t="shared" si="24"/>
        <v/>
      </c>
      <c r="AT506" s="251" t="str">
        <f t="shared" si="25"/>
        <v/>
      </c>
      <c r="AU506" s="251" t="str">
        <f t="shared" si="26"/>
        <v/>
      </c>
      <c r="AV506" s="251" t="str">
        <f t="shared" si="27"/>
        <v/>
      </c>
      <c r="AW506" s="251" t="str">
        <f t="shared" si="28"/>
        <v/>
      </c>
      <c r="AX506" s="251" t="str">
        <f t="shared" si="29"/>
        <v/>
      </c>
      <c r="AY506" s="251" t="str">
        <f t="shared" si="30"/>
        <v/>
      </c>
      <c r="AZ506" s="251" t="str">
        <f t="shared" si="31"/>
        <v/>
      </c>
      <c r="BA506" s="251" t="str">
        <f t="shared" si="32"/>
        <v/>
      </c>
      <c r="BB506" s="251" t="str">
        <f t="shared" si="33"/>
        <v/>
      </c>
      <c r="BC506" s="251" t="str">
        <f t="shared" si="34"/>
        <v/>
      </c>
      <c r="BD506" s="251" t="str">
        <f t="shared" si="35"/>
        <v/>
      </c>
      <c r="BE506" s="251" t="str">
        <f t="shared" si="36"/>
        <v/>
      </c>
      <c r="BF506" s="251" t="str">
        <f t="shared" si="37"/>
        <v/>
      </c>
      <c r="BG506" s="251" t="str">
        <f t="shared" si="38"/>
        <v/>
      </c>
      <c r="BH506" s="251" t="str">
        <f t="shared" si="39"/>
        <v/>
      </c>
      <c r="BI506" s="251" t="str">
        <f t="shared" si="40"/>
        <v/>
      </c>
      <c r="BJ506" s="251" t="str">
        <f t="shared" si="41"/>
        <v/>
      </c>
      <c r="BK506" s="251" t="str">
        <f t="shared" si="42"/>
        <v/>
      </c>
      <c r="BL506" s="251" t="str">
        <f t="shared" si="43"/>
        <v/>
      </c>
      <c r="BM506" s="251" t="str">
        <f t="shared" si="44"/>
        <v/>
      </c>
      <c r="BN506" s="251" t="str">
        <f t="shared" si="45"/>
        <v/>
      </c>
      <c r="BO506" s="251" t="str">
        <f t="shared" si="46"/>
        <v/>
      </c>
      <c r="BP506" s="251" t="str">
        <f t="shared" si="47"/>
        <v/>
      </c>
      <c r="BQ506" s="251" t="str">
        <f t="shared" si="48"/>
        <v/>
      </c>
      <c r="BR506" s="251" t="str">
        <f t="shared" si="49"/>
        <v/>
      </c>
      <c r="BS506" s="251" t="str">
        <f t="shared" si="50"/>
        <v/>
      </c>
      <c r="BT506" s="251" t="str">
        <f t="shared" si="51"/>
        <v/>
      </c>
      <c r="BU506" s="251" t="str">
        <f t="shared" si="52"/>
        <v/>
      </c>
      <c r="BV506" s="251" t="str">
        <f t="shared" si="53"/>
        <v/>
      </c>
      <c r="BW506" s="251" t="str">
        <f t="shared" si="54"/>
        <v/>
      </c>
      <c r="BX506" s="251" t="str">
        <f t="shared" si="55"/>
        <v/>
      </c>
      <c r="BY506" s="251" t="str">
        <f t="shared" si="56"/>
        <v/>
      </c>
      <c r="BZ506" s="251" t="str">
        <f t="shared" si="57"/>
        <v/>
      </c>
      <c r="CA506" s="251" t="str">
        <f t="shared" si="58"/>
        <v/>
      </c>
      <c r="CB506" s="251" t="str">
        <f t="shared" si="59"/>
        <v/>
      </c>
      <c r="CC506" s="251" t="str">
        <f t="shared" si="60"/>
        <v/>
      </c>
      <c r="CD506" s="251" t="str">
        <f t="shared" si="61"/>
        <v/>
      </c>
      <c r="CE506" s="251" t="str">
        <f t="shared" si="62"/>
        <v/>
      </c>
      <c r="CF506" s="251" t="str">
        <f t="shared" si="63"/>
        <v/>
      </c>
      <c r="CG506" s="251" t="str">
        <f t="shared" si="64"/>
        <v/>
      </c>
      <c r="CH506" s="251" t="str">
        <f t="shared" si="65"/>
        <v/>
      </c>
      <c r="CI506" s="251" t="str">
        <f t="shared" si="66"/>
        <v/>
      </c>
      <c r="CJ506" s="251" t="str">
        <f t="shared" si="67"/>
        <v/>
      </c>
      <c r="CK506" s="251" t="str">
        <f t="shared" si="68"/>
        <v/>
      </c>
      <c r="CL506" s="251" t="str">
        <f t="shared" si="69"/>
        <v/>
      </c>
      <c r="CM506" s="251" t="str">
        <f t="shared" si="70"/>
        <v/>
      </c>
      <c r="CN506" s="251" t="str">
        <f t="shared" si="71"/>
        <v/>
      </c>
      <c r="CO506" s="251" t="str">
        <f t="shared" si="72"/>
        <v/>
      </c>
      <c r="CP506" s="251" t="str">
        <f t="shared" si="73"/>
        <v/>
      </c>
      <c r="CQ506" s="251" t="str">
        <f t="shared" si="74"/>
        <v/>
      </c>
      <c r="CR506" s="251" t="str">
        <f t="shared" si="75"/>
        <v/>
      </c>
      <c r="CS506" s="251" t="str">
        <f t="shared" si="76"/>
        <v/>
      </c>
      <c r="CT506" s="251" t="str">
        <f t="shared" si="77"/>
        <v/>
      </c>
      <c r="CU506" s="251" t="str">
        <f t="shared" si="78"/>
        <v/>
      </c>
      <c r="CV506" s="251" t="str">
        <f t="shared" si="79"/>
        <v/>
      </c>
      <c r="CW506" s="251" t="str">
        <f t="shared" si="80"/>
        <v/>
      </c>
      <c r="CX506" s="251" t="str">
        <f t="shared" si="81"/>
        <v/>
      </c>
      <c r="CY506" s="251" t="str">
        <f t="shared" si="82"/>
        <v/>
      </c>
      <c r="CZ506" s="251" t="str">
        <f t="shared" si="83"/>
        <v/>
      </c>
      <c r="DA506" s="251" t="str">
        <f t="shared" si="84"/>
        <v/>
      </c>
      <c r="DB506" s="251" t="str">
        <f t="shared" si="85"/>
        <v/>
      </c>
      <c r="DC506" s="251" t="str">
        <f t="shared" si="86"/>
        <v/>
      </c>
      <c r="DD506" s="251" t="str">
        <f t="shared" si="87"/>
        <v/>
      </c>
      <c r="DE506" s="251" t="str">
        <f t="shared" si="88"/>
        <v/>
      </c>
      <c r="DF506" s="251" t="str">
        <f t="shared" si="89"/>
        <v/>
      </c>
      <c r="DG506" s="251" t="str">
        <f t="shared" si="90"/>
        <v/>
      </c>
      <c r="DH506" s="251" t="str">
        <f t="shared" si="91"/>
        <v/>
      </c>
      <c r="DI506" s="251" t="str">
        <f t="shared" si="92"/>
        <v/>
      </c>
      <c r="DJ506" s="251" t="str">
        <f t="shared" si="93"/>
        <v/>
      </c>
      <c r="DK506" s="251" t="str">
        <f t="shared" si="94"/>
        <v/>
      </c>
      <c r="DL506" s="251" t="str">
        <f t="shared" si="95"/>
        <v/>
      </c>
      <c r="DM506" s="251" t="str">
        <f t="shared" si="96"/>
        <v/>
      </c>
      <c r="DN506" s="251" t="str">
        <f t="shared" si="97"/>
        <v/>
      </c>
      <c r="DO506" s="251" t="str">
        <f t="shared" si="98"/>
        <v/>
      </c>
      <c r="DP506" s="251" t="str">
        <f t="shared" si="99"/>
        <v/>
      </c>
      <c r="DQ506" s="251" t="str">
        <f t="shared" si="100"/>
        <v/>
      </c>
      <c r="DR506" s="251" t="str">
        <f t="shared" si="101"/>
        <v/>
      </c>
      <c r="DS506" s="251" t="str">
        <f t="shared" si="102"/>
        <v/>
      </c>
      <c r="DT506" s="251" t="str">
        <f t="shared" si="103"/>
        <v/>
      </c>
      <c r="DU506" s="251" t="str">
        <f t="shared" si="104"/>
        <v/>
      </c>
      <c r="DV506" s="251" t="str">
        <f t="shared" si="105"/>
        <v/>
      </c>
      <c r="DW506" s="251" t="str">
        <f t="shared" si="106"/>
        <v/>
      </c>
      <c r="DX506" s="251" t="str">
        <f t="shared" si="107"/>
        <v/>
      </c>
      <c r="DY506" s="251" t="str">
        <f t="shared" si="108"/>
        <v/>
      </c>
      <c r="DZ506" s="251" t="str">
        <f t="shared" si="109"/>
        <v/>
      </c>
      <c r="EA506" s="251" t="str">
        <f t="shared" si="110"/>
        <v/>
      </c>
      <c r="EB506" s="251" t="str">
        <f t="shared" si="111"/>
        <v/>
      </c>
      <c r="EC506" s="251" t="str">
        <f t="shared" si="112"/>
        <v/>
      </c>
      <c r="ED506" s="251" t="str">
        <f t="shared" si="113"/>
        <v/>
      </c>
      <c r="EE506" s="251" t="str">
        <f t="shared" si="114"/>
        <v/>
      </c>
      <c r="EF506" s="251" t="str">
        <f t="shared" si="115"/>
        <v/>
      </c>
      <c r="EG506" s="251" t="str">
        <f t="shared" si="116"/>
        <v/>
      </c>
      <c r="EH506" s="251" t="str">
        <f t="shared" si="117"/>
        <v/>
      </c>
      <c r="EI506" s="251" t="str">
        <f t="shared" si="118"/>
        <v/>
      </c>
      <c r="EJ506" s="251" t="str">
        <f t="shared" si="119"/>
        <v/>
      </c>
      <c r="EK506" s="251" t="str">
        <f t="shared" si="120"/>
        <v/>
      </c>
      <c r="EL506" s="251" t="str">
        <f t="shared" si="121"/>
        <v/>
      </c>
      <c r="EM506" s="251" t="str">
        <f t="shared" si="122"/>
        <v/>
      </c>
      <c r="EN506" s="251" t="str">
        <f t="shared" si="123"/>
        <v/>
      </c>
      <c r="EO506" s="251" t="str">
        <f t="shared" si="124"/>
        <v/>
      </c>
      <c r="EP506" s="251" t="str">
        <f t="shared" si="125"/>
        <v/>
      </c>
      <c r="EQ506" s="251" t="str">
        <f t="shared" si="126"/>
        <v/>
      </c>
      <c r="ER506" s="251" t="str">
        <f t="shared" si="127"/>
        <v/>
      </c>
      <c r="ES506" s="251" t="str">
        <f t="shared" si="128"/>
        <v/>
      </c>
      <c r="ET506" s="251" t="str">
        <f t="shared" si="129"/>
        <v/>
      </c>
      <c r="EU506" s="251" t="str">
        <f t="shared" si="130"/>
        <v/>
      </c>
      <c r="EV506" s="251" t="str">
        <f t="shared" si="131"/>
        <v/>
      </c>
      <c r="EW506" s="251" t="str">
        <f t="shared" si="132"/>
        <v/>
      </c>
      <c r="EX506" s="251" t="str">
        <f t="shared" si="133"/>
        <v/>
      </c>
      <c r="EY506" s="251" t="str">
        <f t="shared" si="134"/>
        <v/>
      </c>
      <c r="EZ506" s="251" t="str">
        <f t="shared" si="135"/>
        <v/>
      </c>
      <c r="FA506" s="251" t="str">
        <f t="shared" si="136"/>
        <v/>
      </c>
      <c r="FB506" s="251" t="str">
        <f t="shared" si="137"/>
        <v/>
      </c>
      <c r="FC506" s="251" t="str">
        <f t="shared" si="138"/>
        <v/>
      </c>
      <c r="FD506" s="251" t="str">
        <f t="shared" si="139"/>
        <v/>
      </c>
      <c r="FE506" s="251" t="str">
        <f t="shared" si="140"/>
        <v/>
      </c>
      <c r="FF506" s="251" t="str">
        <f t="shared" si="141"/>
        <v/>
      </c>
      <c r="FG506" s="251" t="str">
        <f t="shared" si="142"/>
        <v/>
      </c>
      <c r="FH506" s="251" t="str">
        <f t="shared" si="143"/>
        <v/>
      </c>
      <c r="FI506" s="251" t="str">
        <f t="shared" si="144"/>
        <v/>
      </c>
      <c r="FJ506" s="251" t="str">
        <f t="shared" si="145"/>
        <v/>
      </c>
      <c r="FK506" s="251" t="str">
        <f t="shared" si="146"/>
        <v/>
      </c>
      <c r="FL506" s="251" t="str">
        <f t="shared" si="147"/>
        <v/>
      </c>
      <c r="FM506" s="251" t="str">
        <f t="shared" si="148"/>
        <v/>
      </c>
      <c r="FN506" s="251" t="str">
        <f t="shared" si="149"/>
        <v/>
      </c>
      <c r="FO506" s="251" t="str">
        <f t="shared" si="150"/>
        <v/>
      </c>
      <c r="FP506" s="251" t="str">
        <f t="shared" si="151"/>
        <v/>
      </c>
      <c r="FQ506" s="251" t="str">
        <f t="shared" si="152"/>
        <v/>
      </c>
      <c r="FR506" s="251" t="str">
        <f t="shared" si="153"/>
        <v/>
      </c>
      <c r="FS506" s="251" t="str">
        <f t="shared" si="154"/>
        <v/>
      </c>
      <c r="FT506" s="251" t="str">
        <f t="shared" si="155"/>
        <v/>
      </c>
      <c r="FU506" s="251" t="str">
        <f t="shared" si="156"/>
        <v/>
      </c>
      <c r="FV506" s="251" t="str">
        <f t="shared" si="157"/>
        <v/>
      </c>
      <c r="FW506" s="251" t="str">
        <f t="shared" si="158"/>
        <v/>
      </c>
      <c r="FX506" s="251" t="str">
        <f t="shared" si="159"/>
        <v/>
      </c>
      <c r="FY506" s="251" t="str">
        <f t="shared" si="160"/>
        <v/>
      </c>
      <c r="FZ506" s="251" t="str">
        <f t="shared" si="161"/>
        <v/>
      </c>
      <c r="GA506" s="251" t="str">
        <f t="shared" si="162"/>
        <v/>
      </c>
      <c r="GB506" s="251" t="str">
        <f t="shared" si="163"/>
        <v/>
      </c>
      <c r="GC506" s="251" t="str">
        <f t="shared" si="164"/>
        <v/>
      </c>
      <c r="GD506" s="251" t="str">
        <f t="shared" si="165"/>
        <v/>
      </c>
      <c r="GE506" s="251" t="str">
        <f t="shared" si="166"/>
        <v/>
      </c>
      <c r="GF506" s="251" t="str">
        <f t="shared" si="167"/>
        <v/>
      </c>
      <c r="GG506" s="251" t="str">
        <f t="shared" si="168"/>
        <v/>
      </c>
      <c r="GH506" s="251" t="str">
        <f t="shared" si="169"/>
        <v/>
      </c>
      <c r="GI506" s="251" t="str">
        <f t="shared" si="170"/>
        <v/>
      </c>
      <c r="GJ506" s="251" t="str">
        <f t="shared" si="171"/>
        <v/>
      </c>
      <c r="GK506" s="251" t="str">
        <f t="shared" si="172"/>
        <v/>
      </c>
      <c r="GL506" s="251" t="str">
        <f t="shared" si="173"/>
        <v/>
      </c>
      <c r="GM506" s="251" t="str">
        <f t="shared" si="174"/>
        <v/>
      </c>
      <c r="GN506" s="251" t="str">
        <f t="shared" si="175"/>
        <v/>
      </c>
      <c r="GO506" s="251" t="str">
        <f t="shared" si="176"/>
        <v/>
      </c>
      <c r="GP506" s="251" t="str">
        <f t="shared" si="177"/>
        <v/>
      </c>
      <c r="GQ506" s="251" t="str">
        <f t="shared" si="178"/>
        <v/>
      </c>
      <c r="GR506" s="251" t="str">
        <f t="shared" si="179"/>
        <v/>
      </c>
      <c r="GS506" s="251" t="str">
        <f t="shared" si="180"/>
        <v/>
      </c>
      <c r="GT506" s="251" t="str">
        <f t="shared" si="181"/>
        <v/>
      </c>
      <c r="GU506" s="251" t="str">
        <f t="shared" si="182"/>
        <v/>
      </c>
      <c r="GV506" s="251" t="str">
        <f t="shared" si="183"/>
        <v/>
      </c>
      <c r="GW506" s="251" t="str">
        <f t="shared" si="184"/>
        <v/>
      </c>
      <c r="GX506" s="251" t="str">
        <f t="shared" si="185"/>
        <v/>
      </c>
      <c r="GY506" s="251" t="str">
        <f t="shared" si="186"/>
        <v/>
      </c>
      <c r="GZ506" s="251" t="str">
        <f t="shared" si="187"/>
        <v/>
      </c>
      <c r="HA506" s="251" t="str">
        <f t="shared" si="188"/>
        <v/>
      </c>
      <c r="HB506" s="251" t="str">
        <f t="shared" si="189"/>
        <v/>
      </c>
      <c r="HC506" s="251" t="str">
        <f t="shared" si="190"/>
        <v/>
      </c>
      <c r="HD506" s="251" t="str">
        <f t="shared" si="191"/>
        <v/>
      </c>
      <c r="HE506" s="251" t="str">
        <f t="shared" si="192"/>
        <v/>
      </c>
      <c r="HF506" s="251" t="str">
        <f t="shared" si="193"/>
        <v/>
      </c>
      <c r="HG506" s="251" t="str">
        <f t="shared" si="194"/>
        <v/>
      </c>
      <c r="HH506" s="251" t="str">
        <f t="shared" si="195"/>
        <v/>
      </c>
      <c r="HI506" s="251" t="str">
        <f t="shared" si="196"/>
        <v/>
      </c>
      <c r="HJ506" s="251" t="str">
        <f t="shared" si="197"/>
        <v/>
      </c>
      <c r="HK506" s="251" t="str">
        <f t="shared" si="198"/>
        <v/>
      </c>
      <c r="HL506" s="251" t="str">
        <f t="shared" si="199"/>
        <v/>
      </c>
      <c r="HM506" s="251" t="str">
        <f t="shared" si="200"/>
        <v/>
      </c>
      <c r="HN506" s="251" t="str">
        <f t="shared" si="201"/>
        <v/>
      </c>
      <c r="HO506" s="251" t="str">
        <f t="shared" si="202"/>
        <v/>
      </c>
      <c r="HP506" s="251" t="str">
        <f t="shared" si="203"/>
        <v/>
      </c>
      <c r="HQ506" s="251" t="str">
        <f t="shared" si="204"/>
        <v/>
      </c>
      <c r="HR506" s="251" t="str">
        <f t="shared" si="205"/>
        <v/>
      </c>
      <c r="HS506" s="251" t="str">
        <f t="shared" si="206"/>
        <v/>
      </c>
      <c r="HT506" s="251" t="str">
        <f t="shared" si="207"/>
        <v/>
      </c>
      <c r="HU506" s="251" t="str">
        <f t="shared" si="208"/>
        <v/>
      </c>
      <c r="HV506" s="251" t="str">
        <f t="shared" si="209"/>
        <v/>
      </c>
      <c r="HW506" s="251" t="str">
        <f t="shared" si="210"/>
        <v/>
      </c>
      <c r="HX506" s="251" t="str">
        <f t="shared" si="211"/>
        <v/>
      </c>
      <c r="HY506" s="251" t="str">
        <f t="shared" si="212"/>
        <v/>
      </c>
      <c r="HZ506" s="251" t="str">
        <f t="shared" si="213"/>
        <v/>
      </c>
      <c r="IA506" s="251" t="str">
        <f t="shared" si="214"/>
        <v/>
      </c>
      <c r="IB506" s="251" t="str">
        <f t="shared" si="215"/>
        <v/>
      </c>
      <c r="IC506" s="251" t="str">
        <f t="shared" si="216"/>
        <v/>
      </c>
      <c r="ID506" s="251" t="str">
        <f t="shared" si="217"/>
        <v/>
      </c>
      <c r="IE506" s="251" t="str">
        <f t="shared" si="218"/>
        <v/>
      </c>
      <c r="IF506" s="251" t="str">
        <f t="shared" si="219"/>
        <v/>
      </c>
      <c r="IG506" s="251" t="str">
        <f t="shared" si="220"/>
        <v/>
      </c>
      <c r="IH506" s="251" t="str">
        <f t="shared" si="221"/>
        <v/>
      </c>
      <c r="II506" s="251" t="str">
        <f t="shared" si="222"/>
        <v/>
      </c>
      <c r="IJ506" s="251" t="str">
        <f t="shared" si="223"/>
        <v/>
      </c>
      <c r="IK506" s="251" t="str">
        <f t="shared" si="224"/>
        <v/>
      </c>
      <c r="IL506" s="251" t="str">
        <f t="shared" si="225"/>
        <v/>
      </c>
      <c r="IM506" s="251" t="str">
        <f t="shared" si="226"/>
        <v/>
      </c>
      <c r="IN506" s="251" t="str">
        <f t="shared" si="227"/>
        <v/>
      </c>
      <c r="IO506" s="251" t="str">
        <f t="shared" si="228"/>
        <v/>
      </c>
      <c r="IP506" s="251" t="str">
        <f t="shared" si="229"/>
        <v/>
      </c>
      <c r="IQ506" s="251" t="str">
        <f t="shared" si="230"/>
        <v/>
      </c>
      <c r="IR506" s="251" t="str">
        <f t="shared" si="231"/>
        <v/>
      </c>
      <c r="IS506" s="251" t="str">
        <f t="shared" si="232"/>
        <v/>
      </c>
      <c r="IT506" s="251" t="str">
        <f t="shared" si="233"/>
        <v/>
      </c>
      <c r="IU506" s="251" t="str">
        <f t="shared" si="234"/>
        <v/>
      </c>
      <c r="IV506" s="251" t="str">
        <f t="shared" si="235"/>
        <v/>
      </c>
      <c r="IW506" s="251" t="str">
        <f t="shared" si="236"/>
        <v/>
      </c>
      <c r="IX506" s="251" t="str">
        <f t="shared" si="237"/>
        <v/>
      </c>
      <c r="IY506" s="251" t="str">
        <f t="shared" si="238"/>
        <v/>
      </c>
      <c r="IZ506" s="251" t="str">
        <f t="shared" si="239"/>
        <v/>
      </c>
      <c r="JA506" s="251" t="str">
        <f t="shared" si="240"/>
        <v/>
      </c>
      <c r="JB506" s="251" t="str">
        <f t="shared" si="241"/>
        <v/>
      </c>
      <c r="JC506" s="251" t="str">
        <f t="shared" si="242"/>
        <v/>
      </c>
      <c r="JD506" s="251" t="str">
        <f t="shared" si="243"/>
        <v/>
      </c>
      <c r="JE506" s="251" t="str">
        <f t="shared" si="244"/>
        <v/>
      </c>
      <c r="JF506" s="251" t="str">
        <f t="shared" si="245"/>
        <v/>
      </c>
      <c r="JG506" s="251" t="str">
        <f t="shared" si="246"/>
        <v/>
      </c>
      <c r="JH506" s="251" t="str">
        <f t="shared" si="247"/>
        <v/>
      </c>
      <c r="JI506" s="1297" t="str">
        <f t="shared" si="248"/>
        <v/>
      </c>
      <c r="JJ506" s="1297" t="str">
        <f t="shared" si="249"/>
        <v/>
      </c>
      <c r="JK506" s="1297" t="str">
        <f t="shared" si="250"/>
        <v/>
      </c>
      <c r="JL506" s="1297" t="str">
        <f t="shared" si="251"/>
        <v/>
      </c>
      <c r="JM506" s="1297" t="str">
        <f t="shared" si="252"/>
        <v/>
      </c>
      <c r="JN506" s="1297" t="str">
        <f t="shared" si="253"/>
        <v/>
      </c>
      <c r="JO506" s="1297" t="str">
        <f t="shared" si="254"/>
        <v/>
      </c>
      <c r="JP506" s="1297" t="str">
        <f t="shared" si="255"/>
        <v/>
      </c>
      <c r="JQ506" s="1297" t="str">
        <f t="shared" si="256"/>
        <v/>
      </c>
      <c r="JR506" s="1297" t="str">
        <f t="shared" si="257"/>
        <v/>
      </c>
      <c r="JS506" s="1297" t="str">
        <f t="shared" si="258"/>
        <v/>
      </c>
      <c r="JT506" s="1297" t="str">
        <f t="shared" si="259"/>
        <v/>
      </c>
      <c r="JU506" s="1297" t="str">
        <f t="shared" si="260"/>
        <v/>
      </c>
      <c r="JV506" s="1297" t="str">
        <f t="shared" si="261"/>
        <v/>
      </c>
      <c r="JW506" s="1297" t="str">
        <f t="shared" si="262"/>
        <v/>
      </c>
      <c r="JX506" s="1297" t="str">
        <f t="shared" si="263"/>
        <v/>
      </c>
      <c r="JY506" s="1297" t="str">
        <f t="shared" si="264"/>
        <v/>
      </c>
      <c r="JZ506" s="1297" t="str">
        <f t="shared" si="265"/>
        <v/>
      </c>
      <c r="KA506" s="1297" t="str">
        <f t="shared" si="266"/>
        <v/>
      </c>
      <c r="KB506" s="1297" t="str">
        <f t="shared" si="267"/>
        <v/>
      </c>
      <c r="KC506" s="1297" t="str">
        <f t="shared" si="268"/>
        <v/>
      </c>
      <c r="KD506" s="1297" t="str">
        <f t="shared" si="269"/>
        <v/>
      </c>
      <c r="KE506" s="1297" t="str">
        <f t="shared" si="270"/>
        <v/>
      </c>
      <c r="KF506" s="1297" t="str">
        <f t="shared" si="271"/>
        <v/>
      </c>
      <c r="KG506" s="1297" t="str">
        <f t="shared" si="272"/>
        <v/>
      </c>
      <c r="KH506" s="1297" t="str">
        <f t="shared" si="273"/>
        <v/>
      </c>
      <c r="KI506" s="1297" t="str">
        <f t="shared" si="274"/>
        <v/>
      </c>
      <c r="KJ506" s="1297" t="str">
        <f t="shared" si="275"/>
        <v/>
      </c>
      <c r="KK506" s="1297" t="str">
        <f t="shared" si="276"/>
        <v/>
      </c>
      <c r="KL506" s="1297" t="str">
        <f t="shared" si="277"/>
        <v/>
      </c>
      <c r="KM506" s="1297" t="str">
        <f t="shared" si="278"/>
        <v/>
      </c>
      <c r="KN506" s="1297" t="str">
        <f t="shared" si="279"/>
        <v/>
      </c>
      <c r="KO506" s="1297" t="str">
        <f t="shared" si="280"/>
        <v/>
      </c>
      <c r="KP506" s="1297" t="str">
        <f t="shared" si="281"/>
        <v/>
      </c>
      <c r="KQ506" s="1297" t="str">
        <f t="shared" si="282"/>
        <v/>
      </c>
      <c r="KR506" s="1297" t="str">
        <f t="shared" si="283"/>
        <v/>
      </c>
      <c r="KS506" s="1297" t="str">
        <f t="shared" si="284"/>
        <v/>
      </c>
      <c r="KT506" s="1297" t="str">
        <f t="shared" si="285"/>
        <v/>
      </c>
      <c r="KU506" s="1297" t="str">
        <f t="shared" si="286"/>
        <v/>
      </c>
      <c r="KV506" s="1297" t="str">
        <f t="shared" si="287"/>
        <v/>
      </c>
      <c r="KW506" s="1297" t="str">
        <f t="shared" si="288"/>
        <v/>
      </c>
      <c r="KX506" s="1297" t="str">
        <f t="shared" si="289"/>
        <v/>
      </c>
      <c r="KY506" s="1297" t="str">
        <f t="shared" si="290"/>
        <v/>
      </c>
      <c r="KZ506" s="1297" t="str">
        <f t="shared" si="291"/>
        <v/>
      </c>
      <c r="LA506" s="1297" t="str">
        <f t="shared" si="292"/>
        <v/>
      </c>
      <c r="LB506" s="1297" t="str">
        <f t="shared" si="293"/>
        <v/>
      </c>
      <c r="LC506" s="1297" t="str">
        <f t="shared" si="294"/>
        <v/>
      </c>
      <c r="LD506" s="1297" t="str">
        <f t="shared" si="295"/>
        <v/>
      </c>
      <c r="LE506" s="1297" t="str">
        <f t="shared" si="296"/>
        <v/>
      </c>
      <c r="LF506" s="1297" t="str">
        <f t="shared" si="297"/>
        <v/>
      </c>
      <c r="LG506" s="1297" t="str">
        <f t="shared" si="298"/>
        <v/>
      </c>
      <c r="LH506" s="1297" t="str">
        <f t="shared" si="299"/>
        <v/>
      </c>
      <c r="LI506" s="1297" t="str">
        <f t="shared" si="300"/>
        <v/>
      </c>
      <c r="LJ506" s="1297" t="str">
        <f t="shared" si="301"/>
        <v/>
      </c>
      <c r="LK506" s="1297" t="str">
        <f t="shared" si="302"/>
        <v/>
      </c>
      <c r="LL506" s="1297" t="str">
        <f t="shared" si="303"/>
        <v/>
      </c>
      <c r="LM506" s="1297" t="str">
        <f t="shared" si="304"/>
        <v/>
      </c>
      <c r="LN506" s="1297" t="str">
        <f t="shared" si="305"/>
        <v/>
      </c>
      <c r="LO506" s="1297" t="str">
        <f t="shared" si="306"/>
        <v/>
      </c>
      <c r="LP506" s="1297" t="str">
        <f t="shared" si="307"/>
        <v/>
      </c>
      <c r="LQ506" s="1297" t="str">
        <f t="shared" si="308"/>
        <v/>
      </c>
      <c r="LR506" s="1297" t="str">
        <f t="shared" si="309"/>
        <v/>
      </c>
      <c r="LS506" s="1297" t="str">
        <f t="shared" si="310"/>
        <v/>
      </c>
      <c r="LT506" s="1297" t="str">
        <f t="shared" si="311"/>
        <v/>
      </c>
      <c r="LU506" s="1297" t="str">
        <f t="shared" si="312"/>
        <v/>
      </c>
      <c r="LV506" s="1297" t="str">
        <f t="shared" si="313"/>
        <v/>
      </c>
      <c r="LW506" s="1297" t="str">
        <f t="shared" si="314"/>
        <v/>
      </c>
      <c r="LX506" s="1297" t="str">
        <f t="shared" si="315"/>
        <v/>
      </c>
      <c r="LY506" s="1297" t="str">
        <f t="shared" si="316"/>
        <v/>
      </c>
      <c r="LZ506" s="1297" t="str">
        <f t="shared" si="317"/>
        <v/>
      </c>
      <c r="MA506" s="1297" t="str">
        <f t="shared" si="318"/>
        <v/>
      </c>
      <c r="MB506" s="1297" t="str">
        <f t="shared" si="319"/>
        <v/>
      </c>
      <c r="MC506" s="1297" t="str">
        <f t="shared" si="320"/>
        <v/>
      </c>
      <c r="MD506" s="1297" t="str">
        <f t="shared" si="321"/>
        <v/>
      </c>
      <c r="ME506" s="1297" t="str">
        <f t="shared" si="322"/>
        <v/>
      </c>
      <c r="MF506" s="1297" t="str">
        <f t="shared" si="323"/>
        <v/>
      </c>
      <c r="MG506" s="1297" t="str">
        <f t="shared" si="324"/>
        <v/>
      </c>
      <c r="MH506" s="1297" t="str">
        <f t="shared" si="325"/>
        <v/>
      </c>
      <c r="MI506" s="1297" t="str">
        <f t="shared" si="326"/>
        <v/>
      </c>
      <c r="MJ506" s="1297" t="str">
        <f t="shared" si="327"/>
        <v/>
      </c>
      <c r="MK506" s="1297" t="str">
        <f t="shared" si="328"/>
        <v/>
      </c>
      <c r="ML506" s="1297" t="str">
        <f t="shared" si="329"/>
        <v/>
      </c>
      <c r="MM506" s="1297" t="str">
        <f t="shared" si="330"/>
        <v/>
      </c>
      <c r="MN506" s="1297" t="str">
        <f t="shared" si="331"/>
        <v/>
      </c>
      <c r="MO506" s="1297" t="str">
        <f t="shared" si="332"/>
        <v/>
      </c>
      <c r="MP506" s="1773" t="str">
        <f t="shared" si="333"/>
        <v/>
      </c>
      <c r="MQ506" s="1773" t="str">
        <f t="shared" si="334"/>
        <v/>
      </c>
      <c r="MR506" s="1773" t="str">
        <f t="shared" si="335"/>
        <v/>
      </c>
      <c r="MS506" s="1773" t="str">
        <f t="shared" si="336"/>
        <v/>
      </c>
      <c r="MT506" s="1773" t="str">
        <f t="shared" si="337"/>
        <v/>
      </c>
      <c r="MU506" s="251" t="str">
        <f t="shared" si="338"/>
        <v/>
      </c>
      <c r="MV506" s="251" t="str">
        <f t="shared" si="339"/>
        <v/>
      </c>
      <c r="MW506" s="251" t="str">
        <f t="shared" si="340"/>
        <v/>
      </c>
      <c r="MX506" s="251" t="str">
        <f t="shared" si="341"/>
        <v/>
      </c>
      <c r="MY506" s="251" t="str">
        <f t="shared" si="342"/>
        <v/>
      </c>
      <c r="MZ506" s="251" t="str">
        <f t="shared" si="343"/>
        <v/>
      </c>
      <c r="NA506" s="251" t="str">
        <f t="shared" si="344"/>
        <v/>
      </c>
      <c r="NB506" s="251" t="str">
        <f t="shared" si="345"/>
        <v/>
      </c>
      <c r="NC506" s="251" t="str">
        <f t="shared" si="346"/>
        <v/>
      </c>
      <c r="ND506" s="251" t="str">
        <f t="shared" si="347"/>
        <v/>
      </c>
      <c r="NE506" s="251" t="str">
        <f t="shared" si="348"/>
        <v/>
      </c>
      <c r="NF506" s="251" t="str">
        <f t="shared" si="349"/>
        <v/>
      </c>
      <c r="NG506" s="251" t="str">
        <f t="shared" si="350"/>
        <v/>
      </c>
      <c r="NH506" s="251" t="str">
        <f t="shared" si="351"/>
        <v/>
      </c>
      <c r="NI506" s="251" t="str">
        <f t="shared" si="352"/>
        <v/>
      </c>
      <c r="NJ506" s="251" t="str">
        <f t="shared" si="353"/>
        <v/>
      </c>
      <c r="NK506" s="251" t="str">
        <f t="shared" si="354"/>
        <v/>
      </c>
      <c r="NL506" s="251" t="str">
        <f t="shared" si="355"/>
        <v/>
      </c>
      <c r="NM506" s="251" t="str">
        <f t="shared" si="356"/>
        <v/>
      </c>
      <c r="NN506" s="251" t="str">
        <f t="shared" si="357"/>
        <v/>
      </c>
      <c r="NO506" s="1185">
        <f t="shared" si="358"/>
        <v>0</v>
      </c>
      <c r="NP506" s="1185">
        <f t="shared" si="359"/>
        <v>0</v>
      </c>
      <c r="NQ506" s="1185">
        <f t="shared" si="360"/>
        <v>0</v>
      </c>
      <c r="NR506" s="1185">
        <f t="shared" si="361"/>
        <v>0</v>
      </c>
      <c r="NS506" s="1185">
        <f t="shared" si="362"/>
        <v>0</v>
      </c>
      <c r="NT506" s="1185">
        <f t="shared" si="368"/>
        <v>0</v>
      </c>
      <c r="NU506" s="1185">
        <f t="shared" si="369"/>
        <v>0</v>
      </c>
      <c r="NV506" s="1185">
        <f t="shared" si="370"/>
        <v>0</v>
      </c>
      <c r="NW506" s="1185">
        <f t="shared" si="371"/>
        <v>0</v>
      </c>
      <c r="NX506" s="1185">
        <f t="shared" si="372"/>
        <v>0</v>
      </c>
      <c r="NY506" s="1185">
        <f t="shared" si="363"/>
        <v>0</v>
      </c>
      <c r="NZ506" s="1185">
        <f t="shared" si="364"/>
        <v>0</v>
      </c>
      <c r="OA506" s="1185">
        <f t="shared" si="365"/>
        <v>0</v>
      </c>
      <c r="OB506" s="1185">
        <f t="shared" si="366"/>
        <v>0</v>
      </c>
      <c r="OC506" s="1185">
        <f t="shared" si="367"/>
        <v>0</v>
      </c>
      <c r="OY506" s="251" t="s">
        <v>1195</v>
      </c>
      <c r="OZ506" s="1185">
        <v>51</v>
      </c>
    </row>
    <row r="507" spans="1:416" ht="12" customHeight="1">
      <c r="A507" s="1979" t="str">
        <f t="shared" si="0"/>
        <v/>
      </c>
      <c r="B507" s="1998">
        <f>'Part V-Revenues &amp; Expenses'!B54</f>
        <v>0</v>
      </c>
      <c r="C507" s="1999">
        <f>'Part V-Revenues &amp; Expenses'!C54</f>
        <v>0</v>
      </c>
      <c r="D507" s="2000">
        <f>'Part V-Revenues &amp; Expenses'!D54</f>
        <v>0</v>
      </c>
      <c r="E507" s="2001">
        <f>'Part V-Revenues &amp; Expenses'!E54</f>
        <v>0</v>
      </c>
      <c r="F507" s="2001">
        <f>'Part V-Revenues &amp; Expenses'!F54</f>
        <v>0</v>
      </c>
      <c r="G507" s="2001">
        <f>'Part V-Revenues &amp; Expenses'!G54</f>
        <v>0</v>
      </c>
      <c r="H507" s="2001">
        <f>'Part V-Revenues &amp; Expenses'!H54</f>
        <v>0</v>
      </c>
      <c r="I507" s="2001">
        <f>'Part V-Revenues &amp; Expenses'!I54</f>
        <v>0</v>
      </c>
      <c r="J507" s="2001">
        <f>'Part V-Revenues &amp; Expenses'!J54</f>
        <v>0</v>
      </c>
      <c r="K507" s="2002">
        <f>'Part V-Revenues &amp; Expenses'!K54</f>
        <v>0</v>
      </c>
      <c r="L507" s="2003">
        <f t="shared" si="1"/>
        <v>0</v>
      </c>
      <c r="M507" s="2003">
        <f t="shared" si="2"/>
        <v>0</v>
      </c>
      <c r="N507" s="1853">
        <f>'Part V-Revenues &amp; Expenses'!N54</f>
        <v>0</v>
      </c>
      <c r="O507" s="899">
        <f>'Part V-Revenues &amp; Expenses'!O54</f>
        <v>0</v>
      </c>
      <c r="P507" s="1853">
        <f>'Part V-Revenues &amp; Expenses'!P54</f>
        <v>0</v>
      </c>
      <c r="Q507" s="1772">
        <f>'Part V-Revenues &amp; Expenses'!Q54</f>
        <v>0</v>
      </c>
      <c r="R507" s="2004"/>
      <c r="S507" s="2005"/>
      <c r="T507" s="1920"/>
      <c r="U507" s="1920"/>
      <c r="V507" s="1920"/>
      <c r="W507" s="1920"/>
      <c r="X507" s="251" t="str">
        <f t="shared" si="3"/>
        <v/>
      </c>
      <c r="Y507" s="251" t="str">
        <f t="shared" si="4"/>
        <v/>
      </c>
      <c r="Z507" s="251" t="str">
        <f t="shared" si="5"/>
        <v/>
      </c>
      <c r="AA507" s="251" t="str">
        <f t="shared" si="6"/>
        <v/>
      </c>
      <c r="AB507" s="251" t="str">
        <f t="shared" si="7"/>
        <v/>
      </c>
      <c r="AC507" s="251" t="str">
        <f t="shared" si="8"/>
        <v/>
      </c>
      <c r="AD507" s="251" t="str">
        <f t="shared" si="9"/>
        <v/>
      </c>
      <c r="AE507" s="251" t="str">
        <f t="shared" si="10"/>
        <v/>
      </c>
      <c r="AF507" s="251" t="str">
        <f t="shared" si="11"/>
        <v/>
      </c>
      <c r="AG507" s="251" t="str">
        <f t="shared" si="12"/>
        <v/>
      </c>
      <c r="AH507" s="251" t="str">
        <f t="shared" si="13"/>
        <v/>
      </c>
      <c r="AI507" s="251" t="str">
        <f t="shared" si="14"/>
        <v/>
      </c>
      <c r="AJ507" s="251" t="str">
        <f t="shared" si="15"/>
        <v/>
      </c>
      <c r="AK507" s="251" t="str">
        <f t="shared" si="16"/>
        <v/>
      </c>
      <c r="AL507" s="251" t="str">
        <f t="shared" si="17"/>
        <v/>
      </c>
      <c r="AM507" s="251" t="str">
        <f t="shared" si="18"/>
        <v/>
      </c>
      <c r="AN507" s="251" t="str">
        <f t="shared" si="19"/>
        <v/>
      </c>
      <c r="AO507" s="251" t="str">
        <f t="shared" si="20"/>
        <v/>
      </c>
      <c r="AP507" s="251" t="str">
        <f t="shared" si="21"/>
        <v/>
      </c>
      <c r="AQ507" s="251" t="str">
        <f t="shared" si="22"/>
        <v/>
      </c>
      <c r="AR507" s="251" t="str">
        <f t="shared" si="23"/>
        <v/>
      </c>
      <c r="AS507" s="251" t="str">
        <f t="shared" si="24"/>
        <v/>
      </c>
      <c r="AT507" s="251" t="str">
        <f t="shared" si="25"/>
        <v/>
      </c>
      <c r="AU507" s="251" t="str">
        <f t="shared" si="26"/>
        <v/>
      </c>
      <c r="AV507" s="251" t="str">
        <f t="shared" si="27"/>
        <v/>
      </c>
      <c r="AW507" s="251" t="str">
        <f t="shared" si="28"/>
        <v/>
      </c>
      <c r="AX507" s="251" t="str">
        <f t="shared" si="29"/>
        <v/>
      </c>
      <c r="AY507" s="251" t="str">
        <f t="shared" si="30"/>
        <v/>
      </c>
      <c r="AZ507" s="251" t="str">
        <f t="shared" si="31"/>
        <v/>
      </c>
      <c r="BA507" s="251" t="str">
        <f t="shared" si="32"/>
        <v/>
      </c>
      <c r="BB507" s="251" t="str">
        <f t="shared" si="33"/>
        <v/>
      </c>
      <c r="BC507" s="251" t="str">
        <f t="shared" si="34"/>
        <v/>
      </c>
      <c r="BD507" s="251" t="str">
        <f t="shared" si="35"/>
        <v/>
      </c>
      <c r="BE507" s="251" t="str">
        <f t="shared" si="36"/>
        <v/>
      </c>
      <c r="BF507" s="251" t="str">
        <f t="shared" si="37"/>
        <v/>
      </c>
      <c r="BG507" s="251" t="str">
        <f t="shared" si="38"/>
        <v/>
      </c>
      <c r="BH507" s="251" t="str">
        <f t="shared" si="39"/>
        <v/>
      </c>
      <c r="BI507" s="251" t="str">
        <f t="shared" si="40"/>
        <v/>
      </c>
      <c r="BJ507" s="251" t="str">
        <f t="shared" si="41"/>
        <v/>
      </c>
      <c r="BK507" s="251" t="str">
        <f t="shared" si="42"/>
        <v/>
      </c>
      <c r="BL507" s="251" t="str">
        <f t="shared" si="43"/>
        <v/>
      </c>
      <c r="BM507" s="251" t="str">
        <f t="shared" si="44"/>
        <v/>
      </c>
      <c r="BN507" s="251" t="str">
        <f t="shared" si="45"/>
        <v/>
      </c>
      <c r="BO507" s="251" t="str">
        <f t="shared" si="46"/>
        <v/>
      </c>
      <c r="BP507" s="251" t="str">
        <f t="shared" si="47"/>
        <v/>
      </c>
      <c r="BQ507" s="251" t="str">
        <f t="shared" si="48"/>
        <v/>
      </c>
      <c r="BR507" s="251" t="str">
        <f t="shared" si="49"/>
        <v/>
      </c>
      <c r="BS507" s="251" t="str">
        <f t="shared" si="50"/>
        <v/>
      </c>
      <c r="BT507" s="251" t="str">
        <f t="shared" si="51"/>
        <v/>
      </c>
      <c r="BU507" s="251" t="str">
        <f t="shared" si="52"/>
        <v/>
      </c>
      <c r="BV507" s="251" t="str">
        <f t="shared" si="53"/>
        <v/>
      </c>
      <c r="BW507" s="251" t="str">
        <f t="shared" si="54"/>
        <v/>
      </c>
      <c r="BX507" s="251" t="str">
        <f t="shared" si="55"/>
        <v/>
      </c>
      <c r="BY507" s="251" t="str">
        <f t="shared" si="56"/>
        <v/>
      </c>
      <c r="BZ507" s="251" t="str">
        <f t="shared" si="57"/>
        <v/>
      </c>
      <c r="CA507" s="251" t="str">
        <f t="shared" si="58"/>
        <v/>
      </c>
      <c r="CB507" s="251" t="str">
        <f t="shared" si="59"/>
        <v/>
      </c>
      <c r="CC507" s="251" t="str">
        <f t="shared" si="60"/>
        <v/>
      </c>
      <c r="CD507" s="251" t="str">
        <f t="shared" si="61"/>
        <v/>
      </c>
      <c r="CE507" s="251" t="str">
        <f t="shared" si="62"/>
        <v/>
      </c>
      <c r="CF507" s="251" t="str">
        <f t="shared" si="63"/>
        <v/>
      </c>
      <c r="CG507" s="251" t="str">
        <f t="shared" si="64"/>
        <v/>
      </c>
      <c r="CH507" s="251" t="str">
        <f t="shared" si="65"/>
        <v/>
      </c>
      <c r="CI507" s="251" t="str">
        <f t="shared" si="66"/>
        <v/>
      </c>
      <c r="CJ507" s="251" t="str">
        <f t="shared" si="67"/>
        <v/>
      </c>
      <c r="CK507" s="251" t="str">
        <f t="shared" si="68"/>
        <v/>
      </c>
      <c r="CL507" s="251" t="str">
        <f t="shared" si="69"/>
        <v/>
      </c>
      <c r="CM507" s="251" t="str">
        <f t="shared" si="70"/>
        <v/>
      </c>
      <c r="CN507" s="251" t="str">
        <f t="shared" si="71"/>
        <v/>
      </c>
      <c r="CO507" s="251" t="str">
        <f t="shared" si="72"/>
        <v/>
      </c>
      <c r="CP507" s="251" t="str">
        <f t="shared" si="73"/>
        <v/>
      </c>
      <c r="CQ507" s="251" t="str">
        <f t="shared" si="74"/>
        <v/>
      </c>
      <c r="CR507" s="251" t="str">
        <f t="shared" si="75"/>
        <v/>
      </c>
      <c r="CS507" s="251" t="str">
        <f t="shared" si="76"/>
        <v/>
      </c>
      <c r="CT507" s="251" t="str">
        <f t="shared" si="77"/>
        <v/>
      </c>
      <c r="CU507" s="251" t="str">
        <f t="shared" si="78"/>
        <v/>
      </c>
      <c r="CV507" s="251" t="str">
        <f t="shared" si="79"/>
        <v/>
      </c>
      <c r="CW507" s="251" t="str">
        <f t="shared" si="80"/>
        <v/>
      </c>
      <c r="CX507" s="251" t="str">
        <f t="shared" si="81"/>
        <v/>
      </c>
      <c r="CY507" s="251" t="str">
        <f t="shared" si="82"/>
        <v/>
      </c>
      <c r="CZ507" s="251" t="str">
        <f t="shared" si="83"/>
        <v/>
      </c>
      <c r="DA507" s="251" t="str">
        <f t="shared" si="84"/>
        <v/>
      </c>
      <c r="DB507" s="251" t="str">
        <f t="shared" si="85"/>
        <v/>
      </c>
      <c r="DC507" s="251" t="str">
        <f t="shared" si="86"/>
        <v/>
      </c>
      <c r="DD507" s="251" t="str">
        <f t="shared" si="87"/>
        <v/>
      </c>
      <c r="DE507" s="251" t="str">
        <f t="shared" si="88"/>
        <v/>
      </c>
      <c r="DF507" s="251" t="str">
        <f t="shared" si="89"/>
        <v/>
      </c>
      <c r="DG507" s="251" t="str">
        <f t="shared" si="90"/>
        <v/>
      </c>
      <c r="DH507" s="251" t="str">
        <f t="shared" si="91"/>
        <v/>
      </c>
      <c r="DI507" s="251" t="str">
        <f t="shared" si="92"/>
        <v/>
      </c>
      <c r="DJ507" s="251" t="str">
        <f t="shared" si="93"/>
        <v/>
      </c>
      <c r="DK507" s="251" t="str">
        <f t="shared" si="94"/>
        <v/>
      </c>
      <c r="DL507" s="251" t="str">
        <f t="shared" si="95"/>
        <v/>
      </c>
      <c r="DM507" s="251" t="str">
        <f t="shared" si="96"/>
        <v/>
      </c>
      <c r="DN507" s="251" t="str">
        <f t="shared" si="97"/>
        <v/>
      </c>
      <c r="DO507" s="251" t="str">
        <f t="shared" si="98"/>
        <v/>
      </c>
      <c r="DP507" s="251" t="str">
        <f t="shared" si="99"/>
        <v/>
      </c>
      <c r="DQ507" s="251" t="str">
        <f t="shared" si="100"/>
        <v/>
      </c>
      <c r="DR507" s="251" t="str">
        <f t="shared" si="101"/>
        <v/>
      </c>
      <c r="DS507" s="251" t="str">
        <f t="shared" si="102"/>
        <v/>
      </c>
      <c r="DT507" s="251" t="str">
        <f t="shared" si="103"/>
        <v/>
      </c>
      <c r="DU507" s="251" t="str">
        <f t="shared" si="104"/>
        <v/>
      </c>
      <c r="DV507" s="251" t="str">
        <f t="shared" si="105"/>
        <v/>
      </c>
      <c r="DW507" s="251" t="str">
        <f t="shared" si="106"/>
        <v/>
      </c>
      <c r="DX507" s="251" t="str">
        <f t="shared" si="107"/>
        <v/>
      </c>
      <c r="DY507" s="251" t="str">
        <f t="shared" si="108"/>
        <v/>
      </c>
      <c r="DZ507" s="251" t="str">
        <f t="shared" si="109"/>
        <v/>
      </c>
      <c r="EA507" s="251" t="str">
        <f t="shared" si="110"/>
        <v/>
      </c>
      <c r="EB507" s="251" t="str">
        <f t="shared" si="111"/>
        <v/>
      </c>
      <c r="EC507" s="251" t="str">
        <f t="shared" si="112"/>
        <v/>
      </c>
      <c r="ED507" s="251" t="str">
        <f t="shared" si="113"/>
        <v/>
      </c>
      <c r="EE507" s="251" t="str">
        <f t="shared" si="114"/>
        <v/>
      </c>
      <c r="EF507" s="251" t="str">
        <f t="shared" si="115"/>
        <v/>
      </c>
      <c r="EG507" s="251" t="str">
        <f t="shared" si="116"/>
        <v/>
      </c>
      <c r="EH507" s="251" t="str">
        <f t="shared" si="117"/>
        <v/>
      </c>
      <c r="EI507" s="251" t="str">
        <f t="shared" si="118"/>
        <v/>
      </c>
      <c r="EJ507" s="251" t="str">
        <f t="shared" si="119"/>
        <v/>
      </c>
      <c r="EK507" s="251" t="str">
        <f t="shared" si="120"/>
        <v/>
      </c>
      <c r="EL507" s="251" t="str">
        <f t="shared" si="121"/>
        <v/>
      </c>
      <c r="EM507" s="251" t="str">
        <f t="shared" si="122"/>
        <v/>
      </c>
      <c r="EN507" s="251" t="str">
        <f t="shared" si="123"/>
        <v/>
      </c>
      <c r="EO507" s="251" t="str">
        <f t="shared" si="124"/>
        <v/>
      </c>
      <c r="EP507" s="251" t="str">
        <f t="shared" si="125"/>
        <v/>
      </c>
      <c r="EQ507" s="251" t="str">
        <f t="shared" si="126"/>
        <v/>
      </c>
      <c r="ER507" s="251" t="str">
        <f t="shared" si="127"/>
        <v/>
      </c>
      <c r="ES507" s="251" t="str">
        <f t="shared" si="128"/>
        <v/>
      </c>
      <c r="ET507" s="251" t="str">
        <f t="shared" si="129"/>
        <v/>
      </c>
      <c r="EU507" s="251" t="str">
        <f t="shared" si="130"/>
        <v/>
      </c>
      <c r="EV507" s="251" t="str">
        <f t="shared" si="131"/>
        <v/>
      </c>
      <c r="EW507" s="251" t="str">
        <f t="shared" si="132"/>
        <v/>
      </c>
      <c r="EX507" s="251" t="str">
        <f t="shared" si="133"/>
        <v/>
      </c>
      <c r="EY507" s="251" t="str">
        <f t="shared" si="134"/>
        <v/>
      </c>
      <c r="EZ507" s="251" t="str">
        <f t="shared" si="135"/>
        <v/>
      </c>
      <c r="FA507" s="251" t="str">
        <f t="shared" si="136"/>
        <v/>
      </c>
      <c r="FB507" s="251" t="str">
        <f t="shared" si="137"/>
        <v/>
      </c>
      <c r="FC507" s="251" t="str">
        <f t="shared" si="138"/>
        <v/>
      </c>
      <c r="FD507" s="251" t="str">
        <f t="shared" si="139"/>
        <v/>
      </c>
      <c r="FE507" s="251" t="str">
        <f t="shared" si="140"/>
        <v/>
      </c>
      <c r="FF507" s="251" t="str">
        <f t="shared" si="141"/>
        <v/>
      </c>
      <c r="FG507" s="251" t="str">
        <f t="shared" si="142"/>
        <v/>
      </c>
      <c r="FH507" s="251" t="str">
        <f t="shared" si="143"/>
        <v/>
      </c>
      <c r="FI507" s="251" t="str">
        <f t="shared" si="144"/>
        <v/>
      </c>
      <c r="FJ507" s="251" t="str">
        <f t="shared" si="145"/>
        <v/>
      </c>
      <c r="FK507" s="251" t="str">
        <f t="shared" si="146"/>
        <v/>
      </c>
      <c r="FL507" s="251" t="str">
        <f t="shared" si="147"/>
        <v/>
      </c>
      <c r="FM507" s="251" t="str">
        <f t="shared" si="148"/>
        <v/>
      </c>
      <c r="FN507" s="251" t="str">
        <f t="shared" si="149"/>
        <v/>
      </c>
      <c r="FO507" s="251" t="str">
        <f t="shared" si="150"/>
        <v/>
      </c>
      <c r="FP507" s="251" t="str">
        <f t="shared" si="151"/>
        <v/>
      </c>
      <c r="FQ507" s="251" t="str">
        <f t="shared" si="152"/>
        <v/>
      </c>
      <c r="FR507" s="251" t="str">
        <f t="shared" si="153"/>
        <v/>
      </c>
      <c r="FS507" s="251" t="str">
        <f t="shared" si="154"/>
        <v/>
      </c>
      <c r="FT507" s="251" t="str">
        <f t="shared" si="155"/>
        <v/>
      </c>
      <c r="FU507" s="251" t="str">
        <f t="shared" si="156"/>
        <v/>
      </c>
      <c r="FV507" s="251" t="str">
        <f t="shared" si="157"/>
        <v/>
      </c>
      <c r="FW507" s="251" t="str">
        <f t="shared" si="158"/>
        <v/>
      </c>
      <c r="FX507" s="251" t="str">
        <f t="shared" si="159"/>
        <v/>
      </c>
      <c r="FY507" s="251" t="str">
        <f t="shared" si="160"/>
        <v/>
      </c>
      <c r="FZ507" s="251" t="str">
        <f t="shared" si="161"/>
        <v/>
      </c>
      <c r="GA507" s="251" t="str">
        <f t="shared" si="162"/>
        <v/>
      </c>
      <c r="GB507" s="251" t="str">
        <f t="shared" si="163"/>
        <v/>
      </c>
      <c r="GC507" s="251" t="str">
        <f t="shared" si="164"/>
        <v/>
      </c>
      <c r="GD507" s="251" t="str">
        <f t="shared" si="165"/>
        <v/>
      </c>
      <c r="GE507" s="251" t="str">
        <f t="shared" si="166"/>
        <v/>
      </c>
      <c r="GF507" s="251" t="str">
        <f t="shared" si="167"/>
        <v/>
      </c>
      <c r="GG507" s="251" t="str">
        <f t="shared" si="168"/>
        <v/>
      </c>
      <c r="GH507" s="251" t="str">
        <f t="shared" si="169"/>
        <v/>
      </c>
      <c r="GI507" s="251" t="str">
        <f t="shared" si="170"/>
        <v/>
      </c>
      <c r="GJ507" s="251" t="str">
        <f t="shared" si="171"/>
        <v/>
      </c>
      <c r="GK507" s="251" t="str">
        <f t="shared" si="172"/>
        <v/>
      </c>
      <c r="GL507" s="251" t="str">
        <f t="shared" si="173"/>
        <v/>
      </c>
      <c r="GM507" s="251" t="str">
        <f t="shared" si="174"/>
        <v/>
      </c>
      <c r="GN507" s="251" t="str">
        <f t="shared" si="175"/>
        <v/>
      </c>
      <c r="GO507" s="251" t="str">
        <f t="shared" si="176"/>
        <v/>
      </c>
      <c r="GP507" s="251" t="str">
        <f t="shared" si="177"/>
        <v/>
      </c>
      <c r="GQ507" s="251" t="str">
        <f t="shared" si="178"/>
        <v/>
      </c>
      <c r="GR507" s="251" t="str">
        <f t="shared" si="179"/>
        <v/>
      </c>
      <c r="GS507" s="251" t="str">
        <f t="shared" si="180"/>
        <v/>
      </c>
      <c r="GT507" s="251" t="str">
        <f t="shared" si="181"/>
        <v/>
      </c>
      <c r="GU507" s="251" t="str">
        <f t="shared" si="182"/>
        <v/>
      </c>
      <c r="GV507" s="251" t="str">
        <f t="shared" si="183"/>
        <v/>
      </c>
      <c r="GW507" s="251" t="str">
        <f t="shared" si="184"/>
        <v/>
      </c>
      <c r="GX507" s="251" t="str">
        <f t="shared" si="185"/>
        <v/>
      </c>
      <c r="GY507" s="251" t="str">
        <f t="shared" si="186"/>
        <v/>
      </c>
      <c r="GZ507" s="251" t="str">
        <f t="shared" si="187"/>
        <v/>
      </c>
      <c r="HA507" s="251" t="str">
        <f t="shared" si="188"/>
        <v/>
      </c>
      <c r="HB507" s="251" t="str">
        <f t="shared" si="189"/>
        <v/>
      </c>
      <c r="HC507" s="251" t="str">
        <f t="shared" si="190"/>
        <v/>
      </c>
      <c r="HD507" s="251" t="str">
        <f t="shared" si="191"/>
        <v/>
      </c>
      <c r="HE507" s="251" t="str">
        <f t="shared" si="192"/>
        <v/>
      </c>
      <c r="HF507" s="251" t="str">
        <f t="shared" si="193"/>
        <v/>
      </c>
      <c r="HG507" s="251" t="str">
        <f t="shared" si="194"/>
        <v/>
      </c>
      <c r="HH507" s="251" t="str">
        <f t="shared" si="195"/>
        <v/>
      </c>
      <c r="HI507" s="251" t="str">
        <f t="shared" si="196"/>
        <v/>
      </c>
      <c r="HJ507" s="251" t="str">
        <f t="shared" si="197"/>
        <v/>
      </c>
      <c r="HK507" s="251" t="str">
        <f t="shared" si="198"/>
        <v/>
      </c>
      <c r="HL507" s="251" t="str">
        <f t="shared" si="199"/>
        <v/>
      </c>
      <c r="HM507" s="251" t="str">
        <f t="shared" si="200"/>
        <v/>
      </c>
      <c r="HN507" s="251" t="str">
        <f t="shared" si="201"/>
        <v/>
      </c>
      <c r="HO507" s="251" t="str">
        <f t="shared" si="202"/>
        <v/>
      </c>
      <c r="HP507" s="251" t="str">
        <f t="shared" si="203"/>
        <v/>
      </c>
      <c r="HQ507" s="251" t="str">
        <f t="shared" si="204"/>
        <v/>
      </c>
      <c r="HR507" s="251" t="str">
        <f t="shared" si="205"/>
        <v/>
      </c>
      <c r="HS507" s="251" t="str">
        <f t="shared" si="206"/>
        <v/>
      </c>
      <c r="HT507" s="251" t="str">
        <f t="shared" si="207"/>
        <v/>
      </c>
      <c r="HU507" s="251" t="str">
        <f t="shared" si="208"/>
        <v/>
      </c>
      <c r="HV507" s="251" t="str">
        <f t="shared" si="209"/>
        <v/>
      </c>
      <c r="HW507" s="251" t="str">
        <f t="shared" si="210"/>
        <v/>
      </c>
      <c r="HX507" s="251" t="str">
        <f t="shared" si="211"/>
        <v/>
      </c>
      <c r="HY507" s="251" t="str">
        <f t="shared" si="212"/>
        <v/>
      </c>
      <c r="HZ507" s="251" t="str">
        <f t="shared" si="213"/>
        <v/>
      </c>
      <c r="IA507" s="251" t="str">
        <f t="shared" si="214"/>
        <v/>
      </c>
      <c r="IB507" s="251" t="str">
        <f t="shared" si="215"/>
        <v/>
      </c>
      <c r="IC507" s="251" t="str">
        <f t="shared" si="216"/>
        <v/>
      </c>
      <c r="ID507" s="251" t="str">
        <f t="shared" si="217"/>
        <v/>
      </c>
      <c r="IE507" s="251" t="str">
        <f t="shared" si="218"/>
        <v/>
      </c>
      <c r="IF507" s="251" t="str">
        <f t="shared" si="219"/>
        <v/>
      </c>
      <c r="IG507" s="251" t="str">
        <f t="shared" si="220"/>
        <v/>
      </c>
      <c r="IH507" s="251" t="str">
        <f t="shared" si="221"/>
        <v/>
      </c>
      <c r="II507" s="251" t="str">
        <f t="shared" si="222"/>
        <v/>
      </c>
      <c r="IJ507" s="251" t="str">
        <f t="shared" si="223"/>
        <v/>
      </c>
      <c r="IK507" s="251" t="str">
        <f t="shared" si="224"/>
        <v/>
      </c>
      <c r="IL507" s="251" t="str">
        <f t="shared" si="225"/>
        <v/>
      </c>
      <c r="IM507" s="251" t="str">
        <f t="shared" si="226"/>
        <v/>
      </c>
      <c r="IN507" s="251" t="str">
        <f t="shared" si="227"/>
        <v/>
      </c>
      <c r="IO507" s="251" t="str">
        <f t="shared" si="228"/>
        <v/>
      </c>
      <c r="IP507" s="251" t="str">
        <f t="shared" si="229"/>
        <v/>
      </c>
      <c r="IQ507" s="251" t="str">
        <f t="shared" si="230"/>
        <v/>
      </c>
      <c r="IR507" s="251" t="str">
        <f t="shared" si="231"/>
        <v/>
      </c>
      <c r="IS507" s="251" t="str">
        <f t="shared" si="232"/>
        <v/>
      </c>
      <c r="IT507" s="251" t="str">
        <f t="shared" si="233"/>
        <v/>
      </c>
      <c r="IU507" s="251" t="str">
        <f t="shared" si="234"/>
        <v/>
      </c>
      <c r="IV507" s="251" t="str">
        <f t="shared" si="235"/>
        <v/>
      </c>
      <c r="IW507" s="251" t="str">
        <f t="shared" si="236"/>
        <v/>
      </c>
      <c r="IX507" s="251" t="str">
        <f t="shared" si="237"/>
        <v/>
      </c>
      <c r="IY507" s="251" t="str">
        <f t="shared" si="238"/>
        <v/>
      </c>
      <c r="IZ507" s="251" t="str">
        <f t="shared" si="239"/>
        <v/>
      </c>
      <c r="JA507" s="251" t="str">
        <f t="shared" si="240"/>
        <v/>
      </c>
      <c r="JB507" s="251" t="str">
        <f t="shared" si="241"/>
        <v/>
      </c>
      <c r="JC507" s="251" t="str">
        <f t="shared" si="242"/>
        <v/>
      </c>
      <c r="JD507" s="251" t="str">
        <f t="shared" si="243"/>
        <v/>
      </c>
      <c r="JE507" s="251" t="str">
        <f t="shared" si="244"/>
        <v/>
      </c>
      <c r="JF507" s="251" t="str">
        <f t="shared" si="245"/>
        <v/>
      </c>
      <c r="JG507" s="251" t="str">
        <f t="shared" si="246"/>
        <v/>
      </c>
      <c r="JH507" s="251" t="str">
        <f t="shared" si="247"/>
        <v/>
      </c>
      <c r="JI507" s="1297" t="str">
        <f t="shared" si="248"/>
        <v/>
      </c>
      <c r="JJ507" s="1297" t="str">
        <f t="shared" si="249"/>
        <v/>
      </c>
      <c r="JK507" s="1297" t="str">
        <f t="shared" si="250"/>
        <v/>
      </c>
      <c r="JL507" s="1297" t="str">
        <f t="shared" si="251"/>
        <v/>
      </c>
      <c r="JM507" s="1297" t="str">
        <f t="shared" si="252"/>
        <v/>
      </c>
      <c r="JN507" s="1297" t="str">
        <f t="shared" si="253"/>
        <v/>
      </c>
      <c r="JO507" s="1297" t="str">
        <f t="shared" si="254"/>
        <v/>
      </c>
      <c r="JP507" s="1297" t="str">
        <f t="shared" si="255"/>
        <v/>
      </c>
      <c r="JQ507" s="1297" t="str">
        <f t="shared" si="256"/>
        <v/>
      </c>
      <c r="JR507" s="1297" t="str">
        <f t="shared" si="257"/>
        <v/>
      </c>
      <c r="JS507" s="1297" t="str">
        <f t="shared" si="258"/>
        <v/>
      </c>
      <c r="JT507" s="1297" t="str">
        <f t="shared" si="259"/>
        <v/>
      </c>
      <c r="JU507" s="1297" t="str">
        <f t="shared" si="260"/>
        <v/>
      </c>
      <c r="JV507" s="1297" t="str">
        <f t="shared" si="261"/>
        <v/>
      </c>
      <c r="JW507" s="1297" t="str">
        <f t="shared" si="262"/>
        <v/>
      </c>
      <c r="JX507" s="1297" t="str">
        <f t="shared" si="263"/>
        <v/>
      </c>
      <c r="JY507" s="1297" t="str">
        <f t="shared" si="264"/>
        <v/>
      </c>
      <c r="JZ507" s="1297" t="str">
        <f t="shared" si="265"/>
        <v/>
      </c>
      <c r="KA507" s="1297" t="str">
        <f t="shared" si="266"/>
        <v/>
      </c>
      <c r="KB507" s="1297" t="str">
        <f t="shared" si="267"/>
        <v/>
      </c>
      <c r="KC507" s="1297" t="str">
        <f t="shared" si="268"/>
        <v/>
      </c>
      <c r="KD507" s="1297" t="str">
        <f t="shared" si="269"/>
        <v/>
      </c>
      <c r="KE507" s="1297" t="str">
        <f t="shared" si="270"/>
        <v/>
      </c>
      <c r="KF507" s="1297" t="str">
        <f t="shared" si="271"/>
        <v/>
      </c>
      <c r="KG507" s="1297" t="str">
        <f t="shared" si="272"/>
        <v/>
      </c>
      <c r="KH507" s="1297" t="str">
        <f t="shared" si="273"/>
        <v/>
      </c>
      <c r="KI507" s="1297" t="str">
        <f t="shared" si="274"/>
        <v/>
      </c>
      <c r="KJ507" s="1297" t="str">
        <f t="shared" si="275"/>
        <v/>
      </c>
      <c r="KK507" s="1297" t="str">
        <f t="shared" si="276"/>
        <v/>
      </c>
      <c r="KL507" s="1297" t="str">
        <f t="shared" si="277"/>
        <v/>
      </c>
      <c r="KM507" s="1297" t="str">
        <f t="shared" si="278"/>
        <v/>
      </c>
      <c r="KN507" s="1297" t="str">
        <f t="shared" si="279"/>
        <v/>
      </c>
      <c r="KO507" s="1297" t="str">
        <f t="shared" si="280"/>
        <v/>
      </c>
      <c r="KP507" s="1297" t="str">
        <f t="shared" si="281"/>
        <v/>
      </c>
      <c r="KQ507" s="1297" t="str">
        <f t="shared" si="282"/>
        <v/>
      </c>
      <c r="KR507" s="1297" t="str">
        <f t="shared" si="283"/>
        <v/>
      </c>
      <c r="KS507" s="1297" t="str">
        <f t="shared" si="284"/>
        <v/>
      </c>
      <c r="KT507" s="1297" t="str">
        <f t="shared" si="285"/>
        <v/>
      </c>
      <c r="KU507" s="1297" t="str">
        <f t="shared" si="286"/>
        <v/>
      </c>
      <c r="KV507" s="1297" t="str">
        <f t="shared" si="287"/>
        <v/>
      </c>
      <c r="KW507" s="1297" t="str">
        <f t="shared" si="288"/>
        <v/>
      </c>
      <c r="KX507" s="1297" t="str">
        <f t="shared" si="289"/>
        <v/>
      </c>
      <c r="KY507" s="1297" t="str">
        <f t="shared" si="290"/>
        <v/>
      </c>
      <c r="KZ507" s="1297" t="str">
        <f t="shared" si="291"/>
        <v/>
      </c>
      <c r="LA507" s="1297" t="str">
        <f t="shared" si="292"/>
        <v/>
      </c>
      <c r="LB507" s="1297" t="str">
        <f t="shared" si="293"/>
        <v/>
      </c>
      <c r="LC507" s="1297" t="str">
        <f t="shared" si="294"/>
        <v/>
      </c>
      <c r="LD507" s="1297" t="str">
        <f t="shared" si="295"/>
        <v/>
      </c>
      <c r="LE507" s="1297" t="str">
        <f t="shared" si="296"/>
        <v/>
      </c>
      <c r="LF507" s="1297" t="str">
        <f t="shared" si="297"/>
        <v/>
      </c>
      <c r="LG507" s="1297" t="str">
        <f t="shared" si="298"/>
        <v/>
      </c>
      <c r="LH507" s="1297" t="str">
        <f t="shared" si="299"/>
        <v/>
      </c>
      <c r="LI507" s="1297" t="str">
        <f t="shared" si="300"/>
        <v/>
      </c>
      <c r="LJ507" s="1297" t="str">
        <f t="shared" si="301"/>
        <v/>
      </c>
      <c r="LK507" s="1297" t="str">
        <f t="shared" si="302"/>
        <v/>
      </c>
      <c r="LL507" s="1297" t="str">
        <f t="shared" si="303"/>
        <v/>
      </c>
      <c r="LM507" s="1297" t="str">
        <f t="shared" si="304"/>
        <v/>
      </c>
      <c r="LN507" s="1297" t="str">
        <f t="shared" si="305"/>
        <v/>
      </c>
      <c r="LO507" s="1297" t="str">
        <f t="shared" si="306"/>
        <v/>
      </c>
      <c r="LP507" s="1297" t="str">
        <f t="shared" si="307"/>
        <v/>
      </c>
      <c r="LQ507" s="1297" t="str">
        <f t="shared" si="308"/>
        <v/>
      </c>
      <c r="LR507" s="1297" t="str">
        <f t="shared" si="309"/>
        <v/>
      </c>
      <c r="LS507" s="1297" t="str">
        <f t="shared" si="310"/>
        <v/>
      </c>
      <c r="LT507" s="1297" t="str">
        <f t="shared" si="311"/>
        <v/>
      </c>
      <c r="LU507" s="1297" t="str">
        <f t="shared" si="312"/>
        <v/>
      </c>
      <c r="LV507" s="1297" t="str">
        <f t="shared" si="313"/>
        <v/>
      </c>
      <c r="LW507" s="1297" t="str">
        <f t="shared" si="314"/>
        <v/>
      </c>
      <c r="LX507" s="1297" t="str">
        <f t="shared" si="315"/>
        <v/>
      </c>
      <c r="LY507" s="1297" t="str">
        <f t="shared" si="316"/>
        <v/>
      </c>
      <c r="LZ507" s="1297" t="str">
        <f t="shared" si="317"/>
        <v/>
      </c>
      <c r="MA507" s="1297" t="str">
        <f t="shared" si="318"/>
        <v/>
      </c>
      <c r="MB507" s="1297" t="str">
        <f t="shared" si="319"/>
        <v/>
      </c>
      <c r="MC507" s="1297" t="str">
        <f t="shared" si="320"/>
        <v/>
      </c>
      <c r="MD507" s="1297" t="str">
        <f t="shared" si="321"/>
        <v/>
      </c>
      <c r="ME507" s="1297" t="str">
        <f t="shared" si="322"/>
        <v/>
      </c>
      <c r="MF507" s="1297" t="str">
        <f t="shared" si="323"/>
        <v/>
      </c>
      <c r="MG507" s="1297" t="str">
        <f t="shared" si="324"/>
        <v/>
      </c>
      <c r="MH507" s="1297" t="str">
        <f t="shared" si="325"/>
        <v/>
      </c>
      <c r="MI507" s="1297" t="str">
        <f t="shared" si="326"/>
        <v/>
      </c>
      <c r="MJ507" s="1297" t="str">
        <f t="shared" si="327"/>
        <v/>
      </c>
      <c r="MK507" s="1297" t="str">
        <f t="shared" si="328"/>
        <v/>
      </c>
      <c r="ML507" s="1297" t="str">
        <f t="shared" si="329"/>
        <v/>
      </c>
      <c r="MM507" s="1297" t="str">
        <f t="shared" si="330"/>
        <v/>
      </c>
      <c r="MN507" s="1297" t="str">
        <f t="shared" si="331"/>
        <v/>
      </c>
      <c r="MO507" s="1297" t="str">
        <f t="shared" si="332"/>
        <v/>
      </c>
      <c r="MP507" s="1773" t="str">
        <f t="shared" si="333"/>
        <v/>
      </c>
      <c r="MQ507" s="1773" t="str">
        <f t="shared" si="334"/>
        <v/>
      </c>
      <c r="MR507" s="1773" t="str">
        <f t="shared" si="335"/>
        <v/>
      </c>
      <c r="MS507" s="1773" t="str">
        <f t="shared" si="336"/>
        <v/>
      </c>
      <c r="MT507" s="1773" t="str">
        <f t="shared" si="337"/>
        <v/>
      </c>
      <c r="MU507" s="251" t="str">
        <f t="shared" si="338"/>
        <v/>
      </c>
      <c r="MV507" s="251" t="str">
        <f t="shared" si="339"/>
        <v/>
      </c>
      <c r="MW507" s="251" t="str">
        <f t="shared" si="340"/>
        <v/>
      </c>
      <c r="MX507" s="251" t="str">
        <f t="shared" si="341"/>
        <v/>
      </c>
      <c r="MY507" s="251" t="str">
        <f t="shared" si="342"/>
        <v/>
      </c>
      <c r="MZ507" s="251" t="str">
        <f t="shared" si="343"/>
        <v/>
      </c>
      <c r="NA507" s="251" t="str">
        <f t="shared" si="344"/>
        <v/>
      </c>
      <c r="NB507" s="251" t="str">
        <f t="shared" si="345"/>
        <v/>
      </c>
      <c r="NC507" s="251" t="str">
        <f t="shared" si="346"/>
        <v/>
      </c>
      <c r="ND507" s="251" t="str">
        <f t="shared" si="347"/>
        <v/>
      </c>
      <c r="NE507" s="251" t="str">
        <f t="shared" si="348"/>
        <v/>
      </c>
      <c r="NF507" s="251" t="str">
        <f t="shared" si="349"/>
        <v/>
      </c>
      <c r="NG507" s="251" t="str">
        <f t="shared" si="350"/>
        <v/>
      </c>
      <c r="NH507" s="251" t="str">
        <f t="shared" si="351"/>
        <v/>
      </c>
      <c r="NI507" s="251" t="str">
        <f t="shared" si="352"/>
        <v/>
      </c>
      <c r="NJ507" s="251" t="str">
        <f t="shared" si="353"/>
        <v/>
      </c>
      <c r="NK507" s="251" t="str">
        <f t="shared" si="354"/>
        <v/>
      </c>
      <c r="NL507" s="251" t="str">
        <f t="shared" si="355"/>
        <v/>
      </c>
      <c r="NM507" s="251" t="str">
        <f t="shared" si="356"/>
        <v/>
      </c>
      <c r="NN507" s="251" t="str">
        <f t="shared" si="357"/>
        <v/>
      </c>
      <c r="NO507" s="1185">
        <f t="shared" si="358"/>
        <v>0</v>
      </c>
      <c r="NP507" s="1185">
        <f t="shared" si="359"/>
        <v>0</v>
      </c>
      <c r="NQ507" s="1185">
        <f t="shared" si="360"/>
        <v>0</v>
      </c>
      <c r="NR507" s="1185">
        <f t="shared" si="361"/>
        <v>0</v>
      </c>
      <c r="NS507" s="1185">
        <f t="shared" si="362"/>
        <v>0</v>
      </c>
      <c r="NT507" s="1185">
        <f t="shared" si="368"/>
        <v>0</v>
      </c>
      <c r="NU507" s="1185">
        <f t="shared" si="369"/>
        <v>0</v>
      </c>
      <c r="NV507" s="1185">
        <f t="shared" si="370"/>
        <v>0</v>
      </c>
      <c r="NW507" s="1185">
        <f t="shared" si="371"/>
        <v>0</v>
      </c>
      <c r="NX507" s="1185">
        <f t="shared" si="372"/>
        <v>0</v>
      </c>
      <c r="NY507" s="1185">
        <f t="shared" si="363"/>
        <v>0</v>
      </c>
      <c r="NZ507" s="1185">
        <f t="shared" si="364"/>
        <v>0</v>
      </c>
      <c r="OA507" s="1185">
        <f t="shared" si="365"/>
        <v>0</v>
      </c>
      <c r="OB507" s="1185">
        <f t="shared" si="366"/>
        <v>0</v>
      </c>
      <c r="OC507" s="1185">
        <f t="shared" si="367"/>
        <v>0</v>
      </c>
      <c r="OY507" s="251" t="s">
        <v>1195</v>
      </c>
      <c r="OZ507" s="1185">
        <v>52</v>
      </c>
    </row>
    <row r="508" spans="1:416" ht="12" customHeight="1">
      <c r="A508" s="1979" t="str">
        <f t="shared" si="0"/>
        <v/>
      </c>
      <c r="B508" s="1998">
        <f>'Part V-Revenues &amp; Expenses'!B55</f>
        <v>0</v>
      </c>
      <c r="C508" s="1999">
        <f>'Part V-Revenues &amp; Expenses'!C55</f>
        <v>0</v>
      </c>
      <c r="D508" s="2000">
        <f>'Part V-Revenues &amp; Expenses'!D55</f>
        <v>0</v>
      </c>
      <c r="E508" s="2001">
        <f>'Part V-Revenues &amp; Expenses'!E55</f>
        <v>0</v>
      </c>
      <c r="F508" s="2001">
        <f>'Part V-Revenues &amp; Expenses'!F55</f>
        <v>0</v>
      </c>
      <c r="G508" s="2001">
        <f>'Part V-Revenues &amp; Expenses'!G55</f>
        <v>0</v>
      </c>
      <c r="H508" s="2001">
        <f>'Part V-Revenues &amp; Expenses'!H55</f>
        <v>0</v>
      </c>
      <c r="I508" s="2001">
        <f>'Part V-Revenues &amp; Expenses'!I55</f>
        <v>0</v>
      </c>
      <c r="J508" s="2001">
        <f>'Part V-Revenues &amp; Expenses'!J55</f>
        <v>0</v>
      </c>
      <c r="K508" s="2002">
        <f>'Part V-Revenues &amp; Expenses'!K55</f>
        <v>0</v>
      </c>
      <c r="L508" s="2003">
        <f t="shared" si="1"/>
        <v>0</v>
      </c>
      <c r="M508" s="2003">
        <f t="shared" si="2"/>
        <v>0</v>
      </c>
      <c r="N508" s="1853">
        <f>'Part V-Revenues &amp; Expenses'!N55</f>
        <v>0</v>
      </c>
      <c r="O508" s="899">
        <f>'Part V-Revenues &amp; Expenses'!O55</f>
        <v>0</v>
      </c>
      <c r="P508" s="1853">
        <f>'Part V-Revenues &amp; Expenses'!P55</f>
        <v>0</v>
      </c>
      <c r="Q508" s="1772">
        <f>'Part V-Revenues &amp; Expenses'!Q55</f>
        <v>0</v>
      </c>
      <c r="R508" s="2004"/>
      <c r="S508" s="2005"/>
      <c r="T508" s="1920"/>
      <c r="U508" s="1920"/>
      <c r="V508" s="1920"/>
      <c r="W508" s="1920"/>
      <c r="X508" s="251" t="str">
        <f t="shared" si="3"/>
        <v/>
      </c>
      <c r="Y508" s="251" t="str">
        <f t="shared" si="4"/>
        <v/>
      </c>
      <c r="Z508" s="251" t="str">
        <f t="shared" si="5"/>
        <v/>
      </c>
      <c r="AA508" s="251" t="str">
        <f t="shared" si="6"/>
        <v/>
      </c>
      <c r="AB508" s="251" t="str">
        <f t="shared" si="7"/>
        <v/>
      </c>
      <c r="AC508" s="251" t="str">
        <f t="shared" si="8"/>
        <v/>
      </c>
      <c r="AD508" s="251" t="str">
        <f t="shared" si="9"/>
        <v/>
      </c>
      <c r="AE508" s="251" t="str">
        <f t="shared" si="10"/>
        <v/>
      </c>
      <c r="AF508" s="251" t="str">
        <f t="shared" si="11"/>
        <v/>
      </c>
      <c r="AG508" s="251" t="str">
        <f t="shared" si="12"/>
        <v/>
      </c>
      <c r="AH508" s="251" t="str">
        <f t="shared" si="13"/>
        <v/>
      </c>
      <c r="AI508" s="251" t="str">
        <f t="shared" si="14"/>
        <v/>
      </c>
      <c r="AJ508" s="251" t="str">
        <f t="shared" si="15"/>
        <v/>
      </c>
      <c r="AK508" s="251" t="str">
        <f t="shared" si="16"/>
        <v/>
      </c>
      <c r="AL508" s="251" t="str">
        <f t="shared" si="17"/>
        <v/>
      </c>
      <c r="AM508" s="251" t="str">
        <f t="shared" si="18"/>
        <v/>
      </c>
      <c r="AN508" s="251" t="str">
        <f t="shared" si="19"/>
        <v/>
      </c>
      <c r="AO508" s="251" t="str">
        <f t="shared" si="20"/>
        <v/>
      </c>
      <c r="AP508" s="251" t="str">
        <f t="shared" si="21"/>
        <v/>
      </c>
      <c r="AQ508" s="251" t="str">
        <f t="shared" si="22"/>
        <v/>
      </c>
      <c r="AR508" s="251" t="str">
        <f t="shared" si="23"/>
        <v/>
      </c>
      <c r="AS508" s="251" t="str">
        <f t="shared" si="24"/>
        <v/>
      </c>
      <c r="AT508" s="251" t="str">
        <f t="shared" si="25"/>
        <v/>
      </c>
      <c r="AU508" s="251" t="str">
        <f t="shared" si="26"/>
        <v/>
      </c>
      <c r="AV508" s="251" t="str">
        <f t="shared" si="27"/>
        <v/>
      </c>
      <c r="AW508" s="251" t="str">
        <f t="shared" si="28"/>
        <v/>
      </c>
      <c r="AX508" s="251" t="str">
        <f t="shared" si="29"/>
        <v/>
      </c>
      <c r="AY508" s="251" t="str">
        <f t="shared" si="30"/>
        <v/>
      </c>
      <c r="AZ508" s="251" t="str">
        <f t="shared" si="31"/>
        <v/>
      </c>
      <c r="BA508" s="251" t="str">
        <f t="shared" si="32"/>
        <v/>
      </c>
      <c r="BB508" s="251" t="str">
        <f t="shared" si="33"/>
        <v/>
      </c>
      <c r="BC508" s="251" t="str">
        <f t="shared" si="34"/>
        <v/>
      </c>
      <c r="BD508" s="251" t="str">
        <f t="shared" si="35"/>
        <v/>
      </c>
      <c r="BE508" s="251" t="str">
        <f t="shared" si="36"/>
        <v/>
      </c>
      <c r="BF508" s="251" t="str">
        <f t="shared" si="37"/>
        <v/>
      </c>
      <c r="BG508" s="251" t="str">
        <f t="shared" si="38"/>
        <v/>
      </c>
      <c r="BH508" s="251" t="str">
        <f t="shared" si="39"/>
        <v/>
      </c>
      <c r="BI508" s="251" t="str">
        <f t="shared" si="40"/>
        <v/>
      </c>
      <c r="BJ508" s="251" t="str">
        <f t="shared" si="41"/>
        <v/>
      </c>
      <c r="BK508" s="251" t="str">
        <f t="shared" si="42"/>
        <v/>
      </c>
      <c r="BL508" s="251" t="str">
        <f t="shared" si="43"/>
        <v/>
      </c>
      <c r="BM508" s="251" t="str">
        <f t="shared" si="44"/>
        <v/>
      </c>
      <c r="BN508" s="251" t="str">
        <f t="shared" si="45"/>
        <v/>
      </c>
      <c r="BO508" s="251" t="str">
        <f t="shared" si="46"/>
        <v/>
      </c>
      <c r="BP508" s="251" t="str">
        <f t="shared" si="47"/>
        <v/>
      </c>
      <c r="BQ508" s="251" t="str">
        <f t="shared" si="48"/>
        <v/>
      </c>
      <c r="BR508" s="251" t="str">
        <f t="shared" si="49"/>
        <v/>
      </c>
      <c r="BS508" s="251" t="str">
        <f t="shared" si="50"/>
        <v/>
      </c>
      <c r="BT508" s="251" t="str">
        <f t="shared" si="51"/>
        <v/>
      </c>
      <c r="BU508" s="251" t="str">
        <f t="shared" si="52"/>
        <v/>
      </c>
      <c r="BV508" s="251" t="str">
        <f t="shared" si="53"/>
        <v/>
      </c>
      <c r="BW508" s="251" t="str">
        <f t="shared" si="54"/>
        <v/>
      </c>
      <c r="BX508" s="251" t="str">
        <f t="shared" si="55"/>
        <v/>
      </c>
      <c r="BY508" s="251" t="str">
        <f t="shared" si="56"/>
        <v/>
      </c>
      <c r="BZ508" s="251" t="str">
        <f t="shared" si="57"/>
        <v/>
      </c>
      <c r="CA508" s="251" t="str">
        <f t="shared" si="58"/>
        <v/>
      </c>
      <c r="CB508" s="251" t="str">
        <f t="shared" si="59"/>
        <v/>
      </c>
      <c r="CC508" s="251" t="str">
        <f t="shared" si="60"/>
        <v/>
      </c>
      <c r="CD508" s="251" t="str">
        <f t="shared" si="61"/>
        <v/>
      </c>
      <c r="CE508" s="251" t="str">
        <f t="shared" si="62"/>
        <v/>
      </c>
      <c r="CF508" s="251" t="str">
        <f t="shared" si="63"/>
        <v/>
      </c>
      <c r="CG508" s="251" t="str">
        <f t="shared" si="64"/>
        <v/>
      </c>
      <c r="CH508" s="251" t="str">
        <f t="shared" si="65"/>
        <v/>
      </c>
      <c r="CI508" s="251" t="str">
        <f t="shared" si="66"/>
        <v/>
      </c>
      <c r="CJ508" s="251" t="str">
        <f t="shared" si="67"/>
        <v/>
      </c>
      <c r="CK508" s="251" t="str">
        <f t="shared" si="68"/>
        <v/>
      </c>
      <c r="CL508" s="251" t="str">
        <f t="shared" si="69"/>
        <v/>
      </c>
      <c r="CM508" s="251" t="str">
        <f t="shared" si="70"/>
        <v/>
      </c>
      <c r="CN508" s="251" t="str">
        <f t="shared" si="71"/>
        <v/>
      </c>
      <c r="CO508" s="251" t="str">
        <f t="shared" si="72"/>
        <v/>
      </c>
      <c r="CP508" s="251" t="str">
        <f t="shared" si="73"/>
        <v/>
      </c>
      <c r="CQ508" s="251" t="str">
        <f t="shared" si="74"/>
        <v/>
      </c>
      <c r="CR508" s="251" t="str">
        <f t="shared" si="75"/>
        <v/>
      </c>
      <c r="CS508" s="251" t="str">
        <f t="shared" si="76"/>
        <v/>
      </c>
      <c r="CT508" s="251" t="str">
        <f t="shared" si="77"/>
        <v/>
      </c>
      <c r="CU508" s="251" t="str">
        <f t="shared" si="78"/>
        <v/>
      </c>
      <c r="CV508" s="251" t="str">
        <f t="shared" si="79"/>
        <v/>
      </c>
      <c r="CW508" s="251" t="str">
        <f t="shared" si="80"/>
        <v/>
      </c>
      <c r="CX508" s="251" t="str">
        <f t="shared" si="81"/>
        <v/>
      </c>
      <c r="CY508" s="251" t="str">
        <f t="shared" si="82"/>
        <v/>
      </c>
      <c r="CZ508" s="251" t="str">
        <f t="shared" si="83"/>
        <v/>
      </c>
      <c r="DA508" s="251" t="str">
        <f t="shared" si="84"/>
        <v/>
      </c>
      <c r="DB508" s="251" t="str">
        <f t="shared" si="85"/>
        <v/>
      </c>
      <c r="DC508" s="251" t="str">
        <f t="shared" si="86"/>
        <v/>
      </c>
      <c r="DD508" s="251" t="str">
        <f t="shared" si="87"/>
        <v/>
      </c>
      <c r="DE508" s="251" t="str">
        <f t="shared" si="88"/>
        <v/>
      </c>
      <c r="DF508" s="251" t="str">
        <f t="shared" si="89"/>
        <v/>
      </c>
      <c r="DG508" s="251" t="str">
        <f t="shared" si="90"/>
        <v/>
      </c>
      <c r="DH508" s="251" t="str">
        <f t="shared" si="91"/>
        <v/>
      </c>
      <c r="DI508" s="251" t="str">
        <f t="shared" si="92"/>
        <v/>
      </c>
      <c r="DJ508" s="251" t="str">
        <f t="shared" si="93"/>
        <v/>
      </c>
      <c r="DK508" s="251" t="str">
        <f t="shared" si="94"/>
        <v/>
      </c>
      <c r="DL508" s="251" t="str">
        <f t="shared" si="95"/>
        <v/>
      </c>
      <c r="DM508" s="251" t="str">
        <f t="shared" si="96"/>
        <v/>
      </c>
      <c r="DN508" s="251" t="str">
        <f t="shared" si="97"/>
        <v/>
      </c>
      <c r="DO508" s="251" t="str">
        <f t="shared" si="98"/>
        <v/>
      </c>
      <c r="DP508" s="251" t="str">
        <f t="shared" si="99"/>
        <v/>
      </c>
      <c r="DQ508" s="251" t="str">
        <f t="shared" si="100"/>
        <v/>
      </c>
      <c r="DR508" s="251" t="str">
        <f t="shared" si="101"/>
        <v/>
      </c>
      <c r="DS508" s="251" t="str">
        <f t="shared" si="102"/>
        <v/>
      </c>
      <c r="DT508" s="251" t="str">
        <f t="shared" si="103"/>
        <v/>
      </c>
      <c r="DU508" s="251" t="str">
        <f t="shared" si="104"/>
        <v/>
      </c>
      <c r="DV508" s="251" t="str">
        <f t="shared" si="105"/>
        <v/>
      </c>
      <c r="DW508" s="251" t="str">
        <f t="shared" si="106"/>
        <v/>
      </c>
      <c r="DX508" s="251" t="str">
        <f t="shared" si="107"/>
        <v/>
      </c>
      <c r="DY508" s="251" t="str">
        <f t="shared" si="108"/>
        <v/>
      </c>
      <c r="DZ508" s="251" t="str">
        <f t="shared" si="109"/>
        <v/>
      </c>
      <c r="EA508" s="251" t="str">
        <f t="shared" si="110"/>
        <v/>
      </c>
      <c r="EB508" s="251" t="str">
        <f t="shared" si="111"/>
        <v/>
      </c>
      <c r="EC508" s="251" t="str">
        <f t="shared" si="112"/>
        <v/>
      </c>
      <c r="ED508" s="251" t="str">
        <f t="shared" si="113"/>
        <v/>
      </c>
      <c r="EE508" s="251" t="str">
        <f t="shared" si="114"/>
        <v/>
      </c>
      <c r="EF508" s="251" t="str">
        <f t="shared" si="115"/>
        <v/>
      </c>
      <c r="EG508" s="251" t="str">
        <f t="shared" si="116"/>
        <v/>
      </c>
      <c r="EH508" s="251" t="str">
        <f t="shared" si="117"/>
        <v/>
      </c>
      <c r="EI508" s="251" t="str">
        <f t="shared" si="118"/>
        <v/>
      </c>
      <c r="EJ508" s="251" t="str">
        <f t="shared" si="119"/>
        <v/>
      </c>
      <c r="EK508" s="251" t="str">
        <f t="shared" si="120"/>
        <v/>
      </c>
      <c r="EL508" s="251" t="str">
        <f t="shared" si="121"/>
        <v/>
      </c>
      <c r="EM508" s="251" t="str">
        <f t="shared" si="122"/>
        <v/>
      </c>
      <c r="EN508" s="251" t="str">
        <f t="shared" si="123"/>
        <v/>
      </c>
      <c r="EO508" s="251" t="str">
        <f t="shared" si="124"/>
        <v/>
      </c>
      <c r="EP508" s="251" t="str">
        <f t="shared" si="125"/>
        <v/>
      </c>
      <c r="EQ508" s="251" t="str">
        <f t="shared" si="126"/>
        <v/>
      </c>
      <c r="ER508" s="251" t="str">
        <f t="shared" si="127"/>
        <v/>
      </c>
      <c r="ES508" s="251" t="str">
        <f t="shared" si="128"/>
        <v/>
      </c>
      <c r="ET508" s="251" t="str">
        <f t="shared" si="129"/>
        <v/>
      </c>
      <c r="EU508" s="251" t="str">
        <f t="shared" si="130"/>
        <v/>
      </c>
      <c r="EV508" s="251" t="str">
        <f t="shared" si="131"/>
        <v/>
      </c>
      <c r="EW508" s="251" t="str">
        <f t="shared" si="132"/>
        <v/>
      </c>
      <c r="EX508" s="251" t="str">
        <f t="shared" si="133"/>
        <v/>
      </c>
      <c r="EY508" s="251" t="str">
        <f t="shared" si="134"/>
        <v/>
      </c>
      <c r="EZ508" s="251" t="str">
        <f t="shared" si="135"/>
        <v/>
      </c>
      <c r="FA508" s="251" t="str">
        <f t="shared" si="136"/>
        <v/>
      </c>
      <c r="FB508" s="251" t="str">
        <f t="shared" si="137"/>
        <v/>
      </c>
      <c r="FC508" s="251" t="str">
        <f t="shared" si="138"/>
        <v/>
      </c>
      <c r="FD508" s="251" t="str">
        <f t="shared" si="139"/>
        <v/>
      </c>
      <c r="FE508" s="251" t="str">
        <f t="shared" si="140"/>
        <v/>
      </c>
      <c r="FF508" s="251" t="str">
        <f t="shared" si="141"/>
        <v/>
      </c>
      <c r="FG508" s="251" t="str">
        <f t="shared" si="142"/>
        <v/>
      </c>
      <c r="FH508" s="251" t="str">
        <f t="shared" si="143"/>
        <v/>
      </c>
      <c r="FI508" s="251" t="str">
        <f t="shared" si="144"/>
        <v/>
      </c>
      <c r="FJ508" s="251" t="str">
        <f t="shared" si="145"/>
        <v/>
      </c>
      <c r="FK508" s="251" t="str">
        <f t="shared" si="146"/>
        <v/>
      </c>
      <c r="FL508" s="251" t="str">
        <f t="shared" si="147"/>
        <v/>
      </c>
      <c r="FM508" s="251" t="str">
        <f t="shared" si="148"/>
        <v/>
      </c>
      <c r="FN508" s="251" t="str">
        <f t="shared" si="149"/>
        <v/>
      </c>
      <c r="FO508" s="251" t="str">
        <f t="shared" si="150"/>
        <v/>
      </c>
      <c r="FP508" s="251" t="str">
        <f t="shared" si="151"/>
        <v/>
      </c>
      <c r="FQ508" s="251" t="str">
        <f t="shared" si="152"/>
        <v/>
      </c>
      <c r="FR508" s="251" t="str">
        <f t="shared" si="153"/>
        <v/>
      </c>
      <c r="FS508" s="251" t="str">
        <f t="shared" si="154"/>
        <v/>
      </c>
      <c r="FT508" s="251" t="str">
        <f t="shared" si="155"/>
        <v/>
      </c>
      <c r="FU508" s="251" t="str">
        <f t="shared" si="156"/>
        <v/>
      </c>
      <c r="FV508" s="251" t="str">
        <f t="shared" si="157"/>
        <v/>
      </c>
      <c r="FW508" s="251" t="str">
        <f t="shared" si="158"/>
        <v/>
      </c>
      <c r="FX508" s="251" t="str">
        <f t="shared" si="159"/>
        <v/>
      </c>
      <c r="FY508" s="251" t="str">
        <f t="shared" si="160"/>
        <v/>
      </c>
      <c r="FZ508" s="251" t="str">
        <f t="shared" si="161"/>
        <v/>
      </c>
      <c r="GA508" s="251" t="str">
        <f t="shared" si="162"/>
        <v/>
      </c>
      <c r="GB508" s="251" t="str">
        <f t="shared" si="163"/>
        <v/>
      </c>
      <c r="GC508" s="251" t="str">
        <f t="shared" si="164"/>
        <v/>
      </c>
      <c r="GD508" s="251" t="str">
        <f t="shared" si="165"/>
        <v/>
      </c>
      <c r="GE508" s="251" t="str">
        <f t="shared" si="166"/>
        <v/>
      </c>
      <c r="GF508" s="251" t="str">
        <f t="shared" si="167"/>
        <v/>
      </c>
      <c r="GG508" s="251" t="str">
        <f t="shared" si="168"/>
        <v/>
      </c>
      <c r="GH508" s="251" t="str">
        <f t="shared" si="169"/>
        <v/>
      </c>
      <c r="GI508" s="251" t="str">
        <f t="shared" si="170"/>
        <v/>
      </c>
      <c r="GJ508" s="251" t="str">
        <f t="shared" si="171"/>
        <v/>
      </c>
      <c r="GK508" s="251" t="str">
        <f t="shared" si="172"/>
        <v/>
      </c>
      <c r="GL508" s="251" t="str">
        <f t="shared" si="173"/>
        <v/>
      </c>
      <c r="GM508" s="251" t="str">
        <f t="shared" si="174"/>
        <v/>
      </c>
      <c r="GN508" s="251" t="str">
        <f t="shared" si="175"/>
        <v/>
      </c>
      <c r="GO508" s="251" t="str">
        <f t="shared" si="176"/>
        <v/>
      </c>
      <c r="GP508" s="251" t="str">
        <f t="shared" si="177"/>
        <v/>
      </c>
      <c r="GQ508" s="251" t="str">
        <f t="shared" si="178"/>
        <v/>
      </c>
      <c r="GR508" s="251" t="str">
        <f t="shared" si="179"/>
        <v/>
      </c>
      <c r="GS508" s="251" t="str">
        <f t="shared" si="180"/>
        <v/>
      </c>
      <c r="GT508" s="251" t="str">
        <f t="shared" si="181"/>
        <v/>
      </c>
      <c r="GU508" s="251" t="str">
        <f t="shared" si="182"/>
        <v/>
      </c>
      <c r="GV508" s="251" t="str">
        <f t="shared" si="183"/>
        <v/>
      </c>
      <c r="GW508" s="251" t="str">
        <f t="shared" si="184"/>
        <v/>
      </c>
      <c r="GX508" s="251" t="str">
        <f t="shared" si="185"/>
        <v/>
      </c>
      <c r="GY508" s="251" t="str">
        <f t="shared" si="186"/>
        <v/>
      </c>
      <c r="GZ508" s="251" t="str">
        <f t="shared" si="187"/>
        <v/>
      </c>
      <c r="HA508" s="251" t="str">
        <f t="shared" si="188"/>
        <v/>
      </c>
      <c r="HB508" s="251" t="str">
        <f t="shared" si="189"/>
        <v/>
      </c>
      <c r="HC508" s="251" t="str">
        <f t="shared" si="190"/>
        <v/>
      </c>
      <c r="HD508" s="251" t="str">
        <f t="shared" si="191"/>
        <v/>
      </c>
      <c r="HE508" s="251" t="str">
        <f t="shared" si="192"/>
        <v/>
      </c>
      <c r="HF508" s="251" t="str">
        <f t="shared" si="193"/>
        <v/>
      </c>
      <c r="HG508" s="251" t="str">
        <f t="shared" si="194"/>
        <v/>
      </c>
      <c r="HH508" s="251" t="str">
        <f t="shared" si="195"/>
        <v/>
      </c>
      <c r="HI508" s="251" t="str">
        <f t="shared" si="196"/>
        <v/>
      </c>
      <c r="HJ508" s="251" t="str">
        <f t="shared" si="197"/>
        <v/>
      </c>
      <c r="HK508" s="251" t="str">
        <f t="shared" si="198"/>
        <v/>
      </c>
      <c r="HL508" s="251" t="str">
        <f t="shared" si="199"/>
        <v/>
      </c>
      <c r="HM508" s="251" t="str">
        <f t="shared" si="200"/>
        <v/>
      </c>
      <c r="HN508" s="251" t="str">
        <f t="shared" si="201"/>
        <v/>
      </c>
      <c r="HO508" s="251" t="str">
        <f t="shared" si="202"/>
        <v/>
      </c>
      <c r="HP508" s="251" t="str">
        <f t="shared" si="203"/>
        <v/>
      </c>
      <c r="HQ508" s="251" t="str">
        <f t="shared" si="204"/>
        <v/>
      </c>
      <c r="HR508" s="251" t="str">
        <f t="shared" si="205"/>
        <v/>
      </c>
      <c r="HS508" s="251" t="str">
        <f t="shared" si="206"/>
        <v/>
      </c>
      <c r="HT508" s="251" t="str">
        <f t="shared" si="207"/>
        <v/>
      </c>
      <c r="HU508" s="251" t="str">
        <f t="shared" si="208"/>
        <v/>
      </c>
      <c r="HV508" s="251" t="str">
        <f t="shared" si="209"/>
        <v/>
      </c>
      <c r="HW508" s="251" t="str">
        <f t="shared" si="210"/>
        <v/>
      </c>
      <c r="HX508" s="251" t="str">
        <f t="shared" si="211"/>
        <v/>
      </c>
      <c r="HY508" s="251" t="str">
        <f t="shared" si="212"/>
        <v/>
      </c>
      <c r="HZ508" s="251" t="str">
        <f t="shared" si="213"/>
        <v/>
      </c>
      <c r="IA508" s="251" t="str">
        <f t="shared" si="214"/>
        <v/>
      </c>
      <c r="IB508" s="251" t="str">
        <f t="shared" si="215"/>
        <v/>
      </c>
      <c r="IC508" s="251" t="str">
        <f t="shared" si="216"/>
        <v/>
      </c>
      <c r="ID508" s="251" t="str">
        <f t="shared" si="217"/>
        <v/>
      </c>
      <c r="IE508" s="251" t="str">
        <f t="shared" si="218"/>
        <v/>
      </c>
      <c r="IF508" s="251" t="str">
        <f t="shared" si="219"/>
        <v/>
      </c>
      <c r="IG508" s="251" t="str">
        <f t="shared" si="220"/>
        <v/>
      </c>
      <c r="IH508" s="251" t="str">
        <f t="shared" si="221"/>
        <v/>
      </c>
      <c r="II508" s="251" t="str">
        <f t="shared" si="222"/>
        <v/>
      </c>
      <c r="IJ508" s="251" t="str">
        <f t="shared" si="223"/>
        <v/>
      </c>
      <c r="IK508" s="251" t="str">
        <f t="shared" si="224"/>
        <v/>
      </c>
      <c r="IL508" s="251" t="str">
        <f t="shared" si="225"/>
        <v/>
      </c>
      <c r="IM508" s="251" t="str">
        <f t="shared" si="226"/>
        <v/>
      </c>
      <c r="IN508" s="251" t="str">
        <f t="shared" si="227"/>
        <v/>
      </c>
      <c r="IO508" s="251" t="str">
        <f t="shared" si="228"/>
        <v/>
      </c>
      <c r="IP508" s="251" t="str">
        <f t="shared" si="229"/>
        <v/>
      </c>
      <c r="IQ508" s="251" t="str">
        <f t="shared" si="230"/>
        <v/>
      </c>
      <c r="IR508" s="251" t="str">
        <f t="shared" si="231"/>
        <v/>
      </c>
      <c r="IS508" s="251" t="str">
        <f t="shared" si="232"/>
        <v/>
      </c>
      <c r="IT508" s="251" t="str">
        <f t="shared" si="233"/>
        <v/>
      </c>
      <c r="IU508" s="251" t="str">
        <f t="shared" si="234"/>
        <v/>
      </c>
      <c r="IV508" s="251" t="str">
        <f t="shared" si="235"/>
        <v/>
      </c>
      <c r="IW508" s="251" t="str">
        <f t="shared" si="236"/>
        <v/>
      </c>
      <c r="IX508" s="251" t="str">
        <f t="shared" si="237"/>
        <v/>
      </c>
      <c r="IY508" s="251" t="str">
        <f t="shared" si="238"/>
        <v/>
      </c>
      <c r="IZ508" s="251" t="str">
        <f t="shared" si="239"/>
        <v/>
      </c>
      <c r="JA508" s="251" t="str">
        <f t="shared" si="240"/>
        <v/>
      </c>
      <c r="JB508" s="251" t="str">
        <f t="shared" si="241"/>
        <v/>
      </c>
      <c r="JC508" s="251" t="str">
        <f t="shared" si="242"/>
        <v/>
      </c>
      <c r="JD508" s="251" t="str">
        <f t="shared" si="243"/>
        <v/>
      </c>
      <c r="JE508" s="251" t="str">
        <f t="shared" si="244"/>
        <v/>
      </c>
      <c r="JF508" s="251" t="str">
        <f t="shared" si="245"/>
        <v/>
      </c>
      <c r="JG508" s="251" t="str">
        <f t="shared" si="246"/>
        <v/>
      </c>
      <c r="JH508" s="251" t="str">
        <f t="shared" si="247"/>
        <v/>
      </c>
      <c r="JI508" s="1297" t="str">
        <f t="shared" si="248"/>
        <v/>
      </c>
      <c r="JJ508" s="1297" t="str">
        <f t="shared" si="249"/>
        <v/>
      </c>
      <c r="JK508" s="1297" t="str">
        <f t="shared" si="250"/>
        <v/>
      </c>
      <c r="JL508" s="1297" t="str">
        <f t="shared" si="251"/>
        <v/>
      </c>
      <c r="JM508" s="1297" t="str">
        <f t="shared" si="252"/>
        <v/>
      </c>
      <c r="JN508" s="1297" t="str">
        <f t="shared" si="253"/>
        <v/>
      </c>
      <c r="JO508" s="1297" t="str">
        <f t="shared" si="254"/>
        <v/>
      </c>
      <c r="JP508" s="1297" t="str">
        <f t="shared" si="255"/>
        <v/>
      </c>
      <c r="JQ508" s="1297" t="str">
        <f t="shared" si="256"/>
        <v/>
      </c>
      <c r="JR508" s="1297" t="str">
        <f t="shared" si="257"/>
        <v/>
      </c>
      <c r="JS508" s="1297" t="str">
        <f t="shared" si="258"/>
        <v/>
      </c>
      <c r="JT508" s="1297" t="str">
        <f t="shared" si="259"/>
        <v/>
      </c>
      <c r="JU508" s="1297" t="str">
        <f t="shared" si="260"/>
        <v/>
      </c>
      <c r="JV508" s="1297" t="str">
        <f t="shared" si="261"/>
        <v/>
      </c>
      <c r="JW508" s="1297" t="str">
        <f t="shared" si="262"/>
        <v/>
      </c>
      <c r="JX508" s="1297" t="str">
        <f t="shared" si="263"/>
        <v/>
      </c>
      <c r="JY508" s="1297" t="str">
        <f t="shared" si="264"/>
        <v/>
      </c>
      <c r="JZ508" s="1297" t="str">
        <f t="shared" si="265"/>
        <v/>
      </c>
      <c r="KA508" s="1297" t="str">
        <f t="shared" si="266"/>
        <v/>
      </c>
      <c r="KB508" s="1297" t="str">
        <f t="shared" si="267"/>
        <v/>
      </c>
      <c r="KC508" s="1297" t="str">
        <f t="shared" si="268"/>
        <v/>
      </c>
      <c r="KD508" s="1297" t="str">
        <f t="shared" si="269"/>
        <v/>
      </c>
      <c r="KE508" s="1297" t="str">
        <f t="shared" si="270"/>
        <v/>
      </c>
      <c r="KF508" s="1297" t="str">
        <f t="shared" si="271"/>
        <v/>
      </c>
      <c r="KG508" s="1297" t="str">
        <f t="shared" si="272"/>
        <v/>
      </c>
      <c r="KH508" s="1297" t="str">
        <f t="shared" si="273"/>
        <v/>
      </c>
      <c r="KI508" s="1297" t="str">
        <f t="shared" si="274"/>
        <v/>
      </c>
      <c r="KJ508" s="1297" t="str">
        <f t="shared" si="275"/>
        <v/>
      </c>
      <c r="KK508" s="1297" t="str">
        <f t="shared" si="276"/>
        <v/>
      </c>
      <c r="KL508" s="1297" t="str">
        <f t="shared" si="277"/>
        <v/>
      </c>
      <c r="KM508" s="1297" t="str">
        <f t="shared" si="278"/>
        <v/>
      </c>
      <c r="KN508" s="1297" t="str">
        <f t="shared" si="279"/>
        <v/>
      </c>
      <c r="KO508" s="1297" t="str">
        <f t="shared" si="280"/>
        <v/>
      </c>
      <c r="KP508" s="1297" t="str">
        <f t="shared" si="281"/>
        <v/>
      </c>
      <c r="KQ508" s="1297" t="str">
        <f t="shared" si="282"/>
        <v/>
      </c>
      <c r="KR508" s="1297" t="str">
        <f t="shared" si="283"/>
        <v/>
      </c>
      <c r="KS508" s="1297" t="str">
        <f t="shared" si="284"/>
        <v/>
      </c>
      <c r="KT508" s="1297" t="str">
        <f t="shared" si="285"/>
        <v/>
      </c>
      <c r="KU508" s="1297" t="str">
        <f t="shared" si="286"/>
        <v/>
      </c>
      <c r="KV508" s="1297" t="str">
        <f t="shared" si="287"/>
        <v/>
      </c>
      <c r="KW508" s="1297" t="str">
        <f t="shared" si="288"/>
        <v/>
      </c>
      <c r="KX508" s="1297" t="str">
        <f t="shared" si="289"/>
        <v/>
      </c>
      <c r="KY508" s="1297" t="str">
        <f t="shared" si="290"/>
        <v/>
      </c>
      <c r="KZ508" s="1297" t="str">
        <f t="shared" si="291"/>
        <v/>
      </c>
      <c r="LA508" s="1297" t="str">
        <f t="shared" si="292"/>
        <v/>
      </c>
      <c r="LB508" s="1297" t="str">
        <f t="shared" si="293"/>
        <v/>
      </c>
      <c r="LC508" s="1297" t="str">
        <f t="shared" si="294"/>
        <v/>
      </c>
      <c r="LD508" s="1297" t="str">
        <f t="shared" si="295"/>
        <v/>
      </c>
      <c r="LE508" s="1297" t="str">
        <f t="shared" si="296"/>
        <v/>
      </c>
      <c r="LF508" s="1297" t="str">
        <f t="shared" si="297"/>
        <v/>
      </c>
      <c r="LG508" s="1297" t="str">
        <f t="shared" si="298"/>
        <v/>
      </c>
      <c r="LH508" s="1297" t="str">
        <f t="shared" si="299"/>
        <v/>
      </c>
      <c r="LI508" s="1297" t="str">
        <f t="shared" si="300"/>
        <v/>
      </c>
      <c r="LJ508" s="1297" t="str">
        <f t="shared" si="301"/>
        <v/>
      </c>
      <c r="LK508" s="1297" t="str">
        <f t="shared" si="302"/>
        <v/>
      </c>
      <c r="LL508" s="1297" t="str">
        <f t="shared" si="303"/>
        <v/>
      </c>
      <c r="LM508" s="1297" t="str">
        <f t="shared" si="304"/>
        <v/>
      </c>
      <c r="LN508" s="1297" t="str">
        <f t="shared" si="305"/>
        <v/>
      </c>
      <c r="LO508" s="1297" t="str">
        <f t="shared" si="306"/>
        <v/>
      </c>
      <c r="LP508" s="1297" t="str">
        <f t="shared" si="307"/>
        <v/>
      </c>
      <c r="LQ508" s="1297" t="str">
        <f t="shared" si="308"/>
        <v/>
      </c>
      <c r="LR508" s="1297" t="str">
        <f t="shared" si="309"/>
        <v/>
      </c>
      <c r="LS508" s="1297" t="str">
        <f t="shared" si="310"/>
        <v/>
      </c>
      <c r="LT508" s="1297" t="str">
        <f t="shared" si="311"/>
        <v/>
      </c>
      <c r="LU508" s="1297" t="str">
        <f t="shared" si="312"/>
        <v/>
      </c>
      <c r="LV508" s="1297" t="str">
        <f t="shared" si="313"/>
        <v/>
      </c>
      <c r="LW508" s="1297" t="str">
        <f t="shared" si="314"/>
        <v/>
      </c>
      <c r="LX508" s="1297" t="str">
        <f t="shared" si="315"/>
        <v/>
      </c>
      <c r="LY508" s="1297" t="str">
        <f t="shared" si="316"/>
        <v/>
      </c>
      <c r="LZ508" s="1297" t="str">
        <f t="shared" si="317"/>
        <v/>
      </c>
      <c r="MA508" s="1297" t="str">
        <f t="shared" si="318"/>
        <v/>
      </c>
      <c r="MB508" s="1297" t="str">
        <f t="shared" si="319"/>
        <v/>
      </c>
      <c r="MC508" s="1297" t="str">
        <f t="shared" si="320"/>
        <v/>
      </c>
      <c r="MD508" s="1297" t="str">
        <f t="shared" si="321"/>
        <v/>
      </c>
      <c r="ME508" s="1297" t="str">
        <f t="shared" si="322"/>
        <v/>
      </c>
      <c r="MF508" s="1297" t="str">
        <f t="shared" si="323"/>
        <v/>
      </c>
      <c r="MG508" s="1297" t="str">
        <f t="shared" si="324"/>
        <v/>
      </c>
      <c r="MH508" s="1297" t="str">
        <f t="shared" si="325"/>
        <v/>
      </c>
      <c r="MI508" s="1297" t="str">
        <f t="shared" si="326"/>
        <v/>
      </c>
      <c r="MJ508" s="1297" t="str">
        <f t="shared" si="327"/>
        <v/>
      </c>
      <c r="MK508" s="1297" t="str">
        <f t="shared" si="328"/>
        <v/>
      </c>
      <c r="ML508" s="1297" t="str">
        <f t="shared" si="329"/>
        <v/>
      </c>
      <c r="MM508" s="1297" t="str">
        <f t="shared" si="330"/>
        <v/>
      </c>
      <c r="MN508" s="1297" t="str">
        <f t="shared" si="331"/>
        <v/>
      </c>
      <c r="MO508" s="1297" t="str">
        <f t="shared" si="332"/>
        <v/>
      </c>
      <c r="MP508" s="1773" t="str">
        <f t="shared" si="333"/>
        <v/>
      </c>
      <c r="MQ508" s="1773" t="str">
        <f t="shared" si="334"/>
        <v/>
      </c>
      <c r="MR508" s="1773" t="str">
        <f t="shared" si="335"/>
        <v/>
      </c>
      <c r="MS508" s="1773" t="str">
        <f t="shared" si="336"/>
        <v/>
      </c>
      <c r="MT508" s="1773" t="str">
        <f t="shared" si="337"/>
        <v/>
      </c>
      <c r="MU508" s="251" t="str">
        <f t="shared" si="338"/>
        <v/>
      </c>
      <c r="MV508" s="251" t="str">
        <f t="shared" si="339"/>
        <v/>
      </c>
      <c r="MW508" s="251" t="str">
        <f t="shared" si="340"/>
        <v/>
      </c>
      <c r="MX508" s="251" t="str">
        <f t="shared" si="341"/>
        <v/>
      </c>
      <c r="MY508" s="251" t="str">
        <f t="shared" si="342"/>
        <v/>
      </c>
      <c r="MZ508" s="251" t="str">
        <f t="shared" si="343"/>
        <v/>
      </c>
      <c r="NA508" s="251" t="str">
        <f t="shared" si="344"/>
        <v/>
      </c>
      <c r="NB508" s="251" t="str">
        <f t="shared" si="345"/>
        <v/>
      </c>
      <c r="NC508" s="251" t="str">
        <f t="shared" si="346"/>
        <v/>
      </c>
      <c r="ND508" s="251" t="str">
        <f t="shared" si="347"/>
        <v/>
      </c>
      <c r="NE508" s="251" t="str">
        <f t="shared" si="348"/>
        <v/>
      </c>
      <c r="NF508" s="251" t="str">
        <f t="shared" si="349"/>
        <v/>
      </c>
      <c r="NG508" s="251" t="str">
        <f t="shared" si="350"/>
        <v/>
      </c>
      <c r="NH508" s="251" t="str">
        <f t="shared" si="351"/>
        <v/>
      </c>
      <c r="NI508" s="251" t="str">
        <f t="shared" si="352"/>
        <v/>
      </c>
      <c r="NJ508" s="251" t="str">
        <f t="shared" si="353"/>
        <v/>
      </c>
      <c r="NK508" s="251" t="str">
        <f t="shared" si="354"/>
        <v/>
      </c>
      <c r="NL508" s="251" t="str">
        <f t="shared" si="355"/>
        <v/>
      </c>
      <c r="NM508" s="251" t="str">
        <f t="shared" si="356"/>
        <v/>
      </c>
      <c r="NN508" s="251" t="str">
        <f t="shared" si="357"/>
        <v/>
      </c>
      <c r="NO508" s="1185">
        <f t="shared" si="358"/>
        <v>0</v>
      </c>
      <c r="NP508" s="1185">
        <f t="shared" si="359"/>
        <v>0</v>
      </c>
      <c r="NQ508" s="1185">
        <f t="shared" si="360"/>
        <v>0</v>
      </c>
      <c r="NR508" s="1185">
        <f t="shared" si="361"/>
        <v>0</v>
      </c>
      <c r="NS508" s="1185">
        <f t="shared" si="362"/>
        <v>0</v>
      </c>
      <c r="NT508" s="1185">
        <f t="shared" si="368"/>
        <v>0</v>
      </c>
      <c r="NU508" s="1185">
        <f t="shared" si="369"/>
        <v>0</v>
      </c>
      <c r="NV508" s="1185">
        <f t="shared" si="370"/>
        <v>0</v>
      </c>
      <c r="NW508" s="1185">
        <f t="shared" si="371"/>
        <v>0</v>
      </c>
      <c r="NX508" s="1185">
        <f t="shared" si="372"/>
        <v>0</v>
      </c>
      <c r="NY508" s="1185">
        <f t="shared" si="363"/>
        <v>0</v>
      </c>
      <c r="NZ508" s="1185">
        <f t="shared" si="364"/>
        <v>0</v>
      </c>
      <c r="OA508" s="1185">
        <f t="shared" si="365"/>
        <v>0</v>
      </c>
      <c r="OB508" s="1185">
        <f t="shared" si="366"/>
        <v>0</v>
      </c>
      <c r="OC508" s="1185">
        <f t="shared" si="367"/>
        <v>0</v>
      </c>
      <c r="OY508" s="251" t="s">
        <v>1195</v>
      </c>
      <c r="OZ508" s="1185">
        <v>51</v>
      </c>
    </row>
    <row r="509" spans="1:416" ht="12" customHeight="1">
      <c r="A509" s="1979" t="str">
        <f t="shared" si="0"/>
        <v/>
      </c>
      <c r="B509" s="1998">
        <f>'Part V-Revenues &amp; Expenses'!B56</f>
        <v>0</v>
      </c>
      <c r="C509" s="1999">
        <f>'Part V-Revenues &amp; Expenses'!C56</f>
        <v>0</v>
      </c>
      <c r="D509" s="2000">
        <f>'Part V-Revenues &amp; Expenses'!D56</f>
        <v>0</v>
      </c>
      <c r="E509" s="2001">
        <f>'Part V-Revenues &amp; Expenses'!E56</f>
        <v>0</v>
      </c>
      <c r="F509" s="2001">
        <f>'Part V-Revenues &amp; Expenses'!F56</f>
        <v>0</v>
      </c>
      <c r="G509" s="2001">
        <f>'Part V-Revenues &amp; Expenses'!G56</f>
        <v>0</v>
      </c>
      <c r="H509" s="2001">
        <f>'Part V-Revenues &amp; Expenses'!H56</f>
        <v>0</v>
      </c>
      <c r="I509" s="2001">
        <f>'Part V-Revenues &amp; Expenses'!I56</f>
        <v>0</v>
      </c>
      <c r="J509" s="2001">
        <f>'Part V-Revenues &amp; Expenses'!J56</f>
        <v>0</v>
      </c>
      <c r="K509" s="2002">
        <f>'Part V-Revenues &amp; Expenses'!K56</f>
        <v>0</v>
      </c>
      <c r="L509" s="2003">
        <f t="shared" si="1"/>
        <v>0</v>
      </c>
      <c r="M509" s="2003">
        <f t="shared" si="2"/>
        <v>0</v>
      </c>
      <c r="N509" s="1853">
        <f>'Part V-Revenues &amp; Expenses'!N56</f>
        <v>0</v>
      </c>
      <c r="O509" s="899">
        <f>'Part V-Revenues &amp; Expenses'!O56</f>
        <v>0</v>
      </c>
      <c r="P509" s="1853">
        <f>'Part V-Revenues &amp; Expenses'!P56</f>
        <v>0</v>
      </c>
      <c r="Q509" s="1772">
        <f>'Part V-Revenues &amp; Expenses'!Q56</f>
        <v>0</v>
      </c>
      <c r="R509" s="2004"/>
      <c r="S509" s="2005"/>
      <c r="T509" s="1920"/>
      <c r="U509" s="1920"/>
      <c r="V509" s="1920"/>
      <c r="W509" s="1920"/>
      <c r="X509" s="251" t="str">
        <f t="shared" si="3"/>
        <v/>
      </c>
      <c r="Y509" s="251" t="str">
        <f t="shared" si="4"/>
        <v/>
      </c>
      <c r="Z509" s="251" t="str">
        <f t="shared" si="5"/>
        <v/>
      </c>
      <c r="AA509" s="251" t="str">
        <f t="shared" si="6"/>
        <v/>
      </c>
      <c r="AB509" s="251" t="str">
        <f t="shared" si="7"/>
        <v/>
      </c>
      <c r="AC509" s="251" t="str">
        <f t="shared" si="8"/>
        <v/>
      </c>
      <c r="AD509" s="251" t="str">
        <f t="shared" si="9"/>
        <v/>
      </c>
      <c r="AE509" s="251" t="str">
        <f t="shared" si="10"/>
        <v/>
      </c>
      <c r="AF509" s="251" t="str">
        <f t="shared" si="11"/>
        <v/>
      </c>
      <c r="AG509" s="251" t="str">
        <f t="shared" si="12"/>
        <v/>
      </c>
      <c r="AH509" s="251" t="str">
        <f t="shared" si="13"/>
        <v/>
      </c>
      <c r="AI509" s="251" t="str">
        <f t="shared" si="14"/>
        <v/>
      </c>
      <c r="AJ509" s="251" t="str">
        <f t="shared" si="15"/>
        <v/>
      </c>
      <c r="AK509" s="251" t="str">
        <f t="shared" si="16"/>
        <v/>
      </c>
      <c r="AL509" s="251" t="str">
        <f t="shared" si="17"/>
        <v/>
      </c>
      <c r="AM509" s="251" t="str">
        <f t="shared" si="18"/>
        <v/>
      </c>
      <c r="AN509" s="251" t="str">
        <f t="shared" si="19"/>
        <v/>
      </c>
      <c r="AO509" s="251" t="str">
        <f t="shared" si="20"/>
        <v/>
      </c>
      <c r="AP509" s="251" t="str">
        <f t="shared" si="21"/>
        <v/>
      </c>
      <c r="AQ509" s="251" t="str">
        <f t="shared" si="22"/>
        <v/>
      </c>
      <c r="AR509" s="251" t="str">
        <f t="shared" si="23"/>
        <v/>
      </c>
      <c r="AS509" s="251" t="str">
        <f t="shared" si="24"/>
        <v/>
      </c>
      <c r="AT509" s="251" t="str">
        <f t="shared" si="25"/>
        <v/>
      </c>
      <c r="AU509" s="251" t="str">
        <f t="shared" si="26"/>
        <v/>
      </c>
      <c r="AV509" s="251" t="str">
        <f t="shared" si="27"/>
        <v/>
      </c>
      <c r="AW509" s="251" t="str">
        <f t="shared" si="28"/>
        <v/>
      </c>
      <c r="AX509" s="251" t="str">
        <f t="shared" si="29"/>
        <v/>
      </c>
      <c r="AY509" s="251" t="str">
        <f t="shared" si="30"/>
        <v/>
      </c>
      <c r="AZ509" s="251" t="str">
        <f t="shared" si="31"/>
        <v/>
      </c>
      <c r="BA509" s="251" t="str">
        <f t="shared" si="32"/>
        <v/>
      </c>
      <c r="BB509" s="251" t="str">
        <f t="shared" si="33"/>
        <v/>
      </c>
      <c r="BC509" s="251" t="str">
        <f t="shared" si="34"/>
        <v/>
      </c>
      <c r="BD509" s="251" t="str">
        <f t="shared" si="35"/>
        <v/>
      </c>
      <c r="BE509" s="251" t="str">
        <f t="shared" si="36"/>
        <v/>
      </c>
      <c r="BF509" s="251" t="str">
        <f t="shared" si="37"/>
        <v/>
      </c>
      <c r="BG509" s="251" t="str">
        <f t="shared" si="38"/>
        <v/>
      </c>
      <c r="BH509" s="251" t="str">
        <f t="shared" si="39"/>
        <v/>
      </c>
      <c r="BI509" s="251" t="str">
        <f t="shared" si="40"/>
        <v/>
      </c>
      <c r="BJ509" s="251" t="str">
        <f t="shared" si="41"/>
        <v/>
      </c>
      <c r="BK509" s="251" t="str">
        <f t="shared" si="42"/>
        <v/>
      </c>
      <c r="BL509" s="251" t="str">
        <f t="shared" si="43"/>
        <v/>
      </c>
      <c r="BM509" s="251" t="str">
        <f t="shared" si="44"/>
        <v/>
      </c>
      <c r="BN509" s="251" t="str">
        <f t="shared" si="45"/>
        <v/>
      </c>
      <c r="BO509" s="251" t="str">
        <f t="shared" si="46"/>
        <v/>
      </c>
      <c r="BP509" s="251" t="str">
        <f t="shared" si="47"/>
        <v/>
      </c>
      <c r="BQ509" s="251" t="str">
        <f t="shared" si="48"/>
        <v/>
      </c>
      <c r="BR509" s="251" t="str">
        <f t="shared" si="49"/>
        <v/>
      </c>
      <c r="BS509" s="251" t="str">
        <f t="shared" si="50"/>
        <v/>
      </c>
      <c r="BT509" s="251" t="str">
        <f t="shared" si="51"/>
        <v/>
      </c>
      <c r="BU509" s="251" t="str">
        <f t="shared" si="52"/>
        <v/>
      </c>
      <c r="BV509" s="251" t="str">
        <f t="shared" si="53"/>
        <v/>
      </c>
      <c r="BW509" s="251" t="str">
        <f t="shared" si="54"/>
        <v/>
      </c>
      <c r="BX509" s="251" t="str">
        <f t="shared" si="55"/>
        <v/>
      </c>
      <c r="BY509" s="251" t="str">
        <f t="shared" si="56"/>
        <v/>
      </c>
      <c r="BZ509" s="251" t="str">
        <f t="shared" si="57"/>
        <v/>
      </c>
      <c r="CA509" s="251" t="str">
        <f t="shared" si="58"/>
        <v/>
      </c>
      <c r="CB509" s="251" t="str">
        <f t="shared" si="59"/>
        <v/>
      </c>
      <c r="CC509" s="251" t="str">
        <f t="shared" si="60"/>
        <v/>
      </c>
      <c r="CD509" s="251" t="str">
        <f t="shared" si="61"/>
        <v/>
      </c>
      <c r="CE509" s="251" t="str">
        <f t="shared" si="62"/>
        <v/>
      </c>
      <c r="CF509" s="251" t="str">
        <f t="shared" si="63"/>
        <v/>
      </c>
      <c r="CG509" s="251" t="str">
        <f t="shared" si="64"/>
        <v/>
      </c>
      <c r="CH509" s="251" t="str">
        <f t="shared" si="65"/>
        <v/>
      </c>
      <c r="CI509" s="251" t="str">
        <f t="shared" si="66"/>
        <v/>
      </c>
      <c r="CJ509" s="251" t="str">
        <f t="shared" si="67"/>
        <v/>
      </c>
      <c r="CK509" s="251" t="str">
        <f t="shared" si="68"/>
        <v/>
      </c>
      <c r="CL509" s="251" t="str">
        <f t="shared" si="69"/>
        <v/>
      </c>
      <c r="CM509" s="251" t="str">
        <f t="shared" si="70"/>
        <v/>
      </c>
      <c r="CN509" s="251" t="str">
        <f t="shared" si="71"/>
        <v/>
      </c>
      <c r="CO509" s="251" t="str">
        <f t="shared" si="72"/>
        <v/>
      </c>
      <c r="CP509" s="251" t="str">
        <f t="shared" si="73"/>
        <v/>
      </c>
      <c r="CQ509" s="251" t="str">
        <f t="shared" si="74"/>
        <v/>
      </c>
      <c r="CR509" s="251" t="str">
        <f t="shared" si="75"/>
        <v/>
      </c>
      <c r="CS509" s="251" t="str">
        <f t="shared" si="76"/>
        <v/>
      </c>
      <c r="CT509" s="251" t="str">
        <f t="shared" si="77"/>
        <v/>
      </c>
      <c r="CU509" s="251" t="str">
        <f t="shared" si="78"/>
        <v/>
      </c>
      <c r="CV509" s="251" t="str">
        <f t="shared" si="79"/>
        <v/>
      </c>
      <c r="CW509" s="251" t="str">
        <f t="shared" si="80"/>
        <v/>
      </c>
      <c r="CX509" s="251" t="str">
        <f t="shared" si="81"/>
        <v/>
      </c>
      <c r="CY509" s="251" t="str">
        <f t="shared" si="82"/>
        <v/>
      </c>
      <c r="CZ509" s="251" t="str">
        <f t="shared" si="83"/>
        <v/>
      </c>
      <c r="DA509" s="251" t="str">
        <f t="shared" si="84"/>
        <v/>
      </c>
      <c r="DB509" s="251" t="str">
        <f t="shared" si="85"/>
        <v/>
      </c>
      <c r="DC509" s="251" t="str">
        <f t="shared" si="86"/>
        <v/>
      </c>
      <c r="DD509" s="251" t="str">
        <f t="shared" si="87"/>
        <v/>
      </c>
      <c r="DE509" s="251" t="str">
        <f t="shared" si="88"/>
        <v/>
      </c>
      <c r="DF509" s="251" t="str">
        <f t="shared" si="89"/>
        <v/>
      </c>
      <c r="DG509" s="251" t="str">
        <f t="shared" si="90"/>
        <v/>
      </c>
      <c r="DH509" s="251" t="str">
        <f t="shared" si="91"/>
        <v/>
      </c>
      <c r="DI509" s="251" t="str">
        <f t="shared" si="92"/>
        <v/>
      </c>
      <c r="DJ509" s="251" t="str">
        <f t="shared" si="93"/>
        <v/>
      </c>
      <c r="DK509" s="251" t="str">
        <f t="shared" si="94"/>
        <v/>
      </c>
      <c r="DL509" s="251" t="str">
        <f t="shared" si="95"/>
        <v/>
      </c>
      <c r="DM509" s="251" t="str">
        <f t="shared" si="96"/>
        <v/>
      </c>
      <c r="DN509" s="251" t="str">
        <f t="shared" si="97"/>
        <v/>
      </c>
      <c r="DO509" s="251" t="str">
        <f t="shared" si="98"/>
        <v/>
      </c>
      <c r="DP509" s="251" t="str">
        <f t="shared" si="99"/>
        <v/>
      </c>
      <c r="DQ509" s="251" t="str">
        <f t="shared" si="100"/>
        <v/>
      </c>
      <c r="DR509" s="251" t="str">
        <f t="shared" si="101"/>
        <v/>
      </c>
      <c r="DS509" s="251" t="str">
        <f t="shared" si="102"/>
        <v/>
      </c>
      <c r="DT509" s="251" t="str">
        <f t="shared" si="103"/>
        <v/>
      </c>
      <c r="DU509" s="251" t="str">
        <f t="shared" si="104"/>
        <v/>
      </c>
      <c r="DV509" s="251" t="str">
        <f t="shared" si="105"/>
        <v/>
      </c>
      <c r="DW509" s="251" t="str">
        <f t="shared" si="106"/>
        <v/>
      </c>
      <c r="DX509" s="251" t="str">
        <f t="shared" si="107"/>
        <v/>
      </c>
      <c r="DY509" s="251" t="str">
        <f t="shared" si="108"/>
        <v/>
      </c>
      <c r="DZ509" s="251" t="str">
        <f t="shared" si="109"/>
        <v/>
      </c>
      <c r="EA509" s="251" t="str">
        <f t="shared" si="110"/>
        <v/>
      </c>
      <c r="EB509" s="251" t="str">
        <f t="shared" si="111"/>
        <v/>
      </c>
      <c r="EC509" s="251" t="str">
        <f t="shared" si="112"/>
        <v/>
      </c>
      <c r="ED509" s="251" t="str">
        <f t="shared" si="113"/>
        <v/>
      </c>
      <c r="EE509" s="251" t="str">
        <f t="shared" si="114"/>
        <v/>
      </c>
      <c r="EF509" s="251" t="str">
        <f t="shared" si="115"/>
        <v/>
      </c>
      <c r="EG509" s="251" t="str">
        <f t="shared" si="116"/>
        <v/>
      </c>
      <c r="EH509" s="251" t="str">
        <f t="shared" si="117"/>
        <v/>
      </c>
      <c r="EI509" s="251" t="str">
        <f t="shared" si="118"/>
        <v/>
      </c>
      <c r="EJ509" s="251" t="str">
        <f t="shared" si="119"/>
        <v/>
      </c>
      <c r="EK509" s="251" t="str">
        <f t="shared" si="120"/>
        <v/>
      </c>
      <c r="EL509" s="251" t="str">
        <f t="shared" si="121"/>
        <v/>
      </c>
      <c r="EM509" s="251" t="str">
        <f t="shared" si="122"/>
        <v/>
      </c>
      <c r="EN509" s="251" t="str">
        <f t="shared" si="123"/>
        <v/>
      </c>
      <c r="EO509" s="251" t="str">
        <f t="shared" si="124"/>
        <v/>
      </c>
      <c r="EP509" s="251" t="str">
        <f t="shared" si="125"/>
        <v/>
      </c>
      <c r="EQ509" s="251" t="str">
        <f t="shared" si="126"/>
        <v/>
      </c>
      <c r="ER509" s="251" t="str">
        <f t="shared" si="127"/>
        <v/>
      </c>
      <c r="ES509" s="251" t="str">
        <f t="shared" si="128"/>
        <v/>
      </c>
      <c r="ET509" s="251" t="str">
        <f t="shared" si="129"/>
        <v/>
      </c>
      <c r="EU509" s="251" t="str">
        <f t="shared" si="130"/>
        <v/>
      </c>
      <c r="EV509" s="251" t="str">
        <f t="shared" si="131"/>
        <v/>
      </c>
      <c r="EW509" s="251" t="str">
        <f t="shared" si="132"/>
        <v/>
      </c>
      <c r="EX509" s="251" t="str">
        <f t="shared" si="133"/>
        <v/>
      </c>
      <c r="EY509" s="251" t="str">
        <f t="shared" si="134"/>
        <v/>
      </c>
      <c r="EZ509" s="251" t="str">
        <f t="shared" si="135"/>
        <v/>
      </c>
      <c r="FA509" s="251" t="str">
        <f t="shared" si="136"/>
        <v/>
      </c>
      <c r="FB509" s="251" t="str">
        <f t="shared" si="137"/>
        <v/>
      </c>
      <c r="FC509" s="251" t="str">
        <f t="shared" si="138"/>
        <v/>
      </c>
      <c r="FD509" s="251" t="str">
        <f t="shared" si="139"/>
        <v/>
      </c>
      <c r="FE509" s="251" t="str">
        <f t="shared" si="140"/>
        <v/>
      </c>
      <c r="FF509" s="251" t="str">
        <f t="shared" si="141"/>
        <v/>
      </c>
      <c r="FG509" s="251" t="str">
        <f t="shared" si="142"/>
        <v/>
      </c>
      <c r="FH509" s="251" t="str">
        <f t="shared" si="143"/>
        <v/>
      </c>
      <c r="FI509" s="251" t="str">
        <f t="shared" si="144"/>
        <v/>
      </c>
      <c r="FJ509" s="251" t="str">
        <f t="shared" si="145"/>
        <v/>
      </c>
      <c r="FK509" s="251" t="str">
        <f t="shared" si="146"/>
        <v/>
      </c>
      <c r="FL509" s="251" t="str">
        <f t="shared" si="147"/>
        <v/>
      </c>
      <c r="FM509" s="251" t="str">
        <f t="shared" si="148"/>
        <v/>
      </c>
      <c r="FN509" s="251" t="str">
        <f t="shared" si="149"/>
        <v/>
      </c>
      <c r="FO509" s="251" t="str">
        <f t="shared" si="150"/>
        <v/>
      </c>
      <c r="FP509" s="251" t="str">
        <f t="shared" si="151"/>
        <v/>
      </c>
      <c r="FQ509" s="251" t="str">
        <f t="shared" si="152"/>
        <v/>
      </c>
      <c r="FR509" s="251" t="str">
        <f t="shared" si="153"/>
        <v/>
      </c>
      <c r="FS509" s="251" t="str">
        <f t="shared" si="154"/>
        <v/>
      </c>
      <c r="FT509" s="251" t="str">
        <f t="shared" si="155"/>
        <v/>
      </c>
      <c r="FU509" s="251" t="str">
        <f t="shared" si="156"/>
        <v/>
      </c>
      <c r="FV509" s="251" t="str">
        <f t="shared" si="157"/>
        <v/>
      </c>
      <c r="FW509" s="251" t="str">
        <f t="shared" si="158"/>
        <v/>
      </c>
      <c r="FX509" s="251" t="str">
        <f t="shared" si="159"/>
        <v/>
      </c>
      <c r="FY509" s="251" t="str">
        <f t="shared" si="160"/>
        <v/>
      </c>
      <c r="FZ509" s="251" t="str">
        <f t="shared" si="161"/>
        <v/>
      </c>
      <c r="GA509" s="251" t="str">
        <f t="shared" si="162"/>
        <v/>
      </c>
      <c r="GB509" s="251" t="str">
        <f t="shared" si="163"/>
        <v/>
      </c>
      <c r="GC509" s="251" t="str">
        <f t="shared" si="164"/>
        <v/>
      </c>
      <c r="GD509" s="251" t="str">
        <f t="shared" si="165"/>
        <v/>
      </c>
      <c r="GE509" s="251" t="str">
        <f t="shared" si="166"/>
        <v/>
      </c>
      <c r="GF509" s="251" t="str">
        <f t="shared" si="167"/>
        <v/>
      </c>
      <c r="GG509" s="251" t="str">
        <f t="shared" si="168"/>
        <v/>
      </c>
      <c r="GH509" s="251" t="str">
        <f t="shared" si="169"/>
        <v/>
      </c>
      <c r="GI509" s="251" t="str">
        <f t="shared" si="170"/>
        <v/>
      </c>
      <c r="GJ509" s="251" t="str">
        <f t="shared" si="171"/>
        <v/>
      </c>
      <c r="GK509" s="251" t="str">
        <f t="shared" si="172"/>
        <v/>
      </c>
      <c r="GL509" s="251" t="str">
        <f t="shared" si="173"/>
        <v/>
      </c>
      <c r="GM509" s="251" t="str">
        <f t="shared" si="174"/>
        <v/>
      </c>
      <c r="GN509" s="251" t="str">
        <f t="shared" si="175"/>
        <v/>
      </c>
      <c r="GO509" s="251" t="str">
        <f t="shared" si="176"/>
        <v/>
      </c>
      <c r="GP509" s="251" t="str">
        <f t="shared" si="177"/>
        <v/>
      </c>
      <c r="GQ509" s="251" t="str">
        <f t="shared" si="178"/>
        <v/>
      </c>
      <c r="GR509" s="251" t="str">
        <f t="shared" si="179"/>
        <v/>
      </c>
      <c r="GS509" s="251" t="str">
        <f t="shared" si="180"/>
        <v/>
      </c>
      <c r="GT509" s="251" t="str">
        <f t="shared" si="181"/>
        <v/>
      </c>
      <c r="GU509" s="251" t="str">
        <f t="shared" si="182"/>
        <v/>
      </c>
      <c r="GV509" s="251" t="str">
        <f t="shared" si="183"/>
        <v/>
      </c>
      <c r="GW509" s="251" t="str">
        <f t="shared" si="184"/>
        <v/>
      </c>
      <c r="GX509" s="251" t="str">
        <f t="shared" si="185"/>
        <v/>
      </c>
      <c r="GY509" s="251" t="str">
        <f t="shared" si="186"/>
        <v/>
      </c>
      <c r="GZ509" s="251" t="str">
        <f t="shared" si="187"/>
        <v/>
      </c>
      <c r="HA509" s="251" t="str">
        <f t="shared" si="188"/>
        <v/>
      </c>
      <c r="HB509" s="251" t="str">
        <f t="shared" si="189"/>
        <v/>
      </c>
      <c r="HC509" s="251" t="str">
        <f t="shared" si="190"/>
        <v/>
      </c>
      <c r="HD509" s="251" t="str">
        <f t="shared" si="191"/>
        <v/>
      </c>
      <c r="HE509" s="251" t="str">
        <f t="shared" si="192"/>
        <v/>
      </c>
      <c r="HF509" s="251" t="str">
        <f t="shared" si="193"/>
        <v/>
      </c>
      <c r="HG509" s="251" t="str">
        <f t="shared" si="194"/>
        <v/>
      </c>
      <c r="HH509" s="251" t="str">
        <f t="shared" si="195"/>
        <v/>
      </c>
      <c r="HI509" s="251" t="str">
        <f t="shared" si="196"/>
        <v/>
      </c>
      <c r="HJ509" s="251" t="str">
        <f t="shared" si="197"/>
        <v/>
      </c>
      <c r="HK509" s="251" t="str">
        <f t="shared" si="198"/>
        <v/>
      </c>
      <c r="HL509" s="251" t="str">
        <f t="shared" si="199"/>
        <v/>
      </c>
      <c r="HM509" s="251" t="str">
        <f t="shared" si="200"/>
        <v/>
      </c>
      <c r="HN509" s="251" t="str">
        <f t="shared" si="201"/>
        <v/>
      </c>
      <c r="HO509" s="251" t="str">
        <f t="shared" si="202"/>
        <v/>
      </c>
      <c r="HP509" s="251" t="str">
        <f t="shared" si="203"/>
        <v/>
      </c>
      <c r="HQ509" s="251" t="str">
        <f t="shared" si="204"/>
        <v/>
      </c>
      <c r="HR509" s="251" t="str">
        <f t="shared" si="205"/>
        <v/>
      </c>
      <c r="HS509" s="251" t="str">
        <f t="shared" si="206"/>
        <v/>
      </c>
      <c r="HT509" s="251" t="str">
        <f t="shared" si="207"/>
        <v/>
      </c>
      <c r="HU509" s="251" t="str">
        <f t="shared" si="208"/>
        <v/>
      </c>
      <c r="HV509" s="251" t="str">
        <f t="shared" si="209"/>
        <v/>
      </c>
      <c r="HW509" s="251" t="str">
        <f t="shared" si="210"/>
        <v/>
      </c>
      <c r="HX509" s="251" t="str">
        <f t="shared" si="211"/>
        <v/>
      </c>
      <c r="HY509" s="251" t="str">
        <f t="shared" si="212"/>
        <v/>
      </c>
      <c r="HZ509" s="251" t="str">
        <f t="shared" si="213"/>
        <v/>
      </c>
      <c r="IA509" s="251" t="str">
        <f t="shared" si="214"/>
        <v/>
      </c>
      <c r="IB509" s="251" t="str">
        <f t="shared" si="215"/>
        <v/>
      </c>
      <c r="IC509" s="251" t="str">
        <f t="shared" si="216"/>
        <v/>
      </c>
      <c r="ID509" s="251" t="str">
        <f t="shared" si="217"/>
        <v/>
      </c>
      <c r="IE509" s="251" t="str">
        <f t="shared" si="218"/>
        <v/>
      </c>
      <c r="IF509" s="251" t="str">
        <f t="shared" si="219"/>
        <v/>
      </c>
      <c r="IG509" s="251" t="str">
        <f t="shared" si="220"/>
        <v/>
      </c>
      <c r="IH509" s="251" t="str">
        <f t="shared" si="221"/>
        <v/>
      </c>
      <c r="II509" s="251" t="str">
        <f t="shared" si="222"/>
        <v/>
      </c>
      <c r="IJ509" s="251" t="str">
        <f t="shared" si="223"/>
        <v/>
      </c>
      <c r="IK509" s="251" t="str">
        <f t="shared" si="224"/>
        <v/>
      </c>
      <c r="IL509" s="251" t="str">
        <f t="shared" si="225"/>
        <v/>
      </c>
      <c r="IM509" s="251" t="str">
        <f t="shared" si="226"/>
        <v/>
      </c>
      <c r="IN509" s="251" t="str">
        <f t="shared" si="227"/>
        <v/>
      </c>
      <c r="IO509" s="251" t="str">
        <f t="shared" si="228"/>
        <v/>
      </c>
      <c r="IP509" s="251" t="str">
        <f t="shared" si="229"/>
        <v/>
      </c>
      <c r="IQ509" s="251" t="str">
        <f t="shared" si="230"/>
        <v/>
      </c>
      <c r="IR509" s="251" t="str">
        <f t="shared" si="231"/>
        <v/>
      </c>
      <c r="IS509" s="251" t="str">
        <f t="shared" si="232"/>
        <v/>
      </c>
      <c r="IT509" s="251" t="str">
        <f t="shared" si="233"/>
        <v/>
      </c>
      <c r="IU509" s="251" t="str">
        <f t="shared" si="234"/>
        <v/>
      </c>
      <c r="IV509" s="251" t="str">
        <f t="shared" si="235"/>
        <v/>
      </c>
      <c r="IW509" s="251" t="str">
        <f t="shared" si="236"/>
        <v/>
      </c>
      <c r="IX509" s="251" t="str">
        <f t="shared" si="237"/>
        <v/>
      </c>
      <c r="IY509" s="251" t="str">
        <f t="shared" si="238"/>
        <v/>
      </c>
      <c r="IZ509" s="251" t="str">
        <f t="shared" si="239"/>
        <v/>
      </c>
      <c r="JA509" s="251" t="str">
        <f t="shared" si="240"/>
        <v/>
      </c>
      <c r="JB509" s="251" t="str">
        <f t="shared" si="241"/>
        <v/>
      </c>
      <c r="JC509" s="251" t="str">
        <f t="shared" si="242"/>
        <v/>
      </c>
      <c r="JD509" s="251" t="str">
        <f t="shared" si="243"/>
        <v/>
      </c>
      <c r="JE509" s="251" t="str">
        <f t="shared" si="244"/>
        <v/>
      </c>
      <c r="JF509" s="251" t="str">
        <f t="shared" si="245"/>
        <v/>
      </c>
      <c r="JG509" s="251" t="str">
        <f t="shared" si="246"/>
        <v/>
      </c>
      <c r="JH509" s="251" t="str">
        <f t="shared" si="247"/>
        <v/>
      </c>
      <c r="JI509" s="1297" t="str">
        <f t="shared" si="248"/>
        <v/>
      </c>
      <c r="JJ509" s="1297" t="str">
        <f t="shared" si="249"/>
        <v/>
      </c>
      <c r="JK509" s="1297" t="str">
        <f t="shared" si="250"/>
        <v/>
      </c>
      <c r="JL509" s="1297" t="str">
        <f t="shared" si="251"/>
        <v/>
      </c>
      <c r="JM509" s="1297" t="str">
        <f t="shared" si="252"/>
        <v/>
      </c>
      <c r="JN509" s="1297" t="str">
        <f t="shared" si="253"/>
        <v/>
      </c>
      <c r="JO509" s="1297" t="str">
        <f t="shared" si="254"/>
        <v/>
      </c>
      <c r="JP509" s="1297" t="str">
        <f t="shared" si="255"/>
        <v/>
      </c>
      <c r="JQ509" s="1297" t="str">
        <f t="shared" si="256"/>
        <v/>
      </c>
      <c r="JR509" s="1297" t="str">
        <f t="shared" si="257"/>
        <v/>
      </c>
      <c r="JS509" s="1297" t="str">
        <f t="shared" si="258"/>
        <v/>
      </c>
      <c r="JT509" s="1297" t="str">
        <f t="shared" si="259"/>
        <v/>
      </c>
      <c r="JU509" s="1297" t="str">
        <f t="shared" si="260"/>
        <v/>
      </c>
      <c r="JV509" s="1297" t="str">
        <f t="shared" si="261"/>
        <v/>
      </c>
      <c r="JW509" s="1297" t="str">
        <f t="shared" si="262"/>
        <v/>
      </c>
      <c r="JX509" s="1297" t="str">
        <f t="shared" si="263"/>
        <v/>
      </c>
      <c r="JY509" s="1297" t="str">
        <f t="shared" si="264"/>
        <v/>
      </c>
      <c r="JZ509" s="1297" t="str">
        <f t="shared" si="265"/>
        <v/>
      </c>
      <c r="KA509" s="1297" t="str">
        <f t="shared" si="266"/>
        <v/>
      </c>
      <c r="KB509" s="1297" t="str">
        <f t="shared" si="267"/>
        <v/>
      </c>
      <c r="KC509" s="1297" t="str">
        <f t="shared" si="268"/>
        <v/>
      </c>
      <c r="KD509" s="1297" t="str">
        <f t="shared" si="269"/>
        <v/>
      </c>
      <c r="KE509" s="1297" t="str">
        <f t="shared" si="270"/>
        <v/>
      </c>
      <c r="KF509" s="1297" t="str">
        <f t="shared" si="271"/>
        <v/>
      </c>
      <c r="KG509" s="1297" t="str">
        <f t="shared" si="272"/>
        <v/>
      </c>
      <c r="KH509" s="1297" t="str">
        <f t="shared" si="273"/>
        <v/>
      </c>
      <c r="KI509" s="1297" t="str">
        <f t="shared" si="274"/>
        <v/>
      </c>
      <c r="KJ509" s="1297" t="str">
        <f t="shared" si="275"/>
        <v/>
      </c>
      <c r="KK509" s="1297" t="str">
        <f t="shared" si="276"/>
        <v/>
      </c>
      <c r="KL509" s="1297" t="str">
        <f t="shared" si="277"/>
        <v/>
      </c>
      <c r="KM509" s="1297" t="str">
        <f t="shared" si="278"/>
        <v/>
      </c>
      <c r="KN509" s="1297" t="str">
        <f t="shared" si="279"/>
        <v/>
      </c>
      <c r="KO509" s="1297" t="str">
        <f t="shared" si="280"/>
        <v/>
      </c>
      <c r="KP509" s="1297" t="str">
        <f t="shared" si="281"/>
        <v/>
      </c>
      <c r="KQ509" s="1297" t="str">
        <f t="shared" si="282"/>
        <v/>
      </c>
      <c r="KR509" s="1297" t="str">
        <f t="shared" si="283"/>
        <v/>
      </c>
      <c r="KS509" s="1297" t="str">
        <f t="shared" si="284"/>
        <v/>
      </c>
      <c r="KT509" s="1297" t="str">
        <f t="shared" si="285"/>
        <v/>
      </c>
      <c r="KU509" s="1297" t="str">
        <f t="shared" si="286"/>
        <v/>
      </c>
      <c r="KV509" s="1297" t="str">
        <f t="shared" si="287"/>
        <v/>
      </c>
      <c r="KW509" s="1297" t="str">
        <f t="shared" si="288"/>
        <v/>
      </c>
      <c r="KX509" s="1297" t="str">
        <f t="shared" si="289"/>
        <v/>
      </c>
      <c r="KY509" s="1297" t="str">
        <f t="shared" si="290"/>
        <v/>
      </c>
      <c r="KZ509" s="1297" t="str">
        <f t="shared" si="291"/>
        <v/>
      </c>
      <c r="LA509" s="1297" t="str">
        <f t="shared" si="292"/>
        <v/>
      </c>
      <c r="LB509" s="1297" t="str">
        <f t="shared" si="293"/>
        <v/>
      </c>
      <c r="LC509" s="1297" t="str">
        <f t="shared" si="294"/>
        <v/>
      </c>
      <c r="LD509" s="1297" t="str">
        <f t="shared" si="295"/>
        <v/>
      </c>
      <c r="LE509" s="1297" t="str">
        <f t="shared" si="296"/>
        <v/>
      </c>
      <c r="LF509" s="1297" t="str">
        <f t="shared" si="297"/>
        <v/>
      </c>
      <c r="LG509" s="1297" t="str">
        <f t="shared" si="298"/>
        <v/>
      </c>
      <c r="LH509" s="1297" t="str">
        <f t="shared" si="299"/>
        <v/>
      </c>
      <c r="LI509" s="1297" t="str">
        <f t="shared" si="300"/>
        <v/>
      </c>
      <c r="LJ509" s="1297" t="str">
        <f t="shared" si="301"/>
        <v/>
      </c>
      <c r="LK509" s="1297" t="str">
        <f t="shared" si="302"/>
        <v/>
      </c>
      <c r="LL509" s="1297" t="str">
        <f t="shared" si="303"/>
        <v/>
      </c>
      <c r="LM509" s="1297" t="str">
        <f t="shared" si="304"/>
        <v/>
      </c>
      <c r="LN509" s="1297" t="str">
        <f t="shared" si="305"/>
        <v/>
      </c>
      <c r="LO509" s="1297" t="str">
        <f t="shared" si="306"/>
        <v/>
      </c>
      <c r="LP509" s="1297" t="str">
        <f t="shared" si="307"/>
        <v/>
      </c>
      <c r="LQ509" s="1297" t="str">
        <f t="shared" si="308"/>
        <v/>
      </c>
      <c r="LR509" s="1297" t="str">
        <f t="shared" si="309"/>
        <v/>
      </c>
      <c r="LS509" s="1297" t="str">
        <f t="shared" si="310"/>
        <v/>
      </c>
      <c r="LT509" s="1297" t="str">
        <f t="shared" si="311"/>
        <v/>
      </c>
      <c r="LU509" s="1297" t="str">
        <f t="shared" si="312"/>
        <v/>
      </c>
      <c r="LV509" s="1297" t="str">
        <f t="shared" si="313"/>
        <v/>
      </c>
      <c r="LW509" s="1297" t="str">
        <f t="shared" si="314"/>
        <v/>
      </c>
      <c r="LX509" s="1297" t="str">
        <f t="shared" si="315"/>
        <v/>
      </c>
      <c r="LY509" s="1297" t="str">
        <f t="shared" si="316"/>
        <v/>
      </c>
      <c r="LZ509" s="1297" t="str">
        <f t="shared" si="317"/>
        <v/>
      </c>
      <c r="MA509" s="1297" t="str">
        <f t="shared" si="318"/>
        <v/>
      </c>
      <c r="MB509" s="1297" t="str">
        <f t="shared" si="319"/>
        <v/>
      </c>
      <c r="MC509" s="1297" t="str">
        <f t="shared" si="320"/>
        <v/>
      </c>
      <c r="MD509" s="1297" t="str">
        <f t="shared" si="321"/>
        <v/>
      </c>
      <c r="ME509" s="1297" t="str">
        <f t="shared" si="322"/>
        <v/>
      </c>
      <c r="MF509" s="1297" t="str">
        <f t="shared" si="323"/>
        <v/>
      </c>
      <c r="MG509" s="1297" t="str">
        <f t="shared" si="324"/>
        <v/>
      </c>
      <c r="MH509" s="1297" t="str">
        <f t="shared" si="325"/>
        <v/>
      </c>
      <c r="MI509" s="1297" t="str">
        <f t="shared" si="326"/>
        <v/>
      </c>
      <c r="MJ509" s="1297" t="str">
        <f t="shared" si="327"/>
        <v/>
      </c>
      <c r="MK509" s="1297" t="str">
        <f t="shared" si="328"/>
        <v/>
      </c>
      <c r="ML509" s="1297" t="str">
        <f t="shared" si="329"/>
        <v/>
      </c>
      <c r="MM509" s="1297" t="str">
        <f t="shared" si="330"/>
        <v/>
      </c>
      <c r="MN509" s="1297" t="str">
        <f t="shared" si="331"/>
        <v/>
      </c>
      <c r="MO509" s="1297" t="str">
        <f t="shared" si="332"/>
        <v/>
      </c>
      <c r="MP509" s="1773" t="str">
        <f t="shared" si="333"/>
        <v/>
      </c>
      <c r="MQ509" s="1773" t="str">
        <f t="shared" si="334"/>
        <v/>
      </c>
      <c r="MR509" s="1773" t="str">
        <f t="shared" si="335"/>
        <v/>
      </c>
      <c r="MS509" s="1773" t="str">
        <f t="shared" si="336"/>
        <v/>
      </c>
      <c r="MT509" s="1773" t="str">
        <f t="shared" si="337"/>
        <v/>
      </c>
      <c r="MU509" s="251" t="str">
        <f t="shared" si="338"/>
        <v/>
      </c>
      <c r="MV509" s="251" t="str">
        <f t="shared" si="339"/>
        <v/>
      </c>
      <c r="MW509" s="251" t="str">
        <f t="shared" si="340"/>
        <v/>
      </c>
      <c r="MX509" s="251" t="str">
        <f t="shared" si="341"/>
        <v/>
      </c>
      <c r="MY509" s="251" t="str">
        <f t="shared" si="342"/>
        <v/>
      </c>
      <c r="MZ509" s="251" t="str">
        <f t="shared" si="343"/>
        <v/>
      </c>
      <c r="NA509" s="251" t="str">
        <f t="shared" si="344"/>
        <v/>
      </c>
      <c r="NB509" s="251" t="str">
        <f t="shared" si="345"/>
        <v/>
      </c>
      <c r="NC509" s="251" t="str">
        <f t="shared" si="346"/>
        <v/>
      </c>
      <c r="ND509" s="251" t="str">
        <f t="shared" si="347"/>
        <v/>
      </c>
      <c r="NE509" s="251" t="str">
        <f t="shared" si="348"/>
        <v/>
      </c>
      <c r="NF509" s="251" t="str">
        <f t="shared" si="349"/>
        <v/>
      </c>
      <c r="NG509" s="251" t="str">
        <f t="shared" si="350"/>
        <v/>
      </c>
      <c r="NH509" s="251" t="str">
        <f t="shared" si="351"/>
        <v/>
      </c>
      <c r="NI509" s="251" t="str">
        <f t="shared" si="352"/>
        <v/>
      </c>
      <c r="NJ509" s="251" t="str">
        <f t="shared" si="353"/>
        <v/>
      </c>
      <c r="NK509" s="251" t="str">
        <f t="shared" si="354"/>
        <v/>
      </c>
      <c r="NL509" s="251" t="str">
        <f t="shared" si="355"/>
        <v/>
      </c>
      <c r="NM509" s="251" t="str">
        <f t="shared" si="356"/>
        <v/>
      </c>
      <c r="NN509" s="251" t="str">
        <f t="shared" si="357"/>
        <v/>
      </c>
      <c r="NO509" s="1185">
        <f t="shared" si="358"/>
        <v>0</v>
      </c>
      <c r="NP509" s="1185">
        <f t="shared" si="359"/>
        <v>0</v>
      </c>
      <c r="NQ509" s="1185">
        <f t="shared" si="360"/>
        <v>0</v>
      </c>
      <c r="NR509" s="1185">
        <f t="shared" si="361"/>
        <v>0</v>
      </c>
      <c r="NS509" s="1185">
        <f t="shared" si="362"/>
        <v>0</v>
      </c>
      <c r="NT509" s="1185">
        <f t="shared" si="368"/>
        <v>0</v>
      </c>
      <c r="NU509" s="1185">
        <f t="shared" si="369"/>
        <v>0</v>
      </c>
      <c r="NV509" s="1185">
        <f t="shared" si="370"/>
        <v>0</v>
      </c>
      <c r="NW509" s="1185">
        <f t="shared" si="371"/>
        <v>0</v>
      </c>
      <c r="NX509" s="1185">
        <f t="shared" si="372"/>
        <v>0</v>
      </c>
      <c r="NY509" s="1185">
        <f t="shared" si="363"/>
        <v>0</v>
      </c>
      <c r="NZ509" s="1185">
        <f t="shared" si="364"/>
        <v>0</v>
      </c>
      <c r="OA509" s="1185">
        <f t="shared" si="365"/>
        <v>0</v>
      </c>
      <c r="OB509" s="1185">
        <f t="shared" si="366"/>
        <v>0</v>
      </c>
      <c r="OC509" s="1185">
        <f t="shared" si="367"/>
        <v>0</v>
      </c>
      <c r="OY509" s="251" t="s">
        <v>1195</v>
      </c>
      <c r="OZ509" s="1185">
        <v>52</v>
      </c>
    </row>
    <row r="510" spans="1:416" ht="12" customHeight="1">
      <c r="A510" s="1979" t="str">
        <f t="shared" si="0"/>
        <v/>
      </c>
      <c r="B510" s="1998">
        <f>'Part V-Revenues &amp; Expenses'!B57</f>
        <v>0</v>
      </c>
      <c r="C510" s="1999">
        <f>'Part V-Revenues &amp; Expenses'!C57</f>
        <v>0</v>
      </c>
      <c r="D510" s="2000">
        <f>'Part V-Revenues &amp; Expenses'!D57</f>
        <v>0</v>
      </c>
      <c r="E510" s="2001">
        <f>'Part V-Revenues &amp; Expenses'!E57</f>
        <v>0</v>
      </c>
      <c r="F510" s="2001">
        <f>'Part V-Revenues &amp; Expenses'!F57</f>
        <v>0</v>
      </c>
      <c r="G510" s="2001">
        <f>'Part V-Revenues &amp; Expenses'!G57</f>
        <v>0</v>
      </c>
      <c r="H510" s="2001">
        <f>'Part V-Revenues &amp; Expenses'!H57</f>
        <v>0</v>
      </c>
      <c r="I510" s="2001">
        <f>'Part V-Revenues &amp; Expenses'!I57</f>
        <v>0</v>
      </c>
      <c r="J510" s="2001">
        <f>'Part V-Revenues &amp; Expenses'!J57</f>
        <v>0</v>
      </c>
      <c r="K510" s="2002">
        <f>'Part V-Revenues &amp; Expenses'!K57</f>
        <v>0</v>
      </c>
      <c r="L510" s="2003">
        <f t="shared" si="1"/>
        <v>0</v>
      </c>
      <c r="M510" s="2003">
        <f t="shared" si="2"/>
        <v>0</v>
      </c>
      <c r="N510" s="1853">
        <f>'Part V-Revenues &amp; Expenses'!N57</f>
        <v>0</v>
      </c>
      <c r="O510" s="899">
        <f>'Part V-Revenues &amp; Expenses'!O57</f>
        <v>0</v>
      </c>
      <c r="P510" s="1853">
        <f>'Part V-Revenues &amp; Expenses'!P57</f>
        <v>0</v>
      </c>
      <c r="Q510" s="1772">
        <f>'Part V-Revenues &amp; Expenses'!Q57</f>
        <v>0</v>
      </c>
      <c r="R510" s="2004"/>
      <c r="S510" s="2005"/>
      <c r="T510" s="1920"/>
      <c r="U510" s="1920"/>
      <c r="V510" s="1920"/>
      <c r="W510" s="1920"/>
      <c r="X510" s="251" t="str">
        <f t="shared" si="3"/>
        <v/>
      </c>
      <c r="Y510" s="251" t="str">
        <f t="shared" si="4"/>
        <v/>
      </c>
      <c r="Z510" s="251" t="str">
        <f t="shared" si="5"/>
        <v/>
      </c>
      <c r="AA510" s="251" t="str">
        <f t="shared" si="6"/>
        <v/>
      </c>
      <c r="AB510" s="251" t="str">
        <f t="shared" si="7"/>
        <v/>
      </c>
      <c r="AC510" s="251" t="str">
        <f t="shared" si="8"/>
        <v/>
      </c>
      <c r="AD510" s="251" t="str">
        <f t="shared" si="9"/>
        <v/>
      </c>
      <c r="AE510" s="251" t="str">
        <f t="shared" si="10"/>
        <v/>
      </c>
      <c r="AF510" s="251" t="str">
        <f t="shared" si="11"/>
        <v/>
      </c>
      <c r="AG510" s="251" t="str">
        <f t="shared" si="12"/>
        <v/>
      </c>
      <c r="AH510" s="251" t="str">
        <f t="shared" si="13"/>
        <v/>
      </c>
      <c r="AI510" s="251" t="str">
        <f t="shared" si="14"/>
        <v/>
      </c>
      <c r="AJ510" s="251" t="str">
        <f t="shared" si="15"/>
        <v/>
      </c>
      <c r="AK510" s="251" t="str">
        <f t="shared" si="16"/>
        <v/>
      </c>
      <c r="AL510" s="251" t="str">
        <f t="shared" si="17"/>
        <v/>
      </c>
      <c r="AM510" s="251" t="str">
        <f t="shared" si="18"/>
        <v/>
      </c>
      <c r="AN510" s="251" t="str">
        <f t="shared" si="19"/>
        <v/>
      </c>
      <c r="AO510" s="251" t="str">
        <f t="shared" si="20"/>
        <v/>
      </c>
      <c r="AP510" s="251" t="str">
        <f t="shared" si="21"/>
        <v/>
      </c>
      <c r="AQ510" s="251" t="str">
        <f t="shared" si="22"/>
        <v/>
      </c>
      <c r="AR510" s="251" t="str">
        <f t="shared" si="23"/>
        <v/>
      </c>
      <c r="AS510" s="251" t="str">
        <f t="shared" si="24"/>
        <v/>
      </c>
      <c r="AT510" s="251" t="str">
        <f t="shared" si="25"/>
        <v/>
      </c>
      <c r="AU510" s="251" t="str">
        <f t="shared" si="26"/>
        <v/>
      </c>
      <c r="AV510" s="251" t="str">
        <f t="shared" si="27"/>
        <v/>
      </c>
      <c r="AW510" s="251" t="str">
        <f t="shared" si="28"/>
        <v/>
      </c>
      <c r="AX510" s="251" t="str">
        <f t="shared" si="29"/>
        <v/>
      </c>
      <c r="AY510" s="251" t="str">
        <f t="shared" si="30"/>
        <v/>
      </c>
      <c r="AZ510" s="251" t="str">
        <f t="shared" si="31"/>
        <v/>
      </c>
      <c r="BA510" s="251" t="str">
        <f t="shared" si="32"/>
        <v/>
      </c>
      <c r="BB510" s="251" t="str">
        <f t="shared" si="33"/>
        <v/>
      </c>
      <c r="BC510" s="251" t="str">
        <f t="shared" si="34"/>
        <v/>
      </c>
      <c r="BD510" s="251" t="str">
        <f t="shared" si="35"/>
        <v/>
      </c>
      <c r="BE510" s="251" t="str">
        <f t="shared" si="36"/>
        <v/>
      </c>
      <c r="BF510" s="251" t="str">
        <f t="shared" si="37"/>
        <v/>
      </c>
      <c r="BG510" s="251" t="str">
        <f t="shared" si="38"/>
        <v/>
      </c>
      <c r="BH510" s="251" t="str">
        <f t="shared" si="39"/>
        <v/>
      </c>
      <c r="BI510" s="251" t="str">
        <f t="shared" si="40"/>
        <v/>
      </c>
      <c r="BJ510" s="251" t="str">
        <f t="shared" si="41"/>
        <v/>
      </c>
      <c r="BK510" s="251" t="str">
        <f t="shared" si="42"/>
        <v/>
      </c>
      <c r="BL510" s="251" t="str">
        <f t="shared" si="43"/>
        <v/>
      </c>
      <c r="BM510" s="251" t="str">
        <f t="shared" si="44"/>
        <v/>
      </c>
      <c r="BN510" s="251" t="str">
        <f t="shared" si="45"/>
        <v/>
      </c>
      <c r="BO510" s="251" t="str">
        <f t="shared" si="46"/>
        <v/>
      </c>
      <c r="BP510" s="251" t="str">
        <f t="shared" si="47"/>
        <v/>
      </c>
      <c r="BQ510" s="251" t="str">
        <f t="shared" si="48"/>
        <v/>
      </c>
      <c r="BR510" s="251" t="str">
        <f t="shared" si="49"/>
        <v/>
      </c>
      <c r="BS510" s="251" t="str">
        <f t="shared" si="50"/>
        <v/>
      </c>
      <c r="BT510" s="251" t="str">
        <f t="shared" si="51"/>
        <v/>
      </c>
      <c r="BU510" s="251" t="str">
        <f t="shared" si="52"/>
        <v/>
      </c>
      <c r="BV510" s="251" t="str">
        <f t="shared" si="53"/>
        <v/>
      </c>
      <c r="BW510" s="251" t="str">
        <f t="shared" si="54"/>
        <v/>
      </c>
      <c r="BX510" s="251" t="str">
        <f t="shared" si="55"/>
        <v/>
      </c>
      <c r="BY510" s="251" t="str">
        <f t="shared" si="56"/>
        <v/>
      </c>
      <c r="BZ510" s="251" t="str">
        <f t="shared" si="57"/>
        <v/>
      </c>
      <c r="CA510" s="251" t="str">
        <f t="shared" si="58"/>
        <v/>
      </c>
      <c r="CB510" s="251" t="str">
        <f t="shared" si="59"/>
        <v/>
      </c>
      <c r="CC510" s="251" t="str">
        <f t="shared" si="60"/>
        <v/>
      </c>
      <c r="CD510" s="251" t="str">
        <f t="shared" si="61"/>
        <v/>
      </c>
      <c r="CE510" s="251" t="str">
        <f t="shared" si="62"/>
        <v/>
      </c>
      <c r="CF510" s="251" t="str">
        <f t="shared" si="63"/>
        <v/>
      </c>
      <c r="CG510" s="251" t="str">
        <f t="shared" si="64"/>
        <v/>
      </c>
      <c r="CH510" s="251" t="str">
        <f t="shared" si="65"/>
        <v/>
      </c>
      <c r="CI510" s="251" t="str">
        <f t="shared" si="66"/>
        <v/>
      </c>
      <c r="CJ510" s="251" t="str">
        <f t="shared" si="67"/>
        <v/>
      </c>
      <c r="CK510" s="251" t="str">
        <f t="shared" si="68"/>
        <v/>
      </c>
      <c r="CL510" s="251" t="str">
        <f t="shared" si="69"/>
        <v/>
      </c>
      <c r="CM510" s="251" t="str">
        <f t="shared" si="70"/>
        <v/>
      </c>
      <c r="CN510" s="251" t="str">
        <f t="shared" si="71"/>
        <v/>
      </c>
      <c r="CO510" s="251" t="str">
        <f t="shared" si="72"/>
        <v/>
      </c>
      <c r="CP510" s="251" t="str">
        <f t="shared" si="73"/>
        <v/>
      </c>
      <c r="CQ510" s="251" t="str">
        <f t="shared" si="74"/>
        <v/>
      </c>
      <c r="CR510" s="251" t="str">
        <f t="shared" si="75"/>
        <v/>
      </c>
      <c r="CS510" s="251" t="str">
        <f t="shared" si="76"/>
        <v/>
      </c>
      <c r="CT510" s="251" t="str">
        <f t="shared" si="77"/>
        <v/>
      </c>
      <c r="CU510" s="251" t="str">
        <f t="shared" si="78"/>
        <v/>
      </c>
      <c r="CV510" s="251" t="str">
        <f t="shared" si="79"/>
        <v/>
      </c>
      <c r="CW510" s="251" t="str">
        <f t="shared" si="80"/>
        <v/>
      </c>
      <c r="CX510" s="251" t="str">
        <f t="shared" si="81"/>
        <v/>
      </c>
      <c r="CY510" s="251" t="str">
        <f t="shared" si="82"/>
        <v/>
      </c>
      <c r="CZ510" s="251" t="str">
        <f t="shared" si="83"/>
        <v/>
      </c>
      <c r="DA510" s="251" t="str">
        <f t="shared" si="84"/>
        <v/>
      </c>
      <c r="DB510" s="251" t="str">
        <f t="shared" si="85"/>
        <v/>
      </c>
      <c r="DC510" s="251" t="str">
        <f t="shared" si="86"/>
        <v/>
      </c>
      <c r="DD510" s="251" t="str">
        <f t="shared" si="87"/>
        <v/>
      </c>
      <c r="DE510" s="251" t="str">
        <f t="shared" si="88"/>
        <v/>
      </c>
      <c r="DF510" s="251" t="str">
        <f t="shared" si="89"/>
        <v/>
      </c>
      <c r="DG510" s="251" t="str">
        <f t="shared" si="90"/>
        <v/>
      </c>
      <c r="DH510" s="251" t="str">
        <f t="shared" si="91"/>
        <v/>
      </c>
      <c r="DI510" s="251" t="str">
        <f t="shared" si="92"/>
        <v/>
      </c>
      <c r="DJ510" s="251" t="str">
        <f t="shared" si="93"/>
        <v/>
      </c>
      <c r="DK510" s="251" t="str">
        <f t="shared" si="94"/>
        <v/>
      </c>
      <c r="DL510" s="251" t="str">
        <f t="shared" si="95"/>
        <v/>
      </c>
      <c r="DM510" s="251" t="str">
        <f t="shared" si="96"/>
        <v/>
      </c>
      <c r="DN510" s="251" t="str">
        <f t="shared" si="97"/>
        <v/>
      </c>
      <c r="DO510" s="251" t="str">
        <f t="shared" si="98"/>
        <v/>
      </c>
      <c r="DP510" s="251" t="str">
        <f t="shared" si="99"/>
        <v/>
      </c>
      <c r="DQ510" s="251" t="str">
        <f t="shared" si="100"/>
        <v/>
      </c>
      <c r="DR510" s="251" t="str">
        <f t="shared" si="101"/>
        <v/>
      </c>
      <c r="DS510" s="251" t="str">
        <f t="shared" si="102"/>
        <v/>
      </c>
      <c r="DT510" s="251" t="str">
        <f t="shared" si="103"/>
        <v/>
      </c>
      <c r="DU510" s="251" t="str">
        <f t="shared" si="104"/>
        <v/>
      </c>
      <c r="DV510" s="251" t="str">
        <f t="shared" si="105"/>
        <v/>
      </c>
      <c r="DW510" s="251" t="str">
        <f t="shared" si="106"/>
        <v/>
      </c>
      <c r="DX510" s="251" t="str">
        <f t="shared" si="107"/>
        <v/>
      </c>
      <c r="DY510" s="251" t="str">
        <f t="shared" si="108"/>
        <v/>
      </c>
      <c r="DZ510" s="251" t="str">
        <f t="shared" si="109"/>
        <v/>
      </c>
      <c r="EA510" s="251" t="str">
        <f t="shared" si="110"/>
        <v/>
      </c>
      <c r="EB510" s="251" t="str">
        <f t="shared" si="111"/>
        <v/>
      </c>
      <c r="EC510" s="251" t="str">
        <f t="shared" si="112"/>
        <v/>
      </c>
      <c r="ED510" s="251" t="str">
        <f t="shared" si="113"/>
        <v/>
      </c>
      <c r="EE510" s="251" t="str">
        <f t="shared" si="114"/>
        <v/>
      </c>
      <c r="EF510" s="251" t="str">
        <f t="shared" si="115"/>
        <v/>
      </c>
      <c r="EG510" s="251" t="str">
        <f t="shared" si="116"/>
        <v/>
      </c>
      <c r="EH510" s="251" t="str">
        <f t="shared" si="117"/>
        <v/>
      </c>
      <c r="EI510" s="251" t="str">
        <f t="shared" si="118"/>
        <v/>
      </c>
      <c r="EJ510" s="251" t="str">
        <f t="shared" si="119"/>
        <v/>
      </c>
      <c r="EK510" s="251" t="str">
        <f t="shared" si="120"/>
        <v/>
      </c>
      <c r="EL510" s="251" t="str">
        <f t="shared" si="121"/>
        <v/>
      </c>
      <c r="EM510" s="251" t="str">
        <f t="shared" si="122"/>
        <v/>
      </c>
      <c r="EN510" s="251" t="str">
        <f t="shared" si="123"/>
        <v/>
      </c>
      <c r="EO510" s="251" t="str">
        <f t="shared" si="124"/>
        <v/>
      </c>
      <c r="EP510" s="251" t="str">
        <f t="shared" si="125"/>
        <v/>
      </c>
      <c r="EQ510" s="251" t="str">
        <f t="shared" si="126"/>
        <v/>
      </c>
      <c r="ER510" s="251" t="str">
        <f t="shared" si="127"/>
        <v/>
      </c>
      <c r="ES510" s="251" t="str">
        <f t="shared" si="128"/>
        <v/>
      </c>
      <c r="ET510" s="251" t="str">
        <f t="shared" si="129"/>
        <v/>
      </c>
      <c r="EU510" s="251" t="str">
        <f t="shared" si="130"/>
        <v/>
      </c>
      <c r="EV510" s="251" t="str">
        <f t="shared" si="131"/>
        <v/>
      </c>
      <c r="EW510" s="251" t="str">
        <f t="shared" si="132"/>
        <v/>
      </c>
      <c r="EX510" s="251" t="str">
        <f t="shared" si="133"/>
        <v/>
      </c>
      <c r="EY510" s="251" t="str">
        <f t="shared" si="134"/>
        <v/>
      </c>
      <c r="EZ510" s="251" t="str">
        <f t="shared" si="135"/>
        <v/>
      </c>
      <c r="FA510" s="251" t="str">
        <f t="shared" si="136"/>
        <v/>
      </c>
      <c r="FB510" s="251" t="str">
        <f t="shared" si="137"/>
        <v/>
      </c>
      <c r="FC510" s="251" t="str">
        <f t="shared" si="138"/>
        <v/>
      </c>
      <c r="FD510" s="251" t="str">
        <f t="shared" si="139"/>
        <v/>
      </c>
      <c r="FE510" s="251" t="str">
        <f t="shared" si="140"/>
        <v/>
      </c>
      <c r="FF510" s="251" t="str">
        <f t="shared" si="141"/>
        <v/>
      </c>
      <c r="FG510" s="251" t="str">
        <f t="shared" si="142"/>
        <v/>
      </c>
      <c r="FH510" s="251" t="str">
        <f t="shared" si="143"/>
        <v/>
      </c>
      <c r="FI510" s="251" t="str">
        <f t="shared" si="144"/>
        <v/>
      </c>
      <c r="FJ510" s="251" t="str">
        <f t="shared" si="145"/>
        <v/>
      </c>
      <c r="FK510" s="251" t="str">
        <f t="shared" si="146"/>
        <v/>
      </c>
      <c r="FL510" s="251" t="str">
        <f t="shared" si="147"/>
        <v/>
      </c>
      <c r="FM510" s="251" t="str">
        <f t="shared" si="148"/>
        <v/>
      </c>
      <c r="FN510" s="251" t="str">
        <f t="shared" si="149"/>
        <v/>
      </c>
      <c r="FO510" s="251" t="str">
        <f t="shared" si="150"/>
        <v/>
      </c>
      <c r="FP510" s="251" t="str">
        <f t="shared" si="151"/>
        <v/>
      </c>
      <c r="FQ510" s="251" t="str">
        <f t="shared" si="152"/>
        <v/>
      </c>
      <c r="FR510" s="251" t="str">
        <f t="shared" si="153"/>
        <v/>
      </c>
      <c r="FS510" s="251" t="str">
        <f t="shared" si="154"/>
        <v/>
      </c>
      <c r="FT510" s="251" t="str">
        <f t="shared" si="155"/>
        <v/>
      </c>
      <c r="FU510" s="251" t="str">
        <f t="shared" si="156"/>
        <v/>
      </c>
      <c r="FV510" s="251" t="str">
        <f t="shared" si="157"/>
        <v/>
      </c>
      <c r="FW510" s="251" t="str">
        <f t="shared" si="158"/>
        <v/>
      </c>
      <c r="FX510" s="251" t="str">
        <f t="shared" si="159"/>
        <v/>
      </c>
      <c r="FY510" s="251" t="str">
        <f t="shared" si="160"/>
        <v/>
      </c>
      <c r="FZ510" s="251" t="str">
        <f t="shared" si="161"/>
        <v/>
      </c>
      <c r="GA510" s="251" t="str">
        <f t="shared" si="162"/>
        <v/>
      </c>
      <c r="GB510" s="251" t="str">
        <f t="shared" si="163"/>
        <v/>
      </c>
      <c r="GC510" s="251" t="str">
        <f t="shared" si="164"/>
        <v/>
      </c>
      <c r="GD510" s="251" t="str">
        <f t="shared" si="165"/>
        <v/>
      </c>
      <c r="GE510" s="251" t="str">
        <f t="shared" si="166"/>
        <v/>
      </c>
      <c r="GF510" s="251" t="str">
        <f t="shared" si="167"/>
        <v/>
      </c>
      <c r="GG510" s="251" t="str">
        <f t="shared" si="168"/>
        <v/>
      </c>
      <c r="GH510" s="251" t="str">
        <f t="shared" si="169"/>
        <v/>
      </c>
      <c r="GI510" s="251" t="str">
        <f t="shared" si="170"/>
        <v/>
      </c>
      <c r="GJ510" s="251" t="str">
        <f t="shared" si="171"/>
        <v/>
      </c>
      <c r="GK510" s="251" t="str">
        <f t="shared" si="172"/>
        <v/>
      </c>
      <c r="GL510" s="251" t="str">
        <f t="shared" si="173"/>
        <v/>
      </c>
      <c r="GM510" s="251" t="str">
        <f t="shared" si="174"/>
        <v/>
      </c>
      <c r="GN510" s="251" t="str">
        <f t="shared" si="175"/>
        <v/>
      </c>
      <c r="GO510" s="251" t="str">
        <f t="shared" si="176"/>
        <v/>
      </c>
      <c r="GP510" s="251" t="str">
        <f t="shared" si="177"/>
        <v/>
      </c>
      <c r="GQ510" s="251" t="str">
        <f t="shared" si="178"/>
        <v/>
      </c>
      <c r="GR510" s="251" t="str">
        <f t="shared" si="179"/>
        <v/>
      </c>
      <c r="GS510" s="251" t="str">
        <f t="shared" si="180"/>
        <v/>
      </c>
      <c r="GT510" s="251" t="str">
        <f t="shared" si="181"/>
        <v/>
      </c>
      <c r="GU510" s="251" t="str">
        <f t="shared" si="182"/>
        <v/>
      </c>
      <c r="GV510" s="251" t="str">
        <f t="shared" si="183"/>
        <v/>
      </c>
      <c r="GW510" s="251" t="str">
        <f t="shared" si="184"/>
        <v/>
      </c>
      <c r="GX510" s="251" t="str">
        <f t="shared" si="185"/>
        <v/>
      </c>
      <c r="GY510" s="251" t="str">
        <f t="shared" si="186"/>
        <v/>
      </c>
      <c r="GZ510" s="251" t="str">
        <f t="shared" si="187"/>
        <v/>
      </c>
      <c r="HA510" s="251" t="str">
        <f t="shared" si="188"/>
        <v/>
      </c>
      <c r="HB510" s="251" t="str">
        <f t="shared" si="189"/>
        <v/>
      </c>
      <c r="HC510" s="251" t="str">
        <f t="shared" si="190"/>
        <v/>
      </c>
      <c r="HD510" s="251" t="str">
        <f t="shared" si="191"/>
        <v/>
      </c>
      <c r="HE510" s="251" t="str">
        <f t="shared" si="192"/>
        <v/>
      </c>
      <c r="HF510" s="251" t="str">
        <f t="shared" si="193"/>
        <v/>
      </c>
      <c r="HG510" s="251" t="str">
        <f t="shared" si="194"/>
        <v/>
      </c>
      <c r="HH510" s="251" t="str">
        <f t="shared" si="195"/>
        <v/>
      </c>
      <c r="HI510" s="251" t="str">
        <f t="shared" si="196"/>
        <v/>
      </c>
      <c r="HJ510" s="251" t="str">
        <f t="shared" si="197"/>
        <v/>
      </c>
      <c r="HK510" s="251" t="str">
        <f t="shared" si="198"/>
        <v/>
      </c>
      <c r="HL510" s="251" t="str">
        <f t="shared" si="199"/>
        <v/>
      </c>
      <c r="HM510" s="251" t="str">
        <f t="shared" si="200"/>
        <v/>
      </c>
      <c r="HN510" s="251" t="str">
        <f t="shared" si="201"/>
        <v/>
      </c>
      <c r="HO510" s="251" t="str">
        <f t="shared" si="202"/>
        <v/>
      </c>
      <c r="HP510" s="251" t="str">
        <f t="shared" si="203"/>
        <v/>
      </c>
      <c r="HQ510" s="251" t="str">
        <f t="shared" si="204"/>
        <v/>
      </c>
      <c r="HR510" s="251" t="str">
        <f t="shared" si="205"/>
        <v/>
      </c>
      <c r="HS510" s="251" t="str">
        <f t="shared" si="206"/>
        <v/>
      </c>
      <c r="HT510" s="251" t="str">
        <f t="shared" si="207"/>
        <v/>
      </c>
      <c r="HU510" s="251" t="str">
        <f t="shared" si="208"/>
        <v/>
      </c>
      <c r="HV510" s="251" t="str">
        <f t="shared" si="209"/>
        <v/>
      </c>
      <c r="HW510" s="251" t="str">
        <f t="shared" si="210"/>
        <v/>
      </c>
      <c r="HX510" s="251" t="str">
        <f t="shared" si="211"/>
        <v/>
      </c>
      <c r="HY510" s="251" t="str">
        <f t="shared" si="212"/>
        <v/>
      </c>
      <c r="HZ510" s="251" t="str">
        <f t="shared" si="213"/>
        <v/>
      </c>
      <c r="IA510" s="251" t="str">
        <f t="shared" si="214"/>
        <v/>
      </c>
      <c r="IB510" s="251" t="str">
        <f t="shared" si="215"/>
        <v/>
      </c>
      <c r="IC510" s="251" t="str">
        <f t="shared" si="216"/>
        <v/>
      </c>
      <c r="ID510" s="251" t="str">
        <f t="shared" si="217"/>
        <v/>
      </c>
      <c r="IE510" s="251" t="str">
        <f t="shared" si="218"/>
        <v/>
      </c>
      <c r="IF510" s="251" t="str">
        <f t="shared" si="219"/>
        <v/>
      </c>
      <c r="IG510" s="251" t="str">
        <f t="shared" si="220"/>
        <v/>
      </c>
      <c r="IH510" s="251" t="str">
        <f t="shared" si="221"/>
        <v/>
      </c>
      <c r="II510" s="251" t="str">
        <f t="shared" si="222"/>
        <v/>
      </c>
      <c r="IJ510" s="251" t="str">
        <f t="shared" si="223"/>
        <v/>
      </c>
      <c r="IK510" s="251" t="str">
        <f t="shared" si="224"/>
        <v/>
      </c>
      <c r="IL510" s="251" t="str">
        <f t="shared" si="225"/>
        <v/>
      </c>
      <c r="IM510" s="251" t="str">
        <f t="shared" si="226"/>
        <v/>
      </c>
      <c r="IN510" s="251" t="str">
        <f t="shared" si="227"/>
        <v/>
      </c>
      <c r="IO510" s="251" t="str">
        <f t="shared" si="228"/>
        <v/>
      </c>
      <c r="IP510" s="251" t="str">
        <f t="shared" si="229"/>
        <v/>
      </c>
      <c r="IQ510" s="251" t="str">
        <f t="shared" si="230"/>
        <v/>
      </c>
      <c r="IR510" s="251" t="str">
        <f t="shared" si="231"/>
        <v/>
      </c>
      <c r="IS510" s="251" t="str">
        <f t="shared" si="232"/>
        <v/>
      </c>
      <c r="IT510" s="251" t="str">
        <f t="shared" si="233"/>
        <v/>
      </c>
      <c r="IU510" s="251" t="str">
        <f t="shared" si="234"/>
        <v/>
      </c>
      <c r="IV510" s="251" t="str">
        <f t="shared" si="235"/>
        <v/>
      </c>
      <c r="IW510" s="251" t="str">
        <f t="shared" si="236"/>
        <v/>
      </c>
      <c r="IX510" s="251" t="str">
        <f t="shared" si="237"/>
        <v/>
      </c>
      <c r="IY510" s="251" t="str">
        <f t="shared" si="238"/>
        <v/>
      </c>
      <c r="IZ510" s="251" t="str">
        <f t="shared" si="239"/>
        <v/>
      </c>
      <c r="JA510" s="251" t="str">
        <f t="shared" si="240"/>
        <v/>
      </c>
      <c r="JB510" s="251" t="str">
        <f t="shared" si="241"/>
        <v/>
      </c>
      <c r="JC510" s="251" t="str">
        <f t="shared" si="242"/>
        <v/>
      </c>
      <c r="JD510" s="251" t="str">
        <f t="shared" si="243"/>
        <v/>
      </c>
      <c r="JE510" s="251" t="str">
        <f t="shared" si="244"/>
        <v/>
      </c>
      <c r="JF510" s="251" t="str">
        <f t="shared" si="245"/>
        <v/>
      </c>
      <c r="JG510" s="251" t="str">
        <f t="shared" si="246"/>
        <v/>
      </c>
      <c r="JH510" s="251" t="str">
        <f t="shared" si="247"/>
        <v/>
      </c>
      <c r="JI510" s="1297" t="str">
        <f t="shared" si="248"/>
        <v/>
      </c>
      <c r="JJ510" s="1297" t="str">
        <f t="shared" si="249"/>
        <v/>
      </c>
      <c r="JK510" s="1297" t="str">
        <f t="shared" si="250"/>
        <v/>
      </c>
      <c r="JL510" s="1297" t="str">
        <f t="shared" si="251"/>
        <v/>
      </c>
      <c r="JM510" s="1297" t="str">
        <f t="shared" si="252"/>
        <v/>
      </c>
      <c r="JN510" s="1297" t="str">
        <f t="shared" si="253"/>
        <v/>
      </c>
      <c r="JO510" s="1297" t="str">
        <f t="shared" si="254"/>
        <v/>
      </c>
      <c r="JP510" s="1297" t="str">
        <f t="shared" si="255"/>
        <v/>
      </c>
      <c r="JQ510" s="1297" t="str">
        <f t="shared" si="256"/>
        <v/>
      </c>
      <c r="JR510" s="1297" t="str">
        <f t="shared" si="257"/>
        <v/>
      </c>
      <c r="JS510" s="1297" t="str">
        <f t="shared" si="258"/>
        <v/>
      </c>
      <c r="JT510" s="1297" t="str">
        <f t="shared" si="259"/>
        <v/>
      </c>
      <c r="JU510" s="1297" t="str">
        <f t="shared" si="260"/>
        <v/>
      </c>
      <c r="JV510" s="1297" t="str">
        <f t="shared" si="261"/>
        <v/>
      </c>
      <c r="JW510" s="1297" t="str">
        <f t="shared" si="262"/>
        <v/>
      </c>
      <c r="JX510" s="1297" t="str">
        <f t="shared" si="263"/>
        <v/>
      </c>
      <c r="JY510" s="1297" t="str">
        <f t="shared" si="264"/>
        <v/>
      </c>
      <c r="JZ510" s="1297" t="str">
        <f t="shared" si="265"/>
        <v/>
      </c>
      <c r="KA510" s="1297" t="str">
        <f t="shared" si="266"/>
        <v/>
      </c>
      <c r="KB510" s="1297" t="str">
        <f t="shared" si="267"/>
        <v/>
      </c>
      <c r="KC510" s="1297" t="str">
        <f t="shared" si="268"/>
        <v/>
      </c>
      <c r="KD510" s="1297" t="str">
        <f t="shared" si="269"/>
        <v/>
      </c>
      <c r="KE510" s="1297" t="str">
        <f t="shared" si="270"/>
        <v/>
      </c>
      <c r="KF510" s="1297" t="str">
        <f t="shared" si="271"/>
        <v/>
      </c>
      <c r="KG510" s="1297" t="str">
        <f t="shared" si="272"/>
        <v/>
      </c>
      <c r="KH510" s="1297" t="str">
        <f t="shared" si="273"/>
        <v/>
      </c>
      <c r="KI510" s="1297" t="str">
        <f t="shared" si="274"/>
        <v/>
      </c>
      <c r="KJ510" s="1297" t="str">
        <f t="shared" si="275"/>
        <v/>
      </c>
      <c r="KK510" s="1297" t="str">
        <f t="shared" si="276"/>
        <v/>
      </c>
      <c r="KL510" s="1297" t="str">
        <f t="shared" si="277"/>
        <v/>
      </c>
      <c r="KM510" s="1297" t="str">
        <f t="shared" si="278"/>
        <v/>
      </c>
      <c r="KN510" s="1297" t="str">
        <f t="shared" si="279"/>
        <v/>
      </c>
      <c r="KO510" s="1297" t="str">
        <f t="shared" si="280"/>
        <v/>
      </c>
      <c r="KP510" s="1297" t="str">
        <f t="shared" si="281"/>
        <v/>
      </c>
      <c r="KQ510" s="1297" t="str">
        <f t="shared" si="282"/>
        <v/>
      </c>
      <c r="KR510" s="1297" t="str">
        <f t="shared" si="283"/>
        <v/>
      </c>
      <c r="KS510" s="1297" t="str">
        <f t="shared" si="284"/>
        <v/>
      </c>
      <c r="KT510" s="1297" t="str">
        <f t="shared" si="285"/>
        <v/>
      </c>
      <c r="KU510" s="1297" t="str">
        <f t="shared" si="286"/>
        <v/>
      </c>
      <c r="KV510" s="1297" t="str">
        <f t="shared" si="287"/>
        <v/>
      </c>
      <c r="KW510" s="1297" t="str">
        <f t="shared" si="288"/>
        <v/>
      </c>
      <c r="KX510" s="1297" t="str">
        <f t="shared" si="289"/>
        <v/>
      </c>
      <c r="KY510" s="1297" t="str">
        <f t="shared" si="290"/>
        <v/>
      </c>
      <c r="KZ510" s="1297" t="str">
        <f t="shared" si="291"/>
        <v/>
      </c>
      <c r="LA510" s="1297" t="str">
        <f t="shared" si="292"/>
        <v/>
      </c>
      <c r="LB510" s="1297" t="str">
        <f t="shared" si="293"/>
        <v/>
      </c>
      <c r="LC510" s="1297" t="str">
        <f t="shared" si="294"/>
        <v/>
      </c>
      <c r="LD510" s="1297" t="str">
        <f t="shared" si="295"/>
        <v/>
      </c>
      <c r="LE510" s="1297" t="str">
        <f t="shared" si="296"/>
        <v/>
      </c>
      <c r="LF510" s="1297" t="str">
        <f t="shared" si="297"/>
        <v/>
      </c>
      <c r="LG510" s="1297" t="str">
        <f t="shared" si="298"/>
        <v/>
      </c>
      <c r="LH510" s="1297" t="str">
        <f t="shared" si="299"/>
        <v/>
      </c>
      <c r="LI510" s="1297" t="str">
        <f t="shared" si="300"/>
        <v/>
      </c>
      <c r="LJ510" s="1297" t="str">
        <f t="shared" si="301"/>
        <v/>
      </c>
      <c r="LK510" s="1297" t="str">
        <f t="shared" si="302"/>
        <v/>
      </c>
      <c r="LL510" s="1297" t="str">
        <f t="shared" si="303"/>
        <v/>
      </c>
      <c r="LM510" s="1297" t="str">
        <f t="shared" si="304"/>
        <v/>
      </c>
      <c r="LN510" s="1297" t="str">
        <f t="shared" si="305"/>
        <v/>
      </c>
      <c r="LO510" s="1297" t="str">
        <f t="shared" si="306"/>
        <v/>
      </c>
      <c r="LP510" s="1297" t="str">
        <f t="shared" si="307"/>
        <v/>
      </c>
      <c r="LQ510" s="1297" t="str">
        <f t="shared" si="308"/>
        <v/>
      </c>
      <c r="LR510" s="1297" t="str">
        <f t="shared" si="309"/>
        <v/>
      </c>
      <c r="LS510" s="1297" t="str">
        <f t="shared" si="310"/>
        <v/>
      </c>
      <c r="LT510" s="1297" t="str">
        <f t="shared" si="311"/>
        <v/>
      </c>
      <c r="LU510" s="1297" t="str">
        <f t="shared" si="312"/>
        <v/>
      </c>
      <c r="LV510" s="1297" t="str">
        <f t="shared" si="313"/>
        <v/>
      </c>
      <c r="LW510" s="1297" t="str">
        <f t="shared" si="314"/>
        <v/>
      </c>
      <c r="LX510" s="1297" t="str">
        <f t="shared" si="315"/>
        <v/>
      </c>
      <c r="LY510" s="1297" t="str">
        <f t="shared" si="316"/>
        <v/>
      </c>
      <c r="LZ510" s="1297" t="str">
        <f t="shared" si="317"/>
        <v/>
      </c>
      <c r="MA510" s="1297" t="str">
        <f t="shared" si="318"/>
        <v/>
      </c>
      <c r="MB510" s="1297" t="str">
        <f t="shared" si="319"/>
        <v/>
      </c>
      <c r="MC510" s="1297" t="str">
        <f t="shared" si="320"/>
        <v/>
      </c>
      <c r="MD510" s="1297" t="str">
        <f t="shared" si="321"/>
        <v/>
      </c>
      <c r="ME510" s="1297" t="str">
        <f t="shared" si="322"/>
        <v/>
      </c>
      <c r="MF510" s="1297" t="str">
        <f t="shared" si="323"/>
        <v/>
      </c>
      <c r="MG510" s="1297" t="str">
        <f t="shared" si="324"/>
        <v/>
      </c>
      <c r="MH510" s="1297" t="str">
        <f t="shared" si="325"/>
        <v/>
      </c>
      <c r="MI510" s="1297" t="str">
        <f t="shared" si="326"/>
        <v/>
      </c>
      <c r="MJ510" s="1297" t="str">
        <f t="shared" si="327"/>
        <v/>
      </c>
      <c r="MK510" s="1297" t="str">
        <f t="shared" si="328"/>
        <v/>
      </c>
      <c r="ML510" s="1297" t="str">
        <f t="shared" si="329"/>
        <v/>
      </c>
      <c r="MM510" s="1297" t="str">
        <f t="shared" si="330"/>
        <v/>
      </c>
      <c r="MN510" s="1297" t="str">
        <f t="shared" si="331"/>
        <v/>
      </c>
      <c r="MO510" s="1297" t="str">
        <f t="shared" si="332"/>
        <v/>
      </c>
      <c r="MP510" s="1773" t="str">
        <f t="shared" si="333"/>
        <v/>
      </c>
      <c r="MQ510" s="1773" t="str">
        <f t="shared" si="334"/>
        <v/>
      </c>
      <c r="MR510" s="1773" t="str">
        <f t="shared" si="335"/>
        <v/>
      </c>
      <c r="MS510" s="1773" t="str">
        <f t="shared" si="336"/>
        <v/>
      </c>
      <c r="MT510" s="1773" t="str">
        <f t="shared" si="337"/>
        <v/>
      </c>
      <c r="MU510" s="251" t="str">
        <f t="shared" si="338"/>
        <v/>
      </c>
      <c r="MV510" s="251" t="str">
        <f t="shared" si="339"/>
        <v/>
      </c>
      <c r="MW510" s="251" t="str">
        <f t="shared" si="340"/>
        <v/>
      </c>
      <c r="MX510" s="251" t="str">
        <f t="shared" si="341"/>
        <v/>
      </c>
      <c r="MY510" s="251" t="str">
        <f t="shared" si="342"/>
        <v/>
      </c>
      <c r="MZ510" s="251" t="str">
        <f t="shared" si="343"/>
        <v/>
      </c>
      <c r="NA510" s="251" t="str">
        <f t="shared" si="344"/>
        <v/>
      </c>
      <c r="NB510" s="251" t="str">
        <f t="shared" si="345"/>
        <v/>
      </c>
      <c r="NC510" s="251" t="str">
        <f t="shared" si="346"/>
        <v/>
      </c>
      <c r="ND510" s="251" t="str">
        <f t="shared" si="347"/>
        <v/>
      </c>
      <c r="NE510" s="251" t="str">
        <f t="shared" si="348"/>
        <v/>
      </c>
      <c r="NF510" s="251" t="str">
        <f t="shared" si="349"/>
        <v/>
      </c>
      <c r="NG510" s="251" t="str">
        <f t="shared" si="350"/>
        <v/>
      </c>
      <c r="NH510" s="251" t="str">
        <f t="shared" si="351"/>
        <v/>
      </c>
      <c r="NI510" s="251" t="str">
        <f t="shared" si="352"/>
        <v/>
      </c>
      <c r="NJ510" s="251" t="str">
        <f t="shared" si="353"/>
        <v/>
      </c>
      <c r="NK510" s="251" t="str">
        <f t="shared" si="354"/>
        <v/>
      </c>
      <c r="NL510" s="251" t="str">
        <f t="shared" si="355"/>
        <v/>
      </c>
      <c r="NM510" s="251" t="str">
        <f t="shared" si="356"/>
        <v/>
      </c>
      <c r="NN510" s="251" t="str">
        <f t="shared" si="357"/>
        <v/>
      </c>
      <c r="NO510" s="1185">
        <f t="shared" si="358"/>
        <v>0</v>
      </c>
      <c r="NP510" s="1185">
        <f t="shared" si="359"/>
        <v>0</v>
      </c>
      <c r="NQ510" s="1185">
        <f t="shared" si="360"/>
        <v>0</v>
      </c>
      <c r="NR510" s="1185">
        <f t="shared" si="361"/>
        <v>0</v>
      </c>
      <c r="NS510" s="1185">
        <f t="shared" si="362"/>
        <v>0</v>
      </c>
      <c r="NT510" s="1185">
        <f t="shared" si="368"/>
        <v>0</v>
      </c>
      <c r="NU510" s="1185">
        <f t="shared" si="369"/>
        <v>0</v>
      </c>
      <c r="NV510" s="1185">
        <f t="shared" si="370"/>
        <v>0</v>
      </c>
      <c r="NW510" s="1185">
        <f t="shared" si="371"/>
        <v>0</v>
      </c>
      <c r="NX510" s="1185">
        <f t="shared" si="372"/>
        <v>0</v>
      </c>
      <c r="NY510" s="1185">
        <f t="shared" si="363"/>
        <v>0</v>
      </c>
      <c r="NZ510" s="1185">
        <f t="shared" si="364"/>
        <v>0</v>
      </c>
      <c r="OA510" s="1185">
        <f t="shared" si="365"/>
        <v>0</v>
      </c>
      <c r="OB510" s="1185">
        <f t="shared" si="366"/>
        <v>0</v>
      </c>
      <c r="OC510" s="1185">
        <f t="shared" si="367"/>
        <v>0</v>
      </c>
      <c r="OY510" s="251" t="s">
        <v>1196</v>
      </c>
      <c r="OZ510" s="1296">
        <v>53</v>
      </c>
    </row>
    <row r="511" spans="1:416" ht="12.75" customHeight="1">
      <c r="A511" s="1979">
        <f>COUNT(A464,A465,A466,A467,A468,A469,A470,A471,A472,A473,A474,A475,A476,A477,A478,A479,A480,A481,A482,A483,A484,A485,A486,A487,A488,A489,A490,A491,A492,A493,A494,A495,A496,A497,A498,A499,A500,A501,A502,A503,A504,A505,A506,A507,A508,A509,A510)</f>
        <v>0</v>
      </c>
      <c r="B511" s="2006" t="s">
        <v>1197</v>
      </c>
      <c r="C511" s="2006"/>
      <c r="D511" s="2007" t="s">
        <v>1198</v>
      </c>
      <c r="E511" s="2008">
        <f>SUM(E464:E510)</f>
        <v>96</v>
      </c>
      <c r="F511" s="2009">
        <f>(E464*F464+E465*F465+E466*F466+E467*F467+E468*F468+E469*F469+E470*F470+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96504</v>
      </c>
      <c r="H511" s="2010" t="s">
        <v>1199</v>
      </c>
      <c r="I511" s="2011" t="s">
        <v>1200</v>
      </c>
      <c r="J511" s="2012" t="str">
        <f>IF(P518=0,"",IF(SUM(#REF!)/P518&gt;=0.4,"Pass","Fail"))</f>
        <v/>
      </c>
      <c r="K511" s="257"/>
      <c r="L511" s="2013" t="s">
        <v>1201</v>
      </c>
      <c r="M511" s="2014">
        <f>SUM(M464:M510)</f>
        <v>69353</v>
      </c>
      <c r="N511" s="253"/>
      <c r="O511" s="253"/>
      <c r="P511" s="253"/>
      <c r="Q511" s="253"/>
      <c r="R511" s="253"/>
      <c r="S511" s="253"/>
      <c r="T511" s="253"/>
      <c r="U511" s="253"/>
      <c r="V511" s="1987"/>
      <c r="W511" s="1186"/>
      <c r="X511" s="1186">
        <f t="shared" ref="X511:GJ511" si="373">SUM(X464:X510)</f>
        <v>0</v>
      </c>
      <c r="Y511" s="1186">
        <f t="shared" si="373"/>
        <v>0</v>
      </c>
      <c r="Z511" s="1186">
        <f t="shared" si="373"/>
        <v>0</v>
      </c>
      <c r="AA511" s="1186">
        <f t="shared" si="373"/>
        <v>0</v>
      </c>
      <c r="AB511" s="1186">
        <f t="shared" si="373"/>
        <v>0</v>
      </c>
      <c r="AC511" s="1186">
        <f t="shared" si="373"/>
        <v>0</v>
      </c>
      <c r="AD511" s="1186">
        <f t="shared" si="373"/>
        <v>0</v>
      </c>
      <c r="AE511" s="1186">
        <f t="shared" si="373"/>
        <v>0</v>
      </c>
      <c r="AF511" s="1186">
        <f t="shared" si="373"/>
        <v>0</v>
      </c>
      <c r="AG511" s="1186">
        <f t="shared" si="373"/>
        <v>0</v>
      </c>
      <c r="AH511" s="1186">
        <f t="shared" si="373"/>
        <v>0</v>
      </c>
      <c r="AI511" s="1186">
        <f t="shared" si="373"/>
        <v>19</v>
      </c>
      <c r="AJ511" s="1186">
        <f t="shared" si="373"/>
        <v>38</v>
      </c>
      <c r="AK511" s="1186">
        <f t="shared" si="373"/>
        <v>19</v>
      </c>
      <c r="AL511" s="1186">
        <f t="shared" si="373"/>
        <v>0</v>
      </c>
      <c r="AM511" s="1186">
        <f>SUM(AM464:AM510)</f>
        <v>0</v>
      </c>
      <c r="AN511" s="1186">
        <f>SUM(AN464:AN510)</f>
        <v>5</v>
      </c>
      <c r="AO511" s="1186">
        <f>SUM(AO464:AO510)</f>
        <v>10</v>
      </c>
      <c r="AP511" s="1186">
        <f>SUM(AP464:AP510)</f>
        <v>5</v>
      </c>
      <c r="AQ511" s="1186">
        <f>SUM(AQ464:AQ510)</f>
        <v>0</v>
      </c>
      <c r="AR511" s="1186">
        <f t="shared" si="373"/>
        <v>0</v>
      </c>
      <c r="AS511" s="1186">
        <f t="shared" si="373"/>
        <v>0</v>
      </c>
      <c r="AT511" s="1186">
        <f t="shared" si="373"/>
        <v>0</v>
      </c>
      <c r="AU511" s="1186">
        <f t="shared" si="373"/>
        <v>0</v>
      </c>
      <c r="AV511" s="1186">
        <f t="shared" si="373"/>
        <v>0</v>
      </c>
      <c r="AW511" s="1186">
        <f t="shared" si="373"/>
        <v>0</v>
      </c>
      <c r="AX511" s="1186">
        <f t="shared" si="373"/>
        <v>0</v>
      </c>
      <c r="AY511" s="1186">
        <f t="shared" si="373"/>
        <v>0</v>
      </c>
      <c r="AZ511" s="1186">
        <f t="shared" si="373"/>
        <v>0</v>
      </c>
      <c r="BA511" s="1186">
        <f t="shared" si="373"/>
        <v>0</v>
      </c>
      <c r="BB511" s="1186">
        <f>SUM(BB464:BB510)</f>
        <v>0</v>
      </c>
      <c r="BC511" s="1186">
        <f>SUM(BC464:BC510)</f>
        <v>0</v>
      </c>
      <c r="BD511" s="1186">
        <f>SUM(BD464:BD510)</f>
        <v>0</v>
      </c>
      <c r="BE511" s="1186">
        <f>SUM(BE464:BE510)</f>
        <v>0</v>
      </c>
      <c r="BF511" s="1186">
        <f>SUM(BF464:BF510)</f>
        <v>0</v>
      </c>
      <c r="BG511" s="1186">
        <f t="shared" si="373"/>
        <v>0</v>
      </c>
      <c r="BH511" s="1186">
        <f t="shared" si="373"/>
        <v>0</v>
      </c>
      <c r="BI511" s="1186">
        <f t="shared" si="373"/>
        <v>0</v>
      </c>
      <c r="BJ511" s="1186">
        <f t="shared" si="373"/>
        <v>0</v>
      </c>
      <c r="BK511" s="1186">
        <f t="shared" si="373"/>
        <v>0</v>
      </c>
      <c r="BL511" s="1186">
        <f>SUM(BL464:BL510)</f>
        <v>0</v>
      </c>
      <c r="BM511" s="1186">
        <f>SUM(BM464:BM510)</f>
        <v>0</v>
      </c>
      <c r="BN511" s="1186">
        <f>SUM(BN464:BN510)</f>
        <v>0</v>
      </c>
      <c r="BO511" s="1186">
        <f>SUM(BO464:BO510)</f>
        <v>0</v>
      </c>
      <c r="BP511" s="1186">
        <f>SUM(BP464:BP510)</f>
        <v>0</v>
      </c>
      <c r="BQ511" s="1186">
        <f t="shared" si="373"/>
        <v>0</v>
      </c>
      <c r="BR511" s="1186">
        <f t="shared" si="373"/>
        <v>0</v>
      </c>
      <c r="BS511" s="1186">
        <f t="shared" si="373"/>
        <v>0</v>
      </c>
      <c r="BT511" s="1186">
        <f t="shared" si="373"/>
        <v>0</v>
      </c>
      <c r="BU511" s="1186">
        <f t="shared" si="373"/>
        <v>0</v>
      </c>
      <c r="BV511" s="1186">
        <f>SUM(BV464:BV510)</f>
        <v>0</v>
      </c>
      <c r="BW511" s="1186">
        <f>SUM(BW464:BW510)</f>
        <v>0</v>
      </c>
      <c r="BX511" s="1186">
        <f>SUM(BX464:BX510)</f>
        <v>0</v>
      </c>
      <c r="BY511" s="1186">
        <f>SUM(BY464:BY510)</f>
        <v>0</v>
      </c>
      <c r="BZ511" s="1186">
        <f>SUM(BZ464:BZ510)</f>
        <v>0</v>
      </c>
      <c r="CA511" s="1186">
        <f t="shared" si="373"/>
        <v>0</v>
      </c>
      <c r="CB511" s="1186">
        <f t="shared" si="373"/>
        <v>0</v>
      </c>
      <c r="CC511" s="1186">
        <f t="shared" si="373"/>
        <v>0</v>
      </c>
      <c r="CD511" s="1186">
        <f t="shared" si="373"/>
        <v>0</v>
      </c>
      <c r="CE511" s="1186">
        <f t="shared" si="373"/>
        <v>0</v>
      </c>
      <c r="CF511" s="1186">
        <f t="shared" si="373"/>
        <v>0</v>
      </c>
      <c r="CG511" s="1186">
        <f t="shared" si="373"/>
        <v>0</v>
      </c>
      <c r="CH511" s="1186">
        <f t="shared" si="373"/>
        <v>0</v>
      </c>
      <c r="CI511" s="1186">
        <f t="shared" si="373"/>
        <v>0</v>
      </c>
      <c r="CJ511" s="1186">
        <f t="shared" si="373"/>
        <v>0</v>
      </c>
      <c r="CK511" s="1186">
        <f>SUM(CK464:CK510)</f>
        <v>0</v>
      </c>
      <c r="CL511" s="1186">
        <f>SUM(CL464:CL510)</f>
        <v>0</v>
      </c>
      <c r="CM511" s="1186">
        <f>SUM(CM464:CM510)</f>
        <v>0</v>
      </c>
      <c r="CN511" s="1186">
        <f>SUM(CN464:CN510)</f>
        <v>0</v>
      </c>
      <c r="CO511" s="1186">
        <f>SUM(CO464:CO510)</f>
        <v>0</v>
      </c>
      <c r="CP511" s="1186">
        <f t="shared" ref="CP511:CY511" si="374">SUM(CP464:CP510)</f>
        <v>0</v>
      </c>
      <c r="CQ511" s="1186">
        <f t="shared" si="374"/>
        <v>0</v>
      </c>
      <c r="CR511" s="1186">
        <f t="shared" si="374"/>
        <v>0</v>
      </c>
      <c r="CS511" s="1186">
        <f t="shared" si="374"/>
        <v>0</v>
      </c>
      <c r="CT511" s="1186">
        <f t="shared" si="374"/>
        <v>0</v>
      </c>
      <c r="CU511" s="1186">
        <f t="shared" si="374"/>
        <v>0</v>
      </c>
      <c r="CV511" s="1186">
        <f t="shared" si="374"/>
        <v>0</v>
      </c>
      <c r="CW511" s="1186">
        <f t="shared" si="374"/>
        <v>0</v>
      </c>
      <c r="CX511" s="1186">
        <f t="shared" si="374"/>
        <v>0</v>
      </c>
      <c r="CY511" s="1186">
        <f t="shared" si="374"/>
        <v>0</v>
      </c>
      <c r="CZ511" s="1186">
        <f t="shared" si="373"/>
        <v>0</v>
      </c>
      <c r="DA511" s="1186">
        <f t="shared" si="373"/>
        <v>0</v>
      </c>
      <c r="DB511" s="1186">
        <f t="shared" si="373"/>
        <v>0</v>
      </c>
      <c r="DC511" s="1186">
        <f t="shared" si="373"/>
        <v>0</v>
      </c>
      <c r="DD511" s="1186">
        <f t="shared" si="373"/>
        <v>0</v>
      </c>
      <c r="DE511" s="1186">
        <f t="shared" si="373"/>
        <v>0</v>
      </c>
      <c r="DF511" s="1186">
        <f t="shared" si="373"/>
        <v>0</v>
      </c>
      <c r="DG511" s="1186">
        <f t="shared" si="373"/>
        <v>0</v>
      </c>
      <c r="DH511" s="1186">
        <f t="shared" si="373"/>
        <v>0</v>
      </c>
      <c r="DI511" s="1186">
        <f t="shared" si="373"/>
        <v>0</v>
      </c>
      <c r="DJ511" s="1186">
        <f t="shared" si="373"/>
        <v>0</v>
      </c>
      <c r="DK511" s="1186">
        <f t="shared" si="373"/>
        <v>0</v>
      </c>
      <c r="DL511" s="1186">
        <f t="shared" si="373"/>
        <v>0</v>
      </c>
      <c r="DM511" s="1186">
        <f t="shared" si="373"/>
        <v>0</v>
      </c>
      <c r="DN511" s="1186">
        <f t="shared" si="373"/>
        <v>0</v>
      </c>
      <c r="DO511" s="1186">
        <f t="shared" si="373"/>
        <v>0</v>
      </c>
      <c r="DP511" s="1186">
        <f t="shared" si="373"/>
        <v>0</v>
      </c>
      <c r="DQ511" s="1186">
        <f t="shared" si="373"/>
        <v>0</v>
      </c>
      <c r="DR511" s="1186">
        <f t="shared" si="373"/>
        <v>0</v>
      </c>
      <c r="DS511" s="1186">
        <f t="shared" si="373"/>
        <v>0</v>
      </c>
      <c r="DT511" s="1186">
        <f t="shared" si="373"/>
        <v>0</v>
      </c>
      <c r="DU511" s="1186">
        <f t="shared" si="373"/>
        <v>0</v>
      </c>
      <c r="DV511" s="1186">
        <f t="shared" si="373"/>
        <v>0</v>
      </c>
      <c r="DW511" s="1186">
        <f t="shared" si="373"/>
        <v>0</v>
      </c>
      <c r="DX511" s="1186">
        <f t="shared" si="373"/>
        <v>0</v>
      </c>
      <c r="DY511" s="1186">
        <f t="shared" si="373"/>
        <v>0</v>
      </c>
      <c r="DZ511" s="1186">
        <f t="shared" si="373"/>
        <v>0</v>
      </c>
      <c r="EA511" s="1186">
        <f t="shared" si="373"/>
        <v>0</v>
      </c>
      <c r="EB511" s="1186">
        <f t="shared" si="373"/>
        <v>0</v>
      </c>
      <c r="EC511" s="1186">
        <f t="shared" si="373"/>
        <v>0</v>
      </c>
      <c r="ED511" s="1186">
        <f t="shared" si="373"/>
        <v>0</v>
      </c>
      <c r="EE511" s="1186">
        <f t="shared" si="373"/>
        <v>0</v>
      </c>
      <c r="EF511" s="1186">
        <f t="shared" si="373"/>
        <v>0</v>
      </c>
      <c r="EG511" s="1186">
        <f t="shared" si="373"/>
        <v>0</v>
      </c>
      <c r="EH511" s="1186">
        <f t="shared" si="373"/>
        <v>0</v>
      </c>
      <c r="EI511" s="1186">
        <f t="shared" si="373"/>
        <v>0</v>
      </c>
      <c r="EJ511" s="1186">
        <f t="shared" si="373"/>
        <v>0</v>
      </c>
      <c r="EK511" s="1186">
        <f t="shared" si="373"/>
        <v>0</v>
      </c>
      <c r="EL511" s="1186">
        <f t="shared" si="373"/>
        <v>0</v>
      </c>
      <c r="EM511" s="1186">
        <f t="shared" si="373"/>
        <v>0</v>
      </c>
      <c r="EN511" s="1186">
        <f t="shared" si="373"/>
        <v>0</v>
      </c>
      <c r="EO511" s="1186">
        <f t="shared" si="373"/>
        <v>0</v>
      </c>
      <c r="EP511" s="1186">
        <f t="shared" si="373"/>
        <v>0</v>
      </c>
      <c r="EQ511" s="1186">
        <f t="shared" si="373"/>
        <v>0</v>
      </c>
      <c r="ER511" s="1186">
        <f t="shared" si="373"/>
        <v>0</v>
      </c>
      <c r="ES511" s="1186">
        <f t="shared" si="373"/>
        <v>0</v>
      </c>
      <c r="ET511" s="1186">
        <f t="shared" si="373"/>
        <v>0</v>
      </c>
      <c r="EU511" s="1186">
        <f t="shared" si="373"/>
        <v>0</v>
      </c>
      <c r="EV511" s="1186">
        <f t="shared" si="373"/>
        <v>0</v>
      </c>
      <c r="EW511" s="1186">
        <f t="shared" si="373"/>
        <v>0</v>
      </c>
      <c r="EX511" s="1186">
        <f t="shared" si="373"/>
        <v>0</v>
      </c>
      <c r="EY511" s="1186">
        <f t="shared" si="373"/>
        <v>0</v>
      </c>
      <c r="EZ511" s="1186">
        <f t="shared" si="373"/>
        <v>0</v>
      </c>
      <c r="FA511" s="1186">
        <f t="shared" si="373"/>
        <v>0</v>
      </c>
      <c r="FB511" s="1186">
        <f t="shared" si="373"/>
        <v>0</v>
      </c>
      <c r="FC511" s="1186">
        <f t="shared" si="373"/>
        <v>0</v>
      </c>
      <c r="FD511" s="1186">
        <f t="shared" si="373"/>
        <v>0</v>
      </c>
      <c r="FE511" s="1186">
        <f t="shared" si="373"/>
        <v>0</v>
      </c>
      <c r="FF511" s="1186">
        <f t="shared" si="373"/>
        <v>0</v>
      </c>
      <c r="FG511" s="1186">
        <f t="shared" si="373"/>
        <v>0</v>
      </c>
      <c r="FH511" s="1186">
        <f t="shared" si="373"/>
        <v>0</v>
      </c>
      <c r="FI511" s="1186">
        <f t="shared" si="373"/>
        <v>0</v>
      </c>
      <c r="FJ511" s="1186">
        <f t="shared" si="373"/>
        <v>0</v>
      </c>
      <c r="FK511" s="1186">
        <f t="shared" si="373"/>
        <v>0</v>
      </c>
      <c r="FL511" s="1186">
        <f t="shared" si="373"/>
        <v>0</v>
      </c>
      <c r="FM511" s="1186">
        <f t="shared" si="373"/>
        <v>0</v>
      </c>
      <c r="FN511" s="1186">
        <f t="shared" si="373"/>
        <v>0</v>
      </c>
      <c r="FO511" s="1186">
        <f t="shared" si="373"/>
        <v>0</v>
      </c>
      <c r="FP511" s="1186">
        <f t="shared" si="373"/>
        <v>0</v>
      </c>
      <c r="FQ511" s="1186">
        <f t="shared" si="373"/>
        <v>0</v>
      </c>
      <c r="FR511" s="1186">
        <f t="shared" si="373"/>
        <v>0</v>
      </c>
      <c r="FS511" s="1186">
        <f t="shared" si="373"/>
        <v>0</v>
      </c>
      <c r="FT511" s="1186">
        <f t="shared" si="373"/>
        <v>0</v>
      </c>
      <c r="FU511" s="1186">
        <f t="shared" si="373"/>
        <v>0</v>
      </c>
      <c r="FV511" s="1186">
        <f t="shared" si="373"/>
        <v>0</v>
      </c>
      <c r="FW511" s="1186">
        <f t="shared" si="373"/>
        <v>0</v>
      </c>
      <c r="FX511" s="1186">
        <f t="shared" si="373"/>
        <v>0</v>
      </c>
      <c r="FY511" s="1186">
        <f t="shared" si="373"/>
        <v>0</v>
      </c>
      <c r="FZ511" s="1186">
        <f t="shared" si="373"/>
        <v>0</v>
      </c>
      <c r="GA511" s="1186">
        <f t="shared" si="373"/>
        <v>0</v>
      </c>
      <c r="GB511" s="1186">
        <f t="shared" si="373"/>
        <v>0</v>
      </c>
      <c r="GC511" s="1186">
        <f t="shared" si="373"/>
        <v>14611</v>
      </c>
      <c r="GD511" s="1186">
        <f t="shared" si="373"/>
        <v>39558</v>
      </c>
      <c r="GE511" s="1186">
        <f t="shared" si="373"/>
        <v>22230</v>
      </c>
      <c r="GF511" s="1186">
        <f t="shared" si="373"/>
        <v>0</v>
      </c>
      <c r="GG511" s="1186">
        <f t="shared" si="373"/>
        <v>0</v>
      </c>
      <c r="GH511" s="1186">
        <f t="shared" si="373"/>
        <v>3845</v>
      </c>
      <c r="GI511" s="1186">
        <f t="shared" si="373"/>
        <v>10410</v>
      </c>
      <c r="GJ511" s="1186">
        <f t="shared" si="373"/>
        <v>5850</v>
      </c>
      <c r="GK511" s="1186">
        <f t="shared" ref="GK511:JF511" si="375">SUM(GK464:GK510)</f>
        <v>0</v>
      </c>
      <c r="GL511" s="1186">
        <f>SUM(GL464:GL510)</f>
        <v>0</v>
      </c>
      <c r="GM511" s="1186">
        <f>SUM(GM464:GM510)</f>
        <v>0</v>
      </c>
      <c r="GN511" s="1186">
        <f>SUM(GN464:GN510)</f>
        <v>0</v>
      </c>
      <c r="GO511" s="1186">
        <f>SUM(GO464:GO510)</f>
        <v>0</v>
      </c>
      <c r="GP511" s="1186">
        <f>SUM(GP464:GP510)</f>
        <v>0</v>
      </c>
      <c r="GQ511" s="1186">
        <f t="shared" si="375"/>
        <v>0</v>
      </c>
      <c r="GR511" s="1186">
        <f t="shared" si="375"/>
        <v>0</v>
      </c>
      <c r="GS511" s="1186">
        <f t="shared" si="375"/>
        <v>0</v>
      </c>
      <c r="GT511" s="1186">
        <f t="shared" si="375"/>
        <v>0</v>
      </c>
      <c r="GU511" s="1186">
        <f t="shared" si="375"/>
        <v>0</v>
      </c>
      <c r="GV511" s="1186">
        <f>SUM(GV464:GV510)</f>
        <v>0</v>
      </c>
      <c r="GW511" s="1186">
        <f>SUM(GW464:GW510)</f>
        <v>0</v>
      </c>
      <c r="GX511" s="1186">
        <f>SUM(GX464:GX510)</f>
        <v>0</v>
      </c>
      <c r="GY511" s="1186">
        <f>SUM(GY464:GY510)</f>
        <v>0</v>
      </c>
      <c r="GZ511" s="1186">
        <f>SUM(GZ464:GZ510)</f>
        <v>0</v>
      </c>
      <c r="HA511" s="1186">
        <f t="shared" si="375"/>
        <v>0</v>
      </c>
      <c r="HB511" s="1186">
        <f t="shared" si="375"/>
        <v>0</v>
      </c>
      <c r="HC511" s="1186">
        <f t="shared" si="375"/>
        <v>0</v>
      </c>
      <c r="HD511" s="1186">
        <f t="shared" si="375"/>
        <v>0</v>
      </c>
      <c r="HE511" s="1186">
        <f t="shared" si="375"/>
        <v>0</v>
      </c>
      <c r="HF511" s="1186">
        <f t="shared" si="375"/>
        <v>0</v>
      </c>
      <c r="HG511" s="1186">
        <f t="shared" si="375"/>
        <v>0</v>
      </c>
      <c r="HH511" s="1186">
        <f t="shared" si="375"/>
        <v>0</v>
      </c>
      <c r="HI511" s="1186">
        <f t="shared" si="375"/>
        <v>0</v>
      </c>
      <c r="HJ511" s="1186">
        <f t="shared" si="375"/>
        <v>0</v>
      </c>
      <c r="HK511" s="1186">
        <f t="shared" si="375"/>
        <v>0</v>
      </c>
      <c r="HL511" s="1186">
        <f t="shared" si="375"/>
        <v>0</v>
      </c>
      <c r="HM511" s="1186">
        <f t="shared" si="375"/>
        <v>0</v>
      </c>
      <c r="HN511" s="1186">
        <f t="shared" si="375"/>
        <v>0</v>
      </c>
      <c r="HO511" s="1186">
        <f t="shared" si="375"/>
        <v>0</v>
      </c>
      <c r="HP511" s="1186">
        <f t="shared" si="375"/>
        <v>0</v>
      </c>
      <c r="HQ511" s="1186">
        <f t="shared" si="375"/>
        <v>0</v>
      </c>
      <c r="HR511" s="1186">
        <f t="shared" si="375"/>
        <v>0</v>
      </c>
      <c r="HS511" s="1186">
        <f t="shared" si="375"/>
        <v>0</v>
      </c>
      <c r="HT511" s="1186">
        <f t="shared" si="375"/>
        <v>0</v>
      </c>
      <c r="HU511" s="1186">
        <f t="shared" si="375"/>
        <v>0</v>
      </c>
      <c r="HV511" s="1186">
        <f t="shared" si="375"/>
        <v>0</v>
      </c>
      <c r="HW511" s="1186">
        <f t="shared" si="375"/>
        <v>0</v>
      </c>
      <c r="HX511" s="1186">
        <f t="shared" si="375"/>
        <v>0</v>
      </c>
      <c r="HY511" s="1186">
        <f t="shared" si="375"/>
        <v>0</v>
      </c>
      <c r="HZ511" s="1186">
        <f t="shared" si="375"/>
        <v>0</v>
      </c>
      <c r="IA511" s="1186">
        <f t="shared" si="375"/>
        <v>0</v>
      </c>
      <c r="IB511" s="1186">
        <f t="shared" si="375"/>
        <v>0</v>
      </c>
      <c r="IC511" s="1186">
        <f t="shared" si="375"/>
        <v>0</v>
      </c>
      <c r="ID511" s="1186">
        <f t="shared" si="375"/>
        <v>0</v>
      </c>
      <c r="IE511" s="1186">
        <f t="shared" si="375"/>
        <v>0</v>
      </c>
      <c r="IF511" s="1186">
        <f t="shared" si="375"/>
        <v>24</v>
      </c>
      <c r="IG511" s="1186">
        <f t="shared" si="375"/>
        <v>48</v>
      </c>
      <c r="IH511" s="1186">
        <f t="shared" si="375"/>
        <v>24</v>
      </c>
      <c r="II511" s="1186">
        <f t="shared" si="375"/>
        <v>0</v>
      </c>
      <c r="IJ511" s="1186">
        <f t="shared" si="375"/>
        <v>0</v>
      </c>
      <c r="IK511" s="1186">
        <f t="shared" si="375"/>
        <v>0</v>
      </c>
      <c r="IL511" s="1186">
        <f t="shared" si="375"/>
        <v>0</v>
      </c>
      <c r="IM511" s="1186">
        <f t="shared" si="375"/>
        <v>0</v>
      </c>
      <c r="IN511" s="1186">
        <f t="shared" si="375"/>
        <v>0</v>
      </c>
      <c r="IO511" s="1186">
        <f t="shared" si="375"/>
        <v>0</v>
      </c>
      <c r="IP511" s="1186">
        <f t="shared" si="375"/>
        <v>0</v>
      </c>
      <c r="IQ511" s="1186">
        <f t="shared" si="375"/>
        <v>0</v>
      </c>
      <c r="IR511" s="1186">
        <f t="shared" si="375"/>
        <v>0</v>
      </c>
      <c r="IS511" s="1186">
        <f t="shared" si="375"/>
        <v>0</v>
      </c>
      <c r="IT511" s="1186">
        <f t="shared" si="375"/>
        <v>0</v>
      </c>
      <c r="IU511" s="1186">
        <f t="shared" si="375"/>
        <v>0</v>
      </c>
      <c r="IV511" s="1186">
        <f t="shared" si="375"/>
        <v>0</v>
      </c>
      <c r="IW511" s="1186">
        <f t="shared" si="375"/>
        <v>0</v>
      </c>
      <c r="IX511" s="1186">
        <f t="shared" si="375"/>
        <v>0</v>
      </c>
      <c r="IY511" s="1186">
        <f t="shared" si="375"/>
        <v>0</v>
      </c>
      <c r="IZ511" s="1186">
        <f t="shared" si="375"/>
        <v>0</v>
      </c>
      <c r="JA511" s="1186">
        <f t="shared" si="375"/>
        <v>0</v>
      </c>
      <c r="JB511" s="1186">
        <f t="shared" si="375"/>
        <v>0</v>
      </c>
      <c r="JC511" s="1186">
        <f t="shared" si="375"/>
        <v>0</v>
      </c>
      <c r="JD511" s="1186">
        <f t="shared" si="375"/>
        <v>0</v>
      </c>
      <c r="JE511" s="1186">
        <f t="shared" si="375"/>
        <v>0</v>
      </c>
      <c r="JF511" s="1186">
        <f t="shared" si="375"/>
        <v>0</v>
      </c>
      <c r="JG511" s="1186">
        <f t="shared" ref="JG511:LP511" si="376">SUM(JG464:JG510)</f>
        <v>0</v>
      </c>
      <c r="JH511" s="1186">
        <f t="shared" si="376"/>
        <v>0</v>
      </c>
      <c r="JI511" s="1186">
        <f t="shared" si="376"/>
        <v>0</v>
      </c>
      <c r="JJ511" s="1186">
        <f t="shared" si="376"/>
        <v>24</v>
      </c>
      <c r="JK511" s="1186">
        <f t="shared" si="376"/>
        <v>48</v>
      </c>
      <c r="JL511" s="1186">
        <f t="shared" si="376"/>
        <v>24</v>
      </c>
      <c r="JM511" s="1186">
        <f t="shared" si="376"/>
        <v>0</v>
      </c>
      <c r="JN511" s="1186">
        <f t="shared" si="376"/>
        <v>0</v>
      </c>
      <c r="JO511" s="1186">
        <f t="shared" si="376"/>
        <v>0</v>
      </c>
      <c r="JP511" s="1186">
        <f t="shared" si="376"/>
        <v>0</v>
      </c>
      <c r="JQ511" s="1186">
        <f t="shared" si="376"/>
        <v>0</v>
      </c>
      <c r="JR511" s="1186">
        <f t="shared" si="376"/>
        <v>0</v>
      </c>
      <c r="JS511" s="1186">
        <f t="shared" si="376"/>
        <v>0</v>
      </c>
      <c r="JT511" s="1186">
        <f t="shared" si="376"/>
        <v>0</v>
      </c>
      <c r="JU511" s="1186">
        <f t="shared" si="376"/>
        <v>0</v>
      </c>
      <c r="JV511" s="1186">
        <f t="shared" si="376"/>
        <v>0</v>
      </c>
      <c r="JW511" s="1186">
        <f t="shared" si="376"/>
        <v>0</v>
      </c>
      <c r="JX511" s="1186">
        <f t="shared" si="376"/>
        <v>0</v>
      </c>
      <c r="JY511" s="1186">
        <f t="shared" si="376"/>
        <v>0</v>
      </c>
      <c r="JZ511" s="1186">
        <f t="shared" si="376"/>
        <v>0</v>
      </c>
      <c r="KA511" s="1186">
        <f t="shared" si="376"/>
        <v>0</v>
      </c>
      <c r="KB511" s="1186">
        <f t="shared" si="376"/>
        <v>0</v>
      </c>
      <c r="KC511" s="1186">
        <f t="shared" si="376"/>
        <v>0</v>
      </c>
      <c r="KD511" s="1186">
        <f t="shared" si="376"/>
        <v>0</v>
      </c>
      <c r="KE511" s="1186">
        <f t="shared" si="376"/>
        <v>0</v>
      </c>
      <c r="KF511" s="1186">
        <f t="shared" si="376"/>
        <v>0</v>
      </c>
      <c r="KG511" s="1186">
        <f t="shared" si="376"/>
        <v>0</v>
      </c>
      <c r="KH511" s="1186">
        <f t="shared" si="376"/>
        <v>0</v>
      </c>
      <c r="KI511" s="1186">
        <f t="shared" si="376"/>
        <v>0</v>
      </c>
      <c r="KJ511" s="1186">
        <f t="shared" si="376"/>
        <v>0</v>
      </c>
      <c r="KK511" s="1186">
        <f t="shared" si="376"/>
        <v>0</v>
      </c>
      <c r="KL511" s="1186">
        <f t="shared" si="376"/>
        <v>0</v>
      </c>
      <c r="KM511" s="1186">
        <f t="shared" si="376"/>
        <v>0</v>
      </c>
      <c r="KN511" s="1186">
        <f t="shared" si="376"/>
        <v>0</v>
      </c>
      <c r="KO511" s="1186">
        <f t="shared" si="376"/>
        <v>0</v>
      </c>
      <c r="KP511" s="1186">
        <f t="shared" si="376"/>
        <v>0</v>
      </c>
      <c r="KQ511" s="1186">
        <f t="shared" si="376"/>
        <v>0</v>
      </c>
      <c r="KR511" s="1186">
        <f t="shared" si="376"/>
        <v>0</v>
      </c>
      <c r="KS511" s="1186">
        <f t="shared" si="376"/>
        <v>0</v>
      </c>
      <c r="KT511" s="1186">
        <f t="shared" si="376"/>
        <v>0</v>
      </c>
      <c r="KU511" s="1186">
        <f t="shared" si="376"/>
        <v>0</v>
      </c>
      <c r="KV511" s="1186">
        <f t="shared" si="376"/>
        <v>0</v>
      </c>
      <c r="KW511" s="1186">
        <f t="shared" si="376"/>
        <v>0</v>
      </c>
      <c r="KX511" s="1186">
        <f t="shared" si="376"/>
        <v>0</v>
      </c>
      <c r="KY511" s="1186">
        <f t="shared" si="376"/>
        <v>0</v>
      </c>
      <c r="KZ511" s="1186">
        <f t="shared" si="376"/>
        <v>0</v>
      </c>
      <c r="LA511" s="1186">
        <f t="shared" si="376"/>
        <v>0</v>
      </c>
      <c r="LB511" s="1186">
        <f t="shared" si="376"/>
        <v>0</v>
      </c>
      <c r="LC511" s="1186">
        <f t="shared" si="376"/>
        <v>24</v>
      </c>
      <c r="LD511" s="1186">
        <f t="shared" si="376"/>
        <v>48</v>
      </c>
      <c r="LE511" s="1186">
        <f t="shared" si="376"/>
        <v>24</v>
      </c>
      <c r="LF511" s="1186">
        <f t="shared" si="376"/>
        <v>0</v>
      </c>
      <c r="LG511" s="1186">
        <f>SUM(LG464:LG510)</f>
        <v>0</v>
      </c>
      <c r="LH511" s="1186">
        <f>SUM(LH464:LH510)</f>
        <v>0</v>
      </c>
      <c r="LI511" s="1186">
        <f>SUM(LI464:LI510)</f>
        <v>0</v>
      </c>
      <c r="LJ511" s="1186">
        <f>SUM(LJ464:LJ510)</f>
        <v>0</v>
      </c>
      <c r="LK511" s="1186">
        <f>SUM(LK464:LK510)</f>
        <v>0</v>
      </c>
      <c r="LL511" s="1186">
        <f t="shared" si="376"/>
        <v>0</v>
      </c>
      <c r="LM511" s="1186">
        <f t="shared" si="376"/>
        <v>0</v>
      </c>
      <c r="LN511" s="1186">
        <f t="shared" si="376"/>
        <v>0</v>
      </c>
      <c r="LO511" s="1186">
        <f t="shared" si="376"/>
        <v>0</v>
      </c>
      <c r="LP511" s="1186">
        <f t="shared" si="376"/>
        <v>0</v>
      </c>
      <c r="LQ511" s="1186">
        <f>SUM(LQ464:LQ510)</f>
        <v>0</v>
      </c>
      <c r="LR511" s="1186">
        <f>SUM(LR464:LR510)</f>
        <v>0</v>
      </c>
      <c r="LS511" s="1186">
        <f>SUM(LS464:LS510)</f>
        <v>0</v>
      </c>
      <c r="LT511" s="1186">
        <f>SUM(LT464:LT510)</f>
        <v>0</v>
      </c>
      <c r="LU511" s="1186">
        <f>SUM(LU464:LU510)</f>
        <v>0</v>
      </c>
      <c r="LV511" s="1186">
        <f t="shared" ref="LV511:MJ511" si="377">SUM(LV464:LV510)</f>
        <v>0</v>
      </c>
      <c r="LW511" s="1186">
        <f t="shared" si="377"/>
        <v>0</v>
      </c>
      <c r="LX511" s="1186">
        <f t="shared" si="377"/>
        <v>0</v>
      </c>
      <c r="LY511" s="1186">
        <f t="shared" si="377"/>
        <v>0</v>
      </c>
      <c r="LZ511" s="1186">
        <f t="shared" si="377"/>
        <v>0</v>
      </c>
      <c r="MA511" s="1186">
        <f>SUM(MA464:MA510)</f>
        <v>0</v>
      </c>
      <c r="MB511" s="1186">
        <f>SUM(MB464:MB510)</f>
        <v>0</v>
      </c>
      <c r="MC511" s="1186">
        <f>SUM(MC464:MC510)</f>
        <v>0</v>
      </c>
      <c r="MD511" s="1186">
        <f>SUM(MD464:MD510)</f>
        <v>0</v>
      </c>
      <c r="ME511" s="1186">
        <f>SUM(ME464:ME510)</f>
        <v>0</v>
      </c>
      <c r="MF511" s="1186">
        <f t="shared" si="377"/>
        <v>0</v>
      </c>
      <c r="MG511" s="1186">
        <f t="shared" si="377"/>
        <v>0</v>
      </c>
      <c r="MH511" s="1186">
        <f t="shared" si="377"/>
        <v>0</v>
      </c>
      <c r="MI511" s="1186">
        <f t="shared" si="377"/>
        <v>0</v>
      </c>
      <c r="MJ511" s="1186">
        <f t="shared" si="377"/>
        <v>0</v>
      </c>
      <c r="MK511" s="1186">
        <f>SUM(MK464:MK510)</f>
        <v>0</v>
      </c>
      <c r="ML511" s="1186">
        <f>SUM(ML464:ML510)</f>
        <v>0</v>
      </c>
      <c r="MM511" s="1186">
        <f>SUM(MM464:MM510)</f>
        <v>0</v>
      </c>
      <c r="MN511" s="1186">
        <f>SUM(MN464:MN510)</f>
        <v>0</v>
      </c>
      <c r="MO511" s="1186">
        <f>SUM(MO464:MO510)</f>
        <v>0</v>
      </c>
      <c r="MP511" s="1186">
        <f t="shared" ref="MP511:OD511" si="378">SUM(MP464:MP510)</f>
        <v>0</v>
      </c>
      <c r="MQ511" s="1186">
        <f t="shared" si="378"/>
        <v>0</v>
      </c>
      <c r="MR511" s="1186">
        <f t="shared" si="378"/>
        <v>0</v>
      </c>
      <c r="MS511" s="1186">
        <f t="shared" si="378"/>
        <v>0</v>
      </c>
      <c r="MT511" s="1186">
        <f t="shared" si="378"/>
        <v>0</v>
      </c>
      <c r="MU511" s="1186">
        <f t="shared" si="378"/>
        <v>0</v>
      </c>
      <c r="MV511" s="1186">
        <f t="shared" si="378"/>
        <v>0</v>
      </c>
      <c r="MW511" s="1186">
        <f t="shared" si="378"/>
        <v>0</v>
      </c>
      <c r="MX511" s="1186">
        <f t="shared" si="378"/>
        <v>0</v>
      </c>
      <c r="MY511" s="1186">
        <f t="shared" si="378"/>
        <v>0</v>
      </c>
      <c r="MZ511" s="1186">
        <f t="shared" si="378"/>
        <v>0</v>
      </c>
      <c r="NA511" s="1186">
        <f t="shared" si="378"/>
        <v>0</v>
      </c>
      <c r="NB511" s="1186">
        <f t="shared" si="378"/>
        <v>0</v>
      </c>
      <c r="NC511" s="1186">
        <f t="shared" si="378"/>
        <v>0</v>
      </c>
      <c r="ND511" s="1186">
        <f t="shared" si="378"/>
        <v>0</v>
      </c>
      <c r="NE511" s="1186">
        <f t="shared" si="378"/>
        <v>0</v>
      </c>
      <c r="NF511" s="1186">
        <f t="shared" si="378"/>
        <v>0</v>
      </c>
      <c r="NG511" s="1186">
        <f t="shared" si="378"/>
        <v>0</v>
      </c>
      <c r="NH511" s="1186">
        <f t="shared" si="378"/>
        <v>0</v>
      </c>
      <c r="NI511" s="1186">
        <f t="shared" si="378"/>
        <v>0</v>
      </c>
      <c r="NJ511" s="1186">
        <f t="shared" si="378"/>
        <v>0</v>
      </c>
      <c r="NK511" s="1186">
        <f t="shared" si="378"/>
        <v>0</v>
      </c>
      <c r="NL511" s="1186">
        <f t="shared" si="378"/>
        <v>0</v>
      </c>
      <c r="NM511" s="1186">
        <f t="shared" si="378"/>
        <v>0</v>
      </c>
      <c r="NN511" s="1186">
        <f t="shared" si="378"/>
        <v>0</v>
      </c>
      <c r="NO511" s="1186">
        <f t="shared" si="378"/>
        <v>0</v>
      </c>
      <c r="NP511" s="1186">
        <f t="shared" si="378"/>
        <v>24</v>
      </c>
      <c r="NQ511" s="1186">
        <f t="shared" si="378"/>
        <v>48</v>
      </c>
      <c r="NR511" s="1186">
        <f t="shared" si="378"/>
        <v>24</v>
      </c>
      <c r="NS511" s="1186">
        <f t="shared" si="378"/>
        <v>0</v>
      </c>
      <c r="NT511" s="1186">
        <f t="shared" si="378"/>
        <v>0</v>
      </c>
      <c r="NU511" s="1186">
        <f t="shared" si="378"/>
        <v>0</v>
      </c>
      <c r="NV511" s="1186">
        <f t="shared" si="378"/>
        <v>0</v>
      </c>
      <c r="NW511" s="1186">
        <f t="shared" si="378"/>
        <v>0</v>
      </c>
      <c r="NX511" s="1186">
        <f t="shared" si="378"/>
        <v>0</v>
      </c>
      <c r="NY511" s="1186">
        <f t="shared" si="378"/>
        <v>0</v>
      </c>
      <c r="NZ511" s="1186">
        <f t="shared" si="378"/>
        <v>0</v>
      </c>
      <c r="OA511" s="1186">
        <f t="shared" si="378"/>
        <v>0</v>
      </c>
      <c r="OB511" s="1186">
        <f t="shared" si="378"/>
        <v>0</v>
      </c>
      <c r="OC511" s="1186">
        <f t="shared" si="378"/>
        <v>0</v>
      </c>
      <c r="OD511" s="1186">
        <f t="shared" si="378"/>
        <v>0</v>
      </c>
      <c r="OY511" s="251" t="s">
        <v>1202</v>
      </c>
      <c r="OZ511" s="1296">
        <v>54</v>
      </c>
    </row>
    <row r="512" spans="1:416" ht="13.95" customHeight="1">
      <c r="B512" s="2015">
        <f>IF(SUM(E471:E510)=0,"",(B471*E471+B472*E472+B473*E473+B474*E474+B475*E475+B476*E476+B477*E477+B478*E478+B479*E479+B480*E480+B481*E481+B482*E482+B483*E483+B484*E484+B485*E485+B486*E486+B487*E487+B488*E488+B489*E489+B490*E490+B491*E491+B492*E492+B493*E493+B494*E494+B495*E495+B496*E496+B497*E497+B498*E498+B499*E499+B500*E500+B501*E501+B502*E502+B503*E503+B504*E504+B505*E505+B506*E506+B507*E507+B508*E508+B509*E509+B510*E510)/SUM(E471:E510))</f>
        <v>57.916666666666664</v>
      </c>
      <c r="C512" s="2015"/>
      <c r="D512" s="1979" t="s">
        <v>1203</v>
      </c>
      <c r="E512" s="2008">
        <f>SUM(E471:E510)</f>
        <v>96</v>
      </c>
      <c r="F512" s="2009">
        <f>(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96504</v>
      </c>
      <c r="H512" s="2010"/>
      <c r="I512" s="2011" t="s">
        <v>1204</v>
      </c>
      <c r="J512" s="2012" t="str">
        <f>IF(P518=0,"",IF(SUM(#REF!)/P518&gt;=0.2,"Pass","Fail"))</f>
        <v/>
      </c>
      <c r="K512" s="257"/>
      <c r="L512" s="2007" t="s">
        <v>1205</v>
      </c>
      <c r="M512" s="2014">
        <f>M511*12</f>
        <v>832236</v>
      </c>
      <c r="N512" s="253"/>
      <c r="O512" s="253"/>
      <c r="P512" s="253"/>
      <c r="Q512" s="253"/>
      <c r="R512" s="253"/>
      <c r="S512" s="253"/>
      <c r="T512" s="253"/>
      <c r="U512" s="253"/>
      <c r="V512" s="253"/>
      <c r="W512" s="1186"/>
      <c r="X512" s="1186"/>
      <c r="Y512" s="1186"/>
      <c r="Z512" s="1186"/>
      <c r="AA512" s="1186"/>
      <c r="AB512" s="1186"/>
      <c r="AC512" s="1186"/>
      <c r="AD512" s="1186"/>
      <c r="AE512" s="1186"/>
      <c r="AF512" s="1186"/>
      <c r="AG512" s="1186"/>
      <c r="AH512" s="1186"/>
      <c r="AI512" s="1186"/>
      <c r="AJ512" s="1186"/>
      <c r="AK512" s="1186"/>
      <c r="AL512" s="1186"/>
      <c r="AM512" s="1186"/>
      <c r="AN512" s="1186"/>
      <c r="AO512" s="1186"/>
      <c r="AP512" s="1186"/>
      <c r="AQ512" s="1186"/>
      <c r="AR512" s="1186"/>
      <c r="AS512" s="1186"/>
      <c r="AT512" s="1186"/>
      <c r="AU512" s="1186"/>
      <c r="AV512" s="1186"/>
      <c r="AW512" s="1186"/>
      <c r="AX512" s="1186"/>
      <c r="AY512" s="1186"/>
      <c r="AZ512" s="1186"/>
      <c r="BA512" s="1186"/>
      <c r="BB512" s="1186"/>
      <c r="BC512" s="1186"/>
      <c r="BD512" s="1186"/>
      <c r="BE512" s="1186"/>
      <c r="BF512" s="1186"/>
      <c r="BG512" s="1186"/>
      <c r="BH512" s="1186"/>
      <c r="BI512" s="1186"/>
      <c r="BJ512" s="1186"/>
      <c r="BK512" s="1186"/>
      <c r="BL512" s="1186"/>
      <c r="BM512" s="1186"/>
      <c r="BN512" s="1186"/>
      <c r="BO512" s="1186"/>
      <c r="BP512" s="1186"/>
      <c r="BQ512" s="1186"/>
      <c r="BR512" s="1186"/>
      <c r="BS512" s="1186"/>
      <c r="BT512" s="1186"/>
      <c r="BU512" s="1186"/>
      <c r="BV512" s="1186"/>
      <c r="BW512" s="1186"/>
      <c r="BX512" s="1186"/>
      <c r="BY512" s="1186"/>
      <c r="BZ512" s="1186"/>
      <c r="CA512" s="1186"/>
      <c r="CB512" s="1186"/>
      <c r="CC512" s="1186"/>
      <c r="CD512" s="1186"/>
      <c r="CE512" s="1186"/>
      <c r="CF512" s="1186"/>
      <c r="CG512" s="1186"/>
      <c r="CH512" s="1186"/>
      <c r="CI512" s="1186"/>
      <c r="CJ512" s="1186"/>
      <c r="CK512" s="1186"/>
      <c r="CL512" s="1186"/>
      <c r="CM512" s="1186"/>
      <c r="CN512" s="1186"/>
      <c r="CO512" s="1186"/>
      <c r="CP512" s="1186"/>
      <c r="CQ512" s="1186"/>
      <c r="CR512" s="1186"/>
      <c r="CS512" s="1186"/>
      <c r="CT512" s="1186"/>
      <c r="CU512" s="1186"/>
      <c r="CV512" s="1186"/>
      <c r="CW512" s="1186"/>
      <c r="CX512" s="1186"/>
      <c r="CY512" s="1186"/>
      <c r="CZ512" s="1186"/>
      <c r="DA512" s="1186"/>
      <c r="DB512" s="1186"/>
      <c r="DC512" s="1186"/>
      <c r="DD512" s="1186"/>
      <c r="DE512" s="1186"/>
      <c r="DF512" s="1186"/>
      <c r="DG512" s="1186"/>
      <c r="DH512" s="1186"/>
      <c r="DI512" s="1186"/>
      <c r="DJ512" s="1186"/>
      <c r="DK512" s="1186"/>
      <c r="DL512" s="1186"/>
      <c r="DM512" s="1186"/>
      <c r="DN512" s="1186"/>
      <c r="DO512" s="1186"/>
      <c r="DP512" s="1186"/>
      <c r="DQ512" s="1186"/>
      <c r="DR512" s="1186"/>
      <c r="DS512" s="1186"/>
      <c r="DT512" s="1186"/>
      <c r="DU512" s="1186"/>
      <c r="DV512" s="1186"/>
      <c r="DW512" s="1186"/>
      <c r="DX512" s="1186"/>
      <c r="DY512" s="1186"/>
      <c r="DZ512" s="1186"/>
      <c r="EA512" s="1186"/>
      <c r="EB512" s="1186"/>
      <c r="EC512" s="1186"/>
      <c r="ED512" s="1186"/>
      <c r="EE512" s="1186"/>
      <c r="EF512" s="1186"/>
      <c r="EG512" s="1186"/>
      <c r="EH512" s="1186"/>
      <c r="EI512" s="1186"/>
      <c r="EJ512" s="1186"/>
      <c r="EK512" s="1186"/>
      <c r="EL512" s="1186"/>
      <c r="EM512" s="1186"/>
      <c r="EN512" s="1186"/>
      <c r="EO512" s="1186"/>
      <c r="EP512" s="1186"/>
      <c r="EQ512" s="1186"/>
      <c r="ER512" s="1186"/>
      <c r="ES512" s="1186"/>
      <c r="ET512" s="1186"/>
      <c r="EU512" s="1186"/>
      <c r="EV512" s="1186"/>
      <c r="EW512" s="1186"/>
      <c r="EX512" s="1186"/>
      <c r="EY512" s="1186"/>
      <c r="EZ512" s="1186"/>
      <c r="FA512" s="1186"/>
      <c r="FB512" s="1186"/>
      <c r="FC512" s="1186"/>
      <c r="FD512" s="1186"/>
      <c r="FE512" s="1186"/>
      <c r="FF512" s="1186"/>
      <c r="FG512" s="1186"/>
      <c r="FH512" s="1186"/>
      <c r="FI512" s="1186"/>
      <c r="FJ512" s="1186"/>
      <c r="FK512" s="1186"/>
      <c r="FL512" s="1186"/>
      <c r="FM512" s="1186"/>
      <c r="FN512" s="1186"/>
      <c r="FO512" s="1186"/>
      <c r="FP512" s="1186"/>
      <c r="FQ512" s="1186"/>
      <c r="FR512" s="1186"/>
      <c r="FS512" s="1186"/>
      <c r="FT512" s="1186"/>
      <c r="FU512" s="1186"/>
      <c r="FV512" s="1186"/>
      <c r="FW512" s="1186"/>
      <c r="FX512" s="1186"/>
      <c r="FY512" s="1186"/>
      <c r="FZ512" s="1186"/>
      <c r="GA512" s="1186"/>
      <c r="GB512" s="1186"/>
      <c r="GC512" s="1186"/>
      <c r="GD512" s="1186"/>
      <c r="GE512" s="1186"/>
      <c r="GF512" s="1186"/>
      <c r="GG512" s="1186"/>
      <c r="GH512" s="1186"/>
      <c r="GI512" s="1186"/>
      <c r="GJ512" s="1186"/>
      <c r="GK512" s="1186"/>
      <c r="GL512" s="1186"/>
      <c r="GM512" s="1186"/>
      <c r="GN512" s="1186"/>
      <c r="GO512" s="1186"/>
      <c r="GP512" s="1186"/>
      <c r="GQ512" s="1186"/>
      <c r="GR512" s="1186"/>
      <c r="GS512" s="1186"/>
      <c r="GT512" s="1186"/>
      <c r="GU512" s="1186"/>
      <c r="GV512" s="1186"/>
      <c r="GW512" s="1186"/>
      <c r="GX512" s="1186"/>
      <c r="GY512" s="1186"/>
      <c r="GZ512" s="1186"/>
      <c r="HA512" s="1186"/>
      <c r="HB512" s="1186"/>
      <c r="HC512" s="1186"/>
      <c r="HD512" s="1186"/>
      <c r="HE512" s="1186"/>
      <c r="HF512" s="1186"/>
      <c r="HG512" s="1186"/>
      <c r="HH512" s="1186"/>
      <c r="HI512" s="1186"/>
      <c r="HJ512" s="1186"/>
      <c r="HK512" s="1186"/>
      <c r="HL512" s="1186"/>
      <c r="HM512" s="1186"/>
      <c r="HN512" s="1186"/>
      <c r="HO512" s="1186"/>
      <c r="HP512" s="1186"/>
      <c r="HQ512" s="1186"/>
      <c r="HR512" s="1186"/>
      <c r="HS512" s="1186"/>
      <c r="HT512" s="1186"/>
      <c r="HU512" s="1186"/>
      <c r="HV512" s="1186"/>
      <c r="HW512" s="1186"/>
      <c r="HX512" s="1186"/>
      <c r="HY512" s="1186"/>
      <c r="HZ512" s="1186"/>
      <c r="IA512" s="1186"/>
      <c r="IB512" s="1186"/>
      <c r="IC512" s="1186"/>
      <c r="ID512" s="1186"/>
      <c r="IE512" s="1186"/>
      <c r="IF512" s="1186"/>
      <c r="IG512" s="1186"/>
      <c r="IH512" s="1186"/>
      <c r="II512" s="1186"/>
      <c r="IJ512" s="1186"/>
      <c r="IK512" s="1186"/>
      <c r="IL512" s="1186"/>
      <c r="IM512" s="1186"/>
      <c r="IN512" s="1186"/>
      <c r="IO512" s="1186"/>
      <c r="IP512" s="1186"/>
      <c r="IQ512" s="1186"/>
      <c r="IR512" s="1186"/>
      <c r="IS512" s="1186"/>
      <c r="IT512" s="1186"/>
      <c r="IU512" s="1186"/>
      <c r="IV512" s="1186"/>
      <c r="IW512" s="1186"/>
      <c r="IX512" s="1186"/>
      <c r="IY512" s="1186"/>
      <c r="IZ512" s="1186"/>
      <c r="JA512" s="1186"/>
      <c r="JB512" s="1186"/>
      <c r="JC512" s="1186"/>
      <c r="JD512" s="1186"/>
      <c r="JE512" s="1186"/>
      <c r="JF512" s="1186"/>
      <c r="JG512" s="1186"/>
      <c r="JH512" s="1186"/>
      <c r="JI512" s="1186"/>
      <c r="JJ512" s="1186"/>
      <c r="JK512" s="1186"/>
      <c r="JL512" s="1186"/>
      <c r="JM512" s="1186"/>
      <c r="JN512" s="1186"/>
      <c r="JO512" s="1186"/>
      <c r="JP512" s="1186"/>
      <c r="JQ512" s="1186"/>
      <c r="JR512" s="1186"/>
      <c r="JS512" s="1186"/>
      <c r="JT512" s="1186"/>
      <c r="JU512" s="1186"/>
      <c r="JV512" s="1186"/>
      <c r="JW512" s="1186"/>
      <c r="JX512" s="1186"/>
      <c r="JY512" s="1186"/>
      <c r="JZ512" s="1186"/>
      <c r="KA512" s="1186"/>
      <c r="KB512" s="1186"/>
      <c r="KC512" s="1186"/>
      <c r="KD512" s="1186"/>
      <c r="KE512" s="1186"/>
      <c r="KF512" s="1186"/>
      <c r="KG512" s="1186"/>
      <c r="KH512" s="1186"/>
      <c r="KI512" s="1186"/>
      <c r="KJ512" s="1186"/>
      <c r="KK512" s="1186"/>
      <c r="KL512" s="1186"/>
      <c r="KM512" s="1186"/>
      <c r="KN512" s="1186"/>
      <c r="KO512" s="1186"/>
      <c r="KP512" s="1186"/>
      <c r="KQ512" s="1186"/>
      <c r="KR512" s="1186"/>
      <c r="KS512" s="1186"/>
      <c r="KT512" s="1186"/>
      <c r="KU512" s="1186"/>
      <c r="KV512" s="1186"/>
      <c r="KW512" s="1186"/>
      <c r="KX512" s="1186"/>
      <c r="KY512" s="1186"/>
      <c r="KZ512" s="1186"/>
      <c r="LA512" s="1186"/>
      <c r="LB512" s="1186"/>
      <c r="LC512" s="1186"/>
      <c r="LD512" s="1186"/>
      <c r="LE512" s="1186"/>
      <c r="LF512" s="1186"/>
      <c r="LG512" s="1186"/>
      <c r="LH512" s="1186"/>
      <c r="LI512" s="1186"/>
      <c r="LJ512" s="1186"/>
      <c r="LK512" s="1186"/>
      <c r="LL512" s="1186"/>
      <c r="LM512" s="1186"/>
      <c r="LN512" s="1186"/>
      <c r="LO512" s="1186"/>
      <c r="LP512" s="1186"/>
      <c r="LQ512" s="1186"/>
      <c r="LR512" s="1186"/>
      <c r="LS512" s="1186"/>
      <c r="LT512" s="1186"/>
      <c r="LU512" s="1186"/>
      <c r="LV512" s="1186"/>
      <c r="LW512" s="1186"/>
      <c r="LX512" s="1186"/>
      <c r="LY512" s="1186"/>
      <c r="LZ512" s="1186"/>
      <c r="MA512" s="1186"/>
      <c r="MB512" s="1186"/>
      <c r="MC512" s="1186"/>
      <c r="MD512" s="1186"/>
      <c r="ME512" s="1186"/>
      <c r="MF512" s="1186"/>
      <c r="MG512" s="1186"/>
      <c r="MH512" s="1186"/>
      <c r="MI512" s="1186"/>
      <c r="MJ512" s="1186"/>
      <c r="MK512" s="1186"/>
      <c r="ML512" s="1186"/>
      <c r="MM512" s="1186"/>
      <c r="MN512" s="1186"/>
      <c r="MO512" s="1186"/>
      <c r="MP512" s="1186"/>
      <c r="MQ512" s="1186"/>
      <c r="MR512" s="1186"/>
      <c r="MS512" s="1186"/>
      <c r="MT512" s="1186"/>
      <c r="MU512" s="1186"/>
      <c r="MV512" s="1186"/>
      <c r="MW512" s="1186"/>
      <c r="MX512" s="1186"/>
      <c r="MY512" s="1186"/>
      <c r="MZ512" s="1186"/>
      <c r="NA512" s="1186"/>
      <c r="NB512" s="1186"/>
      <c r="NC512" s="1186"/>
      <c r="ND512" s="1186"/>
      <c r="NE512" s="1186"/>
      <c r="NF512" s="1186"/>
      <c r="NG512" s="1186"/>
      <c r="NH512" s="1186"/>
      <c r="NI512" s="1186"/>
      <c r="NJ512" s="1186"/>
      <c r="NK512" s="1186"/>
      <c r="NL512" s="1186"/>
      <c r="NM512" s="1186"/>
      <c r="NN512" s="1186"/>
      <c r="OY512" s="251" t="s">
        <v>1206</v>
      </c>
      <c r="OZ512" s="1296">
        <v>55</v>
      </c>
    </row>
    <row r="513" spans="1:416" ht="7.5" customHeight="1">
      <c r="A513" s="5027" t="s">
        <v>7547</v>
      </c>
      <c r="B513" s="5027"/>
      <c r="C513" s="5027"/>
      <c r="D513" s="5027"/>
      <c r="E513" s="5027"/>
      <c r="F513" s="5027"/>
      <c r="G513" s="5027"/>
      <c r="H513" s="5027"/>
      <c r="I513" s="5027"/>
      <c r="J513" s="5027"/>
      <c r="K513" s="5027"/>
      <c r="L513" s="5027"/>
      <c r="M513" s="5027"/>
      <c r="N513" s="5027"/>
      <c r="O513" s="5027"/>
      <c r="P513" s="5027"/>
      <c r="Q513" s="5027"/>
      <c r="R513" s="2016"/>
      <c r="S513" s="253"/>
      <c r="T513" s="253"/>
      <c r="U513" s="253"/>
      <c r="V513" s="253"/>
      <c r="W513" s="1186"/>
      <c r="X513" s="1186"/>
      <c r="Y513" s="1186"/>
      <c r="Z513" s="1186"/>
      <c r="AA513" s="1186"/>
      <c r="AB513" s="1186"/>
      <c r="AC513" s="1186"/>
      <c r="AD513" s="1186"/>
      <c r="AE513" s="1186"/>
      <c r="AF513" s="1186"/>
      <c r="AG513" s="1186"/>
      <c r="AH513" s="1186"/>
      <c r="AI513" s="1186"/>
      <c r="AJ513" s="1186"/>
      <c r="AK513" s="1186"/>
      <c r="AL513" s="1186"/>
      <c r="AM513" s="1186"/>
      <c r="AN513" s="1186"/>
      <c r="AO513" s="1186"/>
      <c r="AP513" s="1186"/>
      <c r="AQ513" s="1186"/>
      <c r="AR513" s="1186"/>
      <c r="AS513" s="1186"/>
      <c r="AT513" s="1186"/>
      <c r="AU513" s="1186"/>
      <c r="AV513" s="1186"/>
      <c r="AW513" s="1186"/>
      <c r="AX513" s="1186"/>
      <c r="AY513" s="1186"/>
      <c r="AZ513" s="1186"/>
      <c r="BA513" s="1186"/>
      <c r="BB513" s="1186"/>
      <c r="BC513" s="1186"/>
      <c r="BD513" s="1186"/>
      <c r="BE513" s="1186"/>
      <c r="BF513" s="1186"/>
      <c r="BG513" s="1186"/>
      <c r="BH513" s="1186"/>
      <c r="BI513" s="1186"/>
      <c r="BJ513" s="1186"/>
      <c r="BK513" s="1186"/>
      <c r="BL513" s="1186"/>
      <c r="BM513" s="1186"/>
      <c r="BN513" s="1186"/>
      <c r="BO513" s="1186"/>
      <c r="BP513" s="1186"/>
      <c r="BQ513" s="1186"/>
      <c r="BR513" s="1186"/>
      <c r="BS513" s="1186"/>
      <c r="BT513" s="1186"/>
      <c r="BU513" s="1186"/>
      <c r="BV513" s="1186"/>
      <c r="BW513" s="1186"/>
      <c r="BX513" s="1186"/>
      <c r="BY513" s="1186"/>
      <c r="BZ513" s="1186"/>
      <c r="CA513" s="1186"/>
      <c r="CB513" s="1186"/>
      <c r="CC513" s="1186"/>
      <c r="CD513" s="1186"/>
      <c r="CE513" s="1186"/>
      <c r="CF513" s="1186"/>
      <c r="CG513" s="1186"/>
      <c r="CH513" s="1186"/>
      <c r="CI513" s="1186"/>
      <c r="CJ513" s="1186"/>
      <c r="CK513" s="1186"/>
      <c r="CL513" s="1186"/>
      <c r="CM513" s="1186"/>
      <c r="CN513" s="1186"/>
      <c r="CO513" s="1186"/>
      <c r="CP513" s="1186"/>
      <c r="CQ513" s="1186"/>
      <c r="CR513" s="1186"/>
      <c r="CS513" s="1186"/>
      <c r="CT513" s="1186"/>
      <c r="CU513" s="1186"/>
      <c r="CV513" s="1186"/>
      <c r="CW513" s="1186"/>
      <c r="CX513" s="1186"/>
      <c r="CY513" s="1186"/>
      <c r="CZ513" s="1186"/>
      <c r="DA513" s="1186"/>
      <c r="DB513" s="1186"/>
      <c r="DC513" s="1186"/>
      <c r="DD513" s="1186"/>
      <c r="DE513" s="1186"/>
      <c r="DF513" s="1186"/>
      <c r="DG513" s="1186"/>
      <c r="DH513" s="1186"/>
      <c r="DI513" s="1186"/>
      <c r="DJ513" s="1186"/>
      <c r="DK513" s="1186"/>
      <c r="DL513" s="1186"/>
      <c r="DM513" s="1186"/>
      <c r="DN513" s="1186"/>
      <c r="DO513" s="1186"/>
      <c r="DP513" s="1186"/>
      <c r="DQ513" s="1186"/>
      <c r="DR513" s="1186"/>
      <c r="DS513" s="1186"/>
      <c r="DT513" s="1186"/>
      <c r="DU513" s="1186"/>
      <c r="DV513" s="1186"/>
      <c r="DW513" s="1186"/>
      <c r="DX513" s="1186"/>
      <c r="DY513" s="1186"/>
      <c r="DZ513" s="1186"/>
      <c r="EA513" s="1186"/>
      <c r="EB513" s="1186"/>
      <c r="EC513" s="1186"/>
      <c r="ED513" s="1186"/>
      <c r="EE513" s="1186"/>
      <c r="EF513" s="1186"/>
      <c r="EG513" s="1186"/>
      <c r="EH513" s="1186"/>
      <c r="EI513" s="1186"/>
      <c r="EJ513" s="1186"/>
      <c r="EK513" s="1186"/>
      <c r="EL513" s="1186"/>
      <c r="EM513" s="1186"/>
      <c r="EN513" s="1186"/>
      <c r="EO513" s="1186"/>
      <c r="EP513" s="1186"/>
      <c r="EQ513" s="1186"/>
      <c r="ER513" s="1186"/>
      <c r="ES513" s="1186"/>
      <c r="ET513" s="1186"/>
      <c r="EU513" s="1186"/>
      <c r="EV513" s="1186"/>
      <c r="EW513" s="1186"/>
      <c r="EX513" s="1186"/>
      <c r="EY513" s="1186"/>
      <c r="EZ513" s="1186"/>
      <c r="FA513" s="1186"/>
      <c r="FB513" s="1186"/>
      <c r="FC513" s="1186"/>
      <c r="FD513" s="1186"/>
      <c r="FE513" s="1186"/>
      <c r="FF513" s="1186"/>
      <c r="FG513" s="1186"/>
      <c r="FH513" s="1186"/>
      <c r="FI513" s="1186"/>
      <c r="FJ513" s="1186"/>
      <c r="FK513" s="1186"/>
      <c r="FL513" s="1186"/>
      <c r="FM513" s="1186"/>
      <c r="FN513" s="1186"/>
      <c r="FO513" s="1186"/>
      <c r="FP513" s="1186"/>
      <c r="FQ513" s="1186"/>
      <c r="FR513" s="1186"/>
      <c r="FS513" s="1186"/>
      <c r="FT513" s="1186"/>
      <c r="FU513" s="1186"/>
      <c r="FV513" s="1186"/>
      <c r="FW513" s="1186"/>
      <c r="FX513" s="1186"/>
      <c r="FY513" s="1186"/>
      <c r="FZ513" s="1186"/>
      <c r="GA513" s="1186"/>
      <c r="GB513" s="1186"/>
      <c r="GC513" s="1186"/>
      <c r="GD513" s="1186"/>
      <c r="GE513" s="1186"/>
      <c r="GF513" s="1186"/>
      <c r="GG513" s="1186"/>
      <c r="GH513" s="1186"/>
      <c r="GI513" s="1186"/>
      <c r="GJ513" s="1186"/>
      <c r="GK513" s="1186"/>
      <c r="GL513" s="1186"/>
      <c r="GM513" s="1186"/>
      <c r="GN513" s="1186"/>
      <c r="GO513" s="1186"/>
      <c r="GP513" s="1186"/>
      <c r="GQ513" s="1186"/>
      <c r="GR513" s="1186"/>
      <c r="GS513" s="1186"/>
      <c r="GT513" s="1186"/>
      <c r="GU513" s="1186"/>
      <c r="GV513" s="1186"/>
      <c r="GW513" s="1186"/>
      <c r="GX513" s="1186"/>
      <c r="GY513" s="1186"/>
      <c r="GZ513" s="1186"/>
      <c r="HA513" s="1186"/>
      <c r="HB513" s="1186"/>
      <c r="HC513" s="1186"/>
      <c r="HD513" s="1186"/>
      <c r="HE513" s="1186"/>
      <c r="HF513" s="1186"/>
      <c r="HG513" s="1186"/>
      <c r="HH513" s="1186"/>
      <c r="HI513" s="1186"/>
      <c r="HJ513" s="1186"/>
      <c r="HK513" s="1186"/>
      <c r="HL513" s="1186"/>
      <c r="HM513" s="1186"/>
      <c r="HN513" s="1186"/>
      <c r="HO513" s="1186"/>
      <c r="HP513" s="1186"/>
      <c r="HQ513" s="1186"/>
      <c r="HR513" s="1186"/>
      <c r="HS513" s="1186"/>
      <c r="HT513" s="1186"/>
      <c r="HU513" s="1186"/>
      <c r="HV513" s="1186"/>
      <c r="HW513" s="1186"/>
      <c r="HX513" s="1186"/>
      <c r="HY513" s="1186"/>
      <c r="HZ513" s="1186"/>
      <c r="IA513" s="1186"/>
      <c r="IB513" s="1186"/>
      <c r="IC513" s="1186"/>
      <c r="ID513" s="1186"/>
      <c r="IE513" s="1186"/>
      <c r="IF513" s="1186"/>
      <c r="IG513" s="1186"/>
      <c r="IH513" s="1186"/>
      <c r="II513" s="1186"/>
      <c r="IJ513" s="1186"/>
      <c r="IK513" s="1186"/>
      <c r="IL513" s="1186"/>
      <c r="IM513" s="1186"/>
      <c r="IN513" s="1186"/>
      <c r="IO513" s="1186"/>
      <c r="IP513" s="1186"/>
      <c r="IQ513" s="1186"/>
      <c r="IR513" s="1186"/>
      <c r="IS513" s="1186"/>
      <c r="IT513" s="1186"/>
      <c r="IU513" s="1186"/>
      <c r="IV513" s="1186"/>
      <c r="IW513" s="1186"/>
      <c r="IX513" s="1186"/>
      <c r="IY513" s="1186"/>
      <c r="IZ513" s="1186"/>
      <c r="JA513" s="1186"/>
      <c r="JB513" s="1186"/>
      <c r="JC513" s="1186"/>
      <c r="JD513" s="1186"/>
      <c r="JE513" s="1186"/>
      <c r="JF513" s="1186"/>
      <c r="JG513" s="1186"/>
      <c r="JH513" s="1186"/>
      <c r="JI513" s="1186"/>
      <c r="JJ513" s="1186"/>
      <c r="JK513" s="1186"/>
      <c r="JL513" s="1186"/>
      <c r="JM513" s="1186"/>
      <c r="JN513" s="1186"/>
      <c r="JO513" s="1186"/>
      <c r="JP513" s="1186"/>
      <c r="JQ513" s="1186"/>
      <c r="JR513" s="1186"/>
      <c r="JS513" s="1186"/>
      <c r="JT513" s="1186"/>
      <c r="JU513" s="1186"/>
      <c r="JV513" s="1186"/>
      <c r="JW513" s="1186"/>
      <c r="JX513" s="1186"/>
      <c r="JY513" s="1186"/>
      <c r="JZ513" s="1186"/>
      <c r="KA513" s="1186"/>
      <c r="KB513" s="1186"/>
      <c r="KC513" s="1186"/>
      <c r="KD513" s="1186"/>
      <c r="KE513" s="1186"/>
      <c r="KF513" s="1186"/>
      <c r="KG513" s="1186"/>
      <c r="KH513" s="1186"/>
      <c r="KI513" s="1186"/>
      <c r="KJ513" s="1186"/>
      <c r="KK513" s="1186"/>
      <c r="KL513" s="1186"/>
      <c r="KM513" s="1186"/>
      <c r="KN513" s="1186"/>
      <c r="KO513" s="1186"/>
      <c r="KP513" s="1186"/>
      <c r="KQ513" s="1186"/>
      <c r="KR513" s="1186"/>
      <c r="KS513" s="1186"/>
      <c r="KT513" s="1186"/>
      <c r="KU513" s="1186"/>
      <c r="KV513" s="1186"/>
      <c r="KW513" s="1186"/>
      <c r="KX513" s="1186"/>
      <c r="KY513" s="1186"/>
      <c r="KZ513" s="1186"/>
      <c r="LA513" s="1186"/>
      <c r="LB513" s="1186"/>
      <c r="LC513" s="1186"/>
      <c r="LD513" s="1186"/>
      <c r="LE513" s="1186"/>
      <c r="LF513" s="1186"/>
      <c r="LG513" s="1186"/>
      <c r="LH513" s="1186"/>
      <c r="LI513" s="1186"/>
      <c r="LJ513" s="1186"/>
      <c r="LK513" s="1186"/>
      <c r="LL513" s="1186"/>
      <c r="LM513" s="1186"/>
      <c r="LN513" s="1186"/>
      <c r="LO513" s="1186"/>
      <c r="LP513" s="1186"/>
      <c r="LQ513" s="1186"/>
      <c r="LR513" s="1186"/>
      <c r="LS513" s="1186"/>
      <c r="LT513" s="1186"/>
      <c r="LU513" s="1186"/>
      <c r="LV513" s="1186"/>
      <c r="LW513" s="1186"/>
      <c r="LX513" s="1186"/>
      <c r="LY513" s="1186"/>
      <c r="LZ513" s="1186"/>
      <c r="MA513" s="1186"/>
      <c r="MB513" s="1186"/>
      <c r="MC513" s="1186"/>
      <c r="MD513" s="1186"/>
      <c r="ME513" s="1186"/>
      <c r="MF513" s="1186"/>
      <c r="MG513" s="1186"/>
      <c r="MH513" s="1186"/>
      <c r="MI513" s="1186"/>
      <c r="MJ513" s="1186"/>
      <c r="MK513" s="1186"/>
      <c r="ML513" s="1186"/>
      <c r="MM513" s="1186"/>
      <c r="MN513" s="1186"/>
      <c r="MO513" s="1186"/>
      <c r="MP513" s="1186"/>
      <c r="MQ513" s="1186"/>
      <c r="MR513" s="1186"/>
      <c r="MS513" s="1186"/>
      <c r="MT513" s="1186"/>
      <c r="MU513" s="1186"/>
      <c r="MV513" s="1186"/>
      <c r="MW513" s="1186"/>
      <c r="MX513" s="1186"/>
      <c r="MY513" s="1186"/>
      <c r="MZ513" s="1186"/>
      <c r="NA513" s="1186"/>
      <c r="NB513" s="1186"/>
      <c r="NC513" s="1186"/>
      <c r="ND513" s="1186"/>
      <c r="NE513" s="1186"/>
      <c r="NF513" s="1186"/>
      <c r="NG513" s="1186"/>
      <c r="NH513" s="1186"/>
      <c r="NI513" s="1186"/>
      <c r="NJ513" s="1186"/>
      <c r="NK513" s="1186"/>
      <c r="NL513" s="1186"/>
      <c r="NM513" s="1186"/>
      <c r="NN513" s="1186"/>
      <c r="OZ513" s="1296">
        <v>56</v>
      </c>
    </row>
    <row r="514" spans="1:416" ht="7.5" customHeight="1">
      <c r="A514" s="5027"/>
      <c r="B514" s="5027"/>
      <c r="C514" s="5027"/>
      <c r="D514" s="5027"/>
      <c r="E514" s="5027"/>
      <c r="F514" s="5027"/>
      <c r="G514" s="5027"/>
      <c r="H514" s="5027"/>
      <c r="I514" s="5027"/>
      <c r="J514" s="5027"/>
      <c r="K514" s="5027"/>
      <c r="L514" s="5027"/>
      <c r="M514" s="5027"/>
      <c r="N514" s="5027"/>
      <c r="O514" s="5027"/>
      <c r="P514" s="5027"/>
      <c r="Q514" s="5027"/>
      <c r="R514" s="2016"/>
      <c r="S514" s="253"/>
      <c r="T514" s="253"/>
      <c r="U514" s="253"/>
      <c r="V514" s="253"/>
      <c r="W514" s="1186"/>
      <c r="X514" s="1186"/>
      <c r="Y514" s="1186"/>
      <c r="Z514" s="1186"/>
      <c r="AA514" s="1186"/>
      <c r="AB514" s="1186"/>
      <c r="AC514" s="1186"/>
      <c r="AD514" s="1186"/>
      <c r="AE514" s="1186"/>
      <c r="AF514" s="1186"/>
      <c r="AG514" s="1186"/>
      <c r="AH514" s="1186"/>
      <c r="AI514" s="1186"/>
      <c r="AJ514" s="1186"/>
      <c r="AK514" s="1186"/>
      <c r="AL514" s="1186"/>
      <c r="AM514" s="1186"/>
      <c r="AN514" s="1186"/>
      <c r="AO514" s="1186"/>
      <c r="AP514" s="1186"/>
      <c r="AQ514" s="1186"/>
      <c r="AR514" s="1186"/>
      <c r="AS514" s="1186"/>
      <c r="AT514" s="1186"/>
      <c r="AU514" s="1186"/>
      <c r="AV514" s="1186"/>
      <c r="AW514" s="1186"/>
      <c r="AX514" s="1186"/>
      <c r="AY514" s="1186"/>
      <c r="AZ514" s="1186"/>
      <c r="BA514" s="1186"/>
      <c r="BB514" s="1186"/>
      <c r="BC514" s="1186"/>
      <c r="BD514" s="1186"/>
      <c r="BE514" s="1186"/>
      <c r="BF514" s="1186"/>
      <c r="BG514" s="1186"/>
      <c r="BH514" s="1186"/>
      <c r="BI514" s="1186"/>
      <c r="BJ514" s="1186"/>
      <c r="BK514" s="1186"/>
      <c r="BL514" s="1186"/>
      <c r="BM514" s="1186"/>
      <c r="BN514" s="1186"/>
      <c r="BO514" s="1186"/>
      <c r="BP514" s="1186"/>
      <c r="BQ514" s="1186"/>
      <c r="BR514" s="1186"/>
      <c r="BS514" s="1186"/>
      <c r="BT514" s="1186"/>
      <c r="BU514" s="1186"/>
      <c r="BV514" s="1186"/>
      <c r="BW514" s="1186"/>
      <c r="BX514" s="1186"/>
      <c r="BY514" s="1186"/>
      <c r="BZ514" s="1186"/>
      <c r="CA514" s="1186"/>
      <c r="CB514" s="1186"/>
      <c r="CC514" s="1186"/>
      <c r="CD514" s="1186"/>
      <c r="CE514" s="1186"/>
      <c r="CF514" s="1186"/>
      <c r="CG514" s="1186"/>
      <c r="CH514" s="1186"/>
      <c r="CI514" s="1186"/>
      <c r="CJ514" s="1186"/>
      <c r="CK514" s="1186"/>
      <c r="CL514" s="1186"/>
      <c r="CM514" s="1186"/>
      <c r="CN514" s="1186"/>
      <c r="CO514" s="1186"/>
      <c r="CP514" s="1186"/>
      <c r="CQ514" s="1186"/>
      <c r="CR514" s="1186"/>
      <c r="CS514" s="1186"/>
      <c r="CT514" s="1186"/>
      <c r="CU514" s="1186"/>
      <c r="CV514" s="1186"/>
      <c r="CW514" s="1186"/>
      <c r="CX514" s="1186"/>
      <c r="CY514" s="1186"/>
      <c r="CZ514" s="1186"/>
      <c r="DA514" s="1186"/>
      <c r="DB514" s="1186"/>
      <c r="DC514" s="1186"/>
      <c r="DD514" s="1186"/>
      <c r="DE514" s="1186"/>
      <c r="DF514" s="1186"/>
      <c r="DG514" s="1186"/>
      <c r="DH514" s="1186"/>
      <c r="DI514" s="1186"/>
      <c r="DJ514" s="1186"/>
      <c r="DK514" s="1186"/>
      <c r="DL514" s="1186"/>
      <c r="DM514" s="1186"/>
      <c r="DN514" s="1186"/>
      <c r="DO514" s="1186"/>
      <c r="DP514" s="1186"/>
      <c r="DQ514" s="1186"/>
      <c r="DR514" s="1186"/>
      <c r="DS514" s="1186"/>
      <c r="DT514" s="1186"/>
      <c r="DU514" s="1186"/>
      <c r="DV514" s="1186"/>
      <c r="DW514" s="1186"/>
      <c r="DX514" s="1186"/>
      <c r="DY514" s="1186"/>
      <c r="DZ514" s="1186"/>
      <c r="EA514" s="1186"/>
      <c r="EB514" s="1186"/>
      <c r="EC514" s="1186"/>
      <c r="ED514" s="1186"/>
      <c r="EE514" s="1186"/>
      <c r="EF514" s="1186"/>
      <c r="EG514" s="1186"/>
      <c r="EH514" s="1186"/>
      <c r="EI514" s="1186"/>
      <c r="EJ514" s="1186"/>
      <c r="EK514" s="1186"/>
      <c r="EL514" s="1186"/>
      <c r="EM514" s="1186"/>
      <c r="EN514" s="1186"/>
      <c r="EO514" s="1186"/>
      <c r="EP514" s="1186"/>
      <c r="EQ514" s="1186"/>
      <c r="ER514" s="1186"/>
      <c r="ES514" s="1186"/>
      <c r="ET514" s="1186"/>
      <c r="EU514" s="1186"/>
      <c r="EV514" s="1186"/>
      <c r="EW514" s="1186"/>
      <c r="EX514" s="1186"/>
      <c r="EY514" s="1186"/>
      <c r="EZ514" s="1186"/>
      <c r="FA514" s="1186"/>
      <c r="FB514" s="1186"/>
      <c r="FC514" s="1186"/>
      <c r="FD514" s="1186"/>
      <c r="FE514" s="1186"/>
      <c r="FF514" s="1186"/>
      <c r="FG514" s="1186"/>
      <c r="FH514" s="1186"/>
      <c r="FI514" s="1186"/>
      <c r="FJ514" s="1186"/>
      <c r="FK514" s="1186"/>
      <c r="FL514" s="1186"/>
      <c r="FM514" s="1186"/>
      <c r="FN514" s="1186"/>
      <c r="FO514" s="1186"/>
      <c r="FP514" s="1186"/>
      <c r="FQ514" s="1186"/>
      <c r="FR514" s="1186"/>
      <c r="FS514" s="1186"/>
      <c r="FT514" s="1186"/>
      <c r="FU514" s="1186"/>
      <c r="FV514" s="1186"/>
      <c r="FW514" s="1186"/>
      <c r="FX514" s="1186"/>
      <c r="FY514" s="1186"/>
      <c r="FZ514" s="1186"/>
      <c r="GA514" s="1186"/>
      <c r="GB514" s="1186"/>
      <c r="GC514" s="1186"/>
      <c r="GD514" s="1186"/>
      <c r="GE514" s="1186"/>
      <c r="GF514" s="1186"/>
      <c r="GG514" s="1186"/>
      <c r="GH514" s="1186"/>
      <c r="GI514" s="1186"/>
      <c r="GJ514" s="1186"/>
      <c r="GK514" s="1186"/>
      <c r="GL514" s="1186"/>
      <c r="GM514" s="1186"/>
      <c r="GN514" s="1186"/>
      <c r="GO514" s="1186"/>
      <c r="GP514" s="1186"/>
      <c r="GQ514" s="1186"/>
      <c r="GR514" s="1186"/>
      <c r="GS514" s="1186"/>
      <c r="GT514" s="1186"/>
      <c r="GU514" s="1186"/>
      <c r="GV514" s="1186"/>
      <c r="GW514" s="1186"/>
      <c r="GX514" s="1186"/>
      <c r="GY514" s="1186"/>
      <c r="GZ514" s="1186"/>
      <c r="HA514" s="1186"/>
      <c r="HB514" s="1186"/>
      <c r="HC514" s="1186"/>
      <c r="HD514" s="1186"/>
      <c r="HE514" s="1186"/>
      <c r="HF514" s="1186"/>
      <c r="HG514" s="1186"/>
      <c r="HH514" s="1186"/>
      <c r="HI514" s="1186"/>
      <c r="HJ514" s="1186"/>
      <c r="HK514" s="1186"/>
      <c r="HL514" s="1186"/>
      <c r="HM514" s="1186"/>
      <c r="HN514" s="1186"/>
      <c r="HO514" s="1186"/>
      <c r="HP514" s="1186"/>
      <c r="HQ514" s="1186"/>
      <c r="HR514" s="1186"/>
      <c r="HS514" s="1186"/>
      <c r="HT514" s="1186"/>
      <c r="HU514" s="1186"/>
      <c r="HV514" s="1186"/>
      <c r="HW514" s="1186"/>
      <c r="HX514" s="1186"/>
      <c r="HY514" s="1186"/>
      <c r="HZ514" s="1186"/>
      <c r="IA514" s="1186"/>
      <c r="IB514" s="1186"/>
      <c r="IC514" s="1186"/>
      <c r="ID514" s="1186"/>
      <c r="IE514" s="1186"/>
      <c r="IF514" s="1186"/>
      <c r="IG514" s="1186"/>
      <c r="IH514" s="1186"/>
      <c r="II514" s="1186"/>
      <c r="IJ514" s="1186"/>
      <c r="IK514" s="1186"/>
      <c r="IL514" s="1186"/>
      <c r="IM514" s="1186"/>
      <c r="IN514" s="1186"/>
      <c r="IO514" s="1186"/>
      <c r="IP514" s="1186"/>
      <c r="IQ514" s="1186"/>
      <c r="IR514" s="1186"/>
      <c r="IS514" s="1186"/>
      <c r="IT514" s="1186"/>
      <c r="IU514" s="1186"/>
      <c r="IV514" s="1186"/>
      <c r="IW514" s="1186"/>
      <c r="IX514" s="1186"/>
      <c r="IY514" s="1186"/>
      <c r="IZ514" s="1186"/>
      <c r="JA514" s="1186"/>
      <c r="JB514" s="1186"/>
      <c r="JC514" s="1186"/>
      <c r="JD514" s="1186"/>
      <c r="JE514" s="1186"/>
      <c r="JF514" s="1186"/>
      <c r="JG514" s="1186"/>
      <c r="JH514" s="1186"/>
      <c r="JI514" s="1186"/>
      <c r="JJ514" s="1186"/>
      <c r="JK514" s="1186"/>
      <c r="JL514" s="1186"/>
      <c r="JM514" s="1186"/>
      <c r="JN514" s="1186"/>
      <c r="JO514" s="1186"/>
      <c r="JP514" s="1186"/>
      <c r="JQ514" s="1186"/>
      <c r="JR514" s="1186"/>
      <c r="JS514" s="1186"/>
      <c r="JT514" s="1186"/>
      <c r="JU514" s="1186"/>
      <c r="JV514" s="1186"/>
      <c r="JW514" s="1186"/>
      <c r="JX514" s="1186"/>
      <c r="JY514" s="1186"/>
      <c r="JZ514" s="1186"/>
      <c r="KA514" s="1186"/>
      <c r="KB514" s="1186"/>
      <c r="KC514" s="1186"/>
      <c r="KD514" s="1186"/>
      <c r="KE514" s="1186"/>
      <c r="KF514" s="1186"/>
      <c r="KG514" s="1186"/>
      <c r="KH514" s="1186"/>
      <c r="KI514" s="1186"/>
      <c r="KJ514" s="1186"/>
      <c r="KK514" s="1186"/>
      <c r="KL514" s="1186"/>
      <c r="KM514" s="1186"/>
      <c r="KN514" s="1186"/>
      <c r="KO514" s="1186"/>
      <c r="KP514" s="1186"/>
      <c r="KQ514" s="1186"/>
      <c r="KR514" s="1186"/>
      <c r="KS514" s="1186"/>
      <c r="KT514" s="1186"/>
      <c r="KU514" s="1186"/>
      <c r="KV514" s="1186"/>
      <c r="KW514" s="1186"/>
      <c r="KX514" s="1186"/>
      <c r="KY514" s="1186"/>
      <c r="KZ514" s="1186"/>
      <c r="LA514" s="1186"/>
      <c r="LB514" s="1186"/>
      <c r="LC514" s="1186"/>
      <c r="LD514" s="1186"/>
      <c r="LE514" s="1186"/>
      <c r="LF514" s="1186"/>
      <c r="LG514" s="1186"/>
      <c r="LH514" s="1186"/>
      <c r="LI514" s="1186"/>
      <c r="LJ514" s="1186"/>
      <c r="LK514" s="1186"/>
      <c r="LL514" s="1186"/>
      <c r="LM514" s="1186"/>
      <c r="LN514" s="1186"/>
      <c r="LO514" s="1186"/>
      <c r="LP514" s="1186"/>
      <c r="LQ514" s="1186"/>
      <c r="LR514" s="1186"/>
      <c r="LS514" s="1186"/>
      <c r="LT514" s="1186"/>
      <c r="LU514" s="1186"/>
      <c r="LV514" s="1186"/>
      <c r="LW514" s="1186"/>
      <c r="LX514" s="1186"/>
      <c r="LY514" s="1186"/>
      <c r="LZ514" s="1186"/>
      <c r="MA514" s="1186"/>
      <c r="MB514" s="1186"/>
      <c r="MC514" s="1186"/>
      <c r="MD514" s="1186"/>
      <c r="ME514" s="1186"/>
      <c r="MF514" s="1186"/>
      <c r="MG514" s="1186"/>
      <c r="MH514" s="1186"/>
      <c r="MI514" s="1186"/>
      <c r="MJ514" s="1186"/>
      <c r="MK514" s="1186"/>
      <c r="ML514" s="1186"/>
      <c r="MM514" s="1186"/>
      <c r="MN514" s="1186"/>
      <c r="MO514" s="1186"/>
      <c r="MP514" s="1186"/>
      <c r="MQ514" s="1186"/>
      <c r="MR514" s="1186"/>
      <c r="MS514" s="1186"/>
      <c r="MT514" s="1186"/>
      <c r="MU514" s="1186"/>
      <c r="MV514" s="1186"/>
      <c r="MW514" s="1186"/>
      <c r="MX514" s="1186"/>
      <c r="MY514" s="1186"/>
      <c r="MZ514" s="1186"/>
      <c r="NA514" s="1186"/>
      <c r="NB514" s="1186"/>
      <c r="NC514" s="1186"/>
      <c r="ND514" s="1186"/>
      <c r="NE514" s="1186"/>
      <c r="NF514" s="1186"/>
      <c r="NG514" s="1186"/>
      <c r="NH514" s="1186"/>
      <c r="NI514" s="1186"/>
      <c r="NJ514" s="1186"/>
      <c r="NK514" s="1186"/>
      <c r="NL514" s="1186"/>
      <c r="NM514" s="1186"/>
      <c r="NN514" s="1186"/>
      <c r="OZ514" s="1185">
        <v>57</v>
      </c>
    </row>
    <row r="515" spans="1:416" ht="14.7" customHeight="1">
      <c r="A515" s="255" t="s">
        <v>25</v>
      </c>
      <c r="B515" s="255" t="s">
        <v>1208</v>
      </c>
      <c r="K515" s="2017" t="s">
        <v>1209</v>
      </c>
      <c r="O515" s="1815" t="str">
        <f>'Part V-Revenues &amp; Expenses'!O62</f>
        <v>40% of Units at 60% of AMI</v>
      </c>
      <c r="P515" s="1815"/>
      <c r="S515" s="1184" t="str">
        <f>B515</f>
        <v>UNIT SUMMARY</v>
      </c>
      <c r="T515" s="1184"/>
      <c r="U515" s="1184"/>
      <c r="V515" s="1184"/>
      <c r="AY515" s="253"/>
      <c r="BD515" s="253"/>
      <c r="LF515" s="1185"/>
      <c r="LK515" s="1185"/>
      <c r="LP515" s="1185"/>
      <c r="LU515" s="1185"/>
      <c r="LV515" s="1185"/>
      <c r="LW515" s="1185"/>
      <c r="LX515" s="1185"/>
      <c r="LY515" s="1185"/>
      <c r="LZ515" s="1185"/>
      <c r="MA515" s="1185"/>
      <c r="MB515" s="1185"/>
      <c r="MC515" s="1185"/>
      <c r="MD515" s="1185"/>
      <c r="ME515" s="1185"/>
      <c r="MF515" s="1185"/>
      <c r="MG515" s="1185"/>
      <c r="MH515" s="1185"/>
      <c r="MI515" s="1185"/>
      <c r="MJ515" s="1185"/>
      <c r="MK515" s="1185"/>
      <c r="ML515" s="1185"/>
      <c r="MM515" s="1185"/>
      <c r="MN515" s="1185"/>
      <c r="MO515" s="1185"/>
      <c r="MP515" s="1185"/>
      <c r="MW515" s="255"/>
      <c r="MX515" s="255"/>
      <c r="NN515" s="255"/>
      <c r="OZ515" s="1296">
        <v>58</v>
      </c>
    </row>
    <row r="516" spans="1:416" ht="14.25" customHeight="1">
      <c r="A516" s="255"/>
      <c r="B516" s="255"/>
      <c r="K516" s="1235" t="s">
        <v>1210</v>
      </c>
      <c r="O516" s="1815" t="str">
        <f>'Part V-Revenues &amp; Expenses'!O63</f>
        <v>N/a</v>
      </c>
      <c r="P516" s="1815"/>
      <c r="S516" s="255"/>
      <c r="T516" s="255"/>
      <c r="U516" s="1979"/>
      <c r="AY516" s="253"/>
      <c r="BD516" s="253"/>
      <c r="LF516" s="1185"/>
      <c r="LK516" s="1185"/>
      <c r="LP516" s="1185"/>
      <c r="LU516" s="1185"/>
      <c r="LV516" s="1185"/>
      <c r="LW516" s="1185"/>
      <c r="LX516" s="1185"/>
      <c r="LY516" s="1185"/>
      <c r="LZ516" s="1185"/>
      <c r="MA516" s="1185"/>
      <c r="MB516" s="1185"/>
      <c r="MC516" s="1185"/>
      <c r="MD516" s="1185"/>
      <c r="ME516" s="1185"/>
      <c r="MF516" s="1185"/>
      <c r="MG516" s="1185"/>
      <c r="MH516" s="1185"/>
      <c r="MI516" s="1185"/>
      <c r="MJ516" s="1185"/>
      <c r="MK516" s="1185"/>
      <c r="ML516" s="1185"/>
      <c r="MM516" s="1185"/>
      <c r="MN516" s="1185"/>
      <c r="MO516" s="1185"/>
      <c r="MP516" s="1185"/>
      <c r="MW516" s="255"/>
      <c r="MX516" s="255"/>
      <c r="NN516" s="255"/>
      <c r="OZ516" s="1296">
        <v>59</v>
      </c>
    </row>
    <row r="517" spans="1:416" ht="14.7" customHeight="1">
      <c r="A517" s="255"/>
      <c r="B517" s="255" t="s">
        <v>1212</v>
      </c>
      <c r="H517" s="251" t="s">
        <v>1213</v>
      </c>
      <c r="K517" s="2018" t="s">
        <v>772</v>
      </c>
      <c r="L517" s="1298" t="s">
        <v>1214</v>
      </c>
      <c r="M517" s="1298" t="s">
        <v>1215</v>
      </c>
      <c r="N517" s="1298" t="s">
        <v>1216</v>
      </c>
      <c r="O517" s="1298" t="s">
        <v>1217</v>
      </c>
      <c r="P517" s="1298" t="s">
        <v>288</v>
      </c>
      <c r="S517" s="255" t="s">
        <v>793</v>
      </c>
      <c r="T517" s="255"/>
      <c r="U517" s="1979"/>
      <c r="AR517" s="1298"/>
      <c r="AS517" s="1298"/>
      <c r="AT517" s="1298"/>
      <c r="AU517" s="1298"/>
      <c r="AV517" s="1298"/>
      <c r="AW517" s="1298"/>
      <c r="AY517" s="253"/>
      <c r="BB517" s="1298"/>
      <c r="BD517" s="253"/>
      <c r="LF517" s="1185"/>
      <c r="LK517" s="1185"/>
      <c r="LP517" s="1185"/>
      <c r="LU517" s="1185"/>
      <c r="LV517" s="1185"/>
      <c r="LW517" s="1185"/>
      <c r="LX517" s="1185"/>
      <c r="LY517" s="1185"/>
      <c r="LZ517" s="1185"/>
      <c r="MA517" s="1185"/>
      <c r="MB517" s="1185"/>
      <c r="MC517" s="1185"/>
      <c r="MD517" s="1185"/>
      <c r="ME517" s="1185"/>
      <c r="MF517" s="1185"/>
      <c r="MG517" s="1185"/>
      <c r="MH517" s="1185"/>
      <c r="MI517" s="1185"/>
      <c r="MJ517" s="1185"/>
      <c r="MK517" s="1185"/>
      <c r="ML517" s="1185"/>
      <c r="MM517" s="1185"/>
      <c r="MN517" s="1185"/>
      <c r="MO517" s="1185"/>
      <c r="MP517" s="1185"/>
      <c r="MW517" s="255"/>
      <c r="MX517" s="255"/>
      <c r="NN517" s="255"/>
      <c r="OZ517" s="1185">
        <v>60</v>
      </c>
    </row>
    <row r="518" spans="1:416" ht="15" customHeight="1">
      <c r="A518" s="2019" t="s">
        <v>1218</v>
      </c>
      <c r="B518" s="2019"/>
      <c r="C518" s="253" t="s">
        <v>1219</v>
      </c>
      <c r="D518" s="253"/>
      <c r="E518" s="253"/>
      <c r="F518" s="253"/>
      <c r="H518" s="1004" t="s">
        <v>1220</v>
      </c>
      <c r="I518" s="256"/>
      <c r="K518" s="2020">
        <f>X511</f>
        <v>0</v>
      </c>
      <c r="L518" s="2020">
        <f>Y511</f>
        <v>0</v>
      </c>
      <c r="M518" s="2020">
        <f>Z511</f>
        <v>0</v>
      </c>
      <c r="N518" s="2020">
        <f>AA511</f>
        <v>0</v>
      </c>
      <c r="O518" s="2020">
        <f>AB511</f>
        <v>0</v>
      </c>
      <c r="P518" s="2020">
        <f t="shared" ref="P518:P529" si="379">SUM(K518:O518)</f>
        <v>0</v>
      </c>
      <c r="Q518" s="1820" t="s">
        <v>1221</v>
      </c>
      <c r="R518" s="1286"/>
      <c r="S518" s="1920"/>
      <c r="T518" s="1920"/>
      <c r="U518" s="1920"/>
      <c r="V518" s="1920"/>
      <c r="W518" s="1920"/>
      <c r="X518" s="253"/>
      <c r="AA518" s="253"/>
      <c r="AB518" s="256"/>
      <c r="AC518" s="253"/>
      <c r="AF518" s="253"/>
      <c r="AG518" s="256"/>
      <c r="AH518" s="253"/>
      <c r="AK518" s="253"/>
      <c r="AL518" s="256"/>
      <c r="AM518" s="253"/>
      <c r="AP518" s="253"/>
      <c r="AQ518" s="256"/>
      <c r="AR518" s="257"/>
      <c r="AS518" s="257"/>
      <c r="AT518" s="257"/>
      <c r="AU518" s="257"/>
      <c r="AV518" s="257"/>
      <c r="AW518" s="257"/>
      <c r="AX518" s="256"/>
      <c r="AY518" s="253"/>
      <c r="BB518" s="257"/>
      <c r="BC518" s="256"/>
      <c r="BD518" s="253"/>
      <c r="LF518" s="1185"/>
      <c r="LK518" s="1185"/>
      <c r="LP518" s="1185"/>
      <c r="LU518" s="1185"/>
      <c r="LV518" s="1185"/>
      <c r="LW518" s="1185"/>
      <c r="LX518" s="1185"/>
      <c r="LY518" s="1185"/>
      <c r="LZ518" s="1185"/>
      <c r="MA518" s="1185"/>
      <c r="MB518" s="1185"/>
      <c r="MC518" s="1185"/>
      <c r="MD518" s="1185"/>
      <c r="ME518" s="1185"/>
      <c r="MF518" s="1185"/>
      <c r="MG518" s="1185"/>
      <c r="MH518" s="1185"/>
      <c r="MI518" s="1185"/>
      <c r="MJ518" s="1185"/>
      <c r="MK518" s="1185"/>
      <c r="ML518" s="1185"/>
      <c r="MM518" s="1185"/>
      <c r="MN518" s="1185"/>
      <c r="MO518" s="1185"/>
      <c r="MP518" s="1185"/>
      <c r="MW518" s="255"/>
      <c r="MX518" s="255"/>
      <c r="NN518" s="255"/>
      <c r="OZ518" s="1296">
        <v>61</v>
      </c>
    </row>
    <row r="519" spans="1:416" ht="15" customHeight="1">
      <c r="A519" s="2019"/>
      <c r="B519" s="2019"/>
      <c r="C519" s="253"/>
      <c r="D519" s="253"/>
      <c r="E519" s="253"/>
      <c r="F519" s="253"/>
      <c r="H519" s="1004" t="s">
        <v>1222</v>
      </c>
      <c r="I519" s="256"/>
      <c r="K519" s="2020">
        <f>AC511</f>
        <v>0</v>
      </c>
      <c r="L519" s="2020">
        <f>AD511</f>
        <v>0</v>
      </c>
      <c r="M519" s="2020">
        <f>AE511</f>
        <v>0</v>
      </c>
      <c r="N519" s="2020">
        <f>AF511</f>
        <v>0</v>
      </c>
      <c r="O519" s="2020">
        <f>AG511</f>
        <v>0</v>
      </c>
      <c r="P519" s="2020">
        <f t="shared" si="379"/>
        <v>0</v>
      </c>
      <c r="Q519" s="1820"/>
      <c r="R519" s="1286"/>
      <c r="S519" s="1920"/>
      <c r="T519" s="1920"/>
      <c r="U519" s="1920"/>
      <c r="V519" s="1920"/>
      <c r="W519" s="1920"/>
      <c r="X519" s="253"/>
      <c r="AA519" s="253"/>
      <c r="AB519" s="256"/>
      <c r="AC519" s="253"/>
      <c r="AF519" s="253"/>
      <c r="AG519" s="256"/>
      <c r="AH519" s="253"/>
      <c r="AK519" s="253"/>
      <c r="AL519" s="256"/>
      <c r="AM519" s="253"/>
      <c r="AP519" s="253"/>
      <c r="AQ519" s="256"/>
      <c r="AR519" s="257"/>
      <c r="AS519" s="257"/>
      <c r="AT519" s="257"/>
      <c r="AU519" s="257"/>
      <c r="AV519" s="257"/>
      <c r="AW519" s="257"/>
      <c r="AX519" s="256"/>
      <c r="AY519" s="253"/>
      <c r="BB519" s="257"/>
      <c r="BC519" s="256"/>
      <c r="BD519" s="253"/>
      <c r="LF519" s="1185"/>
      <c r="LK519" s="1185"/>
      <c r="LP519" s="1185"/>
      <c r="LU519" s="1185"/>
      <c r="LV519" s="1185"/>
      <c r="LW519" s="1185"/>
      <c r="LX519" s="1185"/>
      <c r="LY519" s="1185"/>
      <c r="LZ519" s="1185"/>
      <c r="MA519" s="1185"/>
      <c r="MB519" s="1185"/>
      <c r="MC519" s="1185"/>
      <c r="MD519" s="1185"/>
      <c r="ME519" s="1185"/>
      <c r="MF519" s="1185"/>
      <c r="MG519" s="1185"/>
      <c r="MH519" s="1185"/>
      <c r="MI519" s="1185"/>
      <c r="MJ519" s="1185"/>
      <c r="MK519" s="1185"/>
      <c r="ML519" s="1185"/>
      <c r="MM519" s="1185"/>
      <c r="MN519" s="1185"/>
      <c r="MO519" s="1185"/>
      <c r="MP519" s="1185"/>
      <c r="MW519" s="255"/>
      <c r="MX519" s="255"/>
      <c r="NN519" s="255"/>
      <c r="OZ519" s="1296">
        <v>62</v>
      </c>
    </row>
    <row r="520" spans="1:416" ht="15" customHeight="1">
      <c r="A520" s="2019"/>
      <c r="B520" s="2019"/>
      <c r="C520" s="253"/>
      <c r="D520" s="253"/>
      <c r="E520" s="253"/>
      <c r="F520" s="253"/>
      <c r="H520" s="1004" t="s">
        <v>1223</v>
      </c>
      <c r="I520" s="256"/>
      <c r="K520" s="2020">
        <f>AH511</f>
        <v>0</v>
      </c>
      <c r="L520" s="2020">
        <f>AI511</f>
        <v>19</v>
      </c>
      <c r="M520" s="2020">
        <f>AJ511</f>
        <v>38</v>
      </c>
      <c r="N520" s="2020">
        <f>AK511</f>
        <v>19</v>
      </c>
      <c r="O520" s="2020">
        <f>AL511</f>
        <v>0</v>
      </c>
      <c r="P520" s="2020">
        <f t="shared" si="379"/>
        <v>76</v>
      </c>
      <c r="Q520" s="1820"/>
      <c r="R520" s="1286"/>
      <c r="S520" s="1920"/>
      <c r="T520" s="1920"/>
      <c r="U520" s="1920"/>
      <c r="V520" s="1920"/>
      <c r="W520" s="1920"/>
      <c r="X520" s="253"/>
      <c r="AA520" s="253"/>
      <c r="AB520" s="256"/>
      <c r="AC520" s="253"/>
      <c r="AF520" s="253"/>
      <c r="AG520" s="256"/>
      <c r="AH520" s="253"/>
      <c r="AK520" s="253"/>
      <c r="AL520" s="256"/>
      <c r="AM520" s="253"/>
      <c r="AP520" s="253"/>
      <c r="AQ520" s="256"/>
      <c r="AR520" s="257"/>
      <c r="AS520" s="257"/>
      <c r="AT520" s="257"/>
      <c r="AU520" s="257"/>
      <c r="AV520" s="257"/>
      <c r="AW520" s="257"/>
      <c r="AX520" s="256"/>
      <c r="AY520" s="253"/>
      <c r="BB520" s="257"/>
      <c r="BC520" s="256"/>
      <c r="BD520" s="253"/>
      <c r="LF520" s="1185"/>
      <c r="LK520" s="1185"/>
      <c r="LP520" s="1185"/>
      <c r="LU520" s="1185"/>
      <c r="LV520" s="1185"/>
      <c r="LW520" s="1185"/>
      <c r="LX520" s="1185"/>
      <c r="LY520" s="1185"/>
      <c r="LZ520" s="1185"/>
      <c r="MA520" s="1185"/>
      <c r="MB520" s="1185"/>
      <c r="MC520" s="1185"/>
      <c r="MD520" s="1185"/>
      <c r="ME520" s="1185"/>
      <c r="MF520" s="1185"/>
      <c r="MG520" s="1185"/>
      <c r="MH520" s="1185"/>
      <c r="MI520" s="1185"/>
      <c r="MJ520" s="1185"/>
      <c r="MK520" s="1185"/>
      <c r="ML520" s="1185"/>
      <c r="MM520" s="1185"/>
      <c r="MN520" s="1185"/>
      <c r="MO520" s="1185"/>
      <c r="MP520" s="1185"/>
      <c r="MW520" s="255"/>
      <c r="MX520" s="255"/>
      <c r="NN520" s="255"/>
      <c r="OZ520" s="1296">
        <v>63</v>
      </c>
    </row>
    <row r="521" spans="1:416" ht="15" customHeight="1">
      <c r="A521" s="2019"/>
      <c r="B521" s="2019"/>
      <c r="C521" s="253"/>
      <c r="D521" s="253"/>
      <c r="E521" s="253"/>
      <c r="F521" s="253"/>
      <c r="H521" s="1004" t="s">
        <v>1224</v>
      </c>
      <c r="I521" s="256"/>
      <c r="K521" s="2020">
        <f>AM511</f>
        <v>0</v>
      </c>
      <c r="L521" s="2020">
        <f>AN511</f>
        <v>5</v>
      </c>
      <c r="M521" s="2020">
        <f>AO511</f>
        <v>10</v>
      </c>
      <c r="N521" s="2020">
        <f>AP511</f>
        <v>5</v>
      </c>
      <c r="O521" s="2020">
        <f>AQ511</f>
        <v>0</v>
      </c>
      <c r="P521" s="2020">
        <f t="shared" si="379"/>
        <v>20</v>
      </c>
      <c r="Q521" s="1820"/>
      <c r="R521" s="1286"/>
      <c r="S521" s="1920"/>
      <c r="T521" s="1920"/>
      <c r="U521" s="1920"/>
      <c r="V521" s="1920"/>
      <c r="W521" s="1920"/>
      <c r="X521" s="253"/>
      <c r="AA521" s="253"/>
      <c r="AB521" s="256"/>
      <c r="AC521" s="253"/>
      <c r="AF521" s="253"/>
      <c r="AG521" s="256"/>
      <c r="AH521" s="253"/>
      <c r="AK521" s="253"/>
      <c r="AL521" s="256"/>
      <c r="AM521" s="253"/>
      <c r="AP521" s="253"/>
      <c r="AQ521" s="256"/>
      <c r="AR521" s="257"/>
      <c r="AS521" s="257"/>
      <c r="AT521" s="257"/>
      <c r="AU521" s="257"/>
      <c r="AV521" s="257"/>
      <c r="AW521" s="257"/>
      <c r="AX521" s="256"/>
      <c r="AY521" s="253"/>
      <c r="BB521" s="257"/>
      <c r="BC521" s="256"/>
      <c r="BD521" s="253"/>
      <c r="LF521" s="1185"/>
      <c r="LK521" s="1185"/>
      <c r="LP521" s="1185"/>
      <c r="LU521" s="1185"/>
      <c r="LV521" s="1185"/>
      <c r="LW521" s="1185"/>
      <c r="LX521" s="1185"/>
      <c r="LY521" s="1185"/>
      <c r="LZ521" s="1185"/>
      <c r="MA521" s="1185"/>
      <c r="MB521" s="1185"/>
      <c r="MC521" s="1185"/>
      <c r="MD521" s="1185"/>
      <c r="ME521" s="1185"/>
      <c r="MF521" s="1185"/>
      <c r="MG521" s="1185"/>
      <c r="MH521" s="1185"/>
      <c r="MI521" s="1185"/>
      <c r="MJ521" s="1185"/>
      <c r="MK521" s="1185"/>
      <c r="ML521" s="1185"/>
      <c r="MM521" s="1185"/>
      <c r="MN521" s="1185"/>
      <c r="MO521" s="1185"/>
      <c r="MP521" s="1185"/>
      <c r="MW521" s="255"/>
      <c r="MX521" s="255"/>
      <c r="NN521" s="255"/>
      <c r="OZ521" s="1296">
        <v>64</v>
      </c>
    </row>
    <row r="522" spans="1:416" ht="15" customHeight="1">
      <c r="A522" s="2019"/>
      <c r="B522" s="2019"/>
      <c r="C522" s="253"/>
      <c r="D522" s="253"/>
      <c r="E522" s="253"/>
      <c r="F522" s="253"/>
      <c r="H522" s="1004" t="s">
        <v>1225</v>
      </c>
      <c r="I522" s="256"/>
      <c r="K522" s="2020">
        <f>AR511</f>
        <v>0</v>
      </c>
      <c r="L522" s="2020">
        <f>AS511</f>
        <v>0</v>
      </c>
      <c r="M522" s="2020">
        <f>AT511</f>
        <v>0</v>
      </c>
      <c r="N522" s="2020">
        <f>AU511</f>
        <v>0</v>
      </c>
      <c r="O522" s="2020">
        <f>AV511</f>
        <v>0</v>
      </c>
      <c r="P522" s="2020">
        <f t="shared" si="379"/>
        <v>0</v>
      </c>
      <c r="Q522" s="1820"/>
      <c r="R522" s="1286"/>
      <c r="S522" s="1920"/>
      <c r="T522" s="1920"/>
      <c r="U522" s="1920"/>
      <c r="V522" s="1920"/>
      <c r="W522" s="1920"/>
      <c r="X522" s="253"/>
      <c r="AA522" s="253"/>
      <c r="AB522" s="256"/>
      <c r="AC522" s="253"/>
      <c r="AF522" s="253"/>
      <c r="AG522" s="256"/>
      <c r="AH522" s="253"/>
      <c r="AK522" s="253"/>
      <c r="AL522" s="256"/>
      <c r="AM522" s="253"/>
      <c r="AP522" s="253"/>
      <c r="AQ522" s="256"/>
      <c r="AR522" s="257"/>
      <c r="AS522" s="257"/>
      <c r="AT522" s="257"/>
      <c r="AU522" s="257"/>
      <c r="AV522" s="257"/>
      <c r="AW522" s="257"/>
      <c r="AX522" s="256"/>
      <c r="AY522" s="253"/>
      <c r="BB522" s="257"/>
      <c r="BC522" s="256"/>
      <c r="BD522" s="253"/>
      <c r="LF522" s="1185"/>
      <c r="LK522" s="1185"/>
      <c r="LP522" s="1185"/>
      <c r="LU522" s="1185"/>
      <c r="LV522" s="1185"/>
      <c r="LW522" s="1185"/>
      <c r="LX522" s="1185"/>
      <c r="LY522" s="1185"/>
      <c r="LZ522" s="1185"/>
      <c r="MA522" s="1185"/>
      <c r="MB522" s="1185"/>
      <c r="MC522" s="1185"/>
      <c r="MD522" s="1185"/>
      <c r="ME522" s="1185"/>
      <c r="MF522" s="1185"/>
      <c r="MG522" s="1185"/>
      <c r="MH522" s="1185"/>
      <c r="MI522" s="1185"/>
      <c r="MJ522" s="1185"/>
      <c r="MK522" s="1185"/>
      <c r="ML522" s="1185"/>
      <c r="MM522" s="1185"/>
      <c r="MN522" s="1185"/>
      <c r="MO522" s="1185"/>
      <c r="MP522" s="1185"/>
      <c r="MW522" s="255"/>
      <c r="MX522" s="255"/>
      <c r="NN522" s="255"/>
      <c r="OZ522" s="1296">
        <v>65</v>
      </c>
    </row>
    <row r="523" spans="1:416" ht="15" customHeight="1">
      <c r="A523" s="2019"/>
      <c r="B523" s="2019"/>
      <c r="C523" s="253"/>
      <c r="D523" s="253"/>
      <c r="E523" s="253"/>
      <c r="F523" s="253"/>
      <c r="H523" s="1004" t="s">
        <v>1226</v>
      </c>
      <c r="I523" s="256"/>
      <c r="K523" s="2020">
        <f>AW511</f>
        <v>0</v>
      </c>
      <c r="L523" s="2020">
        <f>AX511</f>
        <v>0</v>
      </c>
      <c r="M523" s="2020">
        <f>AY511</f>
        <v>0</v>
      </c>
      <c r="N523" s="2020">
        <f>AZ511</f>
        <v>0</v>
      </c>
      <c r="O523" s="2020">
        <f>BA511</f>
        <v>0</v>
      </c>
      <c r="P523" s="2020">
        <f t="shared" si="379"/>
        <v>0</v>
      </c>
      <c r="Q523" s="1820"/>
      <c r="R523" s="1286"/>
      <c r="S523" s="1920"/>
      <c r="T523" s="1920"/>
      <c r="U523" s="1920"/>
      <c r="V523" s="1920"/>
      <c r="W523" s="1920"/>
      <c r="X523" s="253"/>
      <c r="AA523" s="253"/>
      <c r="AB523" s="256"/>
      <c r="AC523" s="253"/>
      <c r="AF523" s="253"/>
      <c r="AG523" s="256"/>
      <c r="AH523" s="253"/>
      <c r="AK523" s="253"/>
      <c r="AL523" s="256"/>
      <c r="AM523" s="253"/>
      <c r="AP523" s="253"/>
      <c r="AQ523" s="256"/>
      <c r="AR523" s="257"/>
      <c r="AS523" s="257"/>
      <c r="AT523" s="257"/>
      <c r="AU523" s="257"/>
      <c r="AV523" s="257"/>
      <c r="AW523" s="257"/>
      <c r="AX523" s="256"/>
      <c r="AY523" s="253"/>
      <c r="BB523" s="257"/>
      <c r="BC523" s="256"/>
      <c r="BD523" s="253"/>
      <c r="LF523" s="1185"/>
      <c r="LK523" s="1185"/>
      <c r="LP523" s="1185"/>
      <c r="LU523" s="1185"/>
      <c r="LV523" s="1185"/>
      <c r="LW523" s="1185"/>
      <c r="LX523" s="1185"/>
      <c r="LY523" s="1185"/>
      <c r="LZ523" s="1185"/>
      <c r="MA523" s="1185"/>
      <c r="MB523" s="1185"/>
      <c r="MC523" s="1185"/>
      <c r="MD523" s="1185"/>
      <c r="ME523" s="1185"/>
      <c r="MF523" s="1185"/>
      <c r="MG523" s="1185"/>
      <c r="MH523" s="1185"/>
      <c r="MI523" s="1185"/>
      <c r="MJ523" s="1185"/>
      <c r="MK523" s="1185"/>
      <c r="ML523" s="1185"/>
      <c r="MM523" s="1185"/>
      <c r="MN523" s="1185"/>
      <c r="MO523" s="1185"/>
      <c r="MP523" s="1185"/>
      <c r="MW523" s="255"/>
      <c r="MX523" s="255"/>
      <c r="NN523" s="255"/>
      <c r="OZ523" s="1296">
        <v>66</v>
      </c>
    </row>
    <row r="524" spans="1:416" ht="15" customHeight="1">
      <c r="A524" s="2019"/>
      <c r="B524" s="2019"/>
      <c r="C524" s="1184"/>
      <c r="D524" s="253"/>
      <c r="E524" s="253"/>
      <c r="F524" s="253"/>
      <c r="H524" s="1004" t="s">
        <v>1227</v>
      </c>
      <c r="I524" s="256"/>
      <c r="K524" s="2020">
        <f>BB511</f>
        <v>0</v>
      </c>
      <c r="L524" s="2020">
        <f>BC511</f>
        <v>0</v>
      </c>
      <c r="M524" s="2020">
        <f>BD511</f>
        <v>0</v>
      </c>
      <c r="N524" s="2020">
        <f>BE511</f>
        <v>0</v>
      </c>
      <c r="O524" s="2020">
        <f>BF511</f>
        <v>0</v>
      </c>
      <c r="P524" s="2020">
        <f t="shared" si="379"/>
        <v>0</v>
      </c>
      <c r="Q524" s="1820"/>
      <c r="R524" s="1286"/>
      <c r="S524" s="1920"/>
      <c r="T524" s="1920"/>
      <c r="U524" s="1920"/>
      <c r="V524" s="1920"/>
      <c r="W524" s="1920"/>
      <c r="X524" s="1184"/>
      <c r="AA524" s="253"/>
      <c r="AB524" s="256"/>
      <c r="AC524" s="1184"/>
      <c r="AF524" s="253"/>
      <c r="AG524" s="256"/>
      <c r="AH524" s="1184"/>
      <c r="AK524" s="253"/>
      <c r="AL524" s="256"/>
      <c r="AM524" s="1184"/>
      <c r="AP524" s="253"/>
      <c r="AQ524" s="256"/>
      <c r="AR524" s="257"/>
      <c r="AS524" s="257"/>
      <c r="AT524" s="257"/>
      <c r="AU524" s="257"/>
      <c r="AV524" s="257"/>
      <c r="AW524" s="257"/>
      <c r="AX524" s="256"/>
      <c r="AY524" s="253"/>
      <c r="BB524" s="257"/>
      <c r="BC524" s="256"/>
      <c r="BD524" s="253"/>
      <c r="LF524" s="1185"/>
      <c r="LK524" s="1185"/>
      <c r="LP524" s="1185"/>
      <c r="LU524" s="1185"/>
      <c r="LV524" s="1185"/>
      <c r="LW524" s="1185"/>
      <c r="LX524" s="1185"/>
      <c r="LY524" s="1185"/>
      <c r="LZ524" s="1185"/>
      <c r="MA524" s="1185"/>
      <c r="MB524" s="1185"/>
      <c r="MC524" s="1185"/>
      <c r="MD524" s="1185"/>
      <c r="ME524" s="1185"/>
      <c r="MF524" s="1185"/>
      <c r="MG524" s="1185"/>
      <c r="MH524" s="1185"/>
      <c r="MI524" s="1185"/>
      <c r="MJ524" s="1185"/>
      <c r="MK524" s="1185"/>
      <c r="ML524" s="1185"/>
      <c r="MM524" s="1185"/>
      <c r="MN524" s="1185"/>
      <c r="MO524" s="1185"/>
      <c r="MP524" s="1185"/>
      <c r="MW524" s="255"/>
      <c r="MX524" s="255"/>
      <c r="NN524" s="255"/>
      <c r="OZ524" s="1185">
        <v>67</v>
      </c>
    </row>
    <row r="525" spans="1:416" ht="15" customHeight="1">
      <c r="A525" s="2019"/>
      <c r="B525" s="2019"/>
      <c r="C525" s="1004" t="s">
        <v>1228</v>
      </c>
      <c r="D525" s="253"/>
      <c r="E525" s="253"/>
      <c r="F525" s="253"/>
      <c r="H525" s="254"/>
      <c r="I525" s="590"/>
      <c r="K525" s="2020">
        <f>SUM(K518:K524)</f>
        <v>0</v>
      </c>
      <c r="L525" s="2020">
        <f>SUM(L518:L524)</f>
        <v>24</v>
      </c>
      <c r="M525" s="2020">
        <f>SUM(M518:M524)</f>
        <v>48</v>
      </c>
      <c r="N525" s="2020">
        <f>SUM(N518:N524)</f>
        <v>24</v>
      </c>
      <c r="O525" s="2020">
        <f>SUM(O518:O524)</f>
        <v>0</v>
      </c>
      <c r="P525" s="2020">
        <f t="shared" si="379"/>
        <v>96</v>
      </c>
      <c r="Q525" s="1820"/>
      <c r="S525" s="1920"/>
      <c r="T525" s="1920"/>
      <c r="U525" s="1920"/>
      <c r="V525" s="1920"/>
      <c r="W525" s="1920"/>
      <c r="X525" s="1184"/>
      <c r="AA525" s="253"/>
      <c r="AB525" s="256"/>
      <c r="AC525" s="1184"/>
      <c r="AF525" s="253"/>
      <c r="AG525" s="256"/>
      <c r="AH525" s="1184"/>
      <c r="AK525" s="253"/>
      <c r="AL525" s="256"/>
      <c r="AM525" s="1184"/>
      <c r="AP525" s="253"/>
      <c r="AQ525" s="256"/>
      <c r="AR525" s="257"/>
      <c r="AS525" s="257"/>
      <c r="AT525" s="257"/>
      <c r="AU525" s="257"/>
      <c r="AV525" s="257"/>
      <c r="AW525" s="257"/>
      <c r="AX525" s="256"/>
      <c r="AY525" s="253"/>
      <c r="BB525" s="257"/>
      <c r="BC525" s="256"/>
      <c r="BD525" s="253"/>
      <c r="LF525" s="1185"/>
      <c r="LK525" s="1185"/>
      <c r="LP525" s="1185"/>
      <c r="LU525" s="1185"/>
      <c r="LV525" s="1185"/>
      <c r="LW525" s="1185"/>
      <c r="LX525" s="1185"/>
      <c r="LY525" s="1185"/>
      <c r="LZ525" s="1185"/>
      <c r="MA525" s="1185"/>
      <c r="MB525" s="1185"/>
      <c r="MC525" s="1185"/>
      <c r="MD525" s="1185"/>
      <c r="ME525" s="1185"/>
      <c r="MF525" s="1185"/>
      <c r="MG525" s="1185"/>
      <c r="MH525" s="1185"/>
      <c r="MI525" s="1185"/>
      <c r="MJ525" s="1185"/>
      <c r="MK525" s="1185"/>
      <c r="ML525" s="1185"/>
      <c r="MM525" s="1185"/>
      <c r="MN525" s="1185"/>
      <c r="MO525" s="1185"/>
      <c r="MP525" s="1185"/>
      <c r="MW525" s="255"/>
      <c r="MX525" s="255"/>
      <c r="NN525" s="255"/>
      <c r="OZ525" s="1296">
        <v>68</v>
      </c>
    </row>
    <row r="526" spans="1:416" ht="15" customHeight="1">
      <c r="A526" s="2019"/>
      <c r="B526" s="2019"/>
      <c r="D526" s="253"/>
      <c r="E526" s="253"/>
      <c r="F526" s="253"/>
      <c r="H526" s="1004" t="s">
        <v>1160</v>
      </c>
      <c r="I526" s="256"/>
      <c r="K526" s="2020">
        <f>BG511</f>
        <v>0</v>
      </c>
      <c r="L526" s="2020">
        <f>BH511</f>
        <v>0</v>
      </c>
      <c r="M526" s="2020">
        <f>BI511</f>
        <v>0</v>
      </c>
      <c r="N526" s="2020">
        <f>BJ511</f>
        <v>0</v>
      </c>
      <c r="O526" s="2020">
        <f>BK511</f>
        <v>0</v>
      </c>
      <c r="P526" s="2020">
        <f t="shared" si="379"/>
        <v>0</v>
      </c>
      <c r="S526" s="1920"/>
      <c r="T526" s="1920"/>
      <c r="U526" s="1920"/>
      <c r="V526" s="1920"/>
      <c r="W526" s="1920"/>
      <c r="X526" s="253"/>
      <c r="AA526" s="253"/>
      <c r="AB526" s="256"/>
      <c r="AC526" s="253"/>
      <c r="AF526" s="253"/>
      <c r="AG526" s="256"/>
      <c r="AH526" s="253"/>
      <c r="AK526" s="253"/>
      <c r="AL526" s="256"/>
      <c r="AM526" s="253"/>
      <c r="AP526" s="253"/>
      <c r="AQ526" s="256"/>
      <c r="AR526" s="257"/>
      <c r="AS526" s="257"/>
      <c r="AT526" s="257"/>
      <c r="AU526" s="257"/>
      <c r="AV526" s="257"/>
      <c r="AW526" s="257"/>
      <c r="AX526" s="590"/>
      <c r="AY526" s="253"/>
      <c r="BB526" s="257"/>
      <c r="BC526" s="590"/>
      <c r="BD526" s="253"/>
      <c r="LF526" s="1185"/>
      <c r="LK526" s="1185"/>
      <c r="LP526" s="1185"/>
      <c r="LU526" s="1185"/>
      <c r="LV526" s="1185"/>
      <c r="LW526" s="1185"/>
      <c r="LX526" s="1185"/>
      <c r="LY526" s="1185"/>
      <c r="LZ526" s="1185"/>
      <c r="MA526" s="1185"/>
      <c r="MB526" s="1185"/>
      <c r="MC526" s="1185"/>
      <c r="MD526" s="1185"/>
      <c r="ME526" s="1185"/>
      <c r="MF526" s="1185"/>
      <c r="MG526" s="1185"/>
      <c r="MH526" s="1185"/>
      <c r="MI526" s="1185"/>
      <c r="MJ526" s="1185"/>
      <c r="MK526" s="1185"/>
      <c r="ML526" s="1185"/>
      <c r="MM526" s="1185"/>
      <c r="MN526" s="1185"/>
      <c r="MO526" s="1185"/>
      <c r="MP526" s="1185"/>
      <c r="MW526" s="255"/>
      <c r="MX526" s="255"/>
      <c r="NN526" s="255"/>
      <c r="OZ526" s="1296">
        <v>69</v>
      </c>
    </row>
    <row r="527" spans="1:416" ht="15" customHeight="1">
      <c r="A527" s="2019"/>
      <c r="B527" s="2019"/>
      <c r="C527" s="2021" t="s">
        <v>1229</v>
      </c>
      <c r="D527" s="2021"/>
      <c r="E527" s="2021"/>
      <c r="F527" s="2021"/>
      <c r="G527" s="2022"/>
      <c r="H527" s="2023"/>
      <c r="I527" s="2024"/>
      <c r="J527" s="2022"/>
      <c r="K527" s="2025">
        <f>SUM(K525:K526)</f>
        <v>0</v>
      </c>
      <c r="L527" s="2025">
        <f>SUM(L525:L526)</f>
        <v>24</v>
      </c>
      <c r="M527" s="2025">
        <f>SUM(M525:M526)</f>
        <v>48</v>
      </c>
      <c r="N527" s="2025">
        <f>SUM(N525:N526)</f>
        <v>24</v>
      </c>
      <c r="O527" s="2025">
        <f>SUM(O525:O526)</f>
        <v>0</v>
      </c>
      <c r="P527" s="2025">
        <f t="shared" si="379"/>
        <v>96</v>
      </c>
      <c r="S527" s="1920"/>
      <c r="T527" s="1920"/>
      <c r="U527" s="1920"/>
      <c r="V527" s="1920"/>
      <c r="W527" s="1920"/>
      <c r="X527" s="253"/>
      <c r="AA527" s="253"/>
      <c r="AB527" s="256"/>
      <c r="AC527" s="253"/>
      <c r="AF527" s="253"/>
      <c r="AG527" s="256"/>
      <c r="AH527" s="253"/>
      <c r="AK527" s="253"/>
      <c r="AL527" s="256"/>
      <c r="AM527" s="253"/>
      <c r="AP527" s="253"/>
      <c r="AQ527" s="256"/>
      <c r="AR527" s="257"/>
      <c r="AS527" s="257"/>
      <c r="AT527" s="257"/>
      <c r="AU527" s="257"/>
      <c r="AV527" s="257"/>
      <c r="AW527" s="257"/>
      <c r="AX527" s="590"/>
      <c r="AY527" s="253"/>
      <c r="BB527" s="257"/>
      <c r="BC527" s="590"/>
      <c r="BD527" s="253"/>
      <c r="LF527" s="1185"/>
      <c r="LK527" s="1185"/>
      <c r="LP527" s="1185"/>
      <c r="LU527" s="1185"/>
      <c r="LV527" s="1185"/>
      <c r="LW527" s="1185"/>
      <c r="LX527" s="1185"/>
      <c r="LY527" s="1185"/>
      <c r="LZ527" s="1185"/>
      <c r="MA527" s="1185"/>
      <c r="MB527" s="1185"/>
      <c r="MC527" s="1185"/>
      <c r="MD527" s="1185"/>
      <c r="ME527" s="1185"/>
      <c r="MF527" s="1185"/>
      <c r="MG527" s="1185"/>
      <c r="MH527" s="1185"/>
      <c r="MI527" s="1185"/>
      <c r="MJ527" s="1185"/>
      <c r="MK527" s="1185"/>
      <c r="ML527" s="1185"/>
      <c r="MM527" s="1185"/>
      <c r="MN527" s="1185"/>
      <c r="MO527" s="1185"/>
      <c r="MP527" s="1185"/>
      <c r="MW527" s="255"/>
      <c r="MX527" s="255"/>
      <c r="NN527" s="255"/>
      <c r="OZ527" s="1296">
        <v>70</v>
      </c>
    </row>
    <row r="528" spans="1:416" ht="15" customHeight="1">
      <c r="A528" s="2019"/>
      <c r="B528" s="2019"/>
      <c r="D528" s="253"/>
      <c r="E528" s="253"/>
      <c r="F528" s="253"/>
      <c r="H528" s="1004" t="s">
        <v>1230</v>
      </c>
      <c r="I528" s="256"/>
      <c r="K528" s="2020">
        <f>FM511</f>
        <v>0</v>
      </c>
      <c r="L528" s="2020">
        <f>FN511</f>
        <v>0</v>
      </c>
      <c r="M528" s="2020">
        <f>FO511</f>
        <v>0</v>
      </c>
      <c r="N528" s="2020">
        <f>FP511</f>
        <v>0</v>
      </c>
      <c r="O528" s="2020">
        <f>FQ511</f>
        <v>0</v>
      </c>
      <c r="P528" s="2020">
        <f t="shared" si="379"/>
        <v>0</v>
      </c>
      <c r="Q528" s="1820" t="s">
        <v>1231</v>
      </c>
      <c r="S528" s="1920"/>
      <c r="T528" s="1920"/>
      <c r="U528" s="1920"/>
      <c r="V528" s="1920"/>
      <c r="W528" s="1920"/>
      <c r="X528" s="253"/>
      <c r="AA528" s="253"/>
      <c r="AB528" s="256"/>
      <c r="AC528" s="253"/>
      <c r="AF528" s="253"/>
      <c r="AG528" s="256"/>
      <c r="AH528" s="253"/>
      <c r="AK528" s="253"/>
      <c r="AL528" s="256"/>
      <c r="AM528" s="253"/>
      <c r="AP528" s="253"/>
      <c r="AQ528" s="256"/>
      <c r="AR528" s="257"/>
      <c r="AS528" s="257"/>
      <c r="AT528" s="257"/>
      <c r="AU528" s="257"/>
      <c r="AV528" s="257"/>
      <c r="AW528" s="257"/>
      <c r="AX528" s="256"/>
      <c r="AY528" s="253"/>
      <c r="BB528" s="257"/>
      <c r="BC528" s="256"/>
      <c r="BD528" s="253"/>
      <c r="LF528" s="1185"/>
      <c r="LK528" s="1185"/>
      <c r="LP528" s="1185"/>
      <c r="LU528" s="1185"/>
      <c r="LV528" s="1185"/>
      <c r="LW528" s="1185"/>
      <c r="LX528" s="1185"/>
      <c r="LY528" s="1185"/>
      <c r="LZ528" s="1185"/>
      <c r="MA528" s="1185"/>
      <c r="MB528" s="1185"/>
      <c r="MC528" s="1185"/>
      <c r="MD528" s="1185"/>
      <c r="ME528" s="1185"/>
      <c r="MF528" s="1185"/>
      <c r="MG528" s="1185"/>
      <c r="MH528" s="1185"/>
      <c r="MI528" s="1185"/>
      <c r="MJ528" s="1185"/>
      <c r="MK528" s="1185"/>
      <c r="ML528" s="1185"/>
      <c r="MM528" s="1185"/>
      <c r="MN528" s="1185"/>
      <c r="MO528" s="1185"/>
      <c r="MP528" s="1185"/>
      <c r="MW528" s="255"/>
      <c r="MX528" s="255"/>
      <c r="NN528" s="255"/>
      <c r="OZ528" s="1296">
        <v>71</v>
      </c>
    </row>
    <row r="529" spans="1:416" ht="15" customHeight="1">
      <c r="A529" s="2019"/>
      <c r="B529" s="2019"/>
      <c r="C529" s="1184" t="s">
        <v>1232</v>
      </c>
      <c r="D529" s="253"/>
      <c r="E529" s="253"/>
      <c r="F529" s="253"/>
      <c r="H529" s="1004"/>
      <c r="I529" s="256"/>
      <c r="K529" s="2026">
        <f>SUM(K527:K528)</f>
        <v>0</v>
      </c>
      <c r="L529" s="2026">
        <f>SUM(L527:L528)</f>
        <v>24</v>
      </c>
      <c r="M529" s="2026">
        <f>SUM(M527:M528)</f>
        <v>48</v>
      </c>
      <c r="N529" s="2026">
        <f>SUM(N527:N528)</f>
        <v>24</v>
      </c>
      <c r="O529" s="2026">
        <f>SUM(O527:O528)</f>
        <v>0</v>
      </c>
      <c r="P529" s="2026">
        <f t="shared" si="379"/>
        <v>96</v>
      </c>
      <c r="S529" s="1920"/>
      <c r="T529" s="1920"/>
      <c r="U529" s="1920"/>
      <c r="V529" s="1920"/>
      <c r="W529" s="1920"/>
      <c r="X529" s="253"/>
      <c r="AA529" s="253"/>
      <c r="AB529" s="256"/>
      <c r="AC529" s="253"/>
      <c r="AF529" s="253"/>
      <c r="AG529" s="256"/>
      <c r="AH529" s="253"/>
      <c r="AK529" s="253"/>
      <c r="AL529" s="256"/>
      <c r="AM529" s="253"/>
      <c r="AP529" s="253"/>
      <c r="AQ529" s="256"/>
      <c r="AR529" s="257"/>
      <c r="AS529" s="257"/>
      <c r="AT529" s="257"/>
      <c r="AU529" s="257"/>
      <c r="AV529" s="257"/>
      <c r="AW529" s="257"/>
      <c r="AY529" s="253"/>
      <c r="BB529" s="257"/>
      <c r="BD529" s="253"/>
      <c r="LF529" s="1185"/>
      <c r="LK529" s="1185"/>
      <c r="LP529" s="1185"/>
      <c r="LU529" s="1185"/>
      <c r="LV529" s="1185"/>
      <c r="LW529" s="1185"/>
      <c r="LX529" s="1185"/>
      <c r="LY529" s="1185"/>
      <c r="LZ529" s="1185"/>
      <c r="MA529" s="1185"/>
      <c r="MB529" s="1185"/>
      <c r="MC529" s="1185"/>
      <c r="MD529" s="1185"/>
      <c r="ME529" s="1185"/>
      <c r="MF529" s="1185"/>
      <c r="MG529" s="1185"/>
      <c r="MH529" s="1185"/>
      <c r="MI529" s="1185"/>
      <c r="MJ529" s="1185"/>
      <c r="MK529" s="1185"/>
      <c r="ML529" s="1185"/>
      <c r="MM529" s="1185"/>
      <c r="MN529" s="1185"/>
      <c r="MO529" s="1185"/>
      <c r="MP529" s="1185"/>
      <c r="MW529" s="255"/>
      <c r="MX529" s="255"/>
      <c r="NN529" s="255"/>
      <c r="OZ529" s="1296">
        <v>72</v>
      </c>
    </row>
    <row r="530" spans="1:416" ht="16.2" customHeight="1">
      <c r="A530" s="2019"/>
      <c r="B530" s="2019"/>
      <c r="C530" s="2027"/>
      <c r="D530" s="2027"/>
      <c r="E530" s="2027"/>
      <c r="F530" s="2027"/>
      <c r="G530" s="2027"/>
      <c r="H530" s="2019"/>
      <c r="I530" s="2027"/>
      <c r="J530" s="2027"/>
      <c r="K530" s="2027"/>
      <c r="L530" s="2027"/>
      <c r="M530" s="2027"/>
      <c r="N530" s="2027"/>
      <c r="O530" s="2027"/>
      <c r="P530" s="2027"/>
      <c r="X530" s="253"/>
      <c r="AA530" s="253"/>
      <c r="AB530" s="256"/>
      <c r="AC530" s="253"/>
      <c r="AF530" s="253"/>
      <c r="AG530" s="256"/>
      <c r="AH530" s="253"/>
      <c r="AK530" s="253"/>
      <c r="AL530" s="256"/>
      <c r="AM530" s="253"/>
      <c r="AP530" s="253"/>
      <c r="AQ530" s="256"/>
      <c r="AR530" s="253"/>
      <c r="AS530" s="253"/>
      <c r="AT530" s="253"/>
      <c r="AU530" s="253"/>
      <c r="AV530" s="253"/>
      <c r="AW530" s="253"/>
      <c r="AY530" s="253"/>
      <c r="BB530" s="253"/>
      <c r="BD530" s="253"/>
      <c r="LF530" s="1185"/>
      <c r="LK530" s="1185"/>
      <c r="LP530" s="1185"/>
      <c r="LU530" s="1185"/>
      <c r="LV530" s="1185"/>
      <c r="LW530" s="1185"/>
      <c r="LX530" s="1185"/>
      <c r="LY530" s="1185"/>
      <c r="LZ530" s="1185"/>
      <c r="MA530" s="1185"/>
      <c r="MB530" s="1185"/>
      <c r="MC530" s="1185"/>
      <c r="MD530" s="1185"/>
      <c r="ME530" s="1185"/>
      <c r="MF530" s="1185"/>
      <c r="MG530" s="1185"/>
      <c r="MH530" s="1185"/>
      <c r="MI530" s="1185"/>
      <c r="MJ530" s="1185"/>
      <c r="MK530" s="1185"/>
      <c r="ML530" s="1185"/>
      <c r="MM530" s="1185"/>
      <c r="MN530" s="1185"/>
      <c r="MO530" s="1185"/>
      <c r="MP530" s="1185"/>
      <c r="MW530" s="255"/>
      <c r="MX530" s="255"/>
      <c r="NN530" s="255"/>
      <c r="OZ530" s="1771">
        <v>73</v>
      </c>
    </row>
    <row r="531" spans="1:416" ht="12" customHeight="1">
      <c r="A531" s="2019"/>
      <c r="B531" s="2019"/>
      <c r="C531" s="2027" t="s">
        <v>1233</v>
      </c>
      <c r="D531" s="2027"/>
      <c r="E531" s="2027"/>
      <c r="F531" s="2027"/>
      <c r="G531" s="2027"/>
      <c r="H531" s="2019"/>
      <c r="I531" s="2027"/>
      <c r="J531" s="2027"/>
      <c r="K531" s="2027"/>
      <c r="L531" s="2027"/>
      <c r="M531" s="2027"/>
      <c r="N531" s="2027"/>
      <c r="O531" s="2027"/>
      <c r="P531" s="2027"/>
      <c r="S531" s="1741" t="str">
        <f>C531</f>
        <v xml:space="preserve">Income Limit Distribution among Bedroom Sizes </v>
      </c>
      <c r="U531" s="1984"/>
      <c r="X531" s="253"/>
      <c r="AA531" s="253"/>
      <c r="AB531" s="256"/>
      <c r="AC531" s="253"/>
      <c r="AF531" s="253"/>
      <c r="AG531" s="256"/>
      <c r="AH531" s="253"/>
      <c r="AK531" s="253"/>
      <c r="AL531" s="256"/>
      <c r="AM531" s="253"/>
      <c r="AP531" s="253"/>
      <c r="AQ531" s="256"/>
      <c r="AR531" s="253"/>
      <c r="AS531" s="253"/>
      <c r="AT531" s="253"/>
      <c r="AU531" s="253"/>
      <c r="AV531" s="253"/>
      <c r="AW531" s="253"/>
      <c r="AY531" s="253"/>
      <c r="BB531" s="253"/>
      <c r="BD531" s="253"/>
      <c r="LF531" s="1185"/>
      <c r="LK531" s="1185"/>
      <c r="LP531" s="1185"/>
      <c r="LU531" s="1185"/>
      <c r="LV531" s="1185"/>
      <c r="LW531" s="1185"/>
      <c r="LX531" s="1185"/>
      <c r="LY531" s="1185"/>
      <c r="LZ531" s="1185"/>
      <c r="MA531" s="1185"/>
      <c r="MB531" s="1185"/>
      <c r="MC531" s="1185"/>
      <c r="MD531" s="1185"/>
      <c r="ME531" s="1185"/>
      <c r="MF531" s="1185"/>
      <c r="MG531" s="1185"/>
      <c r="MH531" s="1185"/>
      <c r="MI531" s="1185"/>
      <c r="MJ531" s="1185"/>
      <c r="MK531" s="1185"/>
      <c r="ML531" s="1185"/>
      <c r="MM531" s="1185"/>
      <c r="MN531" s="1185"/>
      <c r="MO531" s="1185"/>
      <c r="MP531" s="1185"/>
      <c r="MW531" s="255"/>
      <c r="MX531" s="255"/>
      <c r="NN531" s="255"/>
      <c r="OZ531" s="1296">
        <v>74</v>
      </c>
    </row>
    <row r="532" spans="1:416" ht="13.2" customHeight="1">
      <c r="A532" s="2019"/>
      <c r="B532" s="2019"/>
      <c r="C532" s="2027"/>
      <c r="D532" s="2027"/>
      <c r="E532" s="2027"/>
      <c r="F532" s="2027"/>
      <c r="H532" s="1004" t="s">
        <v>1220</v>
      </c>
      <c r="I532" s="256"/>
      <c r="J532" s="2028"/>
      <c r="K532" s="2029" t="str">
        <f t="shared" ref="K532:P532" si="380">IF(OR(K518=0,K529=0),"",K518/K529)</f>
        <v/>
      </c>
      <c r="L532" s="2029" t="str">
        <f t="shared" si="380"/>
        <v/>
      </c>
      <c r="M532" s="2029" t="str">
        <f t="shared" si="380"/>
        <v/>
      </c>
      <c r="N532" s="2029" t="str">
        <f t="shared" si="380"/>
        <v/>
      </c>
      <c r="O532" s="2029" t="str">
        <f t="shared" si="380"/>
        <v/>
      </c>
      <c r="P532" s="2029" t="str">
        <f t="shared" si="380"/>
        <v/>
      </c>
      <c r="Q532" s="1286" t="s">
        <v>1234</v>
      </c>
      <c r="S532" s="1920"/>
      <c r="T532" s="1920"/>
      <c r="U532" s="1920"/>
      <c r="V532" s="1920"/>
      <c r="W532" s="1920"/>
      <c r="OZ532" s="1185">
        <v>75</v>
      </c>
    </row>
    <row r="533" spans="1:416">
      <c r="A533" s="2019"/>
      <c r="B533" s="2019"/>
      <c r="C533" s="253"/>
      <c r="H533" s="1004" t="s">
        <v>7548</v>
      </c>
      <c r="I533" s="256"/>
      <c r="J533" s="253"/>
      <c r="K533" s="2030" t="str">
        <f>IF(OR(K518=0,P532="",K529=0),"",P532*K529)</f>
        <v/>
      </c>
      <c r="L533" s="2030" t="str">
        <f>IF(OR(L518=0,P532="",L529=0),"",P532*L529)</f>
        <v/>
      </c>
      <c r="M533" s="2030" t="str">
        <f>IF(OR(M518=0,P532="",M529=0),"",P532*M529)</f>
        <v/>
      </c>
      <c r="N533" s="2030" t="str">
        <f>IF(OR(N518=0,P532="",N529=0),"",P532*N529)</f>
        <v/>
      </c>
      <c r="O533" s="2030" t="str">
        <f>IF(OR(O518=0,P532="",O529=0),"",P532*O529)</f>
        <v/>
      </c>
      <c r="P533" s="2030" t="str">
        <f>IF(OR(P532="",P529=0),"",P532*P529)</f>
        <v/>
      </c>
      <c r="S533" s="1920"/>
      <c r="T533" s="1920"/>
      <c r="U533" s="1920"/>
      <c r="V533" s="1920"/>
      <c r="W533" s="1920"/>
      <c r="OZ533" s="1296">
        <v>76</v>
      </c>
    </row>
    <row r="534" spans="1:416">
      <c r="A534" s="2019"/>
      <c r="B534" s="2019"/>
      <c r="C534" s="253"/>
      <c r="G534" s="2011"/>
      <c r="H534" s="1004" t="s">
        <v>7549</v>
      </c>
      <c r="I534" s="256"/>
      <c r="J534" s="253"/>
      <c r="K534" s="2030" t="str">
        <f t="shared" ref="K534:P534" si="381">IF(OR(K533="",K518=0),"", K518-K533)</f>
        <v/>
      </c>
      <c r="L534" s="2030" t="str">
        <f t="shared" si="381"/>
        <v/>
      </c>
      <c r="M534" s="2030" t="str">
        <f t="shared" si="381"/>
        <v/>
      </c>
      <c r="N534" s="2030" t="str">
        <f t="shared" si="381"/>
        <v/>
      </c>
      <c r="O534" s="2030" t="str">
        <f t="shared" si="381"/>
        <v/>
      </c>
      <c r="P534" s="2030" t="str">
        <f t="shared" si="381"/>
        <v/>
      </c>
      <c r="S534" s="1920"/>
      <c r="T534" s="1920"/>
      <c r="U534" s="1920"/>
      <c r="V534" s="1920"/>
      <c r="W534" s="1920"/>
      <c r="OZ534" s="1296">
        <v>77</v>
      </c>
    </row>
    <row r="535" spans="1:416" ht="12.75" customHeight="1">
      <c r="A535" s="2019"/>
      <c r="B535" s="2019"/>
      <c r="C535" s="253"/>
      <c r="D535" s="253" t="s">
        <v>7550</v>
      </c>
      <c r="E535" s="253"/>
      <c r="F535" s="253"/>
      <c r="H535" s="1004" t="s">
        <v>1222</v>
      </c>
      <c r="I535" s="256"/>
      <c r="J535" s="253"/>
      <c r="K535" s="2029" t="str">
        <f t="shared" ref="K535:P535" si="382">IF(OR(K519=0,K529=0),"",K519/K529)</f>
        <v/>
      </c>
      <c r="L535" s="2029" t="str">
        <f t="shared" si="382"/>
        <v/>
      </c>
      <c r="M535" s="2029" t="str">
        <f t="shared" si="382"/>
        <v/>
      </c>
      <c r="N535" s="2029" t="str">
        <f t="shared" si="382"/>
        <v/>
      </c>
      <c r="O535" s="2029" t="str">
        <f t="shared" si="382"/>
        <v/>
      </c>
      <c r="P535" s="2029" t="str">
        <f t="shared" si="382"/>
        <v/>
      </c>
      <c r="S535" s="1920"/>
      <c r="T535" s="1920"/>
      <c r="U535" s="1920"/>
      <c r="V535" s="1920"/>
      <c r="W535" s="1920"/>
      <c r="OZ535" s="1185">
        <v>78</v>
      </c>
    </row>
    <row r="536" spans="1:416">
      <c r="C536" s="253"/>
      <c r="D536" s="253"/>
      <c r="E536" s="253"/>
      <c r="F536" s="253"/>
      <c r="H536" s="1004" t="s">
        <v>7548</v>
      </c>
      <c r="I536" s="256"/>
      <c r="J536" s="253"/>
      <c r="K536" s="2030" t="str">
        <f>IF(OR(K519=0,P535="",K529=0),"",P535*K529)</f>
        <v/>
      </c>
      <c r="L536" s="2030" t="str">
        <f>IF(OR(L519=0,P535="",L529=0),"",P535*L529)</f>
        <v/>
      </c>
      <c r="M536" s="2030" t="str">
        <f>IF(OR(M519=0,P535="",M529=0),"",P535*M529)</f>
        <v/>
      </c>
      <c r="N536" s="2030" t="str">
        <f>IF(OR(N519=0,P535="",N529=0),"",P535*N529)</f>
        <v/>
      </c>
      <c r="O536" s="2030" t="str">
        <f>IF(OR(O519=0,P535="",O529=0),"",P535*O529)</f>
        <v/>
      </c>
      <c r="P536" s="2030" t="str">
        <f>IF(OR(P535="",P529=0),"",P535*P529)</f>
        <v/>
      </c>
      <c r="S536" s="1920"/>
      <c r="T536" s="1920"/>
      <c r="U536" s="1920"/>
      <c r="V536" s="1920"/>
      <c r="W536" s="1920"/>
      <c r="OZ536" s="1296">
        <v>79</v>
      </c>
    </row>
    <row r="537" spans="1:416">
      <c r="C537" s="253"/>
      <c r="D537" s="253"/>
      <c r="E537" s="253"/>
      <c r="F537" s="253"/>
      <c r="G537" s="2011"/>
      <c r="H537" s="1004" t="s">
        <v>7549</v>
      </c>
      <c r="I537" s="256"/>
      <c r="J537" s="253"/>
      <c r="K537" s="2030" t="str">
        <f t="shared" ref="K537:P537" si="383">IF(OR(K536="",K519=0),"", K519-K536)</f>
        <v/>
      </c>
      <c r="L537" s="2030" t="str">
        <f t="shared" si="383"/>
        <v/>
      </c>
      <c r="M537" s="2030" t="str">
        <f t="shared" si="383"/>
        <v/>
      </c>
      <c r="N537" s="2030" t="str">
        <f t="shared" si="383"/>
        <v/>
      </c>
      <c r="O537" s="2030" t="str">
        <f t="shared" si="383"/>
        <v/>
      </c>
      <c r="P537" s="2030" t="str">
        <f t="shared" si="383"/>
        <v/>
      </c>
      <c r="S537" s="1920"/>
      <c r="T537" s="1920"/>
      <c r="U537" s="1920"/>
      <c r="V537" s="1920"/>
      <c r="W537" s="1920"/>
      <c r="OZ537" s="1296">
        <v>80</v>
      </c>
    </row>
    <row r="538" spans="1:416">
      <c r="C538" s="255" t="s">
        <v>1238</v>
      </c>
      <c r="D538" s="253"/>
      <c r="E538" s="253"/>
      <c r="F538" s="253"/>
      <c r="H538" s="1004" t="s">
        <v>1223</v>
      </c>
      <c r="I538" s="256"/>
      <c r="J538" s="253"/>
      <c r="K538" s="2029" t="str">
        <f t="shared" ref="K538:P538" si="384">IF(OR(K520=0,K529=0),"",K520/K529)</f>
        <v/>
      </c>
      <c r="L538" s="2029">
        <f t="shared" si="384"/>
        <v>0.79166666666666663</v>
      </c>
      <c r="M538" s="2029">
        <f t="shared" si="384"/>
        <v>0.79166666666666663</v>
      </c>
      <c r="N538" s="2029">
        <f t="shared" si="384"/>
        <v>0.79166666666666663</v>
      </c>
      <c r="O538" s="2029" t="str">
        <f t="shared" si="384"/>
        <v/>
      </c>
      <c r="P538" s="2029">
        <f t="shared" si="384"/>
        <v>0.79166666666666663</v>
      </c>
      <c r="S538" s="1920"/>
      <c r="T538" s="1920"/>
      <c r="U538" s="1920"/>
      <c r="V538" s="1920"/>
      <c r="W538" s="1920"/>
      <c r="OZ538" s="1296">
        <v>81</v>
      </c>
    </row>
    <row r="539" spans="1:416" ht="15.75" customHeight="1">
      <c r="C539" s="255"/>
      <c r="D539" s="253"/>
      <c r="E539" s="253"/>
      <c r="F539" s="253"/>
      <c r="H539" s="1004" t="s">
        <v>7548</v>
      </c>
      <c r="I539" s="256"/>
      <c r="J539" s="253"/>
      <c r="K539" s="2030" t="str">
        <f>IF(OR(K520=0,P538="",K529=0),"",P538*K529)</f>
        <v/>
      </c>
      <c r="L539" s="2030">
        <f>IF(OR(L520=0,P538="",L529=0),"",P538*L529)</f>
        <v>19</v>
      </c>
      <c r="M539" s="2030">
        <f>IF(OR(M520=0,P538="",M529=0),"",P538*M529)</f>
        <v>38</v>
      </c>
      <c r="N539" s="2030">
        <f>IF(OR(N520=0,P538="",N529=0),"",P538*N529)</f>
        <v>19</v>
      </c>
      <c r="O539" s="2030" t="str">
        <f>IF(OR(O520=0,P538="",O529=0),"",P538*O529)</f>
        <v/>
      </c>
      <c r="P539" s="2030">
        <f>IF(OR(P538="",P529=0),"",P538*P529)</f>
        <v>76</v>
      </c>
      <c r="S539" s="1920"/>
      <c r="T539" s="1920"/>
      <c r="U539" s="1920"/>
      <c r="V539" s="1920"/>
      <c r="W539" s="1920"/>
      <c r="OZ539" s="1296">
        <v>82</v>
      </c>
    </row>
    <row r="540" spans="1:416" ht="15.75" customHeight="1">
      <c r="C540" s="255"/>
      <c r="D540" s="253"/>
      <c r="E540" s="253"/>
      <c r="F540" s="253"/>
      <c r="G540" s="2011"/>
      <c r="H540" s="1004" t="s">
        <v>7549</v>
      </c>
      <c r="I540" s="256"/>
      <c r="J540" s="253"/>
      <c r="K540" s="2030" t="str">
        <f t="shared" ref="K540:P540" si="385">IF(OR(K539="",K520=0),"", K520-K539)</f>
        <v/>
      </c>
      <c r="L540" s="2030">
        <f t="shared" si="385"/>
        <v>0</v>
      </c>
      <c r="M540" s="2030">
        <f t="shared" si="385"/>
        <v>0</v>
      </c>
      <c r="N540" s="2030">
        <f t="shared" si="385"/>
        <v>0</v>
      </c>
      <c r="O540" s="2030" t="str">
        <f t="shared" si="385"/>
        <v/>
      </c>
      <c r="P540" s="2030">
        <f t="shared" si="385"/>
        <v>0</v>
      </c>
      <c r="OZ540" s="1296">
        <v>83</v>
      </c>
    </row>
    <row r="541" spans="1:416">
      <c r="C541" s="255" t="s">
        <v>1238</v>
      </c>
      <c r="D541" s="255"/>
      <c r="E541" s="255"/>
      <c r="H541" s="1004" t="s">
        <v>1224</v>
      </c>
      <c r="I541" s="256"/>
      <c r="J541" s="253"/>
      <c r="K541" s="2029" t="str">
        <f t="shared" ref="K541:P541" si="386">IF(OR(K521=0,K529=0),"",K521/K529)</f>
        <v/>
      </c>
      <c r="L541" s="2029">
        <f t="shared" si="386"/>
        <v>0.20833333333333334</v>
      </c>
      <c r="M541" s="2029">
        <f t="shared" si="386"/>
        <v>0.20833333333333334</v>
      </c>
      <c r="N541" s="2029">
        <f t="shared" si="386"/>
        <v>0.20833333333333334</v>
      </c>
      <c r="O541" s="2029" t="str">
        <f t="shared" si="386"/>
        <v/>
      </c>
      <c r="P541" s="2029">
        <f t="shared" si="386"/>
        <v>0.20833333333333334</v>
      </c>
      <c r="OZ541" s="1771">
        <v>84</v>
      </c>
    </row>
    <row r="542" spans="1:416">
      <c r="C542" s="255"/>
      <c r="D542" s="255"/>
      <c r="E542" s="255"/>
      <c r="H542" s="1004" t="s">
        <v>7548</v>
      </c>
      <c r="I542" s="256"/>
      <c r="J542" s="253"/>
      <c r="K542" s="2030" t="str">
        <f>IF(OR(K521=0,P541="",K529=0),"",P541*K529)</f>
        <v/>
      </c>
      <c r="L542" s="2030">
        <f>IF(OR(L521=0,P541="",L529=0),"",P541*L529)</f>
        <v>5</v>
      </c>
      <c r="M542" s="2030">
        <f>IF(OR(M521=0,P541="",M529=0),"",P541*M529)</f>
        <v>10</v>
      </c>
      <c r="N542" s="2030">
        <f>IF(OR(N521=0,P541="",N529=0),"",P541*N529)</f>
        <v>5</v>
      </c>
      <c r="O542" s="2030" t="str">
        <f>IF(OR(O521=0,P541="",O529=0),"",P541*O529)</f>
        <v/>
      </c>
      <c r="P542" s="2030">
        <f>IF(OR(P541="",P529=0),"",P541*P529)</f>
        <v>20</v>
      </c>
      <c r="OZ542" s="1296">
        <v>85</v>
      </c>
    </row>
    <row r="543" spans="1:416">
      <c r="C543" s="255"/>
      <c r="D543" s="255"/>
      <c r="E543" s="255"/>
      <c r="G543" s="2011"/>
      <c r="H543" s="1004" t="s">
        <v>7549</v>
      </c>
      <c r="I543" s="256"/>
      <c r="J543" s="253"/>
      <c r="K543" s="2030" t="str">
        <f t="shared" ref="K543:P543" si="387">IF(OR(K542="",K521=0),"", K521-K542)</f>
        <v/>
      </c>
      <c r="L543" s="2030">
        <f t="shared" si="387"/>
        <v>0</v>
      </c>
      <c r="M543" s="2030">
        <f t="shared" si="387"/>
        <v>0</v>
      </c>
      <c r="N543" s="2030">
        <f t="shared" si="387"/>
        <v>0</v>
      </c>
      <c r="O543" s="2030" t="str">
        <f t="shared" si="387"/>
        <v/>
      </c>
      <c r="P543" s="2030">
        <f t="shared" si="387"/>
        <v>0</v>
      </c>
      <c r="OZ543" s="1185">
        <v>86</v>
      </c>
    </row>
    <row r="544" spans="1:416">
      <c r="C544" s="255" t="s">
        <v>1238</v>
      </c>
      <c r="D544" s="255"/>
      <c r="E544" s="255"/>
      <c r="H544" s="1004" t="s">
        <v>1225</v>
      </c>
      <c r="I544" s="256"/>
      <c r="J544" s="253"/>
      <c r="K544" s="2029" t="str">
        <f t="shared" ref="K544:P544" si="388">IF(OR(K522=0,K529=0),"",K522/K529)</f>
        <v/>
      </c>
      <c r="L544" s="2029" t="str">
        <f t="shared" si="388"/>
        <v/>
      </c>
      <c r="M544" s="2029" t="str">
        <f t="shared" si="388"/>
        <v/>
      </c>
      <c r="N544" s="2029" t="str">
        <f t="shared" si="388"/>
        <v/>
      </c>
      <c r="O544" s="2029" t="str">
        <f t="shared" si="388"/>
        <v/>
      </c>
      <c r="P544" s="2029" t="str">
        <f t="shared" si="388"/>
        <v/>
      </c>
      <c r="OZ544" s="1296">
        <v>87</v>
      </c>
    </row>
    <row r="545" spans="1:416">
      <c r="C545" s="255"/>
      <c r="H545" s="1004" t="s">
        <v>7548</v>
      </c>
      <c r="I545" s="256"/>
      <c r="J545" s="253"/>
      <c r="K545" s="2030" t="str">
        <f>IF(OR(K522=0,P544="",K529=0),"",P544*K529)</f>
        <v/>
      </c>
      <c r="L545" s="2030" t="str">
        <f>IF(OR(L522=0,P544="",L529=0),"",P544*L529)</f>
        <v/>
      </c>
      <c r="M545" s="2030" t="str">
        <f>IF(OR(M522=0,P544="",M529=0),"",P544*M529)</f>
        <v/>
      </c>
      <c r="N545" s="2030" t="str">
        <f>IF(OR(N522=0,P544="",N529=0),"",P544*N529)</f>
        <v/>
      </c>
      <c r="O545" s="2030" t="str">
        <f>IF(OR(O522=0,P544="",O529=0),"",P544*O529)</f>
        <v/>
      </c>
      <c r="P545" s="2030" t="str">
        <f>IF(OR(P544="",P529=0),"",P544*P529)</f>
        <v/>
      </c>
      <c r="OZ545" s="1296">
        <v>88</v>
      </c>
    </row>
    <row r="546" spans="1:416">
      <c r="C546" s="255"/>
      <c r="G546" s="2011"/>
      <c r="H546" s="1004" t="s">
        <v>7549</v>
      </c>
      <c r="I546" s="256"/>
      <c r="J546" s="253"/>
      <c r="K546" s="2030" t="str">
        <f t="shared" ref="K546:P546" si="389">IF(OR(K545="",K522=0),"", K522-K545)</f>
        <v/>
      </c>
      <c r="L546" s="2030" t="str">
        <f t="shared" si="389"/>
        <v/>
      </c>
      <c r="M546" s="2030" t="str">
        <f t="shared" si="389"/>
        <v/>
      </c>
      <c r="N546" s="2030" t="str">
        <f t="shared" si="389"/>
        <v/>
      </c>
      <c r="O546" s="2030" t="str">
        <f t="shared" si="389"/>
        <v/>
      </c>
      <c r="P546" s="2030" t="str">
        <f t="shared" si="389"/>
        <v/>
      </c>
      <c r="OZ546" s="1185">
        <v>89</v>
      </c>
    </row>
    <row r="547" spans="1:416">
      <c r="C547" s="255" t="s">
        <v>1238</v>
      </c>
      <c r="H547" s="1004" t="s">
        <v>1226</v>
      </c>
      <c r="I547" s="256"/>
      <c r="J547" s="253"/>
      <c r="K547" s="2029" t="str">
        <f t="shared" ref="K547:P547" si="390">IF(OR(K523=0,K529=0),"",K523/K529)</f>
        <v/>
      </c>
      <c r="L547" s="2029" t="str">
        <f t="shared" si="390"/>
        <v/>
      </c>
      <c r="M547" s="2029" t="str">
        <f t="shared" si="390"/>
        <v/>
      </c>
      <c r="N547" s="2029" t="str">
        <f t="shared" si="390"/>
        <v/>
      </c>
      <c r="O547" s="2029" t="str">
        <f t="shared" si="390"/>
        <v/>
      </c>
      <c r="P547" s="2029" t="str">
        <f t="shared" si="390"/>
        <v/>
      </c>
      <c r="OZ547" s="1296">
        <v>90</v>
      </c>
    </row>
    <row r="548" spans="1:416">
      <c r="C548" s="255"/>
      <c r="H548" s="1004" t="s">
        <v>7548</v>
      </c>
      <c r="I548" s="256"/>
      <c r="J548" s="253"/>
      <c r="K548" s="2030" t="str">
        <f>IF(OR(K523=0,P547="",K529=0),"",P547*K529)</f>
        <v/>
      </c>
      <c r="L548" s="2030" t="str">
        <f>IF(OR(L523=0,P547="",L529=0),"",P547*L529)</f>
        <v/>
      </c>
      <c r="M548" s="2030" t="str">
        <f>IF(OR(M523=0,P547="",M529=0),"",P547*M529)</f>
        <v/>
      </c>
      <c r="N548" s="2030" t="str">
        <f>IF(OR(N523=0,P547="",N529=0),"",P547*N529)</f>
        <v/>
      </c>
      <c r="O548" s="2030" t="str">
        <f>IF(OR(O523=0,P547="",O529=0),"",P547*O529)</f>
        <v/>
      </c>
      <c r="P548" s="2030" t="str">
        <f>IF(OR(P547="",P529=0),"",P547*P529)</f>
        <v/>
      </c>
      <c r="OZ548" s="1296">
        <v>91</v>
      </c>
    </row>
    <row r="549" spans="1:416">
      <c r="C549" s="255"/>
      <c r="G549" s="2011"/>
      <c r="H549" s="1004" t="s">
        <v>7549</v>
      </c>
      <c r="I549" s="256"/>
      <c r="J549" s="253"/>
      <c r="K549" s="2030" t="str">
        <f t="shared" ref="K549:P549" si="391">IF(OR(K548="",K523=0),"", K523-K548)</f>
        <v/>
      </c>
      <c r="L549" s="2030" t="str">
        <f t="shared" si="391"/>
        <v/>
      </c>
      <c r="M549" s="2030" t="str">
        <f t="shared" si="391"/>
        <v/>
      </c>
      <c r="N549" s="2030" t="str">
        <f t="shared" si="391"/>
        <v/>
      </c>
      <c r="O549" s="2030" t="str">
        <f t="shared" si="391"/>
        <v/>
      </c>
      <c r="P549" s="2030" t="str">
        <f t="shared" si="391"/>
        <v/>
      </c>
      <c r="OZ549" s="1296">
        <v>92</v>
      </c>
    </row>
    <row r="550" spans="1:416">
      <c r="C550" s="255" t="s">
        <v>1238</v>
      </c>
      <c r="H550" s="1004" t="s">
        <v>1227</v>
      </c>
      <c r="I550" s="256"/>
      <c r="J550" s="253"/>
      <c r="K550" s="2029" t="str">
        <f t="shared" ref="K550:P550" si="392">IF(OR(K524=0,K529=0),"",K524/K529)</f>
        <v/>
      </c>
      <c r="L550" s="2029" t="str">
        <f t="shared" si="392"/>
        <v/>
      </c>
      <c r="M550" s="2029" t="str">
        <f t="shared" si="392"/>
        <v/>
      </c>
      <c r="N550" s="2029" t="str">
        <f t="shared" si="392"/>
        <v/>
      </c>
      <c r="O550" s="2029" t="str">
        <f t="shared" si="392"/>
        <v/>
      </c>
      <c r="P550" s="2029" t="str">
        <f t="shared" si="392"/>
        <v/>
      </c>
      <c r="OZ550" s="1296">
        <v>93</v>
      </c>
    </row>
    <row r="551" spans="1:416">
      <c r="C551" s="255"/>
      <c r="D551" s="255"/>
      <c r="E551" s="255"/>
      <c r="H551" s="1004" t="s">
        <v>7548</v>
      </c>
      <c r="I551" s="256"/>
      <c r="J551" s="253"/>
      <c r="K551" s="2030" t="str">
        <f>IF(OR(K524=0,P550="",K529=0),"",P550*K529)</f>
        <v/>
      </c>
      <c r="L551" s="2030" t="str">
        <f>IF(OR(L524=0,P550="",L529=0),"",P550*L529)</f>
        <v/>
      </c>
      <c r="M551" s="2030" t="str">
        <f>IF(OR(M524=0,P550="",M529=0),"",P550*M529)</f>
        <v/>
      </c>
      <c r="N551" s="2030" t="str">
        <f>IF(OR(N524=0,P550="",N529=0),"",P550*N529)</f>
        <v/>
      </c>
      <c r="O551" s="2030" t="str">
        <f>IF(OR(O524=0,P550="",O529=0),"",P550*O529)</f>
        <v/>
      </c>
      <c r="P551" s="2030" t="str">
        <f>IF(OR(P550="",P529=0),"",P550*P529)</f>
        <v/>
      </c>
      <c r="OZ551" s="1296">
        <v>94</v>
      </c>
    </row>
    <row r="552" spans="1:416">
      <c r="C552" s="255"/>
      <c r="D552" s="255"/>
      <c r="E552" s="255"/>
      <c r="G552" s="2011"/>
      <c r="H552" s="1004" t="s">
        <v>7549</v>
      </c>
      <c r="I552" s="256"/>
      <c r="J552" s="253"/>
      <c r="K552" s="2030" t="str">
        <f t="shared" ref="K552:P552" si="393">IF(OR(K551="",K524=0),"", K524-K551)</f>
        <v/>
      </c>
      <c r="L552" s="2030" t="str">
        <f t="shared" si="393"/>
        <v/>
      </c>
      <c r="M552" s="2030" t="str">
        <f t="shared" si="393"/>
        <v/>
      </c>
      <c r="N552" s="2030" t="str">
        <f t="shared" si="393"/>
        <v/>
      </c>
      <c r="O552" s="2030" t="str">
        <f t="shared" si="393"/>
        <v/>
      </c>
      <c r="P552" s="2030" t="str">
        <f t="shared" si="393"/>
        <v/>
      </c>
      <c r="OZ552" s="1771">
        <v>95</v>
      </c>
    </row>
    <row r="553" spans="1:416" ht="12" customHeight="1">
      <c r="A553" s="2019"/>
      <c r="B553" s="2019"/>
      <c r="C553" s="253"/>
      <c r="D553" s="253"/>
      <c r="E553" s="253"/>
      <c r="F553" s="253"/>
      <c r="H553" s="1004"/>
      <c r="I553" s="256"/>
      <c r="K553" s="2031"/>
      <c r="L553" s="2031"/>
      <c r="M553" s="2031"/>
      <c r="N553" s="2031"/>
      <c r="O553" s="2031"/>
      <c r="P553" s="2031"/>
      <c r="U553" s="1984"/>
      <c r="X553" s="253"/>
      <c r="AA553" s="253"/>
      <c r="AB553" s="256"/>
      <c r="AC553" s="253"/>
      <c r="AF553" s="253"/>
      <c r="AG553" s="256"/>
      <c r="AH553" s="253"/>
      <c r="AK553" s="253"/>
      <c r="AL553" s="256"/>
      <c r="AM553" s="253"/>
      <c r="AP553" s="253"/>
      <c r="AQ553" s="256"/>
      <c r="AR553" s="253"/>
      <c r="AS553" s="253"/>
      <c r="AT553" s="253"/>
      <c r="AU553" s="253"/>
      <c r="AV553" s="253"/>
      <c r="AW553" s="253"/>
      <c r="AY553" s="253"/>
      <c r="BB553" s="253"/>
      <c r="BD553" s="253"/>
      <c r="LF553" s="1185"/>
      <c r="LK553" s="1185"/>
      <c r="LP553" s="1185"/>
      <c r="LU553" s="1185"/>
      <c r="LV553" s="1185"/>
      <c r="LW553" s="1185"/>
      <c r="LX553" s="1185"/>
      <c r="LY553" s="1185"/>
      <c r="LZ553" s="1185"/>
      <c r="MA553" s="1185"/>
      <c r="MB553" s="1185"/>
      <c r="MC553" s="1185"/>
      <c r="MD553" s="1185"/>
      <c r="ME553" s="1185"/>
      <c r="MF553" s="1185"/>
      <c r="MG553" s="1185"/>
      <c r="MH553" s="1185"/>
      <c r="MI553" s="1185"/>
      <c r="MJ553" s="1185"/>
      <c r="MK553" s="1185"/>
      <c r="ML553" s="1185"/>
      <c r="MM553" s="1185"/>
      <c r="MN553" s="1185"/>
      <c r="MO553" s="1185"/>
      <c r="MP553" s="1185"/>
      <c r="MW553" s="255"/>
      <c r="MX553" s="255"/>
      <c r="NN553" s="255"/>
      <c r="OZ553" s="1296">
        <v>96</v>
      </c>
    </row>
    <row r="554" spans="1:416" ht="9" customHeight="1">
      <c r="A554" s="2019"/>
      <c r="B554" s="2019"/>
      <c r="C554" s="253"/>
      <c r="D554" s="253"/>
      <c r="E554" s="253"/>
      <c r="F554" s="253"/>
      <c r="H554" s="1004"/>
      <c r="I554" s="256"/>
      <c r="K554" s="2031"/>
      <c r="L554" s="2031"/>
      <c r="M554" s="2031"/>
      <c r="N554" s="2031"/>
      <c r="O554" s="2031"/>
      <c r="P554" s="2031"/>
      <c r="S554" s="1741" t="str">
        <f>C555</f>
        <v>PBRA-Assisted</v>
      </c>
      <c r="U554" s="1984"/>
      <c r="X554" s="253"/>
      <c r="AA554" s="253"/>
      <c r="AB554" s="256"/>
      <c r="AC554" s="253"/>
      <c r="AF554" s="253"/>
      <c r="AG554" s="256"/>
      <c r="AH554" s="253"/>
      <c r="AK554" s="253"/>
      <c r="AL554" s="256"/>
      <c r="AM554" s="253"/>
      <c r="AP554" s="253"/>
      <c r="AQ554" s="256"/>
      <c r="AR554" s="253"/>
      <c r="AS554" s="253"/>
      <c r="AT554" s="253"/>
      <c r="AU554" s="253"/>
      <c r="AV554" s="253"/>
      <c r="AW554" s="253"/>
      <c r="AY554" s="253"/>
      <c r="BB554" s="253"/>
      <c r="BD554" s="253"/>
      <c r="LF554" s="1185"/>
      <c r="LK554" s="1185"/>
      <c r="LP554" s="1185"/>
      <c r="LU554" s="1185"/>
      <c r="LV554" s="1185"/>
      <c r="LW554" s="1185"/>
      <c r="LX554" s="1185"/>
      <c r="LY554" s="1185"/>
      <c r="LZ554" s="1185"/>
      <c r="MA554" s="1185"/>
      <c r="MB554" s="1185"/>
      <c r="MC554" s="1185"/>
      <c r="MD554" s="1185"/>
      <c r="ME554" s="1185"/>
      <c r="MF554" s="1185"/>
      <c r="MG554" s="1185"/>
      <c r="MH554" s="1185"/>
      <c r="MI554" s="1185"/>
      <c r="MJ554" s="1185"/>
      <c r="MK554" s="1185"/>
      <c r="ML554" s="1185"/>
      <c r="MM554" s="1185"/>
      <c r="MN554" s="1185"/>
      <c r="MO554" s="1185"/>
      <c r="MP554" s="1185"/>
      <c r="MW554" s="255"/>
      <c r="MX554" s="255"/>
      <c r="NN554" s="255"/>
      <c r="OZ554" s="1185">
        <v>97</v>
      </c>
    </row>
    <row r="555" spans="1:416" ht="15" customHeight="1">
      <c r="A555" s="2019"/>
      <c r="B555" s="2019"/>
      <c r="C555" s="253" t="s">
        <v>1239</v>
      </c>
      <c r="D555" s="253"/>
      <c r="E555" s="1004"/>
      <c r="F555" s="253"/>
      <c r="H555" s="1004" t="s">
        <v>1220</v>
      </c>
      <c r="I555" s="256"/>
      <c r="K555" s="2032">
        <f>CP511</f>
        <v>0</v>
      </c>
      <c r="L555" s="2032">
        <f>CQ511</f>
        <v>0</v>
      </c>
      <c r="M555" s="2032">
        <f>CR511</f>
        <v>0</v>
      </c>
      <c r="N555" s="2032">
        <f>CS511</f>
        <v>0</v>
      </c>
      <c r="O555" s="2032">
        <f>CT511</f>
        <v>0</v>
      </c>
      <c r="P555" s="2020">
        <f t="shared" ref="P555:P562" si="394">SUM(K555:O555)</f>
        <v>0</v>
      </c>
      <c r="S555" s="1920"/>
      <c r="T555" s="1920"/>
      <c r="U555" s="1920"/>
      <c r="V555" s="1920"/>
      <c r="W555" s="1920"/>
      <c r="X555" s="253"/>
      <c r="AA555" s="253"/>
      <c r="AB555" s="256"/>
      <c r="AC555" s="253"/>
      <c r="AF555" s="253"/>
      <c r="AG555" s="256"/>
      <c r="AH555" s="253"/>
      <c r="AK555" s="253"/>
      <c r="AL555" s="256"/>
      <c r="AM555" s="253"/>
      <c r="AP555" s="253"/>
      <c r="AQ555" s="256"/>
      <c r="AR555" s="257"/>
      <c r="AS555" s="257"/>
      <c r="AT555" s="257"/>
      <c r="AU555" s="257"/>
      <c r="AV555" s="257"/>
      <c r="AW555" s="257"/>
      <c r="AX555" s="256"/>
      <c r="AY555" s="253"/>
      <c r="BB555" s="257"/>
      <c r="BC555" s="256"/>
      <c r="BD555" s="253"/>
      <c r="LF555" s="1185"/>
      <c r="LK555" s="1185"/>
      <c r="LP555" s="1185"/>
      <c r="LU555" s="1185"/>
      <c r="LV555" s="1185"/>
      <c r="LW555" s="1185"/>
      <c r="LX555" s="1185"/>
      <c r="LY555" s="1185"/>
      <c r="LZ555" s="1185"/>
      <c r="MA555" s="1185"/>
      <c r="MB555" s="1185"/>
      <c r="MC555" s="1185"/>
      <c r="MD555" s="1185"/>
      <c r="ME555" s="1185"/>
      <c r="MF555" s="1185"/>
      <c r="MG555" s="1185"/>
      <c r="MH555" s="1185"/>
      <c r="MI555" s="1185"/>
      <c r="MJ555" s="1185"/>
      <c r="MK555" s="1185"/>
      <c r="ML555" s="1185"/>
      <c r="MM555" s="1185"/>
      <c r="MN555" s="1185"/>
      <c r="MO555" s="1185"/>
      <c r="MP555" s="1185"/>
      <c r="MW555" s="255"/>
      <c r="MX555" s="255"/>
      <c r="NN555" s="255"/>
      <c r="OZ555" s="1296">
        <v>98</v>
      </c>
    </row>
    <row r="556" spans="1:416" ht="15" customHeight="1">
      <c r="A556" s="2019"/>
      <c r="B556" s="2019"/>
      <c r="C556" s="256" t="s">
        <v>1240</v>
      </c>
      <c r="D556" s="253"/>
      <c r="E556" s="1004"/>
      <c r="F556" s="253"/>
      <c r="H556" s="1004" t="s">
        <v>1222</v>
      </c>
      <c r="I556" s="256"/>
      <c r="K556" s="2020">
        <f>CK511</f>
        <v>0</v>
      </c>
      <c r="L556" s="2020">
        <f>CL511</f>
        <v>0</v>
      </c>
      <c r="M556" s="2020">
        <f>CM511</f>
        <v>0</v>
      </c>
      <c r="N556" s="2020">
        <f>CN511</f>
        <v>0</v>
      </c>
      <c r="O556" s="2020">
        <f>CO511</f>
        <v>0</v>
      </c>
      <c r="P556" s="2020">
        <f t="shared" si="394"/>
        <v>0</v>
      </c>
      <c r="S556" s="1920"/>
      <c r="T556" s="1920"/>
      <c r="U556" s="1920"/>
      <c r="V556" s="1920"/>
      <c r="W556" s="1920"/>
      <c r="X556" s="253"/>
      <c r="AA556" s="253"/>
      <c r="AB556" s="256"/>
      <c r="AC556" s="253"/>
      <c r="AF556" s="253"/>
      <c r="AG556" s="256"/>
      <c r="AH556" s="253"/>
      <c r="AK556" s="253"/>
      <c r="AL556" s="256"/>
      <c r="AM556" s="253"/>
      <c r="AP556" s="253"/>
      <c r="AQ556" s="256"/>
      <c r="AR556" s="257"/>
      <c r="AS556" s="257"/>
      <c r="AT556" s="257"/>
      <c r="AU556" s="257"/>
      <c r="AV556" s="257"/>
      <c r="AW556" s="257"/>
      <c r="AX556" s="256"/>
      <c r="AY556" s="253"/>
      <c r="BB556" s="257"/>
      <c r="BC556" s="256"/>
      <c r="BD556" s="253"/>
      <c r="LF556" s="1185"/>
      <c r="LK556" s="1185"/>
      <c r="LP556" s="1185"/>
      <c r="LU556" s="1185"/>
      <c r="LV556" s="1185"/>
      <c r="LW556" s="1185"/>
      <c r="LX556" s="1185"/>
      <c r="LY556" s="1185"/>
      <c r="LZ556" s="1185"/>
      <c r="MA556" s="1185"/>
      <c r="MB556" s="1185"/>
      <c r="MC556" s="1185"/>
      <c r="MD556" s="1185"/>
      <c r="ME556" s="1185"/>
      <c r="MF556" s="1185"/>
      <c r="MG556" s="1185"/>
      <c r="MH556" s="1185"/>
      <c r="MI556" s="1185"/>
      <c r="MJ556" s="1185"/>
      <c r="MK556" s="1185"/>
      <c r="ML556" s="1185"/>
      <c r="MM556" s="1185"/>
      <c r="MN556" s="1185"/>
      <c r="MO556" s="1185"/>
      <c r="MP556" s="1185"/>
      <c r="MW556" s="255"/>
      <c r="MX556" s="255"/>
      <c r="NN556" s="255"/>
      <c r="OZ556" s="1296">
        <v>99</v>
      </c>
    </row>
    <row r="557" spans="1:416" ht="14.55" customHeight="1">
      <c r="A557" s="2019"/>
      <c r="B557" s="2019"/>
      <c r="C557" s="253"/>
      <c r="D557" s="253"/>
      <c r="E557" s="1004"/>
      <c r="F557" s="253"/>
      <c r="H557" s="1004" t="s">
        <v>1223</v>
      </c>
      <c r="I557" s="256"/>
      <c r="K557" s="2020">
        <f>CF511</f>
        <v>0</v>
      </c>
      <c r="L557" s="2020">
        <f>CG511</f>
        <v>0</v>
      </c>
      <c r="M557" s="2020">
        <f>CH511</f>
        <v>0</v>
      </c>
      <c r="N557" s="2020">
        <f>CI511</f>
        <v>0</v>
      </c>
      <c r="O557" s="2020">
        <f>CJ511</f>
        <v>0</v>
      </c>
      <c r="P557" s="2020">
        <f t="shared" si="394"/>
        <v>0</v>
      </c>
      <c r="S557" s="1920"/>
      <c r="T557" s="1920"/>
      <c r="U557" s="1920"/>
      <c r="V557" s="1920"/>
      <c r="W557" s="1920"/>
      <c r="X557" s="253"/>
      <c r="AA557" s="253"/>
      <c r="AB557" s="256"/>
      <c r="AC557" s="253"/>
      <c r="AF557" s="253"/>
      <c r="AG557" s="256"/>
      <c r="AH557" s="253"/>
      <c r="AK557" s="253"/>
      <c r="AL557" s="256"/>
      <c r="AM557" s="253"/>
      <c r="AP557" s="253"/>
      <c r="AQ557" s="256"/>
      <c r="AR557" s="257"/>
      <c r="AS557" s="257"/>
      <c r="AT557" s="257"/>
      <c r="AU557" s="257"/>
      <c r="AV557" s="257"/>
      <c r="AW557" s="257"/>
      <c r="AX557" s="256"/>
      <c r="AY557" s="253"/>
      <c r="BB557" s="257"/>
      <c r="BC557" s="256"/>
      <c r="BD557" s="253"/>
      <c r="LF557" s="1185"/>
      <c r="LK557" s="1185"/>
      <c r="LP557" s="1185"/>
      <c r="LU557" s="1185"/>
      <c r="LV557" s="1185"/>
      <c r="LW557" s="1185"/>
      <c r="LX557" s="1185"/>
      <c r="LY557" s="1185"/>
      <c r="LZ557" s="1185"/>
      <c r="MA557" s="1185"/>
      <c r="MB557" s="1185"/>
      <c r="MC557" s="1185"/>
      <c r="MD557" s="1185"/>
      <c r="ME557" s="1185"/>
      <c r="MF557" s="1185"/>
      <c r="MG557" s="1185"/>
      <c r="MH557" s="1185"/>
      <c r="MI557" s="1185"/>
      <c r="MJ557" s="1185"/>
      <c r="MK557" s="1185"/>
      <c r="ML557" s="1185"/>
      <c r="MM557" s="1185"/>
      <c r="MN557" s="1185"/>
      <c r="MO557" s="1185"/>
      <c r="MP557" s="1185"/>
      <c r="MW557" s="255"/>
      <c r="MX557" s="255"/>
      <c r="NN557" s="255"/>
      <c r="OZ557" s="1185">
        <v>100</v>
      </c>
    </row>
    <row r="558" spans="1:416" ht="15" customHeight="1">
      <c r="A558" s="2019"/>
      <c r="B558" s="2019"/>
      <c r="C558" s="253"/>
      <c r="D558" s="253"/>
      <c r="E558" s="1004"/>
      <c r="F558" s="253"/>
      <c r="H558" s="1004" t="s">
        <v>1224</v>
      </c>
      <c r="I558" s="256"/>
      <c r="K558" s="2020">
        <f>CA511</f>
        <v>0</v>
      </c>
      <c r="L558" s="2020">
        <f>CB511</f>
        <v>0</v>
      </c>
      <c r="M558" s="2020">
        <f>CC511</f>
        <v>0</v>
      </c>
      <c r="N558" s="2020">
        <f>CD511</f>
        <v>0</v>
      </c>
      <c r="O558" s="2020">
        <f>CE511</f>
        <v>0</v>
      </c>
      <c r="P558" s="2020">
        <f t="shared" si="394"/>
        <v>0</v>
      </c>
      <c r="S558" s="1920"/>
      <c r="T558" s="1920"/>
      <c r="U558" s="1920"/>
      <c r="V558" s="1920"/>
      <c r="W558" s="1920"/>
      <c r="X558" s="253"/>
      <c r="AA558" s="253"/>
      <c r="AB558" s="256"/>
      <c r="AC558" s="253"/>
      <c r="AF558" s="253"/>
      <c r="AG558" s="256"/>
      <c r="AH558" s="253"/>
      <c r="AK558" s="253"/>
      <c r="AL558" s="256"/>
      <c r="AM558" s="253"/>
      <c r="AP558" s="253"/>
      <c r="AQ558" s="256"/>
      <c r="AR558" s="257"/>
      <c r="AS558" s="257"/>
      <c r="AT558" s="257"/>
      <c r="AU558" s="257"/>
      <c r="AV558" s="257"/>
      <c r="AW558" s="257"/>
      <c r="AX558" s="256"/>
      <c r="AY558" s="253"/>
      <c r="BB558" s="257"/>
      <c r="BC558" s="256"/>
      <c r="BD558" s="253"/>
      <c r="LF558" s="1185"/>
      <c r="LK558" s="1185"/>
      <c r="LP558" s="1185"/>
      <c r="LU558" s="1185"/>
      <c r="LV558" s="1185"/>
      <c r="LW558" s="1185"/>
      <c r="LX558" s="1185"/>
      <c r="LY558" s="1185"/>
      <c r="LZ558" s="1185"/>
      <c r="MA558" s="1185"/>
      <c r="MB558" s="1185"/>
      <c r="MC558" s="1185"/>
      <c r="MD558" s="1185"/>
      <c r="ME558" s="1185"/>
      <c r="MF558" s="1185"/>
      <c r="MG558" s="1185"/>
      <c r="MH558" s="1185"/>
      <c r="MI558" s="1185"/>
      <c r="MJ558" s="1185"/>
      <c r="MK558" s="1185"/>
      <c r="ML558" s="1185"/>
      <c r="MM558" s="1185"/>
      <c r="MN558" s="1185"/>
      <c r="MO558" s="1185"/>
      <c r="MP558" s="1185"/>
      <c r="MW558" s="255"/>
      <c r="MX558" s="255"/>
      <c r="NN558" s="255"/>
      <c r="OZ558" s="1296">
        <v>101</v>
      </c>
    </row>
    <row r="559" spans="1:416" ht="15" customHeight="1">
      <c r="A559" s="2019"/>
      <c r="B559" s="2019"/>
      <c r="C559" s="253"/>
      <c r="D559" s="253"/>
      <c r="E559" s="1004"/>
      <c r="F559" s="253"/>
      <c r="H559" s="1004" t="s">
        <v>1225</v>
      </c>
      <c r="I559" s="256"/>
      <c r="K559" s="2020">
        <f>BV511</f>
        <v>0</v>
      </c>
      <c r="L559" s="2020">
        <f>BW511</f>
        <v>0</v>
      </c>
      <c r="M559" s="2020">
        <f>BX511</f>
        <v>0</v>
      </c>
      <c r="N559" s="2020">
        <f>BY511</f>
        <v>0</v>
      </c>
      <c r="O559" s="2020">
        <f>BZ511</f>
        <v>0</v>
      </c>
      <c r="P559" s="2020">
        <f t="shared" si="394"/>
        <v>0</v>
      </c>
      <c r="S559" s="1920"/>
      <c r="T559" s="1920"/>
      <c r="U559" s="1920"/>
      <c r="V559" s="1920"/>
      <c r="W559" s="1920"/>
      <c r="X559" s="253"/>
      <c r="AA559" s="253"/>
      <c r="AB559" s="256"/>
      <c r="AC559" s="253"/>
      <c r="AF559" s="253"/>
      <c r="AG559" s="256"/>
      <c r="AH559" s="253"/>
      <c r="AK559" s="253"/>
      <c r="AL559" s="256"/>
      <c r="AM559" s="253"/>
      <c r="AP559" s="253"/>
      <c r="AQ559" s="256"/>
      <c r="AR559" s="257"/>
      <c r="AS559" s="257"/>
      <c r="AT559" s="257"/>
      <c r="AU559" s="257"/>
      <c r="AV559" s="257"/>
      <c r="AW559" s="257"/>
      <c r="AX559" s="256"/>
      <c r="AY559" s="253"/>
      <c r="BB559" s="257"/>
      <c r="BC559" s="256"/>
      <c r="BD559" s="253"/>
      <c r="LF559" s="1185"/>
      <c r="LK559" s="1185"/>
      <c r="LP559" s="1185"/>
      <c r="LU559" s="1185"/>
      <c r="LV559" s="1185"/>
      <c r="LW559" s="1185"/>
      <c r="LX559" s="1185"/>
      <c r="LY559" s="1185"/>
      <c r="LZ559" s="1185"/>
      <c r="MA559" s="1185"/>
      <c r="MB559" s="1185"/>
      <c r="MC559" s="1185"/>
      <c r="MD559" s="1185"/>
      <c r="ME559" s="1185"/>
      <c r="MF559" s="1185"/>
      <c r="MG559" s="1185"/>
      <c r="MH559" s="1185"/>
      <c r="MI559" s="1185"/>
      <c r="MJ559" s="1185"/>
      <c r="MK559" s="1185"/>
      <c r="ML559" s="1185"/>
      <c r="MM559" s="1185"/>
      <c r="MN559" s="1185"/>
      <c r="MO559" s="1185"/>
      <c r="MP559" s="1185"/>
      <c r="MW559" s="255"/>
      <c r="MX559" s="255"/>
      <c r="NN559" s="255"/>
      <c r="OZ559" s="1296">
        <v>102</v>
      </c>
    </row>
    <row r="560" spans="1:416" ht="15" customHeight="1">
      <c r="A560" s="1097"/>
      <c r="B560" s="1097"/>
      <c r="C560" s="253"/>
      <c r="D560" s="253"/>
      <c r="E560" s="1004"/>
      <c r="F560" s="253"/>
      <c r="H560" s="1004" t="s">
        <v>1226</v>
      </c>
      <c r="I560" s="256"/>
      <c r="K560" s="2020">
        <f>BQ511</f>
        <v>0</v>
      </c>
      <c r="L560" s="2020">
        <f>BR511</f>
        <v>0</v>
      </c>
      <c r="M560" s="2020">
        <f>BS511</f>
        <v>0</v>
      </c>
      <c r="N560" s="2020">
        <f>BT511</f>
        <v>0</v>
      </c>
      <c r="O560" s="2020">
        <f>BU511</f>
        <v>0</v>
      </c>
      <c r="P560" s="2020">
        <f t="shared" si="394"/>
        <v>0</v>
      </c>
      <c r="S560" s="1920"/>
      <c r="T560" s="1920"/>
      <c r="U560" s="1920"/>
      <c r="V560" s="1920"/>
      <c r="W560" s="1920"/>
      <c r="X560" s="253"/>
      <c r="AA560" s="253"/>
      <c r="AB560" s="256"/>
      <c r="AC560" s="253"/>
      <c r="AF560" s="253"/>
      <c r="AG560" s="256"/>
      <c r="AH560" s="253"/>
      <c r="AK560" s="253"/>
      <c r="AL560" s="256"/>
      <c r="AM560" s="253"/>
      <c r="AP560" s="253"/>
      <c r="AQ560" s="256"/>
      <c r="AR560" s="257"/>
      <c r="AS560" s="257"/>
      <c r="AT560" s="257"/>
      <c r="AU560" s="257"/>
      <c r="AV560" s="257"/>
      <c r="AW560" s="257"/>
      <c r="AX560" s="256"/>
      <c r="AY560" s="253"/>
      <c r="BB560" s="257"/>
      <c r="BC560" s="256"/>
      <c r="BD560" s="253"/>
      <c r="LF560" s="1185"/>
      <c r="LK560" s="1185"/>
      <c r="LP560" s="1185"/>
      <c r="LU560" s="1185"/>
      <c r="LV560" s="1185"/>
      <c r="LW560" s="1185"/>
      <c r="LX560" s="1185"/>
      <c r="LY560" s="1185"/>
      <c r="LZ560" s="1185"/>
      <c r="MA560" s="1185"/>
      <c r="MB560" s="1185"/>
      <c r="MC560" s="1185"/>
      <c r="MD560" s="1185"/>
      <c r="ME560" s="1185"/>
      <c r="MF560" s="1185"/>
      <c r="MG560" s="1185"/>
      <c r="MH560" s="1185"/>
      <c r="MI560" s="1185"/>
      <c r="MJ560" s="1185"/>
      <c r="MK560" s="1185"/>
      <c r="ML560" s="1185"/>
      <c r="MM560" s="1185"/>
      <c r="MN560" s="1185"/>
      <c r="MO560" s="1185"/>
      <c r="MP560" s="1185"/>
      <c r="MW560" s="255"/>
      <c r="MX560" s="255"/>
      <c r="NN560" s="255"/>
      <c r="OZ560" s="1296">
        <v>103</v>
      </c>
    </row>
    <row r="561" spans="1:416" ht="15" customHeight="1">
      <c r="A561" s="1097"/>
      <c r="B561" s="1097"/>
      <c r="D561" s="253"/>
      <c r="E561" s="1004"/>
      <c r="F561" s="253"/>
      <c r="H561" s="1004" t="s">
        <v>1227</v>
      </c>
      <c r="I561" s="256"/>
      <c r="K561" s="2032">
        <f>BL511</f>
        <v>0</v>
      </c>
      <c r="L561" s="2032">
        <f>BM511</f>
        <v>0</v>
      </c>
      <c r="M561" s="2032">
        <f>BN511</f>
        <v>0</v>
      </c>
      <c r="N561" s="2032">
        <f>BO511</f>
        <v>0</v>
      </c>
      <c r="O561" s="2032">
        <f>BP511</f>
        <v>0</v>
      </c>
      <c r="P561" s="2020">
        <f t="shared" si="394"/>
        <v>0</v>
      </c>
      <c r="S561" s="1920"/>
      <c r="T561" s="1920"/>
      <c r="U561" s="1920"/>
      <c r="V561" s="1920"/>
      <c r="W561" s="1920"/>
      <c r="X561" s="256"/>
      <c r="AA561" s="253"/>
      <c r="AB561" s="256"/>
      <c r="AC561" s="256"/>
      <c r="AF561" s="253"/>
      <c r="AG561" s="256"/>
      <c r="AH561" s="256"/>
      <c r="AK561" s="253"/>
      <c r="AL561" s="256"/>
      <c r="AM561" s="256"/>
      <c r="AP561" s="253"/>
      <c r="AQ561" s="256"/>
      <c r="AR561" s="257"/>
      <c r="AS561" s="257"/>
      <c r="AT561" s="257"/>
      <c r="AU561" s="257"/>
      <c r="AV561" s="257"/>
      <c r="AW561" s="257"/>
      <c r="AX561" s="256"/>
      <c r="AY561" s="253"/>
      <c r="BB561" s="257"/>
      <c r="BC561" s="256"/>
      <c r="BD561" s="253"/>
      <c r="LF561" s="1185"/>
      <c r="LK561" s="1185"/>
      <c r="LP561" s="1185"/>
      <c r="LU561" s="1185"/>
      <c r="LV561" s="1185"/>
      <c r="LW561" s="1185"/>
      <c r="LX561" s="1185"/>
      <c r="LY561" s="1185"/>
      <c r="LZ561" s="1185"/>
      <c r="MA561" s="1185"/>
      <c r="MB561" s="1185"/>
      <c r="MC561" s="1185"/>
      <c r="MD561" s="1185"/>
      <c r="ME561" s="1185"/>
      <c r="MF561" s="1185"/>
      <c r="MG561" s="1185"/>
      <c r="MH561" s="1185"/>
      <c r="MI561" s="1185"/>
      <c r="MJ561" s="1185"/>
      <c r="MK561" s="1185"/>
      <c r="ML561" s="1185"/>
      <c r="MM561" s="1185"/>
      <c r="MN561" s="1185"/>
      <c r="MO561" s="1185"/>
      <c r="MP561" s="1185"/>
      <c r="MW561" s="255"/>
      <c r="MX561" s="255"/>
      <c r="NN561" s="255"/>
      <c r="OZ561" s="1296">
        <v>104</v>
      </c>
    </row>
    <row r="562" spans="1:416" ht="15" customHeight="1">
      <c r="A562" s="1097"/>
      <c r="B562" s="1097"/>
      <c r="C562" s="1184"/>
      <c r="D562" s="253"/>
      <c r="E562" s="1004"/>
      <c r="F562" s="253"/>
      <c r="H562" s="1097" t="s">
        <v>288</v>
      </c>
      <c r="I562" s="2006"/>
      <c r="K562" s="2026">
        <f>SUM(K555:K561)</f>
        <v>0</v>
      </c>
      <c r="L562" s="2026">
        <f>SUM(L555:L561)</f>
        <v>0</v>
      </c>
      <c r="M562" s="2026">
        <f>SUM(M555:M561)</f>
        <v>0</v>
      </c>
      <c r="N562" s="2026">
        <f>SUM(N555:N561)</f>
        <v>0</v>
      </c>
      <c r="O562" s="2026">
        <f>SUM(O555:O561)</f>
        <v>0</v>
      </c>
      <c r="P562" s="2026">
        <f t="shared" si="394"/>
        <v>0</v>
      </c>
      <c r="S562" s="1920"/>
      <c r="T562" s="1920"/>
      <c r="U562" s="1920"/>
      <c r="V562" s="1920"/>
      <c r="W562" s="1920"/>
      <c r="X562" s="1184"/>
      <c r="AA562" s="253"/>
      <c r="AB562" s="256"/>
      <c r="AC562" s="1184"/>
      <c r="AF562" s="253"/>
      <c r="AG562" s="256"/>
      <c r="AH562" s="1184"/>
      <c r="AK562" s="253"/>
      <c r="AL562" s="256"/>
      <c r="AM562" s="1184"/>
      <c r="AP562" s="253"/>
      <c r="AQ562" s="256"/>
      <c r="AR562" s="257"/>
      <c r="AS562" s="257"/>
      <c r="AT562" s="257"/>
      <c r="AU562" s="257"/>
      <c r="AV562" s="257"/>
      <c r="AW562" s="257"/>
      <c r="AX562" s="256"/>
      <c r="AY562" s="253"/>
      <c r="BB562" s="257"/>
      <c r="BC562" s="256"/>
      <c r="BD562" s="253"/>
      <c r="LF562" s="1185"/>
      <c r="LK562" s="1185"/>
      <c r="LP562" s="1185"/>
      <c r="LU562" s="1185"/>
      <c r="LV562" s="1185"/>
      <c r="LW562" s="1185"/>
      <c r="LX562" s="1185"/>
      <c r="LY562" s="1185"/>
      <c r="LZ562" s="1185"/>
      <c r="MA562" s="1185"/>
      <c r="MB562" s="1185"/>
      <c r="MC562" s="1185"/>
      <c r="MD562" s="1185"/>
      <c r="ME562" s="1185"/>
      <c r="MF562" s="1185"/>
      <c r="MG562" s="1185"/>
      <c r="MH562" s="1185"/>
      <c r="MI562" s="1185"/>
      <c r="MJ562" s="1185"/>
      <c r="MK562" s="1185"/>
      <c r="ML562" s="1185"/>
      <c r="MM562" s="1185"/>
      <c r="MN562" s="1185"/>
      <c r="MO562" s="1185"/>
      <c r="MP562" s="1185"/>
      <c r="MW562" s="255"/>
      <c r="MX562" s="255"/>
      <c r="NN562" s="255"/>
      <c r="OZ562" s="1185">
        <v>105</v>
      </c>
    </row>
    <row r="563" spans="1:416" ht="5.0999999999999996" customHeight="1">
      <c r="A563" s="1097"/>
      <c r="B563" s="1097"/>
      <c r="C563" s="253"/>
      <c r="D563" s="253"/>
      <c r="E563" s="253"/>
      <c r="F563" s="253"/>
      <c r="H563" s="1004"/>
      <c r="I563" s="256"/>
      <c r="K563" s="2031"/>
      <c r="L563" s="2031"/>
      <c r="M563" s="2031"/>
      <c r="N563" s="2031"/>
      <c r="O563" s="2031"/>
      <c r="P563" s="2031"/>
      <c r="U563" s="1984"/>
      <c r="X563" s="253"/>
      <c r="AA563" s="253"/>
      <c r="AB563" s="256"/>
      <c r="AC563" s="253"/>
      <c r="AF563" s="253"/>
      <c r="AG563" s="256"/>
      <c r="AH563" s="253"/>
      <c r="AK563" s="253"/>
      <c r="AL563" s="256"/>
      <c r="AM563" s="253"/>
      <c r="AP563" s="253"/>
      <c r="AQ563" s="256"/>
      <c r="AR563" s="253"/>
      <c r="AS563" s="253"/>
      <c r="AT563" s="253"/>
      <c r="AU563" s="253"/>
      <c r="AV563" s="253"/>
      <c r="AW563" s="253"/>
      <c r="AY563" s="253"/>
      <c r="BB563" s="253"/>
      <c r="BD563" s="253"/>
      <c r="LF563" s="1185"/>
      <c r="LK563" s="1185"/>
      <c r="LP563" s="1185"/>
      <c r="LU563" s="1185"/>
      <c r="LV563" s="1185"/>
      <c r="LW563" s="1185"/>
      <c r="LX563" s="1185"/>
      <c r="LY563" s="1185"/>
      <c r="LZ563" s="1185"/>
      <c r="MA563" s="1185"/>
      <c r="MB563" s="1185"/>
      <c r="MC563" s="1185"/>
      <c r="MD563" s="1185"/>
      <c r="ME563" s="1185"/>
      <c r="MF563" s="1185"/>
      <c r="MG563" s="1185"/>
      <c r="MH563" s="1185"/>
      <c r="MI563" s="1185"/>
      <c r="MJ563" s="1185"/>
      <c r="MK563" s="1185"/>
      <c r="ML563" s="1185"/>
      <c r="MM563" s="1185"/>
      <c r="MN563" s="1185"/>
      <c r="MO563" s="1185"/>
      <c r="MP563" s="1185"/>
      <c r="MW563" s="255"/>
      <c r="MX563" s="255"/>
      <c r="NN563" s="255"/>
      <c r="OZ563" s="1296">
        <v>106</v>
      </c>
    </row>
    <row r="564" spans="1:416" ht="14.7" customHeight="1">
      <c r="A564" s="255" t="s">
        <v>25</v>
      </c>
      <c r="B564" s="255" t="s">
        <v>7551</v>
      </c>
      <c r="H564" s="254"/>
      <c r="L564" s="1907" t="str">
        <f>O515</f>
        <v>40% of Units at 60% of AMI</v>
      </c>
      <c r="M564" s="1907"/>
      <c r="N564" s="1907"/>
      <c r="O564" s="1907"/>
      <c r="S564" s="1184" t="str">
        <f>B564</f>
        <v>UNIT SUMMARY (Continued)</v>
      </c>
      <c r="T564" s="1184"/>
      <c r="U564" s="1184"/>
      <c r="V564" s="1184"/>
      <c r="AY564" s="253"/>
      <c r="BD564" s="253"/>
      <c r="LF564" s="1185"/>
      <c r="LK564" s="1185"/>
      <c r="LP564" s="1185"/>
      <c r="LU564" s="1185"/>
      <c r="LV564" s="1185"/>
      <c r="LW564" s="1185"/>
      <c r="LX564" s="1185"/>
      <c r="LY564" s="1185"/>
      <c r="LZ564" s="1185"/>
      <c r="MA564" s="1185"/>
      <c r="MB564" s="1185"/>
      <c r="MC564" s="1185"/>
      <c r="MD564" s="1185"/>
      <c r="ME564" s="1185"/>
      <c r="MF564" s="1185"/>
      <c r="MG564" s="1185"/>
      <c r="MH564" s="1185"/>
      <c r="MI564" s="1185"/>
      <c r="MJ564" s="1185"/>
      <c r="MK564" s="1185"/>
      <c r="ML564" s="1185"/>
      <c r="MM564" s="1185"/>
      <c r="MN564" s="1185"/>
      <c r="MO564" s="1185"/>
      <c r="MP564" s="1185"/>
      <c r="MW564" s="255"/>
      <c r="MX564" s="255"/>
      <c r="NN564" s="255"/>
      <c r="OZ564" s="1296">
        <v>107</v>
      </c>
    </row>
    <row r="565" spans="1:416" ht="9" customHeight="1">
      <c r="A565" s="255"/>
      <c r="B565" s="255"/>
      <c r="H565" s="254"/>
      <c r="S565" s="1741" t="str">
        <f>C566</f>
        <v>PHA Operating Subsidy-Assisted</v>
      </c>
      <c r="T565" s="255"/>
      <c r="U565" s="1979"/>
      <c r="AY565" s="253"/>
      <c r="BD565" s="253"/>
      <c r="LF565" s="1185"/>
      <c r="LK565" s="1185"/>
      <c r="LP565" s="1185"/>
      <c r="LU565" s="1185"/>
      <c r="LV565" s="1185"/>
      <c r="LW565" s="1185"/>
      <c r="LX565" s="1185"/>
      <c r="LY565" s="1185"/>
      <c r="LZ565" s="1185"/>
      <c r="MA565" s="1185"/>
      <c r="MB565" s="1185"/>
      <c r="MC565" s="1185"/>
      <c r="MD565" s="1185"/>
      <c r="ME565" s="1185"/>
      <c r="MF565" s="1185"/>
      <c r="MG565" s="1185"/>
      <c r="MH565" s="1185"/>
      <c r="MI565" s="1185"/>
      <c r="MJ565" s="1185"/>
      <c r="MK565" s="1185"/>
      <c r="ML565" s="1185"/>
      <c r="MM565" s="1185"/>
      <c r="MN565" s="1185"/>
      <c r="MO565" s="1185"/>
      <c r="MP565" s="1185"/>
      <c r="MW565" s="255"/>
      <c r="MX565" s="255"/>
      <c r="NN565" s="255"/>
      <c r="OZ565" s="1296">
        <v>108</v>
      </c>
    </row>
    <row r="566" spans="1:416" ht="13.5" customHeight="1">
      <c r="A566" s="1097"/>
      <c r="B566" s="1097"/>
      <c r="C566" s="1920" t="s">
        <v>1242</v>
      </c>
      <c r="D566" s="1920"/>
      <c r="E566" s="1920"/>
      <c r="F566" s="253"/>
      <c r="H566" s="1004" t="s">
        <v>1220</v>
      </c>
      <c r="I566" s="256"/>
      <c r="K566" s="2032">
        <f>DY511</f>
        <v>0</v>
      </c>
      <c r="L566" s="2032">
        <f>DZ511</f>
        <v>0</v>
      </c>
      <c r="M566" s="2032">
        <f>EA511</f>
        <v>0</v>
      </c>
      <c r="N566" s="2032">
        <f>EB511</f>
        <v>0</v>
      </c>
      <c r="O566" s="2032">
        <f>EC511</f>
        <v>0</v>
      </c>
      <c r="P566" s="2020">
        <f t="shared" ref="P566:P573" si="395">SUM(K566:O566)</f>
        <v>0</v>
      </c>
      <c r="S566" s="1920"/>
      <c r="T566" s="1920"/>
      <c r="U566" s="1920"/>
      <c r="V566" s="1920"/>
      <c r="W566" s="1920"/>
      <c r="X566" s="253"/>
      <c r="AA566" s="253"/>
      <c r="AB566" s="256"/>
      <c r="AC566" s="253"/>
      <c r="AF566" s="253"/>
      <c r="AG566" s="256"/>
      <c r="AH566" s="253"/>
      <c r="AK566" s="253"/>
      <c r="AL566" s="256"/>
      <c r="AM566" s="253"/>
      <c r="AP566" s="253"/>
      <c r="AQ566" s="256"/>
      <c r="AR566" s="257"/>
      <c r="AS566" s="257"/>
      <c r="AT566" s="257"/>
      <c r="AU566" s="257"/>
      <c r="AV566" s="257"/>
      <c r="AW566" s="257"/>
      <c r="AX566" s="256"/>
      <c r="AY566" s="253"/>
      <c r="BB566" s="257"/>
      <c r="BC566" s="256"/>
      <c r="BD566" s="253"/>
      <c r="LF566" s="1185"/>
      <c r="LK566" s="1185"/>
      <c r="LP566" s="1185"/>
      <c r="LU566" s="1185"/>
      <c r="LV566" s="1185"/>
      <c r="LW566" s="1185"/>
      <c r="LX566" s="1185"/>
      <c r="LY566" s="1185"/>
      <c r="LZ566" s="1185"/>
      <c r="MA566" s="1185"/>
      <c r="MB566" s="1185"/>
      <c r="MC566" s="1185"/>
      <c r="MD566" s="1185"/>
      <c r="ME566" s="1185"/>
      <c r="MF566" s="1185"/>
      <c r="MG566" s="1185"/>
      <c r="MH566" s="1185"/>
      <c r="MI566" s="1185"/>
      <c r="MJ566" s="1185"/>
      <c r="MK566" s="1185"/>
      <c r="ML566" s="1185"/>
      <c r="MM566" s="1185"/>
      <c r="MN566" s="1185"/>
      <c r="MO566" s="1185"/>
      <c r="MP566" s="1185"/>
      <c r="MW566" s="255"/>
      <c r="MX566" s="255"/>
      <c r="NN566" s="255"/>
      <c r="OZ566" s="1296">
        <v>109</v>
      </c>
    </row>
    <row r="567" spans="1:416" ht="13.5" customHeight="1">
      <c r="A567" s="1097"/>
      <c r="B567" s="1097"/>
      <c r="C567" s="256" t="s">
        <v>1240</v>
      </c>
      <c r="D567" s="1920"/>
      <c r="E567" s="1920"/>
      <c r="F567" s="253"/>
      <c r="H567" s="1004" t="s">
        <v>1222</v>
      </c>
      <c r="I567" s="256"/>
      <c r="K567" s="2020">
        <f>DT511</f>
        <v>0</v>
      </c>
      <c r="L567" s="2020">
        <f>DU511</f>
        <v>0</v>
      </c>
      <c r="M567" s="2020">
        <f>DV511</f>
        <v>0</v>
      </c>
      <c r="N567" s="2020">
        <f>DW511</f>
        <v>0</v>
      </c>
      <c r="O567" s="2020">
        <f>DX511</f>
        <v>0</v>
      </c>
      <c r="P567" s="2020">
        <f t="shared" si="395"/>
        <v>0</v>
      </c>
      <c r="S567" s="1920"/>
      <c r="T567" s="1920"/>
      <c r="U567" s="1920"/>
      <c r="V567" s="1920"/>
      <c r="W567" s="1920"/>
      <c r="X567" s="253"/>
      <c r="AA567" s="253"/>
      <c r="AB567" s="256"/>
      <c r="AC567" s="253"/>
      <c r="AF567" s="253"/>
      <c r="AG567" s="256"/>
      <c r="AH567" s="253"/>
      <c r="AK567" s="253"/>
      <c r="AL567" s="256"/>
      <c r="AM567" s="253"/>
      <c r="AP567" s="253"/>
      <c r="AQ567" s="256"/>
      <c r="AR567" s="257"/>
      <c r="AS567" s="257"/>
      <c r="AT567" s="257"/>
      <c r="AU567" s="257"/>
      <c r="AV567" s="257"/>
      <c r="AW567" s="257"/>
      <c r="AX567" s="256"/>
      <c r="AY567" s="253"/>
      <c r="BB567" s="257"/>
      <c r="BC567" s="256"/>
      <c r="BD567" s="253"/>
      <c r="LF567" s="1185"/>
      <c r="LK567" s="1185"/>
      <c r="LP567" s="1185"/>
      <c r="LU567" s="1185"/>
      <c r="LV567" s="1185"/>
      <c r="LW567" s="1185"/>
      <c r="LX567" s="1185"/>
      <c r="LY567" s="1185"/>
      <c r="LZ567" s="1185"/>
      <c r="MA567" s="1185"/>
      <c r="MB567" s="1185"/>
      <c r="MC567" s="1185"/>
      <c r="MD567" s="1185"/>
      <c r="ME567" s="1185"/>
      <c r="MF567" s="1185"/>
      <c r="MG567" s="1185"/>
      <c r="MH567" s="1185"/>
      <c r="MI567" s="1185"/>
      <c r="MJ567" s="1185"/>
      <c r="MK567" s="1185"/>
      <c r="ML567" s="1185"/>
      <c r="MM567" s="1185"/>
      <c r="MN567" s="1185"/>
      <c r="MO567" s="1185"/>
      <c r="MP567" s="1185"/>
      <c r="MW567" s="255"/>
      <c r="MX567" s="255"/>
      <c r="NN567" s="255"/>
      <c r="OZ567" s="1296">
        <v>110</v>
      </c>
    </row>
    <row r="568" spans="1:416" ht="13.5" customHeight="1">
      <c r="A568" s="1097"/>
      <c r="B568" s="1097"/>
      <c r="C568" s="1920"/>
      <c r="D568" s="1920"/>
      <c r="E568" s="1920"/>
      <c r="F568" s="253"/>
      <c r="H568" s="1004" t="s">
        <v>1223</v>
      </c>
      <c r="I568" s="256"/>
      <c r="K568" s="2020">
        <f>DO511</f>
        <v>0</v>
      </c>
      <c r="L568" s="2020">
        <f>DP511</f>
        <v>0</v>
      </c>
      <c r="M568" s="2020">
        <f>DQ511</f>
        <v>0</v>
      </c>
      <c r="N568" s="2020">
        <f>DR511</f>
        <v>0</v>
      </c>
      <c r="O568" s="2020">
        <f>DS511</f>
        <v>0</v>
      </c>
      <c r="P568" s="2020">
        <f t="shared" si="395"/>
        <v>0</v>
      </c>
      <c r="S568" s="1920"/>
      <c r="T568" s="1920"/>
      <c r="U568" s="1920"/>
      <c r="V568" s="1920"/>
      <c r="W568" s="1920"/>
      <c r="X568" s="253"/>
      <c r="AA568" s="253"/>
      <c r="AB568" s="256"/>
      <c r="AC568" s="253"/>
      <c r="AF568" s="253"/>
      <c r="AG568" s="256"/>
      <c r="AH568" s="253"/>
      <c r="AK568" s="253"/>
      <c r="AL568" s="256"/>
      <c r="AM568" s="253"/>
      <c r="AP568" s="253"/>
      <c r="AQ568" s="256"/>
      <c r="AR568" s="257"/>
      <c r="AS568" s="257"/>
      <c r="AT568" s="257"/>
      <c r="AU568" s="257"/>
      <c r="AV568" s="257"/>
      <c r="AW568" s="257"/>
      <c r="AX568" s="256"/>
      <c r="AY568" s="253"/>
      <c r="BB568" s="257"/>
      <c r="BC568" s="256"/>
      <c r="BD568" s="253"/>
      <c r="LF568" s="1185"/>
      <c r="LK568" s="1185"/>
      <c r="LP568" s="1185"/>
      <c r="LU568" s="1185"/>
      <c r="LV568" s="1185"/>
      <c r="LW568" s="1185"/>
      <c r="LX568" s="1185"/>
      <c r="LY568" s="1185"/>
      <c r="LZ568" s="1185"/>
      <c r="MA568" s="1185"/>
      <c r="MB568" s="1185"/>
      <c r="MC568" s="1185"/>
      <c r="MD568" s="1185"/>
      <c r="ME568" s="1185"/>
      <c r="MF568" s="1185"/>
      <c r="MG568" s="1185"/>
      <c r="MH568" s="1185"/>
      <c r="MI568" s="1185"/>
      <c r="MJ568" s="1185"/>
      <c r="MK568" s="1185"/>
      <c r="ML568" s="1185"/>
      <c r="MM568" s="1185"/>
      <c r="MN568" s="1185"/>
      <c r="MO568" s="1185"/>
      <c r="MP568" s="1185"/>
      <c r="MW568" s="255"/>
      <c r="MX568" s="255"/>
      <c r="NN568" s="255"/>
      <c r="OZ568" s="1771">
        <v>111</v>
      </c>
    </row>
    <row r="569" spans="1:416" ht="13.5" customHeight="1">
      <c r="A569" s="1097"/>
      <c r="B569" s="1097"/>
      <c r="C569" s="1920"/>
      <c r="D569" s="1920"/>
      <c r="E569" s="1920"/>
      <c r="F569" s="253"/>
      <c r="H569" s="1004" t="s">
        <v>1224</v>
      </c>
      <c r="I569" s="256"/>
      <c r="K569" s="2020">
        <f>DJ511</f>
        <v>0</v>
      </c>
      <c r="L569" s="2020">
        <f>DK511</f>
        <v>0</v>
      </c>
      <c r="M569" s="2020">
        <f>DL511</f>
        <v>0</v>
      </c>
      <c r="N569" s="2020">
        <f>DM511</f>
        <v>0</v>
      </c>
      <c r="O569" s="2020">
        <f>DN511</f>
        <v>0</v>
      </c>
      <c r="P569" s="2020">
        <f t="shared" si="395"/>
        <v>0</v>
      </c>
      <c r="S569" s="1920"/>
      <c r="T569" s="1920"/>
      <c r="U569" s="1920"/>
      <c r="V569" s="1920"/>
      <c r="W569" s="1920"/>
      <c r="X569" s="253"/>
      <c r="AA569" s="253"/>
      <c r="AB569" s="256"/>
      <c r="AC569" s="253"/>
      <c r="AF569" s="253"/>
      <c r="AG569" s="256"/>
      <c r="AH569" s="253"/>
      <c r="AK569" s="253"/>
      <c r="AL569" s="256"/>
      <c r="AM569" s="253"/>
      <c r="AP569" s="253"/>
      <c r="AQ569" s="256"/>
      <c r="AR569" s="257"/>
      <c r="AS569" s="257"/>
      <c r="AT569" s="257"/>
      <c r="AU569" s="257"/>
      <c r="AV569" s="257"/>
      <c r="AW569" s="257"/>
      <c r="AX569" s="256"/>
      <c r="AY569" s="253"/>
      <c r="BB569" s="257"/>
      <c r="BC569" s="256"/>
      <c r="BD569" s="253"/>
      <c r="LF569" s="1185"/>
      <c r="LK569" s="1185"/>
      <c r="LP569" s="1185"/>
      <c r="LU569" s="1185"/>
      <c r="LV569" s="1185"/>
      <c r="LW569" s="1185"/>
      <c r="LX569" s="1185"/>
      <c r="LY569" s="1185"/>
      <c r="LZ569" s="1185"/>
      <c r="MA569" s="1185"/>
      <c r="MB569" s="1185"/>
      <c r="MC569" s="1185"/>
      <c r="MD569" s="1185"/>
      <c r="ME569" s="1185"/>
      <c r="MF569" s="1185"/>
      <c r="MG569" s="1185"/>
      <c r="MH569" s="1185"/>
      <c r="MI569" s="1185"/>
      <c r="MJ569" s="1185"/>
      <c r="MK569" s="1185"/>
      <c r="ML569" s="1185"/>
      <c r="MM569" s="1185"/>
      <c r="MN569" s="1185"/>
      <c r="MO569" s="1185"/>
      <c r="MP569" s="1185"/>
      <c r="MW569" s="255"/>
      <c r="MX569" s="255"/>
      <c r="NN569" s="255"/>
      <c r="OZ569" s="1296">
        <v>112</v>
      </c>
    </row>
    <row r="570" spans="1:416" ht="13.5" customHeight="1">
      <c r="A570" s="1097"/>
      <c r="B570" s="1097"/>
      <c r="C570" s="1920"/>
      <c r="D570" s="1920"/>
      <c r="E570" s="1920"/>
      <c r="F570" s="253"/>
      <c r="H570" s="1004" t="s">
        <v>1225</v>
      </c>
      <c r="I570" s="256"/>
      <c r="K570" s="2020">
        <f>DE511</f>
        <v>0</v>
      </c>
      <c r="L570" s="2020">
        <f>DF511</f>
        <v>0</v>
      </c>
      <c r="M570" s="2020">
        <f>DG511</f>
        <v>0</v>
      </c>
      <c r="N570" s="2020">
        <f>DH511</f>
        <v>0</v>
      </c>
      <c r="O570" s="2020">
        <f>DI511</f>
        <v>0</v>
      </c>
      <c r="P570" s="2020">
        <f t="shared" si="395"/>
        <v>0</v>
      </c>
      <c r="S570" s="1920"/>
      <c r="T570" s="1920"/>
      <c r="U570" s="1920"/>
      <c r="V570" s="1920"/>
      <c r="W570" s="1920"/>
      <c r="X570" s="253"/>
      <c r="AA570" s="253"/>
      <c r="AB570" s="256"/>
      <c r="AC570" s="253"/>
      <c r="AF570" s="253"/>
      <c r="AG570" s="256"/>
      <c r="AH570" s="253"/>
      <c r="AK570" s="253"/>
      <c r="AL570" s="256"/>
      <c r="AM570" s="253"/>
      <c r="AP570" s="253"/>
      <c r="AQ570" s="256"/>
      <c r="AR570" s="257"/>
      <c r="AS570" s="257"/>
      <c r="AT570" s="257"/>
      <c r="AU570" s="257"/>
      <c r="AV570" s="257"/>
      <c r="AW570" s="257"/>
      <c r="AX570" s="256"/>
      <c r="AY570" s="253"/>
      <c r="BB570" s="257"/>
      <c r="BC570" s="256"/>
      <c r="BD570" s="253"/>
      <c r="LF570" s="1185"/>
      <c r="LK570" s="1185"/>
      <c r="LP570" s="1185"/>
      <c r="LU570" s="1185"/>
      <c r="LV570" s="1185"/>
      <c r="LW570" s="1185"/>
      <c r="LX570" s="1185"/>
      <c r="LY570" s="1185"/>
      <c r="LZ570" s="1185"/>
      <c r="MA570" s="1185"/>
      <c r="MB570" s="1185"/>
      <c r="MC570" s="1185"/>
      <c r="MD570" s="1185"/>
      <c r="ME570" s="1185"/>
      <c r="MF570" s="1185"/>
      <c r="MG570" s="1185"/>
      <c r="MH570" s="1185"/>
      <c r="MI570" s="1185"/>
      <c r="MJ570" s="1185"/>
      <c r="MK570" s="1185"/>
      <c r="ML570" s="1185"/>
      <c r="MM570" s="1185"/>
      <c r="MN570" s="1185"/>
      <c r="MO570" s="1185"/>
      <c r="MP570" s="1185"/>
      <c r="MW570" s="255"/>
      <c r="MX570" s="255"/>
      <c r="NN570" s="255"/>
      <c r="OZ570" s="1185">
        <v>113</v>
      </c>
    </row>
    <row r="571" spans="1:416" ht="13.5" customHeight="1">
      <c r="A571" s="1097"/>
      <c r="B571" s="1097"/>
      <c r="C571" s="1920"/>
      <c r="D571" s="1920"/>
      <c r="E571" s="1920"/>
      <c r="F571" s="253"/>
      <c r="H571" s="1004" t="s">
        <v>1226</v>
      </c>
      <c r="I571" s="256"/>
      <c r="K571" s="2020">
        <f>CZ511</f>
        <v>0</v>
      </c>
      <c r="L571" s="2020">
        <f>DA511</f>
        <v>0</v>
      </c>
      <c r="M571" s="2020">
        <f>DB511</f>
        <v>0</v>
      </c>
      <c r="N571" s="2020">
        <f>DC511</f>
        <v>0</v>
      </c>
      <c r="O571" s="2020">
        <f>DD511</f>
        <v>0</v>
      </c>
      <c r="P571" s="2020">
        <f t="shared" si="395"/>
        <v>0</v>
      </c>
      <c r="S571" s="1920"/>
      <c r="T571" s="1920"/>
      <c r="U571" s="1920"/>
      <c r="V571" s="1920"/>
      <c r="W571" s="1920"/>
      <c r="X571" s="253"/>
      <c r="AA571" s="253"/>
      <c r="AB571" s="256"/>
      <c r="AC571" s="253"/>
      <c r="AF571" s="253"/>
      <c r="AG571" s="256"/>
      <c r="AH571" s="253"/>
      <c r="AK571" s="253"/>
      <c r="AL571" s="256"/>
      <c r="AM571" s="253"/>
      <c r="AP571" s="253"/>
      <c r="AQ571" s="256"/>
      <c r="AR571" s="257"/>
      <c r="AS571" s="257"/>
      <c r="AT571" s="257"/>
      <c r="AU571" s="257"/>
      <c r="AV571" s="257"/>
      <c r="AW571" s="257"/>
      <c r="AX571" s="256"/>
      <c r="AY571" s="253"/>
      <c r="BB571" s="257"/>
      <c r="BC571" s="256"/>
      <c r="BD571" s="253"/>
      <c r="LF571" s="1185"/>
      <c r="LK571" s="1185"/>
      <c r="LP571" s="1185"/>
      <c r="LU571" s="1185"/>
      <c r="LV571" s="1185"/>
      <c r="LW571" s="1185"/>
      <c r="LX571" s="1185"/>
      <c r="LY571" s="1185"/>
      <c r="LZ571" s="1185"/>
      <c r="MA571" s="1185"/>
      <c r="MB571" s="1185"/>
      <c r="MC571" s="1185"/>
      <c r="MD571" s="1185"/>
      <c r="ME571" s="1185"/>
      <c r="MF571" s="1185"/>
      <c r="MG571" s="1185"/>
      <c r="MH571" s="1185"/>
      <c r="MI571" s="1185"/>
      <c r="MJ571" s="1185"/>
      <c r="MK571" s="1185"/>
      <c r="ML571" s="1185"/>
      <c r="MM571" s="1185"/>
      <c r="MN571" s="1185"/>
      <c r="MO571" s="1185"/>
      <c r="MP571" s="1185"/>
      <c r="MW571" s="255"/>
      <c r="MX571" s="255"/>
      <c r="NN571" s="255"/>
      <c r="OZ571" s="1296">
        <v>114</v>
      </c>
    </row>
    <row r="572" spans="1:416" ht="13.5" customHeight="1">
      <c r="A572" s="1097"/>
      <c r="B572" s="1097"/>
      <c r="C572" s="1920"/>
      <c r="D572" s="1920"/>
      <c r="E572" s="1920"/>
      <c r="F572" s="253"/>
      <c r="H572" s="1004" t="s">
        <v>1227</v>
      </c>
      <c r="I572" s="256"/>
      <c r="K572" s="2032">
        <f>CU511</f>
        <v>0</v>
      </c>
      <c r="L572" s="2032">
        <f>CV511</f>
        <v>0</v>
      </c>
      <c r="M572" s="2032">
        <f>CW511</f>
        <v>0</v>
      </c>
      <c r="N572" s="2032">
        <f>CX511</f>
        <v>0</v>
      </c>
      <c r="O572" s="2032">
        <f>CY511</f>
        <v>0</v>
      </c>
      <c r="P572" s="2020">
        <f t="shared" si="395"/>
        <v>0</v>
      </c>
      <c r="S572" s="1920"/>
      <c r="T572" s="1920"/>
      <c r="U572" s="1920"/>
      <c r="V572" s="1920"/>
      <c r="W572" s="1920"/>
      <c r="X572" s="256"/>
      <c r="AA572" s="253"/>
      <c r="AB572" s="256"/>
      <c r="AC572" s="256"/>
      <c r="AF572" s="253"/>
      <c r="AG572" s="256"/>
      <c r="AH572" s="256"/>
      <c r="AK572" s="253"/>
      <c r="AL572" s="256"/>
      <c r="AM572" s="256"/>
      <c r="AP572" s="253"/>
      <c r="AQ572" s="256"/>
      <c r="AR572" s="257"/>
      <c r="AS572" s="257"/>
      <c r="AT572" s="257"/>
      <c r="AU572" s="257"/>
      <c r="AV572" s="257"/>
      <c r="AW572" s="257"/>
      <c r="AX572" s="256"/>
      <c r="AY572" s="253"/>
      <c r="BB572" s="257"/>
      <c r="BC572" s="256"/>
      <c r="BD572" s="253"/>
      <c r="LF572" s="1185"/>
      <c r="LK572" s="1185"/>
      <c r="LP572" s="1185"/>
      <c r="LU572" s="1185"/>
      <c r="LV572" s="1185"/>
      <c r="LW572" s="1185"/>
      <c r="LX572" s="1185"/>
      <c r="LY572" s="1185"/>
      <c r="LZ572" s="1185"/>
      <c r="MA572" s="1185"/>
      <c r="MB572" s="1185"/>
      <c r="MC572" s="1185"/>
      <c r="MD572" s="1185"/>
      <c r="ME572" s="1185"/>
      <c r="MF572" s="1185"/>
      <c r="MG572" s="1185"/>
      <c r="MH572" s="1185"/>
      <c r="MI572" s="1185"/>
      <c r="MJ572" s="1185"/>
      <c r="MK572" s="1185"/>
      <c r="ML572" s="1185"/>
      <c r="MM572" s="1185"/>
      <c r="MN572" s="1185"/>
      <c r="MO572" s="1185"/>
      <c r="MP572" s="1185"/>
      <c r="MW572" s="255"/>
      <c r="MX572" s="255"/>
      <c r="NN572" s="255"/>
      <c r="OZ572" s="1296">
        <v>115</v>
      </c>
    </row>
    <row r="573" spans="1:416" ht="15" customHeight="1">
      <c r="A573" s="1097"/>
      <c r="B573" s="1097"/>
      <c r="D573" s="253"/>
      <c r="E573" s="1004"/>
      <c r="F573" s="253"/>
      <c r="H573" s="1097" t="s">
        <v>288</v>
      </c>
      <c r="I573" s="2006"/>
      <c r="K573" s="2026">
        <f>SUM(K566:K572)</f>
        <v>0</v>
      </c>
      <c r="L573" s="2026">
        <f>SUM(L566:L572)</f>
        <v>0</v>
      </c>
      <c r="M573" s="2026">
        <f>SUM(M566:M572)</f>
        <v>0</v>
      </c>
      <c r="N573" s="2026">
        <f>SUM(N566:N572)</f>
        <v>0</v>
      </c>
      <c r="O573" s="2026">
        <f>SUM(O566:O572)</f>
        <v>0</v>
      </c>
      <c r="P573" s="2026">
        <f t="shared" si="395"/>
        <v>0</v>
      </c>
      <c r="S573" s="1920"/>
      <c r="T573" s="1920"/>
      <c r="U573" s="1920"/>
      <c r="V573" s="1920"/>
      <c r="W573" s="1920"/>
      <c r="X573" s="1184"/>
      <c r="AA573" s="253"/>
      <c r="AB573" s="256"/>
      <c r="AC573" s="1184"/>
      <c r="AF573" s="253"/>
      <c r="AG573" s="256"/>
      <c r="AH573" s="1184"/>
      <c r="AK573" s="253"/>
      <c r="AL573" s="256"/>
      <c r="AM573" s="1184"/>
      <c r="AP573" s="253"/>
      <c r="AQ573" s="256"/>
      <c r="AR573" s="257"/>
      <c r="AS573" s="257"/>
      <c r="AT573" s="257"/>
      <c r="AU573" s="257"/>
      <c r="AV573" s="257"/>
      <c r="AW573" s="257"/>
      <c r="AX573" s="256"/>
      <c r="AY573" s="253"/>
      <c r="BB573" s="257"/>
      <c r="BC573" s="256"/>
      <c r="BD573" s="253"/>
      <c r="LF573" s="1185"/>
      <c r="LK573" s="1185"/>
      <c r="LP573" s="1185"/>
      <c r="LU573" s="1185"/>
      <c r="LV573" s="1185"/>
      <c r="LW573" s="1185"/>
      <c r="LX573" s="1185"/>
      <c r="LY573" s="1185"/>
      <c r="LZ573" s="1185"/>
      <c r="MA573" s="1185"/>
      <c r="MB573" s="1185"/>
      <c r="MC573" s="1185"/>
      <c r="MD573" s="1185"/>
      <c r="ME573" s="1185"/>
      <c r="MF573" s="1185"/>
      <c r="MG573" s="1185"/>
      <c r="MH573" s="1185"/>
      <c r="MI573" s="1185"/>
      <c r="MJ573" s="1185"/>
      <c r="MK573" s="1185"/>
      <c r="ML573" s="1185"/>
      <c r="MM573" s="1185"/>
      <c r="MN573" s="1185"/>
      <c r="MO573" s="1185"/>
      <c r="MP573" s="1185"/>
      <c r="MW573" s="255"/>
      <c r="MX573" s="255"/>
      <c r="NN573" s="255"/>
      <c r="OZ573" s="1185">
        <v>116</v>
      </c>
    </row>
    <row r="574" spans="1:416" ht="9" customHeight="1">
      <c r="A574" s="255"/>
      <c r="B574" s="255"/>
      <c r="H574" s="254"/>
      <c r="S574" s="1741" t="str">
        <f>C575</f>
        <v>PBV</v>
      </c>
      <c r="T574" s="255"/>
      <c r="U574" s="1979"/>
      <c r="AY574" s="253"/>
      <c r="BD574" s="253"/>
      <c r="LF574" s="1185"/>
      <c r="LK574" s="1185"/>
      <c r="LP574" s="1185"/>
      <c r="LU574" s="1185"/>
      <c r="LV574" s="1185"/>
      <c r="LW574" s="1185"/>
      <c r="LX574" s="1185"/>
      <c r="LY574" s="1185"/>
      <c r="LZ574" s="1185"/>
      <c r="MA574" s="1185"/>
      <c r="MB574" s="1185"/>
      <c r="MC574" s="1185"/>
      <c r="MD574" s="1185"/>
      <c r="ME574" s="1185"/>
      <c r="MF574" s="1185"/>
      <c r="MG574" s="1185"/>
      <c r="MH574" s="1185"/>
      <c r="MI574" s="1185"/>
      <c r="MJ574" s="1185"/>
      <c r="MK574" s="1185"/>
      <c r="ML574" s="1185"/>
      <c r="MM574" s="1185"/>
      <c r="MN574" s="1185"/>
      <c r="MO574" s="1185"/>
      <c r="MP574" s="1185"/>
      <c r="MW574" s="255"/>
      <c r="MX574" s="255"/>
      <c r="NN574" s="255"/>
      <c r="OZ574" s="1296">
        <v>117</v>
      </c>
    </row>
    <row r="575" spans="1:416" ht="13.5" customHeight="1">
      <c r="A575" s="1097"/>
      <c r="B575" s="1097"/>
      <c r="C575" s="1920" t="s">
        <v>1243</v>
      </c>
      <c r="D575" s="1920"/>
      <c r="E575" s="1920"/>
      <c r="F575" s="253"/>
      <c r="H575" s="1004" t="s">
        <v>1220</v>
      </c>
      <c r="I575" s="256"/>
      <c r="K575" s="2032">
        <f>ED511</f>
        <v>0</v>
      </c>
      <c r="L575" s="2032">
        <f>EE511</f>
        <v>0</v>
      </c>
      <c r="M575" s="2032">
        <f>EF511</f>
        <v>0</v>
      </c>
      <c r="N575" s="2032">
        <f>EG511</f>
        <v>0</v>
      </c>
      <c r="O575" s="2032">
        <f>EH511</f>
        <v>0</v>
      </c>
      <c r="P575" s="2020">
        <f t="shared" ref="P575:P582" si="396">SUM(K575:O575)</f>
        <v>0</v>
      </c>
      <c r="S575" s="1920"/>
      <c r="T575" s="1920"/>
      <c r="U575" s="1920"/>
      <c r="V575" s="1920"/>
      <c r="W575" s="1920"/>
      <c r="X575" s="253"/>
      <c r="AA575" s="253"/>
      <c r="AB575" s="256"/>
      <c r="AC575" s="253"/>
      <c r="AF575" s="253"/>
      <c r="AG575" s="256"/>
      <c r="AH575" s="253"/>
      <c r="AK575" s="253"/>
      <c r="AL575" s="256"/>
      <c r="AM575" s="253"/>
      <c r="AP575" s="253"/>
      <c r="AQ575" s="256"/>
      <c r="AR575" s="257"/>
      <c r="AS575" s="257"/>
      <c r="AT575" s="257"/>
      <c r="AU575" s="257"/>
      <c r="AV575" s="257"/>
      <c r="AW575" s="257"/>
      <c r="AX575" s="256"/>
      <c r="AY575" s="253"/>
      <c r="BB575" s="257"/>
      <c r="BC575" s="256"/>
      <c r="BD575" s="253"/>
      <c r="LF575" s="1185"/>
      <c r="LK575" s="1185"/>
      <c r="LP575" s="1185"/>
      <c r="LU575" s="1185"/>
      <c r="LV575" s="1185"/>
      <c r="LW575" s="1185"/>
      <c r="LX575" s="1185"/>
      <c r="LY575" s="1185"/>
      <c r="LZ575" s="1185"/>
      <c r="MA575" s="1185"/>
      <c r="MB575" s="1185"/>
      <c r="MC575" s="1185"/>
      <c r="MD575" s="1185"/>
      <c r="ME575" s="1185"/>
      <c r="MF575" s="1185"/>
      <c r="MG575" s="1185"/>
      <c r="MH575" s="1185"/>
      <c r="MI575" s="1185"/>
      <c r="MJ575" s="1185"/>
      <c r="MK575" s="1185"/>
      <c r="ML575" s="1185"/>
      <c r="MM575" s="1185"/>
      <c r="MN575" s="1185"/>
      <c r="MO575" s="1185"/>
      <c r="MP575" s="1185"/>
      <c r="MW575" s="255"/>
      <c r="MX575" s="255"/>
      <c r="NN575" s="255"/>
      <c r="OZ575" s="1296">
        <v>118</v>
      </c>
    </row>
    <row r="576" spans="1:416" ht="13.5" customHeight="1">
      <c r="A576" s="1097"/>
      <c r="B576" s="1097"/>
      <c r="C576" s="256" t="s">
        <v>1240</v>
      </c>
      <c r="D576" s="1920"/>
      <c r="E576" s="1920"/>
      <c r="F576" s="253"/>
      <c r="H576" s="1004" t="s">
        <v>1222</v>
      </c>
      <c r="I576" s="256"/>
      <c r="K576" s="2020">
        <f>EI511</f>
        <v>0</v>
      </c>
      <c r="L576" s="2020">
        <f>EJ511</f>
        <v>0</v>
      </c>
      <c r="M576" s="2020">
        <f>EK511</f>
        <v>0</v>
      </c>
      <c r="N576" s="2020">
        <f>EL511</f>
        <v>0</v>
      </c>
      <c r="O576" s="2020">
        <f>EM511</f>
        <v>0</v>
      </c>
      <c r="P576" s="2020">
        <f t="shared" si="396"/>
        <v>0</v>
      </c>
      <c r="S576" s="1920"/>
      <c r="T576" s="1920"/>
      <c r="U576" s="1920"/>
      <c r="V576" s="1920"/>
      <c r="W576" s="1920"/>
      <c r="X576" s="253"/>
      <c r="AA576" s="253"/>
      <c r="AB576" s="256"/>
      <c r="AC576" s="253"/>
      <c r="AF576" s="253"/>
      <c r="AG576" s="256"/>
      <c r="AH576" s="253"/>
      <c r="AK576" s="253"/>
      <c r="AL576" s="256"/>
      <c r="AM576" s="253"/>
      <c r="AP576" s="253"/>
      <c r="AQ576" s="256"/>
      <c r="AR576" s="257"/>
      <c r="AS576" s="257"/>
      <c r="AT576" s="257"/>
      <c r="AU576" s="257"/>
      <c r="AV576" s="257"/>
      <c r="AW576" s="257"/>
      <c r="AX576" s="256"/>
      <c r="AY576" s="253"/>
      <c r="BB576" s="257"/>
      <c r="BC576" s="256"/>
      <c r="BD576" s="253"/>
      <c r="LF576" s="1185"/>
      <c r="LK576" s="1185"/>
      <c r="LP576" s="1185"/>
      <c r="LU576" s="1185"/>
      <c r="LV576" s="1185"/>
      <c r="LW576" s="1185"/>
      <c r="LX576" s="1185"/>
      <c r="LY576" s="1185"/>
      <c r="LZ576" s="1185"/>
      <c r="MA576" s="1185"/>
      <c r="MB576" s="1185"/>
      <c r="MC576" s="1185"/>
      <c r="MD576" s="1185"/>
      <c r="ME576" s="1185"/>
      <c r="MF576" s="1185"/>
      <c r="MG576" s="1185"/>
      <c r="MH576" s="1185"/>
      <c r="MI576" s="1185"/>
      <c r="MJ576" s="1185"/>
      <c r="MK576" s="1185"/>
      <c r="ML576" s="1185"/>
      <c r="MM576" s="1185"/>
      <c r="MN576" s="1185"/>
      <c r="MO576" s="1185"/>
      <c r="MP576" s="1185"/>
      <c r="MW576" s="255"/>
      <c r="MX576" s="255"/>
      <c r="NN576" s="255"/>
      <c r="OZ576" s="1296">
        <v>119</v>
      </c>
    </row>
    <row r="577" spans="1:416" ht="13.5" customHeight="1">
      <c r="A577" s="1097"/>
      <c r="B577" s="1097"/>
      <c r="C577" s="1920"/>
      <c r="D577" s="1920"/>
      <c r="E577" s="1920"/>
      <c r="F577" s="253"/>
      <c r="H577" s="1004" t="s">
        <v>1223</v>
      </c>
      <c r="I577" s="256"/>
      <c r="K577" s="2020">
        <f>EN511</f>
        <v>0</v>
      </c>
      <c r="L577" s="2020">
        <f>EO511</f>
        <v>0</v>
      </c>
      <c r="M577" s="2020">
        <f>EP511</f>
        <v>0</v>
      </c>
      <c r="N577" s="2020">
        <f>EQ511</f>
        <v>0</v>
      </c>
      <c r="O577" s="2020">
        <f>ER511</f>
        <v>0</v>
      </c>
      <c r="P577" s="2020">
        <f t="shared" si="396"/>
        <v>0</v>
      </c>
      <c r="S577" s="1920"/>
      <c r="T577" s="1920"/>
      <c r="U577" s="1920"/>
      <c r="V577" s="1920"/>
      <c r="W577" s="1920"/>
      <c r="X577" s="253"/>
      <c r="AA577" s="253"/>
      <c r="AB577" s="256"/>
      <c r="AC577" s="253"/>
      <c r="AF577" s="253"/>
      <c r="AG577" s="256"/>
      <c r="AH577" s="253"/>
      <c r="AK577" s="253"/>
      <c r="AL577" s="256"/>
      <c r="AM577" s="253"/>
      <c r="AP577" s="253"/>
      <c r="AQ577" s="256"/>
      <c r="AR577" s="257"/>
      <c r="AS577" s="257"/>
      <c r="AT577" s="257"/>
      <c r="AU577" s="257"/>
      <c r="AV577" s="257"/>
      <c r="AW577" s="257"/>
      <c r="AX577" s="256"/>
      <c r="AY577" s="253"/>
      <c r="BB577" s="257"/>
      <c r="BC577" s="256"/>
      <c r="BD577" s="253"/>
      <c r="LF577" s="1185"/>
      <c r="LK577" s="1185"/>
      <c r="LP577" s="1185"/>
      <c r="LU577" s="1185"/>
      <c r="LV577" s="1185"/>
      <c r="LW577" s="1185"/>
      <c r="LX577" s="1185"/>
      <c r="LY577" s="1185"/>
      <c r="LZ577" s="1185"/>
      <c r="MA577" s="1185"/>
      <c r="MB577" s="1185"/>
      <c r="MC577" s="1185"/>
      <c r="MD577" s="1185"/>
      <c r="ME577" s="1185"/>
      <c r="MF577" s="1185"/>
      <c r="MG577" s="1185"/>
      <c r="MH577" s="1185"/>
      <c r="MI577" s="1185"/>
      <c r="MJ577" s="1185"/>
      <c r="MK577" s="1185"/>
      <c r="ML577" s="1185"/>
      <c r="MM577" s="1185"/>
      <c r="MN577" s="1185"/>
      <c r="MO577" s="1185"/>
      <c r="MP577" s="1185"/>
      <c r="MW577" s="255"/>
      <c r="MX577" s="255"/>
      <c r="NN577" s="255"/>
      <c r="OZ577" s="1296">
        <v>120</v>
      </c>
    </row>
    <row r="578" spans="1:416" ht="13.5" customHeight="1">
      <c r="A578" s="1097"/>
      <c r="B578" s="1097"/>
      <c r="C578" s="1920"/>
      <c r="D578" s="1920"/>
      <c r="E578" s="1920"/>
      <c r="F578" s="253"/>
      <c r="H578" s="1004" t="s">
        <v>1224</v>
      </c>
      <c r="I578" s="256"/>
      <c r="K578" s="2020">
        <f>ES511</f>
        <v>0</v>
      </c>
      <c r="L578" s="2020">
        <f>ET511</f>
        <v>0</v>
      </c>
      <c r="M578" s="2020">
        <f>EU511</f>
        <v>0</v>
      </c>
      <c r="N578" s="2020">
        <f>EV511</f>
        <v>0</v>
      </c>
      <c r="O578" s="2020">
        <f>EW511</f>
        <v>0</v>
      </c>
      <c r="P578" s="2020">
        <f t="shared" si="396"/>
        <v>0</v>
      </c>
      <c r="S578" s="1920"/>
      <c r="T578" s="1920"/>
      <c r="U578" s="1920"/>
      <c r="V578" s="1920"/>
      <c r="W578" s="1920"/>
      <c r="X578" s="253"/>
      <c r="AA578" s="253"/>
      <c r="AB578" s="256"/>
      <c r="AC578" s="253"/>
      <c r="AF578" s="253"/>
      <c r="AG578" s="256"/>
      <c r="AH578" s="253"/>
      <c r="AK578" s="253"/>
      <c r="AL578" s="256"/>
      <c r="AM578" s="253"/>
      <c r="AP578" s="253"/>
      <c r="AQ578" s="256"/>
      <c r="AR578" s="257"/>
      <c r="AS578" s="257"/>
      <c r="AT578" s="257"/>
      <c r="AU578" s="257"/>
      <c r="AV578" s="257"/>
      <c r="AW578" s="257"/>
      <c r="AX578" s="256"/>
      <c r="AY578" s="253"/>
      <c r="BB578" s="257"/>
      <c r="BC578" s="256"/>
      <c r="BD578" s="253"/>
      <c r="LF578" s="1185"/>
      <c r="LK578" s="1185"/>
      <c r="LP578" s="1185"/>
      <c r="LU578" s="1185"/>
      <c r="LV578" s="1185"/>
      <c r="LW578" s="1185"/>
      <c r="LX578" s="1185"/>
      <c r="LY578" s="1185"/>
      <c r="LZ578" s="1185"/>
      <c r="MA578" s="1185"/>
      <c r="MB578" s="1185"/>
      <c r="MC578" s="1185"/>
      <c r="MD578" s="1185"/>
      <c r="ME578" s="1185"/>
      <c r="MF578" s="1185"/>
      <c r="MG578" s="1185"/>
      <c r="MH578" s="1185"/>
      <c r="MI578" s="1185"/>
      <c r="MJ578" s="1185"/>
      <c r="MK578" s="1185"/>
      <c r="ML578" s="1185"/>
      <c r="MM578" s="1185"/>
      <c r="MN578" s="1185"/>
      <c r="MO578" s="1185"/>
      <c r="MP578" s="1185"/>
      <c r="MW578" s="255"/>
      <c r="MX578" s="255"/>
      <c r="NN578" s="255"/>
      <c r="OZ578" s="1296">
        <v>121</v>
      </c>
    </row>
    <row r="579" spans="1:416" ht="13.5" customHeight="1">
      <c r="A579" s="1097"/>
      <c r="B579" s="1097"/>
      <c r="C579" s="1920"/>
      <c r="D579" s="1920"/>
      <c r="E579" s="1920"/>
      <c r="F579" s="253"/>
      <c r="H579" s="1004" t="s">
        <v>1225</v>
      </c>
      <c r="I579" s="256"/>
      <c r="K579" s="2020">
        <f>EX511</f>
        <v>0</v>
      </c>
      <c r="L579" s="2020">
        <f>EY511</f>
        <v>0</v>
      </c>
      <c r="M579" s="2020">
        <f>EZ511</f>
        <v>0</v>
      </c>
      <c r="N579" s="2020">
        <f>FA511</f>
        <v>0</v>
      </c>
      <c r="O579" s="2020">
        <f>FB511</f>
        <v>0</v>
      </c>
      <c r="P579" s="2020">
        <f t="shared" si="396"/>
        <v>0</v>
      </c>
      <c r="S579" s="1920"/>
      <c r="T579" s="1920"/>
      <c r="U579" s="1920"/>
      <c r="V579" s="1920"/>
      <c r="W579" s="1920"/>
      <c r="X579" s="253"/>
      <c r="AA579" s="253"/>
      <c r="AB579" s="256"/>
      <c r="AC579" s="253"/>
      <c r="AF579" s="253"/>
      <c r="AG579" s="256"/>
      <c r="AH579" s="253"/>
      <c r="AK579" s="253"/>
      <c r="AL579" s="256"/>
      <c r="AM579" s="253"/>
      <c r="AP579" s="253"/>
      <c r="AQ579" s="256"/>
      <c r="AR579" s="257"/>
      <c r="AS579" s="257"/>
      <c r="AT579" s="257"/>
      <c r="AU579" s="257"/>
      <c r="AV579" s="257"/>
      <c r="AW579" s="257"/>
      <c r="AX579" s="256"/>
      <c r="AY579" s="253"/>
      <c r="BB579" s="257"/>
      <c r="BC579" s="256"/>
      <c r="BD579" s="253"/>
      <c r="LF579" s="1185"/>
      <c r="LK579" s="1185"/>
      <c r="LP579" s="1185"/>
      <c r="LU579" s="1185"/>
      <c r="LV579" s="1185"/>
      <c r="LW579" s="1185"/>
      <c r="LX579" s="1185"/>
      <c r="LY579" s="1185"/>
      <c r="LZ579" s="1185"/>
      <c r="MA579" s="1185"/>
      <c r="MB579" s="1185"/>
      <c r="MC579" s="1185"/>
      <c r="MD579" s="1185"/>
      <c r="ME579" s="1185"/>
      <c r="MF579" s="1185"/>
      <c r="MG579" s="1185"/>
      <c r="MH579" s="1185"/>
      <c r="MI579" s="1185"/>
      <c r="MJ579" s="1185"/>
      <c r="MK579" s="1185"/>
      <c r="ML579" s="1185"/>
      <c r="MM579" s="1185"/>
      <c r="MN579" s="1185"/>
      <c r="MO579" s="1185"/>
      <c r="MP579" s="1185"/>
      <c r="MW579" s="255"/>
      <c r="MX579" s="255"/>
      <c r="NN579" s="255"/>
      <c r="OZ579" s="1771">
        <v>122</v>
      </c>
    </row>
    <row r="580" spans="1:416" ht="13.5" customHeight="1">
      <c r="A580" s="1097"/>
      <c r="B580" s="1097"/>
      <c r="C580" s="1920"/>
      <c r="D580" s="1920"/>
      <c r="E580" s="1920"/>
      <c r="F580" s="253"/>
      <c r="H580" s="1004" t="s">
        <v>1226</v>
      </c>
      <c r="I580" s="256"/>
      <c r="K580" s="2020">
        <f>FC511</f>
        <v>0</v>
      </c>
      <c r="L580" s="2020">
        <f>FD511</f>
        <v>0</v>
      </c>
      <c r="M580" s="2020">
        <f>FE511</f>
        <v>0</v>
      </c>
      <c r="N580" s="2020">
        <f>FF511</f>
        <v>0</v>
      </c>
      <c r="O580" s="2020">
        <f>FG511</f>
        <v>0</v>
      </c>
      <c r="P580" s="2020">
        <f t="shared" si="396"/>
        <v>0</v>
      </c>
      <c r="S580" s="1920"/>
      <c r="T580" s="1920"/>
      <c r="U580" s="1920"/>
      <c r="V580" s="1920"/>
      <c r="W580" s="1920"/>
      <c r="X580" s="253"/>
      <c r="AA580" s="253"/>
      <c r="AB580" s="256"/>
      <c r="AC580" s="253"/>
      <c r="AF580" s="253"/>
      <c r="AG580" s="256"/>
      <c r="AH580" s="253"/>
      <c r="AK580" s="253"/>
      <c r="AL580" s="256"/>
      <c r="AM580" s="253"/>
      <c r="AP580" s="253"/>
      <c r="AQ580" s="256"/>
      <c r="AR580" s="257"/>
      <c r="AS580" s="257"/>
      <c r="AT580" s="257"/>
      <c r="AU580" s="257"/>
      <c r="AV580" s="257"/>
      <c r="AW580" s="257"/>
      <c r="AX580" s="256"/>
      <c r="AY580" s="253"/>
      <c r="BB580" s="257"/>
      <c r="BC580" s="256"/>
      <c r="BD580" s="253"/>
      <c r="LF580" s="1185"/>
      <c r="LK580" s="1185"/>
      <c r="LP580" s="1185"/>
      <c r="LU580" s="1185"/>
      <c r="LV580" s="1185"/>
      <c r="LW580" s="1185"/>
      <c r="LX580" s="1185"/>
      <c r="LY580" s="1185"/>
      <c r="LZ580" s="1185"/>
      <c r="MA580" s="1185"/>
      <c r="MB580" s="1185"/>
      <c r="MC580" s="1185"/>
      <c r="MD580" s="1185"/>
      <c r="ME580" s="1185"/>
      <c r="MF580" s="1185"/>
      <c r="MG580" s="1185"/>
      <c r="MH580" s="1185"/>
      <c r="MI580" s="1185"/>
      <c r="MJ580" s="1185"/>
      <c r="MK580" s="1185"/>
      <c r="ML580" s="1185"/>
      <c r="MM580" s="1185"/>
      <c r="MN580" s="1185"/>
      <c r="MO580" s="1185"/>
      <c r="MP580" s="1185"/>
      <c r="MW580" s="255"/>
      <c r="MX580" s="255"/>
      <c r="NN580" s="255"/>
      <c r="OZ580" s="1296">
        <v>123</v>
      </c>
    </row>
    <row r="581" spans="1:416" ht="13.5" customHeight="1">
      <c r="A581" s="1097"/>
      <c r="B581" s="1097"/>
      <c r="C581" s="1920"/>
      <c r="D581" s="1920"/>
      <c r="E581" s="1920"/>
      <c r="F581" s="253"/>
      <c r="H581" s="1004" t="s">
        <v>1227</v>
      </c>
      <c r="I581" s="256"/>
      <c r="K581" s="2032">
        <f>FH511</f>
        <v>0</v>
      </c>
      <c r="L581" s="2032">
        <f>FI511</f>
        <v>0</v>
      </c>
      <c r="M581" s="2032">
        <f>FJ511</f>
        <v>0</v>
      </c>
      <c r="N581" s="2032">
        <f>FK511</f>
        <v>0</v>
      </c>
      <c r="O581" s="2032">
        <f>FL511</f>
        <v>0</v>
      </c>
      <c r="P581" s="2020">
        <f t="shared" si="396"/>
        <v>0</v>
      </c>
      <c r="S581" s="1920"/>
      <c r="T581" s="1920"/>
      <c r="U581" s="1920"/>
      <c r="V581" s="1920"/>
      <c r="W581" s="1920"/>
      <c r="X581" s="256"/>
      <c r="AA581" s="253"/>
      <c r="AB581" s="256"/>
      <c r="AC581" s="256"/>
      <c r="AF581" s="253"/>
      <c r="AG581" s="256"/>
      <c r="AH581" s="256"/>
      <c r="AK581" s="253"/>
      <c r="AL581" s="256"/>
      <c r="AM581" s="256"/>
      <c r="AP581" s="253"/>
      <c r="AQ581" s="256"/>
      <c r="AR581" s="257"/>
      <c r="AS581" s="257"/>
      <c r="AT581" s="257"/>
      <c r="AU581" s="257"/>
      <c r="AV581" s="257"/>
      <c r="AW581" s="257"/>
      <c r="AX581" s="256"/>
      <c r="AY581" s="253"/>
      <c r="BB581" s="257"/>
      <c r="BC581" s="256"/>
      <c r="BD581" s="253"/>
      <c r="LF581" s="1185"/>
      <c r="LK581" s="1185"/>
      <c r="LP581" s="1185"/>
      <c r="LU581" s="1185"/>
      <c r="LV581" s="1185"/>
      <c r="LW581" s="1185"/>
      <c r="LX581" s="1185"/>
      <c r="LY581" s="1185"/>
      <c r="LZ581" s="1185"/>
      <c r="MA581" s="1185"/>
      <c r="MB581" s="1185"/>
      <c r="MC581" s="1185"/>
      <c r="MD581" s="1185"/>
      <c r="ME581" s="1185"/>
      <c r="MF581" s="1185"/>
      <c r="MG581" s="1185"/>
      <c r="MH581" s="1185"/>
      <c r="MI581" s="1185"/>
      <c r="MJ581" s="1185"/>
      <c r="MK581" s="1185"/>
      <c r="ML581" s="1185"/>
      <c r="MM581" s="1185"/>
      <c r="MN581" s="1185"/>
      <c r="MO581" s="1185"/>
      <c r="MP581" s="1185"/>
      <c r="MW581" s="255"/>
      <c r="MX581" s="255"/>
      <c r="NN581" s="255"/>
      <c r="OZ581" s="1185">
        <v>124</v>
      </c>
    </row>
    <row r="582" spans="1:416" ht="15" customHeight="1">
      <c r="A582" s="1097"/>
      <c r="B582" s="1097"/>
      <c r="D582" s="253"/>
      <c r="E582" s="1004"/>
      <c r="F582" s="253"/>
      <c r="H582" s="1097" t="s">
        <v>288</v>
      </c>
      <c r="I582" s="2006"/>
      <c r="K582" s="2026">
        <f>SUM(K575:K581)</f>
        <v>0</v>
      </c>
      <c r="L582" s="2026">
        <f>SUM(L575:L581)</f>
        <v>0</v>
      </c>
      <c r="M582" s="2026">
        <f>SUM(M575:M581)</f>
        <v>0</v>
      </c>
      <c r="N582" s="2026">
        <f>SUM(N575:N581)</f>
        <v>0</v>
      </c>
      <c r="O582" s="2026">
        <f>SUM(O575:O581)</f>
        <v>0</v>
      </c>
      <c r="P582" s="2026">
        <f t="shared" si="396"/>
        <v>0</v>
      </c>
      <c r="S582" s="1920"/>
      <c r="T582" s="1920"/>
      <c r="U582" s="1920"/>
      <c r="V582" s="1920"/>
      <c r="W582" s="1920"/>
      <c r="X582" s="1184"/>
      <c r="AA582" s="253"/>
      <c r="AB582" s="256"/>
      <c r="AC582" s="1184"/>
      <c r="AF582" s="253"/>
      <c r="AG582" s="256"/>
      <c r="AH582" s="1184"/>
      <c r="AK582" s="253"/>
      <c r="AL582" s="256"/>
      <c r="AM582" s="1184"/>
      <c r="AP582" s="253"/>
      <c r="AQ582" s="256"/>
      <c r="AR582" s="257"/>
      <c r="AS582" s="257"/>
      <c r="AT582" s="257"/>
      <c r="AU582" s="257"/>
      <c r="AV582" s="257"/>
      <c r="AW582" s="257"/>
      <c r="AX582" s="256"/>
      <c r="AY582" s="253"/>
      <c r="BB582" s="257"/>
      <c r="BC582" s="256"/>
      <c r="BD582" s="253"/>
      <c r="LF582" s="1185"/>
      <c r="LK582" s="1185"/>
      <c r="LP582" s="1185"/>
      <c r="LU582" s="1185"/>
      <c r="LV582" s="1185"/>
      <c r="LW582" s="1185"/>
      <c r="LX582" s="1185"/>
      <c r="LY582" s="1185"/>
      <c r="LZ582" s="1185"/>
      <c r="MA582" s="1185"/>
      <c r="MB582" s="1185"/>
      <c r="MC582" s="1185"/>
      <c r="MD582" s="1185"/>
      <c r="ME582" s="1185"/>
      <c r="MF582" s="1185"/>
      <c r="MG582" s="1185"/>
      <c r="MH582" s="1185"/>
      <c r="MI582" s="1185"/>
      <c r="MJ582" s="1185"/>
      <c r="MK582" s="1185"/>
      <c r="ML582" s="1185"/>
      <c r="MM582" s="1185"/>
      <c r="MN582" s="1185"/>
      <c r="MO582" s="1185"/>
      <c r="MP582" s="1185"/>
      <c r="MW582" s="255"/>
      <c r="MX582" s="255"/>
      <c r="NN582" s="255"/>
      <c r="OZ582" s="1296">
        <v>125</v>
      </c>
    </row>
    <row r="583" spans="1:416" ht="9" customHeight="1">
      <c r="A583" s="1097"/>
      <c r="B583" s="1097"/>
      <c r="D583" s="253"/>
      <c r="E583" s="1004"/>
      <c r="F583" s="253"/>
      <c r="H583" s="1004"/>
      <c r="I583" s="256"/>
      <c r="K583" s="2031"/>
      <c r="L583" s="2031"/>
      <c r="M583" s="2031"/>
      <c r="N583" s="2031"/>
      <c r="O583" s="2031"/>
      <c r="P583" s="2031"/>
      <c r="S583" s="1741" t="str">
        <f>C584</f>
        <v>Type of Construction Activity</v>
      </c>
      <c r="U583" s="1984"/>
      <c r="X583" s="253"/>
      <c r="AA583" s="253"/>
      <c r="AB583" s="256"/>
      <c r="AC583" s="253"/>
      <c r="AF583" s="253"/>
      <c r="AG583" s="256"/>
      <c r="AH583" s="253"/>
      <c r="AK583" s="253"/>
      <c r="AL583" s="256"/>
      <c r="AM583" s="253"/>
      <c r="AP583" s="253"/>
      <c r="AQ583" s="256"/>
      <c r="AR583" s="253"/>
      <c r="AS583" s="253"/>
      <c r="AT583" s="253"/>
      <c r="AU583" s="253"/>
      <c r="AV583" s="253"/>
      <c r="AW583" s="253"/>
      <c r="AY583" s="253"/>
      <c r="BB583" s="253"/>
      <c r="BD583" s="253"/>
      <c r="LF583" s="1185"/>
      <c r="LK583" s="1185"/>
      <c r="LP583" s="1185"/>
      <c r="LU583" s="1185"/>
      <c r="LV583" s="1185"/>
      <c r="LW583" s="1185"/>
      <c r="LX583" s="1185"/>
      <c r="LY583" s="1185"/>
      <c r="LZ583" s="1185"/>
      <c r="MA583" s="1185"/>
      <c r="MB583" s="1185"/>
      <c r="MC583" s="1185"/>
      <c r="MD583" s="1185"/>
      <c r="ME583" s="1185"/>
      <c r="MF583" s="1185"/>
      <c r="MG583" s="1185"/>
      <c r="MH583" s="1185"/>
      <c r="MI583" s="1185"/>
      <c r="MJ583" s="1185"/>
      <c r="MK583" s="1185"/>
      <c r="ML583" s="1185"/>
      <c r="MM583" s="1185"/>
      <c r="MN583" s="1185"/>
      <c r="MO583" s="1185"/>
      <c r="MP583" s="1185"/>
      <c r="MW583" s="255"/>
      <c r="MX583" s="255"/>
      <c r="NN583" s="255"/>
      <c r="OZ583" s="1296">
        <v>126</v>
      </c>
    </row>
    <row r="584" spans="1:416" ht="13.05" customHeight="1">
      <c r="A584" s="1097"/>
      <c r="B584" s="1097"/>
      <c r="C584" s="1920" t="s">
        <v>1244</v>
      </c>
      <c r="D584" s="1920"/>
      <c r="E584" s="1004" t="s">
        <v>1245</v>
      </c>
      <c r="F584" s="253"/>
      <c r="H584" s="1004" t="s">
        <v>1246</v>
      </c>
      <c r="I584" s="256"/>
      <c r="K584" s="2020">
        <f>HP511</f>
        <v>0</v>
      </c>
      <c r="L584" s="2020">
        <f>HQ511</f>
        <v>0</v>
      </c>
      <c r="M584" s="2020">
        <f>HR511</f>
        <v>0</v>
      </c>
      <c r="N584" s="2020">
        <f>HS511</f>
        <v>0</v>
      </c>
      <c r="O584" s="2020">
        <f>HT511</f>
        <v>0</v>
      </c>
      <c r="P584" s="2020">
        <f t="shared" ref="P584:P594" si="397">SUM(K584:O584)</f>
        <v>0</v>
      </c>
      <c r="S584" s="1920"/>
      <c r="T584" s="1920"/>
      <c r="U584" s="1920"/>
      <c r="V584" s="1920"/>
      <c r="W584" s="1920"/>
      <c r="X584" s="253"/>
      <c r="AA584" s="253"/>
      <c r="AB584" s="256"/>
      <c r="AC584" s="253"/>
      <c r="AF584" s="253"/>
      <c r="AG584" s="256"/>
      <c r="AH584" s="253"/>
      <c r="AK584" s="253"/>
      <c r="AL584" s="256"/>
      <c r="AM584" s="253"/>
      <c r="AP584" s="253"/>
      <c r="AQ584" s="256"/>
      <c r="AR584" s="257"/>
      <c r="AS584" s="257"/>
      <c r="AT584" s="257"/>
      <c r="AU584" s="257"/>
      <c r="AV584" s="257"/>
      <c r="AW584" s="257"/>
      <c r="BB584" s="257"/>
      <c r="MW584" s="255"/>
      <c r="MX584" s="255"/>
      <c r="NN584" s="255"/>
      <c r="OZ584" s="1185">
        <v>127</v>
      </c>
    </row>
    <row r="585" spans="1:416" ht="13.05" customHeight="1">
      <c r="A585" s="1097"/>
      <c r="B585" s="1097"/>
      <c r="C585" s="1920"/>
      <c r="D585" s="1920"/>
      <c r="E585" s="1004"/>
      <c r="F585" s="253"/>
      <c r="H585" s="1004" t="s">
        <v>1160</v>
      </c>
      <c r="I585" s="256"/>
      <c r="K585" s="2020">
        <f>HU511</f>
        <v>0</v>
      </c>
      <c r="L585" s="2020">
        <f>HV511</f>
        <v>0</v>
      </c>
      <c r="M585" s="2020">
        <f>HW511</f>
        <v>0</v>
      </c>
      <c r="N585" s="2020">
        <f>HX511</f>
        <v>0</v>
      </c>
      <c r="O585" s="2020">
        <f>HY511</f>
        <v>0</v>
      </c>
      <c r="P585" s="2020">
        <f t="shared" si="397"/>
        <v>0</v>
      </c>
      <c r="S585" s="1920"/>
      <c r="T585" s="1920"/>
      <c r="U585" s="1920"/>
      <c r="V585" s="1920"/>
      <c r="W585" s="1920"/>
      <c r="X585" s="253"/>
      <c r="AA585" s="253"/>
      <c r="AB585" s="256"/>
      <c r="AC585" s="253"/>
      <c r="AF585" s="253"/>
      <c r="AG585" s="256"/>
      <c r="AH585" s="253"/>
      <c r="AK585" s="253"/>
      <c r="AL585" s="256"/>
      <c r="AM585" s="253"/>
      <c r="AP585" s="253"/>
      <c r="AQ585" s="256"/>
      <c r="AR585" s="257"/>
      <c r="AS585" s="257"/>
      <c r="AT585" s="257"/>
      <c r="AU585" s="257"/>
      <c r="AV585" s="257"/>
      <c r="AW585" s="257"/>
      <c r="AX585" s="590"/>
      <c r="AY585" s="253"/>
      <c r="BB585" s="257"/>
      <c r="BC585" s="590"/>
      <c r="BD585" s="253"/>
      <c r="LF585" s="1185"/>
      <c r="LK585" s="1185"/>
      <c r="LP585" s="1185"/>
      <c r="LU585" s="1185"/>
      <c r="LV585" s="1185"/>
      <c r="LW585" s="1185"/>
      <c r="LX585" s="1185"/>
      <c r="LY585" s="1185"/>
      <c r="LZ585" s="1185"/>
      <c r="MA585" s="1185"/>
      <c r="MB585" s="1185"/>
      <c r="MC585" s="1185"/>
      <c r="MD585" s="1185"/>
      <c r="ME585" s="1185"/>
      <c r="MF585" s="1185"/>
      <c r="MG585" s="1185"/>
      <c r="MH585" s="1185"/>
      <c r="MI585" s="1185"/>
      <c r="MJ585" s="1185"/>
      <c r="MK585" s="1185"/>
      <c r="ML585" s="1185"/>
      <c r="MM585" s="1185"/>
      <c r="MN585" s="1185"/>
      <c r="MO585" s="1185"/>
      <c r="MP585" s="1185"/>
      <c r="MW585" s="255"/>
      <c r="MX585" s="255"/>
      <c r="NN585" s="255"/>
      <c r="OZ585" s="1296">
        <v>128</v>
      </c>
    </row>
    <row r="586" spans="1:416" ht="14.25" customHeight="1">
      <c r="A586" s="1097"/>
      <c r="B586" s="1097"/>
      <c r="C586" s="1920"/>
      <c r="D586" s="1920"/>
      <c r="E586" s="1004"/>
      <c r="F586" s="253"/>
      <c r="H586" s="1097" t="s">
        <v>1247</v>
      </c>
      <c r="I586" s="1874" t="s">
        <v>1248</v>
      </c>
      <c r="J586" s="2033">
        <f>IF(P529=0,0,P586/P529)</f>
        <v>0</v>
      </c>
      <c r="K586" s="2026">
        <f>SUM(K584:K585)+HZ511</f>
        <v>0</v>
      </c>
      <c r="L586" s="2026">
        <f>SUM(L584:L585)+IA511</f>
        <v>0</v>
      </c>
      <c r="M586" s="2026">
        <f>SUM(M584:M585)+IB511</f>
        <v>0</v>
      </c>
      <c r="N586" s="2026">
        <f>SUM(N584:N585)+IC511</f>
        <v>0</v>
      </c>
      <c r="O586" s="2026">
        <f>SUM(O584:O585)+ID511</f>
        <v>0</v>
      </c>
      <c r="P586" s="2026">
        <f t="shared" si="397"/>
        <v>0</v>
      </c>
      <c r="S586" s="1920"/>
      <c r="T586" s="1920"/>
      <c r="U586" s="1920"/>
      <c r="V586" s="1920"/>
      <c r="W586" s="1920"/>
      <c r="X586" s="1184"/>
      <c r="AA586" s="253"/>
      <c r="AB586" s="256"/>
      <c r="AC586" s="1184"/>
      <c r="AF586" s="253"/>
      <c r="AG586" s="256"/>
      <c r="AH586" s="1184"/>
      <c r="AK586" s="253"/>
      <c r="AL586" s="256"/>
      <c r="AM586" s="1184"/>
      <c r="AP586" s="253"/>
      <c r="AQ586" s="256"/>
      <c r="AR586" s="257"/>
      <c r="AS586" s="257"/>
      <c r="AT586" s="257"/>
      <c r="AU586" s="257"/>
      <c r="AV586" s="257"/>
      <c r="AW586" s="257"/>
      <c r="AX586" s="256"/>
      <c r="AY586" s="253"/>
      <c r="BB586" s="257"/>
      <c r="BC586" s="256"/>
      <c r="BD586" s="253"/>
      <c r="LF586" s="1185"/>
      <c r="LK586" s="1185"/>
      <c r="LP586" s="1185"/>
      <c r="LU586" s="1185"/>
      <c r="LV586" s="1185"/>
      <c r="LW586" s="1185"/>
      <c r="LX586" s="1185"/>
      <c r="LY586" s="1185"/>
      <c r="LZ586" s="1185"/>
      <c r="MA586" s="1185"/>
      <c r="MB586" s="1185"/>
      <c r="MC586" s="1185"/>
      <c r="MD586" s="1185"/>
      <c r="ME586" s="1185"/>
      <c r="MF586" s="1185"/>
      <c r="MG586" s="1185"/>
      <c r="MH586" s="1185"/>
      <c r="MI586" s="1185"/>
      <c r="MJ586" s="1185"/>
      <c r="MK586" s="1185"/>
      <c r="ML586" s="1185"/>
      <c r="MM586" s="1185"/>
      <c r="MN586" s="1185"/>
      <c r="MO586" s="1185"/>
      <c r="MP586" s="1185"/>
      <c r="MW586" s="255"/>
      <c r="MX586" s="255"/>
      <c r="NN586" s="255"/>
      <c r="OZ586" s="1296">
        <v>129</v>
      </c>
    </row>
    <row r="587" spans="1:416" ht="13.05" customHeight="1">
      <c r="A587" s="1097"/>
      <c r="B587" s="1097"/>
      <c r="C587" s="1920"/>
      <c r="D587" s="1920"/>
      <c r="E587" s="1004" t="s">
        <v>1249</v>
      </c>
      <c r="F587" s="253"/>
      <c r="H587" s="1004" t="s">
        <v>1246</v>
      </c>
      <c r="I587" s="256"/>
      <c r="K587" s="2020">
        <f>IE511</f>
        <v>0</v>
      </c>
      <c r="L587" s="2020">
        <f>IF511</f>
        <v>24</v>
      </c>
      <c r="M587" s="2020">
        <f>IG511</f>
        <v>48</v>
      </c>
      <c r="N587" s="2020">
        <f>IH511</f>
        <v>24</v>
      </c>
      <c r="O587" s="2020">
        <f>II511</f>
        <v>0</v>
      </c>
      <c r="P587" s="2020">
        <f t="shared" si="397"/>
        <v>96</v>
      </c>
      <c r="S587" s="1920"/>
      <c r="T587" s="1920"/>
      <c r="U587" s="1920"/>
      <c r="V587" s="1920"/>
      <c r="W587" s="1920"/>
      <c r="X587" s="253"/>
      <c r="AA587" s="253"/>
      <c r="AB587" s="256"/>
      <c r="AC587" s="253"/>
      <c r="AF587" s="253"/>
      <c r="AG587" s="256"/>
      <c r="AH587" s="253"/>
      <c r="AK587" s="253"/>
      <c r="AL587" s="256"/>
      <c r="AM587" s="253"/>
      <c r="AP587" s="253"/>
      <c r="AQ587" s="256"/>
      <c r="AR587" s="257"/>
      <c r="AS587" s="257"/>
      <c r="AT587" s="257"/>
      <c r="AU587" s="257"/>
      <c r="AV587" s="257"/>
      <c r="AW587" s="257"/>
      <c r="BB587" s="257"/>
      <c r="MW587" s="255"/>
      <c r="MX587" s="255"/>
      <c r="NN587" s="255"/>
      <c r="OZ587" s="1296">
        <v>130</v>
      </c>
    </row>
    <row r="588" spans="1:416" ht="13.05" customHeight="1">
      <c r="A588" s="1097"/>
      <c r="B588" s="1097"/>
      <c r="C588" s="1920"/>
      <c r="D588" s="1920"/>
      <c r="E588" s="1004"/>
      <c r="F588" s="253"/>
      <c r="H588" s="1004" t="s">
        <v>1160</v>
      </c>
      <c r="I588" s="256"/>
      <c r="K588" s="2020">
        <f>IJ511</f>
        <v>0</v>
      </c>
      <c r="L588" s="2020">
        <f>IK511</f>
        <v>0</v>
      </c>
      <c r="M588" s="2020">
        <f>IL511</f>
        <v>0</v>
      </c>
      <c r="N588" s="2020">
        <f>IM511</f>
        <v>0</v>
      </c>
      <c r="O588" s="2020">
        <f>IN511</f>
        <v>0</v>
      </c>
      <c r="P588" s="2020">
        <f t="shared" si="397"/>
        <v>0</v>
      </c>
      <c r="S588" s="1920"/>
      <c r="T588" s="1920"/>
      <c r="U588" s="1920"/>
      <c r="V588" s="1920"/>
      <c r="W588" s="1920"/>
      <c r="X588" s="253"/>
      <c r="AA588" s="253"/>
      <c r="AB588" s="256"/>
      <c r="AC588" s="253"/>
      <c r="AF588" s="253"/>
      <c r="AG588" s="256"/>
      <c r="AH588" s="253"/>
      <c r="AK588" s="253"/>
      <c r="AL588" s="256"/>
      <c r="AM588" s="253"/>
      <c r="AP588" s="253"/>
      <c r="AQ588" s="256"/>
      <c r="AR588" s="257"/>
      <c r="AS588" s="257"/>
      <c r="AT588" s="257"/>
      <c r="AU588" s="257"/>
      <c r="AV588" s="257"/>
      <c r="AW588" s="257"/>
      <c r="AX588" s="590"/>
      <c r="AY588" s="253"/>
      <c r="BB588" s="257"/>
      <c r="BC588" s="590"/>
      <c r="BD588" s="253"/>
      <c r="LF588" s="1185"/>
      <c r="LK588" s="1185"/>
      <c r="LP588" s="1185"/>
      <c r="LU588" s="1185"/>
      <c r="LV588" s="1185"/>
      <c r="LW588" s="1185"/>
      <c r="LX588" s="1185"/>
      <c r="LY588" s="1185"/>
      <c r="LZ588" s="1185"/>
      <c r="MA588" s="1185"/>
      <c r="MB588" s="1185"/>
      <c r="MC588" s="1185"/>
      <c r="MD588" s="1185"/>
      <c r="ME588" s="1185"/>
      <c r="MF588" s="1185"/>
      <c r="MG588" s="1185"/>
      <c r="MH588" s="1185"/>
      <c r="MI588" s="1185"/>
      <c r="MJ588" s="1185"/>
      <c r="MK588" s="1185"/>
      <c r="ML588" s="1185"/>
      <c r="MM588" s="1185"/>
      <c r="MN588" s="1185"/>
      <c r="MO588" s="1185"/>
      <c r="MP588" s="1185"/>
      <c r="MW588" s="255"/>
      <c r="MX588" s="255"/>
      <c r="NN588" s="255"/>
      <c r="OZ588" s="1296">
        <v>131</v>
      </c>
    </row>
    <row r="589" spans="1:416" ht="14.25" customHeight="1">
      <c r="A589" s="1097"/>
      <c r="B589" s="1097"/>
      <c r="C589" s="1920"/>
      <c r="D589" s="1920"/>
      <c r="E589" s="1004"/>
      <c r="F589" s="253"/>
      <c r="H589" s="1097" t="s">
        <v>1247</v>
      </c>
      <c r="I589" s="1874" t="s">
        <v>1248</v>
      </c>
      <c r="J589" s="2033">
        <f>IF(P529=0,0,P589/P529)</f>
        <v>1</v>
      </c>
      <c r="K589" s="2026">
        <f>SUM(K587:K588)+IO511</f>
        <v>0</v>
      </c>
      <c r="L589" s="2026">
        <f>SUM(L587:L588)+IP511</f>
        <v>24</v>
      </c>
      <c r="M589" s="2026">
        <f>SUM(M587:M588)+IQ511</f>
        <v>48</v>
      </c>
      <c r="N589" s="2026">
        <f>SUM(N587:N588)+IR511</f>
        <v>24</v>
      </c>
      <c r="O589" s="2026">
        <f>SUM(O587:O588)+IS511</f>
        <v>0</v>
      </c>
      <c r="P589" s="2026">
        <f t="shared" si="397"/>
        <v>96</v>
      </c>
      <c r="S589" s="1920"/>
      <c r="T589" s="1920"/>
      <c r="U589" s="1920"/>
      <c r="V589" s="1920"/>
      <c r="W589" s="1920"/>
      <c r="X589" s="1184"/>
      <c r="AA589" s="253"/>
      <c r="AB589" s="256"/>
      <c r="AC589" s="1184"/>
      <c r="AF589" s="253"/>
      <c r="AG589" s="256"/>
      <c r="AH589" s="1184"/>
      <c r="AK589" s="253"/>
      <c r="AL589" s="256"/>
      <c r="AM589" s="1184"/>
      <c r="AP589" s="253"/>
      <c r="AQ589" s="256"/>
      <c r="AR589" s="257"/>
      <c r="AS589" s="257"/>
      <c r="AT589" s="257"/>
      <c r="AU589" s="257"/>
      <c r="AV589" s="257"/>
      <c r="AW589" s="257"/>
      <c r="AX589" s="256"/>
      <c r="AY589" s="253"/>
      <c r="BB589" s="257"/>
      <c r="BC589" s="256"/>
      <c r="BD589" s="253"/>
      <c r="LF589" s="1185"/>
      <c r="LK589" s="1185"/>
      <c r="LP589" s="1185"/>
      <c r="LU589" s="1185"/>
      <c r="LV589" s="1185"/>
      <c r="LW589" s="1185"/>
      <c r="LX589" s="1185"/>
      <c r="LY589" s="1185"/>
      <c r="LZ589" s="1185"/>
      <c r="MA589" s="1185"/>
      <c r="MB589" s="1185"/>
      <c r="MC589" s="1185"/>
      <c r="MD589" s="1185"/>
      <c r="ME589" s="1185"/>
      <c r="MF589" s="1185"/>
      <c r="MG589" s="1185"/>
      <c r="MH589" s="1185"/>
      <c r="MI589" s="1185"/>
      <c r="MJ589" s="1185"/>
      <c r="MK589" s="1185"/>
      <c r="ML589" s="1185"/>
      <c r="MM589" s="1185"/>
      <c r="MN589" s="1185"/>
      <c r="MO589" s="1185"/>
      <c r="MP589" s="1185"/>
      <c r="MW589" s="255"/>
      <c r="MX589" s="255"/>
      <c r="NN589" s="255"/>
      <c r="OZ589" s="1185">
        <v>132</v>
      </c>
    </row>
    <row r="590" spans="1:416" ht="13.05" customHeight="1">
      <c r="A590" s="1097"/>
      <c r="B590" s="1097"/>
      <c r="C590" s="1869"/>
      <c r="D590" s="253"/>
      <c r="E590" s="1869" t="s">
        <v>1250</v>
      </c>
      <c r="F590" s="1869"/>
      <c r="H590" s="1004" t="s">
        <v>1246</v>
      </c>
      <c r="I590" s="256"/>
      <c r="K590" s="2020">
        <f>IT511</f>
        <v>0</v>
      </c>
      <c r="L590" s="2020">
        <f>IU511</f>
        <v>0</v>
      </c>
      <c r="M590" s="2020">
        <f>IV511</f>
        <v>0</v>
      </c>
      <c r="N590" s="2020">
        <f>IW511</f>
        <v>0</v>
      </c>
      <c r="O590" s="2020">
        <f>IX511</f>
        <v>0</v>
      </c>
      <c r="P590" s="2020">
        <f t="shared" si="397"/>
        <v>0</v>
      </c>
      <c r="S590" s="1920"/>
      <c r="T590" s="1920"/>
      <c r="U590" s="1920"/>
      <c r="V590" s="1920"/>
      <c r="W590" s="1920"/>
      <c r="X590" s="253"/>
      <c r="AA590" s="253"/>
      <c r="AB590" s="256"/>
      <c r="AC590" s="253"/>
      <c r="AF590" s="253"/>
      <c r="AG590" s="256"/>
      <c r="AH590" s="253"/>
      <c r="AK590" s="253"/>
      <c r="AL590" s="256"/>
      <c r="AM590" s="253"/>
      <c r="AP590" s="253"/>
      <c r="AQ590" s="256"/>
      <c r="AR590" s="257"/>
      <c r="AS590" s="257"/>
      <c r="AT590" s="257"/>
      <c r="AU590" s="257"/>
      <c r="AV590" s="257"/>
      <c r="AW590" s="257"/>
      <c r="BB590" s="257"/>
      <c r="MW590" s="255"/>
      <c r="MX590" s="255"/>
      <c r="NN590" s="255"/>
      <c r="OZ590" s="1296">
        <v>133</v>
      </c>
    </row>
    <row r="591" spans="1:416" ht="13.05" customHeight="1">
      <c r="A591" s="1097"/>
      <c r="B591" s="1097"/>
      <c r="C591" s="1869"/>
      <c r="D591" s="253"/>
      <c r="E591" s="1869"/>
      <c r="F591" s="1869"/>
      <c r="H591" s="1004" t="s">
        <v>1160</v>
      </c>
      <c r="I591" s="256"/>
      <c r="K591" s="2020">
        <f>IY511</f>
        <v>0</v>
      </c>
      <c r="L591" s="2020">
        <f>IZ511</f>
        <v>0</v>
      </c>
      <c r="M591" s="2020">
        <f>JA511</f>
        <v>0</v>
      </c>
      <c r="N591" s="2020">
        <f>JB511</f>
        <v>0</v>
      </c>
      <c r="O591" s="2020">
        <f>JC511</f>
        <v>0</v>
      </c>
      <c r="P591" s="2020">
        <f t="shared" si="397"/>
        <v>0</v>
      </c>
      <c r="S591" s="1920"/>
      <c r="T591" s="1920"/>
      <c r="U591" s="1920"/>
      <c r="V591" s="1920"/>
      <c r="W591" s="1920"/>
      <c r="X591" s="253"/>
      <c r="AA591" s="253"/>
      <c r="AB591" s="256"/>
      <c r="AC591" s="253"/>
      <c r="AF591" s="253"/>
      <c r="AG591" s="256"/>
      <c r="AH591" s="253"/>
      <c r="AK591" s="253"/>
      <c r="AL591" s="256"/>
      <c r="AM591" s="253"/>
      <c r="AP591" s="253"/>
      <c r="AQ591" s="256"/>
      <c r="AR591" s="257"/>
      <c r="AS591" s="257"/>
      <c r="AT591" s="257"/>
      <c r="AU591" s="257"/>
      <c r="AV591" s="257"/>
      <c r="AW591" s="257"/>
      <c r="AX591" s="590"/>
      <c r="AY591" s="253"/>
      <c r="BB591" s="257"/>
      <c r="BC591" s="590"/>
      <c r="BD591" s="253"/>
      <c r="LF591" s="1185"/>
      <c r="LK591" s="1185"/>
      <c r="LP591" s="1185"/>
      <c r="LU591" s="1185"/>
      <c r="LV591" s="1185"/>
      <c r="LW591" s="1185"/>
      <c r="LX591" s="1185"/>
      <c r="LY591" s="1185"/>
      <c r="LZ591" s="1185"/>
      <c r="MA591" s="1185"/>
      <c r="MB591" s="1185"/>
      <c r="MC591" s="1185"/>
      <c r="MD591" s="1185"/>
      <c r="ME591" s="1185"/>
      <c r="MF591" s="1185"/>
      <c r="MG591" s="1185"/>
      <c r="MH591" s="1185"/>
      <c r="MI591" s="1185"/>
      <c r="MJ591" s="1185"/>
      <c r="MK591" s="1185"/>
      <c r="ML591" s="1185"/>
      <c r="MM591" s="1185"/>
      <c r="MN591" s="1185"/>
      <c r="MO591" s="1185"/>
      <c r="MP591" s="1185"/>
      <c r="MW591" s="255"/>
      <c r="MX591" s="255"/>
      <c r="NN591" s="255"/>
      <c r="OZ591" s="1296">
        <v>134</v>
      </c>
    </row>
    <row r="592" spans="1:416" ht="14.25" customHeight="1">
      <c r="A592" s="1097"/>
      <c r="B592" s="1097"/>
      <c r="C592" s="1869"/>
      <c r="D592" s="253"/>
      <c r="E592" s="1004"/>
      <c r="F592" s="253"/>
      <c r="H592" s="1097" t="s">
        <v>1247</v>
      </c>
      <c r="I592" s="1874" t="s">
        <v>1248</v>
      </c>
      <c r="J592" s="2033">
        <f>IF(P529=0,0,P592/P529)</f>
        <v>0</v>
      </c>
      <c r="K592" s="2026">
        <f>SUM(K590:K591)+JD511</f>
        <v>0</v>
      </c>
      <c r="L592" s="2026">
        <f>SUM(L590:L591)+JE511</f>
        <v>0</v>
      </c>
      <c r="M592" s="2026">
        <f>SUM(M590:M591)+JF511</f>
        <v>0</v>
      </c>
      <c r="N592" s="2026">
        <f>SUM(N590:N591)+JG511</f>
        <v>0</v>
      </c>
      <c r="O592" s="2026">
        <f>SUM(O590:O591)+JH511</f>
        <v>0</v>
      </c>
      <c r="P592" s="2026">
        <f t="shared" si="397"/>
        <v>0</v>
      </c>
      <c r="S592" s="1920"/>
      <c r="T592" s="1920"/>
      <c r="U592" s="1920"/>
      <c r="V592" s="1920"/>
      <c r="W592" s="1920"/>
      <c r="X592" s="1184"/>
      <c r="AA592" s="253"/>
      <c r="AB592" s="256"/>
      <c r="AC592" s="1184"/>
      <c r="AF592" s="253"/>
      <c r="AG592" s="256"/>
      <c r="AH592" s="1184"/>
      <c r="AK592" s="253"/>
      <c r="AL592" s="256"/>
      <c r="AM592" s="1184"/>
      <c r="AP592" s="253"/>
      <c r="AQ592" s="256"/>
      <c r="AR592" s="257"/>
      <c r="AS592" s="257"/>
      <c r="AT592" s="257"/>
      <c r="AU592" s="257"/>
      <c r="AV592" s="257"/>
      <c r="AW592" s="257"/>
      <c r="AX592" s="256"/>
      <c r="AY592" s="253"/>
      <c r="BB592" s="257"/>
      <c r="BC592" s="256"/>
      <c r="BD592" s="253"/>
      <c r="LF592" s="1185"/>
      <c r="LK592" s="1185"/>
      <c r="LP592" s="1185"/>
      <c r="LU592" s="1185"/>
      <c r="LV592" s="1185"/>
      <c r="LW592" s="1185"/>
      <c r="LX592" s="1185"/>
      <c r="LY592" s="1185"/>
      <c r="LZ592" s="1185"/>
      <c r="MA592" s="1185"/>
      <c r="MB592" s="1185"/>
      <c r="MC592" s="1185"/>
      <c r="MD592" s="1185"/>
      <c r="ME592" s="1185"/>
      <c r="MF592" s="1185"/>
      <c r="MG592" s="1185"/>
      <c r="MH592" s="1185"/>
      <c r="MI592" s="1185"/>
      <c r="MJ592" s="1185"/>
      <c r="MK592" s="1185"/>
      <c r="ML592" s="1185"/>
      <c r="MM592" s="1185"/>
      <c r="MN592" s="1185"/>
      <c r="MO592" s="1185"/>
      <c r="MP592" s="1185"/>
      <c r="MW592" s="255"/>
      <c r="MX592" s="255"/>
      <c r="NN592" s="255"/>
      <c r="OZ592" s="1296">
        <v>135</v>
      </c>
    </row>
    <row r="593" spans="1:416" ht="14.25" customHeight="1">
      <c r="A593" s="1097"/>
      <c r="B593" s="1097"/>
      <c r="C593" s="1869"/>
      <c r="D593" s="253"/>
      <c r="E593" s="1004" t="s">
        <v>1251</v>
      </c>
      <c r="F593" s="253"/>
      <c r="G593" s="1820"/>
      <c r="H593" s="254"/>
      <c r="K593" s="2020">
        <f>'Part V-Revenues &amp; Expenses'!K140</f>
        <v>0</v>
      </c>
      <c r="L593" s="2020">
        <f>'Part V-Revenues &amp; Expenses'!L140</f>
        <v>0</v>
      </c>
      <c r="M593" s="2020">
        <f>'Part V-Revenues &amp; Expenses'!M140</f>
        <v>0</v>
      </c>
      <c r="N593" s="2020">
        <f>'Part V-Revenues &amp; Expenses'!N140</f>
        <v>0</v>
      </c>
      <c r="O593" s="2020">
        <f>'Part V-Revenues &amp; Expenses'!O140</f>
        <v>0</v>
      </c>
      <c r="P593" s="2020">
        <f t="shared" si="397"/>
        <v>0</v>
      </c>
      <c r="S593" s="1920"/>
      <c r="T593" s="1920"/>
      <c r="U593" s="1920"/>
      <c r="V593" s="1920"/>
      <c r="W593" s="1920"/>
      <c r="X593" s="253"/>
      <c r="AA593" s="253"/>
      <c r="AB593" s="256"/>
      <c r="AC593" s="253"/>
      <c r="AF593" s="253"/>
      <c r="AG593" s="256"/>
      <c r="AH593" s="253"/>
      <c r="AK593" s="253"/>
      <c r="AL593" s="256"/>
      <c r="AM593" s="253"/>
      <c r="AP593" s="253"/>
      <c r="AQ593" s="256"/>
      <c r="AR593" s="257"/>
      <c r="AS593" s="257"/>
      <c r="AT593" s="257"/>
      <c r="AU593" s="257"/>
      <c r="AV593" s="257"/>
      <c r="AW593" s="257"/>
      <c r="AX593" s="590"/>
      <c r="AY593" s="253"/>
      <c r="BB593" s="257"/>
      <c r="BC593" s="590"/>
      <c r="BD593" s="253"/>
      <c r="LF593" s="1185"/>
      <c r="LK593" s="1185"/>
      <c r="LP593" s="1185"/>
      <c r="LU593" s="1185"/>
      <c r="LV593" s="1185"/>
      <c r="LW593" s="1185"/>
      <c r="LX593" s="1185"/>
      <c r="LY593" s="1185"/>
      <c r="LZ593" s="1185"/>
      <c r="MA593" s="1185"/>
      <c r="MB593" s="1185"/>
      <c r="MC593" s="1185"/>
      <c r="MD593" s="1185"/>
      <c r="ME593" s="1185"/>
      <c r="MF593" s="1185"/>
      <c r="MG593" s="1185"/>
      <c r="MH593" s="1185"/>
      <c r="MI593" s="1185"/>
      <c r="MJ593" s="1185"/>
      <c r="MK593" s="1185"/>
      <c r="ML593" s="1185"/>
      <c r="MM593" s="1185"/>
      <c r="MN593" s="1185"/>
      <c r="MO593" s="1185"/>
      <c r="MP593" s="1185"/>
      <c r="MW593" s="255"/>
      <c r="MX593" s="255"/>
      <c r="NN593" s="255"/>
      <c r="OZ593" s="1296">
        <v>136</v>
      </c>
    </row>
    <row r="594" spans="1:416" ht="14.25" customHeight="1">
      <c r="A594" s="1983" t="str">
        <f>IF(AND('Part III-A-Uses of Funds'!$T$180="Yes",'Part VIII Scoring Criteria'!$AA$305&gt;0,P594&lt;1),"SHOW HISTORIC UNITS HERE &gt;&gt;&gt;&gt;","")</f>
        <v/>
      </c>
      <c r="B594" s="1983"/>
      <c r="C594" s="1983"/>
      <c r="D594" s="1983"/>
      <c r="E594" s="1004" t="s">
        <v>7552</v>
      </c>
      <c r="F594" s="253"/>
      <c r="G594" s="1820"/>
      <c r="H594" s="254"/>
      <c r="K594" s="2020">
        <f>'Part V-Revenues &amp; Expenses'!K141</f>
        <v>0</v>
      </c>
      <c r="L594" s="2020">
        <f>'Part V-Revenues &amp; Expenses'!L141</f>
        <v>0</v>
      </c>
      <c r="M594" s="2020">
        <f>'Part V-Revenues &amp; Expenses'!M141</f>
        <v>0</v>
      </c>
      <c r="N594" s="2020">
        <f>'Part V-Revenues &amp; Expenses'!N141</f>
        <v>0</v>
      </c>
      <c r="O594" s="2020">
        <f>'Part V-Revenues &amp; Expenses'!O141</f>
        <v>0</v>
      </c>
      <c r="P594" s="2020">
        <f t="shared" si="397"/>
        <v>0</v>
      </c>
      <c r="S594" s="1920"/>
      <c r="T594" s="1920"/>
      <c r="U594" s="1920"/>
      <c r="V594" s="1920"/>
      <c r="W594" s="1920"/>
      <c r="X594" s="253"/>
      <c r="AA594" s="253"/>
      <c r="AB594" s="256"/>
      <c r="AC594" s="253"/>
      <c r="AF594" s="253"/>
      <c r="AG594" s="256"/>
      <c r="AH594" s="253"/>
      <c r="AK594" s="253"/>
      <c r="AL594" s="256"/>
      <c r="AM594" s="253"/>
      <c r="AP594" s="253"/>
      <c r="AQ594" s="256"/>
      <c r="AR594" s="257"/>
      <c r="AS594" s="257"/>
      <c r="AT594" s="257"/>
      <c r="AU594" s="257"/>
      <c r="AV594" s="257"/>
      <c r="AW594" s="257"/>
      <c r="AX594" s="590"/>
      <c r="AY594" s="253"/>
      <c r="BB594" s="257"/>
      <c r="BC594" s="590"/>
      <c r="BD594" s="253"/>
      <c r="LF594" s="1185"/>
      <c r="LK594" s="1185"/>
      <c r="LP594" s="1185"/>
      <c r="LU594" s="1185"/>
      <c r="LV594" s="1185"/>
      <c r="LW594" s="1185"/>
      <c r="LX594" s="1185"/>
      <c r="LY594" s="1185"/>
      <c r="LZ594" s="1185"/>
      <c r="MA594" s="1185"/>
      <c r="MB594" s="1185"/>
      <c r="MC594" s="1185"/>
      <c r="MD594" s="1185"/>
      <c r="ME594" s="1185"/>
      <c r="MF594" s="1185"/>
      <c r="MG594" s="1185"/>
      <c r="MH594" s="1185"/>
      <c r="MI594" s="1185"/>
      <c r="MJ594" s="1185"/>
      <c r="MK594" s="1185"/>
      <c r="ML594" s="1185"/>
      <c r="MM594" s="1185"/>
      <c r="MN594" s="1185"/>
      <c r="MO594" s="1185"/>
      <c r="MP594" s="1185"/>
      <c r="MW594" s="255"/>
      <c r="MX594" s="255"/>
      <c r="NN594" s="255"/>
      <c r="OZ594" s="1296">
        <v>137</v>
      </c>
    </row>
    <row r="595" spans="1:416" ht="9" customHeight="1">
      <c r="A595" s="2034"/>
      <c r="B595" s="2034"/>
      <c r="C595" s="2034"/>
      <c r="D595" s="2034"/>
      <c r="E595" s="1004"/>
      <c r="F595" s="253"/>
      <c r="G595" s="1820"/>
      <c r="H595" s="254"/>
      <c r="K595" s="256"/>
      <c r="L595" s="256"/>
      <c r="M595" s="256"/>
      <c r="N595" s="256"/>
      <c r="O595" s="256"/>
      <c r="P595" s="256"/>
      <c r="S595" s="1920"/>
      <c r="T595" s="1920"/>
      <c r="U595" s="1920"/>
      <c r="V595" s="1920"/>
      <c r="W595" s="1920"/>
      <c r="X595" s="253"/>
      <c r="AA595" s="253"/>
      <c r="AB595" s="256"/>
      <c r="AC595" s="253"/>
      <c r="AF595" s="253"/>
      <c r="AG595" s="256"/>
      <c r="AH595" s="253"/>
      <c r="AK595" s="253"/>
      <c r="AL595" s="256"/>
      <c r="AM595" s="253"/>
      <c r="AP595" s="253"/>
      <c r="AQ595" s="256"/>
      <c r="AR595" s="257"/>
      <c r="AS595" s="257"/>
      <c r="AT595" s="257"/>
      <c r="AU595" s="257"/>
      <c r="AV595" s="257"/>
      <c r="AW595" s="257"/>
      <c r="AX595" s="590"/>
      <c r="AY595" s="253"/>
      <c r="BB595" s="257"/>
      <c r="BC595" s="590"/>
      <c r="BD595" s="253"/>
      <c r="LF595" s="1185"/>
      <c r="LK595" s="1185"/>
      <c r="LP595" s="1185"/>
      <c r="LU595" s="1185"/>
      <c r="LV595" s="1185"/>
      <c r="LW595" s="1185"/>
      <c r="LX595" s="1185"/>
      <c r="LY595" s="1185"/>
      <c r="LZ595" s="1185"/>
      <c r="MA595" s="1185"/>
      <c r="MB595" s="1185"/>
      <c r="MC595" s="1185"/>
      <c r="MD595" s="1185"/>
      <c r="ME595" s="1185"/>
      <c r="MF595" s="1185"/>
      <c r="MG595" s="1185"/>
      <c r="MH595" s="1185"/>
      <c r="MI595" s="1185"/>
      <c r="MJ595" s="1185"/>
      <c r="MK595" s="1185"/>
      <c r="ML595" s="1185"/>
      <c r="MM595" s="1185"/>
      <c r="MN595" s="1185"/>
      <c r="MO595" s="1185"/>
      <c r="MP595" s="1185"/>
      <c r="MW595" s="255"/>
      <c r="MX595" s="255"/>
      <c r="NN595" s="255"/>
      <c r="OZ595" s="1771">
        <v>138</v>
      </c>
    </row>
    <row r="596" spans="1:416" ht="13.5" customHeight="1">
      <c r="A596" s="2034"/>
      <c r="B596" s="2034"/>
      <c r="C596" s="2034"/>
      <c r="D596" s="2034"/>
      <c r="E596" s="1004" t="s">
        <v>1253</v>
      </c>
      <c r="F596" s="253"/>
      <c r="G596" s="1820"/>
      <c r="H596" s="254"/>
      <c r="K596" s="2020">
        <f>K605+K609+K613+K615+K617+K619</f>
        <v>0</v>
      </c>
      <c r="L596" s="2020">
        <f>L605+L609+L613+L615+L617+L619</f>
        <v>0</v>
      </c>
      <c r="M596" s="2020">
        <f>M605+M609+M613+M615+M617+M619</f>
        <v>0</v>
      </c>
      <c r="N596" s="2020">
        <f>N605+N609+N613+N615+N617+N619</f>
        <v>0</v>
      </c>
      <c r="O596" s="2020">
        <f>O605+O609+O613+O615+O617+O619</f>
        <v>0</v>
      </c>
      <c r="P596" s="2020">
        <f>SUM(K596:O596)</f>
        <v>0</v>
      </c>
      <c r="S596" s="1920"/>
      <c r="T596" s="1920"/>
      <c r="U596" s="1920"/>
      <c r="V596" s="1920"/>
      <c r="W596" s="1920"/>
      <c r="X596" s="253"/>
      <c r="AA596" s="253"/>
      <c r="AB596" s="256"/>
      <c r="AC596" s="253"/>
      <c r="AF596" s="253"/>
      <c r="AG596" s="256"/>
      <c r="AH596" s="253"/>
      <c r="AK596" s="253"/>
      <c r="AL596" s="256"/>
      <c r="AM596" s="253"/>
      <c r="AP596" s="253"/>
      <c r="AQ596" s="256"/>
      <c r="AR596" s="257"/>
      <c r="AS596" s="257"/>
      <c r="AT596" s="257"/>
      <c r="AU596" s="257"/>
      <c r="AV596" s="257"/>
      <c r="AW596" s="257"/>
      <c r="AX596" s="590"/>
      <c r="AY596" s="253"/>
      <c r="BB596" s="257"/>
      <c r="BC596" s="590"/>
      <c r="BD596" s="253"/>
      <c r="LF596" s="1185"/>
      <c r="LK596" s="1185"/>
      <c r="LP596" s="1185"/>
      <c r="LU596" s="1185"/>
      <c r="LV596" s="1185"/>
      <c r="LW596" s="1185"/>
      <c r="LX596" s="1185"/>
      <c r="LY596" s="1185"/>
      <c r="LZ596" s="1185"/>
      <c r="MA596" s="1185"/>
      <c r="MB596" s="1185"/>
      <c r="MC596" s="1185"/>
      <c r="MD596" s="1185"/>
      <c r="ME596" s="1185"/>
      <c r="MF596" s="1185"/>
      <c r="MG596" s="1185"/>
      <c r="MH596" s="1185"/>
      <c r="MI596" s="1185"/>
      <c r="MJ596" s="1185"/>
      <c r="MK596" s="1185"/>
      <c r="ML596" s="1185"/>
      <c r="MM596" s="1185"/>
      <c r="MN596" s="1185"/>
      <c r="MO596" s="1185"/>
      <c r="MP596" s="1185"/>
      <c r="MW596" s="255"/>
      <c r="MX596" s="255"/>
      <c r="NN596" s="255"/>
      <c r="OZ596" s="1296">
        <v>139</v>
      </c>
    </row>
    <row r="597" spans="1:416" ht="14.25" customHeight="1">
      <c r="D597" s="253"/>
      <c r="E597" s="1004"/>
      <c r="F597" s="253"/>
      <c r="G597" s="1820"/>
      <c r="H597" s="254"/>
      <c r="K597" s="2031"/>
      <c r="L597" s="2031"/>
      <c r="M597" s="2031"/>
      <c r="N597" s="2031"/>
      <c r="O597" s="2031"/>
      <c r="P597" s="2031"/>
      <c r="U597" s="1984"/>
      <c r="X597" s="253"/>
      <c r="AA597" s="253"/>
      <c r="AB597" s="256"/>
      <c r="AC597" s="253"/>
      <c r="AF597" s="253"/>
      <c r="AG597" s="256"/>
      <c r="AH597" s="253"/>
      <c r="AK597" s="253"/>
      <c r="AL597" s="256"/>
      <c r="AM597" s="253"/>
      <c r="AP597" s="253"/>
      <c r="AQ597" s="256"/>
      <c r="AR597" s="253"/>
      <c r="AS597" s="253"/>
      <c r="AT597" s="253"/>
      <c r="AU597" s="253"/>
      <c r="AV597" s="253"/>
      <c r="AW597" s="253"/>
      <c r="AY597" s="253"/>
      <c r="BB597" s="253"/>
      <c r="BD597" s="253"/>
      <c r="LF597" s="1185"/>
      <c r="LK597" s="1185"/>
      <c r="LP597" s="1185"/>
      <c r="LU597" s="1185"/>
      <c r="LV597" s="1185"/>
      <c r="LW597" s="1185"/>
      <c r="LX597" s="1185"/>
      <c r="LY597" s="1185"/>
      <c r="LZ597" s="1185"/>
      <c r="MA597" s="1185"/>
      <c r="MB597" s="1185"/>
      <c r="MC597" s="1185"/>
      <c r="MD597" s="1185"/>
      <c r="ME597" s="1185"/>
      <c r="MF597" s="1185"/>
      <c r="MG597" s="1185"/>
      <c r="MH597" s="1185"/>
      <c r="MI597" s="1185"/>
      <c r="MJ597" s="1185"/>
      <c r="MK597" s="1185"/>
      <c r="ML597" s="1185"/>
      <c r="MM597" s="1185"/>
      <c r="MN597" s="1185"/>
      <c r="MO597" s="1185"/>
      <c r="MP597" s="1185"/>
      <c r="MW597" s="255"/>
      <c r="MX597" s="255"/>
      <c r="NN597" s="255"/>
      <c r="OZ597" s="1185">
        <v>140</v>
      </c>
    </row>
    <row r="598" spans="1:416" ht="13.5" customHeight="1">
      <c r="C598" s="1920" t="s">
        <v>1254</v>
      </c>
      <c r="D598" s="1920"/>
      <c r="E598" s="1004" t="s">
        <v>1255</v>
      </c>
      <c r="F598" s="253"/>
      <c r="G598" s="1820"/>
      <c r="H598" s="254"/>
      <c r="K598" s="2035" t="str">
        <f>'Part V-Revenues &amp; Expenses'!K145</f>
        <v>No</v>
      </c>
      <c r="L598" s="253" t="s">
        <v>1256</v>
      </c>
      <c r="M598" s="1820"/>
      <c r="N598" s="254"/>
      <c r="S598" s="1741"/>
      <c r="U598" s="1984"/>
      <c r="X598" s="253"/>
      <c r="AA598" s="253"/>
      <c r="AB598" s="256"/>
      <c r="AC598" s="253"/>
      <c r="AF598" s="253"/>
      <c r="AG598" s="256"/>
      <c r="AH598" s="253"/>
      <c r="AK598" s="253"/>
      <c r="AL598" s="256"/>
      <c r="AM598" s="253"/>
      <c r="AP598" s="253"/>
      <c r="AQ598" s="256"/>
      <c r="AR598" s="253"/>
      <c r="AS598" s="253"/>
      <c r="AT598" s="253"/>
      <c r="AU598" s="253"/>
      <c r="AV598" s="253"/>
      <c r="AW598" s="253"/>
      <c r="AY598" s="253"/>
      <c r="BB598" s="253"/>
      <c r="BD598" s="253"/>
      <c r="LF598" s="1185"/>
      <c r="LK598" s="1185"/>
      <c r="LP598" s="1185"/>
      <c r="LU598" s="1185"/>
      <c r="LV598" s="1185"/>
      <c r="LW598" s="1185"/>
      <c r="LX598" s="1185"/>
      <c r="LY598" s="1185"/>
      <c r="LZ598" s="1185"/>
      <c r="MA598" s="1185"/>
      <c r="MB598" s="1185"/>
      <c r="MC598" s="1185"/>
      <c r="MD598" s="1185"/>
      <c r="ME598" s="1185"/>
      <c r="MF598" s="1185"/>
      <c r="MG598" s="1185"/>
      <c r="MH598" s="1185"/>
      <c r="MI598" s="1185"/>
      <c r="MJ598" s="1185"/>
      <c r="MK598" s="1185"/>
      <c r="ML598" s="1185"/>
      <c r="MM598" s="1185"/>
      <c r="MN598" s="1185"/>
      <c r="MO598" s="1185"/>
      <c r="MP598" s="1185"/>
      <c r="MW598" s="255"/>
      <c r="MX598" s="255"/>
      <c r="NN598" s="255"/>
      <c r="OZ598" s="1296">
        <v>141</v>
      </c>
    </row>
    <row r="599" spans="1:416" ht="13.5" customHeight="1">
      <c r="C599" s="1920"/>
      <c r="D599" s="1920"/>
      <c r="E599" s="1004"/>
      <c r="K599" s="2035" t="str">
        <f>'Part V-Revenues &amp; Expenses'!K146</f>
        <v>No</v>
      </c>
      <c r="L599" s="1920" t="s">
        <v>1257</v>
      </c>
      <c r="M599" s="1920"/>
      <c r="N599" s="1920"/>
      <c r="O599" s="1920"/>
      <c r="P599" s="1920"/>
      <c r="S599" s="1741"/>
      <c r="U599" s="1984"/>
      <c r="X599" s="253"/>
      <c r="AA599" s="253"/>
      <c r="AB599" s="256"/>
      <c r="AC599" s="253"/>
      <c r="AF599" s="253"/>
      <c r="AG599" s="256"/>
      <c r="AH599" s="253"/>
      <c r="AK599" s="253"/>
      <c r="AL599" s="256"/>
      <c r="AM599" s="253"/>
      <c r="AP599" s="253"/>
      <c r="AQ599" s="256"/>
      <c r="AR599" s="253"/>
      <c r="AS599" s="253"/>
      <c r="AT599" s="253"/>
      <c r="AU599" s="253"/>
      <c r="AV599" s="253"/>
      <c r="AW599" s="253"/>
      <c r="AY599" s="253"/>
      <c r="BB599" s="253"/>
      <c r="BD599" s="253"/>
      <c r="LF599" s="1185"/>
      <c r="LK599" s="1185"/>
      <c r="LP599" s="1185"/>
      <c r="LU599" s="1185"/>
      <c r="LV599" s="1185"/>
      <c r="LW599" s="1185"/>
      <c r="LX599" s="1185"/>
      <c r="LY599" s="1185"/>
      <c r="LZ599" s="1185"/>
      <c r="MA599" s="1185"/>
      <c r="MB599" s="1185"/>
      <c r="MC599" s="1185"/>
      <c r="MD599" s="1185"/>
      <c r="ME599" s="1185"/>
      <c r="MF599" s="1185"/>
      <c r="MG599" s="1185"/>
      <c r="MH599" s="1185"/>
      <c r="MI599" s="1185"/>
      <c r="MJ599" s="1185"/>
      <c r="MK599" s="1185"/>
      <c r="ML599" s="1185"/>
      <c r="MM599" s="1185"/>
      <c r="MN599" s="1185"/>
      <c r="MO599" s="1185"/>
      <c r="MP599" s="1185"/>
      <c r="MW599" s="255"/>
      <c r="MX599" s="255"/>
      <c r="NN599" s="255"/>
      <c r="OZ599" s="1296">
        <v>142</v>
      </c>
    </row>
    <row r="600" spans="1:416" ht="14.25" customHeight="1">
      <c r="C600" s="1920"/>
      <c r="D600" s="1920"/>
      <c r="E600" s="1004"/>
      <c r="K600" s="2031"/>
      <c r="L600" s="1920"/>
      <c r="M600" s="1920"/>
      <c r="N600" s="1920"/>
      <c r="O600" s="1920"/>
      <c r="P600" s="1920"/>
      <c r="S600" s="1741"/>
      <c r="U600" s="1984"/>
      <c r="X600" s="253"/>
      <c r="AA600" s="253"/>
      <c r="AB600" s="256"/>
      <c r="AC600" s="253"/>
      <c r="AF600" s="253"/>
      <c r="AG600" s="256"/>
      <c r="AH600" s="253"/>
      <c r="AK600" s="253"/>
      <c r="AL600" s="256"/>
      <c r="AM600" s="253"/>
      <c r="AP600" s="253"/>
      <c r="AQ600" s="256"/>
      <c r="AR600" s="253"/>
      <c r="AS600" s="253"/>
      <c r="AT600" s="253"/>
      <c r="AU600" s="253"/>
      <c r="AV600" s="253"/>
      <c r="AW600" s="253"/>
      <c r="AY600" s="253"/>
      <c r="BB600" s="253"/>
      <c r="BD600" s="253"/>
      <c r="LF600" s="1185"/>
      <c r="LK600" s="1185"/>
      <c r="LP600" s="1185"/>
      <c r="LU600" s="1185"/>
      <c r="LV600" s="1185"/>
      <c r="LW600" s="1185"/>
      <c r="LX600" s="1185"/>
      <c r="LY600" s="1185"/>
      <c r="LZ600" s="1185"/>
      <c r="MA600" s="1185"/>
      <c r="MB600" s="1185"/>
      <c r="MC600" s="1185"/>
      <c r="MD600" s="1185"/>
      <c r="ME600" s="1185"/>
      <c r="MF600" s="1185"/>
      <c r="MG600" s="1185"/>
      <c r="MH600" s="1185"/>
      <c r="MI600" s="1185"/>
      <c r="MJ600" s="1185"/>
      <c r="MK600" s="1185"/>
      <c r="ML600" s="1185"/>
      <c r="MM600" s="1185"/>
      <c r="MN600" s="1185"/>
      <c r="MO600" s="1185"/>
      <c r="MP600" s="1185"/>
      <c r="MW600" s="255"/>
      <c r="MX600" s="255"/>
      <c r="NN600" s="255"/>
      <c r="OZ600" s="1185">
        <v>143</v>
      </c>
    </row>
    <row r="601" spans="1:416" ht="3" customHeight="1">
      <c r="C601" s="2036"/>
      <c r="D601" s="2036"/>
      <c r="E601" s="1004"/>
      <c r="K601" s="2031"/>
      <c r="L601" s="2036"/>
      <c r="M601" s="2036"/>
      <c r="N601" s="2036"/>
      <c r="O601" s="2036"/>
      <c r="P601" s="2036"/>
      <c r="S601" s="1741"/>
      <c r="U601" s="1984"/>
      <c r="X601" s="253"/>
      <c r="AA601" s="253"/>
      <c r="AB601" s="256"/>
      <c r="AC601" s="253"/>
      <c r="AF601" s="253"/>
      <c r="AG601" s="256"/>
      <c r="AH601" s="253"/>
      <c r="AK601" s="253"/>
      <c r="AL601" s="256"/>
      <c r="AM601" s="253"/>
      <c r="AP601" s="253"/>
      <c r="AQ601" s="256"/>
      <c r="AR601" s="253"/>
      <c r="AS601" s="253"/>
      <c r="AT601" s="253"/>
      <c r="AU601" s="253"/>
      <c r="AV601" s="253"/>
      <c r="AW601" s="253"/>
      <c r="AY601" s="253"/>
      <c r="BB601" s="253"/>
      <c r="BD601" s="253"/>
      <c r="LF601" s="1185"/>
      <c r="LK601" s="1185"/>
      <c r="LP601" s="1185"/>
      <c r="LU601" s="1185"/>
      <c r="LV601" s="1185"/>
      <c r="LW601" s="1185"/>
      <c r="LX601" s="1185"/>
      <c r="LY601" s="1185"/>
      <c r="LZ601" s="1185"/>
      <c r="MA601" s="1185"/>
      <c r="MB601" s="1185"/>
      <c r="MC601" s="1185"/>
      <c r="MD601" s="1185"/>
      <c r="ME601" s="1185"/>
      <c r="MF601" s="1185"/>
      <c r="MG601" s="1185"/>
      <c r="MH601" s="1185"/>
      <c r="MI601" s="1185"/>
      <c r="MJ601" s="1185"/>
      <c r="MK601" s="1185"/>
      <c r="ML601" s="1185"/>
      <c r="MM601" s="1185"/>
      <c r="MN601" s="1185"/>
      <c r="MO601" s="1185"/>
      <c r="MP601" s="1185"/>
      <c r="MW601" s="255"/>
      <c r="MX601" s="255"/>
      <c r="NN601" s="255"/>
      <c r="OZ601" s="1296">
        <v>144</v>
      </c>
    </row>
    <row r="602" spans="1:416" ht="14.25" customHeight="1">
      <c r="A602" s="255" t="s">
        <v>25</v>
      </c>
      <c r="B602" s="255" t="s">
        <v>7551</v>
      </c>
      <c r="H602" s="254"/>
      <c r="L602" s="1907">
        <f>$O$58</f>
        <v>0</v>
      </c>
      <c r="M602" s="1907"/>
      <c r="N602" s="1907"/>
      <c r="O602" s="1907"/>
      <c r="P602" s="2031"/>
      <c r="S602" s="1741" t="str">
        <f>C603</f>
        <v xml:space="preserve">Building Type: (for Utility Allowance, Monitoring Fees, etc)
</v>
      </c>
      <c r="U602" s="1984"/>
      <c r="X602" s="253"/>
      <c r="AA602" s="253"/>
      <c r="AB602" s="256"/>
      <c r="AC602" s="253"/>
      <c r="AF602" s="253"/>
      <c r="AG602" s="256"/>
      <c r="AH602" s="253"/>
      <c r="AK602" s="253"/>
      <c r="AL602" s="256"/>
      <c r="AM602" s="253"/>
      <c r="AP602" s="253"/>
      <c r="AQ602" s="256"/>
      <c r="AR602" s="253"/>
      <c r="AS602" s="253"/>
      <c r="AT602" s="253"/>
      <c r="AU602" s="253"/>
      <c r="AV602" s="253"/>
      <c r="AW602" s="253"/>
      <c r="AY602" s="253"/>
      <c r="BB602" s="253"/>
      <c r="BD602" s="253"/>
      <c r="LF602" s="1185"/>
      <c r="LK602" s="1185"/>
      <c r="LP602" s="1185"/>
      <c r="LU602" s="1185"/>
      <c r="LV602" s="1185"/>
      <c r="LW602" s="1185"/>
      <c r="LX602" s="1185"/>
      <c r="LY602" s="1185"/>
      <c r="LZ602" s="1185"/>
      <c r="MA602" s="1185"/>
      <c r="MB602" s="1185"/>
      <c r="MC602" s="1185"/>
      <c r="MD602" s="1185"/>
      <c r="ME602" s="1185"/>
      <c r="MF602" s="1185"/>
      <c r="MG602" s="1185"/>
      <c r="MH602" s="1185"/>
      <c r="MI602" s="1185"/>
      <c r="MJ602" s="1185"/>
      <c r="MK602" s="1185"/>
      <c r="ML602" s="1185"/>
      <c r="MM602" s="1185"/>
      <c r="MN602" s="1185"/>
      <c r="MO602" s="1185"/>
      <c r="MP602" s="1185"/>
      <c r="MW602" s="255"/>
      <c r="MX602" s="255"/>
      <c r="NN602" s="255"/>
      <c r="OZ602" s="1296">
        <v>145</v>
      </c>
    </row>
    <row r="603" spans="1:416" ht="14.25" customHeight="1">
      <c r="C603" s="1920" t="s">
        <v>7553</v>
      </c>
      <c r="D603" s="1920"/>
      <c r="E603" s="1004" t="s">
        <v>649</v>
      </c>
      <c r="F603" s="253"/>
      <c r="G603" s="1820"/>
      <c r="H603" s="254"/>
      <c r="K603" s="2026">
        <f t="shared" ref="K603:P603" si="398">SUM(K604:K611)</f>
        <v>0</v>
      </c>
      <c r="L603" s="2026">
        <f t="shared" si="398"/>
        <v>24</v>
      </c>
      <c r="M603" s="2026">
        <f t="shared" si="398"/>
        <v>48</v>
      </c>
      <c r="N603" s="2026">
        <f t="shared" si="398"/>
        <v>24</v>
      </c>
      <c r="O603" s="2026">
        <f t="shared" si="398"/>
        <v>0</v>
      </c>
      <c r="P603" s="2026">
        <f t="shared" si="398"/>
        <v>96</v>
      </c>
      <c r="S603" s="1920"/>
      <c r="T603" s="1920"/>
      <c r="U603" s="1920"/>
      <c r="V603" s="1920"/>
      <c r="W603" s="1920"/>
      <c r="X603" s="253"/>
      <c r="AA603" s="253"/>
      <c r="AB603" s="256"/>
      <c r="AC603" s="253"/>
      <c r="AF603" s="253"/>
      <c r="AG603" s="256"/>
      <c r="AH603" s="253"/>
      <c r="AK603" s="253"/>
      <c r="AL603" s="256"/>
      <c r="AM603" s="253"/>
      <c r="AP603" s="253"/>
      <c r="AQ603" s="256"/>
      <c r="AR603" s="257"/>
      <c r="AS603" s="257"/>
      <c r="AT603" s="257"/>
      <c r="AU603" s="257"/>
      <c r="AV603" s="257"/>
      <c r="AW603" s="257"/>
      <c r="BB603" s="257"/>
      <c r="MW603" s="255"/>
      <c r="MX603" s="255"/>
      <c r="NN603" s="255"/>
      <c r="OZ603" s="1296">
        <v>146</v>
      </c>
    </row>
    <row r="604" spans="1:416" ht="14.25" customHeight="1">
      <c r="C604" s="1920"/>
      <c r="D604" s="1920"/>
      <c r="E604" s="1004"/>
      <c r="F604" s="253"/>
      <c r="H604" s="2037" t="s">
        <v>1259</v>
      </c>
      <c r="I604" s="1286"/>
      <c r="K604" s="2020">
        <f>LB511</f>
        <v>0</v>
      </c>
      <c r="L604" s="2020">
        <f>LC511</f>
        <v>24</v>
      </c>
      <c r="M604" s="2020">
        <f>LD511</f>
        <v>48</v>
      </c>
      <c r="N604" s="2020">
        <f>LE511</f>
        <v>24</v>
      </c>
      <c r="O604" s="2020">
        <f>LF511</f>
        <v>0</v>
      </c>
      <c r="P604" s="2020">
        <f t="shared" ref="P604:P619" si="399">SUM(K604:O604)</f>
        <v>96</v>
      </c>
      <c r="S604" s="1920"/>
      <c r="T604" s="1920"/>
      <c r="U604" s="1920"/>
      <c r="V604" s="1920"/>
      <c r="W604" s="1920"/>
      <c r="X604" s="253"/>
      <c r="AA604" s="253"/>
      <c r="AB604" s="256"/>
      <c r="AC604" s="253"/>
      <c r="AF604" s="253"/>
      <c r="AG604" s="256"/>
      <c r="AH604" s="253"/>
      <c r="AK604" s="253"/>
      <c r="AL604" s="256"/>
      <c r="AM604" s="253"/>
      <c r="AP604" s="253"/>
      <c r="AQ604" s="256"/>
      <c r="AR604" s="257"/>
      <c r="AS604" s="257"/>
      <c r="AT604" s="257"/>
      <c r="AU604" s="257"/>
      <c r="AV604" s="257"/>
      <c r="AW604" s="257"/>
      <c r="BB604" s="257"/>
      <c r="MW604" s="255"/>
      <c r="MX604" s="255"/>
      <c r="NN604" s="255"/>
      <c r="OZ604" s="1296">
        <v>147</v>
      </c>
    </row>
    <row r="605" spans="1:416" ht="14.25" customHeight="1">
      <c r="C605" s="1920"/>
      <c r="D605" s="1920"/>
      <c r="E605" s="1004"/>
      <c r="F605" s="253"/>
      <c r="H605" s="2038" t="s">
        <v>1253</v>
      </c>
      <c r="I605" s="2039"/>
      <c r="K605" s="2025">
        <f>LL511</f>
        <v>0</v>
      </c>
      <c r="L605" s="2025">
        <f>LM511</f>
        <v>0</v>
      </c>
      <c r="M605" s="2025">
        <f>LN511</f>
        <v>0</v>
      </c>
      <c r="N605" s="2025">
        <f>LO511</f>
        <v>0</v>
      </c>
      <c r="O605" s="2025">
        <f>LP511</f>
        <v>0</v>
      </c>
      <c r="P605" s="2025">
        <f t="shared" si="399"/>
        <v>0</v>
      </c>
      <c r="S605" s="1920"/>
      <c r="T605" s="1920"/>
      <c r="U605" s="1920"/>
      <c r="V605" s="1920"/>
      <c r="W605" s="1920"/>
      <c r="X605" s="253"/>
      <c r="AA605" s="253"/>
      <c r="AB605" s="256"/>
      <c r="AC605" s="253"/>
      <c r="AF605" s="253"/>
      <c r="AG605" s="256"/>
      <c r="AH605" s="253"/>
      <c r="AK605" s="253"/>
      <c r="AL605" s="256"/>
      <c r="AM605" s="253"/>
      <c r="AP605" s="253"/>
      <c r="AQ605" s="256"/>
      <c r="AR605" s="257"/>
      <c r="AS605" s="257"/>
      <c r="AT605" s="257"/>
      <c r="AU605" s="257"/>
      <c r="AV605" s="257"/>
      <c r="AW605" s="257"/>
      <c r="BB605" s="257"/>
      <c r="MW605" s="255"/>
      <c r="MX605" s="255"/>
      <c r="NN605" s="255"/>
      <c r="OZ605" s="1296">
        <v>148</v>
      </c>
    </row>
    <row r="606" spans="1:416" ht="14.25" customHeight="1">
      <c r="C606" s="1920"/>
      <c r="D606" s="1920"/>
      <c r="E606" s="1004"/>
      <c r="F606" s="253"/>
      <c r="H606" s="2037" t="s">
        <v>1260</v>
      </c>
      <c r="I606" s="1286"/>
      <c r="K606" s="2020">
        <f>LG511</f>
        <v>0</v>
      </c>
      <c r="L606" s="2020">
        <f>LH511</f>
        <v>0</v>
      </c>
      <c r="M606" s="2020">
        <f>LI511</f>
        <v>0</v>
      </c>
      <c r="N606" s="2020">
        <f>LJ511</f>
        <v>0</v>
      </c>
      <c r="O606" s="2020">
        <f>LK511</f>
        <v>0</v>
      </c>
      <c r="P606" s="2020">
        <f t="shared" si="399"/>
        <v>0</v>
      </c>
      <c r="S606" s="1920"/>
      <c r="T606" s="1920"/>
      <c r="U606" s="1920"/>
      <c r="V606" s="1920"/>
      <c r="W606" s="1920"/>
      <c r="X606" s="253"/>
      <c r="AA606" s="253"/>
      <c r="AB606" s="256"/>
      <c r="AC606" s="253"/>
      <c r="AF606" s="253"/>
      <c r="AG606" s="256"/>
      <c r="AH606" s="253"/>
      <c r="AK606" s="253"/>
      <c r="AL606" s="256"/>
      <c r="AM606" s="253"/>
      <c r="AP606" s="253"/>
      <c r="AQ606" s="256"/>
      <c r="AR606" s="257"/>
      <c r="AS606" s="257"/>
      <c r="AT606" s="257"/>
      <c r="AU606" s="257"/>
      <c r="AV606" s="257"/>
      <c r="AW606" s="257"/>
      <c r="BB606" s="257"/>
      <c r="MW606" s="255"/>
      <c r="MX606" s="255"/>
      <c r="NN606" s="255"/>
      <c r="OZ606" s="1771">
        <v>149</v>
      </c>
    </row>
    <row r="607" spans="1:416" ht="14.25" customHeight="1">
      <c r="C607" s="1920"/>
      <c r="D607" s="1920"/>
      <c r="E607" s="1004"/>
      <c r="F607" s="253"/>
      <c r="H607" s="2038" t="s">
        <v>1253</v>
      </c>
      <c r="I607" s="2039"/>
      <c r="K607" s="2025">
        <f>LQ511</f>
        <v>0</v>
      </c>
      <c r="L607" s="2025">
        <f>LR511</f>
        <v>0</v>
      </c>
      <c r="M607" s="2025">
        <f>LS511</f>
        <v>0</v>
      </c>
      <c r="N607" s="2025">
        <f>LT511</f>
        <v>0</v>
      </c>
      <c r="O607" s="2025">
        <f>LU511</f>
        <v>0</v>
      </c>
      <c r="P607" s="2025">
        <f t="shared" si="399"/>
        <v>0</v>
      </c>
      <c r="S607" s="1920"/>
      <c r="T607" s="1920"/>
      <c r="U607" s="1920"/>
      <c r="V607" s="1920"/>
      <c r="W607" s="1920"/>
      <c r="X607" s="253"/>
      <c r="AA607" s="253"/>
      <c r="AB607" s="256"/>
      <c r="AC607" s="253"/>
      <c r="AF607" s="253"/>
      <c r="AG607" s="256"/>
      <c r="AH607" s="253"/>
      <c r="AK607" s="253"/>
      <c r="AL607" s="256"/>
      <c r="AM607" s="253"/>
      <c r="AP607" s="253"/>
      <c r="AQ607" s="256"/>
      <c r="AR607" s="257"/>
      <c r="AS607" s="257"/>
      <c r="AT607" s="257"/>
      <c r="AU607" s="257"/>
      <c r="AV607" s="257"/>
      <c r="AW607" s="257"/>
      <c r="BB607" s="257"/>
      <c r="MW607" s="255"/>
      <c r="MX607" s="255"/>
      <c r="NN607" s="255"/>
      <c r="OZ607" s="1296">
        <v>150</v>
      </c>
    </row>
    <row r="608" spans="1:416" ht="14.25" customHeight="1">
      <c r="C608" s="1920"/>
      <c r="D608" s="1920"/>
      <c r="E608" s="1004"/>
      <c r="F608" s="253"/>
      <c r="H608" s="2037" t="s">
        <v>1261</v>
      </c>
      <c r="I608" s="1286"/>
      <c r="K608" s="2020">
        <f>LV511</f>
        <v>0</v>
      </c>
      <c r="L608" s="2020">
        <f>LW511</f>
        <v>0</v>
      </c>
      <c r="M608" s="2020">
        <f>LX511</f>
        <v>0</v>
      </c>
      <c r="N608" s="2020">
        <f>LY511</f>
        <v>0</v>
      </c>
      <c r="O608" s="2020">
        <f>LZ511</f>
        <v>0</v>
      </c>
      <c r="P608" s="2020">
        <f t="shared" si="399"/>
        <v>0</v>
      </c>
      <c r="S608" s="1920"/>
      <c r="T608" s="1920"/>
      <c r="U608" s="1920"/>
      <c r="V608" s="1920"/>
      <c r="W608" s="1920"/>
      <c r="X608" s="253"/>
      <c r="AA608" s="253"/>
      <c r="AB608" s="256"/>
      <c r="AC608" s="253"/>
      <c r="AF608" s="253"/>
      <c r="AG608" s="256"/>
      <c r="AH608" s="253"/>
      <c r="AK608" s="253"/>
      <c r="AL608" s="256"/>
      <c r="AM608" s="253"/>
      <c r="AP608" s="253"/>
      <c r="AQ608" s="256"/>
      <c r="AR608" s="257"/>
      <c r="AS608" s="257"/>
      <c r="AT608" s="257"/>
      <c r="AU608" s="257"/>
      <c r="AV608" s="257"/>
      <c r="AW608" s="257"/>
      <c r="BB608" s="257"/>
      <c r="MW608" s="255"/>
      <c r="MX608" s="255"/>
      <c r="OZ608" s="1185">
        <v>151</v>
      </c>
    </row>
    <row r="609" spans="1:416" ht="14.25" customHeight="1">
      <c r="C609" s="1920"/>
      <c r="D609" s="1920"/>
      <c r="E609" s="1004"/>
      <c r="F609" s="253"/>
      <c r="H609" s="2038" t="s">
        <v>1253</v>
      </c>
      <c r="I609" s="2039"/>
      <c r="K609" s="2025">
        <f>MF511</f>
        <v>0</v>
      </c>
      <c r="L609" s="2025">
        <f>MG511</f>
        <v>0</v>
      </c>
      <c r="M609" s="2025">
        <f>MH511</f>
        <v>0</v>
      </c>
      <c r="N609" s="2025">
        <f>MI511</f>
        <v>0</v>
      </c>
      <c r="O609" s="2025">
        <f>MJ511</f>
        <v>0</v>
      </c>
      <c r="P609" s="2025">
        <f t="shared" si="399"/>
        <v>0</v>
      </c>
      <c r="S609" s="1920"/>
      <c r="T609" s="1920"/>
      <c r="U609" s="1920"/>
      <c r="V609" s="1920"/>
      <c r="W609" s="1920"/>
      <c r="X609" s="253"/>
      <c r="AA609" s="253"/>
      <c r="AB609" s="256"/>
      <c r="AC609" s="253"/>
      <c r="AF609" s="253"/>
      <c r="AG609" s="256"/>
      <c r="AH609" s="253"/>
      <c r="AK609" s="253"/>
      <c r="AL609" s="256"/>
      <c r="AM609" s="253"/>
      <c r="AP609" s="253"/>
      <c r="AQ609" s="256"/>
      <c r="AR609" s="257"/>
      <c r="AS609" s="257"/>
      <c r="AT609" s="257"/>
      <c r="AU609" s="257"/>
      <c r="AV609" s="257"/>
      <c r="AW609" s="257"/>
      <c r="BB609" s="257"/>
      <c r="MW609" s="255"/>
      <c r="MX609" s="255"/>
      <c r="OZ609" s="1296">
        <v>152</v>
      </c>
    </row>
    <row r="610" spans="1:416" ht="14.25" customHeight="1">
      <c r="C610" s="1920"/>
      <c r="D610" s="1920"/>
      <c r="E610" s="1004"/>
      <c r="F610" s="253"/>
      <c r="H610" s="2037" t="s">
        <v>1262</v>
      </c>
      <c r="I610" s="1286"/>
      <c r="K610" s="2020">
        <f>MA511</f>
        <v>0</v>
      </c>
      <c r="L610" s="2020">
        <f>MB511</f>
        <v>0</v>
      </c>
      <c r="M610" s="2020">
        <f>MC511</f>
        <v>0</v>
      </c>
      <c r="N610" s="2020">
        <f>MD511</f>
        <v>0</v>
      </c>
      <c r="O610" s="2020">
        <f>ME511</f>
        <v>0</v>
      </c>
      <c r="P610" s="2020">
        <f t="shared" si="399"/>
        <v>0</v>
      </c>
      <c r="S610" s="1920"/>
      <c r="T610" s="1920"/>
      <c r="U610" s="1920"/>
      <c r="V610" s="1920"/>
      <c r="W610" s="1920"/>
      <c r="X610" s="253"/>
      <c r="AA610" s="253"/>
      <c r="AB610" s="256"/>
      <c r="AC610" s="253"/>
      <c r="AF610" s="253"/>
      <c r="AG610" s="256"/>
      <c r="AH610" s="253"/>
      <c r="AK610" s="253"/>
      <c r="AL610" s="256"/>
      <c r="AM610" s="253"/>
      <c r="AP610" s="253"/>
      <c r="AQ610" s="256"/>
      <c r="AR610" s="257"/>
      <c r="AS610" s="257"/>
      <c r="AT610" s="257"/>
      <c r="AU610" s="257"/>
      <c r="AV610" s="257"/>
      <c r="AW610" s="257"/>
      <c r="BB610" s="257"/>
      <c r="MW610" s="255"/>
      <c r="MX610" s="255"/>
      <c r="OZ610" s="1296">
        <v>153</v>
      </c>
    </row>
    <row r="611" spans="1:416" ht="14.25" customHeight="1">
      <c r="C611" s="1920"/>
      <c r="D611" s="1920"/>
      <c r="E611" s="1004"/>
      <c r="F611" s="253"/>
      <c r="H611" s="2038" t="s">
        <v>1253</v>
      </c>
      <c r="I611" s="2039"/>
      <c r="K611" s="2025">
        <f>MK511</f>
        <v>0</v>
      </c>
      <c r="L611" s="2025">
        <f>ML511</f>
        <v>0</v>
      </c>
      <c r="M611" s="2025">
        <f>MM511</f>
        <v>0</v>
      </c>
      <c r="N611" s="2025">
        <f>MN511</f>
        <v>0</v>
      </c>
      <c r="O611" s="2025">
        <f>MO511</f>
        <v>0</v>
      </c>
      <c r="P611" s="2025">
        <f t="shared" si="399"/>
        <v>0</v>
      </c>
      <c r="S611" s="1920"/>
      <c r="T611" s="1920"/>
      <c r="U611" s="1920"/>
      <c r="V611" s="1920"/>
      <c r="W611" s="1920"/>
      <c r="X611" s="253"/>
      <c r="AA611" s="253"/>
      <c r="AB611" s="256"/>
      <c r="AC611" s="253"/>
      <c r="AF611" s="253"/>
      <c r="AG611" s="256"/>
      <c r="AH611" s="253"/>
      <c r="AK611" s="253"/>
      <c r="AL611" s="256"/>
      <c r="AM611" s="253"/>
      <c r="AP611" s="253"/>
      <c r="AQ611" s="256"/>
      <c r="AR611" s="257"/>
      <c r="AS611" s="257"/>
      <c r="AT611" s="257"/>
      <c r="AU611" s="257"/>
      <c r="AV611" s="257"/>
      <c r="AW611" s="257"/>
      <c r="BB611" s="257"/>
      <c r="MW611" s="255"/>
      <c r="MX611" s="255"/>
      <c r="OZ611" s="1185">
        <v>154</v>
      </c>
    </row>
    <row r="612" spans="1:416" ht="14.25" customHeight="1">
      <c r="C612" s="2036"/>
      <c r="D612" s="2036"/>
      <c r="E612" s="1004" t="s">
        <v>1263</v>
      </c>
      <c r="F612" s="253"/>
      <c r="H612" s="2037"/>
      <c r="I612" s="1286"/>
      <c r="K612" s="2020">
        <f>JN511</f>
        <v>0</v>
      </c>
      <c r="L612" s="2020">
        <f>JO511</f>
        <v>0</v>
      </c>
      <c r="M612" s="2020">
        <f>JP511</f>
        <v>0</v>
      </c>
      <c r="N612" s="2020">
        <f>JQ511</f>
        <v>0</v>
      </c>
      <c r="O612" s="2020">
        <f>JR511</f>
        <v>0</v>
      </c>
      <c r="P612" s="2026">
        <f t="shared" si="399"/>
        <v>0</v>
      </c>
      <c r="S612" s="1920"/>
      <c r="T612" s="1920"/>
      <c r="U612" s="1920"/>
      <c r="V612" s="1920"/>
      <c r="W612" s="1920"/>
      <c r="X612" s="253"/>
      <c r="AA612" s="253"/>
      <c r="AB612" s="256"/>
      <c r="AC612" s="253"/>
      <c r="AF612" s="253"/>
      <c r="AG612" s="256"/>
      <c r="AH612" s="253"/>
      <c r="AK612" s="253"/>
      <c r="AL612" s="256"/>
      <c r="AM612" s="253"/>
      <c r="AP612" s="253"/>
      <c r="AQ612" s="256"/>
      <c r="AR612" s="257"/>
      <c r="AS612" s="257"/>
      <c r="AT612" s="257"/>
      <c r="AU612" s="257"/>
      <c r="AV612" s="257"/>
      <c r="AW612" s="257"/>
      <c r="AX612" s="590"/>
      <c r="AY612" s="253"/>
      <c r="BB612" s="257"/>
      <c r="BC612" s="590"/>
      <c r="BD612" s="253"/>
      <c r="LF612" s="1185"/>
      <c r="LK612" s="1185"/>
      <c r="LP612" s="1185"/>
      <c r="LU612" s="1185"/>
      <c r="LV612" s="1185"/>
      <c r="LW612" s="1185"/>
      <c r="LX612" s="1185"/>
      <c r="LY612" s="1185"/>
      <c r="LZ612" s="1185"/>
      <c r="MA612" s="1185"/>
      <c r="MB612" s="1185"/>
      <c r="MC612" s="1185"/>
      <c r="MD612" s="1185"/>
      <c r="ME612" s="1185"/>
      <c r="MF612" s="1185"/>
      <c r="MG612" s="1185"/>
      <c r="MH612" s="1185"/>
      <c r="MI612" s="1185"/>
      <c r="MJ612" s="1185"/>
      <c r="MK612" s="1185"/>
      <c r="ML612" s="1185"/>
      <c r="MM612" s="1185"/>
      <c r="MN612" s="1185"/>
      <c r="MO612" s="1185"/>
      <c r="MP612" s="1185"/>
      <c r="MW612" s="255"/>
      <c r="MX612" s="255"/>
      <c r="OZ612" s="1296">
        <v>155</v>
      </c>
    </row>
    <row r="613" spans="1:416" ht="14.25" customHeight="1">
      <c r="C613" s="2036"/>
      <c r="D613" s="2036"/>
      <c r="E613" s="1004"/>
      <c r="F613" s="253"/>
      <c r="H613" s="2038" t="s">
        <v>1253</v>
      </c>
      <c r="I613" s="2039"/>
      <c r="K613" s="2025">
        <f>JS511</f>
        <v>0</v>
      </c>
      <c r="L613" s="2025">
        <f>JT511</f>
        <v>0</v>
      </c>
      <c r="M613" s="2025">
        <f>JU511</f>
        <v>0</v>
      </c>
      <c r="N613" s="2025">
        <f>JV511</f>
        <v>0</v>
      </c>
      <c r="O613" s="2025">
        <f>JW511</f>
        <v>0</v>
      </c>
      <c r="P613" s="2040">
        <f t="shared" si="399"/>
        <v>0</v>
      </c>
      <c r="S613" s="1920"/>
      <c r="T613" s="1920"/>
      <c r="U613" s="1920"/>
      <c r="V613" s="1920"/>
      <c r="W613" s="1920"/>
      <c r="X613" s="253"/>
      <c r="AA613" s="253"/>
      <c r="AB613" s="256"/>
      <c r="AC613" s="253"/>
      <c r="AF613" s="253"/>
      <c r="AG613" s="256"/>
      <c r="AH613" s="253"/>
      <c r="AK613" s="253"/>
      <c r="AL613" s="256"/>
      <c r="AM613" s="253"/>
      <c r="AP613" s="253"/>
      <c r="AQ613" s="256"/>
      <c r="AR613" s="257"/>
      <c r="AS613" s="257"/>
      <c r="AT613" s="257"/>
      <c r="AU613" s="257"/>
      <c r="AV613" s="257"/>
      <c r="AW613" s="257"/>
      <c r="AX613" s="590"/>
      <c r="AY613" s="253"/>
      <c r="BB613" s="257"/>
      <c r="BC613" s="590"/>
      <c r="BD613" s="253"/>
      <c r="LF613" s="1185"/>
      <c r="LK613" s="1185"/>
      <c r="LP613" s="1185"/>
      <c r="LU613" s="1185"/>
      <c r="LV613" s="1185"/>
      <c r="LW613" s="1185"/>
      <c r="LX613" s="1185"/>
      <c r="LY613" s="1185"/>
      <c r="LZ613" s="1185"/>
      <c r="MA613" s="1185"/>
      <c r="MB613" s="1185"/>
      <c r="MC613" s="1185"/>
      <c r="MD613" s="1185"/>
      <c r="ME613" s="1185"/>
      <c r="MF613" s="1185"/>
      <c r="MG613" s="1185"/>
      <c r="MH613" s="1185"/>
      <c r="MI613" s="1185"/>
      <c r="MJ613" s="1185"/>
      <c r="MK613" s="1185"/>
      <c r="ML613" s="1185"/>
      <c r="MM613" s="1185"/>
      <c r="MN613" s="1185"/>
      <c r="MO613" s="1185"/>
      <c r="MP613" s="1185"/>
      <c r="MW613" s="255"/>
      <c r="MX613" s="255"/>
      <c r="OZ613" s="1296">
        <v>156</v>
      </c>
    </row>
    <row r="614" spans="1:416" ht="14.25" customHeight="1">
      <c r="C614" s="2036"/>
      <c r="D614" s="2036"/>
      <c r="E614" s="1004" t="s">
        <v>651</v>
      </c>
      <c r="F614" s="253"/>
      <c r="H614" s="2037"/>
      <c r="I614" s="1286"/>
      <c r="K614" s="2020">
        <f>KR511</f>
        <v>0</v>
      </c>
      <c r="L614" s="2020">
        <f>KS511</f>
        <v>0</v>
      </c>
      <c r="M614" s="2020">
        <f>KT511</f>
        <v>0</v>
      </c>
      <c r="N614" s="2020">
        <f>KU511</f>
        <v>0</v>
      </c>
      <c r="O614" s="2020">
        <f>KV511</f>
        <v>0</v>
      </c>
      <c r="P614" s="2026">
        <f t="shared" si="399"/>
        <v>0</v>
      </c>
      <c r="S614" s="1920"/>
      <c r="T614" s="1920"/>
      <c r="U614" s="1920"/>
      <c r="V614" s="1920"/>
      <c r="W614" s="1920"/>
      <c r="X614" s="253"/>
      <c r="AA614" s="253"/>
      <c r="AB614" s="256"/>
      <c r="AC614" s="253"/>
      <c r="AF614" s="253"/>
      <c r="AG614" s="256"/>
      <c r="AH614" s="253"/>
      <c r="AK614" s="253"/>
      <c r="AL614" s="256"/>
      <c r="AM614" s="253"/>
      <c r="AP614" s="253"/>
      <c r="AQ614" s="256"/>
      <c r="AR614" s="257"/>
      <c r="AS614" s="257"/>
      <c r="AT614" s="257"/>
      <c r="AU614" s="257"/>
      <c r="AV614" s="257"/>
      <c r="AW614" s="257"/>
      <c r="BB614" s="257"/>
      <c r="MW614" s="255"/>
      <c r="MX614" s="255"/>
      <c r="OZ614" s="1296">
        <v>157</v>
      </c>
    </row>
    <row r="615" spans="1:416" ht="14.25" customHeight="1">
      <c r="C615" s="2036"/>
      <c r="D615" s="2036"/>
      <c r="E615" s="1004"/>
      <c r="F615" s="253"/>
      <c r="H615" s="2038" t="s">
        <v>1253</v>
      </c>
      <c r="I615" s="2039"/>
      <c r="K615" s="2025">
        <f>KW511</f>
        <v>0</v>
      </c>
      <c r="L615" s="2025">
        <f>KX511</f>
        <v>0</v>
      </c>
      <c r="M615" s="2025">
        <f>KY511</f>
        <v>0</v>
      </c>
      <c r="N615" s="2025">
        <f>KZ511</f>
        <v>0</v>
      </c>
      <c r="O615" s="2025">
        <f>LA511</f>
        <v>0</v>
      </c>
      <c r="P615" s="2040">
        <f t="shared" si="399"/>
        <v>0</v>
      </c>
      <c r="S615" s="1920"/>
      <c r="T615" s="1920"/>
      <c r="U615" s="1920"/>
      <c r="V615" s="1920"/>
      <c r="W615" s="1920"/>
      <c r="X615" s="253"/>
      <c r="AA615" s="253"/>
      <c r="AB615" s="256"/>
      <c r="AC615" s="253"/>
      <c r="AF615" s="253"/>
      <c r="AG615" s="256"/>
      <c r="AH615" s="253"/>
      <c r="AK615" s="253"/>
      <c r="AL615" s="256"/>
      <c r="AM615" s="253"/>
      <c r="AP615" s="253"/>
      <c r="AQ615" s="256"/>
      <c r="AR615" s="257"/>
      <c r="AS615" s="257"/>
      <c r="AT615" s="257"/>
      <c r="AU615" s="257"/>
      <c r="AV615" s="257"/>
      <c r="AW615" s="257"/>
      <c r="BB615" s="257"/>
      <c r="MW615" s="255"/>
      <c r="MX615" s="255"/>
      <c r="OZ615" s="1296">
        <v>158</v>
      </c>
    </row>
    <row r="616" spans="1:416" ht="14.25" customHeight="1">
      <c r="C616" s="2036"/>
      <c r="D616" s="2036"/>
      <c r="E616" s="1004" t="s">
        <v>642</v>
      </c>
      <c r="F616" s="253"/>
      <c r="H616" s="2037"/>
      <c r="I616" s="1286"/>
      <c r="K616" s="2020">
        <f>KH511</f>
        <v>0</v>
      </c>
      <c r="L616" s="2020">
        <f>KI511</f>
        <v>0</v>
      </c>
      <c r="M616" s="2020">
        <f>KJ511</f>
        <v>0</v>
      </c>
      <c r="N616" s="2020">
        <f>KK511</f>
        <v>0</v>
      </c>
      <c r="O616" s="2020">
        <f>KL511</f>
        <v>0</v>
      </c>
      <c r="P616" s="2026">
        <f t="shared" si="399"/>
        <v>0</v>
      </c>
      <c r="S616" s="1920"/>
      <c r="T616" s="1920"/>
      <c r="U616" s="1920"/>
      <c r="V616" s="1920"/>
      <c r="W616" s="1920"/>
      <c r="X616" s="253"/>
      <c r="AA616" s="253"/>
      <c r="AB616" s="256"/>
      <c r="AC616" s="253"/>
      <c r="AF616" s="253"/>
      <c r="AG616" s="256"/>
      <c r="AH616" s="253"/>
      <c r="AK616" s="253"/>
      <c r="AL616" s="256"/>
      <c r="AM616" s="253"/>
      <c r="AP616" s="253"/>
      <c r="AQ616" s="256"/>
      <c r="AR616" s="257"/>
      <c r="AS616" s="257"/>
      <c r="AT616" s="257"/>
      <c r="AU616" s="257"/>
      <c r="AV616" s="257"/>
      <c r="AW616" s="257"/>
      <c r="AX616" s="590"/>
      <c r="AY616" s="253"/>
      <c r="BB616" s="257"/>
      <c r="BC616" s="590"/>
      <c r="BD616" s="253"/>
      <c r="LF616" s="1185"/>
      <c r="LK616" s="1185"/>
      <c r="LP616" s="1185"/>
      <c r="LU616" s="1185"/>
      <c r="LV616" s="1185"/>
      <c r="LW616" s="1185"/>
      <c r="LX616" s="1185"/>
      <c r="LY616" s="1185"/>
      <c r="LZ616" s="1185"/>
      <c r="MA616" s="1185"/>
      <c r="MB616" s="1185"/>
      <c r="MC616" s="1185"/>
      <c r="MD616" s="1185"/>
      <c r="ME616" s="1185"/>
      <c r="MF616" s="1185"/>
      <c r="MG616" s="1185"/>
      <c r="MH616" s="1185"/>
      <c r="MI616" s="1185"/>
      <c r="MJ616" s="1185"/>
      <c r="MK616" s="1185"/>
      <c r="ML616" s="1185"/>
      <c r="MM616" s="1185"/>
      <c r="MN616" s="1185"/>
      <c r="MO616" s="1185"/>
      <c r="MP616" s="1185"/>
      <c r="MW616" s="255"/>
      <c r="MX616" s="255"/>
      <c r="OZ616" s="1296">
        <v>159</v>
      </c>
    </row>
    <row r="617" spans="1:416" ht="14.25" customHeight="1">
      <c r="C617" s="2036"/>
      <c r="D617" s="2036"/>
      <c r="E617" s="1004"/>
      <c r="F617" s="253"/>
      <c r="H617" s="2038" t="s">
        <v>1253</v>
      </c>
      <c r="I617" s="2039"/>
      <c r="K617" s="2025">
        <f>KM511</f>
        <v>0</v>
      </c>
      <c r="L617" s="2025">
        <f>KN511</f>
        <v>0</v>
      </c>
      <c r="M617" s="2025">
        <f>KO511</f>
        <v>0</v>
      </c>
      <c r="N617" s="2025">
        <f>KP511</f>
        <v>0</v>
      </c>
      <c r="O617" s="2025">
        <f>KQ511</f>
        <v>0</v>
      </c>
      <c r="P617" s="2040">
        <f t="shared" si="399"/>
        <v>0</v>
      </c>
      <c r="S617" s="1920"/>
      <c r="T617" s="1920"/>
      <c r="U617" s="1920"/>
      <c r="V617" s="1920"/>
      <c r="W617" s="1920"/>
      <c r="X617" s="253"/>
      <c r="AA617" s="253"/>
      <c r="AB617" s="256"/>
      <c r="AC617" s="253"/>
      <c r="AF617" s="253"/>
      <c r="AG617" s="256"/>
      <c r="AH617" s="253"/>
      <c r="AK617" s="253"/>
      <c r="AL617" s="256"/>
      <c r="AM617" s="253"/>
      <c r="AP617" s="253"/>
      <c r="AQ617" s="256"/>
      <c r="AR617" s="257"/>
      <c r="AS617" s="257"/>
      <c r="AT617" s="257"/>
      <c r="AU617" s="257"/>
      <c r="AV617" s="257"/>
      <c r="AW617" s="257"/>
      <c r="AX617" s="590"/>
      <c r="AY617" s="253"/>
      <c r="BB617" s="257"/>
      <c r="BC617" s="590"/>
      <c r="BD617" s="253"/>
      <c r="LF617" s="1185"/>
      <c r="LK617" s="1185"/>
      <c r="LP617" s="1185"/>
      <c r="LU617" s="1185"/>
      <c r="LV617" s="1185"/>
      <c r="LW617" s="1185"/>
      <c r="LX617" s="1185"/>
      <c r="LY617" s="1185"/>
      <c r="LZ617" s="1185"/>
      <c r="MA617" s="1185"/>
      <c r="MB617" s="1185"/>
      <c r="MC617" s="1185"/>
      <c r="MD617" s="1185"/>
      <c r="ME617" s="1185"/>
      <c r="MF617" s="1185"/>
      <c r="MG617" s="1185"/>
      <c r="MH617" s="1185"/>
      <c r="MI617" s="1185"/>
      <c r="MJ617" s="1185"/>
      <c r="MK617" s="1185"/>
      <c r="ML617" s="1185"/>
      <c r="MM617" s="1185"/>
      <c r="MN617" s="1185"/>
      <c r="MO617" s="1185"/>
      <c r="MP617" s="1185"/>
      <c r="MW617" s="255"/>
      <c r="MX617" s="255"/>
      <c r="OZ617" s="1185">
        <v>160</v>
      </c>
    </row>
    <row r="618" spans="1:416" ht="14.25" customHeight="1">
      <c r="C618" s="2036"/>
      <c r="D618" s="2036"/>
      <c r="E618" s="254" t="s">
        <v>1264</v>
      </c>
      <c r="F618" s="253"/>
      <c r="H618" s="2037"/>
      <c r="I618" s="1286"/>
      <c r="K618" s="2020">
        <f>JX511</f>
        <v>0</v>
      </c>
      <c r="L618" s="2020">
        <f>JY511</f>
        <v>0</v>
      </c>
      <c r="M618" s="2020">
        <f>JZ511</f>
        <v>0</v>
      </c>
      <c r="N618" s="2020">
        <f>KA511</f>
        <v>0</v>
      </c>
      <c r="O618" s="2020">
        <f>KB511</f>
        <v>0</v>
      </c>
      <c r="P618" s="2026">
        <f t="shared" si="399"/>
        <v>0</v>
      </c>
      <c r="S618" s="1920"/>
      <c r="T618" s="1920"/>
      <c r="U618" s="1920"/>
      <c r="V618" s="1920"/>
      <c r="W618" s="1920"/>
      <c r="X618" s="253"/>
      <c r="AA618" s="253"/>
      <c r="AB618" s="256"/>
      <c r="AC618" s="253"/>
      <c r="AF618" s="253"/>
      <c r="AG618" s="256"/>
      <c r="AH618" s="253"/>
      <c r="AK618" s="253"/>
      <c r="AL618" s="256"/>
      <c r="AM618" s="253"/>
      <c r="AP618" s="253"/>
      <c r="AQ618" s="256"/>
      <c r="AR618" s="257"/>
      <c r="AS618" s="257"/>
      <c r="AT618" s="257"/>
      <c r="AU618" s="257"/>
      <c r="AV618" s="257"/>
      <c r="AW618" s="257"/>
      <c r="BB618" s="257"/>
      <c r="MW618" s="255"/>
      <c r="MX618" s="255"/>
      <c r="OZ618" s="1296">
        <v>161</v>
      </c>
    </row>
    <row r="619" spans="1:416" ht="14.25" customHeight="1">
      <c r="C619" s="1920"/>
      <c r="D619" s="1920"/>
      <c r="E619" s="254"/>
      <c r="F619" s="253"/>
      <c r="H619" s="2038" t="s">
        <v>1253</v>
      </c>
      <c r="I619" s="2039"/>
      <c r="K619" s="2025">
        <f>KC511</f>
        <v>0</v>
      </c>
      <c r="L619" s="2025">
        <f>KD511</f>
        <v>0</v>
      </c>
      <c r="M619" s="2025">
        <f>KE511</f>
        <v>0</v>
      </c>
      <c r="N619" s="2025">
        <f>KF511</f>
        <v>0</v>
      </c>
      <c r="O619" s="2025">
        <f>KG511</f>
        <v>0</v>
      </c>
      <c r="P619" s="2040">
        <f t="shared" si="399"/>
        <v>0</v>
      </c>
      <c r="S619" s="1920"/>
      <c r="T619" s="1920"/>
      <c r="U619" s="1920"/>
      <c r="V619" s="1920"/>
      <c r="W619" s="1920"/>
      <c r="X619" s="253"/>
      <c r="AA619" s="253"/>
      <c r="AB619" s="256"/>
      <c r="AC619" s="253"/>
      <c r="AF619" s="253"/>
      <c r="AG619" s="256"/>
      <c r="AH619" s="253"/>
      <c r="AK619" s="253"/>
      <c r="AL619" s="256"/>
      <c r="AM619" s="253"/>
      <c r="AP619" s="253"/>
      <c r="AQ619" s="256"/>
      <c r="AR619" s="257"/>
      <c r="AS619" s="257"/>
      <c r="AT619" s="257"/>
      <c r="AU619" s="257"/>
      <c r="AV619" s="257"/>
      <c r="AW619" s="257"/>
      <c r="BB619" s="257"/>
      <c r="MW619" s="255"/>
      <c r="MX619" s="255"/>
      <c r="OZ619" s="1296">
        <v>162</v>
      </c>
    </row>
    <row r="620" spans="1:416" ht="12.75" customHeight="1">
      <c r="S620" s="1184"/>
      <c r="T620" s="1184"/>
      <c r="U620" s="1184"/>
      <c r="V620" s="1184"/>
      <c r="AY620" s="253"/>
      <c r="BD620" s="253"/>
      <c r="LF620" s="1185"/>
      <c r="LK620" s="1185"/>
      <c r="LP620" s="1185"/>
      <c r="LU620" s="1185"/>
      <c r="LV620" s="1185"/>
      <c r="LW620" s="1185"/>
      <c r="LX620" s="1185"/>
      <c r="LY620" s="1185"/>
      <c r="LZ620" s="1185"/>
      <c r="MA620" s="1185"/>
      <c r="MB620" s="1185"/>
      <c r="MC620" s="1185"/>
      <c r="MD620" s="1185"/>
      <c r="ME620" s="1185"/>
      <c r="MF620" s="1185"/>
      <c r="MG620" s="1185"/>
      <c r="MH620" s="1185"/>
      <c r="MI620" s="1185"/>
      <c r="MJ620" s="1185"/>
      <c r="MK620" s="1185"/>
      <c r="ML620" s="1185"/>
      <c r="MM620" s="1185"/>
      <c r="MN620" s="1185"/>
      <c r="MO620" s="1185"/>
      <c r="MP620" s="1185"/>
      <c r="MW620" s="255"/>
      <c r="MX620" s="255"/>
      <c r="OZ620" s="1296">
        <v>163</v>
      </c>
    </row>
    <row r="621" spans="1:416" ht="9" customHeight="1">
      <c r="A621" s="255"/>
      <c r="B621" s="255"/>
      <c r="H621" s="254"/>
      <c r="Q621" s="253"/>
      <c r="S621" s="1235" t="str">
        <f>C622</f>
        <v>Building Type:
(for Cost Limit purposes only - see Application Instructions for further detail)</v>
      </c>
      <c r="T621" s="255"/>
      <c r="U621" s="1979"/>
      <c r="AY621" s="253"/>
      <c r="BD621" s="253"/>
      <c r="LF621" s="1185"/>
      <c r="LK621" s="1185"/>
      <c r="LP621" s="1185"/>
      <c r="LU621" s="1185"/>
      <c r="LV621" s="1185"/>
      <c r="LW621" s="1185"/>
      <c r="LX621" s="1185"/>
      <c r="LY621" s="1185"/>
      <c r="LZ621" s="1185"/>
      <c r="MA621" s="1185"/>
      <c r="MB621" s="1185"/>
      <c r="MC621" s="1185"/>
      <c r="MD621" s="1185"/>
      <c r="ME621" s="1185"/>
      <c r="MF621" s="1185"/>
      <c r="MG621" s="1185"/>
      <c r="MH621" s="1185"/>
      <c r="MI621" s="1185"/>
      <c r="MJ621" s="1185"/>
      <c r="MK621" s="1185"/>
      <c r="ML621" s="1185"/>
      <c r="MM621" s="1185"/>
      <c r="MN621" s="1185"/>
      <c r="MO621" s="1185"/>
      <c r="MP621" s="1185"/>
      <c r="MW621" s="255"/>
      <c r="MX621" s="255"/>
      <c r="OZ621" s="1296">
        <v>164</v>
      </c>
    </row>
    <row r="622" spans="1:416" ht="14.25" customHeight="1">
      <c r="C622" s="1920" t="s">
        <v>7554</v>
      </c>
      <c r="D622" s="1920"/>
      <c r="E622" s="1004" t="s">
        <v>1266</v>
      </c>
      <c r="F622" s="1820"/>
      <c r="H622" s="2037"/>
      <c r="I622" s="1286"/>
      <c r="K622" s="2020">
        <f t="shared" ref="K622:O623" si="400">K612+K616+K618</f>
        <v>0</v>
      </c>
      <c r="L622" s="2020">
        <f t="shared" si="400"/>
        <v>0</v>
      </c>
      <c r="M622" s="2020">
        <f t="shared" si="400"/>
        <v>0</v>
      </c>
      <c r="N622" s="2020">
        <f t="shared" si="400"/>
        <v>0</v>
      </c>
      <c r="O622" s="2020">
        <f t="shared" si="400"/>
        <v>0</v>
      </c>
      <c r="P622" s="2026">
        <f t="shared" ref="P622:P629" si="401">SUM(K622:O622)</f>
        <v>0</v>
      </c>
      <c r="S622" s="1920"/>
      <c r="T622" s="1920"/>
      <c r="U622" s="1920"/>
      <c r="V622" s="1920"/>
      <c r="W622" s="1920"/>
      <c r="X622" s="253"/>
      <c r="AA622" s="253"/>
      <c r="AB622" s="256"/>
      <c r="AC622" s="253"/>
      <c r="AF622" s="253"/>
      <c r="AG622" s="256"/>
      <c r="AH622" s="253"/>
      <c r="AK622" s="253"/>
      <c r="AL622" s="256"/>
      <c r="AM622" s="253"/>
      <c r="AP622" s="253"/>
      <c r="AQ622" s="256"/>
      <c r="AR622" s="257"/>
      <c r="AS622" s="257"/>
      <c r="AT622" s="257"/>
      <c r="AU622" s="257"/>
      <c r="AV622" s="257"/>
      <c r="AW622" s="257"/>
      <c r="BB622" s="257"/>
      <c r="MW622" s="255"/>
      <c r="MX622" s="255"/>
      <c r="OZ622" s="1296">
        <v>165</v>
      </c>
    </row>
    <row r="623" spans="1:416" ht="14.25" customHeight="1">
      <c r="C623" s="1920"/>
      <c r="D623" s="1920"/>
      <c r="E623" s="1004"/>
      <c r="F623" s="1820"/>
      <c r="H623" s="2038" t="s">
        <v>1253</v>
      </c>
      <c r="I623" s="2039"/>
      <c r="K623" s="2025">
        <f t="shared" si="400"/>
        <v>0</v>
      </c>
      <c r="L623" s="2025">
        <f t="shared" si="400"/>
        <v>0</v>
      </c>
      <c r="M623" s="2025">
        <f t="shared" si="400"/>
        <v>0</v>
      </c>
      <c r="N623" s="2025">
        <f t="shared" si="400"/>
        <v>0</v>
      </c>
      <c r="O623" s="2025">
        <f t="shared" si="400"/>
        <v>0</v>
      </c>
      <c r="P623" s="2040">
        <f t="shared" si="401"/>
        <v>0</v>
      </c>
      <c r="S623" s="1920"/>
      <c r="T623" s="1920"/>
      <c r="U623" s="1920"/>
      <c r="V623" s="1920"/>
      <c r="W623" s="1920"/>
      <c r="X623" s="253"/>
      <c r="AA623" s="253"/>
      <c r="AB623" s="256"/>
      <c r="AC623" s="253"/>
      <c r="AF623" s="253"/>
      <c r="AG623" s="256"/>
      <c r="AH623" s="253"/>
      <c r="AK623" s="253"/>
      <c r="AL623" s="256"/>
      <c r="AM623" s="253"/>
      <c r="AP623" s="253"/>
      <c r="AQ623" s="256"/>
      <c r="AR623" s="257"/>
      <c r="AS623" s="257"/>
      <c r="AT623" s="257"/>
      <c r="AU623" s="257"/>
      <c r="AV623" s="257"/>
      <c r="AW623" s="257"/>
      <c r="BB623" s="257"/>
      <c r="MW623" s="255"/>
      <c r="MX623" s="255"/>
      <c r="OZ623" s="1771">
        <v>166</v>
      </c>
    </row>
    <row r="624" spans="1:416" ht="14.25" customHeight="1">
      <c r="C624" s="1920"/>
      <c r="D624" s="1920"/>
      <c r="E624" s="1004" t="s">
        <v>1267</v>
      </c>
      <c r="F624" s="1820"/>
      <c r="H624" s="1741"/>
      <c r="I624" s="1820"/>
      <c r="K624" s="2020">
        <f t="shared" ref="K624:O625" si="402">K614</f>
        <v>0</v>
      </c>
      <c r="L624" s="2020">
        <f t="shared" si="402"/>
        <v>0</v>
      </c>
      <c r="M624" s="2020">
        <f t="shared" si="402"/>
        <v>0</v>
      </c>
      <c r="N624" s="2020">
        <f t="shared" si="402"/>
        <v>0</v>
      </c>
      <c r="O624" s="2020">
        <f t="shared" si="402"/>
        <v>0</v>
      </c>
      <c r="P624" s="2026">
        <f t="shared" si="401"/>
        <v>0</v>
      </c>
      <c r="S624" s="1920"/>
      <c r="T624" s="1920"/>
      <c r="U624" s="1920"/>
      <c r="V624" s="1920"/>
      <c r="W624" s="1920"/>
      <c r="X624" s="253"/>
      <c r="AA624" s="253"/>
      <c r="AB624" s="256"/>
      <c r="AC624" s="253"/>
      <c r="AF624" s="253"/>
      <c r="AG624" s="256"/>
      <c r="AH624" s="253"/>
      <c r="AK624" s="253"/>
      <c r="AL624" s="256"/>
      <c r="AM624" s="253"/>
      <c r="AP624" s="253"/>
      <c r="AQ624" s="256"/>
      <c r="AR624" s="257"/>
      <c r="AS624" s="257"/>
      <c r="AT624" s="257"/>
      <c r="AU624" s="257"/>
      <c r="AV624" s="257"/>
      <c r="AW624" s="257"/>
      <c r="BB624" s="257"/>
      <c r="MW624" s="255"/>
      <c r="MX624" s="255"/>
      <c r="OZ624" s="1296">
        <v>167</v>
      </c>
    </row>
    <row r="625" spans="1:416" ht="14.25" customHeight="1">
      <c r="C625" s="1920"/>
      <c r="D625" s="1920"/>
      <c r="E625" s="1004"/>
      <c r="F625" s="1820"/>
      <c r="H625" s="2038" t="s">
        <v>1253</v>
      </c>
      <c r="I625" s="2039"/>
      <c r="K625" s="2025">
        <f t="shared" si="402"/>
        <v>0</v>
      </c>
      <c r="L625" s="2025">
        <f t="shared" si="402"/>
        <v>0</v>
      </c>
      <c r="M625" s="2025">
        <f t="shared" si="402"/>
        <v>0</v>
      </c>
      <c r="N625" s="2025">
        <f t="shared" si="402"/>
        <v>0</v>
      </c>
      <c r="O625" s="2025">
        <f t="shared" si="402"/>
        <v>0</v>
      </c>
      <c r="P625" s="2040">
        <f t="shared" si="401"/>
        <v>0</v>
      </c>
      <c r="S625" s="1920"/>
      <c r="T625" s="1920"/>
      <c r="U625" s="1920"/>
      <c r="V625" s="1920"/>
      <c r="W625" s="1920"/>
      <c r="X625" s="253"/>
      <c r="AA625" s="253"/>
      <c r="AB625" s="256"/>
      <c r="AC625" s="253"/>
      <c r="AF625" s="253"/>
      <c r="AG625" s="256"/>
      <c r="AH625" s="253"/>
      <c r="AK625" s="253"/>
      <c r="AL625" s="256"/>
      <c r="AM625" s="253"/>
      <c r="AP625" s="253"/>
      <c r="AQ625" s="256"/>
      <c r="AR625" s="257"/>
      <c r="AS625" s="257"/>
      <c r="AT625" s="257"/>
      <c r="AU625" s="257"/>
      <c r="AV625" s="257"/>
      <c r="AW625" s="257"/>
      <c r="BB625" s="257"/>
      <c r="MW625" s="255"/>
      <c r="MX625" s="255"/>
      <c r="OZ625" s="1185">
        <v>168</v>
      </c>
    </row>
    <row r="626" spans="1:416" ht="14.25" customHeight="1">
      <c r="C626" s="1920"/>
      <c r="D626" s="1920"/>
      <c r="E626" s="1004" t="s">
        <v>1268</v>
      </c>
      <c r="F626" s="1820"/>
      <c r="H626" s="2037"/>
      <c r="I626" s="1286"/>
      <c r="K626" s="2020">
        <f t="shared" ref="K626:O629" si="403">K604+K608</f>
        <v>0</v>
      </c>
      <c r="L626" s="2020">
        <f t="shared" si="403"/>
        <v>24</v>
      </c>
      <c r="M626" s="2020">
        <f t="shared" si="403"/>
        <v>48</v>
      </c>
      <c r="N626" s="2020">
        <f t="shared" si="403"/>
        <v>24</v>
      </c>
      <c r="O626" s="2020">
        <f t="shared" si="403"/>
        <v>0</v>
      </c>
      <c r="P626" s="2026">
        <f t="shared" si="401"/>
        <v>96</v>
      </c>
      <c r="S626" s="1920"/>
      <c r="T626" s="1920"/>
      <c r="U626" s="1920"/>
      <c r="V626" s="1920"/>
      <c r="W626" s="1920"/>
      <c r="X626" s="253"/>
      <c r="AA626" s="253"/>
      <c r="AB626" s="256"/>
      <c r="AC626" s="253"/>
      <c r="AF626" s="253"/>
      <c r="AG626" s="256"/>
      <c r="AH626" s="253"/>
      <c r="AK626" s="253"/>
      <c r="AL626" s="256"/>
      <c r="AM626" s="253"/>
      <c r="AP626" s="253"/>
      <c r="AQ626" s="256"/>
      <c r="AR626" s="257"/>
      <c r="AS626" s="257"/>
      <c r="AT626" s="257"/>
      <c r="AU626" s="257"/>
      <c r="AV626" s="257"/>
      <c r="AW626" s="257"/>
      <c r="BB626" s="257"/>
      <c r="MW626" s="255"/>
      <c r="MX626" s="255"/>
      <c r="OZ626" s="1296">
        <v>169</v>
      </c>
    </row>
    <row r="627" spans="1:416" ht="14.25" customHeight="1">
      <c r="C627" s="1920"/>
      <c r="D627" s="1920"/>
      <c r="E627" s="1004"/>
      <c r="F627" s="1820"/>
      <c r="H627" s="2038" t="s">
        <v>1253</v>
      </c>
      <c r="I627" s="2039"/>
      <c r="K627" s="2025">
        <f t="shared" si="403"/>
        <v>0</v>
      </c>
      <c r="L627" s="2025">
        <f t="shared" si="403"/>
        <v>0</v>
      </c>
      <c r="M627" s="2025">
        <f t="shared" si="403"/>
        <v>0</v>
      </c>
      <c r="N627" s="2025">
        <f t="shared" si="403"/>
        <v>0</v>
      </c>
      <c r="O627" s="2025">
        <f t="shared" si="403"/>
        <v>0</v>
      </c>
      <c r="P627" s="2040">
        <f t="shared" si="401"/>
        <v>0</v>
      </c>
      <c r="S627" s="1920"/>
      <c r="T627" s="1920"/>
      <c r="U627" s="1920"/>
      <c r="V627" s="1920"/>
      <c r="W627" s="1920"/>
      <c r="X627" s="253"/>
      <c r="AA627" s="253"/>
      <c r="AB627" s="256"/>
      <c r="AC627" s="253"/>
      <c r="AF627" s="253"/>
      <c r="AG627" s="256"/>
      <c r="AH627" s="253"/>
      <c r="AK627" s="253"/>
      <c r="AL627" s="256"/>
      <c r="AM627" s="253"/>
      <c r="AP627" s="253"/>
      <c r="AQ627" s="256"/>
      <c r="AR627" s="257"/>
      <c r="AS627" s="257"/>
      <c r="AT627" s="257"/>
      <c r="AU627" s="257"/>
      <c r="AV627" s="257"/>
      <c r="AW627" s="257"/>
      <c r="BB627" s="257"/>
      <c r="MW627" s="255"/>
      <c r="MX627" s="255"/>
      <c r="OZ627" s="1296">
        <v>170</v>
      </c>
    </row>
    <row r="628" spans="1:416" ht="14.25" customHeight="1">
      <c r="C628" s="1920"/>
      <c r="D628" s="1920"/>
      <c r="E628" s="1004" t="s">
        <v>1269</v>
      </c>
      <c r="F628" s="1820"/>
      <c r="H628" s="2037"/>
      <c r="I628" s="1286"/>
      <c r="K628" s="2020">
        <f t="shared" si="403"/>
        <v>0</v>
      </c>
      <c r="L628" s="2020">
        <f t="shared" si="403"/>
        <v>0</v>
      </c>
      <c r="M628" s="2020">
        <f t="shared" si="403"/>
        <v>0</v>
      </c>
      <c r="N628" s="2020">
        <f t="shared" si="403"/>
        <v>0</v>
      </c>
      <c r="O628" s="2020">
        <f t="shared" si="403"/>
        <v>0</v>
      </c>
      <c r="P628" s="2026">
        <f t="shared" si="401"/>
        <v>0</v>
      </c>
      <c r="S628" s="1920"/>
      <c r="T628" s="1920"/>
      <c r="U628" s="1920"/>
      <c r="V628" s="1920"/>
      <c r="W628" s="1920"/>
      <c r="X628" s="253"/>
      <c r="AA628" s="253"/>
      <c r="AB628" s="256"/>
      <c r="AC628" s="253"/>
      <c r="AF628" s="253"/>
      <c r="AG628" s="256"/>
      <c r="AH628" s="253"/>
      <c r="AK628" s="253"/>
      <c r="AL628" s="256"/>
      <c r="AM628" s="253"/>
      <c r="AP628" s="253"/>
      <c r="AQ628" s="256"/>
      <c r="AR628" s="257"/>
      <c r="AS628" s="257"/>
      <c r="AT628" s="257"/>
      <c r="AU628" s="257"/>
      <c r="AV628" s="257"/>
      <c r="AW628" s="257"/>
      <c r="BB628" s="257"/>
      <c r="MW628" s="255"/>
      <c r="MX628" s="255"/>
      <c r="OZ628" s="1185">
        <v>171</v>
      </c>
    </row>
    <row r="629" spans="1:416" ht="14.25" customHeight="1">
      <c r="C629" s="253"/>
      <c r="D629" s="253"/>
      <c r="E629" s="290"/>
      <c r="F629" s="1820"/>
      <c r="H629" s="2038" t="s">
        <v>1253</v>
      </c>
      <c r="I629" s="2039"/>
      <c r="K629" s="2025">
        <f t="shared" si="403"/>
        <v>0</v>
      </c>
      <c r="L629" s="2025">
        <f t="shared" si="403"/>
        <v>0</v>
      </c>
      <c r="M629" s="2025">
        <f t="shared" si="403"/>
        <v>0</v>
      </c>
      <c r="N629" s="2025">
        <f t="shared" si="403"/>
        <v>0</v>
      </c>
      <c r="O629" s="2025">
        <f t="shared" si="403"/>
        <v>0</v>
      </c>
      <c r="P629" s="2040">
        <f t="shared" si="401"/>
        <v>0</v>
      </c>
      <c r="Q629" s="251" t="s">
        <v>7555</v>
      </c>
      <c r="S629" s="1920"/>
      <c r="T629" s="1920"/>
      <c r="U629" s="1920"/>
      <c r="V629" s="1920"/>
      <c r="W629" s="1920"/>
      <c r="X629" s="253"/>
      <c r="AA629" s="253"/>
      <c r="AB629" s="256"/>
      <c r="AC629" s="253"/>
      <c r="AF629" s="253"/>
      <c r="AG629" s="256"/>
      <c r="AH629" s="253"/>
      <c r="AK629" s="253"/>
      <c r="AL629" s="256"/>
      <c r="AM629" s="253"/>
      <c r="AP629" s="253"/>
      <c r="AQ629" s="256"/>
      <c r="AR629" s="257"/>
      <c r="AS629" s="257"/>
      <c r="AT629" s="257"/>
      <c r="AU629" s="257"/>
      <c r="AV629" s="257"/>
      <c r="AW629" s="257"/>
      <c r="BB629" s="257"/>
      <c r="MW629" s="255"/>
      <c r="MX629" s="255"/>
      <c r="OZ629" s="1296">
        <v>172</v>
      </c>
    </row>
    <row r="630" spans="1:416" ht="12" customHeight="1">
      <c r="A630" s="1097"/>
      <c r="B630" s="1097"/>
      <c r="D630" s="253"/>
      <c r="E630" s="1004"/>
      <c r="F630" s="253"/>
      <c r="H630" s="256"/>
      <c r="I630" s="256"/>
      <c r="K630" s="2031"/>
      <c r="L630" s="2031"/>
      <c r="M630" s="2031"/>
      <c r="N630" s="2031"/>
      <c r="O630" s="2031"/>
      <c r="P630" s="2031"/>
      <c r="S630" s="270"/>
      <c r="U630" s="1984"/>
      <c r="X630" s="253"/>
      <c r="AA630" s="253"/>
      <c r="AB630" s="256"/>
      <c r="AC630" s="253"/>
      <c r="AF630" s="253"/>
      <c r="AG630" s="256"/>
      <c r="AH630" s="253"/>
      <c r="AK630" s="253"/>
      <c r="AL630" s="256"/>
      <c r="AM630" s="253"/>
      <c r="AP630" s="253"/>
      <c r="AQ630" s="256"/>
      <c r="AR630" s="253"/>
      <c r="AS630" s="253"/>
      <c r="AT630" s="253"/>
      <c r="AU630" s="253"/>
      <c r="AV630" s="253"/>
      <c r="AW630" s="253"/>
      <c r="AY630" s="253"/>
      <c r="BB630" s="253"/>
      <c r="BD630" s="253"/>
      <c r="LF630" s="1185"/>
      <c r="LK630" s="1185"/>
      <c r="LP630" s="1185"/>
      <c r="LU630" s="1185"/>
      <c r="LV630" s="1185"/>
      <c r="LW630" s="1185"/>
      <c r="LX630" s="1185"/>
      <c r="LY630" s="1185"/>
      <c r="LZ630" s="1185"/>
      <c r="MA630" s="1185"/>
      <c r="MB630" s="1185"/>
      <c r="MC630" s="1185"/>
      <c r="MD630" s="1185"/>
      <c r="ME630" s="1185"/>
      <c r="MF630" s="1185"/>
      <c r="MG630" s="1185"/>
      <c r="MH630" s="1185"/>
      <c r="MI630" s="1185"/>
      <c r="MJ630" s="1185"/>
      <c r="MK630" s="1185"/>
      <c r="ML630" s="1185"/>
      <c r="MM630" s="1185"/>
      <c r="MN630" s="1185"/>
      <c r="MO630" s="1185"/>
      <c r="MP630" s="1185"/>
      <c r="MW630" s="255"/>
      <c r="MX630" s="255"/>
      <c r="OZ630" s="1296">
        <v>173</v>
      </c>
    </row>
    <row r="631" spans="1:416" ht="12" customHeight="1">
      <c r="A631" s="255"/>
      <c r="B631" s="255" t="s">
        <v>1271</v>
      </c>
      <c r="C631" s="253"/>
      <c r="D631" s="253"/>
      <c r="E631" s="253"/>
      <c r="F631" s="253"/>
      <c r="H631" s="1286"/>
      <c r="I631" s="1286"/>
      <c r="K631" s="2041"/>
      <c r="L631" s="2041"/>
      <c r="M631" s="2041"/>
      <c r="N631" s="2041"/>
      <c r="O631" s="2041"/>
      <c r="P631" s="2041"/>
      <c r="S631" s="1235" t="str">
        <f>B631</f>
        <v>UNIT SQUARE FOOTAGE</v>
      </c>
      <c r="T631" s="1235"/>
      <c r="U631" s="1235"/>
      <c r="X631" s="253"/>
      <c r="AA631" s="253"/>
      <c r="AB631" s="256"/>
      <c r="AC631" s="253"/>
      <c r="AF631" s="253"/>
      <c r="AG631" s="256"/>
      <c r="AH631" s="253"/>
      <c r="AK631" s="253"/>
      <c r="AL631" s="256"/>
      <c r="AM631" s="253"/>
      <c r="AP631" s="253"/>
      <c r="AQ631" s="256"/>
      <c r="AR631" s="253"/>
      <c r="AS631" s="253"/>
      <c r="AT631" s="253"/>
      <c r="AU631" s="253"/>
      <c r="AV631" s="253"/>
      <c r="AW631" s="253"/>
      <c r="AY631" s="253"/>
      <c r="BB631" s="253"/>
      <c r="BD631" s="253"/>
      <c r="LF631" s="1185"/>
      <c r="LK631" s="1185"/>
      <c r="LP631" s="1185"/>
      <c r="LU631" s="1185"/>
      <c r="LV631" s="1185"/>
      <c r="LW631" s="1185"/>
      <c r="LX631" s="1185"/>
      <c r="LY631" s="1185"/>
      <c r="LZ631" s="1185"/>
      <c r="MA631" s="1185"/>
      <c r="MB631" s="1185"/>
      <c r="MC631" s="1185"/>
      <c r="MD631" s="1185"/>
      <c r="ME631" s="1185"/>
      <c r="MF631" s="1185"/>
      <c r="MG631" s="1185"/>
      <c r="MH631" s="1185"/>
      <c r="MI631" s="1185"/>
      <c r="MJ631" s="1185"/>
      <c r="MK631" s="1185"/>
      <c r="ML631" s="1185"/>
      <c r="MM631" s="1185"/>
      <c r="MN631" s="1185"/>
      <c r="MO631" s="1185"/>
      <c r="MP631" s="1185"/>
      <c r="MW631" s="255"/>
      <c r="MX631" s="255"/>
      <c r="OZ631" s="1296">
        <v>174</v>
      </c>
    </row>
    <row r="632" spans="1:416" ht="14.25" customHeight="1">
      <c r="C632" s="253" t="s">
        <v>1272</v>
      </c>
      <c r="D632" s="253"/>
      <c r="E632" s="253"/>
      <c r="F632" s="253"/>
      <c r="H632" s="254" t="s">
        <v>1220</v>
      </c>
      <c r="I632" s="590"/>
      <c r="K632" s="2032">
        <f>FR511</f>
        <v>0</v>
      </c>
      <c r="L632" s="2032">
        <f>FS511</f>
        <v>0</v>
      </c>
      <c r="M632" s="2032">
        <f>FT511</f>
        <v>0</v>
      </c>
      <c r="N632" s="2032">
        <f>FU511</f>
        <v>0</v>
      </c>
      <c r="O632" s="2032">
        <f>FV511</f>
        <v>0</v>
      </c>
      <c r="P632" s="2042">
        <f t="shared" ref="P632:P638" si="404">SUM(K632:O632)</f>
        <v>0</v>
      </c>
      <c r="Q632" s="2030" t="str">
        <f t="shared" ref="Q632:Q638" si="405">IF(OR(P518=0,P518=""),"",P632/P518)</f>
        <v/>
      </c>
      <c r="S632" s="1920"/>
      <c r="T632" s="1920"/>
      <c r="U632" s="1920"/>
      <c r="V632" s="1920"/>
      <c r="W632" s="1920"/>
      <c r="X632" s="253"/>
      <c r="AA632" s="253"/>
      <c r="AB632" s="256"/>
      <c r="AC632" s="253"/>
      <c r="AF632" s="253"/>
      <c r="AG632" s="256"/>
      <c r="AH632" s="253"/>
      <c r="AK632" s="253"/>
      <c r="AL632" s="256"/>
      <c r="AM632" s="253"/>
      <c r="AP632" s="253"/>
      <c r="AQ632" s="256"/>
      <c r="AR632" s="257"/>
      <c r="AS632" s="257"/>
      <c r="AT632" s="257"/>
      <c r="AU632" s="257"/>
      <c r="AV632" s="257"/>
      <c r="AW632" s="257"/>
      <c r="AY632" s="253"/>
      <c r="BB632" s="257"/>
      <c r="BD632" s="253"/>
      <c r="LF632" s="1185"/>
      <c r="LK632" s="1185"/>
      <c r="LP632" s="1185"/>
      <c r="LU632" s="1185"/>
      <c r="LV632" s="1185"/>
      <c r="LW632" s="1185"/>
      <c r="LX632" s="1185"/>
      <c r="LY632" s="1185"/>
      <c r="LZ632" s="1185"/>
      <c r="MA632" s="1185"/>
      <c r="MB632" s="1185"/>
      <c r="MC632" s="1185"/>
      <c r="MD632" s="1185"/>
      <c r="ME632" s="1185"/>
      <c r="MF632" s="1185"/>
      <c r="MG632" s="1185"/>
      <c r="MH632" s="1185"/>
      <c r="MI632" s="1185"/>
      <c r="MJ632" s="1185"/>
      <c r="MK632" s="1185"/>
      <c r="ML632" s="1185"/>
      <c r="MM632" s="1185"/>
      <c r="MN632" s="1185"/>
      <c r="MO632" s="1185"/>
      <c r="MP632" s="1185"/>
      <c r="MW632" s="255"/>
      <c r="MX632" s="255"/>
      <c r="OZ632" s="1296">
        <v>175</v>
      </c>
    </row>
    <row r="633" spans="1:416" ht="14.25" customHeight="1">
      <c r="C633" s="253"/>
      <c r="D633" s="253"/>
      <c r="E633" s="253"/>
      <c r="F633" s="253"/>
      <c r="H633" s="2037" t="s">
        <v>1222</v>
      </c>
      <c r="I633" s="1286"/>
      <c r="K633" s="2042">
        <f>FW511</f>
        <v>0</v>
      </c>
      <c r="L633" s="2042">
        <f>FX511</f>
        <v>0</v>
      </c>
      <c r="M633" s="2042">
        <f>FY511</f>
        <v>0</v>
      </c>
      <c r="N633" s="2042">
        <f>FZ511</f>
        <v>0</v>
      </c>
      <c r="O633" s="2042">
        <f>GA511</f>
        <v>0</v>
      </c>
      <c r="P633" s="2042">
        <f t="shared" si="404"/>
        <v>0</v>
      </c>
      <c r="Q633" s="2030" t="str">
        <f t="shared" si="405"/>
        <v/>
      </c>
      <c r="S633" s="1920"/>
      <c r="T633" s="1920"/>
      <c r="U633" s="1920"/>
      <c r="V633" s="1920"/>
      <c r="W633" s="1920"/>
      <c r="X633" s="253"/>
      <c r="AA633" s="253"/>
      <c r="AB633" s="256"/>
      <c r="AC633" s="253"/>
      <c r="AF633" s="253"/>
      <c r="AG633" s="256"/>
      <c r="AH633" s="253"/>
      <c r="AK633" s="253"/>
      <c r="AL633" s="256"/>
      <c r="AM633" s="253"/>
      <c r="AP633" s="253"/>
      <c r="AQ633" s="256"/>
      <c r="AR633" s="257"/>
      <c r="AS633" s="257"/>
      <c r="AT633" s="257"/>
      <c r="AU633" s="257"/>
      <c r="AV633" s="257"/>
      <c r="AW633" s="257"/>
      <c r="AY633" s="253"/>
      <c r="BB633" s="257"/>
      <c r="BD633" s="253"/>
      <c r="LF633" s="1185"/>
      <c r="LK633" s="1185"/>
      <c r="LP633" s="1185"/>
      <c r="LU633" s="1185"/>
      <c r="LV633" s="1185"/>
      <c r="LW633" s="1185"/>
      <c r="LX633" s="1185"/>
      <c r="LY633" s="1185"/>
      <c r="LZ633" s="1185"/>
      <c r="MA633" s="1185"/>
      <c r="MB633" s="1185"/>
      <c r="MC633" s="1185"/>
      <c r="MD633" s="1185"/>
      <c r="ME633" s="1185"/>
      <c r="MF633" s="1185"/>
      <c r="MG633" s="1185"/>
      <c r="MH633" s="1185"/>
      <c r="MI633" s="1185"/>
      <c r="MJ633" s="1185"/>
      <c r="MK633" s="1185"/>
      <c r="ML633" s="1185"/>
      <c r="MM633" s="1185"/>
      <c r="MN633" s="1185"/>
      <c r="MO633" s="1185"/>
      <c r="MP633" s="1185"/>
      <c r="MW633" s="255"/>
      <c r="MX633" s="255"/>
      <c r="OZ633" s="1296">
        <v>176</v>
      </c>
    </row>
    <row r="634" spans="1:416" ht="14.25" customHeight="1">
      <c r="C634" s="253"/>
      <c r="D634" s="253"/>
      <c r="E634" s="253"/>
      <c r="F634" s="253"/>
      <c r="H634" s="2037" t="s">
        <v>1223</v>
      </c>
      <c r="I634" s="1286"/>
      <c r="K634" s="2042">
        <f>GB511</f>
        <v>0</v>
      </c>
      <c r="L634" s="2042">
        <f>GC511</f>
        <v>14611</v>
      </c>
      <c r="M634" s="2042">
        <f>GD511</f>
        <v>39558</v>
      </c>
      <c r="N634" s="2042">
        <f>GE511</f>
        <v>22230</v>
      </c>
      <c r="O634" s="2042">
        <f>GF511</f>
        <v>0</v>
      </c>
      <c r="P634" s="2042">
        <f t="shared" si="404"/>
        <v>76399</v>
      </c>
      <c r="Q634" s="2030">
        <f t="shared" si="405"/>
        <v>1005.25</v>
      </c>
      <c r="S634" s="1920"/>
      <c r="T634" s="1920"/>
      <c r="U634" s="1920"/>
      <c r="V634" s="1920"/>
      <c r="W634" s="1920"/>
      <c r="X634" s="253"/>
      <c r="AA634" s="253"/>
      <c r="AB634" s="256"/>
      <c r="AC634" s="253"/>
      <c r="AF634" s="253"/>
      <c r="AG634" s="256"/>
      <c r="AH634" s="253"/>
      <c r="AK634" s="253"/>
      <c r="AL634" s="256"/>
      <c r="AM634" s="253"/>
      <c r="AP634" s="253"/>
      <c r="AQ634" s="256"/>
      <c r="AR634" s="257"/>
      <c r="AS634" s="257"/>
      <c r="AT634" s="257"/>
      <c r="AU634" s="257"/>
      <c r="AV634" s="257"/>
      <c r="AW634" s="257"/>
      <c r="AY634" s="253"/>
      <c r="BB634" s="257"/>
      <c r="BD634" s="253"/>
      <c r="LF634" s="1185"/>
      <c r="LK634" s="1185"/>
      <c r="LP634" s="1185"/>
      <c r="LU634" s="1185"/>
      <c r="LV634" s="1185"/>
      <c r="LW634" s="1185"/>
      <c r="LX634" s="1185"/>
      <c r="LY634" s="1185"/>
      <c r="LZ634" s="1185"/>
      <c r="MA634" s="1185"/>
      <c r="MB634" s="1185"/>
      <c r="MC634" s="1185"/>
      <c r="MD634" s="1185"/>
      <c r="ME634" s="1185"/>
      <c r="MF634" s="1185"/>
      <c r="MG634" s="1185"/>
      <c r="MH634" s="1185"/>
      <c r="MI634" s="1185"/>
      <c r="MJ634" s="1185"/>
      <c r="MK634" s="1185"/>
      <c r="ML634" s="1185"/>
      <c r="MM634" s="1185"/>
      <c r="MN634" s="1185"/>
      <c r="MO634" s="1185"/>
      <c r="MP634" s="1185"/>
      <c r="MW634" s="255"/>
      <c r="MX634" s="255"/>
      <c r="OZ634" s="1771">
        <v>177</v>
      </c>
    </row>
    <row r="635" spans="1:416" ht="14.25" customHeight="1">
      <c r="C635" s="253"/>
      <c r="D635" s="253"/>
      <c r="E635" s="253"/>
      <c r="F635" s="253"/>
      <c r="H635" s="2037" t="s">
        <v>1224</v>
      </c>
      <c r="I635" s="1286"/>
      <c r="K635" s="2042">
        <f>GG511</f>
        <v>0</v>
      </c>
      <c r="L635" s="2042">
        <f>GH511</f>
        <v>3845</v>
      </c>
      <c r="M635" s="2042">
        <f>GI511</f>
        <v>10410</v>
      </c>
      <c r="N635" s="2042">
        <f>GJ511</f>
        <v>5850</v>
      </c>
      <c r="O635" s="2042">
        <f>GK511</f>
        <v>0</v>
      </c>
      <c r="P635" s="2042">
        <f t="shared" si="404"/>
        <v>20105</v>
      </c>
      <c r="Q635" s="2030">
        <f t="shared" si="405"/>
        <v>1005.25</v>
      </c>
      <c r="S635" s="1920"/>
      <c r="T635" s="1920"/>
      <c r="U635" s="1920"/>
      <c r="V635" s="1920"/>
      <c r="W635" s="1920"/>
      <c r="X635" s="253"/>
      <c r="AA635" s="253"/>
      <c r="AB635" s="256"/>
      <c r="AC635" s="253"/>
      <c r="AF635" s="253"/>
      <c r="AG635" s="256"/>
      <c r="AH635" s="253"/>
      <c r="AK635" s="253"/>
      <c r="AL635" s="256"/>
      <c r="AM635" s="253"/>
      <c r="AP635" s="253"/>
      <c r="AQ635" s="256"/>
      <c r="AR635" s="257"/>
      <c r="AS635" s="257"/>
      <c r="AT635" s="257"/>
      <c r="AU635" s="257"/>
      <c r="AV635" s="257"/>
      <c r="AW635" s="257"/>
      <c r="AY635" s="253"/>
      <c r="BB635" s="257"/>
      <c r="BD635" s="253"/>
      <c r="LF635" s="1185"/>
      <c r="LK635" s="1185"/>
      <c r="LP635" s="1185"/>
      <c r="LU635" s="1185"/>
      <c r="LV635" s="1185"/>
      <c r="LW635" s="1185"/>
      <c r="LX635" s="1185"/>
      <c r="LY635" s="1185"/>
      <c r="LZ635" s="1185"/>
      <c r="MA635" s="1185"/>
      <c r="MB635" s="1185"/>
      <c r="MC635" s="1185"/>
      <c r="MD635" s="1185"/>
      <c r="ME635" s="1185"/>
      <c r="MF635" s="1185"/>
      <c r="MG635" s="1185"/>
      <c r="MH635" s="1185"/>
      <c r="MI635" s="1185"/>
      <c r="MJ635" s="1185"/>
      <c r="MK635" s="1185"/>
      <c r="ML635" s="1185"/>
      <c r="MM635" s="1185"/>
      <c r="MN635" s="1185"/>
      <c r="MO635" s="1185"/>
      <c r="MP635" s="1185"/>
      <c r="MW635" s="255"/>
      <c r="MX635" s="255"/>
      <c r="OZ635" s="1296">
        <v>178</v>
      </c>
    </row>
    <row r="636" spans="1:416" ht="14.25" customHeight="1">
      <c r="C636" s="253"/>
      <c r="D636" s="253"/>
      <c r="E636" s="253"/>
      <c r="F636" s="253"/>
      <c r="H636" s="2037" t="s">
        <v>1225</v>
      </c>
      <c r="I636" s="1286"/>
      <c r="K636" s="2042">
        <f>GL511</f>
        <v>0</v>
      </c>
      <c r="L636" s="2042">
        <f>GM511</f>
        <v>0</v>
      </c>
      <c r="M636" s="2042">
        <f>GN511</f>
        <v>0</v>
      </c>
      <c r="N636" s="2042">
        <f>GO511</f>
        <v>0</v>
      </c>
      <c r="O636" s="2042">
        <f>GP511</f>
        <v>0</v>
      </c>
      <c r="P636" s="2042">
        <f t="shared" si="404"/>
        <v>0</v>
      </c>
      <c r="Q636" s="2030" t="str">
        <f t="shared" si="405"/>
        <v/>
      </c>
      <c r="S636" s="1920"/>
      <c r="T636" s="1920"/>
      <c r="U636" s="1920"/>
      <c r="V636" s="1920"/>
      <c r="W636" s="1920"/>
      <c r="X636" s="253"/>
      <c r="AA636" s="253"/>
      <c r="AB636" s="256"/>
      <c r="AC636" s="253"/>
      <c r="AF636" s="253"/>
      <c r="AG636" s="256"/>
      <c r="AH636" s="253"/>
      <c r="AK636" s="253"/>
      <c r="AL636" s="256"/>
      <c r="AM636" s="253"/>
      <c r="AP636" s="253"/>
      <c r="AQ636" s="256"/>
      <c r="AR636" s="257"/>
      <c r="AS636" s="257"/>
      <c r="AT636" s="257"/>
      <c r="AU636" s="257"/>
      <c r="AV636" s="257"/>
      <c r="AW636" s="257"/>
      <c r="AY636" s="253"/>
      <c r="BB636" s="257"/>
      <c r="BD636" s="253"/>
      <c r="LF636" s="1185"/>
      <c r="LK636" s="1185"/>
      <c r="LP636" s="1185"/>
      <c r="LU636" s="1185"/>
      <c r="LV636" s="1185"/>
      <c r="LW636" s="1185"/>
      <c r="LX636" s="1185"/>
      <c r="LY636" s="1185"/>
      <c r="LZ636" s="1185"/>
      <c r="MA636" s="1185"/>
      <c r="MB636" s="1185"/>
      <c r="MC636" s="1185"/>
      <c r="MD636" s="1185"/>
      <c r="ME636" s="1185"/>
      <c r="MF636" s="1185"/>
      <c r="MG636" s="1185"/>
      <c r="MH636" s="1185"/>
      <c r="MI636" s="1185"/>
      <c r="MJ636" s="1185"/>
      <c r="MK636" s="1185"/>
      <c r="ML636" s="1185"/>
      <c r="MM636" s="1185"/>
      <c r="MN636" s="1185"/>
      <c r="MO636" s="1185"/>
      <c r="MP636" s="1185"/>
      <c r="MW636" s="255"/>
      <c r="MX636" s="255"/>
      <c r="OZ636" s="1185">
        <v>179</v>
      </c>
    </row>
    <row r="637" spans="1:416" ht="14.25" customHeight="1">
      <c r="C637" s="253"/>
      <c r="D637" s="253"/>
      <c r="E637" s="253"/>
      <c r="F637" s="253"/>
      <c r="H637" s="2037" t="s">
        <v>1226</v>
      </c>
      <c r="I637" s="1286"/>
      <c r="K637" s="2042">
        <f>GQ511</f>
        <v>0</v>
      </c>
      <c r="L637" s="2042">
        <f>GR511</f>
        <v>0</v>
      </c>
      <c r="M637" s="2042">
        <f>GS511</f>
        <v>0</v>
      </c>
      <c r="N637" s="2042">
        <f>GT511</f>
        <v>0</v>
      </c>
      <c r="O637" s="2042">
        <f>GU511</f>
        <v>0</v>
      </c>
      <c r="P637" s="2042">
        <f t="shared" si="404"/>
        <v>0</v>
      </c>
      <c r="Q637" s="2030" t="str">
        <f t="shared" si="405"/>
        <v/>
      </c>
      <c r="S637" s="1920"/>
      <c r="T637" s="1920"/>
      <c r="U637" s="1920"/>
      <c r="V637" s="1920"/>
      <c r="W637" s="1920"/>
      <c r="X637" s="253"/>
      <c r="AA637" s="253"/>
      <c r="AB637" s="256"/>
      <c r="AC637" s="253"/>
      <c r="AF637" s="253"/>
      <c r="AG637" s="256"/>
      <c r="AH637" s="253"/>
      <c r="AK637" s="253"/>
      <c r="AL637" s="256"/>
      <c r="AM637" s="253"/>
      <c r="AP637" s="253"/>
      <c r="AQ637" s="256"/>
      <c r="AR637" s="257"/>
      <c r="AS637" s="257"/>
      <c r="AT637" s="257"/>
      <c r="AU637" s="257"/>
      <c r="AV637" s="257"/>
      <c r="AW637" s="257"/>
      <c r="AY637" s="253"/>
      <c r="BB637" s="257"/>
      <c r="BD637" s="253"/>
      <c r="LF637" s="1185"/>
      <c r="LK637" s="1185"/>
      <c r="LP637" s="1185"/>
      <c r="LU637" s="1185"/>
      <c r="LV637" s="1185"/>
      <c r="LW637" s="1185"/>
      <c r="LX637" s="1185"/>
      <c r="LY637" s="1185"/>
      <c r="LZ637" s="1185"/>
      <c r="MA637" s="1185"/>
      <c r="MB637" s="1185"/>
      <c r="MC637" s="1185"/>
      <c r="MD637" s="1185"/>
      <c r="ME637" s="1185"/>
      <c r="MF637" s="1185"/>
      <c r="MG637" s="1185"/>
      <c r="MH637" s="1185"/>
      <c r="MI637" s="1185"/>
      <c r="MJ637" s="1185"/>
      <c r="MK637" s="1185"/>
      <c r="ML637" s="1185"/>
      <c r="MM637" s="1185"/>
      <c r="MN637" s="1185"/>
      <c r="MO637" s="1185"/>
      <c r="MP637" s="1185"/>
      <c r="MW637" s="255"/>
      <c r="MX637" s="255"/>
      <c r="OZ637" s="1296">
        <v>180</v>
      </c>
    </row>
    <row r="638" spans="1:416" ht="14.25" customHeight="1">
      <c r="C638" s="1184"/>
      <c r="D638" s="253"/>
      <c r="E638" s="253"/>
      <c r="F638" s="253"/>
      <c r="H638" s="254" t="s">
        <v>1227</v>
      </c>
      <c r="I638" s="590"/>
      <c r="K638" s="2032">
        <f>GV511</f>
        <v>0</v>
      </c>
      <c r="L638" s="2032">
        <f>GW511</f>
        <v>0</v>
      </c>
      <c r="M638" s="2032">
        <f>GX511</f>
        <v>0</v>
      </c>
      <c r="N638" s="2032">
        <f>GY511</f>
        <v>0</v>
      </c>
      <c r="O638" s="2032">
        <f>GZ511</f>
        <v>0</v>
      </c>
      <c r="P638" s="2042">
        <f t="shared" si="404"/>
        <v>0</v>
      </c>
      <c r="Q638" s="2030" t="str">
        <f t="shared" si="405"/>
        <v/>
      </c>
      <c r="S638" s="1920"/>
      <c r="T638" s="1920"/>
      <c r="U638" s="1920"/>
      <c r="V638" s="1920"/>
      <c r="W638" s="1920"/>
      <c r="X638" s="1184"/>
      <c r="AA638" s="253"/>
      <c r="AB638" s="256"/>
      <c r="AC638" s="1184"/>
      <c r="AF638" s="253"/>
      <c r="AG638" s="256"/>
      <c r="AH638" s="1184"/>
      <c r="AK638" s="253"/>
      <c r="AL638" s="256"/>
      <c r="AM638" s="1184"/>
      <c r="AP638" s="253"/>
      <c r="AQ638" s="256"/>
      <c r="AR638" s="257"/>
      <c r="AS638" s="257"/>
      <c r="AT638" s="257"/>
      <c r="AU638" s="257"/>
      <c r="AV638" s="257"/>
      <c r="AW638" s="257"/>
      <c r="AX638" s="253"/>
      <c r="AY638" s="253"/>
      <c r="BB638" s="257"/>
      <c r="BC638" s="253"/>
      <c r="BD638" s="253"/>
      <c r="LF638" s="1185"/>
      <c r="LK638" s="1185"/>
      <c r="LP638" s="1185"/>
      <c r="LU638" s="1185"/>
      <c r="LV638" s="1185"/>
      <c r="LW638" s="1185"/>
      <c r="LX638" s="1185"/>
      <c r="LY638" s="1185"/>
      <c r="LZ638" s="1185"/>
      <c r="MA638" s="1185"/>
      <c r="MB638" s="1185"/>
      <c r="MC638" s="1185"/>
      <c r="MD638" s="1185"/>
      <c r="ME638" s="1185"/>
      <c r="MF638" s="1185"/>
      <c r="MG638" s="1185"/>
      <c r="MH638" s="1185"/>
      <c r="MI638" s="1185"/>
      <c r="MJ638" s="1185"/>
      <c r="MK638" s="1185"/>
      <c r="ML638" s="1185"/>
      <c r="MM638" s="1185"/>
      <c r="MN638" s="1185"/>
      <c r="MO638" s="1185"/>
      <c r="MP638" s="1185"/>
      <c r="MW638" s="255"/>
      <c r="MX638" s="255"/>
      <c r="OZ638" s="1296">
        <v>181</v>
      </c>
    </row>
    <row r="639" spans="1:416" ht="14.25" customHeight="1">
      <c r="C639" s="1184"/>
      <c r="D639" s="253"/>
      <c r="E639" s="253"/>
      <c r="F639" s="253"/>
      <c r="H639" s="2038" t="s">
        <v>1273</v>
      </c>
      <c r="I639" s="2039"/>
      <c r="J639" s="2022"/>
      <c r="K639" s="2043">
        <f>SUM(K632:K638)</f>
        <v>0</v>
      </c>
      <c r="L639" s="2043">
        <f>SUM(L632:L638)</f>
        <v>18456</v>
      </c>
      <c r="M639" s="2043">
        <f>SUM(M632:M638)</f>
        <v>49968</v>
      </c>
      <c r="N639" s="2043">
        <f>SUM(N632:N638)</f>
        <v>28080</v>
      </c>
      <c r="O639" s="2043">
        <f>SUM(O632:O638)</f>
        <v>0</v>
      </c>
      <c r="P639" s="2043">
        <f>SUM(K639:O639)</f>
        <v>96504</v>
      </c>
      <c r="S639" s="1920"/>
      <c r="T639" s="1920"/>
      <c r="U639" s="1920"/>
      <c r="V639" s="1920"/>
      <c r="W639" s="1920"/>
      <c r="X639" s="1184"/>
      <c r="AA639" s="253"/>
      <c r="AB639" s="256"/>
      <c r="AC639" s="1184"/>
      <c r="AF639" s="253"/>
      <c r="AG639" s="256"/>
      <c r="AH639" s="1184"/>
      <c r="AK639" s="253"/>
      <c r="AL639" s="256"/>
      <c r="AM639" s="1184"/>
      <c r="AP639" s="253"/>
      <c r="AQ639" s="256"/>
      <c r="AR639" s="257"/>
      <c r="AS639" s="257"/>
      <c r="AT639" s="257"/>
      <c r="AU639" s="257"/>
      <c r="AV639" s="257"/>
      <c r="AW639" s="257"/>
      <c r="AX639" s="253"/>
      <c r="AY639" s="253"/>
      <c r="BB639" s="257"/>
      <c r="BC639" s="253"/>
      <c r="BD639" s="253"/>
      <c r="LF639" s="1185"/>
      <c r="LK639" s="1185"/>
      <c r="LP639" s="1185"/>
      <c r="LU639" s="1185"/>
      <c r="LV639" s="1185"/>
      <c r="LW639" s="1185"/>
      <c r="LX639" s="1185"/>
      <c r="LY639" s="1185"/>
      <c r="LZ639" s="1185"/>
      <c r="MA639" s="1185"/>
      <c r="MB639" s="1185"/>
      <c r="MC639" s="1185"/>
      <c r="MD639" s="1185"/>
      <c r="ME639" s="1185"/>
      <c r="MF639" s="1185"/>
      <c r="MG639" s="1185"/>
      <c r="MH639" s="1185"/>
      <c r="MI639" s="1185"/>
      <c r="MJ639" s="1185"/>
      <c r="MK639" s="1185"/>
      <c r="ML639" s="1185"/>
      <c r="MM639" s="1185"/>
      <c r="MN639" s="1185"/>
      <c r="MO639" s="1185"/>
      <c r="MP639" s="1185"/>
      <c r="MW639" s="255"/>
      <c r="MX639" s="255"/>
      <c r="OZ639" s="1185">
        <v>182</v>
      </c>
    </row>
    <row r="640" spans="1:416" ht="14.25" customHeight="1">
      <c r="C640" s="253" t="s">
        <v>1160</v>
      </c>
      <c r="D640" s="253"/>
      <c r="E640" s="253"/>
      <c r="F640" s="253"/>
      <c r="G640" s="253"/>
      <c r="K640" s="2042">
        <f>HA511</f>
        <v>0</v>
      </c>
      <c r="L640" s="2042">
        <f>HB511</f>
        <v>0</v>
      </c>
      <c r="M640" s="2042">
        <f>HC511</f>
        <v>0</v>
      </c>
      <c r="N640" s="2042">
        <f>HD511</f>
        <v>0</v>
      </c>
      <c r="O640" s="2042">
        <f>HE511</f>
        <v>0</v>
      </c>
      <c r="P640" s="2042">
        <f>SUM(K640:O640)</f>
        <v>0</v>
      </c>
      <c r="Q640" s="2030" t="str">
        <f>IF(OR(P526=0,P526=""),"",P640/P526)</f>
        <v/>
      </c>
      <c r="S640" s="1920"/>
      <c r="T640" s="1920"/>
      <c r="U640" s="1920"/>
      <c r="V640" s="1920"/>
      <c r="W640" s="1920"/>
      <c r="X640" s="253"/>
      <c r="AA640" s="253"/>
      <c r="AB640" s="253"/>
      <c r="AC640" s="253"/>
      <c r="AF640" s="253"/>
      <c r="AG640" s="253"/>
      <c r="AH640" s="253"/>
      <c r="AK640" s="253"/>
      <c r="AL640" s="253"/>
      <c r="AM640" s="253"/>
      <c r="AP640" s="253"/>
      <c r="AQ640" s="253"/>
      <c r="AR640" s="257"/>
      <c r="AS640" s="257"/>
      <c r="AT640" s="257"/>
      <c r="AU640" s="257"/>
      <c r="AV640" s="257"/>
      <c r="AW640" s="257"/>
      <c r="AY640" s="253"/>
      <c r="BB640" s="257"/>
      <c r="BD640" s="253"/>
      <c r="LF640" s="1185"/>
      <c r="LK640" s="1185"/>
      <c r="LP640" s="1185"/>
      <c r="LU640" s="1185"/>
      <c r="LV640" s="1185"/>
      <c r="LW640" s="1185"/>
      <c r="LX640" s="1185"/>
      <c r="LY640" s="1185"/>
      <c r="LZ640" s="1185"/>
      <c r="MA640" s="1185"/>
      <c r="MB640" s="1185"/>
      <c r="MC640" s="1185"/>
      <c r="MD640" s="1185"/>
      <c r="ME640" s="1185"/>
      <c r="MF640" s="1185"/>
      <c r="MG640" s="1185"/>
      <c r="MH640" s="1185"/>
      <c r="MI640" s="1185"/>
      <c r="MJ640" s="1185"/>
      <c r="MK640" s="1185"/>
      <c r="ML640" s="1185"/>
      <c r="MM640" s="1185"/>
      <c r="MN640" s="1185"/>
      <c r="MO640" s="1185"/>
      <c r="MP640" s="1185"/>
      <c r="MW640" s="255"/>
      <c r="MX640" s="255"/>
      <c r="OZ640" s="1296">
        <v>183</v>
      </c>
    </row>
    <row r="641" spans="1:416" ht="14.25" customHeight="1">
      <c r="C641" s="2044" t="s">
        <v>1229</v>
      </c>
      <c r="D641" s="2021"/>
      <c r="E641" s="2021"/>
      <c r="F641" s="2021"/>
      <c r="G641" s="2021"/>
      <c r="H641" s="2022"/>
      <c r="I641" s="2022"/>
      <c r="J641" s="2022"/>
      <c r="K641" s="2045">
        <f>SUM(K639:K640)</f>
        <v>0</v>
      </c>
      <c r="L641" s="2045">
        <f>SUM(L639:L640)</f>
        <v>18456</v>
      </c>
      <c r="M641" s="2045">
        <f>SUM(M639:M640)</f>
        <v>49968</v>
      </c>
      <c r="N641" s="2045">
        <f>SUM(N639:N640)</f>
        <v>28080</v>
      </c>
      <c r="O641" s="2045">
        <f>SUM(O639:O640)</f>
        <v>0</v>
      </c>
      <c r="P641" s="2045">
        <f>SUM(K641:O641)</f>
        <v>96504</v>
      </c>
      <c r="S641" s="1920"/>
      <c r="T641" s="1920"/>
      <c r="U641" s="1920"/>
      <c r="V641" s="1920"/>
      <c r="W641" s="1920"/>
      <c r="X641" s="253"/>
      <c r="AA641" s="253"/>
      <c r="AB641" s="253"/>
      <c r="AC641" s="253"/>
      <c r="AF641" s="253"/>
      <c r="AG641" s="253"/>
      <c r="AH641" s="253"/>
      <c r="AK641" s="253"/>
      <c r="AL641" s="253"/>
      <c r="AM641" s="253"/>
      <c r="AP641" s="253"/>
      <c r="AQ641" s="253"/>
      <c r="AR641" s="257"/>
      <c r="AS641" s="257"/>
      <c r="AT641" s="257"/>
      <c r="AU641" s="257"/>
      <c r="AV641" s="257"/>
      <c r="AW641" s="257"/>
      <c r="AY641" s="253"/>
      <c r="BB641" s="257"/>
      <c r="BD641" s="253"/>
      <c r="LF641" s="1185"/>
      <c r="LK641" s="1185"/>
      <c r="LP641" s="1185"/>
      <c r="LU641" s="1185"/>
      <c r="LV641" s="1185"/>
      <c r="LW641" s="1185"/>
      <c r="LX641" s="1185"/>
      <c r="LY641" s="1185"/>
      <c r="LZ641" s="1185"/>
      <c r="MA641" s="1185"/>
      <c r="MB641" s="1185"/>
      <c r="MC641" s="1185"/>
      <c r="MD641" s="1185"/>
      <c r="ME641" s="1185"/>
      <c r="MF641" s="1185"/>
      <c r="MG641" s="1185"/>
      <c r="MH641" s="1185"/>
      <c r="MI641" s="1185"/>
      <c r="MJ641" s="1185"/>
      <c r="MK641" s="1185"/>
      <c r="ML641" s="1185"/>
      <c r="MM641" s="1185"/>
      <c r="MN641" s="1185"/>
      <c r="MO641" s="1185"/>
      <c r="MP641" s="1185"/>
      <c r="MW641" s="255"/>
      <c r="MX641" s="255"/>
      <c r="NN641" s="255"/>
      <c r="OZ641" s="1296">
        <v>184</v>
      </c>
    </row>
    <row r="642" spans="1:416" ht="14.25" customHeight="1">
      <c r="C642" s="253" t="s">
        <v>1230</v>
      </c>
      <c r="D642" s="253"/>
      <c r="E642" s="253"/>
      <c r="F642" s="253"/>
      <c r="G642" s="253"/>
      <c r="K642" s="2042">
        <f>HK511</f>
        <v>0</v>
      </c>
      <c r="L642" s="2042">
        <f>HL511</f>
        <v>0</v>
      </c>
      <c r="M642" s="2042">
        <f>HM511</f>
        <v>0</v>
      </c>
      <c r="N642" s="2042">
        <f>HN511</f>
        <v>0</v>
      </c>
      <c r="O642" s="2042">
        <f>HO511</f>
        <v>0</v>
      </c>
      <c r="P642" s="2042">
        <f>SUM(K642:O642)</f>
        <v>0</v>
      </c>
      <c r="Q642" s="2030" t="str">
        <f>IF(OR(P528=0,P528=""),"",P642/P528)</f>
        <v/>
      </c>
      <c r="S642" s="1920"/>
      <c r="T642" s="1920"/>
      <c r="U642" s="1920"/>
      <c r="V642" s="1920"/>
      <c r="W642" s="1920"/>
      <c r="X642" s="253"/>
      <c r="AA642" s="253"/>
      <c r="AB642" s="253"/>
      <c r="AC642" s="253"/>
      <c r="AF642" s="253"/>
      <c r="AG642" s="253"/>
      <c r="AH642" s="253"/>
      <c r="AK642" s="253"/>
      <c r="AL642" s="253"/>
      <c r="AM642" s="253"/>
      <c r="AP642" s="253"/>
      <c r="AQ642" s="253"/>
      <c r="AR642" s="257"/>
      <c r="AS642" s="257"/>
      <c r="AT642" s="257"/>
      <c r="AU642" s="257"/>
      <c r="AV642" s="257"/>
      <c r="AW642" s="257"/>
      <c r="AY642" s="253"/>
      <c r="BB642" s="257"/>
      <c r="BD642" s="253"/>
      <c r="LF642" s="1185"/>
      <c r="LK642" s="1185"/>
      <c r="LP642" s="1185"/>
      <c r="LU642" s="1185"/>
      <c r="LV642" s="1185"/>
      <c r="LW642" s="1185"/>
      <c r="LX642" s="1185"/>
      <c r="LY642" s="1185"/>
      <c r="LZ642" s="1185"/>
      <c r="MA642" s="1185"/>
      <c r="MB642" s="1185"/>
      <c r="MC642" s="1185"/>
      <c r="MD642" s="1185"/>
      <c r="ME642" s="1185"/>
      <c r="MF642" s="1185"/>
      <c r="MG642" s="1185"/>
      <c r="MH642" s="1185"/>
      <c r="MI642" s="1185"/>
      <c r="MJ642" s="1185"/>
      <c r="MK642" s="1185"/>
      <c r="ML642" s="1185"/>
      <c r="MM642" s="1185"/>
      <c r="MN642" s="1185"/>
      <c r="MO642" s="1185"/>
      <c r="MP642" s="1185"/>
      <c r="MW642" s="255"/>
      <c r="MX642" s="255"/>
      <c r="NN642" s="255"/>
      <c r="OZ642" s="1296">
        <v>185</v>
      </c>
    </row>
    <row r="643" spans="1:416" ht="14.25" customHeight="1">
      <c r="C643" s="1184" t="s">
        <v>1198</v>
      </c>
      <c r="D643" s="253"/>
      <c r="E643" s="253"/>
      <c r="F643" s="253"/>
      <c r="G643" s="253"/>
      <c r="K643" s="2046">
        <f>SUM(K641:K642)</f>
        <v>0</v>
      </c>
      <c r="L643" s="2046">
        <f>SUM(L641:L642)</f>
        <v>18456</v>
      </c>
      <c r="M643" s="2046">
        <f>SUM(M641:M642)</f>
        <v>49968</v>
      </c>
      <c r="N643" s="2046">
        <f>SUM(N641:N642)</f>
        <v>28080</v>
      </c>
      <c r="O643" s="2046">
        <f>SUM(O641:O642)</f>
        <v>0</v>
      </c>
      <c r="P643" s="2046">
        <f>SUM(K643:O643)</f>
        <v>96504</v>
      </c>
      <c r="S643" s="1920"/>
      <c r="T643" s="1920"/>
      <c r="U643" s="1920"/>
      <c r="V643" s="1920"/>
      <c r="W643" s="1920"/>
      <c r="X643" s="253"/>
      <c r="AA643" s="253"/>
      <c r="AB643" s="253"/>
      <c r="AC643" s="253"/>
      <c r="AF643" s="253"/>
      <c r="AG643" s="253"/>
      <c r="AH643" s="253"/>
      <c r="AK643" s="253"/>
      <c r="AL643" s="253"/>
      <c r="AM643" s="253"/>
      <c r="AP643" s="253"/>
      <c r="AQ643" s="253"/>
      <c r="AR643" s="257"/>
      <c r="AS643" s="257"/>
      <c r="AT643" s="257"/>
      <c r="AU643" s="257"/>
      <c r="AV643" s="257"/>
      <c r="AW643" s="257"/>
      <c r="AY643" s="253"/>
      <c r="BB643" s="257"/>
      <c r="BD643" s="253"/>
      <c r="LF643" s="1185"/>
      <c r="LK643" s="1185"/>
      <c r="LP643" s="1185"/>
      <c r="LU643" s="1185"/>
      <c r="LV643" s="1185"/>
      <c r="LW643" s="1185"/>
      <c r="LX643" s="1185"/>
      <c r="LY643" s="1185"/>
      <c r="LZ643" s="1185"/>
      <c r="MA643" s="1185"/>
      <c r="MB643" s="1185"/>
      <c r="MC643" s="1185"/>
      <c r="MD643" s="1185"/>
      <c r="ME643" s="1185"/>
      <c r="MF643" s="1185"/>
      <c r="MG643" s="1185"/>
      <c r="MH643" s="1185"/>
      <c r="MI643" s="1185"/>
      <c r="MJ643" s="1185"/>
      <c r="MK643" s="1185"/>
      <c r="ML643" s="1185"/>
      <c r="MM643" s="1185"/>
      <c r="MN643" s="1185"/>
      <c r="MO643" s="1185"/>
      <c r="MP643" s="1185"/>
      <c r="MW643" s="255"/>
      <c r="MX643" s="255"/>
      <c r="NN643" s="255"/>
      <c r="OZ643" s="1185">
        <v>186</v>
      </c>
    </row>
    <row r="644" spans="1:416" s="253" customFormat="1" ht="6" customHeight="1">
      <c r="LF644" s="1296"/>
      <c r="LK644" s="1296"/>
      <c r="LP644" s="1296"/>
      <c r="LU644" s="1296"/>
      <c r="LV644" s="1296"/>
      <c r="LW644" s="1296"/>
      <c r="LX644" s="1296"/>
      <c r="LY644" s="1296"/>
      <c r="LZ644" s="1296"/>
      <c r="MA644" s="1296"/>
      <c r="MB644" s="1296"/>
      <c r="MC644" s="1296"/>
      <c r="MD644" s="1296"/>
      <c r="ME644" s="1296"/>
      <c r="MF644" s="1296"/>
      <c r="MG644" s="1296"/>
      <c r="MH644" s="1296"/>
      <c r="MI644" s="1296"/>
      <c r="MJ644" s="1296"/>
      <c r="MK644" s="1296"/>
      <c r="ML644" s="1296"/>
      <c r="MM644" s="1296"/>
      <c r="MN644" s="1296"/>
      <c r="MO644" s="1296"/>
      <c r="MP644" s="1296"/>
      <c r="MW644" s="1184"/>
      <c r="NM644" s="1184"/>
      <c r="NN644" s="1184"/>
      <c r="OY644" s="251"/>
      <c r="OZ644" s="1296">
        <v>187</v>
      </c>
    </row>
    <row r="645" spans="1:416" s="253" customFormat="1" ht="14.25" customHeight="1">
      <c r="D645" s="253" t="s">
        <v>7556</v>
      </c>
      <c r="K645" s="2047" t="str">
        <f>IF(OR(K529="",K529=0),"",K643/K529)</f>
        <v/>
      </c>
      <c r="L645" s="2047">
        <f>IF(OR(L529="",L529=0),"",L643/L529)</f>
        <v>769</v>
      </c>
      <c r="M645" s="2047">
        <f>IF(OR(M529="",M529=0),"",M643/M529)</f>
        <v>1041</v>
      </c>
      <c r="N645" s="2047">
        <f>IF(OR(N529="",N529=0),"",N643/N529)</f>
        <v>1170</v>
      </c>
      <c r="O645" s="2047" t="str">
        <f>IF(OR(O529="",O529=0),"",O643/O529)</f>
        <v/>
      </c>
      <c r="P645" s="2047"/>
      <c r="LF645" s="1296"/>
      <c r="LK645" s="1296"/>
      <c r="LP645" s="1296"/>
      <c r="LU645" s="1296"/>
      <c r="LV645" s="1296"/>
      <c r="LW645" s="1296"/>
      <c r="LX645" s="1296"/>
      <c r="LY645" s="1296"/>
      <c r="LZ645" s="1296"/>
      <c r="MA645" s="1296"/>
      <c r="MB645" s="1296"/>
      <c r="MC645" s="1296"/>
      <c r="MD645" s="1296"/>
      <c r="ME645" s="1296"/>
      <c r="MF645" s="1296"/>
      <c r="MG645" s="1296"/>
      <c r="MH645" s="1296"/>
      <c r="MI645" s="1296"/>
      <c r="MJ645" s="1296"/>
      <c r="MK645" s="1296"/>
      <c r="ML645" s="1296"/>
      <c r="MM645" s="1296"/>
      <c r="MN645" s="1296"/>
      <c r="MO645" s="1296"/>
      <c r="MP645" s="1296"/>
      <c r="MW645" s="1184"/>
      <c r="NM645" s="1184"/>
      <c r="NN645" s="1184"/>
      <c r="OY645" s="251"/>
      <c r="OZ645" s="1296">
        <v>188</v>
      </c>
    </row>
    <row r="646" spans="1:416" s="253" customFormat="1" ht="9" customHeight="1">
      <c r="LF646" s="1296"/>
      <c r="LK646" s="1296"/>
      <c r="LP646" s="1296"/>
      <c r="LU646" s="1296"/>
      <c r="LV646" s="1296"/>
      <c r="LW646" s="1296"/>
      <c r="LX646" s="1296"/>
      <c r="LY646" s="1296"/>
      <c r="LZ646" s="1296"/>
      <c r="MA646" s="1296"/>
      <c r="MB646" s="1296"/>
      <c r="MC646" s="1296"/>
      <c r="MD646" s="1296"/>
      <c r="ME646" s="1296"/>
      <c r="MF646" s="1296"/>
      <c r="MG646" s="1296"/>
      <c r="MH646" s="1296"/>
      <c r="MI646" s="1296"/>
      <c r="MJ646" s="1296"/>
      <c r="MK646" s="1296"/>
      <c r="ML646" s="1296"/>
      <c r="MM646" s="1296"/>
      <c r="MN646" s="1296"/>
      <c r="MO646" s="1296"/>
      <c r="MP646" s="1296"/>
      <c r="MW646" s="1184"/>
      <c r="NM646" s="1184"/>
      <c r="NN646" s="1184"/>
      <c r="OY646" s="251"/>
      <c r="OZ646" s="1296">
        <v>189</v>
      </c>
    </row>
    <row r="647" spans="1:416" s="253" customFormat="1" ht="14.1" customHeight="1">
      <c r="A647" s="255" t="s">
        <v>32</v>
      </c>
      <c r="B647" s="255" t="s">
        <v>1275</v>
      </c>
      <c r="LF647" s="1296"/>
      <c r="LK647" s="1296"/>
      <c r="LP647" s="1296"/>
      <c r="LU647" s="1296"/>
      <c r="LV647" s="1296"/>
      <c r="LW647" s="1296"/>
      <c r="LX647" s="1296"/>
      <c r="LY647" s="1296"/>
      <c r="LZ647" s="1296"/>
      <c r="MA647" s="1296"/>
      <c r="MB647" s="1296"/>
      <c r="MC647" s="1296"/>
      <c r="MD647" s="1296"/>
      <c r="ME647" s="1296"/>
      <c r="MF647" s="1296"/>
      <c r="MG647" s="1296"/>
      <c r="MH647" s="1296"/>
      <c r="MI647" s="1296"/>
      <c r="MJ647" s="1296"/>
      <c r="MK647" s="1296"/>
      <c r="ML647" s="1296"/>
      <c r="MM647" s="1296"/>
      <c r="MN647" s="1296"/>
      <c r="MO647" s="1296"/>
      <c r="MP647" s="1296"/>
      <c r="MW647" s="1184"/>
      <c r="NM647" s="1184"/>
      <c r="NN647" s="1184"/>
      <c r="OY647" s="251"/>
      <c r="OZ647" s="1296">
        <v>190</v>
      </c>
    </row>
    <row r="648" spans="1:416" s="1235" customFormat="1" ht="13.5" customHeight="1">
      <c r="A648" s="1816"/>
      <c r="C648" s="255" t="s">
        <v>7557</v>
      </c>
      <c r="I648" s="253" t="s">
        <v>1277</v>
      </c>
      <c r="K648" s="1846">
        <f>'Part V-Revenues &amp; Expenses'!K195</f>
        <v>0</v>
      </c>
      <c r="L648" s="1846"/>
      <c r="Z648" s="1086">
        <v>68</v>
      </c>
      <c r="OZ648" s="1296">
        <v>191</v>
      </c>
    </row>
    <row r="649" spans="1:416" s="1235" customFormat="1" ht="13.5" customHeight="1">
      <c r="A649" s="1816"/>
      <c r="C649" s="255"/>
      <c r="I649" s="253" t="s">
        <v>1278</v>
      </c>
      <c r="K649" s="1846">
        <f>'Part V-Revenues &amp; Expenses'!K196</f>
        <v>3000</v>
      </c>
      <c r="L649" s="1846"/>
      <c r="Z649" s="1086"/>
      <c r="OZ649" s="1771">
        <v>192</v>
      </c>
    </row>
    <row r="650" spans="1:416" s="1235" customFormat="1" ht="13.35" customHeight="1">
      <c r="A650" s="1816"/>
      <c r="C650" s="255" t="s">
        <v>1279</v>
      </c>
      <c r="K650" s="1846">
        <f>P643+K648+K649</f>
        <v>99504</v>
      </c>
      <c r="L650" s="1846"/>
      <c r="Z650" s="1086">
        <v>69</v>
      </c>
      <c r="OZ650" s="1296">
        <v>193</v>
      </c>
    </row>
    <row r="651" spans="1:416" s="253" customFormat="1" ht="3" customHeight="1">
      <c r="A651" s="2048"/>
      <c r="LF651" s="1296"/>
      <c r="LK651" s="1296"/>
      <c r="LP651" s="1296"/>
      <c r="LU651" s="1296"/>
      <c r="LV651" s="1296"/>
      <c r="LW651" s="1296"/>
      <c r="LX651" s="1296"/>
      <c r="LY651" s="1296"/>
      <c r="LZ651" s="1296"/>
      <c r="MA651" s="1296"/>
      <c r="MB651" s="1296"/>
      <c r="MC651" s="1296"/>
      <c r="MD651" s="1296"/>
      <c r="ME651" s="1296"/>
      <c r="MF651" s="1296"/>
      <c r="MG651" s="1296"/>
      <c r="MH651" s="1296"/>
      <c r="MI651" s="1296"/>
      <c r="MJ651" s="1296"/>
      <c r="MK651" s="1296"/>
      <c r="ML651" s="1296"/>
      <c r="MM651" s="1296"/>
      <c r="MN651" s="1296"/>
      <c r="MO651" s="1296"/>
      <c r="MP651" s="1296"/>
      <c r="MW651" s="1184"/>
      <c r="NM651" s="1184"/>
      <c r="NN651" s="1184"/>
      <c r="OY651" s="251"/>
      <c r="OZ651" s="1185">
        <v>194</v>
      </c>
    </row>
    <row r="652" spans="1:416" ht="14.1" customHeight="1">
      <c r="A652" s="255" t="s">
        <v>44</v>
      </c>
      <c r="B652" s="255" t="s">
        <v>7558</v>
      </c>
      <c r="S652" s="255" t="s">
        <v>793</v>
      </c>
      <c r="U652" s="253"/>
      <c r="LV652" s="1185"/>
      <c r="LW652" s="1185"/>
      <c r="LX652" s="1185"/>
      <c r="LY652" s="1185"/>
      <c r="LZ652" s="1185"/>
      <c r="MA652" s="1185"/>
      <c r="MB652" s="1185"/>
      <c r="MC652" s="1185"/>
      <c r="MD652" s="1185"/>
      <c r="ME652" s="1185"/>
      <c r="MF652" s="1185"/>
      <c r="MG652" s="1185"/>
      <c r="MH652" s="1185"/>
      <c r="MI652" s="1185"/>
      <c r="MJ652" s="1185"/>
      <c r="MK652" s="1185"/>
      <c r="ML652" s="1185"/>
      <c r="MM652" s="1185"/>
      <c r="MN652" s="1185"/>
      <c r="MO652" s="1185"/>
      <c r="MP652" s="1185"/>
      <c r="MQ652" s="1185"/>
      <c r="MX652" s="255"/>
      <c r="NN652" s="255"/>
      <c r="NO652" s="255"/>
      <c r="OZ652" s="1296">
        <v>195</v>
      </c>
    </row>
    <row r="653" spans="1:416" ht="2.25" customHeight="1">
      <c r="Q653" s="253"/>
      <c r="R653" s="253"/>
      <c r="LF653" s="1185"/>
      <c r="LK653" s="1185"/>
      <c r="LP653" s="1185"/>
      <c r="LU653" s="1185"/>
      <c r="LV653" s="1185"/>
      <c r="LW653" s="1185"/>
      <c r="LX653" s="1185"/>
      <c r="LY653" s="1185"/>
      <c r="LZ653" s="1185"/>
      <c r="MA653" s="1185"/>
      <c r="MB653" s="1185"/>
      <c r="MC653" s="1185"/>
      <c r="MD653" s="1185"/>
      <c r="ME653" s="1185"/>
      <c r="MF653" s="1185"/>
      <c r="MG653" s="1185"/>
      <c r="MH653" s="1185"/>
      <c r="MI653" s="1185"/>
      <c r="MJ653" s="1185"/>
      <c r="MK653" s="1185"/>
      <c r="ML653" s="1185"/>
      <c r="MM653" s="1185"/>
      <c r="MN653" s="1185"/>
      <c r="MO653" s="1185"/>
      <c r="MP653" s="1185"/>
      <c r="MW653" s="255"/>
      <c r="NM653" s="255"/>
      <c r="NN653" s="255"/>
      <c r="OZ653" s="1296">
        <v>196</v>
      </c>
    </row>
    <row r="654" spans="1:416" s="253" customFormat="1" ht="15.6" customHeight="1">
      <c r="B654" s="1097" t="s">
        <v>1281</v>
      </c>
      <c r="C654" s="1004"/>
      <c r="D654" s="1004"/>
      <c r="E654" s="1004"/>
      <c r="F654" s="1004"/>
      <c r="G654" s="1004"/>
      <c r="H654" s="2049">
        <f>'Part V-Revenues &amp; Expenses'!H201</f>
        <v>16644.72</v>
      </c>
      <c r="I654" s="2049"/>
      <c r="J654" s="2037" t="s">
        <v>7559</v>
      </c>
      <c r="M654" s="1004"/>
      <c r="N654" s="1004"/>
      <c r="O654" s="1004"/>
      <c r="P654" s="2050">
        <f>IF(M508=0,0,H654/M508)</f>
        <v>0</v>
      </c>
      <c r="Q654" s="1004"/>
      <c r="R654" s="1004"/>
      <c r="S654" s="1184" t="str">
        <f>B654</f>
        <v>Ancillary Income</v>
      </c>
      <c r="LF654" s="1296"/>
      <c r="LK654" s="1296"/>
      <c r="LP654" s="1296"/>
      <c r="LU654" s="1296"/>
      <c r="LV654" s="1296"/>
      <c r="LW654" s="1296"/>
      <c r="LX654" s="1296"/>
      <c r="LY654" s="1296"/>
      <c r="LZ654" s="1296"/>
      <c r="MA654" s="1296"/>
      <c r="MB654" s="1296"/>
      <c r="MC654" s="1296"/>
      <c r="MD654" s="1296"/>
      <c r="ME654" s="1296"/>
      <c r="MF654" s="1296"/>
      <c r="MG654" s="1296"/>
      <c r="MH654" s="1296"/>
      <c r="MI654" s="1296"/>
      <c r="MJ654" s="1296"/>
      <c r="MK654" s="1296"/>
      <c r="ML654" s="1296"/>
      <c r="MM654" s="1296"/>
      <c r="MN654" s="1296"/>
      <c r="MO654" s="1296"/>
      <c r="MP654" s="1296"/>
      <c r="MW654" s="1184"/>
      <c r="NM654" s="1184"/>
      <c r="NN654" s="1184"/>
      <c r="OZ654" s="1185">
        <v>197</v>
      </c>
    </row>
    <row r="655" spans="1:416" ht="15.6" customHeight="1">
      <c r="B655" s="1983"/>
      <c r="C655" s="254"/>
      <c r="D655" s="1004"/>
      <c r="E655" s="254"/>
      <c r="F655" s="254"/>
      <c r="G655" s="254"/>
      <c r="H655" s="254"/>
      <c r="I655" s="254"/>
      <c r="J655" s="2051"/>
      <c r="K655" s="254"/>
      <c r="L655" s="254"/>
      <c r="M655" s="254"/>
      <c r="N655" s="254"/>
      <c r="O655" s="254"/>
      <c r="P655" s="254"/>
      <c r="Q655" s="1004"/>
      <c r="R655" s="1004"/>
      <c r="LF655" s="1185"/>
      <c r="LK655" s="1185"/>
      <c r="LP655" s="1185"/>
      <c r="LU655" s="1185"/>
      <c r="LV655" s="1185"/>
      <c r="LW655" s="1185"/>
      <c r="LX655" s="1185"/>
      <c r="LY655" s="1185"/>
      <c r="LZ655" s="1185"/>
      <c r="MA655" s="1185"/>
      <c r="MB655" s="1185"/>
      <c r="MC655" s="1185"/>
      <c r="MD655" s="1185"/>
      <c r="ME655" s="1185"/>
      <c r="MF655" s="1185"/>
      <c r="MG655" s="1185"/>
      <c r="MH655" s="1185"/>
      <c r="MI655" s="1185"/>
      <c r="MJ655" s="1185"/>
      <c r="MK655" s="1185"/>
      <c r="ML655" s="1185"/>
      <c r="MM655" s="1185"/>
      <c r="MN655" s="1185"/>
      <c r="MO655" s="1185"/>
      <c r="MP655" s="1185"/>
      <c r="MW655" s="255"/>
      <c r="NM655" s="255"/>
      <c r="NN655" s="255"/>
      <c r="OY655" s="253"/>
      <c r="OZ655" s="1296">
        <v>198</v>
      </c>
    </row>
    <row r="656" spans="1:416" ht="15.6" customHeight="1">
      <c r="B656" s="1983" t="s">
        <v>1283</v>
      </c>
      <c r="C656" s="254"/>
      <c r="D656" s="254"/>
      <c r="E656" s="254"/>
      <c r="F656" s="254"/>
      <c r="G656" s="254"/>
      <c r="H656" s="254"/>
      <c r="I656" s="254"/>
      <c r="J656" s="1983"/>
      <c r="K656" s="254"/>
      <c r="L656" s="2052"/>
      <c r="M656" s="254"/>
      <c r="N656" s="254"/>
      <c r="O656" s="254"/>
      <c r="P656" s="254"/>
      <c r="Q656" s="254"/>
      <c r="S656" s="1979" t="str">
        <f>B656</f>
        <v>Other Income (OI) by Year:</v>
      </c>
      <c r="LF656" s="1185"/>
      <c r="LK656" s="1185"/>
      <c r="LP656" s="1185"/>
      <c r="LU656" s="1185"/>
      <c r="LV656" s="1185"/>
      <c r="LW656" s="1185"/>
      <c r="LX656" s="1185"/>
      <c r="LY656" s="1185"/>
      <c r="LZ656" s="1185"/>
      <c r="MA656" s="1185"/>
      <c r="MB656" s="1185"/>
      <c r="MC656" s="1185"/>
      <c r="MD656" s="1185"/>
      <c r="ME656" s="1185"/>
      <c r="MF656" s="1185"/>
      <c r="MG656" s="1185"/>
      <c r="MH656" s="1185"/>
      <c r="MI656" s="1185"/>
      <c r="MJ656" s="1185"/>
      <c r="MK656" s="1185"/>
      <c r="ML656" s="1185"/>
      <c r="MM656" s="1185"/>
      <c r="MN656" s="1185"/>
      <c r="MO656" s="1185"/>
      <c r="MP656" s="1185"/>
      <c r="MW656" s="255"/>
      <c r="NM656" s="255"/>
      <c r="NN656" s="255"/>
      <c r="OY656" s="253"/>
      <c r="OZ656" s="1296">
        <v>199</v>
      </c>
    </row>
    <row r="657" spans="2:416" ht="15.6" customHeight="1">
      <c r="B657" s="2053" t="s">
        <v>1284</v>
      </c>
      <c r="C657" s="254"/>
      <c r="D657" s="254"/>
      <c r="E657" s="254"/>
      <c r="F657" s="254"/>
      <c r="H657" s="2054">
        <v>1</v>
      </c>
      <c r="I657" s="2054">
        <v>2</v>
      </c>
      <c r="J657" s="2054">
        <v>3</v>
      </c>
      <c r="K657" s="2054">
        <v>4</v>
      </c>
      <c r="L657" s="2054">
        <v>5</v>
      </c>
      <c r="M657" s="2054">
        <v>6</v>
      </c>
      <c r="N657" s="2054">
        <v>7</v>
      </c>
      <c r="O657" s="2054">
        <v>8</v>
      </c>
      <c r="P657" s="2054">
        <v>9</v>
      </c>
      <c r="Q657" s="2054">
        <v>10</v>
      </c>
      <c r="R657" s="2055"/>
      <c r="S657" s="253" t="str">
        <f>B657</f>
        <v>Included in Mgt Fee:</v>
      </c>
      <c r="LF657" s="1185"/>
      <c r="LK657" s="1185"/>
      <c r="LP657" s="1185"/>
      <c r="LU657" s="1185"/>
      <c r="LV657" s="1185"/>
      <c r="LW657" s="1185"/>
      <c r="LX657" s="1185"/>
      <c r="LY657" s="1185"/>
      <c r="LZ657" s="1185"/>
      <c r="MA657" s="1185"/>
      <c r="MB657" s="1185"/>
      <c r="MC657" s="1185"/>
      <c r="MD657" s="1185"/>
      <c r="ME657" s="1185"/>
      <c r="MF657" s="1185"/>
      <c r="MG657" s="1185"/>
      <c r="MH657" s="1185"/>
      <c r="MI657" s="1185"/>
      <c r="MJ657" s="1185"/>
      <c r="MK657" s="1185"/>
      <c r="ML657" s="1185"/>
      <c r="MM657" s="1185"/>
      <c r="MN657" s="1185"/>
      <c r="MO657" s="1185"/>
      <c r="MP657" s="1185"/>
      <c r="MW657" s="255"/>
      <c r="NM657" s="255"/>
      <c r="NN657" s="255"/>
      <c r="OY657" s="253"/>
      <c r="OZ657" s="1296">
        <v>200</v>
      </c>
    </row>
    <row r="658" spans="2:416" ht="15.6" customHeight="1">
      <c r="B658" s="1004" t="s">
        <v>1285</v>
      </c>
      <c r="C658" s="1004"/>
      <c r="D658" s="1004"/>
      <c r="E658" s="1004"/>
      <c r="F658" s="1004"/>
      <c r="H658" s="2056">
        <f>'Part V-Revenues &amp; Expenses'!H205</f>
        <v>0</v>
      </c>
      <c r="I658" s="2056">
        <f>'Part V-Revenues &amp; Expenses'!I205</f>
        <v>0</v>
      </c>
      <c r="J658" s="2056">
        <f>'Part V-Revenues &amp; Expenses'!J205</f>
        <v>0</v>
      </c>
      <c r="K658" s="2056">
        <f>'Part V-Revenues &amp; Expenses'!K205</f>
        <v>0</v>
      </c>
      <c r="L658" s="2056">
        <f>'Part V-Revenues &amp; Expenses'!L205</f>
        <v>0</v>
      </c>
      <c r="M658" s="2056">
        <f>'Part V-Revenues &amp; Expenses'!M205</f>
        <v>0</v>
      </c>
      <c r="N658" s="2056">
        <f>'Part V-Revenues &amp; Expenses'!N205</f>
        <v>0</v>
      </c>
      <c r="O658" s="2056">
        <f>'Part V-Revenues &amp; Expenses'!O205</f>
        <v>0</v>
      </c>
      <c r="P658" s="2056">
        <f>'Part V-Revenues &amp; Expenses'!P205</f>
        <v>0</v>
      </c>
      <c r="Q658" s="2056">
        <f>'Part V-Revenues &amp; Expenses'!Q205</f>
        <v>0</v>
      </c>
      <c r="R658" s="2047"/>
      <c r="S658" s="1920"/>
      <c r="T658" s="1920"/>
      <c r="U658" s="1920"/>
      <c r="V658" s="1920"/>
      <c r="W658" s="1920"/>
      <c r="LF658" s="1185"/>
      <c r="LK658" s="1185"/>
      <c r="LP658" s="1185"/>
      <c r="LU658" s="1185"/>
      <c r="LV658" s="1185"/>
      <c r="LW658" s="1185"/>
      <c r="LX658" s="1185"/>
      <c r="LY658" s="1185"/>
      <c r="LZ658" s="1185"/>
      <c r="MA658" s="1185"/>
      <c r="MB658" s="1185"/>
      <c r="MC658" s="1185"/>
      <c r="MD658" s="1185"/>
      <c r="ME658" s="1185"/>
      <c r="MF658" s="1185"/>
      <c r="MG658" s="1185"/>
      <c r="MH658" s="1185"/>
      <c r="MI658" s="1185"/>
      <c r="MJ658" s="1185"/>
      <c r="MK658" s="1185"/>
      <c r="ML658" s="1185"/>
      <c r="MM658" s="1185"/>
      <c r="MN658" s="1185"/>
      <c r="MO658" s="1185"/>
      <c r="MP658" s="1185"/>
      <c r="MW658" s="255"/>
      <c r="NM658" s="255"/>
      <c r="NN658" s="255"/>
      <c r="OZ658" s="1296">
        <v>201</v>
      </c>
    </row>
    <row r="659" spans="2:416" ht="15.6" customHeight="1">
      <c r="B659" s="1004" t="s">
        <v>436</v>
      </c>
      <c r="C659" s="1004">
        <f>'Part V-Revenues &amp; Expenses'!C206</f>
        <v>0</v>
      </c>
      <c r="D659" s="1004"/>
      <c r="E659" s="1004"/>
      <c r="F659" s="1004"/>
      <c r="H659" s="2056">
        <f>'Part V-Revenues &amp; Expenses'!H206</f>
        <v>0</v>
      </c>
      <c r="I659" s="2056">
        <f>'Part V-Revenues &amp; Expenses'!I206</f>
        <v>0</v>
      </c>
      <c r="J659" s="2056">
        <f>'Part V-Revenues &amp; Expenses'!J206</f>
        <v>0</v>
      </c>
      <c r="K659" s="2056">
        <f>'Part V-Revenues &amp; Expenses'!K206</f>
        <v>0</v>
      </c>
      <c r="L659" s="2056">
        <f>'Part V-Revenues &amp; Expenses'!L206</f>
        <v>0</v>
      </c>
      <c r="M659" s="2056">
        <f>'Part V-Revenues &amp; Expenses'!M206</f>
        <v>0</v>
      </c>
      <c r="N659" s="2056">
        <f>'Part V-Revenues &amp; Expenses'!N206</f>
        <v>0</v>
      </c>
      <c r="O659" s="2056">
        <f>'Part V-Revenues &amp; Expenses'!O206</f>
        <v>0</v>
      </c>
      <c r="P659" s="2056">
        <f>'Part V-Revenues &amp; Expenses'!P206</f>
        <v>0</v>
      </c>
      <c r="Q659" s="2056">
        <f>'Part V-Revenues &amp; Expenses'!Q206</f>
        <v>0</v>
      </c>
      <c r="R659" s="2047"/>
      <c r="S659" s="1920"/>
      <c r="T659" s="1920"/>
      <c r="U659" s="1920"/>
      <c r="V659" s="1920"/>
      <c r="W659" s="1920"/>
      <c r="LF659" s="1185"/>
      <c r="LK659" s="1185"/>
      <c r="LP659" s="1185"/>
      <c r="LU659" s="1185"/>
      <c r="LV659" s="1185"/>
      <c r="LW659" s="1185"/>
      <c r="LX659" s="1185"/>
      <c r="LY659" s="1185"/>
      <c r="LZ659" s="1185"/>
      <c r="MA659" s="1185"/>
      <c r="MB659" s="1185"/>
      <c r="MC659" s="1185"/>
      <c r="MD659" s="1185"/>
      <c r="ME659" s="1185"/>
      <c r="MF659" s="1185"/>
      <c r="MG659" s="1185"/>
      <c r="MH659" s="1185"/>
      <c r="MI659" s="1185"/>
      <c r="MJ659" s="1185"/>
      <c r="MK659" s="1185"/>
      <c r="ML659" s="1185"/>
      <c r="MM659" s="1185"/>
      <c r="MN659" s="1185"/>
      <c r="MO659" s="1185"/>
      <c r="MP659" s="1185"/>
      <c r="MW659" s="255"/>
      <c r="NM659" s="255"/>
      <c r="NN659" s="255"/>
      <c r="OZ659" s="1296">
        <v>202</v>
      </c>
    </row>
    <row r="660" spans="2:416" ht="15.6" customHeight="1">
      <c r="B660" s="1004"/>
      <c r="C660" s="1004" t="s">
        <v>1286</v>
      </c>
      <c r="D660" s="1004"/>
      <c r="E660" s="1004"/>
      <c r="F660" s="1004"/>
      <c r="H660" s="2057">
        <f>SUM(H658:H659)</f>
        <v>0</v>
      </c>
      <c r="I660" s="2057">
        <f>SUM(I658:I659)</f>
        <v>0</v>
      </c>
      <c r="J660" s="2057">
        <f t="shared" ref="J660:Q660" si="406">SUM(J658:J659)</f>
        <v>0</v>
      </c>
      <c r="K660" s="2057">
        <f t="shared" si="406"/>
        <v>0</v>
      </c>
      <c r="L660" s="2057">
        <f t="shared" si="406"/>
        <v>0</v>
      </c>
      <c r="M660" s="2057">
        <f t="shared" si="406"/>
        <v>0</v>
      </c>
      <c r="N660" s="2057">
        <f t="shared" si="406"/>
        <v>0</v>
      </c>
      <c r="O660" s="2057">
        <f t="shared" si="406"/>
        <v>0</v>
      </c>
      <c r="P660" s="2057">
        <f t="shared" si="406"/>
        <v>0</v>
      </c>
      <c r="Q660" s="2057">
        <f t="shared" si="406"/>
        <v>0</v>
      </c>
      <c r="R660" s="257"/>
      <c r="S660" s="1920"/>
      <c r="T660" s="1920"/>
      <c r="U660" s="1920"/>
      <c r="V660" s="1920"/>
      <c r="W660" s="1920"/>
      <c r="LF660" s="1185"/>
      <c r="LK660" s="1185"/>
      <c r="LP660" s="1185"/>
      <c r="LU660" s="1185"/>
      <c r="LV660" s="1185"/>
      <c r="LW660" s="1185"/>
      <c r="LX660" s="1185"/>
      <c r="LY660" s="1185"/>
      <c r="LZ660" s="1185"/>
      <c r="MA660" s="1185"/>
      <c r="MB660" s="1185"/>
      <c r="MC660" s="1185"/>
      <c r="MD660" s="1185"/>
      <c r="ME660" s="1185"/>
      <c r="MF660" s="1185"/>
      <c r="MG660" s="1185"/>
      <c r="MH660" s="1185"/>
      <c r="MI660" s="1185"/>
      <c r="MJ660" s="1185"/>
      <c r="MK660" s="1185"/>
      <c r="ML660" s="1185"/>
      <c r="MM660" s="1185"/>
      <c r="MN660" s="1185"/>
      <c r="MO660" s="1185"/>
      <c r="MP660" s="1185"/>
      <c r="MW660" s="255"/>
      <c r="NM660" s="255"/>
      <c r="NN660" s="255"/>
      <c r="OY660" s="253"/>
      <c r="OZ660" s="1771">
        <v>203</v>
      </c>
    </row>
    <row r="661" spans="2:416" ht="15.6" customHeight="1">
      <c r="B661" s="2053" t="s">
        <v>7560</v>
      </c>
      <c r="C661" s="254"/>
      <c r="D661" s="254"/>
      <c r="E661" s="254"/>
      <c r="F661" s="254"/>
      <c r="H661" s="2058"/>
      <c r="I661" s="254"/>
      <c r="J661" s="254"/>
      <c r="K661" s="254"/>
      <c r="L661" s="254"/>
      <c r="M661" s="254"/>
      <c r="N661" s="254"/>
      <c r="O661" s="254"/>
      <c r="P661" s="254"/>
      <c r="Q661" s="254"/>
      <c r="S661" s="253" t="str">
        <f>B661</f>
        <v>NOT Included in Mgt Fee:</v>
      </c>
      <c r="LF661" s="1185"/>
      <c r="LK661" s="1185"/>
      <c r="LP661" s="1185"/>
      <c r="LU661" s="1185"/>
      <c r="LV661" s="1185"/>
      <c r="LW661" s="1185"/>
      <c r="LX661" s="1185"/>
      <c r="LY661" s="1185"/>
      <c r="LZ661" s="1185"/>
      <c r="MA661" s="1185"/>
      <c r="MB661" s="1185"/>
      <c r="MC661" s="1185"/>
      <c r="MD661" s="1185"/>
      <c r="ME661" s="1185"/>
      <c r="MF661" s="1185"/>
      <c r="MG661" s="1185"/>
      <c r="MH661" s="1185"/>
      <c r="MI661" s="1185"/>
      <c r="MJ661" s="1185"/>
      <c r="MK661" s="1185"/>
      <c r="ML661" s="1185"/>
      <c r="MM661" s="1185"/>
      <c r="MN661" s="1185"/>
      <c r="MO661" s="1185"/>
      <c r="MP661" s="1185"/>
      <c r="MW661" s="255"/>
      <c r="NM661" s="255"/>
      <c r="NN661" s="255"/>
      <c r="OZ661" s="1296">
        <v>204</v>
      </c>
    </row>
    <row r="662" spans="2:416" ht="15.6" customHeight="1">
      <c r="B662" s="1004" t="s">
        <v>1288</v>
      </c>
      <c r="C662" s="1004"/>
      <c r="D662" s="1004"/>
      <c r="E662" s="1004"/>
      <c r="F662" s="1004"/>
      <c r="H662" s="2056">
        <f>'Part V-Revenues &amp; Expenses'!H209</f>
        <v>0</v>
      </c>
      <c r="I662" s="2056">
        <f>'Part V-Revenues &amp; Expenses'!I209</f>
        <v>0</v>
      </c>
      <c r="J662" s="2056">
        <f>'Part V-Revenues &amp; Expenses'!J209</f>
        <v>0</v>
      </c>
      <c r="K662" s="2056">
        <f>'Part V-Revenues &amp; Expenses'!K209</f>
        <v>0</v>
      </c>
      <c r="L662" s="2056">
        <f>'Part V-Revenues &amp; Expenses'!L209</f>
        <v>0</v>
      </c>
      <c r="M662" s="2056">
        <f>'Part V-Revenues &amp; Expenses'!M209</f>
        <v>0</v>
      </c>
      <c r="N662" s="2056">
        <f>'Part V-Revenues &amp; Expenses'!N209</f>
        <v>0</v>
      </c>
      <c r="O662" s="2056">
        <f>'Part V-Revenues &amp; Expenses'!O209</f>
        <v>0</v>
      </c>
      <c r="P662" s="2056">
        <f>'Part V-Revenues &amp; Expenses'!P209</f>
        <v>0</v>
      </c>
      <c r="Q662" s="2056">
        <f>'Part V-Revenues &amp; Expenses'!Q209</f>
        <v>0</v>
      </c>
      <c r="R662" s="2047"/>
      <c r="S662" s="1920"/>
      <c r="T662" s="1920"/>
      <c r="U662" s="1920"/>
      <c r="V662" s="1920"/>
      <c r="W662" s="1920"/>
      <c r="LF662" s="1185"/>
      <c r="LK662" s="1185"/>
      <c r="LP662" s="1185"/>
      <c r="LU662" s="1185"/>
      <c r="LV662" s="1185"/>
      <c r="LW662" s="1185"/>
      <c r="LX662" s="1185"/>
      <c r="LY662" s="1185"/>
      <c r="LZ662" s="1185"/>
      <c r="MA662" s="1185"/>
      <c r="MB662" s="1185"/>
      <c r="MC662" s="1185"/>
      <c r="MD662" s="1185"/>
      <c r="ME662" s="1185"/>
      <c r="MF662" s="1185"/>
      <c r="MG662" s="1185"/>
      <c r="MH662" s="1185"/>
      <c r="MI662" s="1185"/>
      <c r="MJ662" s="1185"/>
      <c r="MK662" s="1185"/>
      <c r="ML662" s="1185"/>
      <c r="MM662" s="1185"/>
      <c r="MN662" s="1185"/>
      <c r="MO662" s="1185"/>
      <c r="MP662" s="1185"/>
      <c r="MW662" s="255"/>
      <c r="NM662" s="255"/>
      <c r="NN662" s="255"/>
      <c r="OZ662" s="1185">
        <v>205</v>
      </c>
    </row>
    <row r="663" spans="2:416" ht="15.6" customHeight="1">
      <c r="B663" s="1004" t="s">
        <v>436</v>
      </c>
      <c r="C663" s="1004">
        <f>'Part V-Revenues &amp; Expenses'!C210</f>
        <v>0</v>
      </c>
      <c r="D663" s="1004"/>
      <c r="E663" s="1004"/>
      <c r="F663" s="1004"/>
      <c r="H663" s="2056">
        <f>'Part V-Revenues &amp; Expenses'!H210</f>
        <v>0</v>
      </c>
      <c r="I663" s="2056">
        <f>'Part V-Revenues &amp; Expenses'!I210</f>
        <v>0</v>
      </c>
      <c r="J663" s="2056">
        <f>'Part V-Revenues &amp; Expenses'!J210</f>
        <v>0</v>
      </c>
      <c r="K663" s="2056">
        <f>'Part V-Revenues &amp; Expenses'!K210</f>
        <v>0</v>
      </c>
      <c r="L663" s="2056">
        <f>'Part V-Revenues &amp; Expenses'!L210</f>
        <v>0</v>
      </c>
      <c r="M663" s="2056">
        <f>'Part V-Revenues &amp; Expenses'!M210</f>
        <v>0</v>
      </c>
      <c r="N663" s="2056">
        <f>'Part V-Revenues &amp; Expenses'!N210</f>
        <v>0</v>
      </c>
      <c r="O663" s="2056">
        <f>'Part V-Revenues &amp; Expenses'!O210</f>
        <v>0</v>
      </c>
      <c r="P663" s="2056">
        <f>'Part V-Revenues &amp; Expenses'!P210</f>
        <v>0</v>
      </c>
      <c r="Q663" s="2056">
        <f>'Part V-Revenues &amp; Expenses'!Q210</f>
        <v>0</v>
      </c>
      <c r="R663" s="2047"/>
      <c r="S663" s="1920"/>
      <c r="T663" s="1920"/>
      <c r="U663" s="1920"/>
      <c r="V663" s="1920"/>
      <c r="W663" s="1920"/>
      <c r="LF663" s="1185"/>
      <c r="LK663" s="1185"/>
      <c r="LP663" s="1185"/>
      <c r="LU663" s="1185"/>
      <c r="LV663" s="1185"/>
      <c r="LW663" s="1185"/>
      <c r="LX663" s="1185"/>
      <c r="LY663" s="1185"/>
      <c r="LZ663" s="1185"/>
      <c r="MA663" s="1185"/>
      <c r="MB663" s="1185"/>
      <c r="MC663" s="1185"/>
      <c r="MD663" s="1185"/>
      <c r="ME663" s="1185"/>
      <c r="MF663" s="1185"/>
      <c r="MG663" s="1185"/>
      <c r="MH663" s="1185"/>
      <c r="MI663" s="1185"/>
      <c r="MJ663" s="1185"/>
      <c r="MK663" s="1185"/>
      <c r="ML663" s="1185"/>
      <c r="MM663" s="1185"/>
      <c r="MN663" s="1185"/>
      <c r="MO663" s="1185"/>
      <c r="MP663" s="1185"/>
      <c r="MW663" s="255"/>
      <c r="NM663" s="255"/>
      <c r="NN663" s="255"/>
      <c r="OZ663" s="1296">
        <v>206</v>
      </c>
    </row>
    <row r="664" spans="2:416" ht="15.6" customHeight="1">
      <c r="B664" s="1004"/>
      <c r="C664" s="1004" t="s">
        <v>7561</v>
      </c>
      <c r="D664" s="1004"/>
      <c r="E664" s="1004"/>
      <c r="F664" s="1004"/>
      <c r="H664" s="2057">
        <f>SUM(H662:H663)</f>
        <v>0</v>
      </c>
      <c r="I664" s="2057">
        <f>SUM(I662:I663)</f>
        <v>0</v>
      </c>
      <c r="J664" s="2057">
        <f t="shared" ref="J664:Q664" si="407">SUM(J662:J663)</f>
        <v>0</v>
      </c>
      <c r="K664" s="2057">
        <f t="shared" si="407"/>
        <v>0</v>
      </c>
      <c r="L664" s="2057">
        <f t="shared" si="407"/>
        <v>0</v>
      </c>
      <c r="M664" s="2057">
        <f t="shared" si="407"/>
        <v>0</v>
      </c>
      <c r="N664" s="2057">
        <f t="shared" si="407"/>
        <v>0</v>
      </c>
      <c r="O664" s="2057">
        <f t="shared" si="407"/>
        <v>0</v>
      </c>
      <c r="P664" s="2057">
        <f t="shared" si="407"/>
        <v>0</v>
      </c>
      <c r="Q664" s="2057">
        <f t="shared" si="407"/>
        <v>0</v>
      </c>
      <c r="R664" s="257"/>
      <c r="S664" s="1920"/>
      <c r="T664" s="1920"/>
      <c r="U664" s="1920"/>
      <c r="V664" s="1920"/>
      <c r="W664" s="1920"/>
      <c r="LF664" s="1185"/>
      <c r="LK664" s="1185"/>
      <c r="LP664" s="1185"/>
      <c r="LU664" s="1185"/>
      <c r="LV664" s="1185"/>
      <c r="LW664" s="1185"/>
      <c r="LX664" s="1185"/>
      <c r="LY664" s="1185"/>
      <c r="LZ664" s="1185"/>
      <c r="MA664" s="1185"/>
      <c r="MB664" s="1185"/>
      <c r="MC664" s="1185"/>
      <c r="MD664" s="1185"/>
      <c r="ME664" s="1185"/>
      <c r="MF664" s="1185"/>
      <c r="MG664" s="1185"/>
      <c r="MH664" s="1185"/>
      <c r="MI664" s="1185"/>
      <c r="MJ664" s="1185"/>
      <c r="MK664" s="1185"/>
      <c r="ML664" s="1185"/>
      <c r="MM664" s="1185"/>
      <c r="MN664" s="1185"/>
      <c r="MO664" s="1185"/>
      <c r="MP664" s="1185"/>
      <c r="MW664" s="255"/>
      <c r="NM664" s="255"/>
      <c r="NN664" s="255"/>
      <c r="OZ664" s="1296">
        <v>207</v>
      </c>
    </row>
    <row r="665" spans="2:416" ht="15.6" customHeight="1">
      <c r="B665" s="1983"/>
      <c r="C665" s="254"/>
      <c r="D665" s="254"/>
      <c r="E665" s="254"/>
      <c r="F665" s="254"/>
      <c r="H665" s="2058"/>
      <c r="I665" s="254"/>
      <c r="J665" s="254"/>
      <c r="K665" s="254"/>
      <c r="L665" s="254"/>
      <c r="M665" s="254"/>
      <c r="N665" s="254"/>
      <c r="O665" s="254"/>
      <c r="P665" s="254"/>
      <c r="Q665" s="254"/>
      <c r="LF665" s="1185"/>
      <c r="LK665" s="1185"/>
      <c r="LP665" s="1185"/>
      <c r="LU665" s="1185"/>
      <c r="LV665" s="1185"/>
      <c r="LW665" s="1185"/>
      <c r="LX665" s="1185"/>
      <c r="LY665" s="1185"/>
      <c r="LZ665" s="1185"/>
      <c r="MA665" s="1185"/>
      <c r="MB665" s="1185"/>
      <c r="MC665" s="1185"/>
      <c r="MD665" s="1185"/>
      <c r="ME665" s="1185"/>
      <c r="MF665" s="1185"/>
      <c r="MG665" s="1185"/>
      <c r="MH665" s="1185"/>
      <c r="MI665" s="1185"/>
      <c r="MJ665" s="1185"/>
      <c r="MK665" s="1185"/>
      <c r="ML665" s="1185"/>
      <c r="MM665" s="1185"/>
      <c r="MN665" s="1185"/>
      <c r="MO665" s="1185"/>
      <c r="MP665" s="1185"/>
      <c r="MW665" s="255"/>
      <c r="NM665" s="255"/>
      <c r="NN665" s="255"/>
      <c r="OZ665" s="1185">
        <v>208</v>
      </c>
    </row>
    <row r="666" spans="2:416" ht="15.6" customHeight="1">
      <c r="B666" s="2053" t="s">
        <v>1284</v>
      </c>
      <c r="C666" s="254"/>
      <c r="D666" s="254"/>
      <c r="E666" s="254"/>
      <c r="F666" s="254"/>
      <c r="H666" s="2054">
        <v>11</v>
      </c>
      <c r="I666" s="2054">
        <v>12</v>
      </c>
      <c r="J666" s="2054">
        <v>13</v>
      </c>
      <c r="K666" s="2054">
        <v>14</v>
      </c>
      <c r="L666" s="2054">
        <v>15</v>
      </c>
      <c r="M666" s="2054">
        <v>16</v>
      </c>
      <c r="N666" s="2054">
        <v>17</v>
      </c>
      <c r="O666" s="2054">
        <v>18</v>
      </c>
      <c r="P666" s="2054">
        <v>19</v>
      </c>
      <c r="Q666" s="2054">
        <v>20</v>
      </c>
      <c r="S666" s="2007" t="s">
        <v>1290</v>
      </c>
      <c r="T666" s="253" t="str">
        <f>B666</f>
        <v>Included in Mgt Fee:</v>
      </c>
      <c r="LF666" s="1185"/>
      <c r="LK666" s="1185"/>
      <c r="LP666" s="1185"/>
      <c r="LU666" s="1185"/>
      <c r="LV666" s="1185"/>
      <c r="LW666" s="1185"/>
      <c r="LX666" s="1185"/>
      <c r="LY666" s="1185"/>
      <c r="LZ666" s="1185"/>
      <c r="MA666" s="1185"/>
      <c r="MB666" s="1185"/>
      <c r="MC666" s="1185"/>
      <c r="MD666" s="1185"/>
      <c r="ME666" s="1185"/>
      <c r="MF666" s="1185"/>
      <c r="MG666" s="1185"/>
      <c r="MH666" s="1185"/>
      <c r="MI666" s="1185"/>
      <c r="MJ666" s="1185"/>
      <c r="MK666" s="1185"/>
      <c r="ML666" s="1185"/>
      <c r="MM666" s="1185"/>
      <c r="MN666" s="1185"/>
      <c r="MO666" s="1185"/>
      <c r="MP666" s="1185"/>
      <c r="MW666" s="255"/>
      <c r="NM666" s="255"/>
      <c r="NN666" s="255"/>
      <c r="OZ666" s="1296">
        <v>209</v>
      </c>
    </row>
    <row r="667" spans="2:416" ht="15.6" customHeight="1">
      <c r="B667" s="1004" t="s">
        <v>1285</v>
      </c>
      <c r="C667" s="1004"/>
      <c r="D667" s="1004"/>
      <c r="E667" s="1004"/>
      <c r="F667" s="1004"/>
      <c r="H667" s="2056">
        <f>'Part V-Revenues &amp; Expenses'!H214</f>
        <v>0</v>
      </c>
      <c r="I667" s="2056">
        <f>'Part V-Revenues &amp; Expenses'!I214</f>
        <v>0</v>
      </c>
      <c r="J667" s="2056">
        <f>'Part V-Revenues &amp; Expenses'!J214</f>
        <v>0</v>
      </c>
      <c r="K667" s="2056">
        <f>'Part V-Revenues &amp; Expenses'!K214</f>
        <v>0</v>
      </c>
      <c r="L667" s="2056">
        <f>'Part V-Revenues &amp; Expenses'!L214</f>
        <v>0</v>
      </c>
      <c r="M667" s="2056">
        <f>'Part V-Revenues &amp; Expenses'!M214</f>
        <v>0</v>
      </c>
      <c r="N667" s="2056">
        <f>'Part V-Revenues &amp; Expenses'!N214</f>
        <v>0</v>
      </c>
      <c r="O667" s="2056">
        <f>'Part V-Revenues &amp; Expenses'!O214</f>
        <v>0</v>
      </c>
      <c r="P667" s="2056">
        <f>'Part V-Revenues &amp; Expenses'!P214</f>
        <v>0</v>
      </c>
      <c r="Q667" s="2056">
        <f>'Part V-Revenues &amp; Expenses'!Q214</f>
        <v>0</v>
      </c>
      <c r="R667" s="2047"/>
      <c r="S667" s="1920"/>
      <c r="T667" s="1920"/>
      <c r="U667" s="1920"/>
      <c r="V667" s="1920"/>
      <c r="W667" s="1920"/>
      <c r="OZ667" s="1296">
        <v>210</v>
      </c>
    </row>
    <row r="668" spans="2:416" ht="15.6" customHeight="1">
      <c r="B668" s="1004" t="s">
        <v>436</v>
      </c>
      <c r="C668" s="1004">
        <f>'Part V-Revenues &amp; Expenses'!C215</f>
        <v>0</v>
      </c>
      <c r="D668" s="1004"/>
      <c r="E668" s="1004"/>
      <c r="F668" s="1004"/>
      <c r="H668" s="2056">
        <f>'Part V-Revenues &amp; Expenses'!H215</f>
        <v>0</v>
      </c>
      <c r="I668" s="2056">
        <f>'Part V-Revenues &amp; Expenses'!I215</f>
        <v>0</v>
      </c>
      <c r="J668" s="2056">
        <f>'Part V-Revenues &amp; Expenses'!J215</f>
        <v>0</v>
      </c>
      <c r="K668" s="2056">
        <f>'Part V-Revenues &amp; Expenses'!K215</f>
        <v>0</v>
      </c>
      <c r="L668" s="2056">
        <f>'Part V-Revenues &amp; Expenses'!L215</f>
        <v>0</v>
      </c>
      <c r="M668" s="2056">
        <f>'Part V-Revenues &amp; Expenses'!M215</f>
        <v>0</v>
      </c>
      <c r="N668" s="2056">
        <f>'Part V-Revenues &amp; Expenses'!N215</f>
        <v>0</v>
      </c>
      <c r="O668" s="2056">
        <f>'Part V-Revenues &amp; Expenses'!O215</f>
        <v>0</v>
      </c>
      <c r="P668" s="2056">
        <f>'Part V-Revenues &amp; Expenses'!P215</f>
        <v>0</v>
      </c>
      <c r="Q668" s="2056">
        <f>'Part V-Revenues &amp; Expenses'!Q215</f>
        <v>0</v>
      </c>
      <c r="R668" s="2047"/>
      <c r="S668" s="1920"/>
      <c r="T668" s="1920"/>
      <c r="U668" s="1920"/>
      <c r="V668" s="1920"/>
      <c r="W668" s="1920"/>
      <c r="OZ668" s="1296">
        <v>211</v>
      </c>
    </row>
    <row r="669" spans="2:416" ht="15.6" customHeight="1">
      <c r="B669" s="1004"/>
      <c r="C669" s="1004" t="s">
        <v>1286</v>
      </c>
      <c r="D669" s="1004"/>
      <c r="E669" s="1004"/>
      <c r="F669" s="1004"/>
      <c r="H669" s="2057">
        <f>SUM(H667:H668)</f>
        <v>0</v>
      </c>
      <c r="I669" s="2057">
        <f>SUM(I667:I668)</f>
        <v>0</v>
      </c>
      <c r="J669" s="2057">
        <f t="shared" ref="J669:Q669" si="408">SUM(J667:J668)</f>
        <v>0</v>
      </c>
      <c r="K669" s="2057">
        <f t="shared" si="408"/>
        <v>0</v>
      </c>
      <c r="L669" s="2057">
        <f t="shared" si="408"/>
        <v>0</v>
      </c>
      <c r="M669" s="2057">
        <f t="shared" si="408"/>
        <v>0</v>
      </c>
      <c r="N669" s="2057">
        <f t="shared" si="408"/>
        <v>0</v>
      </c>
      <c r="O669" s="2057">
        <f t="shared" si="408"/>
        <v>0</v>
      </c>
      <c r="P669" s="2057">
        <f t="shared" si="408"/>
        <v>0</v>
      </c>
      <c r="Q669" s="2057">
        <f t="shared" si="408"/>
        <v>0</v>
      </c>
      <c r="R669" s="257"/>
      <c r="S669" s="1920"/>
      <c r="T669" s="1920"/>
      <c r="U669" s="1920"/>
      <c r="V669" s="1920"/>
      <c r="W669" s="1920"/>
      <c r="OZ669" s="1296">
        <v>212</v>
      </c>
    </row>
    <row r="670" spans="2:416" ht="15.6" customHeight="1">
      <c r="B670" s="2053" t="s">
        <v>7560</v>
      </c>
      <c r="C670" s="254"/>
      <c r="D670" s="254"/>
      <c r="E670" s="254"/>
      <c r="F670" s="254"/>
      <c r="H670" s="2058"/>
      <c r="I670" s="254"/>
      <c r="J670" s="254"/>
      <c r="K670" s="254"/>
      <c r="L670" s="254"/>
      <c r="M670" s="254"/>
      <c r="N670" s="254"/>
      <c r="O670" s="254"/>
      <c r="P670" s="254"/>
      <c r="Q670" s="254"/>
      <c r="S670" s="253" t="str">
        <f>B670</f>
        <v>NOT Included in Mgt Fee:</v>
      </c>
      <c r="OZ670" s="1296">
        <v>213</v>
      </c>
    </row>
    <row r="671" spans="2:416" ht="15.6" customHeight="1">
      <c r="B671" s="1004" t="s">
        <v>1288</v>
      </c>
      <c r="C671" s="1004"/>
      <c r="D671" s="1004"/>
      <c r="E671" s="1004"/>
      <c r="F671" s="1004"/>
      <c r="H671" s="2056">
        <f>'Part V-Revenues &amp; Expenses'!H218</f>
        <v>0</v>
      </c>
      <c r="I671" s="2056">
        <f>'Part V-Revenues &amp; Expenses'!I218</f>
        <v>0</v>
      </c>
      <c r="J671" s="2056">
        <f>'Part V-Revenues &amp; Expenses'!J218</f>
        <v>0</v>
      </c>
      <c r="K671" s="2056">
        <f>'Part V-Revenues &amp; Expenses'!K218</f>
        <v>0</v>
      </c>
      <c r="L671" s="2056">
        <f>'Part V-Revenues &amp; Expenses'!L218</f>
        <v>0</v>
      </c>
      <c r="M671" s="2056">
        <f>'Part V-Revenues &amp; Expenses'!M218</f>
        <v>0</v>
      </c>
      <c r="N671" s="2056">
        <f>'Part V-Revenues &amp; Expenses'!N218</f>
        <v>0</v>
      </c>
      <c r="O671" s="2056">
        <f>'Part V-Revenues &amp; Expenses'!O218</f>
        <v>0</v>
      </c>
      <c r="P671" s="2056">
        <f>'Part V-Revenues &amp; Expenses'!P218</f>
        <v>0</v>
      </c>
      <c r="Q671" s="2056">
        <f>'Part V-Revenues &amp; Expenses'!Q218</f>
        <v>0</v>
      </c>
      <c r="R671" s="2047"/>
      <c r="S671" s="1920"/>
      <c r="T671" s="1920"/>
      <c r="U671" s="1920"/>
      <c r="V671" s="1920"/>
      <c r="W671" s="1920"/>
      <c r="OZ671" s="1771">
        <v>214</v>
      </c>
    </row>
    <row r="672" spans="2:416" ht="15.6" customHeight="1">
      <c r="B672" s="1004" t="s">
        <v>436</v>
      </c>
      <c r="C672" s="1004">
        <f>'Part V-Revenues &amp; Expenses'!C219</f>
        <v>0</v>
      </c>
      <c r="D672" s="1004"/>
      <c r="E672" s="1004"/>
      <c r="F672" s="1004"/>
      <c r="H672" s="2056">
        <f>'Part V-Revenues &amp; Expenses'!H219</f>
        <v>0</v>
      </c>
      <c r="I672" s="2056">
        <f>'Part V-Revenues &amp; Expenses'!I219</f>
        <v>0</v>
      </c>
      <c r="J672" s="2056">
        <f>'Part V-Revenues &amp; Expenses'!J219</f>
        <v>0</v>
      </c>
      <c r="K672" s="2056">
        <f>'Part V-Revenues &amp; Expenses'!K219</f>
        <v>0</v>
      </c>
      <c r="L672" s="2056">
        <f>'Part V-Revenues &amp; Expenses'!L219</f>
        <v>0</v>
      </c>
      <c r="M672" s="2056">
        <f>'Part V-Revenues &amp; Expenses'!M219</f>
        <v>0</v>
      </c>
      <c r="N672" s="2056">
        <f>'Part V-Revenues &amp; Expenses'!N219</f>
        <v>0</v>
      </c>
      <c r="O672" s="2056">
        <f>'Part V-Revenues &amp; Expenses'!O219</f>
        <v>0</v>
      </c>
      <c r="P672" s="2056">
        <f>'Part V-Revenues &amp; Expenses'!P219</f>
        <v>0</v>
      </c>
      <c r="Q672" s="2056">
        <f>'Part V-Revenues &amp; Expenses'!Q219</f>
        <v>0</v>
      </c>
      <c r="R672" s="2047"/>
      <c r="S672" s="1920"/>
      <c r="T672" s="1920"/>
      <c r="U672" s="1920"/>
      <c r="V672" s="1920"/>
      <c r="W672" s="1920"/>
      <c r="OZ672" s="1296">
        <v>215</v>
      </c>
    </row>
    <row r="673" spans="2:416" ht="15.6" customHeight="1">
      <c r="B673" s="1004"/>
      <c r="C673" s="1004" t="s">
        <v>7561</v>
      </c>
      <c r="D673" s="1004"/>
      <c r="E673" s="1004"/>
      <c r="F673" s="1004"/>
      <c r="H673" s="2057">
        <f>SUM(H671:H672)</f>
        <v>0</v>
      </c>
      <c r="I673" s="2057">
        <f>SUM(I671:I672)</f>
        <v>0</v>
      </c>
      <c r="J673" s="2057">
        <f t="shared" ref="J673:Q673" si="409">SUM(J671:J672)</f>
        <v>0</v>
      </c>
      <c r="K673" s="2057">
        <f t="shared" si="409"/>
        <v>0</v>
      </c>
      <c r="L673" s="2057">
        <f t="shared" si="409"/>
        <v>0</v>
      </c>
      <c r="M673" s="2057">
        <f t="shared" si="409"/>
        <v>0</v>
      </c>
      <c r="N673" s="2057">
        <f t="shared" si="409"/>
        <v>0</v>
      </c>
      <c r="O673" s="2057">
        <f t="shared" si="409"/>
        <v>0</v>
      </c>
      <c r="P673" s="2057">
        <f t="shared" si="409"/>
        <v>0</v>
      </c>
      <c r="Q673" s="2057">
        <f t="shared" si="409"/>
        <v>0</v>
      </c>
      <c r="R673" s="257"/>
      <c r="S673" s="1920"/>
      <c r="T673" s="1920"/>
      <c r="U673" s="1920"/>
      <c r="V673" s="1920"/>
      <c r="W673" s="1920"/>
      <c r="OZ673" s="1185">
        <v>216</v>
      </c>
    </row>
    <row r="674" spans="2:416" ht="15.6" customHeight="1">
      <c r="B674" s="1983"/>
      <c r="C674" s="254"/>
      <c r="D674" s="254"/>
      <c r="E674" s="254"/>
      <c r="F674" s="254"/>
      <c r="H674" s="2058"/>
      <c r="I674" s="254"/>
      <c r="J674" s="254"/>
      <c r="K674" s="254"/>
      <c r="L674" s="254"/>
      <c r="M674" s="254"/>
      <c r="N674" s="254"/>
      <c r="O674" s="254"/>
      <c r="P674" s="254"/>
      <c r="Q674" s="254"/>
      <c r="OZ674" s="1296">
        <v>217</v>
      </c>
    </row>
    <row r="675" spans="2:416" ht="15.6" customHeight="1">
      <c r="B675" s="2053" t="s">
        <v>1284</v>
      </c>
      <c r="C675" s="254"/>
      <c r="D675" s="254"/>
      <c r="E675" s="254"/>
      <c r="F675" s="254"/>
      <c r="H675" s="2054">
        <v>21</v>
      </c>
      <c r="I675" s="2054">
        <v>22</v>
      </c>
      <c r="J675" s="2054">
        <v>23</v>
      </c>
      <c r="K675" s="2054">
        <v>24</v>
      </c>
      <c r="L675" s="2054">
        <v>25</v>
      </c>
      <c r="M675" s="2054">
        <v>26</v>
      </c>
      <c r="N675" s="2054">
        <v>27</v>
      </c>
      <c r="O675" s="2054">
        <v>28</v>
      </c>
      <c r="P675" s="2054">
        <v>29</v>
      </c>
      <c r="Q675" s="2054">
        <v>30</v>
      </c>
      <c r="R675" s="2055"/>
      <c r="S675" s="2007" t="s">
        <v>1291</v>
      </c>
      <c r="T675" s="253" t="str">
        <f>B675</f>
        <v>Included in Mgt Fee:</v>
      </c>
      <c r="OZ675" s="1296">
        <v>218</v>
      </c>
    </row>
    <row r="676" spans="2:416" ht="15.6" customHeight="1">
      <c r="B676" s="1004" t="s">
        <v>1285</v>
      </c>
      <c r="C676" s="1004"/>
      <c r="D676" s="1004"/>
      <c r="E676" s="1004"/>
      <c r="F676" s="1004"/>
      <c r="H676" s="2056">
        <f>'Part V-Revenues &amp; Expenses'!H223</f>
        <v>0</v>
      </c>
      <c r="I676" s="2056">
        <f>'Part V-Revenues &amp; Expenses'!I223</f>
        <v>0</v>
      </c>
      <c r="J676" s="2056">
        <f>'Part V-Revenues &amp; Expenses'!J223</f>
        <v>0</v>
      </c>
      <c r="K676" s="2056">
        <f>'Part V-Revenues &amp; Expenses'!K223</f>
        <v>0</v>
      </c>
      <c r="L676" s="2056">
        <f>'Part V-Revenues &amp; Expenses'!L223</f>
        <v>0</v>
      </c>
      <c r="M676" s="2056">
        <f>'Part V-Revenues &amp; Expenses'!M223</f>
        <v>0</v>
      </c>
      <c r="N676" s="2056">
        <f>'Part V-Revenues &amp; Expenses'!N223</f>
        <v>0</v>
      </c>
      <c r="O676" s="2056">
        <f>'Part V-Revenues &amp; Expenses'!O223</f>
        <v>0</v>
      </c>
      <c r="P676" s="2056">
        <f>'Part V-Revenues &amp; Expenses'!P223</f>
        <v>0</v>
      </c>
      <c r="Q676" s="2056">
        <f>'Part V-Revenues &amp; Expenses'!Q223</f>
        <v>0</v>
      </c>
      <c r="R676" s="2047"/>
      <c r="S676" s="1920"/>
      <c r="T676" s="1920"/>
      <c r="U676" s="1920"/>
      <c r="V676" s="1920"/>
      <c r="W676" s="1920"/>
      <c r="OZ676" s="1296">
        <v>219</v>
      </c>
    </row>
    <row r="677" spans="2:416" ht="15.6" customHeight="1">
      <c r="B677" s="1004" t="s">
        <v>436</v>
      </c>
      <c r="C677" s="1004">
        <f>'Part V-Revenues &amp; Expenses'!C224</f>
        <v>0</v>
      </c>
      <c r="D677" s="1004"/>
      <c r="E677" s="1004"/>
      <c r="F677" s="1004"/>
      <c r="H677" s="2056">
        <f>'Part V-Revenues &amp; Expenses'!H224</f>
        <v>0</v>
      </c>
      <c r="I677" s="2056">
        <f>'Part V-Revenues &amp; Expenses'!I224</f>
        <v>0</v>
      </c>
      <c r="J677" s="2056">
        <f>'Part V-Revenues &amp; Expenses'!J224</f>
        <v>0</v>
      </c>
      <c r="K677" s="2056">
        <f>'Part V-Revenues &amp; Expenses'!K224</f>
        <v>0</v>
      </c>
      <c r="L677" s="2056">
        <f>'Part V-Revenues &amp; Expenses'!L224</f>
        <v>0</v>
      </c>
      <c r="M677" s="2056">
        <f>'Part V-Revenues &amp; Expenses'!M224</f>
        <v>0</v>
      </c>
      <c r="N677" s="2056">
        <f>'Part V-Revenues &amp; Expenses'!N224</f>
        <v>0</v>
      </c>
      <c r="O677" s="2056">
        <f>'Part V-Revenues &amp; Expenses'!O224</f>
        <v>0</v>
      </c>
      <c r="P677" s="2056">
        <f>'Part V-Revenues &amp; Expenses'!P224</f>
        <v>0</v>
      </c>
      <c r="Q677" s="2056">
        <f>'Part V-Revenues &amp; Expenses'!Q224</f>
        <v>0</v>
      </c>
      <c r="R677" s="2047"/>
      <c r="S677" s="1920"/>
      <c r="T677" s="1920"/>
      <c r="U677" s="1920"/>
      <c r="V677" s="1920"/>
      <c r="W677" s="1920"/>
      <c r="OZ677" s="1296">
        <v>220</v>
      </c>
    </row>
    <row r="678" spans="2:416" ht="15.6" customHeight="1">
      <c r="B678" s="1004"/>
      <c r="C678" s="1004" t="s">
        <v>1286</v>
      </c>
      <c r="D678" s="1004"/>
      <c r="E678" s="1004"/>
      <c r="F678" s="1004"/>
      <c r="H678" s="2057">
        <f>SUM(H676:H677)</f>
        <v>0</v>
      </c>
      <c r="I678" s="2057">
        <f>SUM(I676:I677)</f>
        <v>0</v>
      </c>
      <c r="J678" s="2057">
        <f t="shared" ref="J678:Q678" si="410">SUM(J676:J677)</f>
        <v>0</v>
      </c>
      <c r="K678" s="2057">
        <f t="shared" si="410"/>
        <v>0</v>
      </c>
      <c r="L678" s="2057">
        <f t="shared" si="410"/>
        <v>0</v>
      </c>
      <c r="M678" s="2057">
        <f t="shared" si="410"/>
        <v>0</v>
      </c>
      <c r="N678" s="2057">
        <f t="shared" si="410"/>
        <v>0</v>
      </c>
      <c r="O678" s="2057">
        <f t="shared" si="410"/>
        <v>0</v>
      </c>
      <c r="P678" s="2057">
        <f t="shared" si="410"/>
        <v>0</v>
      </c>
      <c r="Q678" s="2057">
        <f t="shared" si="410"/>
        <v>0</v>
      </c>
      <c r="R678" s="257"/>
      <c r="S678" s="1920"/>
      <c r="T678" s="1920"/>
      <c r="U678" s="1920"/>
      <c r="V678" s="1920"/>
      <c r="W678" s="1920"/>
      <c r="OZ678" s="1296">
        <v>221</v>
      </c>
    </row>
    <row r="679" spans="2:416" ht="15.6" customHeight="1">
      <c r="B679" s="2053" t="s">
        <v>7560</v>
      </c>
      <c r="C679" s="254"/>
      <c r="D679" s="254"/>
      <c r="E679" s="254"/>
      <c r="F679" s="254"/>
      <c r="H679" s="2058"/>
      <c r="I679" s="254"/>
      <c r="J679" s="254"/>
      <c r="K679" s="254"/>
      <c r="L679" s="254"/>
      <c r="M679" s="254"/>
      <c r="N679" s="254"/>
      <c r="O679" s="254"/>
      <c r="P679" s="254"/>
      <c r="Q679" s="254"/>
      <c r="S679" s="253" t="str">
        <f>B679</f>
        <v>NOT Included in Mgt Fee:</v>
      </c>
      <c r="OZ679" s="1771">
        <v>222</v>
      </c>
    </row>
    <row r="680" spans="2:416" ht="15.6" customHeight="1">
      <c r="B680" s="1004" t="s">
        <v>1288</v>
      </c>
      <c r="C680" s="1004"/>
      <c r="D680" s="1004"/>
      <c r="E680" s="1004"/>
      <c r="F680" s="1004"/>
      <c r="H680" s="2056">
        <f>'Part V-Revenues &amp; Expenses'!H227</f>
        <v>0</v>
      </c>
      <c r="I680" s="2056">
        <f>'Part V-Revenues &amp; Expenses'!I227</f>
        <v>0</v>
      </c>
      <c r="J680" s="2056">
        <f>'Part V-Revenues &amp; Expenses'!J227</f>
        <v>0</v>
      </c>
      <c r="K680" s="2056">
        <f>'Part V-Revenues &amp; Expenses'!K227</f>
        <v>0</v>
      </c>
      <c r="L680" s="2056">
        <f>'Part V-Revenues &amp; Expenses'!L227</f>
        <v>0</v>
      </c>
      <c r="M680" s="2056">
        <f>'Part V-Revenues &amp; Expenses'!M227</f>
        <v>0</v>
      </c>
      <c r="N680" s="2056">
        <f>'Part V-Revenues &amp; Expenses'!N227</f>
        <v>0</v>
      </c>
      <c r="O680" s="2056">
        <f>'Part V-Revenues &amp; Expenses'!O227</f>
        <v>0</v>
      </c>
      <c r="P680" s="2056">
        <f>'Part V-Revenues &amp; Expenses'!P227</f>
        <v>0</v>
      </c>
      <c r="Q680" s="2056">
        <f>'Part V-Revenues &amp; Expenses'!Q227</f>
        <v>0</v>
      </c>
      <c r="R680" s="2047"/>
      <c r="S680" s="1920"/>
      <c r="T680" s="1920"/>
      <c r="U680" s="1920"/>
      <c r="V680" s="1920"/>
      <c r="W680" s="1920"/>
      <c r="OZ680" s="1296">
        <v>223</v>
      </c>
    </row>
    <row r="681" spans="2:416" ht="15.6" customHeight="1">
      <c r="B681" s="1004" t="s">
        <v>436</v>
      </c>
      <c r="C681" s="1004">
        <f>'Part V-Revenues &amp; Expenses'!C228</f>
        <v>0</v>
      </c>
      <c r="D681" s="1004"/>
      <c r="E681" s="1004"/>
      <c r="F681" s="1004"/>
      <c r="H681" s="2056">
        <f>'Part V-Revenues &amp; Expenses'!H228</f>
        <v>0</v>
      </c>
      <c r="I681" s="2056">
        <f>'Part V-Revenues &amp; Expenses'!I228</f>
        <v>0</v>
      </c>
      <c r="J681" s="2056">
        <f>'Part V-Revenues &amp; Expenses'!J228</f>
        <v>0</v>
      </c>
      <c r="K681" s="2056">
        <f>'Part V-Revenues &amp; Expenses'!K228</f>
        <v>0</v>
      </c>
      <c r="L681" s="2056">
        <f>'Part V-Revenues &amp; Expenses'!L228</f>
        <v>0</v>
      </c>
      <c r="M681" s="2056">
        <f>'Part V-Revenues &amp; Expenses'!M228</f>
        <v>0</v>
      </c>
      <c r="N681" s="2056">
        <f>'Part V-Revenues &amp; Expenses'!N228</f>
        <v>0</v>
      </c>
      <c r="O681" s="2056">
        <f>'Part V-Revenues &amp; Expenses'!O228</f>
        <v>0</v>
      </c>
      <c r="P681" s="2056">
        <f>'Part V-Revenues &amp; Expenses'!P228</f>
        <v>0</v>
      </c>
      <c r="Q681" s="2056">
        <f>'Part V-Revenues &amp; Expenses'!Q228</f>
        <v>0</v>
      </c>
      <c r="R681" s="2047"/>
      <c r="S681" s="1920"/>
      <c r="T681" s="1920"/>
      <c r="U681" s="1920"/>
      <c r="V681" s="1920"/>
      <c r="W681" s="1920"/>
      <c r="OZ681" s="1185">
        <v>224</v>
      </c>
    </row>
    <row r="682" spans="2:416" ht="15.6" customHeight="1">
      <c r="B682" s="1004"/>
      <c r="C682" s="1004" t="s">
        <v>7561</v>
      </c>
      <c r="D682" s="1004"/>
      <c r="E682" s="1004"/>
      <c r="F682" s="1004"/>
      <c r="H682" s="2057">
        <f>SUM(H680:H681)</f>
        <v>0</v>
      </c>
      <c r="I682" s="2057">
        <f>SUM(I680:I681)</f>
        <v>0</v>
      </c>
      <c r="J682" s="2057">
        <f t="shared" ref="J682:Q682" si="411">SUM(J680:J681)</f>
        <v>0</v>
      </c>
      <c r="K682" s="2057">
        <f t="shared" si="411"/>
        <v>0</v>
      </c>
      <c r="L682" s="2057">
        <f t="shared" si="411"/>
        <v>0</v>
      </c>
      <c r="M682" s="2057">
        <f t="shared" si="411"/>
        <v>0</v>
      </c>
      <c r="N682" s="2057">
        <f t="shared" si="411"/>
        <v>0</v>
      </c>
      <c r="O682" s="2057">
        <f t="shared" si="411"/>
        <v>0</v>
      </c>
      <c r="P682" s="2057">
        <f t="shared" si="411"/>
        <v>0</v>
      </c>
      <c r="Q682" s="2057">
        <f t="shared" si="411"/>
        <v>0</v>
      </c>
      <c r="R682" s="257"/>
      <c r="S682" s="1920"/>
      <c r="T682" s="1920"/>
      <c r="U682" s="1920"/>
      <c r="V682" s="1920"/>
      <c r="W682" s="1920"/>
      <c r="OZ682" s="1296">
        <v>225</v>
      </c>
    </row>
    <row r="683" spans="2:416" ht="15.6" customHeight="1">
      <c r="B683" s="1983"/>
      <c r="C683" s="254"/>
      <c r="D683" s="254"/>
      <c r="E683" s="254"/>
      <c r="F683" s="254"/>
      <c r="H683" s="2058"/>
      <c r="I683" s="254"/>
      <c r="J683" s="254"/>
      <c r="K683" s="254"/>
      <c r="L683" s="254"/>
      <c r="M683" s="254"/>
      <c r="N683" s="254"/>
      <c r="O683" s="254"/>
      <c r="P683" s="254"/>
      <c r="Q683" s="254"/>
      <c r="LF683" s="1185"/>
      <c r="LK683" s="1185"/>
      <c r="LP683" s="1185"/>
      <c r="LU683" s="1185"/>
      <c r="LV683" s="1185"/>
      <c r="LW683" s="1185"/>
      <c r="LX683" s="1185"/>
      <c r="LY683" s="1185"/>
      <c r="LZ683" s="1185"/>
      <c r="MA683" s="1185"/>
      <c r="MB683" s="1185"/>
      <c r="MC683" s="1185"/>
      <c r="MD683" s="1185"/>
      <c r="ME683" s="1185"/>
      <c r="MF683" s="1185"/>
      <c r="MG683" s="1185"/>
      <c r="MH683" s="1185"/>
      <c r="MI683" s="1185"/>
      <c r="MJ683" s="1185"/>
      <c r="MK683" s="1185"/>
      <c r="ML683" s="1185"/>
      <c r="MM683" s="1185"/>
      <c r="MN683" s="1185"/>
      <c r="MO683" s="1185"/>
      <c r="MP683" s="1185"/>
      <c r="MW683" s="255"/>
      <c r="NM683" s="255"/>
      <c r="NN683" s="255"/>
      <c r="OZ683" s="1296">
        <v>226</v>
      </c>
    </row>
    <row r="684" spans="2:416" ht="15.6" customHeight="1">
      <c r="B684" s="2053" t="s">
        <v>1284</v>
      </c>
      <c r="C684" s="254"/>
      <c r="D684" s="254"/>
      <c r="E684" s="254"/>
      <c r="F684" s="254"/>
      <c r="H684" s="2054">
        <v>31</v>
      </c>
      <c r="I684" s="2054">
        <v>32</v>
      </c>
      <c r="J684" s="2054">
        <v>33</v>
      </c>
      <c r="K684" s="2054">
        <v>34</v>
      </c>
      <c r="L684" s="2054">
        <v>35</v>
      </c>
      <c r="M684" s="254"/>
      <c r="N684" s="254"/>
      <c r="O684" s="254"/>
      <c r="P684" s="254"/>
      <c r="Q684" s="254"/>
      <c r="S684" s="2007" t="s">
        <v>1291</v>
      </c>
      <c r="T684" s="253" t="str">
        <f>B684</f>
        <v>Included in Mgt Fee:</v>
      </c>
      <c r="LF684" s="1185"/>
      <c r="LK684" s="1185"/>
      <c r="LP684" s="1185"/>
      <c r="LU684" s="1185"/>
      <c r="LV684" s="1185"/>
      <c r="LW684" s="1185"/>
      <c r="LX684" s="1185"/>
      <c r="LY684" s="1185"/>
      <c r="LZ684" s="1185"/>
      <c r="MA684" s="1185"/>
      <c r="MB684" s="1185"/>
      <c r="MC684" s="1185"/>
      <c r="MD684" s="1185"/>
      <c r="ME684" s="1185"/>
      <c r="MF684" s="1185"/>
      <c r="MG684" s="1185"/>
      <c r="MH684" s="1185"/>
      <c r="MI684" s="1185"/>
      <c r="MJ684" s="1185"/>
      <c r="MK684" s="1185"/>
      <c r="ML684" s="1185"/>
      <c r="MM684" s="1185"/>
      <c r="MN684" s="1185"/>
      <c r="MO684" s="1185"/>
      <c r="MP684" s="1185"/>
      <c r="MW684" s="255"/>
      <c r="NM684" s="255"/>
      <c r="NN684" s="255"/>
      <c r="OZ684" s="1185">
        <v>227</v>
      </c>
    </row>
    <row r="685" spans="2:416" ht="15.6" customHeight="1">
      <c r="B685" s="1004" t="s">
        <v>1285</v>
      </c>
      <c r="C685" s="1004"/>
      <c r="D685" s="1004"/>
      <c r="E685" s="1004"/>
      <c r="F685" s="1004"/>
      <c r="H685" s="2056">
        <f>'Part V-Revenues &amp; Expenses'!H232</f>
        <v>0</v>
      </c>
      <c r="I685" s="2056">
        <f>'Part V-Revenues &amp; Expenses'!I232</f>
        <v>0</v>
      </c>
      <c r="J685" s="2056">
        <f>'Part V-Revenues &amp; Expenses'!J232</f>
        <v>0</v>
      </c>
      <c r="K685" s="2056">
        <f>'Part V-Revenues &amp; Expenses'!K232</f>
        <v>0</v>
      </c>
      <c r="L685" s="2056">
        <f>'Part V-Revenues &amp; Expenses'!L232</f>
        <v>0</v>
      </c>
      <c r="M685" s="254"/>
      <c r="N685" s="254"/>
      <c r="O685" s="254"/>
      <c r="P685" s="254"/>
      <c r="Q685" s="254"/>
      <c r="S685" s="1920"/>
      <c r="T685" s="1920"/>
      <c r="U685" s="1920"/>
      <c r="V685" s="1920"/>
      <c r="W685" s="1920"/>
      <c r="LF685" s="1185"/>
      <c r="LK685" s="1185"/>
      <c r="LP685" s="1185"/>
      <c r="LU685" s="1185"/>
      <c r="LV685" s="1185"/>
      <c r="LW685" s="1185"/>
      <c r="LX685" s="1185"/>
      <c r="LY685" s="1185"/>
      <c r="LZ685" s="1185"/>
      <c r="MA685" s="1185"/>
      <c r="MB685" s="1185"/>
      <c r="MC685" s="1185"/>
      <c r="MD685" s="1185"/>
      <c r="ME685" s="1185"/>
      <c r="MF685" s="1185"/>
      <c r="MG685" s="1185"/>
      <c r="MH685" s="1185"/>
      <c r="MI685" s="1185"/>
      <c r="MJ685" s="1185"/>
      <c r="MK685" s="1185"/>
      <c r="ML685" s="1185"/>
      <c r="MM685" s="1185"/>
      <c r="MN685" s="1185"/>
      <c r="MO685" s="1185"/>
      <c r="MP685" s="1185"/>
      <c r="MW685" s="255"/>
      <c r="NM685" s="255"/>
      <c r="NN685" s="255"/>
      <c r="OZ685" s="1296">
        <v>228</v>
      </c>
    </row>
    <row r="686" spans="2:416" ht="15.6" customHeight="1">
      <c r="B686" s="1004" t="s">
        <v>436</v>
      </c>
      <c r="C686" s="1004">
        <f>'Part V-Revenues &amp; Expenses'!C233</f>
        <v>0</v>
      </c>
      <c r="D686" s="1004"/>
      <c r="E686" s="1004"/>
      <c r="F686" s="1004"/>
      <c r="H686" s="2056">
        <f>'Part V-Revenues &amp; Expenses'!H233</f>
        <v>0</v>
      </c>
      <c r="I686" s="2056">
        <f>'Part V-Revenues &amp; Expenses'!I233</f>
        <v>0</v>
      </c>
      <c r="J686" s="2056">
        <f>'Part V-Revenues &amp; Expenses'!J233</f>
        <v>0</v>
      </c>
      <c r="K686" s="2056">
        <f>'Part V-Revenues &amp; Expenses'!K233</f>
        <v>0</v>
      </c>
      <c r="L686" s="2056">
        <f>'Part V-Revenues &amp; Expenses'!L233</f>
        <v>0</v>
      </c>
      <c r="M686" s="254"/>
      <c r="N686" s="254"/>
      <c r="O686" s="254"/>
      <c r="P686" s="254"/>
      <c r="Q686" s="254"/>
      <c r="S686" s="1920"/>
      <c r="T686" s="1920"/>
      <c r="U686" s="1920"/>
      <c r="V686" s="1920"/>
      <c r="W686" s="1920"/>
      <c r="LF686" s="1185"/>
      <c r="LK686" s="1185"/>
      <c r="LP686" s="1185"/>
      <c r="LU686" s="1185"/>
      <c r="LV686" s="1185"/>
      <c r="LW686" s="1185"/>
      <c r="LX686" s="1185"/>
      <c r="LY686" s="1185"/>
      <c r="LZ686" s="1185"/>
      <c r="MA686" s="1185"/>
      <c r="MB686" s="1185"/>
      <c r="MC686" s="1185"/>
      <c r="MD686" s="1185"/>
      <c r="ME686" s="1185"/>
      <c r="MF686" s="1185"/>
      <c r="MG686" s="1185"/>
      <c r="MH686" s="1185"/>
      <c r="MI686" s="1185"/>
      <c r="MJ686" s="1185"/>
      <c r="MK686" s="1185"/>
      <c r="ML686" s="1185"/>
      <c r="MM686" s="1185"/>
      <c r="MN686" s="1185"/>
      <c r="MO686" s="1185"/>
      <c r="MP686" s="1185"/>
      <c r="MW686" s="255"/>
      <c r="NM686" s="255"/>
      <c r="NN686" s="255"/>
      <c r="OZ686" s="1296">
        <v>229</v>
      </c>
    </row>
    <row r="687" spans="2:416" ht="15.6" customHeight="1">
      <c r="B687" s="1004"/>
      <c r="C687" s="1004" t="s">
        <v>1286</v>
      </c>
      <c r="D687" s="1004"/>
      <c r="E687" s="1004"/>
      <c r="F687" s="1004"/>
      <c r="H687" s="2057">
        <f>SUM(H685:H686)</f>
        <v>0</v>
      </c>
      <c r="I687" s="2057">
        <f>SUM(I685:I686)</f>
        <v>0</v>
      </c>
      <c r="J687" s="2057">
        <f>SUM(J685:J686)</f>
        <v>0</v>
      </c>
      <c r="K687" s="2057">
        <f>SUM(K685:K686)</f>
        <v>0</v>
      </c>
      <c r="L687" s="2057">
        <f>SUM(L685:L686)</f>
        <v>0</v>
      </c>
      <c r="M687" s="254"/>
      <c r="N687" s="254"/>
      <c r="O687" s="254"/>
      <c r="P687" s="254"/>
      <c r="Q687" s="254"/>
      <c r="S687" s="1920"/>
      <c r="T687" s="1920"/>
      <c r="U687" s="1920"/>
      <c r="V687" s="1920"/>
      <c r="W687" s="1920"/>
      <c r="LF687" s="1185"/>
      <c r="LK687" s="1185"/>
      <c r="LP687" s="1185"/>
      <c r="LU687" s="1185"/>
      <c r="LV687" s="1185"/>
      <c r="LW687" s="1185"/>
      <c r="LX687" s="1185"/>
      <c r="LY687" s="1185"/>
      <c r="LZ687" s="1185"/>
      <c r="MA687" s="1185"/>
      <c r="MB687" s="1185"/>
      <c r="MC687" s="1185"/>
      <c r="MD687" s="1185"/>
      <c r="ME687" s="1185"/>
      <c r="MF687" s="1185"/>
      <c r="MG687" s="1185"/>
      <c r="MH687" s="1185"/>
      <c r="MI687" s="1185"/>
      <c r="MJ687" s="1185"/>
      <c r="MK687" s="1185"/>
      <c r="ML687" s="1185"/>
      <c r="MM687" s="1185"/>
      <c r="MN687" s="1185"/>
      <c r="MO687" s="1185"/>
      <c r="MP687" s="1185"/>
      <c r="MW687" s="255"/>
      <c r="NM687" s="255"/>
      <c r="NN687" s="255"/>
      <c r="OZ687" s="1296">
        <v>230</v>
      </c>
    </row>
    <row r="688" spans="2:416" ht="15.6" customHeight="1">
      <c r="B688" s="2053" t="s">
        <v>7560</v>
      </c>
      <c r="C688" s="254"/>
      <c r="D688" s="254"/>
      <c r="E688" s="254"/>
      <c r="F688" s="254"/>
      <c r="H688" s="2058"/>
      <c r="I688" s="254"/>
      <c r="J688" s="254"/>
      <c r="K688" s="254"/>
      <c r="L688" s="254"/>
      <c r="M688" s="254"/>
      <c r="N688" s="254"/>
      <c r="O688" s="254"/>
      <c r="P688" s="254"/>
      <c r="Q688" s="254"/>
      <c r="S688" s="253" t="str">
        <f>B688</f>
        <v>NOT Included in Mgt Fee:</v>
      </c>
      <c r="LF688" s="1185"/>
      <c r="LK688" s="1185"/>
      <c r="LP688" s="1185"/>
      <c r="LU688" s="1185"/>
      <c r="LV688" s="1185"/>
      <c r="LW688" s="1185"/>
      <c r="LX688" s="1185"/>
      <c r="LY688" s="1185"/>
      <c r="LZ688" s="1185"/>
      <c r="MA688" s="1185"/>
      <c r="MB688" s="1185"/>
      <c r="MC688" s="1185"/>
      <c r="MD688" s="1185"/>
      <c r="ME688" s="1185"/>
      <c r="MF688" s="1185"/>
      <c r="MG688" s="1185"/>
      <c r="MH688" s="1185"/>
      <c r="MI688" s="1185"/>
      <c r="MJ688" s="1185"/>
      <c r="MK688" s="1185"/>
      <c r="ML688" s="1185"/>
      <c r="MM688" s="1185"/>
      <c r="MN688" s="1185"/>
      <c r="MO688" s="1185"/>
      <c r="MP688" s="1185"/>
      <c r="MW688" s="255"/>
      <c r="NM688" s="255"/>
      <c r="NN688" s="255"/>
      <c r="OZ688" s="1296">
        <v>231</v>
      </c>
    </row>
    <row r="689" spans="1:416" ht="15.6" customHeight="1">
      <c r="B689" s="1004" t="s">
        <v>1288</v>
      </c>
      <c r="C689" s="1004"/>
      <c r="D689" s="1004"/>
      <c r="E689" s="1004"/>
      <c r="F689" s="1004"/>
      <c r="H689" s="2056">
        <f>'Part V-Revenues &amp; Expenses'!H236</f>
        <v>0</v>
      </c>
      <c r="I689" s="2056">
        <f>'Part V-Revenues &amp; Expenses'!I236</f>
        <v>0</v>
      </c>
      <c r="J689" s="2056">
        <f>'Part V-Revenues &amp; Expenses'!J236</f>
        <v>0</v>
      </c>
      <c r="K689" s="2056">
        <f>'Part V-Revenues &amp; Expenses'!K236</f>
        <v>0</v>
      </c>
      <c r="L689" s="2056">
        <f>'Part V-Revenues &amp; Expenses'!L236</f>
        <v>0</v>
      </c>
      <c r="M689" s="254"/>
      <c r="N689" s="254"/>
      <c r="O689" s="254"/>
      <c r="P689" s="254"/>
      <c r="Q689" s="254"/>
      <c r="S689" s="1920"/>
      <c r="T689" s="1920"/>
      <c r="U689" s="1920"/>
      <c r="V689" s="1920"/>
      <c r="W689" s="1920"/>
      <c r="LF689" s="1185"/>
      <c r="LK689" s="1185"/>
      <c r="LP689" s="1185"/>
      <c r="LU689" s="1185"/>
      <c r="LV689" s="1185"/>
      <c r="LW689" s="1185"/>
      <c r="LX689" s="1185"/>
      <c r="LY689" s="1185"/>
      <c r="LZ689" s="1185"/>
      <c r="MA689" s="1185"/>
      <c r="MB689" s="1185"/>
      <c r="MC689" s="1185"/>
      <c r="MD689" s="1185"/>
      <c r="ME689" s="1185"/>
      <c r="MF689" s="1185"/>
      <c r="MG689" s="1185"/>
      <c r="MH689" s="1185"/>
      <c r="MI689" s="1185"/>
      <c r="MJ689" s="1185"/>
      <c r="MK689" s="1185"/>
      <c r="ML689" s="1185"/>
      <c r="MM689" s="1185"/>
      <c r="MN689" s="1185"/>
      <c r="MO689" s="1185"/>
      <c r="MP689" s="1185"/>
      <c r="MW689" s="255"/>
      <c r="NM689" s="255"/>
      <c r="NN689" s="255"/>
      <c r="OZ689" s="1296">
        <v>232</v>
      </c>
    </row>
    <row r="690" spans="1:416" ht="15.6" customHeight="1">
      <c r="B690" s="1004" t="s">
        <v>436</v>
      </c>
      <c r="C690" s="1004">
        <f>'Part V-Revenues &amp; Expenses'!C237</f>
        <v>0</v>
      </c>
      <c r="D690" s="1004"/>
      <c r="E690" s="1004"/>
      <c r="F690" s="1004"/>
      <c r="H690" s="2056">
        <f>'Part V-Revenues &amp; Expenses'!H237</f>
        <v>0</v>
      </c>
      <c r="I690" s="2056">
        <f>'Part V-Revenues &amp; Expenses'!I237</f>
        <v>0</v>
      </c>
      <c r="J690" s="2056">
        <f>'Part V-Revenues &amp; Expenses'!J237</f>
        <v>0</v>
      </c>
      <c r="K690" s="2056">
        <f>'Part V-Revenues &amp; Expenses'!K237</f>
        <v>0</v>
      </c>
      <c r="L690" s="2056">
        <f>'Part V-Revenues &amp; Expenses'!L237</f>
        <v>0</v>
      </c>
      <c r="M690" s="254"/>
      <c r="N690" s="254"/>
      <c r="O690" s="254"/>
      <c r="P690" s="254"/>
      <c r="Q690" s="254"/>
      <c r="S690" s="1920"/>
      <c r="T690" s="1920"/>
      <c r="U690" s="1920"/>
      <c r="V690" s="1920"/>
      <c r="W690" s="1920"/>
      <c r="LF690" s="1185"/>
      <c r="LK690" s="1185"/>
      <c r="LP690" s="1185"/>
      <c r="LU690" s="1185"/>
      <c r="LV690" s="1185"/>
      <c r="LW690" s="1185"/>
      <c r="LX690" s="1185"/>
      <c r="LY690" s="1185"/>
      <c r="LZ690" s="1185"/>
      <c r="MA690" s="1185"/>
      <c r="MB690" s="1185"/>
      <c r="MC690" s="1185"/>
      <c r="MD690" s="1185"/>
      <c r="ME690" s="1185"/>
      <c r="MF690" s="1185"/>
      <c r="MG690" s="1185"/>
      <c r="MH690" s="1185"/>
      <c r="MI690" s="1185"/>
      <c r="MJ690" s="1185"/>
      <c r="MK690" s="1185"/>
      <c r="ML690" s="1185"/>
      <c r="MM690" s="1185"/>
      <c r="MN690" s="1185"/>
      <c r="MO690" s="1185"/>
      <c r="MP690" s="1185"/>
      <c r="MW690" s="255"/>
      <c r="NM690" s="255"/>
      <c r="NN690" s="255"/>
      <c r="OZ690" s="1771">
        <v>233</v>
      </c>
    </row>
    <row r="691" spans="1:416" ht="15.6" customHeight="1">
      <c r="B691" s="1004"/>
      <c r="C691" s="1004" t="s">
        <v>7561</v>
      </c>
      <c r="D691" s="1004"/>
      <c r="E691" s="1004"/>
      <c r="F691" s="1004"/>
      <c r="H691" s="2057">
        <f>SUM(H689:H690)</f>
        <v>0</v>
      </c>
      <c r="I691" s="2057">
        <f>SUM(I689:I690)</f>
        <v>0</v>
      </c>
      <c r="J691" s="2057">
        <f>SUM(J689:J690)</f>
        <v>0</v>
      </c>
      <c r="K691" s="2057">
        <f>SUM(K689:K690)</f>
        <v>0</v>
      </c>
      <c r="L691" s="2057">
        <f>SUM(L689:L690)</f>
        <v>0</v>
      </c>
      <c r="M691" s="254"/>
      <c r="N691" s="254"/>
      <c r="O691" s="254"/>
      <c r="P691" s="254"/>
      <c r="Q691" s="254"/>
      <c r="S691" s="1920"/>
      <c r="T691" s="1920"/>
      <c r="U691" s="1920"/>
      <c r="V691" s="1920"/>
      <c r="W691" s="1920"/>
      <c r="LF691" s="1185"/>
      <c r="LK691" s="1185"/>
      <c r="LP691" s="1185"/>
      <c r="LU691" s="1185"/>
      <c r="LV691" s="1185"/>
      <c r="LW691" s="1185"/>
      <c r="LX691" s="1185"/>
      <c r="LY691" s="1185"/>
      <c r="LZ691" s="1185"/>
      <c r="MA691" s="1185"/>
      <c r="MB691" s="1185"/>
      <c r="MC691" s="1185"/>
      <c r="MD691" s="1185"/>
      <c r="ME691" s="1185"/>
      <c r="MF691" s="1185"/>
      <c r="MG691" s="1185"/>
      <c r="MH691" s="1185"/>
      <c r="MI691" s="1185"/>
      <c r="MJ691" s="1185"/>
      <c r="MK691" s="1185"/>
      <c r="ML691" s="1185"/>
      <c r="MM691" s="1185"/>
      <c r="MN691" s="1185"/>
      <c r="MO691" s="1185"/>
      <c r="MP691" s="1185"/>
      <c r="MW691" s="255"/>
      <c r="NM691" s="255"/>
      <c r="NN691" s="255"/>
      <c r="OZ691" s="1296">
        <v>234</v>
      </c>
    </row>
    <row r="692" spans="1:416" ht="2.25" customHeight="1">
      <c r="B692" s="255"/>
      <c r="F692" s="2059"/>
      <c r="G692" s="2059"/>
      <c r="LF692" s="1185"/>
      <c r="LK692" s="1185"/>
      <c r="LP692" s="1185"/>
      <c r="LU692" s="1185"/>
      <c r="LV692" s="1185"/>
      <c r="LW692" s="1185"/>
      <c r="LX692" s="1185"/>
      <c r="LY692" s="1185"/>
      <c r="LZ692" s="1185"/>
      <c r="MA692" s="1185"/>
      <c r="MB692" s="1185"/>
      <c r="MC692" s="1185"/>
      <c r="MD692" s="1185"/>
      <c r="ME692" s="1185"/>
      <c r="MF692" s="1185"/>
      <c r="MG692" s="1185"/>
      <c r="MH692" s="1185"/>
      <c r="MI692" s="1185"/>
      <c r="MJ692" s="1185"/>
      <c r="MK692" s="1185"/>
      <c r="ML692" s="1185"/>
      <c r="MM692" s="1185"/>
      <c r="MN692" s="1185"/>
      <c r="MO692" s="1185"/>
      <c r="MP692" s="1185"/>
      <c r="MW692" s="255"/>
      <c r="NM692" s="255"/>
      <c r="NN692" s="255"/>
      <c r="OZ692" s="1185">
        <v>235</v>
      </c>
    </row>
    <row r="693" spans="1:416" s="253" customFormat="1" ht="11.25" customHeight="1">
      <c r="A693" s="1184" t="s">
        <v>58</v>
      </c>
      <c r="B693" s="2060" t="s">
        <v>1292</v>
      </c>
      <c r="C693" s="2060"/>
      <c r="D693" s="2060"/>
      <c r="E693" s="2060"/>
      <c r="F693" s="2060"/>
      <c r="G693" s="2060"/>
      <c r="H693" s="2060"/>
      <c r="I693" s="2060"/>
      <c r="J693" s="2060"/>
      <c r="K693" s="2060"/>
      <c r="L693" s="2060"/>
      <c r="N693" s="2061"/>
      <c r="O693" s="1296"/>
      <c r="P693" s="1296"/>
      <c r="S693" s="1184" t="str">
        <f>B693</f>
        <v>ANNUAL OPERATING EXPENSE BUDGET</v>
      </c>
      <c r="T693" s="251"/>
      <c r="X693" s="251"/>
      <c r="AC693" s="251"/>
      <c r="AH693" s="251"/>
      <c r="AM693" s="251"/>
      <c r="LF693" s="1296"/>
      <c r="LK693" s="1296"/>
      <c r="LP693" s="1296"/>
      <c r="LU693" s="1296"/>
      <c r="LV693" s="1296"/>
      <c r="LW693" s="1296"/>
      <c r="LX693" s="1296"/>
      <c r="LY693" s="1296"/>
      <c r="LZ693" s="1296"/>
      <c r="MA693" s="1296"/>
      <c r="MB693" s="1296"/>
      <c r="MC693" s="1296"/>
      <c r="MD693" s="1296"/>
      <c r="ME693" s="1296"/>
      <c r="MF693" s="1296"/>
      <c r="MG693" s="1296"/>
      <c r="MH693" s="1296"/>
      <c r="MI693" s="1296"/>
      <c r="MJ693" s="1296"/>
      <c r="MK693" s="1296"/>
      <c r="ML693" s="1296"/>
      <c r="MM693" s="1296"/>
      <c r="MN693" s="1296"/>
      <c r="MO693" s="1296"/>
      <c r="MP693" s="1296"/>
      <c r="MW693" s="1184"/>
      <c r="NM693" s="1184"/>
      <c r="NN693" s="1184"/>
      <c r="OY693" s="251"/>
      <c r="OZ693" s="1296">
        <v>236</v>
      </c>
    </row>
    <row r="694" spans="1:416" s="253" customFormat="1" ht="11.25" customHeight="1">
      <c r="B694" s="2060"/>
      <c r="C694" s="2060"/>
      <c r="D694" s="2060"/>
      <c r="E694" s="2060"/>
      <c r="F694" s="2060"/>
      <c r="G694" s="2060"/>
      <c r="H694" s="2060"/>
      <c r="I694" s="2060"/>
      <c r="J694" s="2060"/>
      <c r="K694" s="2060"/>
      <c r="S694" s="1288" t="s">
        <v>793</v>
      </c>
      <c r="T694" s="1288"/>
      <c r="LF694" s="1296"/>
      <c r="LK694" s="1296"/>
      <c r="LP694" s="1296"/>
      <c r="LU694" s="1296"/>
      <c r="LV694" s="1296"/>
      <c r="LW694" s="1296"/>
      <c r="LX694" s="1296"/>
      <c r="LY694" s="1296"/>
      <c r="LZ694" s="1296"/>
      <c r="MA694" s="1296"/>
      <c r="MB694" s="1296"/>
      <c r="MC694" s="1296"/>
      <c r="MD694" s="1296"/>
      <c r="ME694" s="1296"/>
      <c r="MF694" s="1296"/>
      <c r="MG694" s="1296"/>
      <c r="MH694" s="1296"/>
      <c r="MI694" s="1296"/>
      <c r="MJ694" s="1296"/>
      <c r="MK694" s="1296"/>
      <c r="ML694" s="1296"/>
      <c r="MM694" s="1296"/>
      <c r="MN694" s="1296"/>
      <c r="MO694" s="1296"/>
      <c r="MP694" s="1296"/>
      <c r="MW694" s="1184"/>
      <c r="NM694" s="1184"/>
      <c r="NN694" s="1184"/>
      <c r="OY694" s="251"/>
      <c r="OZ694" s="1296">
        <v>237</v>
      </c>
    </row>
    <row r="695" spans="1:416" s="253" customFormat="1" ht="16.5" customHeight="1">
      <c r="B695" s="1184" t="s">
        <v>1293</v>
      </c>
      <c r="F695" s="251"/>
      <c r="G695" s="251"/>
      <c r="H695" s="2062" t="s">
        <v>680</v>
      </c>
      <c r="I695" s="1184" t="s">
        <v>1294</v>
      </c>
      <c r="N695" s="2062" t="s">
        <v>680</v>
      </c>
      <c r="O695" s="1184" t="s">
        <v>1295</v>
      </c>
      <c r="Q695" s="2063">
        <f>IF(OR('Part VI-Pro Forma'!$B$22 = "Choose Mgt Fee",'Part VI-Pro Forma'!$B$22 = "Choose One!"), 0,- 'Part VI-Pro Forma'!$B$22)</f>
        <v>38289</v>
      </c>
      <c r="S695" s="1920"/>
      <c r="T695" s="1920"/>
      <c r="U695" s="1920"/>
      <c r="V695" s="1920"/>
      <c r="W695" s="1920"/>
      <c r="X695" s="251"/>
      <c r="AC695" s="251"/>
      <c r="AH695" s="251"/>
      <c r="AM695" s="251"/>
      <c r="LF695" s="1296"/>
      <c r="LK695" s="1296"/>
      <c r="LP695" s="1296"/>
      <c r="LU695" s="1296"/>
      <c r="LV695" s="1296"/>
      <c r="LW695" s="1296"/>
      <c r="LX695" s="1296"/>
      <c r="LY695" s="1296"/>
      <c r="LZ695" s="1296"/>
      <c r="MA695" s="1296"/>
      <c r="MB695" s="1296"/>
      <c r="MC695" s="1296"/>
      <c r="MD695" s="1296"/>
      <c r="ME695" s="1296"/>
      <c r="MF695" s="1296"/>
      <c r="MG695" s="1296"/>
      <c r="MH695" s="1296"/>
      <c r="MI695" s="1296"/>
      <c r="MJ695" s="1296"/>
      <c r="MK695" s="1296"/>
      <c r="ML695" s="1296"/>
      <c r="MM695" s="1296"/>
      <c r="MN695" s="1296"/>
      <c r="MO695" s="1296"/>
      <c r="MP695" s="1296"/>
      <c r="MW695" s="1184"/>
      <c r="NM695" s="1184"/>
      <c r="NN695" s="1184"/>
      <c r="OY695" s="251"/>
      <c r="OZ695" s="1185">
        <v>238</v>
      </c>
    </row>
    <row r="696" spans="1:416" s="253" customFormat="1" ht="16.5" customHeight="1">
      <c r="B696" s="253" t="s">
        <v>1296</v>
      </c>
      <c r="F696" s="2042">
        <f>'Part V-Revenues &amp; Expenses'!F243</f>
        <v>57883</v>
      </c>
      <c r="G696" s="2042"/>
      <c r="H696" s="2064" t="e">
        <f>IF(OR(F696="",F696=0),"",F696/$E$54)</f>
        <v>#DIV/0!</v>
      </c>
      <c r="I696" s="253" t="s">
        <v>1297</v>
      </c>
      <c r="L696" s="2042">
        <f>'Part V-Revenues &amp; Expenses'!L243</f>
        <v>0</v>
      </c>
      <c r="M696" s="2042"/>
      <c r="N696" s="2064" t="str">
        <f>IF(OR(L696="",L696=0),"",L696/$E$54)</f>
        <v/>
      </c>
      <c r="O696" s="2065">
        <f>+Q695/(P529*0.93)</f>
        <v>428.86424731182797</v>
      </c>
      <c r="P696" s="2024" t="s">
        <v>1298</v>
      </c>
      <c r="R696" s="2047"/>
      <c r="S696" s="1920"/>
      <c r="T696" s="1920"/>
      <c r="U696" s="1920"/>
      <c r="V696" s="1920"/>
      <c r="W696" s="1920"/>
      <c r="X696" s="251"/>
      <c r="AC696" s="251"/>
      <c r="AH696" s="251"/>
      <c r="AM696" s="251"/>
      <c r="LF696" s="1296"/>
      <c r="LK696" s="1296"/>
      <c r="LP696" s="1296"/>
      <c r="LU696" s="1296"/>
      <c r="LV696" s="1296"/>
      <c r="LW696" s="1296"/>
      <c r="LX696" s="1296"/>
      <c r="LY696" s="1296"/>
      <c r="LZ696" s="1296"/>
      <c r="MA696" s="1296"/>
      <c r="MB696" s="1296"/>
      <c r="MC696" s="1296"/>
      <c r="MD696" s="1296"/>
      <c r="ME696" s="1296"/>
      <c r="MF696" s="1296"/>
      <c r="MG696" s="1296"/>
      <c r="MH696" s="1296"/>
      <c r="MI696" s="1296"/>
      <c r="MJ696" s="1296"/>
      <c r="MK696" s="1296"/>
      <c r="ML696" s="1296"/>
      <c r="MM696" s="1296"/>
      <c r="MN696" s="1296"/>
      <c r="MO696" s="1296"/>
      <c r="MP696" s="1296"/>
      <c r="MW696" s="1184"/>
      <c r="NM696" s="1184"/>
      <c r="NN696" s="1184"/>
      <c r="OY696" s="251"/>
      <c r="OZ696" s="1296">
        <v>239</v>
      </c>
    </row>
    <row r="697" spans="1:416" s="253" customFormat="1" ht="16.5" customHeight="1">
      <c r="B697" s="253" t="s">
        <v>1299</v>
      </c>
      <c r="F697" s="2042">
        <f>'Part V-Revenues &amp; Expenses'!F244</f>
        <v>40000</v>
      </c>
      <c r="G697" s="2042"/>
      <c r="H697" s="2064" t="e">
        <f t="shared" ref="H697:H702" si="412">IF(OR(F697="",F697=0),"",F697/$E$54)</f>
        <v>#DIV/0!</v>
      </c>
      <c r="I697" s="253" t="s">
        <v>1300</v>
      </c>
      <c r="L697" s="2042">
        <f>'Part V-Revenues &amp; Expenses'!L244</f>
        <v>0</v>
      </c>
      <c r="M697" s="2042"/>
      <c r="N697" s="2064" t="str">
        <f t="shared" ref="N697:N698" si="413">IF(OR(L697="",L697=0),"",L697/$E$54)</f>
        <v/>
      </c>
      <c r="O697" s="2065">
        <f>+Q695/(P529*0.93)/12</f>
        <v>35.738687275985662</v>
      </c>
      <c r="P697" s="2024" t="s">
        <v>1301</v>
      </c>
      <c r="R697" s="2047"/>
      <c r="S697" s="1920"/>
      <c r="T697" s="1920"/>
      <c r="U697" s="1920"/>
      <c r="V697" s="1920"/>
      <c r="W697" s="1920"/>
      <c r="X697" s="251"/>
      <c r="AC697" s="251"/>
      <c r="AH697" s="251"/>
      <c r="AM697" s="251"/>
      <c r="LF697" s="1296"/>
      <c r="LK697" s="1296"/>
      <c r="LP697" s="1296"/>
      <c r="LU697" s="1296"/>
      <c r="LV697" s="1296"/>
      <c r="LW697" s="1296"/>
      <c r="LX697" s="1296"/>
      <c r="LY697" s="1296"/>
      <c r="LZ697" s="1296"/>
      <c r="MA697" s="1296"/>
      <c r="MB697" s="1296"/>
      <c r="MC697" s="1296"/>
      <c r="MD697" s="1296"/>
      <c r="ME697" s="1296"/>
      <c r="MF697" s="1296"/>
      <c r="MG697" s="1296"/>
      <c r="MH697" s="1296"/>
      <c r="MI697" s="1296"/>
      <c r="MJ697" s="1296"/>
      <c r="MK697" s="1296"/>
      <c r="ML697" s="1296"/>
      <c r="MM697" s="1296"/>
      <c r="MN697" s="1296"/>
      <c r="MO697" s="1296"/>
      <c r="MP697" s="1296"/>
      <c r="MW697" s="1184"/>
      <c r="NM697" s="1184"/>
      <c r="NN697" s="1184"/>
      <c r="OY697" s="251"/>
      <c r="OZ697" s="1296">
        <v>240</v>
      </c>
    </row>
    <row r="698" spans="1:416" s="253" customFormat="1" ht="16.5" customHeight="1">
      <c r="B698" s="253" t="s">
        <v>1302</v>
      </c>
      <c r="F698" s="2042">
        <f>'Part V-Revenues &amp; Expenses'!F245</f>
        <v>65000</v>
      </c>
      <c r="G698" s="2042"/>
      <c r="H698" s="2064" t="e">
        <f t="shared" si="412"/>
        <v>#DIV/0!</v>
      </c>
      <c r="K698" s="2066" t="s">
        <v>532</v>
      </c>
      <c r="L698" s="2042">
        <f>SUM(L696:M697)</f>
        <v>0</v>
      </c>
      <c r="M698" s="2042"/>
      <c r="N698" s="2064" t="str">
        <f t="shared" si="413"/>
        <v/>
      </c>
      <c r="O698" s="256" t="s">
        <v>1303</v>
      </c>
      <c r="P698" s="256"/>
      <c r="Q698" s="256"/>
      <c r="R698" s="2047"/>
      <c r="S698" s="1920"/>
      <c r="T698" s="1920"/>
      <c r="U698" s="1920"/>
      <c r="V698" s="1920"/>
      <c r="W698" s="1920"/>
      <c r="X698" s="251"/>
      <c r="AC698" s="251"/>
      <c r="AH698" s="251"/>
      <c r="AM698" s="251"/>
      <c r="LF698" s="1296"/>
      <c r="LK698" s="1296"/>
      <c r="LP698" s="1296"/>
      <c r="LU698" s="1296"/>
      <c r="LV698" s="1296"/>
      <c r="LW698" s="1296"/>
      <c r="LX698" s="1296"/>
      <c r="LY698" s="1296"/>
      <c r="LZ698" s="1296"/>
      <c r="MA698" s="1296"/>
      <c r="MB698" s="1296"/>
      <c r="MC698" s="1296"/>
      <c r="MD698" s="1296"/>
      <c r="ME698" s="1296"/>
      <c r="MF698" s="1296"/>
      <c r="MG698" s="1296"/>
      <c r="MH698" s="1296"/>
      <c r="MI698" s="1296"/>
      <c r="MJ698" s="1296"/>
      <c r="MK698" s="1296"/>
      <c r="ML698" s="1296"/>
      <c r="MM698" s="1296"/>
      <c r="MN698" s="1296"/>
      <c r="MO698" s="1296"/>
      <c r="MP698" s="1296"/>
      <c r="MW698" s="1184"/>
      <c r="NM698" s="1184"/>
      <c r="NN698" s="1184"/>
      <c r="OY698" s="251"/>
      <c r="OZ698" s="1296">
        <v>241</v>
      </c>
    </row>
    <row r="699" spans="1:416" s="253" customFormat="1" ht="16.5" customHeight="1">
      <c r="B699" s="2067" t="s">
        <v>1304</v>
      </c>
      <c r="F699" s="2042">
        <f>'Part V-Revenues &amp; Expenses'!F246</f>
        <v>0</v>
      </c>
      <c r="G699" s="2042"/>
      <c r="H699" s="2064" t="str">
        <f t="shared" si="412"/>
        <v/>
      </c>
      <c r="R699" s="2047"/>
      <c r="S699" s="1920"/>
      <c r="T699" s="1920"/>
      <c r="U699" s="1920"/>
      <c r="V699" s="1920"/>
      <c r="W699" s="1920"/>
      <c r="X699" s="251"/>
      <c r="AC699" s="251"/>
      <c r="AH699" s="251"/>
      <c r="AM699" s="251"/>
      <c r="LF699" s="1296"/>
      <c r="LK699" s="1296"/>
      <c r="LP699" s="1296"/>
      <c r="LU699" s="1296"/>
      <c r="LV699" s="1296"/>
      <c r="LW699" s="1296"/>
      <c r="LX699" s="1296"/>
      <c r="LY699" s="1296"/>
      <c r="LZ699" s="1296"/>
      <c r="MA699" s="1296"/>
      <c r="MB699" s="1296"/>
      <c r="MC699" s="1296"/>
      <c r="MD699" s="1296"/>
      <c r="ME699" s="1296"/>
      <c r="MF699" s="1296"/>
      <c r="MG699" s="1296"/>
      <c r="MH699" s="1296"/>
      <c r="MI699" s="1296"/>
      <c r="MJ699" s="1296"/>
      <c r="MK699" s="1296"/>
      <c r="ML699" s="1296"/>
      <c r="MM699" s="1296"/>
      <c r="MN699" s="1296"/>
      <c r="MO699" s="1296"/>
      <c r="MP699" s="1296"/>
      <c r="MW699" s="1184"/>
      <c r="NM699" s="1184"/>
      <c r="NN699" s="1184"/>
      <c r="OZ699" s="1296">
        <v>242</v>
      </c>
    </row>
    <row r="700" spans="1:416" s="253" customFormat="1" ht="16.5" customHeight="1">
      <c r="B700" s="2067" t="s">
        <v>1305</v>
      </c>
      <c r="F700" s="2042">
        <f>'Part V-Revenues &amp; Expenses'!F247</f>
        <v>0</v>
      </c>
      <c r="G700" s="2042"/>
      <c r="H700" s="2064" t="str">
        <f t="shared" si="412"/>
        <v/>
      </c>
      <c r="R700" s="2047"/>
      <c r="S700" s="1920"/>
      <c r="T700" s="1920"/>
      <c r="U700" s="1920"/>
      <c r="V700" s="1920"/>
      <c r="W700" s="1920"/>
      <c r="X700" s="251"/>
      <c r="AC700" s="251"/>
      <c r="AH700" s="251"/>
      <c r="AM700" s="251"/>
      <c r="LF700" s="1296"/>
      <c r="LK700" s="1296"/>
      <c r="LP700" s="1296"/>
      <c r="LU700" s="1296"/>
      <c r="LV700" s="1296"/>
      <c r="LW700" s="1296"/>
      <c r="LX700" s="1296"/>
      <c r="LY700" s="1296"/>
      <c r="LZ700" s="1296"/>
      <c r="MA700" s="1296"/>
      <c r="MB700" s="1296"/>
      <c r="MC700" s="1296"/>
      <c r="MD700" s="1296"/>
      <c r="ME700" s="1296"/>
      <c r="MF700" s="1296"/>
      <c r="MG700" s="1296"/>
      <c r="MH700" s="1296"/>
      <c r="MI700" s="1296"/>
      <c r="MJ700" s="1296"/>
      <c r="MK700" s="1296"/>
      <c r="ML700" s="1296"/>
      <c r="MM700" s="1296"/>
      <c r="MN700" s="1296"/>
      <c r="MO700" s="1296"/>
      <c r="MP700" s="1296"/>
      <c r="MW700" s="1184"/>
      <c r="NM700" s="1184"/>
      <c r="NN700" s="1184"/>
      <c r="OZ700" s="1296">
        <v>243</v>
      </c>
    </row>
    <row r="701" spans="1:416" s="253" customFormat="1" ht="16.5" customHeight="1">
      <c r="B701" s="256" t="str">
        <f>'Part V-Revenues &amp; Expenses'!B248</f>
        <v>Workmens Comp</v>
      </c>
      <c r="C701" s="256"/>
      <c r="D701" s="256"/>
      <c r="E701" s="256"/>
      <c r="F701" s="2042">
        <f>'Part V-Revenues &amp; Expenses'!F248</f>
        <v>10000</v>
      </c>
      <c r="G701" s="2042"/>
      <c r="H701" s="2064" t="e">
        <f t="shared" si="412"/>
        <v>#DIV/0!</v>
      </c>
      <c r="I701" s="1184" t="s">
        <v>1307</v>
      </c>
      <c r="R701" s="2047"/>
      <c r="S701" s="1920"/>
      <c r="T701" s="1920"/>
      <c r="U701" s="1920"/>
      <c r="V701" s="1920"/>
      <c r="W701" s="1920"/>
      <c r="X701" s="251"/>
      <c r="AC701" s="251"/>
      <c r="AH701" s="251"/>
      <c r="AM701" s="251"/>
      <c r="LF701" s="1296"/>
      <c r="LK701" s="1296"/>
      <c r="LP701" s="1296"/>
      <c r="LU701" s="1296"/>
      <c r="LV701" s="1296"/>
      <c r="LW701" s="1296"/>
      <c r="LX701" s="1296"/>
      <c r="LY701" s="1296"/>
      <c r="LZ701" s="1296"/>
      <c r="MA701" s="1296"/>
      <c r="MB701" s="1296"/>
      <c r="MC701" s="1296"/>
      <c r="MD701" s="1296"/>
      <c r="ME701" s="1296"/>
      <c r="MF701" s="1296"/>
      <c r="MG701" s="1296"/>
      <c r="MH701" s="1296"/>
      <c r="MI701" s="1296"/>
      <c r="MJ701" s="1296"/>
      <c r="MK701" s="1296"/>
      <c r="ML701" s="1296"/>
      <c r="MM701" s="1296"/>
      <c r="MN701" s="1296"/>
      <c r="MO701" s="1296"/>
      <c r="MP701" s="1296"/>
      <c r="MW701" s="1184"/>
      <c r="NM701" s="1184"/>
      <c r="NN701" s="1184"/>
      <c r="OZ701" s="1771">
        <v>244</v>
      </c>
    </row>
    <row r="702" spans="1:416" s="253" customFormat="1" ht="16.5" customHeight="1">
      <c r="E702" s="2066" t="s">
        <v>532</v>
      </c>
      <c r="F702" s="2042">
        <f>SUM(F696:G701)</f>
        <v>172883</v>
      </c>
      <c r="G702" s="2042"/>
      <c r="H702" s="2064" t="e">
        <f t="shared" si="412"/>
        <v>#DIV/0!</v>
      </c>
      <c r="I702" s="253" t="s">
        <v>1308</v>
      </c>
      <c r="L702" s="2042">
        <f>'Part V-Revenues &amp; Expenses'!L249</f>
        <v>0</v>
      </c>
      <c r="M702" s="2047"/>
      <c r="N702" s="2064" t="str">
        <f>IF(OR(L702="",L702=0),"",L702/$E$54)</f>
        <v/>
      </c>
      <c r="S702" s="1920"/>
      <c r="T702" s="1920"/>
      <c r="U702" s="1920"/>
      <c r="V702" s="1920"/>
      <c r="W702" s="1920"/>
      <c r="X702" s="251"/>
      <c r="AC702" s="251"/>
      <c r="AH702" s="251"/>
      <c r="AM702" s="251"/>
      <c r="LF702" s="1296"/>
      <c r="LK702" s="1296"/>
      <c r="LP702" s="1296"/>
      <c r="LU702" s="1296"/>
      <c r="LV702" s="1296"/>
      <c r="LW702" s="1296"/>
      <c r="LX702" s="1296"/>
      <c r="LY702" s="1296"/>
      <c r="LZ702" s="1296"/>
      <c r="MA702" s="1296"/>
      <c r="MB702" s="1296"/>
      <c r="MC702" s="1296"/>
      <c r="MD702" s="1296"/>
      <c r="ME702" s="1296"/>
      <c r="MF702" s="1296"/>
      <c r="MG702" s="1296"/>
      <c r="MH702" s="1296"/>
      <c r="MI702" s="1296"/>
      <c r="MJ702" s="1296"/>
      <c r="MK702" s="1296"/>
      <c r="ML702" s="1296"/>
      <c r="MM702" s="1296"/>
      <c r="MN702" s="1296"/>
      <c r="MO702" s="1296"/>
      <c r="MP702" s="1296"/>
      <c r="MW702" s="1184"/>
      <c r="NM702" s="1184"/>
      <c r="NN702" s="1184"/>
      <c r="OZ702" s="1296">
        <v>245</v>
      </c>
    </row>
    <row r="703" spans="1:416" s="253" customFormat="1" ht="16.5" customHeight="1">
      <c r="C703" s="1184"/>
      <c r="D703" s="2066"/>
      <c r="F703" s="2020"/>
      <c r="G703" s="2020"/>
      <c r="I703" s="253" t="s">
        <v>607</v>
      </c>
      <c r="L703" s="2042">
        <f>'Part V-Revenues &amp; Expenses'!L250</f>
        <v>0</v>
      </c>
      <c r="M703" s="2047"/>
      <c r="N703" s="2064" t="str">
        <f t="shared" ref="N703:N706" si="414">IF(OR(L703="",L703=0),"",L703/$E$54)</f>
        <v/>
      </c>
      <c r="O703" s="1184" t="s">
        <v>1309</v>
      </c>
      <c r="Q703" s="2047">
        <f>F702+F711+F722+L698+L706+L716+L722+Q695</f>
        <v>473284</v>
      </c>
      <c r="S703" s="1920"/>
      <c r="T703" s="1920"/>
      <c r="U703" s="1920"/>
      <c r="V703" s="1920"/>
      <c r="W703" s="1920"/>
      <c r="LF703" s="1296"/>
      <c r="LK703" s="1296"/>
      <c r="LP703" s="1296"/>
      <c r="LU703" s="1296"/>
      <c r="LV703" s="1296"/>
      <c r="LW703" s="1296"/>
      <c r="LX703" s="1296"/>
      <c r="LY703" s="1296"/>
      <c r="LZ703" s="1296"/>
      <c r="MA703" s="1296"/>
      <c r="MB703" s="1296"/>
      <c r="MC703" s="1296"/>
      <c r="MD703" s="1296"/>
      <c r="ME703" s="1296"/>
      <c r="MF703" s="1296"/>
      <c r="MG703" s="1296"/>
      <c r="MH703" s="1296"/>
      <c r="MI703" s="1296"/>
      <c r="MJ703" s="1296"/>
      <c r="MK703" s="1296"/>
      <c r="ML703" s="1296"/>
      <c r="MM703" s="1296"/>
      <c r="MN703" s="1296"/>
      <c r="MO703" s="1296"/>
      <c r="MP703" s="1296"/>
      <c r="MW703" s="1184"/>
      <c r="NM703" s="1184"/>
      <c r="NN703" s="1184"/>
      <c r="OZ703" s="1296">
        <v>246</v>
      </c>
    </row>
    <row r="704" spans="1:416" s="253" customFormat="1" ht="16.5" customHeight="1">
      <c r="B704" s="1184" t="s">
        <v>1310</v>
      </c>
      <c r="D704" s="2035"/>
      <c r="I704" s="253" t="s">
        <v>1311</v>
      </c>
      <c r="L704" s="2042">
        <f>'Part V-Revenues &amp; Expenses'!L251</f>
        <v>491</v>
      </c>
      <c r="M704" s="2047"/>
      <c r="N704" s="2064" t="e">
        <f t="shared" si="414"/>
        <v>#DIV/0!</v>
      </c>
      <c r="O704" s="2024" t="s">
        <v>1312</v>
      </c>
      <c r="P704" s="2065">
        <f>+Q703/P529</f>
        <v>4930.041666666667</v>
      </c>
      <c r="R704" s="2063"/>
      <c r="S704" s="1920"/>
      <c r="T704" s="1920"/>
      <c r="U704" s="1920"/>
      <c r="V704" s="1920"/>
      <c r="W704" s="1920"/>
      <c r="X704" s="251"/>
      <c r="AC704" s="251"/>
      <c r="AH704" s="251"/>
      <c r="AM704" s="251"/>
      <c r="LF704" s="1296"/>
      <c r="LK704" s="1296"/>
      <c r="LP704" s="1296"/>
      <c r="LU704" s="1296"/>
      <c r="LV704" s="1296"/>
      <c r="LW704" s="1296"/>
      <c r="LX704" s="1296"/>
      <c r="LY704" s="1296"/>
      <c r="LZ704" s="1296"/>
      <c r="MA704" s="1296"/>
      <c r="MB704" s="1296"/>
      <c r="MC704" s="1296"/>
      <c r="MD704" s="1296"/>
      <c r="ME704" s="1296"/>
      <c r="MF704" s="1296"/>
      <c r="MG704" s="1296"/>
      <c r="MH704" s="1296"/>
      <c r="MI704" s="1296"/>
      <c r="MJ704" s="1296"/>
      <c r="MK704" s="1296"/>
      <c r="ML704" s="1296"/>
      <c r="MM704" s="1296"/>
      <c r="MN704" s="1296"/>
      <c r="MO704" s="1296"/>
      <c r="MP704" s="1296"/>
      <c r="MW704" s="1184"/>
      <c r="NM704" s="1184"/>
      <c r="NN704" s="1184"/>
      <c r="OY704" s="253" t="s">
        <v>1313</v>
      </c>
      <c r="OZ704" s="1185">
        <v>247</v>
      </c>
    </row>
    <row r="705" spans="2:416" s="253" customFormat="1" ht="16.5" customHeight="1">
      <c r="B705" s="253" t="s">
        <v>1314</v>
      </c>
      <c r="D705" s="2035"/>
      <c r="F705" s="2042">
        <f>'Part V-Revenues &amp; Expenses'!F252</f>
        <v>20000</v>
      </c>
      <c r="G705" s="2042"/>
      <c r="H705" s="2064" t="e">
        <f>IF(OR(F705="",F705=0),"",F705/$E$54)</f>
        <v>#DIV/0!</v>
      </c>
      <c r="I705" s="256" t="str">
        <f>'Part V-Revenues &amp; Expenses'!I252</f>
        <v>Other (describe here)</v>
      </c>
      <c r="J705" s="2068"/>
      <c r="K705" s="2068"/>
      <c r="L705" s="2042">
        <f>'Part V-Revenues &amp; Expenses'!L252</f>
        <v>0</v>
      </c>
      <c r="M705" s="2047"/>
      <c r="N705" s="2064" t="str">
        <f t="shared" si="414"/>
        <v/>
      </c>
      <c r="P705" s="2024" t="s">
        <v>1315</v>
      </c>
      <c r="Q705" s="2047">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Assumptions'!$Q$36*$P$72,
IF(AND('Part I-Project Identification'!$K$30="Urban", 'Part I-Project Identification'!$N$30="MSA"),'DCA Underwriting Assumptions'!$Q$37*$P$72,
IF(AND('Part I-Project Identification'!$K$30="Rural", 'Part I-Project Identification'!$N$30="MSA",OR('Part II-Sources of Funds'!$B$10="",'Part II-Sources of Funds'!$B$10="No")),'DCA Underwriting Assumptions'!$Q$38*$P$72,
IF(AND('Part I-Project Identification'!$K$30="Rural", 'Part I-Project Identification'!$N$30="Non-MSA",OR('Part II-Sources of Funds'!$B$10="",'Part II-Sources of Funds'!$B$10="No")),'DCA Underwriting Assumptions'!$Q$39*$P$72,
IF(AND('Part I-Project Identification'!$K$30="Rural", 'Part I-Project Identification'!$N$30="Non-MSA", 'Part II-Sources of Funds'!$B$10="Yes"),"TBD by DCA",""))))))</f>
        <v>0</v>
      </c>
      <c r="S705" s="1920"/>
      <c r="T705" s="1920"/>
      <c r="U705" s="1920"/>
      <c r="V705" s="1920"/>
      <c r="W705" s="1920"/>
      <c r="X705" s="251"/>
      <c r="AC705" s="251"/>
      <c r="AH705" s="251"/>
      <c r="AM705" s="251"/>
      <c r="LF705" s="1296"/>
      <c r="LK705" s="1296"/>
      <c r="LP705" s="1296"/>
      <c r="LU705" s="1296"/>
      <c r="LV705" s="1296"/>
      <c r="LW705" s="1296"/>
      <c r="LX705" s="1296"/>
      <c r="LY705" s="1296"/>
      <c r="LZ705" s="1296"/>
      <c r="MA705" s="1296"/>
      <c r="MB705" s="1296"/>
      <c r="MC705" s="1296"/>
      <c r="MD705" s="1296"/>
      <c r="ME705" s="1296"/>
      <c r="MF705" s="1296"/>
      <c r="MG705" s="1296"/>
      <c r="MH705" s="1296"/>
      <c r="MI705" s="1296"/>
      <c r="MJ705" s="1296"/>
      <c r="MK705" s="1296"/>
      <c r="ML705" s="1296"/>
      <c r="MM705" s="1296"/>
      <c r="MN705" s="1296"/>
      <c r="MO705" s="1296"/>
      <c r="MP705" s="1296"/>
      <c r="MW705" s="1184"/>
      <c r="NM705" s="1184"/>
      <c r="NN705" s="1184"/>
      <c r="OZ705" s="1296">
        <v>248</v>
      </c>
    </row>
    <row r="706" spans="2:416" s="253" customFormat="1" ht="16.5" customHeight="1">
      <c r="B706" s="253" t="s">
        <v>1316</v>
      </c>
      <c r="D706" s="2035"/>
      <c r="F706" s="2042">
        <f>'Part V-Revenues &amp; Expenses'!F253</f>
        <v>8000</v>
      </c>
      <c r="G706" s="2042"/>
      <c r="H706" s="2064" t="e">
        <f t="shared" ref="H706:H711" si="415">IF(OR(F706="",F706=0),"",F706/$E$54)</f>
        <v>#DIV/0!</v>
      </c>
      <c r="I706" s="1184"/>
      <c r="K706" s="2066" t="s">
        <v>532</v>
      </c>
      <c r="L706" s="2047">
        <f>SUM(L702:L705)</f>
        <v>491</v>
      </c>
      <c r="M706" s="2047"/>
      <c r="N706" s="2064" t="e">
        <f t="shared" si="414"/>
        <v>#DIV/0!</v>
      </c>
      <c r="O706" s="2069" t="s">
        <v>1317</v>
      </c>
      <c r="P706" s="2069"/>
      <c r="Q706" s="2069"/>
      <c r="S706" s="1920"/>
      <c r="T706" s="1920"/>
      <c r="U706" s="1920"/>
      <c r="V706" s="1920"/>
      <c r="W706" s="1920"/>
      <c r="X706" s="251"/>
      <c r="AC706" s="251"/>
      <c r="AH706" s="251"/>
      <c r="AM706" s="251"/>
      <c r="LF706" s="1296"/>
      <c r="LK706" s="1296"/>
      <c r="LP706" s="1296"/>
      <c r="LU706" s="1296"/>
      <c r="LV706" s="1296"/>
      <c r="LW706" s="1296"/>
      <c r="LX706" s="1296"/>
      <c r="LY706" s="1296"/>
      <c r="LZ706" s="1296"/>
      <c r="MA706" s="1296"/>
      <c r="MB706" s="1296"/>
      <c r="MC706" s="1296"/>
      <c r="MD706" s="1296"/>
      <c r="ME706" s="1296"/>
      <c r="MF706" s="1296"/>
      <c r="MG706" s="1296"/>
      <c r="MH706" s="1296"/>
      <c r="MI706" s="1296"/>
      <c r="MJ706" s="1296"/>
      <c r="MK706" s="1296"/>
      <c r="ML706" s="1296"/>
      <c r="MM706" s="1296"/>
      <c r="MN706" s="1296"/>
      <c r="MO706" s="1296"/>
      <c r="MP706" s="1296"/>
      <c r="MW706" s="1184"/>
      <c r="NM706" s="1184"/>
      <c r="NN706" s="1184"/>
      <c r="OZ706" s="1296">
        <v>249</v>
      </c>
    </row>
    <row r="707" spans="2:416" s="253" customFormat="1" ht="16.5" customHeight="1">
      <c r="B707" s="253" t="s">
        <v>1318</v>
      </c>
      <c r="D707" s="2035"/>
      <c r="F707" s="2042">
        <f>'Part V-Revenues &amp; Expenses'!F254</f>
        <v>1000</v>
      </c>
      <c r="G707" s="2042"/>
      <c r="H707" s="2064" t="e">
        <f t="shared" si="415"/>
        <v>#DIV/0!</v>
      </c>
      <c r="O707" s="2069"/>
      <c r="P707" s="2069"/>
      <c r="Q707" s="2069"/>
      <c r="R707" s="1286"/>
      <c r="S707" s="1920"/>
      <c r="T707" s="1920"/>
      <c r="U707" s="1920"/>
      <c r="V707" s="1920"/>
      <c r="W707" s="1920"/>
      <c r="X707" s="251"/>
      <c r="AC707" s="251"/>
      <c r="AH707" s="251"/>
      <c r="AM707" s="251"/>
      <c r="LF707" s="1296"/>
      <c r="LK707" s="1296"/>
      <c r="LP707" s="1296"/>
      <c r="LU707" s="1296"/>
      <c r="LV707" s="1296"/>
      <c r="LW707" s="1296"/>
      <c r="LX707" s="1296"/>
      <c r="LY707" s="1296"/>
      <c r="LZ707" s="1296"/>
      <c r="MA707" s="1296"/>
      <c r="MB707" s="1296"/>
      <c r="MC707" s="1296"/>
      <c r="MD707" s="1296"/>
      <c r="ME707" s="1296"/>
      <c r="MF707" s="1296"/>
      <c r="MG707" s="1296"/>
      <c r="MH707" s="1296"/>
      <c r="MI707" s="1296"/>
      <c r="MJ707" s="1296"/>
      <c r="MK707" s="1296"/>
      <c r="ML707" s="1296"/>
      <c r="MM707" s="1296"/>
      <c r="MN707" s="1296"/>
      <c r="MO707" s="1296"/>
      <c r="MP707" s="1296"/>
      <c r="MW707" s="1184"/>
      <c r="NM707" s="1184"/>
      <c r="NN707" s="1184"/>
      <c r="OZ707" s="1296">
        <v>250</v>
      </c>
    </row>
    <row r="708" spans="2:416" s="253" customFormat="1" ht="16.5" customHeight="1">
      <c r="B708" s="253" t="s">
        <v>1319</v>
      </c>
      <c r="D708" s="2035"/>
      <c r="F708" s="2042">
        <f>'Part V-Revenues &amp; Expenses'!F255</f>
        <v>0</v>
      </c>
      <c r="G708" s="2042"/>
      <c r="H708" s="2064" t="str">
        <f t="shared" si="415"/>
        <v/>
      </c>
      <c r="R708" s="1286"/>
      <c r="S708" s="1920"/>
      <c r="T708" s="1920"/>
      <c r="U708" s="1920"/>
      <c r="V708" s="1920"/>
      <c r="W708" s="1920"/>
      <c r="X708" s="251"/>
      <c r="AC708" s="251"/>
      <c r="AH708" s="251"/>
      <c r="AM708" s="251"/>
      <c r="LF708" s="1296"/>
      <c r="LK708" s="1296"/>
      <c r="LP708" s="1296"/>
      <c r="LU708" s="1296"/>
      <c r="LV708" s="1296"/>
      <c r="LW708" s="1296"/>
      <c r="LX708" s="1296"/>
      <c r="LY708" s="1296"/>
      <c r="LZ708" s="1296"/>
      <c r="MA708" s="1296"/>
      <c r="MB708" s="1296"/>
      <c r="MC708" s="1296"/>
      <c r="MD708" s="1296"/>
      <c r="ME708" s="1296"/>
      <c r="MF708" s="1296"/>
      <c r="MG708" s="1296"/>
      <c r="MH708" s="1296"/>
      <c r="MI708" s="1296"/>
      <c r="MJ708" s="1296"/>
      <c r="MK708" s="1296"/>
      <c r="ML708" s="1296"/>
      <c r="MM708" s="1296"/>
      <c r="MN708" s="1296"/>
      <c r="MO708" s="1296"/>
      <c r="MP708" s="1296"/>
      <c r="MW708" s="1184"/>
      <c r="NM708" s="1184"/>
      <c r="NN708" s="1184"/>
      <c r="OY708" s="253" t="s">
        <v>1320</v>
      </c>
      <c r="OZ708" s="1296">
        <v>251</v>
      </c>
    </row>
    <row r="709" spans="2:416" s="253" customFormat="1" ht="16.5" customHeight="1">
      <c r="B709" s="253" t="s">
        <v>1321</v>
      </c>
      <c r="D709" s="2035"/>
      <c r="F709" s="2042">
        <f>'Part V-Revenues &amp; Expenses'!F256</f>
        <v>4311</v>
      </c>
      <c r="G709" s="2042"/>
      <c r="H709" s="2064" t="e">
        <f t="shared" si="415"/>
        <v>#DIV/0!</v>
      </c>
      <c r="I709" s="1184" t="s">
        <v>1322</v>
      </c>
      <c r="K709" s="1086" t="s">
        <v>1323</v>
      </c>
      <c r="O709" s="1184" t="s">
        <v>1324</v>
      </c>
      <c r="P709" s="1184"/>
      <c r="Q709" s="2070">
        <f>'Part V-Revenues &amp; Expenses'!Q256</f>
        <v>38400</v>
      </c>
      <c r="S709" s="1920"/>
      <c r="T709" s="1920"/>
      <c r="U709" s="1920"/>
      <c r="V709" s="1920"/>
      <c r="W709" s="1920"/>
      <c r="X709" s="251"/>
      <c r="AC709" s="251"/>
      <c r="AH709" s="251"/>
      <c r="AM709" s="251"/>
      <c r="LF709" s="1296"/>
      <c r="LK709" s="1296"/>
      <c r="LP709" s="1296"/>
      <c r="LU709" s="1296"/>
      <c r="LV709" s="1296"/>
      <c r="LW709" s="1296"/>
      <c r="LX709" s="1296"/>
      <c r="LY709" s="1296"/>
      <c r="LZ709" s="1296"/>
      <c r="MA709" s="1296"/>
      <c r="MB709" s="1296"/>
      <c r="MC709" s="1296"/>
      <c r="MD709" s="1296"/>
      <c r="ME709" s="1296"/>
      <c r="MF709" s="1296"/>
      <c r="MG709" s="1296"/>
      <c r="MH709" s="1296"/>
      <c r="MI709" s="1296"/>
      <c r="MJ709" s="1296"/>
      <c r="MK709" s="1296"/>
      <c r="ML709" s="1296"/>
      <c r="MM709" s="1296"/>
      <c r="MN709" s="1296"/>
      <c r="MO709" s="1296"/>
      <c r="MP709" s="1296"/>
      <c r="MW709" s="1184"/>
      <c r="NM709" s="1184"/>
      <c r="NN709" s="1184"/>
      <c r="OZ709" s="1296">
        <v>252</v>
      </c>
    </row>
    <row r="710" spans="2:416" s="253" customFormat="1" ht="16.5" customHeight="1">
      <c r="B710" s="256" t="str">
        <f>'Part V-Revenues &amp; Expenses'!B257</f>
        <v>Other (describe here)</v>
      </c>
      <c r="C710" s="256"/>
      <c r="D710" s="256"/>
      <c r="E710" s="256"/>
      <c r="F710" s="2042">
        <f>'Part V-Revenues &amp; Expenses'!F257</f>
        <v>0</v>
      </c>
      <c r="G710" s="2042"/>
      <c r="H710" s="2064" t="str">
        <f t="shared" si="415"/>
        <v/>
      </c>
      <c r="I710" s="253" t="s">
        <v>1325</v>
      </c>
      <c r="K710" s="1929">
        <f>L710/12/P529</f>
        <v>26.041666666666668</v>
      </c>
      <c r="L710" s="2042">
        <f>'Part V-Revenues &amp; Expenses'!L257</f>
        <v>30000</v>
      </c>
      <c r="M710" s="2047"/>
      <c r="N710" s="2064" t="e">
        <f>IF(OR(L710="",L710=0),"",L710/$E$54)</f>
        <v>#DIV/0!</v>
      </c>
      <c r="O710" s="256" t="s">
        <v>1326</v>
      </c>
      <c r="Q710" s="2071" t="e">
        <f>Q709/P718</f>
        <v>#DIV/0!</v>
      </c>
      <c r="R710" s="1097" t="str">
        <f>IF(Q709&lt;Q718, "WARNING! RR proposed is below the DCA required minimum.","")</f>
        <v/>
      </c>
      <c r="S710" s="1920"/>
      <c r="T710" s="1920"/>
      <c r="U710" s="1920"/>
      <c r="V710" s="1920"/>
      <c r="W710" s="1920"/>
      <c r="X710" s="251"/>
      <c r="AC710" s="251"/>
      <c r="AH710" s="251"/>
      <c r="AM710" s="251"/>
      <c r="LF710" s="1296"/>
      <c r="LK710" s="1296"/>
      <c r="LP710" s="1296"/>
      <c r="LU710" s="1296"/>
      <c r="LV710" s="1296"/>
      <c r="LW710" s="1296"/>
      <c r="LX710" s="1296"/>
      <c r="LY710" s="1296"/>
      <c r="LZ710" s="1296"/>
      <c r="MA710" s="1296"/>
      <c r="MB710" s="1296"/>
      <c r="MC710" s="1296"/>
      <c r="MD710" s="1296"/>
      <c r="ME710" s="1296"/>
      <c r="MF710" s="1296"/>
      <c r="MG710" s="1296"/>
      <c r="MH710" s="1296"/>
      <c r="MI710" s="1296"/>
      <c r="MJ710" s="1296"/>
      <c r="MK710" s="1296"/>
      <c r="ML710" s="1296"/>
      <c r="MM710" s="1296"/>
      <c r="MN710" s="1296"/>
      <c r="MO710" s="1296"/>
      <c r="MP710" s="1296"/>
      <c r="MW710" s="1184"/>
      <c r="NM710" s="1184"/>
      <c r="NN710" s="1184"/>
      <c r="OZ710" s="1771">
        <v>253</v>
      </c>
    </row>
    <row r="711" spans="2:416" s="253" customFormat="1" ht="16.5" customHeight="1">
      <c r="E711" s="2066" t="s">
        <v>532</v>
      </c>
      <c r="F711" s="2042">
        <f>SUM(F705:G710)</f>
        <v>33311</v>
      </c>
      <c r="G711" s="2042"/>
      <c r="H711" s="2064" t="e">
        <f t="shared" si="415"/>
        <v>#DIV/0!</v>
      </c>
      <c r="I711" s="253" t="s">
        <v>1327</v>
      </c>
      <c r="K711" s="1929">
        <f>L711/12/P529</f>
        <v>0</v>
      </c>
      <c r="L711" s="2042">
        <f>'Part V-Revenues &amp; Expenses'!L258</f>
        <v>0</v>
      </c>
      <c r="M711" s="2047"/>
      <c r="N711" s="2064" t="str">
        <f t="shared" ref="N711:N716" si="416">IF(OR(L711="",L711=0),"",L711/$E$54)</f>
        <v/>
      </c>
      <c r="O711" s="2072" t="s">
        <v>1328</v>
      </c>
      <c r="P711" s="2072"/>
      <c r="Q711" s="2072"/>
      <c r="R711" s="1097"/>
      <c r="S711" s="1920"/>
      <c r="T711" s="1920"/>
      <c r="U711" s="1920"/>
      <c r="V711" s="1920"/>
      <c r="W711" s="1920"/>
      <c r="X711" s="251"/>
      <c r="AC711" s="251"/>
      <c r="AH711" s="251"/>
      <c r="AM711" s="251"/>
      <c r="LF711" s="1296"/>
      <c r="LK711" s="1296"/>
      <c r="LP711" s="1296"/>
      <c r="LU711" s="1296"/>
      <c r="LV711" s="1296"/>
      <c r="LW711" s="1296"/>
      <c r="LX711" s="1296"/>
      <c r="LY711" s="1296"/>
      <c r="LZ711" s="1296"/>
      <c r="MA711" s="1296"/>
      <c r="MB711" s="1296"/>
      <c r="MC711" s="1296"/>
      <c r="MD711" s="1296"/>
      <c r="ME711" s="1296"/>
      <c r="MF711" s="1296"/>
      <c r="MG711" s="1296"/>
      <c r="MH711" s="1296"/>
      <c r="MI711" s="1296"/>
      <c r="MJ711" s="1296"/>
      <c r="MK711" s="1296"/>
      <c r="ML711" s="1296"/>
      <c r="MM711" s="1296"/>
      <c r="MN711" s="1296"/>
      <c r="MO711" s="1296"/>
      <c r="MP711" s="1296"/>
      <c r="MW711" s="1184"/>
      <c r="NM711" s="1184"/>
      <c r="NN711" s="1184"/>
      <c r="OZ711" s="1296">
        <v>254</v>
      </c>
    </row>
    <row r="712" spans="2:416" s="253" customFormat="1" ht="16.5" customHeight="1">
      <c r="D712" s="2066"/>
      <c r="F712" s="2020"/>
      <c r="G712" s="2020"/>
      <c r="I712" s="253" t="s">
        <v>1329</v>
      </c>
      <c r="K712" s="1929">
        <f>L712/12/P529</f>
        <v>17.361111111111111</v>
      </c>
      <c r="L712" s="2042">
        <f>'Part V-Revenues &amp; Expenses'!L259</f>
        <v>20000</v>
      </c>
      <c r="M712" s="2047"/>
      <c r="N712" s="2064" t="e">
        <f t="shared" si="416"/>
        <v>#DIV/0!</v>
      </c>
      <c r="O712" s="2073" t="s">
        <v>1330</v>
      </c>
      <c r="P712" s="2074" t="s">
        <v>1331</v>
      </c>
      <c r="Q712" s="2074" t="s">
        <v>1332</v>
      </c>
      <c r="R712" s="1097"/>
      <c r="S712" s="1920"/>
      <c r="T712" s="1920"/>
      <c r="U712" s="1920"/>
      <c r="V712" s="1920"/>
      <c r="W712" s="1920"/>
      <c r="LF712" s="1296"/>
      <c r="LK712" s="1296"/>
      <c r="LP712" s="1296"/>
      <c r="LU712" s="1296"/>
      <c r="LV712" s="1296"/>
      <c r="LW712" s="1296"/>
      <c r="LX712" s="1296"/>
      <c r="LY712" s="1296"/>
      <c r="LZ712" s="1296"/>
      <c r="MA712" s="1296"/>
      <c r="MB712" s="1296"/>
      <c r="MC712" s="1296"/>
      <c r="MD712" s="1296"/>
      <c r="ME712" s="1296"/>
      <c r="MF712" s="1296"/>
      <c r="MG712" s="1296"/>
      <c r="MH712" s="1296"/>
      <c r="MI712" s="1296"/>
      <c r="MJ712" s="1296"/>
      <c r="MK712" s="1296"/>
      <c r="ML712" s="1296"/>
      <c r="MM712" s="1296"/>
      <c r="MN712" s="1296"/>
      <c r="MO712" s="1296"/>
      <c r="MP712" s="1296"/>
      <c r="MW712" s="1184"/>
      <c r="NM712" s="1184"/>
      <c r="NN712" s="1184"/>
      <c r="OY712" s="253" t="s">
        <v>604</v>
      </c>
      <c r="OZ712" s="1185">
        <v>255</v>
      </c>
    </row>
    <row r="713" spans="2:416" s="253" customFormat="1" ht="16.5" customHeight="1">
      <c r="B713" s="1184" t="s">
        <v>1333</v>
      </c>
      <c r="D713" s="2035"/>
      <c r="I713" s="253" t="s">
        <v>1334</v>
      </c>
      <c r="K713" s="1929">
        <f>L713/12/P529</f>
        <v>0</v>
      </c>
      <c r="L713" s="2042">
        <f>'Part V-Revenues &amp; Expenses'!L260</f>
        <v>0</v>
      </c>
      <c r="M713" s="2047"/>
      <c r="N713" s="2064" t="str">
        <f t="shared" si="416"/>
        <v/>
      </c>
      <c r="O713" s="291" t="s">
        <v>649</v>
      </c>
      <c r="R713" s="1097"/>
      <c r="S713" s="1920"/>
      <c r="T713" s="1920"/>
      <c r="U713" s="1920"/>
      <c r="V713" s="1920"/>
      <c r="W713" s="1920"/>
      <c r="X713" s="251"/>
      <c r="AC713" s="251"/>
      <c r="AH713" s="251"/>
      <c r="AM713" s="251"/>
      <c r="LF713" s="1296"/>
      <c r="LK713" s="1296"/>
      <c r="LP713" s="1296"/>
      <c r="LU713" s="1296"/>
      <c r="LV713" s="1296"/>
      <c r="LW713" s="1296"/>
      <c r="LX713" s="1296"/>
      <c r="LY713" s="1296"/>
      <c r="LZ713" s="1296"/>
      <c r="MA713" s="1296"/>
      <c r="MB713" s="1296"/>
      <c r="MC713" s="1296"/>
      <c r="MD713" s="1296"/>
      <c r="ME713" s="1296"/>
      <c r="MF713" s="1296"/>
      <c r="MG713" s="1296"/>
      <c r="MH713" s="1296"/>
      <c r="MI713" s="1296"/>
      <c r="MJ713" s="1296"/>
      <c r="MK713" s="1296"/>
      <c r="ML713" s="1296"/>
      <c r="MM713" s="1296"/>
      <c r="MN713" s="1296"/>
      <c r="MO713" s="1296"/>
      <c r="MP713" s="1296"/>
      <c r="MW713" s="1184"/>
      <c r="NM713" s="1184"/>
      <c r="NN713" s="1184"/>
      <c r="OZ713" s="1296">
        <v>256</v>
      </c>
    </row>
    <row r="714" spans="2:416" s="253" customFormat="1" ht="16.5" customHeight="1">
      <c r="B714" s="253" t="s">
        <v>1335</v>
      </c>
      <c r="D714" s="2035"/>
      <c r="F714" s="2042">
        <f>'Part V-Revenues &amp; Expenses'!F261</f>
        <v>15000</v>
      </c>
      <c r="G714" s="2042"/>
      <c r="H714" s="2064" t="e">
        <f>IF(OR(F714="",F714=0),"",F714/$E$54)</f>
        <v>#DIV/0!</v>
      </c>
      <c r="I714" s="253" t="s">
        <v>7562</v>
      </c>
      <c r="K714" s="1929">
        <f>L714/12/P529</f>
        <v>3.2534722222222219</v>
      </c>
      <c r="L714" s="2042">
        <f>'Part V-Revenues &amp; Expenses'!L261</f>
        <v>3748</v>
      </c>
      <c r="M714" s="2047"/>
      <c r="N714" s="2064" t="e">
        <f t="shared" si="416"/>
        <v>#DIV/0!</v>
      </c>
      <c r="O714" s="1820" t="s">
        <v>1337</v>
      </c>
      <c r="P714" s="2075" t="str">
        <f>CONCATENATE(SUM(NO507:NS507)," units x $",'DCA Underwriting Assumptions'!$Q$41," =")</f>
        <v>0 units x $400 =</v>
      </c>
      <c r="Q714" s="2075">
        <f>SUM(NO507:NS507)*'DCA Underwriting Assumptions'!$Q$41</f>
        <v>0</v>
      </c>
      <c r="R714" s="1097"/>
      <c r="S714" s="1920"/>
      <c r="T714" s="1920"/>
      <c r="U714" s="1920"/>
      <c r="V714" s="1920"/>
      <c r="W714" s="1920"/>
      <c r="X714" s="251"/>
      <c r="AC714" s="251"/>
      <c r="AH714" s="251"/>
      <c r="AM714" s="251"/>
      <c r="LF714" s="1296"/>
      <c r="LK714" s="1296"/>
      <c r="LP714" s="1296"/>
      <c r="LU714" s="1296"/>
      <c r="LV714" s="1296"/>
      <c r="LW714" s="1296"/>
      <c r="LX714" s="1296"/>
      <c r="LY714" s="1296"/>
      <c r="LZ714" s="1296"/>
      <c r="MA714" s="1296"/>
      <c r="MB714" s="1296"/>
      <c r="MC714" s="1296"/>
      <c r="MD714" s="1296"/>
      <c r="ME714" s="1296"/>
      <c r="MF714" s="1296"/>
      <c r="MG714" s="1296"/>
      <c r="MH714" s="1296"/>
      <c r="MI714" s="1296"/>
      <c r="MJ714" s="1296"/>
      <c r="MK714" s="1296"/>
      <c r="ML714" s="1296"/>
      <c r="MM714" s="1296"/>
      <c r="MN714" s="1296"/>
      <c r="MO714" s="1296"/>
      <c r="MP714" s="1296"/>
      <c r="MW714" s="1184"/>
      <c r="NM714" s="1184"/>
      <c r="NN714" s="1184"/>
      <c r="OZ714" s="1296">
        <v>257</v>
      </c>
    </row>
    <row r="715" spans="2:416" s="253" customFormat="1" ht="16.5" customHeight="1">
      <c r="B715" s="253" t="s">
        <v>1338</v>
      </c>
      <c r="D715" s="2035"/>
      <c r="F715" s="2042">
        <f>'Part V-Revenues &amp; Expenses'!F262</f>
        <v>10000</v>
      </c>
      <c r="G715" s="2042"/>
      <c r="H715" s="2064" t="e">
        <f t="shared" ref="H715:H722" si="417">IF(OR(F715="",F715=0),"",F715/$E$54)</f>
        <v>#DIV/0!</v>
      </c>
      <c r="I715" s="256" t="str">
        <f>'Part V-Revenues &amp; Expenses'!I262</f>
        <v>Other (describe here)</v>
      </c>
      <c r="J715" s="2068"/>
      <c r="K715" s="1929">
        <f>L715/12/P529</f>
        <v>0</v>
      </c>
      <c r="L715" s="2042">
        <f>'Part V-Revenues &amp; Expenses'!L262</f>
        <v>0</v>
      </c>
      <c r="M715" s="2047"/>
      <c r="N715" s="2064" t="str">
        <f t="shared" si="416"/>
        <v/>
      </c>
      <c r="O715" s="1820" t="s">
        <v>1339</v>
      </c>
      <c r="P715" s="2075" t="str">
        <f>CONCATENATE(SUM(NT507:NX507)," units x $",'DCA Underwriting Assumptions'!$Q$42," =")</f>
        <v>0 units x $300 =</v>
      </c>
      <c r="Q715" s="2075">
        <f>SUM(NT507:NX507)*'DCA Underwriting Assumptions'!$Q$42</f>
        <v>0</v>
      </c>
      <c r="R715" s="1097"/>
      <c r="S715" s="1920"/>
      <c r="T715" s="1920"/>
      <c r="U715" s="1920"/>
      <c r="V715" s="1920"/>
      <c r="W715" s="1920"/>
      <c r="X715" s="251"/>
      <c r="AC715" s="251"/>
      <c r="AH715" s="251"/>
      <c r="AM715" s="251"/>
      <c r="LF715" s="1296"/>
      <c r="LK715" s="1296"/>
      <c r="LP715" s="1296"/>
      <c r="LU715" s="1296"/>
      <c r="LV715" s="1296"/>
      <c r="LW715" s="1296"/>
      <c r="LX715" s="1296"/>
      <c r="LY715" s="1296"/>
      <c r="LZ715" s="1296"/>
      <c r="MA715" s="1296"/>
      <c r="MB715" s="1296"/>
      <c r="MC715" s="1296"/>
      <c r="MD715" s="1296"/>
      <c r="ME715" s="1296"/>
      <c r="MF715" s="1296"/>
      <c r="MG715" s="1296"/>
      <c r="MH715" s="1296"/>
      <c r="MI715" s="1296"/>
      <c r="MJ715" s="1296"/>
      <c r="MK715" s="1296"/>
      <c r="ML715" s="1296"/>
      <c r="MM715" s="1296"/>
      <c r="MN715" s="1296"/>
      <c r="MO715" s="1296"/>
      <c r="MP715" s="1296"/>
      <c r="MW715" s="1184"/>
      <c r="NM715" s="1184"/>
      <c r="NN715" s="1184"/>
      <c r="OZ715" s="1185">
        <v>258</v>
      </c>
    </row>
    <row r="716" spans="2:416" s="253" customFormat="1" ht="16.5" customHeight="1">
      <c r="B716" s="253" t="s">
        <v>1340</v>
      </c>
      <c r="D716" s="2035"/>
      <c r="F716" s="2042">
        <f>'Part V-Revenues &amp; Expenses'!F263</f>
        <v>10000</v>
      </c>
      <c r="G716" s="2042"/>
      <c r="H716" s="2064" t="e">
        <f t="shared" si="417"/>
        <v>#DIV/0!</v>
      </c>
      <c r="K716" s="2066" t="s">
        <v>532</v>
      </c>
      <c r="L716" s="2047">
        <f>SUM(L710:L715)</f>
        <v>53748</v>
      </c>
      <c r="M716" s="2047"/>
      <c r="N716" s="2064" t="e">
        <f t="shared" si="416"/>
        <v>#DIV/0!</v>
      </c>
      <c r="O716" s="1880" t="s">
        <v>1341</v>
      </c>
      <c r="P716" s="2075" t="str">
        <f>CONCATENATE(SUM(NY507:OC507)," units x $",'DCA Underwriting Assumptions'!$Q$43," =")</f>
        <v>0 units x $470 =</v>
      </c>
      <c r="Q716" s="2075">
        <f>SUM(NY507:OC507)*'DCA Underwriting Assumptions'!$Q$43</f>
        <v>0</v>
      </c>
      <c r="R716" s="1097"/>
      <c r="S716" s="1920"/>
      <c r="T716" s="1920"/>
      <c r="U716" s="1920"/>
      <c r="V716" s="1920"/>
      <c r="W716" s="1920"/>
      <c r="X716" s="251"/>
      <c r="AC716" s="251"/>
      <c r="AH716" s="251"/>
      <c r="AM716" s="251"/>
      <c r="LF716" s="1296"/>
      <c r="LK716" s="1296"/>
      <c r="LP716" s="1296"/>
      <c r="LU716" s="1296"/>
      <c r="LV716" s="1296"/>
      <c r="LW716" s="1296"/>
      <c r="LX716" s="1296"/>
      <c r="LY716" s="1296"/>
      <c r="LZ716" s="1296"/>
      <c r="MA716" s="1296"/>
      <c r="MB716" s="1296"/>
      <c r="MC716" s="1296"/>
      <c r="MD716" s="1296"/>
      <c r="ME716" s="1296"/>
      <c r="MF716" s="1296"/>
      <c r="MG716" s="1296"/>
      <c r="MH716" s="1296"/>
      <c r="MI716" s="1296"/>
      <c r="MJ716" s="1296"/>
      <c r="MK716" s="1296"/>
      <c r="ML716" s="1296"/>
      <c r="MM716" s="1296"/>
      <c r="MN716" s="1296"/>
      <c r="MO716" s="1296"/>
      <c r="MP716" s="1296"/>
      <c r="MW716" s="1184"/>
      <c r="NM716" s="1184"/>
      <c r="NN716" s="1184"/>
      <c r="OZ716" s="1296">
        <v>259</v>
      </c>
    </row>
    <row r="717" spans="2:416" s="253" customFormat="1" ht="16.5" customHeight="1">
      <c r="B717" s="253" t="s">
        <v>1342</v>
      </c>
      <c r="D717" s="2035"/>
      <c r="F717" s="2042">
        <f>'Part V-Revenues &amp; Expenses'!F264</f>
        <v>5000</v>
      </c>
      <c r="G717" s="2042"/>
      <c r="H717" s="2064" t="e">
        <f t="shared" si="417"/>
        <v>#DIV/0!</v>
      </c>
      <c r="O717" s="1880" t="s">
        <v>1343</v>
      </c>
      <c r="P717" s="2075" t="str">
        <f>CONCATENATE(P596," units x $",'DCA Underwriting Assumptions'!$Q$44," =")</f>
        <v>0 units x $420 =</v>
      </c>
      <c r="Q717" s="2075">
        <f>P596*'DCA Underwriting Assumptions'!$Q$44</f>
        <v>0</v>
      </c>
      <c r="S717" s="1920"/>
      <c r="T717" s="1920"/>
      <c r="U717" s="1920"/>
      <c r="V717" s="1920"/>
      <c r="W717" s="1920"/>
      <c r="X717" s="251"/>
      <c r="AC717" s="251"/>
      <c r="AH717" s="251"/>
      <c r="AM717" s="251"/>
      <c r="LF717" s="1296"/>
      <c r="LK717" s="1296"/>
      <c r="LP717" s="1296"/>
      <c r="LU717" s="1296"/>
      <c r="LV717" s="1296"/>
      <c r="LW717" s="1296"/>
      <c r="LX717" s="1296"/>
      <c r="LY717" s="1296"/>
      <c r="LZ717" s="1296"/>
      <c r="MA717" s="1296"/>
      <c r="MB717" s="1296"/>
      <c r="MC717" s="1296"/>
      <c r="MD717" s="1296"/>
      <c r="ME717" s="1296"/>
      <c r="MF717" s="1296"/>
      <c r="MG717" s="1296"/>
      <c r="MH717" s="1296"/>
      <c r="MI717" s="1296"/>
      <c r="MJ717" s="1296"/>
      <c r="MK717" s="1296"/>
      <c r="ML717" s="1296"/>
      <c r="MM717" s="1296"/>
      <c r="MN717" s="1296"/>
      <c r="MO717" s="1296"/>
      <c r="MP717" s="1296"/>
      <c r="MW717" s="1184"/>
      <c r="NM717" s="1184"/>
      <c r="NN717" s="1184"/>
      <c r="OY717" s="253" t="s">
        <v>1344</v>
      </c>
      <c r="OZ717" s="1296">
        <v>260</v>
      </c>
    </row>
    <row r="718" spans="2:416" s="253" customFormat="1" ht="16.5" customHeight="1">
      <c r="B718" s="253" t="s">
        <v>1345</v>
      </c>
      <c r="D718" s="2035"/>
      <c r="F718" s="2042">
        <f>'Part V-Revenues &amp; Expenses'!F265</f>
        <v>5000</v>
      </c>
      <c r="G718" s="2042"/>
      <c r="H718" s="2064" t="e">
        <f t="shared" si="417"/>
        <v>#DIV/0!</v>
      </c>
      <c r="I718" s="1184" t="s">
        <v>1346</v>
      </c>
      <c r="O718" s="2013" t="s">
        <v>1347</v>
      </c>
      <c r="P718" s="2004">
        <f>SUM(NO507:NS507)+SUM(NT507:NX507)+SUM(NY507:OC507)+P596</f>
        <v>0</v>
      </c>
      <c r="Q718" s="2076">
        <f>SUM(Q714:Q717)</f>
        <v>0</v>
      </c>
      <c r="R718" s="2075"/>
      <c r="S718" s="1920"/>
      <c r="T718" s="1920"/>
      <c r="U718" s="1920"/>
      <c r="V718" s="1920"/>
      <c r="W718" s="1920"/>
      <c r="X718" s="251"/>
      <c r="AC718" s="251"/>
      <c r="AH718" s="251"/>
      <c r="AM718" s="251"/>
      <c r="LF718" s="1296"/>
      <c r="LK718" s="1296"/>
      <c r="LP718" s="1296"/>
      <c r="LU718" s="1296"/>
      <c r="LV718" s="1296"/>
      <c r="LW718" s="1296"/>
      <c r="LX718" s="1296"/>
      <c r="LY718" s="1296"/>
      <c r="LZ718" s="1296"/>
      <c r="MA718" s="1296"/>
      <c r="MB718" s="1296"/>
      <c r="MC718" s="1296"/>
      <c r="MD718" s="1296"/>
      <c r="ME718" s="1296"/>
      <c r="MF718" s="1296"/>
      <c r="MG718" s="1296"/>
      <c r="MH718" s="1296"/>
      <c r="MI718" s="1296"/>
      <c r="MJ718" s="1296"/>
      <c r="MK718" s="1296"/>
      <c r="ML718" s="1296"/>
      <c r="MM718" s="1296"/>
      <c r="MN718" s="1296"/>
      <c r="MO718" s="1296"/>
      <c r="MP718" s="1296"/>
      <c r="MW718" s="1184"/>
      <c r="NM718" s="1184"/>
      <c r="NN718" s="1184"/>
      <c r="OZ718" s="1296">
        <v>261</v>
      </c>
    </row>
    <row r="719" spans="2:416" s="253" customFormat="1" ht="16.5" customHeight="1">
      <c r="B719" s="253" t="s">
        <v>1348</v>
      </c>
      <c r="D719" s="2035"/>
      <c r="F719" s="2042">
        <f>'Part V-Revenues &amp; Expenses'!F266</f>
        <v>0</v>
      </c>
      <c r="G719" s="2042"/>
      <c r="H719" s="2064" t="str">
        <f t="shared" si="417"/>
        <v/>
      </c>
      <c r="I719" s="253" t="s">
        <v>7563</v>
      </c>
      <c r="L719" s="2042">
        <f>'Part V-Revenues &amp; Expenses'!L266</f>
        <v>44365</v>
      </c>
      <c r="M719" s="2047"/>
      <c r="N719" s="2064" t="e">
        <f t="shared" ref="N719:N722" si="418">IF(OR(L719="",L719=0),"",L719/$E$54)</f>
        <v>#DIV/0!</v>
      </c>
      <c r="O719" s="1184" t="str">
        <f>IF(L719+L720='Part III-A-Uses of Funds'!$G$132,"", CONCATENATE("Real Estate Taxes + Insurance on Development Budget = $:",'Part III-A-Uses of Funds'!$G$132))</f>
        <v/>
      </c>
      <c r="P719" s="1184"/>
      <c r="Q719" s="1184"/>
      <c r="R719" s="2075"/>
      <c r="S719" s="1920"/>
      <c r="T719" s="1920"/>
      <c r="U719" s="1920"/>
      <c r="V719" s="1920"/>
      <c r="W719" s="1920"/>
      <c r="X719" s="251"/>
      <c r="AC719" s="251"/>
      <c r="AH719" s="251"/>
      <c r="AM719" s="251"/>
      <c r="LF719" s="1296"/>
      <c r="LK719" s="1296"/>
      <c r="LP719" s="1296"/>
      <c r="LU719" s="1296"/>
      <c r="LV719" s="1296"/>
      <c r="LW719" s="1296"/>
      <c r="LX719" s="1296"/>
      <c r="LY719" s="1296"/>
      <c r="LZ719" s="1296"/>
      <c r="MA719" s="1296"/>
      <c r="MB719" s="1296"/>
      <c r="MC719" s="1296"/>
      <c r="MD719" s="1296"/>
      <c r="ME719" s="1296"/>
      <c r="MF719" s="1296"/>
      <c r="MG719" s="1296"/>
      <c r="MH719" s="1296"/>
      <c r="MI719" s="1296"/>
      <c r="MJ719" s="1296"/>
      <c r="MK719" s="1296"/>
      <c r="ML719" s="1296"/>
      <c r="MM719" s="1296"/>
      <c r="MN719" s="1296"/>
      <c r="MO719" s="1296"/>
      <c r="MP719" s="1296"/>
      <c r="MW719" s="1184"/>
      <c r="NM719" s="1184"/>
      <c r="NN719" s="1184"/>
      <c r="OZ719" s="1296">
        <v>262</v>
      </c>
    </row>
    <row r="720" spans="2:416" s="253" customFormat="1" ht="16.5" customHeight="1">
      <c r="B720" s="253" t="s">
        <v>1350</v>
      </c>
      <c r="D720" s="2035"/>
      <c r="F720" s="2042">
        <f>'Part V-Revenues &amp; Expenses'!F267</f>
        <v>0</v>
      </c>
      <c r="G720" s="2042"/>
      <c r="H720" s="2064" t="str">
        <f t="shared" si="417"/>
        <v/>
      </c>
      <c r="I720" s="253" t="s">
        <v>1351</v>
      </c>
      <c r="L720" s="2042">
        <f>'Part V-Revenues &amp; Expenses'!L267</f>
        <v>84455</v>
      </c>
      <c r="M720" s="2047"/>
      <c r="N720" s="2064" t="e">
        <f t="shared" si="418"/>
        <v>#DIV/0!</v>
      </c>
      <c r="O720" s="1184"/>
      <c r="P720" s="1184"/>
      <c r="Q720" s="1184"/>
      <c r="R720" s="2075"/>
      <c r="S720" s="1920"/>
      <c r="T720" s="1920"/>
      <c r="U720" s="1920"/>
      <c r="V720" s="1920"/>
      <c r="W720" s="1920"/>
      <c r="X720" s="251"/>
      <c r="AC720" s="251"/>
      <c r="AH720" s="251"/>
      <c r="AM720" s="251"/>
      <c r="LF720" s="1296"/>
      <c r="LK720" s="1296"/>
      <c r="LP720" s="1296"/>
      <c r="LU720" s="1296"/>
      <c r="LV720" s="1296"/>
      <c r="LW720" s="1296"/>
      <c r="LX720" s="1296"/>
      <c r="LY720" s="1296"/>
      <c r="LZ720" s="1296"/>
      <c r="MA720" s="1296"/>
      <c r="MB720" s="1296"/>
      <c r="MC720" s="1296"/>
      <c r="MD720" s="1296"/>
      <c r="ME720" s="1296"/>
      <c r="MF720" s="1296"/>
      <c r="MG720" s="1296"/>
      <c r="MH720" s="1296"/>
      <c r="MI720" s="1296"/>
      <c r="MJ720" s="1296"/>
      <c r="MK720" s="1296"/>
      <c r="ML720" s="1296"/>
      <c r="MM720" s="1296"/>
      <c r="MN720" s="1296"/>
      <c r="MO720" s="1296"/>
      <c r="MP720" s="1296"/>
      <c r="MW720" s="1184"/>
      <c r="NM720" s="1184"/>
      <c r="NN720" s="1184"/>
      <c r="OZ720" s="1296">
        <v>263</v>
      </c>
    </row>
    <row r="721" spans="1:416" s="253" customFormat="1" ht="16.5" customHeight="1">
      <c r="B721" s="256" t="str">
        <f>'Part V-Revenues &amp; Expenses'!B268</f>
        <v>Other (describe here)</v>
      </c>
      <c r="C721" s="256"/>
      <c r="D721" s="256"/>
      <c r="E721" s="256"/>
      <c r="F721" s="2042">
        <f>'Part V-Revenues &amp; Expenses'!F268</f>
        <v>742</v>
      </c>
      <c r="G721" s="2042"/>
      <c r="H721" s="2064" t="e">
        <f t="shared" si="417"/>
        <v>#DIV/0!</v>
      </c>
      <c r="I721" s="256" t="str">
        <f>'Part V-Revenues &amp; Expenses'!I268</f>
        <v>Other (describe here)</v>
      </c>
      <c r="J721" s="2068"/>
      <c r="K721" s="2068"/>
      <c r="L721" s="2042">
        <f>'Part V-Revenues &amp; Expenses'!L268</f>
        <v>0</v>
      </c>
      <c r="M721" s="2047"/>
      <c r="N721" s="2064" t="str">
        <f t="shared" si="418"/>
        <v/>
      </c>
      <c r="R721" s="2075"/>
      <c r="S721" s="1920"/>
      <c r="T721" s="1920"/>
      <c r="U721" s="1920"/>
      <c r="V721" s="1920"/>
      <c r="W721" s="1920"/>
      <c r="X721" s="251"/>
      <c r="AC721" s="251"/>
      <c r="AH721" s="251"/>
      <c r="AM721" s="251"/>
      <c r="LF721" s="1296"/>
      <c r="LK721" s="1296"/>
      <c r="LP721" s="1296"/>
      <c r="LU721" s="1296"/>
      <c r="LV721" s="1296"/>
      <c r="LW721" s="1296"/>
      <c r="LX721" s="1296"/>
      <c r="LY721" s="1296"/>
      <c r="LZ721" s="1296"/>
      <c r="MA721" s="1296"/>
      <c r="MB721" s="1296"/>
      <c r="MC721" s="1296"/>
      <c r="MD721" s="1296"/>
      <c r="ME721" s="1296"/>
      <c r="MF721" s="1296"/>
      <c r="MG721" s="1296"/>
      <c r="MH721" s="1296"/>
      <c r="MI721" s="1296"/>
      <c r="MJ721" s="1296"/>
      <c r="MK721" s="1296"/>
      <c r="ML721" s="1296"/>
      <c r="MM721" s="1296"/>
      <c r="MN721" s="1296"/>
      <c r="MO721" s="1296"/>
      <c r="MP721" s="1296"/>
      <c r="MW721" s="1184"/>
      <c r="NM721" s="1184"/>
      <c r="NN721" s="1184"/>
      <c r="OY721" s="253" t="s">
        <v>1352</v>
      </c>
      <c r="OZ721" s="1771">
        <v>264</v>
      </c>
    </row>
    <row r="722" spans="1:416" s="253" customFormat="1" ht="16.5" customHeight="1">
      <c r="B722" s="1184"/>
      <c r="E722" s="2066" t="s">
        <v>532</v>
      </c>
      <c r="F722" s="2042">
        <f>SUM(F714:G721)</f>
        <v>45742</v>
      </c>
      <c r="G722" s="2042"/>
      <c r="H722" s="2064" t="e">
        <f t="shared" si="417"/>
        <v>#DIV/0!</v>
      </c>
      <c r="K722" s="2066" t="s">
        <v>532</v>
      </c>
      <c r="L722" s="2047">
        <f>SUM(L718:L721)</f>
        <v>128820</v>
      </c>
      <c r="M722" s="2047"/>
      <c r="N722" s="2064" t="e">
        <f t="shared" si="418"/>
        <v>#DIV/0!</v>
      </c>
      <c r="O722" s="1184" t="s">
        <v>1353</v>
      </c>
      <c r="Q722" s="2047">
        <f>Q703+Q709</f>
        <v>511684</v>
      </c>
      <c r="R722" s="2075"/>
      <c r="S722" s="1920"/>
      <c r="T722" s="1920"/>
      <c r="U722" s="1920"/>
      <c r="V722" s="1920"/>
      <c r="W722" s="1920"/>
      <c r="X722" s="251"/>
      <c r="AC722" s="251"/>
      <c r="AH722" s="251"/>
      <c r="AM722" s="251"/>
      <c r="LF722" s="1296"/>
      <c r="LK722" s="1296"/>
      <c r="LP722" s="1296"/>
      <c r="LU722" s="1296"/>
      <c r="LV722" s="1296"/>
      <c r="LW722" s="1296"/>
      <c r="LX722" s="1296"/>
      <c r="LY722" s="1296"/>
      <c r="LZ722" s="1296"/>
      <c r="MA722" s="1296"/>
      <c r="MB722" s="1296"/>
      <c r="MC722" s="1296"/>
      <c r="MD722" s="1296"/>
      <c r="ME722" s="1296"/>
      <c r="MF722" s="1296"/>
      <c r="MG722" s="1296"/>
      <c r="MH722" s="1296"/>
      <c r="MI722" s="1296"/>
      <c r="MJ722" s="1296"/>
      <c r="MK722" s="1296"/>
      <c r="ML722" s="1296"/>
      <c r="MM722" s="1296"/>
      <c r="MN722" s="1296"/>
      <c r="MO722" s="1296"/>
      <c r="MP722" s="1296"/>
      <c r="MW722" s="1184"/>
      <c r="NM722" s="1184"/>
      <c r="NN722" s="1184"/>
      <c r="OZ722" s="1296">
        <v>265</v>
      </c>
    </row>
    <row r="723" spans="1:416" s="253" customFormat="1" ht="6" customHeight="1">
      <c r="B723" s="1184"/>
      <c r="C723" s="2066"/>
      <c r="F723" s="2020"/>
      <c r="G723" s="2020"/>
      <c r="K723" s="2020"/>
      <c r="X723" s="251"/>
      <c r="AC723" s="251"/>
      <c r="AH723" s="251"/>
      <c r="AM723" s="251"/>
      <c r="LF723" s="1296"/>
      <c r="LK723" s="1296"/>
      <c r="LP723" s="1296"/>
      <c r="LU723" s="1296"/>
      <c r="LV723" s="1296"/>
      <c r="LW723" s="1296"/>
      <c r="LX723" s="1296"/>
      <c r="LY723" s="1296"/>
      <c r="LZ723" s="1296"/>
      <c r="MA723" s="1296"/>
      <c r="MB723" s="1296"/>
      <c r="MC723" s="1296"/>
      <c r="MD723" s="1296"/>
      <c r="ME723" s="1296"/>
      <c r="MF723" s="1296"/>
      <c r="MG723" s="1296"/>
      <c r="MH723" s="1296"/>
      <c r="MI723" s="1296"/>
      <c r="MJ723" s="1296"/>
      <c r="MK723" s="1296"/>
      <c r="ML723" s="1296"/>
      <c r="MM723" s="1296"/>
      <c r="MN723" s="1296"/>
      <c r="MO723" s="1296"/>
      <c r="MP723" s="1296"/>
      <c r="MW723" s="1184"/>
      <c r="NM723" s="1184"/>
      <c r="NN723" s="1184"/>
      <c r="OZ723" s="1185">
        <v>266</v>
      </c>
    </row>
    <row r="724" spans="1:416" s="253" customFormat="1" ht="15.6" customHeight="1">
      <c r="B724" s="1184"/>
      <c r="C724" s="2066"/>
      <c r="F724" s="2020"/>
      <c r="G724" s="2020"/>
      <c r="K724" s="2020"/>
      <c r="R724" s="2047"/>
      <c r="X724" s="251"/>
      <c r="AC724" s="251"/>
      <c r="AH724" s="251"/>
      <c r="AM724" s="251"/>
      <c r="LF724" s="1296"/>
      <c r="LK724" s="1296"/>
      <c r="LP724" s="1296"/>
      <c r="LU724" s="1296"/>
      <c r="LV724" s="1296"/>
      <c r="LW724" s="1296"/>
      <c r="LX724" s="1296"/>
      <c r="LY724" s="1296"/>
      <c r="LZ724" s="1296"/>
      <c r="MA724" s="1296"/>
      <c r="MB724" s="1296"/>
      <c r="MC724" s="1296"/>
      <c r="MD724" s="1296"/>
      <c r="ME724" s="1296"/>
      <c r="MF724" s="1296"/>
      <c r="MG724" s="1296"/>
      <c r="MH724" s="1296"/>
      <c r="MI724" s="1296"/>
      <c r="MJ724" s="1296"/>
      <c r="MK724" s="1296"/>
      <c r="ML724" s="1296"/>
      <c r="MM724" s="1296"/>
      <c r="MN724" s="1296"/>
      <c r="MO724" s="1296"/>
      <c r="MP724" s="1296"/>
      <c r="MW724" s="1184"/>
      <c r="NM724" s="1184"/>
      <c r="NN724" s="1184"/>
      <c r="OZ724" s="1296">
        <v>267</v>
      </c>
    </row>
    <row r="725" spans="1:416" s="253" customFormat="1" ht="15" customHeight="1">
      <c r="B725" s="1184"/>
      <c r="C725" s="2066"/>
      <c r="F725" s="2020"/>
      <c r="G725" s="2020"/>
      <c r="K725" s="2020"/>
      <c r="O725" s="1184"/>
      <c r="Q725" s="2047"/>
      <c r="R725" s="2047"/>
      <c r="X725" s="251"/>
      <c r="AC725" s="251"/>
      <c r="AH725" s="251"/>
      <c r="AM725" s="251"/>
      <c r="LF725" s="1296"/>
      <c r="LK725" s="1296"/>
      <c r="LP725" s="1296"/>
      <c r="LU725" s="1296"/>
      <c r="LV725" s="1296"/>
      <c r="LW725" s="1296"/>
      <c r="LX725" s="1296"/>
      <c r="LY725" s="1296"/>
      <c r="LZ725" s="1296"/>
      <c r="MA725" s="1296"/>
      <c r="MB725" s="1296"/>
      <c r="MC725" s="1296"/>
      <c r="MD725" s="1296"/>
      <c r="ME725" s="1296"/>
      <c r="MF725" s="1296"/>
      <c r="MG725" s="1296"/>
      <c r="MH725" s="1296"/>
      <c r="MI725" s="1296"/>
      <c r="MJ725" s="1296"/>
      <c r="MK725" s="1296"/>
      <c r="ML725" s="1296"/>
      <c r="MM725" s="1296"/>
      <c r="MN725" s="1296"/>
      <c r="MO725" s="1296"/>
      <c r="MP725" s="1296"/>
      <c r="MW725" s="1184"/>
      <c r="NM725" s="1184"/>
      <c r="NN725" s="1184"/>
      <c r="OZ725" s="1296">
        <v>268</v>
      </c>
    </row>
    <row r="726" spans="1:416" s="253" customFormat="1" ht="15" customHeight="1">
      <c r="A726" s="255" t="s">
        <v>1354</v>
      </c>
      <c r="B726" s="1184" t="s">
        <v>1355</v>
      </c>
      <c r="C726" s="2066"/>
      <c r="H726" s="2020"/>
      <c r="R726" s="2047"/>
      <c r="S726" s="1920"/>
      <c r="T726" s="1920"/>
      <c r="U726" s="1920"/>
      <c r="V726" s="1920"/>
      <c r="W726" s="1920"/>
      <c r="X726" s="251"/>
      <c r="AC726" s="251"/>
      <c r="AH726" s="251"/>
      <c r="AM726" s="251"/>
      <c r="LF726" s="1296"/>
      <c r="LK726" s="1296"/>
      <c r="LP726" s="1296"/>
      <c r="LU726" s="1296"/>
      <c r="LV726" s="1296"/>
      <c r="LW726" s="1296"/>
      <c r="LX726" s="1296"/>
      <c r="LY726" s="1296"/>
      <c r="LZ726" s="1296"/>
      <c r="MA726" s="1296"/>
      <c r="MB726" s="1296"/>
      <c r="MC726" s="1296"/>
      <c r="MD726" s="1296"/>
      <c r="ME726" s="1296"/>
      <c r="MF726" s="1296"/>
      <c r="MG726" s="1296"/>
      <c r="MH726" s="1296"/>
      <c r="MI726" s="1296"/>
      <c r="MJ726" s="1296"/>
      <c r="MK726" s="1296"/>
      <c r="ML726" s="1296"/>
      <c r="MM726" s="1296"/>
      <c r="MN726" s="1296"/>
      <c r="MO726" s="1296"/>
      <c r="MP726" s="1296"/>
      <c r="MW726" s="1184"/>
      <c r="NM726" s="1184"/>
      <c r="NN726" s="1184"/>
      <c r="OZ726" s="1185">
        <v>269</v>
      </c>
    </row>
    <row r="727" spans="1:416" s="253" customFormat="1" ht="12" customHeight="1">
      <c r="B727" s="1184"/>
      <c r="C727" s="2066"/>
      <c r="F727" s="2020"/>
      <c r="G727" s="2020"/>
      <c r="K727" s="2020"/>
      <c r="O727" s="1184"/>
      <c r="Q727" s="2047"/>
      <c r="R727" s="2047"/>
      <c r="X727" s="251"/>
      <c r="AC727" s="251"/>
      <c r="AH727" s="251"/>
      <c r="AM727" s="251"/>
      <c r="LF727" s="1296"/>
      <c r="LK727" s="1296"/>
      <c r="LP727" s="1296"/>
      <c r="LU727" s="1296"/>
      <c r="LV727" s="1296"/>
      <c r="LW727" s="1296"/>
      <c r="LX727" s="1296"/>
      <c r="LY727" s="1296"/>
      <c r="LZ727" s="1296"/>
      <c r="MA727" s="1296"/>
      <c r="MB727" s="1296"/>
      <c r="MC727" s="1296"/>
      <c r="MD727" s="1296"/>
      <c r="ME727" s="1296"/>
      <c r="MF727" s="1296"/>
      <c r="MG727" s="1296"/>
      <c r="MH727" s="1296"/>
      <c r="MI727" s="1296"/>
      <c r="MJ727" s="1296"/>
      <c r="MK727" s="1296"/>
      <c r="ML727" s="1296"/>
      <c r="MM727" s="1296"/>
      <c r="MN727" s="1296"/>
      <c r="MO727" s="1296"/>
      <c r="MP727" s="1296"/>
      <c r="MW727" s="1184"/>
      <c r="NM727" s="1184"/>
      <c r="NN727" s="1184"/>
      <c r="OZ727" s="1296">
        <v>270</v>
      </c>
    </row>
    <row r="728" spans="1:416" s="253" customFormat="1" ht="16.5" customHeight="1">
      <c r="B728" s="2077" t="s">
        <v>1356</v>
      </c>
      <c r="C728" s="2066"/>
      <c r="F728" s="2047">
        <f>'Part V-Revenues &amp; Expenses'!F275</f>
        <v>0</v>
      </c>
      <c r="G728" s="2047"/>
      <c r="I728" s="2067" t="s">
        <v>1357</v>
      </c>
      <c r="K728" s="2020"/>
      <c r="L728" s="2047">
        <f>'Part V-Revenues &amp; Expenses'!L275</f>
        <v>0</v>
      </c>
      <c r="M728" s="2047"/>
      <c r="O728" s="1184" t="s">
        <v>1358</v>
      </c>
      <c r="Q728" s="2030">
        <f>F728*L728</f>
        <v>0</v>
      </c>
      <c r="R728" s="2047"/>
      <c r="X728" s="251"/>
      <c r="AC728" s="251"/>
      <c r="AH728" s="251"/>
      <c r="AM728" s="251"/>
      <c r="LF728" s="1296"/>
      <c r="LK728" s="1296"/>
      <c r="LP728" s="1296"/>
      <c r="LU728" s="1296"/>
      <c r="LV728" s="1296"/>
      <c r="LW728" s="1296"/>
      <c r="LX728" s="1296"/>
      <c r="LY728" s="1296"/>
      <c r="LZ728" s="1296"/>
      <c r="MA728" s="1296"/>
      <c r="MB728" s="1296"/>
      <c r="MC728" s="1296"/>
      <c r="MD728" s="1296"/>
      <c r="ME728" s="1296"/>
      <c r="MF728" s="1296"/>
      <c r="MG728" s="1296"/>
      <c r="MH728" s="1296"/>
      <c r="MI728" s="1296"/>
      <c r="MJ728" s="1296"/>
      <c r="MK728" s="1296"/>
      <c r="ML728" s="1296"/>
      <c r="MM728" s="1296"/>
      <c r="MN728" s="1296"/>
      <c r="MO728" s="1296"/>
      <c r="MP728" s="1296"/>
      <c r="MW728" s="1184"/>
      <c r="NM728" s="1184"/>
      <c r="NN728" s="1184"/>
      <c r="OZ728" s="1296">
        <v>271</v>
      </c>
    </row>
    <row r="729" spans="1:416" s="253" customFormat="1" ht="12" customHeight="1">
      <c r="B729" s="1184"/>
      <c r="C729" s="2066"/>
      <c r="F729" s="2020"/>
      <c r="G729" s="2020"/>
      <c r="K729" s="2020"/>
      <c r="O729" s="1184"/>
      <c r="Q729" s="2047"/>
      <c r="R729" s="2047"/>
      <c r="X729" s="251"/>
      <c r="AC729" s="251"/>
      <c r="AH729" s="251"/>
      <c r="AM729" s="251"/>
      <c r="LF729" s="1296"/>
      <c r="LK729" s="1296"/>
      <c r="LP729" s="1296"/>
      <c r="LU729" s="1296"/>
      <c r="LV729" s="1296"/>
      <c r="LW729" s="1296"/>
      <c r="LX729" s="1296"/>
      <c r="LY729" s="1296"/>
      <c r="LZ729" s="1296"/>
      <c r="MA729" s="1296"/>
      <c r="MB729" s="1296"/>
      <c r="MC729" s="1296"/>
      <c r="MD729" s="1296"/>
      <c r="ME729" s="1296"/>
      <c r="MF729" s="1296"/>
      <c r="MG729" s="1296"/>
      <c r="MH729" s="1296"/>
      <c r="MI729" s="1296"/>
      <c r="MJ729" s="1296"/>
      <c r="MK729" s="1296"/>
      <c r="ML729" s="1296"/>
      <c r="MM729" s="1296"/>
      <c r="MN729" s="1296"/>
      <c r="MO729" s="1296"/>
      <c r="MP729" s="1296"/>
      <c r="MW729" s="1184"/>
      <c r="NM729" s="1184"/>
      <c r="NN729" s="1184"/>
      <c r="OZ729" s="1296">
        <v>272</v>
      </c>
    </row>
    <row r="730" spans="1:416" s="253" customFormat="1" ht="16.5" customHeight="1">
      <c r="B730" s="253" t="s">
        <v>1359</v>
      </c>
      <c r="C730" s="2066"/>
      <c r="F730" s="2020"/>
      <c r="G730" s="2020"/>
      <c r="L730" s="253" t="str">
        <f>'Part V-Revenues &amp; Expenses'!L277</f>
        <v>&lt;&lt;Select&gt;&gt;</v>
      </c>
      <c r="R730" s="2047"/>
      <c r="S730" s="1920"/>
      <c r="T730" s="1920"/>
      <c r="U730" s="1920"/>
      <c r="V730" s="1920"/>
      <c r="W730" s="1920"/>
      <c r="X730" s="251"/>
      <c r="AC730" s="251"/>
      <c r="AH730" s="251"/>
      <c r="AM730" s="251"/>
      <c r="LF730" s="1296"/>
      <c r="LK730" s="1296"/>
      <c r="LP730" s="1296"/>
      <c r="LU730" s="1296"/>
      <c r="LV730" s="1296"/>
      <c r="LW730" s="1296"/>
      <c r="LX730" s="1296"/>
      <c r="LY730" s="1296"/>
      <c r="LZ730" s="1296"/>
      <c r="MA730" s="1296"/>
      <c r="MB730" s="1296"/>
      <c r="MC730" s="1296"/>
      <c r="MD730" s="1296"/>
      <c r="ME730" s="1296"/>
      <c r="MF730" s="1296"/>
      <c r="MG730" s="1296"/>
      <c r="MH730" s="1296"/>
      <c r="MI730" s="1296"/>
      <c r="MJ730" s="1296"/>
      <c r="MK730" s="1296"/>
      <c r="ML730" s="1296"/>
      <c r="MM730" s="1296"/>
      <c r="MN730" s="1296"/>
      <c r="MO730" s="1296"/>
      <c r="MP730" s="1296"/>
      <c r="MW730" s="1184"/>
      <c r="NM730" s="1184"/>
      <c r="NN730" s="1184"/>
      <c r="OY730" s="253" t="s">
        <v>1360</v>
      </c>
      <c r="OZ730" s="1296">
        <v>273</v>
      </c>
    </row>
    <row r="731" spans="1:416" s="253" customFormat="1" ht="16.5" customHeight="1">
      <c r="B731" s="1184"/>
      <c r="C731" s="2066"/>
      <c r="F731" s="2020"/>
      <c r="G731" s="2020"/>
      <c r="I731" s="2077" t="s">
        <v>1361</v>
      </c>
      <c r="K731" s="2020"/>
      <c r="L731" s="253" t="str">
        <f>'Part V-Revenues &amp; Expenses'!L278</f>
        <v>&lt;&lt;Select&gt;&gt;</v>
      </c>
      <c r="O731" s="1184"/>
      <c r="Q731" s="2047"/>
      <c r="R731" s="2047"/>
      <c r="X731" s="251"/>
      <c r="AC731" s="251"/>
      <c r="AH731" s="251"/>
      <c r="AM731" s="251"/>
      <c r="LF731" s="1296"/>
      <c r="LK731" s="1296"/>
      <c r="LP731" s="1296"/>
      <c r="LU731" s="1296"/>
      <c r="LV731" s="1296"/>
      <c r="LW731" s="1296"/>
      <c r="LX731" s="1296"/>
      <c r="LY731" s="1296"/>
      <c r="LZ731" s="1296"/>
      <c r="MA731" s="1296"/>
      <c r="MB731" s="1296"/>
      <c r="MC731" s="1296"/>
      <c r="MD731" s="1296"/>
      <c r="ME731" s="1296"/>
      <c r="MF731" s="1296"/>
      <c r="MG731" s="1296"/>
      <c r="MH731" s="1296"/>
      <c r="MI731" s="1296"/>
      <c r="MJ731" s="1296"/>
      <c r="MK731" s="1296"/>
      <c r="ML731" s="1296"/>
      <c r="MM731" s="1296"/>
      <c r="MN731" s="1296"/>
      <c r="MO731" s="1296"/>
      <c r="MP731" s="1296"/>
      <c r="MW731" s="1184"/>
      <c r="NM731" s="1184"/>
      <c r="NN731" s="1184"/>
      <c r="OZ731" s="1296">
        <v>274</v>
      </c>
    </row>
    <row r="732" spans="1:416" s="253" customFormat="1" ht="16.5" customHeight="1">
      <c r="B732" s="1184"/>
      <c r="C732" s="2066"/>
      <c r="F732" s="2020"/>
      <c r="G732" s="2020"/>
      <c r="I732" s="2067" t="s">
        <v>1362</v>
      </c>
      <c r="K732" s="2020"/>
      <c r="L732" s="253">
        <f>'Part V-Revenues &amp; Expenses'!L279</f>
        <v>0</v>
      </c>
      <c r="M732" s="2047"/>
      <c r="O732" s="1184"/>
      <c r="Q732" s="2047"/>
      <c r="R732" s="2047"/>
      <c r="X732" s="251"/>
      <c r="AC732" s="251"/>
      <c r="AH732" s="251"/>
      <c r="AM732" s="251"/>
      <c r="LF732" s="1296"/>
      <c r="LK732" s="1296"/>
      <c r="LP732" s="1296"/>
      <c r="LU732" s="1296"/>
      <c r="LV732" s="1296"/>
      <c r="LW732" s="1296"/>
      <c r="LX732" s="1296"/>
      <c r="LY732" s="1296"/>
      <c r="LZ732" s="1296"/>
      <c r="MA732" s="1296"/>
      <c r="MB732" s="1296"/>
      <c r="MC732" s="1296"/>
      <c r="MD732" s="1296"/>
      <c r="ME732" s="1296"/>
      <c r="MF732" s="1296"/>
      <c r="MG732" s="1296"/>
      <c r="MH732" s="1296"/>
      <c r="MI732" s="1296"/>
      <c r="MJ732" s="1296"/>
      <c r="MK732" s="1296"/>
      <c r="ML732" s="1296"/>
      <c r="MM732" s="1296"/>
      <c r="MN732" s="1296"/>
      <c r="MO732" s="1296"/>
      <c r="MP732" s="1296"/>
      <c r="MW732" s="1184"/>
      <c r="NM732" s="1184"/>
      <c r="NN732" s="1184"/>
      <c r="OZ732" s="1771">
        <v>275</v>
      </c>
    </row>
    <row r="733" spans="1:416" s="253" customFormat="1" ht="16.5" customHeight="1">
      <c r="B733" s="1184"/>
      <c r="C733" s="2066"/>
      <c r="F733" s="2020"/>
      <c r="G733" s="2020"/>
      <c r="I733" s="253" t="s">
        <v>1363</v>
      </c>
      <c r="K733" s="2020"/>
      <c r="L733" s="253">
        <f>'Part V-Revenues &amp; Expenses'!L280</f>
        <v>0</v>
      </c>
      <c r="M733" s="2047"/>
      <c r="O733" s="1184"/>
      <c r="Q733" s="2047"/>
      <c r="R733" s="2047"/>
      <c r="X733" s="251"/>
      <c r="AC733" s="251"/>
      <c r="AH733" s="251"/>
      <c r="AM733" s="251"/>
      <c r="LF733" s="1296"/>
      <c r="LK733" s="1296"/>
      <c r="LP733" s="1296"/>
      <c r="LU733" s="1296"/>
      <c r="LV733" s="1296"/>
      <c r="LW733" s="1296"/>
      <c r="LX733" s="1296"/>
      <c r="LY733" s="1296"/>
      <c r="LZ733" s="1296"/>
      <c r="MA733" s="1296"/>
      <c r="MB733" s="1296"/>
      <c r="MC733" s="1296"/>
      <c r="MD733" s="1296"/>
      <c r="ME733" s="1296"/>
      <c r="MF733" s="1296"/>
      <c r="MG733" s="1296"/>
      <c r="MH733" s="1296"/>
      <c r="MI733" s="1296"/>
      <c r="MJ733" s="1296"/>
      <c r="MK733" s="1296"/>
      <c r="ML733" s="1296"/>
      <c r="MM733" s="1296"/>
      <c r="MN733" s="1296"/>
      <c r="MO733" s="1296"/>
      <c r="MP733" s="1296"/>
      <c r="MW733" s="1184"/>
      <c r="NM733" s="1184"/>
      <c r="NN733" s="1184"/>
      <c r="OZ733" s="1296">
        <v>276</v>
      </c>
    </row>
    <row r="734" spans="1:416" s="253" customFormat="1" ht="16.5" customHeight="1">
      <c r="B734" s="1184"/>
      <c r="C734" s="2066"/>
      <c r="F734" s="2020"/>
      <c r="G734" s="2020"/>
      <c r="K734" s="2020"/>
      <c r="O734" s="1184"/>
      <c r="Q734" s="2047"/>
      <c r="R734" s="2047"/>
      <c r="X734" s="251"/>
      <c r="AC734" s="251"/>
      <c r="AH734" s="251"/>
      <c r="AM734" s="251"/>
      <c r="LF734" s="1296"/>
      <c r="LK734" s="1296"/>
      <c r="LP734" s="1296"/>
      <c r="LU734" s="1296"/>
      <c r="LV734" s="1296"/>
      <c r="LW734" s="1296"/>
      <c r="LX734" s="1296"/>
      <c r="LY734" s="1296"/>
      <c r="LZ734" s="1296"/>
      <c r="MA734" s="1296"/>
      <c r="MB734" s="1296"/>
      <c r="MC734" s="1296"/>
      <c r="MD734" s="1296"/>
      <c r="ME734" s="1296"/>
      <c r="MF734" s="1296"/>
      <c r="MG734" s="1296"/>
      <c r="MH734" s="1296"/>
      <c r="MI734" s="1296"/>
      <c r="MJ734" s="1296"/>
      <c r="MK734" s="1296"/>
      <c r="ML734" s="1296"/>
      <c r="MM734" s="1296"/>
      <c r="MN734" s="1296"/>
      <c r="MO734" s="1296"/>
      <c r="MP734" s="1296"/>
      <c r="MW734" s="1184"/>
      <c r="NM734" s="1184"/>
      <c r="NN734" s="1184"/>
      <c r="OZ734" s="1296">
        <v>277</v>
      </c>
    </row>
    <row r="735" spans="1:416" ht="12" customHeight="1">
      <c r="A735" s="255" t="s">
        <v>1364</v>
      </c>
      <c r="B735" s="255" t="s">
        <v>68</v>
      </c>
      <c r="N735" s="255" t="s">
        <v>1365</v>
      </c>
      <c r="O735" s="255"/>
      <c r="LF735" s="1185"/>
      <c r="LK735" s="1185"/>
      <c r="LP735" s="1185"/>
      <c r="LU735" s="1185"/>
      <c r="LV735" s="1185"/>
      <c r="LW735" s="1185"/>
      <c r="LX735" s="1185"/>
      <c r="LY735" s="1185"/>
      <c r="LZ735" s="1185"/>
      <c r="MA735" s="1185"/>
      <c r="MB735" s="1185"/>
      <c r="MC735" s="1185"/>
      <c r="MD735" s="1185"/>
      <c r="ME735" s="1185"/>
      <c r="MF735" s="1185"/>
      <c r="MG735" s="1185"/>
      <c r="MH735" s="1185"/>
      <c r="MI735" s="1185"/>
      <c r="MJ735" s="1185"/>
      <c r="MK735" s="1185"/>
      <c r="ML735" s="1185"/>
      <c r="MM735" s="1185"/>
      <c r="MN735" s="1185"/>
      <c r="MO735" s="1185"/>
      <c r="MP735" s="1185"/>
      <c r="MW735" s="255"/>
      <c r="NM735" s="255"/>
      <c r="NN735" s="255"/>
      <c r="OY735" s="253"/>
      <c r="OZ735" s="1185">
        <v>278</v>
      </c>
    </row>
    <row r="736" spans="1:416" ht="409.5" customHeight="1">
      <c r="A736" s="1831" t="s">
        <v>1366</v>
      </c>
      <c r="B736" s="1831"/>
      <c r="C736" s="1831"/>
      <c r="D736" s="1831"/>
      <c r="E736" s="1831"/>
      <c r="F736" s="1831"/>
      <c r="G736" s="1831"/>
      <c r="H736" s="1831"/>
      <c r="I736" s="1831"/>
      <c r="J736" s="1831"/>
      <c r="K736" s="1831"/>
      <c r="L736" s="1831"/>
      <c r="M736" s="1831"/>
      <c r="N736" s="1831"/>
      <c r="O736" s="1831"/>
      <c r="P736" s="1831"/>
      <c r="Q736" s="1831"/>
      <c r="R736" s="1957" t="s">
        <v>1367</v>
      </c>
      <c r="S736" s="1957"/>
      <c r="T736" s="1957"/>
      <c r="U736" s="1957"/>
      <c r="LF736" s="1185"/>
      <c r="LK736" s="1185"/>
      <c r="LP736" s="1185"/>
      <c r="LU736" s="1185"/>
      <c r="LV736" s="1185"/>
      <c r="LW736" s="1185"/>
      <c r="LX736" s="1185"/>
      <c r="LY736" s="1185"/>
      <c r="LZ736" s="1185"/>
      <c r="MA736" s="1185"/>
      <c r="MB736" s="1185"/>
      <c r="MC736" s="1185"/>
      <c r="MD736" s="1185"/>
      <c r="ME736" s="1185"/>
      <c r="MF736" s="1185"/>
      <c r="MG736" s="1185"/>
      <c r="MH736" s="1185"/>
      <c r="MI736" s="1185"/>
      <c r="MJ736" s="1185"/>
      <c r="MK736" s="1185"/>
      <c r="ML736" s="1185"/>
      <c r="MM736" s="1185"/>
      <c r="MN736" s="1185"/>
      <c r="MO736" s="1185"/>
      <c r="MP736" s="1185"/>
      <c r="MW736" s="255"/>
      <c r="NM736" s="255"/>
      <c r="NN736" s="255"/>
      <c r="OY736" s="253"/>
      <c r="OZ736" s="1296">
        <v>279</v>
      </c>
    </row>
    <row r="740" spans="1:16">
      <c r="A740" s="1184" t="str">
        <f>CONCATENATE("PART SIX - OPERATING PRO FORMA","  -  ",'Part I-Project Identification'!$O$7," ",'Part I-Project Identification'!$F$27,", ",'Part I-Project Identification'!F762,", ",'Part I-Project Identification'!J762," County")</f>
        <v>PART SIX - OPERATING PRO FORMA  -  2026-0xx The Groves, ,  County</v>
      </c>
      <c r="L740" s="1184"/>
      <c r="M740" s="1184"/>
      <c r="N740" s="1184" t="str">
        <f>A740</f>
        <v>PART SIX - OPERATING PRO FORMA  -  2026-0xx The Groves, ,  County</v>
      </c>
      <c r="O740" s="1184"/>
      <c r="P740" s="1184"/>
    </row>
    <row r="741" spans="1:16">
      <c r="A741" s="255"/>
      <c r="B741" s="255"/>
      <c r="C741" s="255"/>
      <c r="D741" s="255"/>
      <c r="E741" s="255"/>
      <c r="F741" s="255"/>
      <c r="G741" s="255"/>
      <c r="H741" s="255"/>
      <c r="I741" s="255"/>
      <c r="J741" s="255"/>
      <c r="K741" s="255"/>
      <c r="N741" s="255" t="s">
        <v>793</v>
      </c>
      <c r="O741" s="255"/>
    </row>
    <row r="742" spans="1:16" ht="13.5" customHeight="1">
      <c r="A742" s="255" t="s">
        <v>1378</v>
      </c>
      <c r="C742" s="2078" t="str">
        <f>'Part I-Project Identification'!$A$6</f>
        <v>May XX, 2026</v>
      </c>
      <c r="D742" s="255" t="s">
        <v>1379</v>
      </c>
      <c r="E742" s="1979"/>
      <c r="F742" s="1818" t="s">
        <v>7564</v>
      </c>
      <c r="N742" s="255" t="str">
        <f>A742</f>
        <v>I.  OPERATING ASSUMPTIONS</v>
      </c>
      <c r="O742" s="255"/>
    </row>
    <row r="743" spans="1:16">
      <c r="C743" s="1097"/>
    </row>
    <row r="744" spans="1:16" ht="12.75" customHeight="1">
      <c r="A744" s="251" t="s">
        <v>1381</v>
      </c>
      <c r="B744" s="2079">
        <f>'DCA Underwriting Assumptions'!$Q$115</f>
        <v>0.02</v>
      </c>
      <c r="C744" s="1097"/>
      <c r="D744" s="1920" t="s">
        <v>7565</v>
      </c>
      <c r="E744" s="1920"/>
      <c r="F744" s="1920"/>
      <c r="G744" s="2080">
        <f>'Part VI-Pro Forma'!G6</f>
        <v>7500</v>
      </c>
      <c r="H744" s="2081" t="s">
        <v>1383</v>
      </c>
      <c r="K744" s="2082" t="e">
        <f>IF(($B$15+$B$16+$B$17+$B$18)=0,"",B769/($B$15+$B$16+$B$17+$B$18))</f>
        <v>#VALUE!</v>
      </c>
      <c r="N744" s="1920"/>
      <c r="O744" s="1920"/>
    </row>
    <row r="745" spans="1:16">
      <c r="A745" s="251" t="s">
        <v>1384</v>
      </c>
      <c r="B745" s="2079">
        <f>'DCA Underwriting Assumptions'!$Q$118</f>
        <v>0.03</v>
      </c>
      <c r="C745" s="1097"/>
      <c r="D745" s="1920"/>
      <c r="E745" s="1920"/>
      <c r="F745" s="1920"/>
      <c r="G745" s="2083">
        <f>IF(OR('Part II-Sources of Funds'!E740="Yes",'Part II-Sources of Funds'!H740&gt;0),'DCA Underwriting Assumptions'!$Q$79,0)</f>
        <v>0</v>
      </c>
      <c r="N745" s="1920"/>
      <c r="O745" s="1920"/>
    </row>
    <row r="746" spans="1:16">
      <c r="A746" s="251" t="s">
        <v>1385</v>
      </c>
      <c r="B746" s="2079">
        <f>'DCA Underwriting Assumptions'!$Q$119</f>
        <v>0.03</v>
      </c>
      <c r="C746" s="1097"/>
      <c r="D746" s="253" t="s">
        <v>1386</v>
      </c>
      <c r="G746" s="2084"/>
      <c r="H746" s="2081" t="s">
        <v>1387</v>
      </c>
      <c r="K746" s="2082" t="e">
        <f>IF(($B$15+$B$16+$B$17+$B$18)=0,"",-B760/($B$15+$B$16+$B$17+$B$18))</f>
        <v>#VALUE!</v>
      </c>
      <c r="N746" s="1920"/>
      <c r="O746" s="1920"/>
    </row>
    <row r="747" spans="1:16" ht="13.8">
      <c r="A747" s="251" t="s">
        <v>1388</v>
      </c>
      <c r="B747" s="2079">
        <f>'Part VI-Pro Forma'!B9</f>
        <v>7.0000000000000007E-2</v>
      </c>
      <c r="C747" s="1815" t="str">
        <f>IF(B747&lt;0.07, "Must be &gt;= 7%!","")</f>
        <v/>
      </c>
      <c r="D747" s="253" t="s">
        <v>1389</v>
      </c>
      <c r="G747" s="2085" t="str">
        <f>'Part VI-Pro Forma'!G9</f>
        <v>No</v>
      </c>
      <c r="H747" s="2086" t="s">
        <v>1390</v>
      </c>
      <c r="K747" s="2087">
        <f>'Part VI-Pro Forma'!K9</f>
        <v>0</v>
      </c>
      <c r="N747" s="1920"/>
      <c r="O747" s="1920"/>
    </row>
    <row r="748" spans="1:16">
      <c r="A748" s="251" t="s">
        <v>1391</v>
      </c>
      <c r="B748" s="2079">
        <v>0.02</v>
      </c>
      <c r="D748" s="253" t="s">
        <v>1392</v>
      </c>
      <c r="G748" s="2085" t="str">
        <f>'Part VI-Pro Forma'!G10</f>
        <v>Yes</v>
      </c>
      <c r="H748" s="2086" t="s">
        <v>1393</v>
      </c>
      <c r="K748" s="2088">
        <f>'Part VI-Pro Forma'!K10</f>
        <v>4.8500000000000001E-2</v>
      </c>
      <c r="N748" s="1920"/>
      <c r="O748" s="1920"/>
    </row>
    <row r="750" spans="1:16">
      <c r="A750" s="255" t="s">
        <v>1394</v>
      </c>
      <c r="D750" s="2060"/>
      <c r="N750" s="255" t="str">
        <f>A750</f>
        <v>II.  OPERATING PRO FORMA</v>
      </c>
    </row>
    <row r="752" spans="1:16">
      <c r="A752" s="255" t="s">
        <v>480</v>
      </c>
      <c r="B752" s="255">
        <v>1</v>
      </c>
      <c r="C752" s="255">
        <f t="shared" ref="C752:K752" si="419">B752+1</f>
        <v>2</v>
      </c>
      <c r="D752" s="255">
        <f t="shared" si="419"/>
        <v>3</v>
      </c>
      <c r="E752" s="255">
        <f t="shared" si="419"/>
        <v>4</v>
      </c>
      <c r="F752" s="255">
        <f t="shared" si="419"/>
        <v>5</v>
      </c>
      <c r="G752" s="255">
        <f t="shared" si="419"/>
        <v>6</v>
      </c>
      <c r="H752" s="255">
        <f t="shared" si="419"/>
        <v>7</v>
      </c>
      <c r="I752" s="255">
        <f t="shared" si="419"/>
        <v>8</v>
      </c>
      <c r="J752" s="255">
        <f t="shared" si="419"/>
        <v>9</v>
      </c>
      <c r="K752" s="255">
        <f t="shared" si="419"/>
        <v>10</v>
      </c>
      <c r="N752" s="255" t="s">
        <v>1395</v>
      </c>
      <c r="O752" s="255"/>
    </row>
    <row r="753" spans="1:19" ht="12.75" customHeight="1">
      <c r="A753" s="251" t="s">
        <v>1396</v>
      </c>
      <c r="B753" s="2089">
        <f>'Part VI-Pro Forma'!B15</f>
        <v>832236</v>
      </c>
      <c r="C753" s="2089">
        <f>'Part VI-Pro Forma'!C15</f>
        <v>848880.72</v>
      </c>
      <c r="D753" s="2089">
        <f>'Part VI-Pro Forma'!D15</f>
        <v>865858.33440000005</v>
      </c>
      <c r="E753" s="2089">
        <f>'Part VI-Pro Forma'!E15</f>
        <v>883175.5010879999</v>
      </c>
      <c r="F753" s="2089">
        <f>'Part VI-Pro Forma'!F15</f>
        <v>900839.01110976003</v>
      </c>
      <c r="G753" s="2089">
        <f>'Part VI-Pro Forma'!G15</f>
        <v>918855.79133195523</v>
      </c>
      <c r="H753" s="2089">
        <f>'Part VI-Pro Forma'!H15</f>
        <v>937232.90715859435</v>
      </c>
      <c r="I753" s="2089">
        <f>'Part VI-Pro Forma'!I15</f>
        <v>955977.56530176604</v>
      </c>
      <c r="J753" s="2089">
        <f>'Part VI-Pro Forma'!J15</f>
        <v>975097.11660780141</v>
      </c>
      <c r="K753" s="2089">
        <f>'Part VI-Pro Forma'!K15</f>
        <v>994599.05893995753</v>
      </c>
      <c r="N753" s="1920"/>
      <c r="O753" s="1920"/>
      <c r="S753" s="254" t="s">
        <v>1397</v>
      </c>
    </row>
    <row r="754" spans="1:19">
      <c r="A754" s="251" t="s">
        <v>1281</v>
      </c>
      <c r="B754" s="2089">
        <f>'Part VI-Pro Forma'!B16</f>
        <v>16644.72</v>
      </c>
      <c r="C754" s="2089">
        <f>'Part VI-Pro Forma'!C16</f>
        <v>16977.614400000002</v>
      </c>
      <c r="D754" s="2089">
        <f>'Part VI-Pro Forma'!D16</f>
        <v>17317.166688000001</v>
      </c>
      <c r="E754" s="2089">
        <f>'Part VI-Pro Forma'!E16</f>
        <v>17663.510021760001</v>
      </c>
      <c r="F754" s="2089">
        <f>'Part VI-Pro Forma'!F16</f>
        <v>18016.780222195201</v>
      </c>
      <c r="G754" s="2089">
        <f>'Part VI-Pro Forma'!G16</f>
        <v>18377.115826639107</v>
      </c>
      <c r="H754" s="2089">
        <f>'Part VI-Pro Forma'!H16</f>
        <v>18744.658143171888</v>
      </c>
      <c r="I754" s="2089">
        <f>'Part VI-Pro Forma'!I16</f>
        <v>19119.551306035322</v>
      </c>
      <c r="J754" s="2089">
        <f>'Part VI-Pro Forma'!J16</f>
        <v>19501.942332156032</v>
      </c>
      <c r="K754" s="2089">
        <f>'Part VI-Pro Forma'!K16</f>
        <v>19891.981178799149</v>
      </c>
      <c r="N754" s="1920"/>
      <c r="O754" s="1920"/>
      <c r="S754" s="254"/>
    </row>
    <row r="755" spans="1:19" ht="12.75" customHeight="1">
      <c r="A755" s="251" t="s">
        <v>1399</v>
      </c>
      <c r="B755" s="2089">
        <f>'Part VI-Pro Forma'!B17</f>
        <v>-59421.650400000006</v>
      </c>
      <c r="C755" s="2089">
        <f>'Part VI-Pro Forma'!C17</f>
        <v>-60610.083407999999</v>
      </c>
      <c r="D755" s="2089">
        <f>'Part VI-Pro Forma'!D17</f>
        <v>-61822.285076160006</v>
      </c>
      <c r="E755" s="2089">
        <f>'Part VI-Pro Forma'!E17</f>
        <v>-63058.730777683202</v>
      </c>
      <c r="F755" s="2089">
        <f>'Part VI-Pro Forma'!F17</f>
        <v>-64319.90539323687</v>
      </c>
      <c r="G755" s="2089">
        <f>'Part VI-Pro Forma'!G17</f>
        <v>-65606.303501101604</v>
      </c>
      <c r="H755" s="2089">
        <f>'Part VI-Pro Forma'!H17</f>
        <v>-66918.429571123648</v>
      </c>
      <c r="I755" s="2089">
        <f>'Part VI-Pro Forma'!I17</f>
        <v>-68256.798162546111</v>
      </c>
      <c r="J755" s="2089">
        <f>'Part VI-Pro Forma'!J17</f>
        <v>-69621.934125797023</v>
      </c>
      <c r="K755" s="2089">
        <f>'Part VI-Pro Forma'!K17</f>
        <v>-71014.372808312983</v>
      </c>
      <c r="N755" s="1920"/>
      <c r="O755" s="1920"/>
      <c r="Q755" s="254" t="s">
        <v>1400</v>
      </c>
      <c r="R755" s="254" t="s">
        <v>1401</v>
      </c>
      <c r="S755" s="254"/>
    </row>
    <row r="756" spans="1:19">
      <c r="A756" s="251" t="s">
        <v>1402</v>
      </c>
      <c r="B756" s="2089">
        <f>'Part VI-Pro Forma'!B18</f>
        <v>0</v>
      </c>
      <c r="C756" s="2089">
        <f>'Part VI-Pro Forma'!C18</f>
        <v>0</v>
      </c>
      <c r="D756" s="2089">
        <f>'Part VI-Pro Forma'!D18</f>
        <v>0</v>
      </c>
      <c r="E756" s="2089">
        <f>'Part VI-Pro Forma'!E18</f>
        <v>0</v>
      </c>
      <c r="F756" s="2089">
        <f>'Part VI-Pro Forma'!F18</f>
        <v>0</v>
      </c>
      <c r="G756" s="2089">
        <f>'Part VI-Pro Forma'!G18</f>
        <v>0</v>
      </c>
      <c r="H756" s="2089">
        <f>'Part VI-Pro Forma'!H18</f>
        <v>0</v>
      </c>
      <c r="I756" s="2089">
        <f>'Part VI-Pro Forma'!I18</f>
        <v>0</v>
      </c>
      <c r="J756" s="2089">
        <f>'Part VI-Pro Forma'!J18</f>
        <v>0</v>
      </c>
      <c r="K756" s="2089">
        <f>'Part VI-Pro Forma'!K18</f>
        <v>0</v>
      </c>
      <c r="N756" s="1920"/>
      <c r="O756" s="1920"/>
      <c r="Q756" s="254"/>
      <c r="R756" s="254"/>
      <c r="S756" s="254"/>
    </row>
    <row r="757" spans="1:19">
      <c r="A757" s="251" t="s">
        <v>1403</v>
      </c>
      <c r="B757" s="2089">
        <f>'Part VI-Pro Forma'!B19</f>
        <v>0</v>
      </c>
      <c r="C757" s="2089">
        <f>'Part VI-Pro Forma'!C19</f>
        <v>0</v>
      </c>
      <c r="D757" s="2089">
        <f>'Part VI-Pro Forma'!D19</f>
        <v>0</v>
      </c>
      <c r="E757" s="2089">
        <f>'Part VI-Pro Forma'!E19</f>
        <v>0</v>
      </c>
      <c r="F757" s="2089">
        <f>'Part VI-Pro Forma'!F19</f>
        <v>0</v>
      </c>
      <c r="G757" s="2089">
        <f>'Part VI-Pro Forma'!G19</f>
        <v>0</v>
      </c>
      <c r="H757" s="2089">
        <f>'Part VI-Pro Forma'!H19</f>
        <v>0</v>
      </c>
      <c r="I757" s="2089">
        <f>'Part VI-Pro Forma'!I19</f>
        <v>0</v>
      </c>
      <c r="J757" s="2089">
        <f>'Part VI-Pro Forma'!J19</f>
        <v>0</v>
      </c>
      <c r="K757" s="2089">
        <f>'Part VI-Pro Forma'!K19</f>
        <v>0</v>
      </c>
      <c r="N757" s="1920"/>
      <c r="O757" s="1920"/>
    </row>
    <row r="758" spans="1:19">
      <c r="A758" s="251" t="s">
        <v>1404</v>
      </c>
      <c r="B758" s="2089">
        <f>'Part VI-Pro Forma'!B20</f>
        <v>789459.06959999993</v>
      </c>
      <c r="C758" s="2089">
        <f>'Part VI-Pro Forma'!C20</f>
        <v>805248.25099199999</v>
      </c>
      <c r="D758" s="2089">
        <f>'Part VI-Pro Forma'!D20</f>
        <v>821353.21601184004</v>
      </c>
      <c r="E758" s="2089">
        <f>'Part VI-Pro Forma'!E20</f>
        <v>837780.28033207671</v>
      </c>
      <c r="F758" s="2089">
        <f>'Part VI-Pro Forma'!F20</f>
        <v>854535.88593871833</v>
      </c>
      <c r="G758" s="2089">
        <f>'Part VI-Pro Forma'!G20</f>
        <v>871626.60365749279</v>
      </c>
      <c r="H758" s="2089">
        <f>'Part VI-Pro Forma'!H20</f>
        <v>889059.13573064259</v>
      </c>
      <c r="I758" s="2089">
        <f>'Part VI-Pro Forma'!I20</f>
        <v>906840.31844525528</v>
      </c>
      <c r="J758" s="2089">
        <f>'Part VI-Pro Forma'!J20</f>
        <v>924977.1248141604</v>
      </c>
      <c r="K758" s="2089">
        <f>'Part VI-Pro Forma'!K20</f>
        <v>943476.66731044371</v>
      </c>
      <c r="N758" s="1920"/>
      <c r="O758" s="1920"/>
    </row>
    <row r="759" spans="1:19">
      <c r="A759" s="251" t="s">
        <v>1405</v>
      </c>
      <c r="B759" s="2089">
        <f>'Part VI-Pro Forma'!B21</f>
        <v>-434995</v>
      </c>
      <c r="C759" s="2089">
        <f>'Part VI-Pro Forma'!C21</f>
        <v>-448044.85000000003</v>
      </c>
      <c r="D759" s="2089">
        <f>'Part VI-Pro Forma'!D21</f>
        <v>-461486.19549999997</v>
      </c>
      <c r="E759" s="2089">
        <f>'Part VI-Pro Forma'!E21</f>
        <v>-475330.781365</v>
      </c>
      <c r="F759" s="2089">
        <f>'Part VI-Pro Forma'!F21</f>
        <v>-489590.70480594994</v>
      </c>
      <c r="G759" s="2089">
        <f>'Part VI-Pro Forma'!G21</f>
        <v>-504278.42595012841</v>
      </c>
      <c r="H759" s="2089">
        <f>'Part VI-Pro Forma'!H21</f>
        <v>-519406.77872863231</v>
      </c>
      <c r="I759" s="2089">
        <f>'Part VI-Pro Forma'!I21</f>
        <v>-534988.98209049134</v>
      </c>
      <c r="J759" s="2089">
        <f>'Part VI-Pro Forma'!J21</f>
        <v>-551038.65155320603</v>
      </c>
      <c r="K759" s="2089">
        <f>'Part VI-Pro Forma'!K21</f>
        <v>-567569.81109980214</v>
      </c>
      <c r="N759" s="1920"/>
      <c r="O759" s="1920"/>
      <c r="Q759" s="1185">
        <v>1</v>
      </c>
      <c r="R759" s="1297">
        <f>-B770</f>
        <v>0</v>
      </c>
      <c r="S759" s="1297">
        <f>B771+R759</f>
        <v>48422.711005064368</v>
      </c>
    </row>
    <row r="760" spans="1:19">
      <c r="A760" s="251" t="s">
        <v>1406</v>
      </c>
      <c r="B760" s="2089">
        <f>'Part VI-Pro Forma'!B22</f>
        <v>-38289</v>
      </c>
      <c r="C760" s="2089">
        <f>'Part VI-Pro Forma'!C22</f>
        <v>-39055</v>
      </c>
      <c r="D760" s="2089">
        <f>'Part VI-Pro Forma'!D22</f>
        <v>-39836</v>
      </c>
      <c r="E760" s="2089">
        <f>'Part VI-Pro Forma'!E22</f>
        <v>-40632</v>
      </c>
      <c r="F760" s="2089">
        <f>'Part VI-Pro Forma'!F22</f>
        <v>-41445</v>
      </c>
      <c r="G760" s="2089">
        <f>'Part VI-Pro Forma'!G22</f>
        <v>-42274</v>
      </c>
      <c r="H760" s="2089">
        <f>'Part VI-Pro Forma'!H22</f>
        <v>-43119</v>
      </c>
      <c r="I760" s="2089">
        <f>'Part VI-Pro Forma'!I22</f>
        <v>-43982</v>
      </c>
      <c r="J760" s="2089">
        <f>'Part VI-Pro Forma'!J22</f>
        <v>-44861</v>
      </c>
      <c r="K760" s="2089">
        <f>'Part VI-Pro Forma'!K22</f>
        <v>-45759</v>
      </c>
      <c r="N760" s="1920"/>
      <c r="O760" s="1920"/>
      <c r="Q760" s="1185">
        <v>2</v>
      </c>
      <c r="R760" s="1297">
        <f>-SUM(B770:C770)</f>
        <v>0</v>
      </c>
      <c r="S760" s="1297">
        <f>SUM(B771:C771)+R760</f>
        <v>97173.954566928762</v>
      </c>
    </row>
    <row r="761" spans="1:19">
      <c r="A761" s="251" t="s">
        <v>1407</v>
      </c>
      <c r="B761" s="2089">
        <f>'Part VI-Pro Forma'!B23</f>
        <v>-38400</v>
      </c>
      <c r="C761" s="2089">
        <f>'Part VI-Pro Forma'!C23</f>
        <v>-39552</v>
      </c>
      <c r="D761" s="2089">
        <f>'Part VI-Pro Forma'!D23</f>
        <v>-40738.559999999998</v>
      </c>
      <c r="E761" s="2089">
        <f>'Part VI-Pro Forma'!E23</f>
        <v>-41960.716800000002</v>
      </c>
      <c r="F761" s="2089">
        <f>'Part VI-Pro Forma'!F23</f>
        <v>-43219.538303999994</v>
      </c>
      <c r="G761" s="2089">
        <f>'Part VI-Pro Forma'!G23</f>
        <v>-44516.124453119992</v>
      </c>
      <c r="H761" s="2089">
        <f>'Part VI-Pro Forma'!H23</f>
        <v>-45851.608186713594</v>
      </c>
      <c r="I761" s="2089">
        <f>'Part VI-Pro Forma'!I23</f>
        <v>-47227.156432315009</v>
      </c>
      <c r="J761" s="2089">
        <f>'Part VI-Pro Forma'!J23</f>
        <v>-48643.97112528445</v>
      </c>
      <c r="K761" s="2089">
        <f>'Part VI-Pro Forma'!K23</f>
        <v>-50103.290259042988</v>
      </c>
      <c r="N761" s="1920"/>
      <c r="O761" s="1920"/>
      <c r="Q761" s="1185">
        <v>3</v>
      </c>
      <c r="R761" s="1297">
        <f>-SUM(B770:D770)</f>
        <v>0</v>
      </c>
      <c r="S761" s="1297">
        <f>SUM(B771:D771)+R761</f>
        <v>146203.62193672921</v>
      </c>
    </row>
    <row r="762" spans="1:19">
      <c r="A762" s="251" t="s">
        <v>1408</v>
      </c>
      <c r="B762" s="2089">
        <f>'Part VI-Pro Forma'!B24</f>
        <v>0</v>
      </c>
      <c r="C762" s="2089">
        <f>'Part VI-Pro Forma'!C24</f>
        <v>0</v>
      </c>
      <c r="D762" s="2089">
        <f>'Part VI-Pro Forma'!D24</f>
        <v>0</v>
      </c>
      <c r="E762" s="2089">
        <f>'Part VI-Pro Forma'!E24</f>
        <v>0</v>
      </c>
      <c r="F762" s="2089">
        <f>'Part VI-Pro Forma'!F24</f>
        <v>0</v>
      </c>
      <c r="G762" s="2089">
        <f>'Part VI-Pro Forma'!G24</f>
        <v>0</v>
      </c>
      <c r="H762" s="2089">
        <f>'Part VI-Pro Forma'!H24</f>
        <v>0</v>
      </c>
      <c r="I762" s="2089">
        <f>'Part VI-Pro Forma'!I24</f>
        <v>0</v>
      </c>
      <c r="J762" s="2089">
        <f>'Part VI-Pro Forma'!J24</f>
        <v>0</v>
      </c>
      <c r="K762" s="2089">
        <f>'Part VI-Pro Forma'!K24</f>
        <v>0</v>
      </c>
      <c r="N762" s="1920"/>
      <c r="O762" s="1920"/>
      <c r="Q762" s="1185">
        <v>4</v>
      </c>
      <c r="R762" s="1297">
        <f>-SUM(B770:E770)</f>
        <v>0</v>
      </c>
      <c r="S762" s="1297">
        <f>SUM(B771:E771)+R762</f>
        <v>195459.01796862431</v>
      </c>
    </row>
    <row r="763" spans="1:19">
      <c r="A763" s="251" t="s">
        <v>1409</v>
      </c>
      <c r="B763" s="2089">
        <f>SUM(B758:B762)</f>
        <v>277775.06959999993</v>
      </c>
      <c r="C763" s="2089">
        <f t="shared" ref="C763:J763" si="420">SUM(C758:C762)</f>
        <v>278596.40099199995</v>
      </c>
      <c r="D763" s="2089">
        <f t="shared" si="420"/>
        <v>279292.46051184007</v>
      </c>
      <c r="E763" s="2089">
        <f t="shared" si="420"/>
        <v>279856.78216707672</v>
      </c>
      <c r="F763" s="2089">
        <f t="shared" si="420"/>
        <v>280280.64282876841</v>
      </c>
      <c r="G763" s="2089">
        <f t="shared" si="420"/>
        <v>280558.05325424438</v>
      </c>
      <c r="H763" s="2089">
        <f t="shared" si="420"/>
        <v>280681.74881529668</v>
      </c>
      <c r="I763" s="2089">
        <f t="shared" si="420"/>
        <v>280642.17992244894</v>
      </c>
      <c r="J763" s="2089">
        <f t="shared" si="420"/>
        <v>280433.50213566993</v>
      </c>
      <c r="K763" s="2089">
        <f>SUM(K758:K762)</f>
        <v>280044.56595159858</v>
      </c>
      <c r="N763" s="1920"/>
      <c r="O763" s="1920"/>
      <c r="Q763" s="1185">
        <v>5</v>
      </c>
      <c r="R763" s="1297">
        <f>-SUM(B770:F770)</f>
        <v>0</v>
      </c>
      <c r="S763" s="1297">
        <f>SUM(B771:F771)+R763</f>
        <v>244883.95826519607</v>
      </c>
    </row>
    <row r="764" spans="1:19">
      <c r="A764" s="251" t="s">
        <v>398</v>
      </c>
      <c r="B764" s="2089">
        <f>'Part VI-Pro Forma'!B26</f>
        <v>-166665.04175999996</v>
      </c>
      <c r="C764" s="2089">
        <f>'Part VI-Pro Forma'!C26</f>
        <v>-167157.84059519996</v>
      </c>
      <c r="D764" s="2089">
        <f>'Part VI-Pro Forma'!D26</f>
        <v>-167575.47630710402</v>
      </c>
      <c r="E764" s="2089">
        <f>'Part VI-Pro Forma'!E26</f>
        <v>-167914.06930024602</v>
      </c>
      <c r="F764" s="2089">
        <f>'Part VI-Pro Forma'!F26</f>
        <v>-168168.38569726105</v>
      </c>
      <c r="G764" s="2089">
        <f>'Part VI-Pro Forma'!G26</f>
        <v>-168334.83195254664</v>
      </c>
      <c r="H764" s="2089">
        <f>'Part VI-Pro Forma'!H26</f>
        <v>-168409.04928917802</v>
      </c>
      <c r="I764" s="2089">
        <f>'Part VI-Pro Forma'!I26</f>
        <v>-168385.30795346937</v>
      </c>
      <c r="J764" s="2089">
        <f>'Part VI-Pro Forma'!J26</f>
        <v>-168260.10128140196</v>
      </c>
      <c r="K764" s="2089">
        <f>'Part VI-Pro Forma'!K26</f>
        <v>-168026.73957095915</v>
      </c>
      <c r="N764" s="1920"/>
      <c r="O764" s="1920"/>
      <c r="Q764" s="1185">
        <v>6</v>
      </c>
      <c r="R764" s="1297">
        <f>-SUM(B770:G770)</f>
        <v>0</v>
      </c>
      <c r="S764" s="1297">
        <f>SUM(B771:G771)+R764</f>
        <v>294419.86273195822</v>
      </c>
    </row>
    <row r="765" spans="1:19">
      <c r="A765" s="251" t="s">
        <v>400</v>
      </c>
      <c r="B765" s="2089">
        <f>'Part VI-Pro Forma'!B27</f>
        <v>-55187.316834935598</v>
      </c>
      <c r="C765" s="2089">
        <f>'Part VI-Pro Forma'!C27</f>
        <v>-55187.316834935598</v>
      </c>
      <c r="D765" s="2089">
        <f>'Part VI-Pro Forma'!D27</f>
        <v>-55187.316834935598</v>
      </c>
      <c r="E765" s="2089">
        <f>'Part VI-Pro Forma'!E27</f>
        <v>-55187.316834935598</v>
      </c>
      <c r="F765" s="2089">
        <f>'Part VI-Pro Forma'!F27</f>
        <v>-55187.316834935598</v>
      </c>
      <c r="G765" s="2089">
        <f>'Part VI-Pro Forma'!G27</f>
        <v>-55187.316834935598</v>
      </c>
      <c r="H765" s="2089">
        <f>'Part VI-Pro Forma'!H27</f>
        <v>-55187.316834935598</v>
      </c>
      <c r="I765" s="2089">
        <f>'Part VI-Pro Forma'!I27</f>
        <v>-55187.316834935598</v>
      </c>
      <c r="J765" s="2089">
        <f>'Part VI-Pro Forma'!J27</f>
        <v>-55187.316834935598</v>
      </c>
      <c r="K765" s="2089">
        <f>'Part VI-Pro Forma'!K27</f>
        <v>-55187.316834935598</v>
      </c>
      <c r="N765" s="1920"/>
      <c r="O765" s="1920"/>
      <c r="Q765" s="1185">
        <v>7</v>
      </c>
      <c r="R765" s="1297">
        <f>-SUM(B770:H770)</f>
        <v>0</v>
      </c>
      <c r="S765" s="1297">
        <f>SUM(B771:H771)+R765</f>
        <v>344005.24542314128</v>
      </c>
    </row>
    <row r="766" spans="1:19">
      <c r="A766" s="251" t="s">
        <v>402</v>
      </c>
      <c r="B766" s="2089">
        <f>'Part VI-Pro Forma'!B28</f>
        <v>0</v>
      </c>
      <c r="C766" s="2089">
        <f>'Part VI-Pro Forma'!C28</f>
        <v>0</v>
      </c>
      <c r="D766" s="2089">
        <f>'Part VI-Pro Forma'!D28</f>
        <v>0</v>
      </c>
      <c r="E766" s="2089">
        <f>'Part VI-Pro Forma'!E28</f>
        <v>0</v>
      </c>
      <c r="F766" s="2089">
        <f>'Part VI-Pro Forma'!F28</f>
        <v>0</v>
      </c>
      <c r="G766" s="2089">
        <f>'Part VI-Pro Forma'!G28</f>
        <v>0</v>
      </c>
      <c r="H766" s="2089">
        <f>'Part VI-Pro Forma'!H28</f>
        <v>0</v>
      </c>
      <c r="I766" s="2089">
        <f>'Part VI-Pro Forma'!I28</f>
        <v>0</v>
      </c>
      <c r="J766" s="2089">
        <f>'Part VI-Pro Forma'!J28</f>
        <v>0</v>
      </c>
      <c r="K766" s="2089">
        <f>'Part VI-Pro Forma'!K28</f>
        <v>0</v>
      </c>
      <c r="N766" s="1920"/>
      <c r="O766" s="1920"/>
      <c r="Q766" s="1185">
        <v>8</v>
      </c>
      <c r="R766" s="1297">
        <f>-SUM(B770:I770)</f>
        <v>0</v>
      </c>
      <c r="S766" s="1297">
        <f>SUM(B771:I771)+R766</f>
        <v>393574.80055718526</v>
      </c>
    </row>
    <row r="767" spans="1:19">
      <c r="A767" s="251" t="s">
        <v>1410</v>
      </c>
      <c r="B767" s="2089">
        <f>'Part VI-Pro Forma'!B29</f>
        <v>0</v>
      </c>
      <c r="C767" s="2089">
        <f>'Part VI-Pro Forma'!C29</f>
        <v>0</v>
      </c>
      <c r="D767" s="2089">
        <f>'Part VI-Pro Forma'!D29</f>
        <v>0</v>
      </c>
      <c r="E767" s="2089">
        <f>'Part VI-Pro Forma'!E29</f>
        <v>0</v>
      </c>
      <c r="F767" s="2089">
        <f>'Part VI-Pro Forma'!F29</f>
        <v>0</v>
      </c>
      <c r="G767" s="2089">
        <f>'Part VI-Pro Forma'!G29</f>
        <v>0</v>
      </c>
      <c r="H767" s="2089">
        <f>'Part VI-Pro Forma'!H29</f>
        <v>0</v>
      </c>
      <c r="I767" s="2089">
        <f>'Part VI-Pro Forma'!I29</f>
        <v>0</v>
      </c>
      <c r="J767" s="2089">
        <f>'Part VI-Pro Forma'!J29</f>
        <v>0</v>
      </c>
      <c r="K767" s="2089">
        <f>'Part VI-Pro Forma'!K29</f>
        <v>0</v>
      </c>
      <c r="N767" s="1920"/>
      <c r="O767" s="1920"/>
      <c r="Q767" s="1185">
        <v>9</v>
      </c>
      <c r="R767" s="1297">
        <f>-SUM(B770:J770)</f>
        <v>0</v>
      </c>
      <c r="S767" s="1297">
        <f>SUM(B771:J771)+R767</f>
        <v>443060.88457651762</v>
      </c>
    </row>
    <row r="768" spans="1:19">
      <c r="A768" s="251" t="s">
        <v>1411</v>
      </c>
      <c r="B768" s="2089">
        <f>'Part VI-Pro Forma'!B30</f>
        <v>0</v>
      </c>
      <c r="C768" s="2089">
        <f>'Part VI-Pro Forma'!C30</f>
        <v>0</v>
      </c>
      <c r="D768" s="2089">
        <f>'Part VI-Pro Forma'!D30</f>
        <v>0</v>
      </c>
      <c r="E768" s="2089">
        <f>'Part VI-Pro Forma'!E30</f>
        <v>0</v>
      </c>
      <c r="F768" s="2089">
        <f>'Part VI-Pro Forma'!F30</f>
        <v>0</v>
      </c>
      <c r="G768" s="2089">
        <f>'Part VI-Pro Forma'!G30</f>
        <v>0</v>
      </c>
      <c r="H768" s="2089">
        <f>'Part VI-Pro Forma'!H30</f>
        <v>0</v>
      </c>
      <c r="I768" s="2089">
        <f>'Part VI-Pro Forma'!I30</f>
        <v>0</v>
      </c>
      <c r="J768" s="2089">
        <f>'Part VI-Pro Forma'!J30</f>
        <v>0</v>
      </c>
      <c r="K768" s="2089">
        <f>'Part VI-Pro Forma'!K30</f>
        <v>0</v>
      </c>
      <c r="N768" s="1920"/>
      <c r="O768" s="1920"/>
      <c r="Q768" s="1185">
        <v>10</v>
      </c>
      <c r="R768" s="1297">
        <f>-SUM(B770:K770)</f>
        <v>0</v>
      </c>
      <c r="S768" s="1297">
        <f>SUM(B771:K771)+R768</f>
        <v>492391.39412222145</v>
      </c>
    </row>
    <row r="769" spans="1:19">
      <c r="A769" s="251" t="s">
        <v>1412</v>
      </c>
      <c r="B769" s="2089">
        <f>'Part VI-Pro Forma'!B31</f>
        <v>-7500</v>
      </c>
      <c r="C769" s="2089">
        <f>'Part VI-Pro Forma'!C31</f>
        <v>-7500</v>
      </c>
      <c r="D769" s="2089">
        <f>'Part VI-Pro Forma'!D31</f>
        <v>-7500</v>
      </c>
      <c r="E769" s="2089">
        <f>'Part VI-Pro Forma'!E31</f>
        <v>-7500</v>
      </c>
      <c r="F769" s="2089">
        <f>'Part VI-Pro Forma'!F31</f>
        <v>-7500</v>
      </c>
      <c r="G769" s="2089">
        <f>'Part VI-Pro Forma'!G31</f>
        <v>-7500</v>
      </c>
      <c r="H769" s="2089">
        <f>'Part VI-Pro Forma'!H31</f>
        <v>-7500</v>
      </c>
      <c r="I769" s="2089">
        <f>'Part VI-Pro Forma'!I31</f>
        <v>-7500</v>
      </c>
      <c r="J769" s="2089">
        <f>'Part VI-Pro Forma'!J31</f>
        <v>-7500</v>
      </c>
      <c r="K769" s="2089">
        <f>'Part VI-Pro Forma'!K31</f>
        <v>-7500</v>
      </c>
      <c r="N769" s="1920"/>
      <c r="O769" s="1920"/>
      <c r="Q769" s="1185">
        <v>11</v>
      </c>
      <c r="R769" s="1297">
        <f>-SUM(B770:K770)-B802</f>
        <v>0</v>
      </c>
      <c r="S769" s="1297">
        <f>SUM(B771:K771)+B803+R769</f>
        <v>541491.63979010272</v>
      </c>
    </row>
    <row r="770" spans="1:19">
      <c r="A770" s="251" t="s">
        <v>1413</v>
      </c>
      <c r="B770" s="2089">
        <f>'Part VI-Pro Forma'!B32</f>
        <v>0</v>
      </c>
      <c r="C770" s="2089">
        <f>'Part VI-Pro Forma'!C32</f>
        <v>0</v>
      </c>
      <c r="D770" s="2089">
        <f>'Part VI-Pro Forma'!D32</f>
        <v>0</v>
      </c>
      <c r="E770" s="2089">
        <f>'Part VI-Pro Forma'!E32</f>
        <v>0</v>
      </c>
      <c r="F770" s="2089">
        <f>'Part VI-Pro Forma'!F32</f>
        <v>0</v>
      </c>
      <c r="G770" s="2089">
        <f>'Part VI-Pro Forma'!G32</f>
        <v>0</v>
      </c>
      <c r="H770" s="2089">
        <f>'Part VI-Pro Forma'!H32</f>
        <v>0</v>
      </c>
      <c r="I770" s="2089">
        <f>'Part VI-Pro Forma'!I32</f>
        <v>0</v>
      </c>
      <c r="J770" s="2089">
        <f>'Part VI-Pro Forma'!J32</f>
        <v>0</v>
      </c>
      <c r="K770" s="2089">
        <f>'Part VI-Pro Forma'!K32</f>
        <v>0</v>
      </c>
      <c r="N770" s="1920"/>
      <c r="O770" s="1920"/>
      <c r="Q770" s="1185">
        <v>12</v>
      </c>
      <c r="R770" s="1297">
        <f>-SUM(B770:K770) - SUM(B802:C802)</f>
        <v>0</v>
      </c>
      <c r="S770" s="1297">
        <f>SUM(B771:K771) + SUM(B803:C803)+R770</f>
        <v>590283.01553044165</v>
      </c>
    </row>
    <row r="771" spans="1:19">
      <c r="A771" s="251" t="s">
        <v>1414</v>
      </c>
      <c r="B771" s="2089">
        <f t="shared" ref="B771:K771" si="421">SUM(B763:B770)</f>
        <v>48422.711005064368</v>
      </c>
      <c r="C771" s="2089">
        <f t="shared" si="421"/>
        <v>48751.243561864394</v>
      </c>
      <c r="D771" s="2089">
        <f t="shared" si="421"/>
        <v>49029.667369800445</v>
      </c>
      <c r="E771" s="2089">
        <f t="shared" si="421"/>
        <v>49255.396031895099</v>
      </c>
      <c r="F771" s="2089">
        <f t="shared" si="421"/>
        <v>49424.94029657176</v>
      </c>
      <c r="G771" s="2089">
        <f t="shared" si="421"/>
        <v>49535.904466762149</v>
      </c>
      <c r="H771" s="2089">
        <f t="shared" si="421"/>
        <v>49585.382691183069</v>
      </c>
      <c r="I771" s="2089">
        <f t="shared" si="421"/>
        <v>49569.555134043971</v>
      </c>
      <c r="J771" s="2089">
        <f t="shared" si="421"/>
        <v>49486.084019332367</v>
      </c>
      <c r="K771" s="2089">
        <f t="shared" si="421"/>
        <v>49330.509545703826</v>
      </c>
      <c r="N771" s="1920"/>
      <c r="O771" s="1920"/>
      <c r="Q771" s="1185">
        <v>13</v>
      </c>
      <c r="R771" s="1297">
        <f>-SUM(B770:K770) - SUM(B802:D802)</f>
        <v>0</v>
      </c>
      <c r="S771" s="1297">
        <f>SUM(B771:K771) + SUM(B803:D803)+R771</f>
        <v>638682.86354935996</v>
      </c>
    </row>
    <row r="772" spans="1:19">
      <c r="A772" s="251" t="str">
        <f>IF('Part II-Sources of Funds'!$E$42 = "Neither", "", "DCR Mortgage A")</f>
        <v>DCR Mortgage A</v>
      </c>
      <c r="B772" s="2090">
        <f t="shared" ref="B772:K772" si="422">IF(B764=0,"",-B763/B764)</f>
        <v>1.6666666666666665</v>
      </c>
      <c r="C772" s="2090">
        <f t="shared" si="422"/>
        <v>1.6666666666666667</v>
      </c>
      <c r="D772" s="2090">
        <f t="shared" si="422"/>
        <v>1.6666666666666667</v>
      </c>
      <c r="E772" s="2090">
        <f t="shared" si="422"/>
        <v>1.6666666666666667</v>
      </c>
      <c r="F772" s="2090">
        <f t="shared" si="422"/>
        <v>1.6666666666666665</v>
      </c>
      <c r="G772" s="2090">
        <f t="shared" si="422"/>
        <v>1.6666666666666665</v>
      </c>
      <c r="H772" s="2090">
        <f t="shared" si="422"/>
        <v>1.6666666666666665</v>
      </c>
      <c r="I772" s="2090">
        <f t="shared" si="422"/>
        <v>1.6666666666666665</v>
      </c>
      <c r="J772" s="2090">
        <f t="shared" si="422"/>
        <v>1.6666666666666665</v>
      </c>
      <c r="K772" s="2090">
        <f t="shared" si="422"/>
        <v>1.6666666666666665</v>
      </c>
      <c r="N772" s="1920"/>
      <c r="O772" s="1920"/>
      <c r="Q772" s="1185">
        <v>14</v>
      </c>
      <c r="R772" s="1297">
        <f>-SUM(B770:K770) - SUM(B802:E802)</f>
        <v>0</v>
      </c>
      <c r="S772" s="1297">
        <f>SUM(B771:K771) + SUM(B803:E803)+R772</f>
        <v>686604.33456524112</v>
      </c>
    </row>
    <row r="773" spans="1:19">
      <c r="A773" s="251" t="str">
        <f>IF('Part II-Sources of Funds'!$E$42 = "Neither", "", "DCR Mortgage B")</f>
        <v>DCR Mortgage B</v>
      </c>
      <c r="B773" s="2090">
        <f t="shared" ref="B773:K773" si="423">IF(B765=0,"",-(B763+B764)/B765)</f>
        <v>2.0133254199026984</v>
      </c>
      <c r="C773" s="2090">
        <f t="shared" si="423"/>
        <v>2.0192784644723893</v>
      </c>
      <c r="D773" s="2090">
        <f t="shared" si="423"/>
        <v>2.0243235332291984</v>
      </c>
      <c r="E773" s="2090">
        <f t="shared" si="423"/>
        <v>2.0284137603871848</v>
      </c>
      <c r="F773" s="2090">
        <f t="shared" si="423"/>
        <v>2.0314859203398741</v>
      </c>
      <c r="G773" s="2090">
        <f t="shared" si="423"/>
        <v>2.0334966028037864</v>
      </c>
      <c r="H773" s="2090">
        <f t="shared" si="423"/>
        <v>2.0343931534472777</v>
      </c>
      <c r="I773" s="2090">
        <f t="shared" si="423"/>
        <v>2.0341063564430595</v>
      </c>
      <c r="J773" s="2090">
        <f t="shared" si="423"/>
        <v>2.0325938510432904</v>
      </c>
      <c r="K773" s="2090">
        <f t="shared" si="423"/>
        <v>2.029774825177368</v>
      </c>
      <c r="N773" s="1920"/>
      <c r="O773" s="1920"/>
      <c r="Q773" s="1185">
        <v>15</v>
      </c>
      <c r="R773" s="1297">
        <f>-SUM(B770:K770) - SUM(B802:F802)</f>
        <v>0</v>
      </c>
      <c r="S773" s="1297">
        <f>SUM(B771:K771) + SUM(B803:F803)+R773</f>
        <v>733957.44326902099</v>
      </c>
    </row>
    <row r="774" spans="1:19">
      <c r="A774" s="251" t="str">
        <f>IF('Part II-Sources of Funds'!$E$42 = "Neither", "DCR First Mortgage", "DCR Mortgage C")</f>
        <v>DCR Mortgage C</v>
      </c>
      <c r="B774" s="2090" t="str">
        <f t="shared" ref="B774:K774" si="424">IF(B766=0,"",-(B763+B764+B765)/B766)</f>
        <v/>
      </c>
      <c r="C774" s="2090" t="str">
        <f t="shared" si="424"/>
        <v/>
      </c>
      <c r="D774" s="2090" t="str">
        <f t="shared" si="424"/>
        <v/>
      </c>
      <c r="E774" s="2090" t="str">
        <f t="shared" si="424"/>
        <v/>
      </c>
      <c r="F774" s="2090" t="str">
        <f t="shared" si="424"/>
        <v/>
      </c>
      <c r="G774" s="2090" t="str">
        <f t="shared" si="424"/>
        <v/>
      </c>
      <c r="H774" s="2090" t="str">
        <f t="shared" si="424"/>
        <v/>
      </c>
      <c r="I774" s="2090" t="str">
        <f t="shared" si="424"/>
        <v/>
      </c>
      <c r="J774" s="2090" t="str">
        <f t="shared" si="424"/>
        <v/>
      </c>
      <c r="K774" s="2090" t="str">
        <f t="shared" si="424"/>
        <v/>
      </c>
      <c r="N774" s="1920"/>
      <c r="O774" s="1920"/>
      <c r="Q774" s="1185">
        <v>16</v>
      </c>
      <c r="R774" s="1297">
        <f>-SUM(B770:K770) - SUM(B802:G802)</f>
        <v>0</v>
      </c>
      <c r="S774" s="1297">
        <f>SUM(B771:K771) + SUM(B803:G803)+R774</f>
        <v>780646.91883238382</v>
      </c>
    </row>
    <row r="775" spans="1:19">
      <c r="A775" s="251" t="s">
        <v>1415</v>
      </c>
      <c r="B775" s="2090" t="str">
        <f t="shared" ref="B775:K775" si="425">IF(B767=0,"",-(B763+B764+B765+B766)/B767)</f>
        <v/>
      </c>
      <c r="C775" s="2090" t="str">
        <f t="shared" si="425"/>
        <v/>
      </c>
      <c r="D775" s="2090" t="str">
        <f t="shared" si="425"/>
        <v/>
      </c>
      <c r="E775" s="2090" t="str">
        <f t="shared" si="425"/>
        <v/>
      </c>
      <c r="F775" s="2090" t="str">
        <f t="shared" si="425"/>
        <v/>
      </c>
      <c r="G775" s="2090" t="str">
        <f t="shared" si="425"/>
        <v/>
      </c>
      <c r="H775" s="2090" t="str">
        <f t="shared" si="425"/>
        <v/>
      </c>
      <c r="I775" s="2090" t="str">
        <f t="shared" si="425"/>
        <v/>
      </c>
      <c r="J775" s="2090" t="str">
        <f t="shared" si="425"/>
        <v/>
      </c>
      <c r="K775" s="2090" t="str">
        <f t="shared" si="425"/>
        <v/>
      </c>
      <c r="N775" s="1920"/>
      <c r="O775" s="1920"/>
      <c r="Q775" s="1185">
        <v>17</v>
      </c>
      <c r="R775" s="1297">
        <f>-SUM(B770:K770) - SUM(B802:H802)</f>
        <v>0</v>
      </c>
      <c r="S775" s="1297">
        <f>SUM(B771:K771) + SUM(B803:H803)+R775</f>
        <v>826574.05030298582</v>
      </c>
    </row>
    <row r="776" spans="1:19">
      <c r="A776" s="251" t="s">
        <v>1416</v>
      </c>
      <c r="B776" s="2090">
        <f t="shared" ref="B776:K776" si="426">IF(AND(B764=0,B765=0,B766=0,B767=0),"",-B763/(B764+B765+B766+B767))</f>
        <v>1.2520717442863416</v>
      </c>
      <c r="C776" s="2090">
        <f t="shared" si="426"/>
        <v>1.2529906394725032</v>
      </c>
      <c r="D776" s="2090">
        <f t="shared" si="426"/>
        <v>1.2537661993390232</v>
      </c>
      <c r="E776" s="2090">
        <f t="shared" si="426"/>
        <v>1.2543928436083578</v>
      </c>
      <c r="F776" s="2090">
        <f t="shared" si="426"/>
        <v>1.2548622652173658</v>
      </c>
      <c r="G776" s="2090">
        <f t="shared" si="426"/>
        <v>1.2551689162624777</v>
      </c>
      <c r="H776" s="2090">
        <f t="shared" si="426"/>
        <v>1.2553055028608837</v>
      </c>
      <c r="I776" s="2090">
        <f t="shared" si="426"/>
        <v>1.2552618201269323</v>
      </c>
      <c r="J776" s="2090">
        <f t="shared" si="426"/>
        <v>1.2550312932667795</v>
      </c>
      <c r="K776" s="2090">
        <f t="shared" si="426"/>
        <v>1.2546009443167085</v>
      </c>
      <c r="N776" s="1920"/>
      <c r="O776" s="1920"/>
      <c r="Q776" s="1185">
        <v>18</v>
      </c>
      <c r="R776" s="1297">
        <f>-SUM(B770:K770) - SUM(B802:I802)</f>
        <v>0</v>
      </c>
      <c r="S776" s="1297">
        <f>SUM(B771:K771) + SUM(B803:I803)+R776</f>
        <v>948591.92752356105</v>
      </c>
    </row>
    <row r="777" spans="1:19">
      <c r="A777" s="251" t="s">
        <v>1417</v>
      </c>
      <c r="B777" s="2091">
        <f t="shared" ref="B777:K777" si="427">IF(OR(B760="Choose mgt fee",B760="Choose One!"),"",(B753+B754+B755+B756+B757) / -(B759+B760+B761))</f>
        <v>1.5428644819849751</v>
      </c>
      <c r="C777" s="2091">
        <f t="shared" si="427"/>
        <v>1.5289953903931028</v>
      </c>
      <c r="D777" s="2091">
        <f t="shared" si="427"/>
        <v>1.5152419865817792</v>
      </c>
      <c r="E777" s="2091">
        <f t="shared" si="427"/>
        <v>1.5016042218826067</v>
      </c>
      <c r="F777" s="2091">
        <f t="shared" si="427"/>
        <v>1.4880767675900946</v>
      </c>
      <c r="G777" s="2091">
        <f t="shared" si="427"/>
        <v>1.4746624618461559</v>
      </c>
      <c r="H777" s="2091">
        <f t="shared" si="427"/>
        <v>1.4613612452600129</v>
      </c>
      <c r="I777" s="2091">
        <f t="shared" si="427"/>
        <v>1.4481683394723599</v>
      </c>
      <c r="J777" s="2091">
        <f t="shared" si="427"/>
        <v>1.4350884754243469</v>
      </c>
      <c r="K777" s="2091">
        <f t="shared" si="427"/>
        <v>1.422114886177515</v>
      </c>
      <c r="N777" s="1920"/>
      <c r="O777" s="1920"/>
      <c r="Q777" s="1185">
        <v>19</v>
      </c>
      <c r="R777" s="1297">
        <f>-SUM(B770:K770) - SUM(B802:J802)</f>
        <v>0</v>
      </c>
      <c r="S777" s="1297">
        <f>SUM(B771:K771) + SUM(B803:J803)+R777</f>
        <v>1149982.8698194539</v>
      </c>
    </row>
    <row r="778" spans="1:19">
      <c r="A778" s="251" t="s">
        <v>1418</v>
      </c>
      <c r="B778" s="2089">
        <f>'Part VI-Pro Forma'!B40</f>
        <v>1750451.3961115417</v>
      </c>
      <c r="C778" s="2089">
        <f>'Part VI-Pro Forma'!C40</f>
        <v>1686583.2439337496</v>
      </c>
      <c r="D778" s="2089">
        <f>'Part VI-Pro Forma'!D40</f>
        <v>1618346.5296006904</v>
      </c>
      <c r="E778" s="2089">
        <f>'Part VI-Pro Forma'!E40</f>
        <v>1545553.0627899177</v>
      </c>
      <c r="F778" s="2089">
        <f>'Part VI-Pro Forma'!F40</f>
        <v>1468008.4262467399</v>
      </c>
      <c r="G778" s="2089">
        <f>'Part VI-Pro Forma'!G40</f>
        <v>1385509.9055194338</v>
      </c>
      <c r="H778" s="2089">
        <f>'Part VI-Pro Forma'!H40</f>
        <v>1297846.7638361789</v>
      </c>
      <c r="I778" s="2089">
        <f>'Part VI-Pro Forma'!I40</f>
        <v>1204801.156620021</v>
      </c>
      <c r="J778" s="2089">
        <f>'Part VI-Pro Forma'!J40</f>
        <v>1106145.4078398992</v>
      </c>
      <c r="K778" s="2089">
        <f>'Part VI-Pro Forma'!K40</f>
        <v>1001644.6756750506</v>
      </c>
      <c r="N778" s="1920"/>
      <c r="O778" s="1920"/>
      <c r="Q778" s="1185">
        <v>20</v>
      </c>
      <c r="R778" s="1297">
        <f>-SUM(B770:K770) - SUM(B802:K802)</f>
        <v>0</v>
      </c>
      <c r="S778" s="1297">
        <f>SUM(B771:K771) + SUM(B803:K803)+R778</f>
        <v>1351411.1139395244</v>
      </c>
    </row>
    <row r="779" spans="1:19">
      <c r="A779" s="251" t="s">
        <v>1419</v>
      </c>
      <c r="B779" s="2089">
        <f>'Part VI-Pro Forma'!B41</f>
        <v>954604.99824796</v>
      </c>
      <c r="C779" s="2089">
        <f>'Part VI-Pro Forma'!C41</f>
        <v>908753.96008384554</v>
      </c>
      <c r="D779" s="2089">
        <f>'Part VI-Pro Forma'!D41</f>
        <v>862442.30418369779</v>
      </c>
      <c r="E779" s="2089">
        <f>'Part VI-Pro Forma'!E41</f>
        <v>815665.40319975663</v>
      </c>
      <c r="F779" s="2089">
        <f>'Part VI-Pro Forma'!F41</f>
        <v>768418.58329810726</v>
      </c>
      <c r="G779" s="2089">
        <f>'Part VI-Pro Forma'!G41</f>
        <v>720697.12369168224</v>
      </c>
      <c r="H779" s="2089">
        <f>'Part VI-Pro Forma'!H41</f>
        <v>672496.25616857188</v>
      </c>
      <c r="I779" s="2089">
        <f>'Part VI-Pro Forma'!I41</f>
        <v>623811.16461559618</v>
      </c>
      <c r="J779" s="2089">
        <f>'Part VI-Pro Forma'!J41</f>
        <v>574636.98453709052</v>
      </c>
      <c r="K779" s="2089">
        <f>'Part VI-Pro Forma'!K41</f>
        <v>524968.80256885698</v>
      </c>
      <c r="N779" s="1920"/>
      <c r="O779" s="1920"/>
    </row>
    <row r="780" spans="1:19">
      <c r="A780" s="251" t="s">
        <v>1420</v>
      </c>
      <c r="B780" s="2089" t="str">
        <f>'Part VI-Pro Forma'!B42</f>
        <v/>
      </c>
      <c r="C780" s="2089" t="str">
        <f>'Part VI-Pro Forma'!C42</f>
        <v/>
      </c>
      <c r="D780" s="2089" t="str">
        <f>'Part VI-Pro Forma'!D42</f>
        <v/>
      </c>
      <c r="E780" s="2089" t="str">
        <f>'Part VI-Pro Forma'!E42</f>
        <v/>
      </c>
      <c r="F780" s="2089" t="str">
        <f>'Part VI-Pro Forma'!F42</f>
        <v/>
      </c>
      <c r="G780" s="2089" t="str">
        <f>'Part VI-Pro Forma'!G42</f>
        <v/>
      </c>
      <c r="H780" s="2089" t="str">
        <f>'Part VI-Pro Forma'!H42</f>
        <v/>
      </c>
      <c r="I780" s="2089" t="str">
        <f>'Part VI-Pro Forma'!I42</f>
        <v/>
      </c>
      <c r="J780" s="2089" t="str">
        <f>'Part VI-Pro Forma'!J42</f>
        <v/>
      </c>
      <c r="K780" s="2089" t="str">
        <f>'Part VI-Pro Forma'!K42</f>
        <v/>
      </c>
      <c r="N780" s="1920"/>
      <c r="O780" s="1920"/>
    </row>
    <row r="781" spans="1:19">
      <c r="A781" s="251" t="s">
        <v>1421</v>
      </c>
      <c r="B781" s="2089" t="str">
        <f>'Part VI-Pro Forma'!B43</f>
        <v/>
      </c>
      <c r="C781" s="2089" t="str">
        <f>'Part VI-Pro Forma'!C43</f>
        <v/>
      </c>
      <c r="D781" s="2089" t="str">
        <f>'Part VI-Pro Forma'!D43</f>
        <v/>
      </c>
      <c r="E781" s="2089" t="str">
        <f>'Part VI-Pro Forma'!E43</f>
        <v/>
      </c>
      <c r="F781" s="2089" t="str">
        <f>'Part VI-Pro Forma'!F43</f>
        <v/>
      </c>
      <c r="G781" s="2089" t="str">
        <f>'Part VI-Pro Forma'!G43</f>
        <v/>
      </c>
      <c r="H781" s="2089" t="str">
        <f>'Part VI-Pro Forma'!H43</f>
        <v/>
      </c>
      <c r="I781" s="2089" t="str">
        <f>'Part VI-Pro Forma'!I43</f>
        <v/>
      </c>
      <c r="J781" s="2089" t="str">
        <f>'Part VI-Pro Forma'!J43</f>
        <v/>
      </c>
      <c r="K781" s="2089" t="str">
        <f>'Part VI-Pro Forma'!K43</f>
        <v/>
      </c>
      <c r="N781" s="1920"/>
      <c r="O781" s="1920"/>
    </row>
    <row r="782" spans="1:19">
      <c r="A782" s="251" t="s">
        <v>1422</v>
      </c>
      <c r="B782" s="2089">
        <f>'Part VI-Pro Forma'!B44</f>
        <v>1</v>
      </c>
      <c r="C782" s="2089">
        <f>'Part VI-Pro Forma'!C44</f>
        <v>1</v>
      </c>
      <c r="D782" s="2089">
        <f>'Part VI-Pro Forma'!D44</f>
        <v>1</v>
      </c>
      <c r="E782" s="2089">
        <f>'Part VI-Pro Forma'!E44</f>
        <v>1</v>
      </c>
      <c r="F782" s="2089">
        <f>'Part VI-Pro Forma'!F44</f>
        <v>1</v>
      </c>
      <c r="G782" s="2089">
        <f>'Part VI-Pro Forma'!G44</f>
        <v>1</v>
      </c>
      <c r="H782" s="2089">
        <f>'Part VI-Pro Forma'!H44</f>
        <v>1</v>
      </c>
      <c r="I782" s="2089">
        <f>'Part VI-Pro Forma'!I44</f>
        <v>1</v>
      </c>
      <c r="J782" s="2089">
        <f>'Part VI-Pro Forma'!J44</f>
        <v>1</v>
      </c>
      <c r="K782" s="2089">
        <f>'Part VI-Pro Forma'!K44</f>
        <v>1</v>
      </c>
      <c r="N782" s="1920"/>
      <c r="O782" s="1920"/>
    </row>
    <row r="783" spans="1:19">
      <c r="B783" s="2089"/>
      <c r="C783" s="2089"/>
      <c r="D783" s="2089"/>
      <c r="E783" s="2089"/>
      <c r="F783" s="2089"/>
      <c r="G783" s="2089"/>
      <c r="H783" s="2089"/>
      <c r="I783" s="2089"/>
      <c r="J783" s="2089"/>
      <c r="K783" s="2089"/>
    </row>
    <row r="784" spans="1:19">
      <c r="A784" s="255" t="s">
        <v>480</v>
      </c>
      <c r="B784" s="2092">
        <f>K752+1</f>
        <v>11</v>
      </c>
      <c r="C784" s="2092">
        <f t="shared" ref="C784:K784" si="428">B784+1</f>
        <v>12</v>
      </c>
      <c r="D784" s="2092">
        <f t="shared" si="428"/>
        <v>13</v>
      </c>
      <c r="E784" s="2092">
        <f t="shared" si="428"/>
        <v>14</v>
      </c>
      <c r="F784" s="2092">
        <f t="shared" si="428"/>
        <v>15</v>
      </c>
      <c r="G784" s="2092">
        <f t="shared" si="428"/>
        <v>16</v>
      </c>
      <c r="H784" s="2092">
        <f t="shared" si="428"/>
        <v>17</v>
      </c>
      <c r="I784" s="2092">
        <f t="shared" si="428"/>
        <v>18</v>
      </c>
      <c r="J784" s="2092">
        <f t="shared" si="428"/>
        <v>19</v>
      </c>
      <c r="K784" s="2092">
        <f t="shared" si="428"/>
        <v>20</v>
      </c>
      <c r="N784" s="255" t="s">
        <v>1290</v>
      </c>
      <c r="O784" s="255"/>
    </row>
    <row r="785" spans="1:19">
      <c r="A785" s="251" t="s">
        <v>1396</v>
      </c>
      <c r="B785" s="2089">
        <f>'Part VI-Pro Forma'!B47</f>
        <v>1014491.0401187567</v>
      </c>
      <c r="C785" s="2089">
        <f>'Part VI-Pro Forma'!C47</f>
        <v>1034780.8609211316</v>
      </c>
      <c r="D785" s="2089">
        <f>'Part VI-Pro Forma'!D47</f>
        <v>1055476.4781395544</v>
      </c>
      <c r="E785" s="2089">
        <f>'Part VI-Pro Forma'!E47</f>
        <v>1076586.0077023455</v>
      </c>
      <c r="F785" s="2089">
        <f>'Part VI-Pro Forma'!F47</f>
        <v>1098117.7278563925</v>
      </c>
      <c r="G785" s="2089">
        <f>'Part VI-Pro Forma'!G47</f>
        <v>1120080.08241352</v>
      </c>
      <c r="H785" s="2089">
        <f>'Part VI-Pro Forma'!H47</f>
        <v>1142481.6840617906</v>
      </c>
      <c r="I785" s="2089">
        <f>'Part VI-Pro Forma'!I47</f>
        <v>1165331.3177430264</v>
      </c>
      <c r="J785" s="2089">
        <f>'Part VI-Pro Forma'!J47</f>
        <v>1188637.9440978868</v>
      </c>
      <c r="K785" s="2089">
        <f>'Part VI-Pro Forma'!K47</f>
        <v>1212410.7029798445</v>
      </c>
      <c r="N785" s="1920"/>
      <c r="O785" s="1920"/>
    </row>
    <row r="786" spans="1:19">
      <c r="A786" s="251" t="s">
        <v>1281</v>
      </c>
      <c r="B786" s="2089">
        <f>'Part VI-Pro Forma'!B48</f>
        <v>20289.820802375136</v>
      </c>
      <c r="C786" s="2089">
        <f>'Part VI-Pro Forma'!C48</f>
        <v>20695.617218422634</v>
      </c>
      <c r="D786" s="2089">
        <f>'Part VI-Pro Forma'!D48</f>
        <v>21109.529562791089</v>
      </c>
      <c r="E786" s="2089">
        <f>'Part VI-Pro Forma'!E48</f>
        <v>21531.72015404691</v>
      </c>
      <c r="F786" s="2089">
        <f>'Part VI-Pro Forma'!F48</f>
        <v>21962.354557127852</v>
      </c>
      <c r="G786" s="2089">
        <f>'Part VI-Pro Forma'!G48</f>
        <v>22401.6016482704</v>
      </c>
      <c r="H786" s="2089">
        <f>'Part VI-Pro Forma'!H48</f>
        <v>22849.633681235813</v>
      </c>
      <c r="I786" s="2089">
        <f>'Part VI-Pro Forma'!I48</f>
        <v>23306.626354860531</v>
      </c>
      <c r="J786" s="2089">
        <f>'Part VI-Pro Forma'!J48</f>
        <v>23772.75888195774</v>
      </c>
      <c r="K786" s="2089">
        <f>'Part VI-Pro Forma'!K48</f>
        <v>24248.214059596892</v>
      </c>
      <c r="N786" s="1920"/>
      <c r="O786" s="1920"/>
    </row>
    <row r="787" spans="1:19">
      <c r="A787" s="251" t="s">
        <v>1399</v>
      </c>
      <c r="B787" s="2089">
        <f>'Part VI-Pro Forma'!B49</f>
        <v>-72434.660264479229</v>
      </c>
      <c r="C787" s="2089">
        <f>'Part VI-Pro Forma'!C49</f>
        <v>-73883.353469768801</v>
      </c>
      <c r="D787" s="2089">
        <f>'Part VI-Pro Forma'!D49</f>
        <v>-75361.020539164194</v>
      </c>
      <c r="E787" s="2089">
        <f>'Part VI-Pro Forma'!E49</f>
        <v>-76868.240949947489</v>
      </c>
      <c r="F787" s="2089">
        <f>'Part VI-Pro Forma'!F49</f>
        <v>-78405.605768946436</v>
      </c>
      <c r="G787" s="2089">
        <f>'Part VI-Pro Forma'!G49</f>
        <v>-79973.717884325335</v>
      </c>
      <c r="H787" s="2089">
        <f>'Part VI-Pro Forma'!H49</f>
        <v>-81573.19224201185</v>
      </c>
      <c r="I787" s="2089">
        <f>'Part VI-Pro Forma'!I49</f>
        <v>-83204.656086852105</v>
      </c>
      <c r="J787" s="2089">
        <f>'Part VI-Pro Forma'!J49</f>
        <v>-84868.749208589128</v>
      </c>
      <c r="K787" s="2089">
        <f>'Part VI-Pro Forma'!K49</f>
        <v>-86566.124192760908</v>
      </c>
      <c r="N787" s="1920"/>
      <c r="O787" s="1920"/>
    </row>
    <row r="788" spans="1:19">
      <c r="A788" s="251" t="s">
        <v>1402</v>
      </c>
      <c r="B788" s="2089">
        <f>'Part VI-Pro Forma'!B50</f>
        <v>0</v>
      </c>
      <c r="C788" s="2089">
        <f>'Part VI-Pro Forma'!C50</f>
        <v>0</v>
      </c>
      <c r="D788" s="2089">
        <f>'Part VI-Pro Forma'!D50</f>
        <v>0</v>
      </c>
      <c r="E788" s="2089">
        <f>'Part VI-Pro Forma'!E50</f>
        <v>0</v>
      </c>
      <c r="F788" s="2089">
        <f>'Part VI-Pro Forma'!F50</f>
        <v>0</v>
      </c>
      <c r="G788" s="2089">
        <f>'Part VI-Pro Forma'!G50</f>
        <v>0</v>
      </c>
      <c r="H788" s="2089">
        <f>'Part VI-Pro Forma'!H50</f>
        <v>0</v>
      </c>
      <c r="I788" s="2089">
        <f>'Part VI-Pro Forma'!I50</f>
        <v>0</v>
      </c>
      <c r="J788" s="2089">
        <f>'Part VI-Pro Forma'!J50</f>
        <v>0</v>
      </c>
      <c r="K788" s="2089">
        <f>'Part VI-Pro Forma'!K50</f>
        <v>0</v>
      </c>
      <c r="N788" s="1920"/>
      <c r="O788" s="1920"/>
    </row>
    <row r="789" spans="1:19">
      <c r="A789" s="251" t="s">
        <v>1403</v>
      </c>
      <c r="B789" s="2089">
        <f>'Part VI-Pro Forma'!B51</f>
        <v>0</v>
      </c>
      <c r="C789" s="2089">
        <f>'Part VI-Pro Forma'!C51</f>
        <v>0</v>
      </c>
      <c r="D789" s="2089">
        <f>'Part VI-Pro Forma'!D51</f>
        <v>0</v>
      </c>
      <c r="E789" s="2089">
        <f>'Part VI-Pro Forma'!E51</f>
        <v>0</v>
      </c>
      <c r="F789" s="2089">
        <f>'Part VI-Pro Forma'!F51</f>
        <v>0</v>
      </c>
      <c r="G789" s="2089">
        <f>'Part VI-Pro Forma'!G51</f>
        <v>0</v>
      </c>
      <c r="H789" s="2089">
        <f>'Part VI-Pro Forma'!H51</f>
        <v>0</v>
      </c>
      <c r="I789" s="2089">
        <f>'Part VI-Pro Forma'!I51</f>
        <v>0</v>
      </c>
      <c r="J789" s="2089">
        <f>'Part VI-Pro Forma'!J51</f>
        <v>0</v>
      </c>
      <c r="K789" s="2089">
        <f>'Part VI-Pro Forma'!K51</f>
        <v>0</v>
      </c>
      <c r="N789" s="1920"/>
      <c r="O789" s="1920"/>
    </row>
    <row r="790" spans="1:19">
      <c r="A790" s="251" t="s">
        <v>1404</v>
      </c>
      <c r="B790" s="2089">
        <f>'Part VI-Pro Forma'!B52</f>
        <v>962346.20065665257</v>
      </c>
      <c r="C790" s="2089">
        <f>'Part VI-Pro Forma'!C52</f>
        <v>981593.12466978538</v>
      </c>
      <c r="D790" s="2089">
        <f>'Part VI-Pro Forma'!D52</f>
        <v>1001224.9871631813</v>
      </c>
      <c r="E790" s="2089">
        <f>'Part VI-Pro Forma'!E52</f>
        <v>1021249.486906445</v>
      </c>
      <c r="F790" s="2089">
        <f>'Part VI-Pro Forma'!F52</f>
        <v>1041674.476644574</v>
      </c>
      <c r="G790" s="2089">
        <f>'Part VI-Pro Forma'!G52</f>
        <v>1062507.9661774649</v>
      </c>
      <c r="H790" s="2089">
        <f>'Part VI-Pro Forma'!H52</f>
        <v>1083758.1255010145</v>
      </c>
      <c r="I790" s="2089">
        <f>'Part VI-Pro Forma'!I52</f>
        <v>1105433.288011035</v>
      </c>
      <c r="J790" s="2089">
        <f>'Part VI-Pro Forma'!J52</f>
        <v>1127541.9537712554</v>
      </c>
      <c r="K790" s="2089">
        <f>'Part VI-Pro Forma'!K52</f>
        <v>1150092.7928466806</v>
      </c>
      <c r="N790" s="1920"/>
      <c r="O790" s="1920"/>
    </row>
    <row r="791" spans="1:19">
      <c r="A791" s="251" t="s">
        <v>1405</v>
      </c>
      <c r="B791" s="2089">
        <f>'Part VI-Pro Forma'!B53</f>
        <v>-584596.90543279622</v>
      </c>
      <c r="C791" s="2089">
        <f>'Part VI-Pro Forma'!C53</f>
        <v>-602134.81259578012</v>
      </c>
      <c r="D791" s="2089">
        <f>'Part VI-Pro Forma'!D53</f>
        <v>-620198.85697365343</v>
      </c>
      <c r="E791" s="2089">
        <f>'Part VI-Pro Forma'!E53</f>
        <v>-638804.8226828631</v>
      </c>
      <c r="F791" s="2089">
        <f>'Part VI-Pro Forma'!F53</f>
        <v>-657968.96736334905</v>
      </c>
      <c r="G791" s="2089">
        <f>'Part VI-Pro Forma'!G53</f>
        <v>-677708.03638424957</v>
      </c>
      <c r="H791" s="2089">
        <f>'Part VI-Pro Forma'!H53</f>
        <v>-698039.27747577685</v>
      </c>
      <c r="I791" s="2089">
        <f>'Part VI-Pro Forma'!I53</f>
        <v>-718980.45580005017</v>
      </c>
      <c r="J791" s="2089">
        <f>'Part VI-Pro Forma'!J53</f>
        <v>-740549.86947405175</v>
      </c>
      <c r="K791" s="2089">
        <f>'Part VI-Pro Forma'!K53</f>
        <v>-762766.36555827328</v>
      </c>
      <c r="N791" s="1920"/>
      <c r="O791" s="1920"/>
    </row>
    <row r="792" spans="1:19">
      <c r="A792" s="251" t="s">
        <v>1406</v>
      </c>
      <c r="B792" s="2089">
        <f>'Part VI-Pro Forma'!B54</f>
        <v>-46674</v>
      </c>
      <c r="C792" s="2089">
        <f>'Part VI-Pro Forma'!C54</f>
        <v>-47607</v>
      </c>
      <c r="D792" s="2089">
        <f>'Part VI-Pro Forma'!D54</f>
        <v>-48559</v>
      </c>
      <c r="E792" s="2089">
        <f>'Part VI-Pro Forma'!E54</f>
        <v>-49531</v>
      </c>
      <c r="F792" s="2089">
        <f>'Part VI-Pro Forma'!F54</f>
        <v>-50521</v>
      </c>
      <c r="G792" s="2089">
        <f>'Part VI-Pro Forma'!G54</f>
        <v>-51532</v>
      </c>
      <c r="H792" s="2089">
        <f>'Part VI-Pro Forma'!H54</f>
        <v>-52562</v>
      </c>
      <c r="I792" s="2089">
        <f>'Part VI-Pro Forma'!I54</f>
        <v>-53614</v>
      </c>
      <c r="J792" s="2089">
        <f>'Part VI-Pro Forma'!J54</f>
        <v>-54686</v>
      </c>
      <c r="K792" s="2089">
        <f>'Part VI-Pro Forma'!K54</f>
        <v>-55780</v>
      </c>
      <c r="N792" s="1920"/>
      <c r="O792" s="1920"/>
    </row>
    <row r="793" spans="1:19">
      <c r="A793" s="251" t="s">
        <v>1407</v>
      </c>
      <c r="B793" s="2089">
        <f>'Part VI-Pro Forma'!B55</f>
        <v>-51606.388966814273</v>
      </c>
      <c r="C793" s="2089">
        <f>'Part VI-Pro Forma'!C55</f>
        <v>-53154.580635818704</v>
      </c>
      <c r="D793" s="2089">
        <f>'Part VI-Pro Forma'!D55</f>
        <v>-54749.218054893259</v>
      </c>
      <c r="E793" s="2089">
        <f>'Part VI-Pro Forma'!E55</f>
        <v>-56391.694596540052</v>
      </c>
      <c r="F793" s="2089">
        <f>'Part VI-Pro Forma'!F55</f>
        <v>-58083.44543443626</v>
      </c>
      <c r="G793" s="2089">
        <f>'Part VI-Pro Forma'!G55</f>
        <v>-59825.948797469355</v>
      </c>
      <c r="H793" s="2089">
        <f>'Part VI-Pro Forma'!H55</f>
        <v>-61620.727261393426</v>
      </c>
      <c r="I793" s="2089">
        <f>'Part VI-Pro Forma'!I55</f>
        <v>-63469.349079235224</v>
      </c>
      <c r="J793" s="2089">
        <f>'Part VI-Pro Forma'!J55</f>
        <v>-65373.429551612287</v>
      </c>
      <c r="K793" s="2089">
        <f>'Part VI-Pro Forma'!K55</f>
        <v>-67334.632438160654</v>
      </c>
      <c r="N793" s="1920"/>
      <c r="O793" s="1920"/>
      <c r="Q793" s="1185"/>
      <c r="R793" s="1297"/>
      <c r="S793" s="1297"/>
    </row>
    <row r="794" spans="1:19">
      <c r="A794" s="251" t="s">
        <v>1408</v>
      </c>
      <c r="B794" s="2089">
        <f>'Part VI-Pro Forma'!B56</f>
        <v>0</v>
      </c>
      <c r="C794" s="2089">
        <f>'Part VI-Pro Forma'!C56</f>
        <v>0</v>
      </c>
      <c r="D794" s="2089">
        <f>'Part VI-Pro Forma'!D56</f>
        <v>0</v>
      </c>
      <c r="E794" s="2089">
        <f>'Part VI-Pro Forma'!E56</f>
        <v>0</v>
      </c>
      <c r="F794" s="2089">
        <f>'Part VI-Pro Forma'!F56</f>
        <v>0</v>
      </c>
      <c r="G794" s="2089">
        <f>'Part VI-Pro Forma'!G56</f>
        <v>0</v>
      </c>
      <c r="H794" s="2089">
        <f>'Part VI-Pro Forma'!H56</f>
        <v>0</v>
      </c>
      <c r="I794" s="2089">
        <f>'Part VI-Pro Forma'!I56</f>
        <v>0</v>
      </c>
      <c r="J794" s="2089">
        <f>'Part VI-Pro Forma'!J56</f>
        <v>0</v>
      </c>
      <c r="K794" s="2089">
        <f>'Part VI-Pro Forma'!K56</f>
        <v>0</v>
      </c>
      <c r="N794" s="1920"/>
      <c r="O794" s="1920"/>
    </row>
    <row r="795" spans="1:19">
      <c r="A795" s="251" t="s">
        <v>1409</v>
      </c>
      <c r="B795" s="2089">
        <f>SUM(B790:B794)</f>
        <v>279468.90625704208</v>
      </c>
      <c r="C795" s="2089">
        <f t="shared" ref="C795:J795" si="429">SUM(C790:C794)</f>
        <v>278696.73143818654</v>
      </c>
      <c r="D795" s="2089">
        <f t="shared" si="429"/>
        <v>277717.91213463462</v>
      </c>
      <c r="E795" s="2089">
        <f t="shared" si="429"/>
        <v>276521.96962704184</v>
      </c>
      <c r="F795" s="2089">
        <f t="shared" si="429"/>
        <v>275101.06384678866</v>
      </c>
      <c r="G795" s="2089">
        <f t="shared" si="429"/>
        <v>273441.98099574598</v>
      </c>
      <c r="H795" s="2089">
        <f t="shared" si="429"/>
        <v>271536.12076384423</v>
      </c>
      <c r="I795" s="2089">
        <f t="shared" si="429"/>
        <v>269369.48313174956</v>
      </c>
      <c r="J795" s="2089">
        <f t="shared" si="429"/>
        <v>266932.6547455914</v>
      </c>
      <c r="K795" s="2089">
        <f>SUM(K790:K794)</f>
        <v>264211.79485024669</v>
      </c>
      <c r="N795" s="1920"/>
      <c r="O795" s="1920"/>
    </row>
    <row r="796" spans="1:19">
      <c r="A796" s="251" t="str">
        <f>$A764</f>
        <v>Mortgage A</v>
      </c>
      <c r="B796" s="2089">
        <f>'Part VI-Pro Forma'!B58</f>
        <v>-167681.34375422524</v>
      </c>
      <c r="C796" s="2089">
        <f>'Part VI-Pro Forma'!C58</f>
        <v>-167218.03886291193</v>
      </c>
      <c r="D796" s="2089">
        <f>'Part VI-Pro Forma'!D58</f>
        <v>-166630.74728078078</v>
      </c>
      <c r="E796" s="2089">
        <f>'Part VI-Pro Forma'!E58</f>
        <v>-165913.1817762251</v>
      </c>
      <c r="F796" s="2089">
        <f>'Part VI-Pro Forma'!F58</f>
        <v>-165060.63830807319</v>
      </c>
      <c r="G796" s="2089">
        <f>'Part VI-Pro Forma'!G58</f>
        <v>-164065.18859744759</v>
      </c>
      <c r="H796" s="2089">
        <f>'Part VI-Pro Forma'!H58</f>
        <v>-162921.67245830654</v>
      </c>
      <c r="I796" s="2089">
        <f>'Part VI-Pro Forma'!I58</f>
        <v>-84664.289076238871</v>
      </c>
      <c r="J796" s="2089">
        <f>'Part VI-Pro Forma'!J58</f>
        <v>-2854.3956147628924</v>
      </c>
      <c r="K796" s="2089">
        <f>'Part VI-Pro Forma'!K58</f>
        <v>-96.233895240540733</v>
      </c>
      <c r="N796" s="1920"/>
      <c r="O796" s="1920"/>
    </row>
    <row r="797" spans="1:19">
      <c r="A797" s="251" t="str">
        <f>$A765</f>
        <v>Mortgage B</v>
      </c>
      <c r="B797" s="2089">
        <f>'Part VI-Pro Forma'!B59</f>
        <v>-55187.316834935598</v>
      </c>
      <c r="C797" s="2089">
        <f>'Part VI-Pro Forma'!C59</f>
        <v>-55187.316834935598</v>
      </c>
      <c r="D797" s="2089">
        <f>'Part VI-Pro Forma'!D59</f>
        <v>-55187.316834935598</v>
      </c>
      <c r="E797" s="2089">
        <f>'Part VI-Pro Forma'!E59</f>
        <v>-55187.316834935598</v>
      </c>
      <c r="F797" s="2089">
        <f>'Part VI-Pro Forma'!F59</f>
        <v>-55187.316834935598</v>
      </c>
      <c r="G797" s="2089">
        <f>'Part VI-Pro Forma'!G59</f>
        <v>-55187.316834935598</v>
      </c>
      <c r="H797" s="2089">
        <f>'Part VI-Pro Forma'!H59</f>
        <v>-55187.316834935598</v>
      </c>
      <c r="I797" s="2089">
        <f>'Part VI-Pro Forma'!I59</f>
        <v>-55187.316834935598</v>
      </c>
      <c r="J797" s="2089">
        <f>'Part VI-Pro Forma'!J59</f>
        <v>-55187.316834935598</v>
      </c>
      <c r="K797" s="2089">
        <f>'Part VI-Pro Forma'!K59</f>
        <v>-55187.316834935598</v>
      </c>
      <c r="N797" s="1920"/>
      <c r="O797" s="1920"/>
    </row>
    <row r="798" spans="1:19">
      <c r="A798" s="251" t="str">
        <f>$A766</f>
        <v>Mortgage C</v>
      </c>
      <c r="B798" s="2089">
        <f>'Part VI-Pro Forma'!B60</f>
        <v>0</v>
      </c>
      <c r="C798" s="2089">
        <f>'Part VI-Pro Forma'!C60</f>
        <v>0</v>
      </c>
      <c r="D798" s="2089">
        <f>'Part VI-Pro Forma'!D60</f>
        <v>0</v>
      </c>
      <c r="E798" s="2089">
        <f>'Part VI-Pro Forma'!E60</f>
        <v>0</v>
      </c>
      <c r="F798" s="2089">
        <f>'Part VI-Pro Forma'!F60</f>
        <v>0</v>
      </c>
      <c r="G798" s="2089">
        <f>'Part VI-Pro Forma'!G60</f>
        <v>0</v>
      </c>
      <c r="H798" s="2089">
        <f>'Part VI-Pro Forma'!H60</f>
        <v>0</v>
      </c>
      <c r="I798" s="2089">
        <f>'Part VI-Pro Forma'!I60</f>
        <v>0</v>
      </c>
      <c r="J798" s="2089">
        <f>'Part VI-Pro Forma'!J60</f>
        <v>0</v>
      </c>
      <c r="K798" s="2089">
        <f>'Part VI-Pro Forma'!K60</f>
        <v>0</v>
      </c>
      <c r="N798" s="1920"/>
      <c r="O798" s="1920"/>
    </row>
    <row r="799" spans="1:19">
      <c r="A799" s="251" t="str">
        <f>$A767</f>
        <v>D/S Other Source,not DDF</v>
      </c>
      <c r="B799" s="2089">
        <f>'Part VI-Pro Forma'!B61</f>
        <v>0</v>
      </c>
      <c r="C799" s="2089">
        <f>'Part VI-Pro Forma'!C61</f>
        <v>0</v>
      </c>
      <c r="D799" s="2089">
        <f>'Part VI-Pro Forma'!D61</f>
        <v>0</v>
      </c>
      <c r="E799" s="2089">
        <f>'Part VI-Pro Forma'!E61</f>
        <v>0</v>
      </c>
      <c r="F799" s="2089">
        <f>'Part VI-Pro Forma'!F61</f>
        <v>0</v>
      </c>
      <c r="G799" s="2089">
        <f>'Part VI-Pro Forma'!G61</f>
        <v>0</v>
      </c>
      <c r="H799" s="2089">
        <f>'Part VI-Pro Forma'!H61</f>
        <v>0</v>
      </c>
      <c r="I799" s="2089">
        <f>'Part VI-Pro Forma'!I61</f>
        <v>0</v>
      </c>
      <c r="J799" s="2089">
        <f>'Part VI-Pro Forma'!J61</f>
        <v>0</v>
      </c>
      <c r="K799" s="2089">
        <f>'Part VI-Pro Forma'!K61</f>
        <v>0</v>
      </c>
      <c r="N799" s="1920"/>
      <c r="O799" s="1920"/>
    </row>
    <row r="800" spans="1:19">
      <c r="A800" s="251" t="s">
        <v>1411</v>
      </c>
      <c r="B800" s="2089">
        <f>'Part VI-Pro Forma'!B62</f>
        <v>0</v>
      </c>
      <c r="C800" s="2089">
        <f>'Part VI-Pro Forma'!C62</f>
        <v>0</v>
      </c>
      <c r="D800" s="2089">
        <f>'Part VI-Pro Forma'!D62</f>
        <v>0</v>
      </c>
      <c r="E800" s="2089">
        <f>'Part VI-Pro Forma'!E62</f>
        <v>0</v>
      </c>
      <c r="F800" s="2089">
        <f>'Part VI-Pro Forma'!F62</f>
        <v>0</v>
      </c>
      <c r="G800" s="2089">
        <f>'Part VI-Pro Forma'!G62</f>
        <v>0</v>
      </c>
      <c r="H800" s="2089">
        <f>'Part VI-Pro Forma'!H62</f>
        <v>0</v>
      </c>
      <c r="I800" s="2089">
        <f>'Part VI-Pro Forma'!I62</f>
        <v>0</v>
      </c>
      <c r="J800" s="2089">
        <f>'Part VI-Pro Forma'!J62</f>
        <v>0</v>
      </c>
      <c r="K800" s="2089">
        <f>'Part VI-Pro Forma'!K62</f>
        <v>0</v>
      </c>
      <c r="N800" s="1920"/>
      <c r="O800" s="1920"/>
      <c r="Q800" s="1185"/>
      <c r="R800" s="1297"/>
    </row>
    <row r="801" spans="1:15">
      <c r="A801" s="251" t="s">
        <v>1412</v>
      </c>
      <c r="B801" s="2089">
        <f>'Part VI-Pro Forma'!B63</f>
        <v>-7500</v>
      </c>
      <c r="C801" s="2089">
        <f>'Part VI-Pro Forma'!C63</f>
        <v>-7500</v>
      </c>
      <c r="D801" s="2089">
        <f>'Part VI-Pro Forma'!D63</f>
        <v>-7500</v>
      </c>
      <c r="E801" s="2089">
        <f>'Part VI-Pro Forma'!E63</f>
        <v>-7500</v>
      </c>
      <c r="F801" s="2089">
        <f>'Part VI-Pro Forma'!F63</f>
        <v>-7500</v>
      </c>
      <c r="G801" s="2089">
        <f>'Part VI-Pro Forma'!G63</f>
        <v>-7500</v>
      </c>
      <c r="H801" s="2089">
        <f>'Part VI-Pro Forma'!H63</f>
        <v>-7500</v>
      </c>
      <c r="I801" s="2089">
        <f>'Part VI-Pro Forma'!I63</f>
        <v>-7500</v>
      </c>
      <c r="J801" s="2089">
        <f>'Part VI-Pro Forma'!J63</f>
        <v>-7500</v>
      </c>
      <c r="K801" s="2089">
        <f>'Part VI-Pro Forma'!K63</f>
        <v>-7500</v>
      </c>
      <c r="N801" s="1920"/>
      <c r="O801" s="1920"/>
    </row>
    <row r="802" spans="1:15">
      <c r="A802" s="251" t="s">
        <v>1413</v>
      </c>
      <c r="B802" s="2089">
        <f>'Part VI-Pro Forma'!B64</f>
        <v>0</v>
      </c>
      <c r="C802" s="2089">
        <f>'Part VI-Pro Forma'!C64</f>
        <v>0</v>
      </c>
      <c r="D802" s="2089">
        <f>'Part VI-Pro Forma'!D64</f>
        <v>0</v>
      </c>
      <c r="E802" s="2089">
        <f>'Part VI-Pro Forma'!E64</f>
        <v>0</v>
      </c>
      <c r="F802" s="2089">
        <f>'Part VI-Pro Forma'!F64</f>
        <v>0</v>
      </c>
      <c r="G802" s="2089">
        <f>'Part VI-Pro Forma'!G64</f>
        <v>0</v>
      </c>
      <c r="H802" s="2089">
        <f>'Part VI-Pro Forma'!H64</f>
        <v>0</v>
      </c>
      <c r="I802" s="2089">
        <f>'Part VI-Pro Forma'!I64</f>
        <v>0</v>
      </c>
      <c r="J802" s="2089">
        <f>'Part VI-Pro Forma'!J64</f>
        <v>0</v>
      </c>
      <c r="K802" s="2089">
        <f>'Part VI-Pro Forma'!K64</f>
        <v>0</v>
      </c>
      <c r="N802" s="1920"/>
      <c r="O802" s="1920"/>
    </row>
    <row r="803" spans="1:15">
      <c r="A803" s="251" t="s">
        <v>1414</v>
      </c>
      <c r="B803" s="2089">
        <f t="shared" ref="B803:K803" si="430">SUM(B795:B802)</f>
        <v>49100.245667881245</v>
      </c>
      <c r="C803" s="2089">
        <f t="shared" si="430"/>
        <v>48791.375740339019</v>
      </c>
      <c r="D803" s="2089">
        <f t="shared" si="430"/>
        <v>48399.848018918245</v>
      </c>
      <c r="E803" s="2089">
        <f t="shared" si="430"/>
        <v>47921.471015881136</v>
      </c>
      <c r="F803" s="2089">
        <f t="shared" si="430"/>
        <v>47353.108703779872</v>
      </c>
      <c r="G803" s="2089">
        <f t="shared" si="430"/>
        <v>46689.475563362794</v>
      </c>
      <c r="H803" s="2089">
        <f t="shared" si="430"/>
        <v>45927.131470602093</v>
      </c>
      <c r="I803" s="2089">
        <f t="shared" si="430"/>
        <v>122017.87722057509</v>
      </c>
      <c r="J803" s="2089">
        <f t="shared" si="430"/>
        <v>201390.94229589289</v>
      </c>
      <c r="K803" s="2089">
        <f t="shared" si="430"/>
        <v>201428.24412007057</v>
      </c>
      <c r="N803" s="1920"/>
      <c r="O803" s="1920"/>
    </row>
    <row r="804" spans="1:15">
      <c r="A804" s="251" t="str">
        <f>$A772</f>
        <v>DCR Mortgage A</v>
      </c>
      <c r="B804" s="2090">
        <f t="shared" ref="B804:K804" si="431">IF(B796=0,"",-B795/B796)</f>
        <v>1.6666666666666667</v>
      </c>
      <c r="C804" s="2090">
        <f t="shared" si="431"/>
        <v>1.6666666666666667</v>
      </c>
      <c r="D804" s="2090">
        <f t="shared" si="431"/>
        <v>1.6666666666666665</v>
      </c>
      <c r="E804" s="2090">
        <f t="shared" si="431"/>
        <v>1.6666666666666667</v>
      </c>
      <c r="F804" s="2090">
        <f t="shared" si="431"/>
        <v>1.6666666666666667</v>
      </c>
      <c r="G804" s="2090">
        <f t="shared" si="431"/>
        <v>1.6666666666666667</v>
      </c>
      <c r="H804" s="2090">
        <f t="shared" si="431"/>
        <v>1.6666666666666667</v>
      </c>
      <c r="I804" s="2090">
        <f t="shared" si="431"/>
        <v>3.1816186738329137</v>
      </c>
      <c r="J804" s="2090">
        <f t="shared" si="431"/>
        <v>93.516348387385264</v>
      </c>
      <c r="K804" s="2090">
        <f t="shared" si="431"/>
        <v>2745.5169947120817</v>
      </c>
      <c r="N804" s="1920"/>
      <c r="O804" s="1920"/>
    </row>
    <row r="805" spans="1:15">
      <c r="A805" s="251" t="str">
        <f>$A773</f>
        <v>DCR Mortgage B</v>
      </c>
      <c r="B805" s="2090">
        <f t="shared" ref="B805:K805" si="432">IF(B797=0,"",-(B795+B796)/B797)</f>
        <v>2.0256024194321984</v>
      </c>
      <c r="C805" s="2090">
        <f t="shared" si="432"/>
        <v>2.0200056637778867</v>
      </c>
      <c r="D805" s="2090">
        <f t="shared" si="432"/>
        <v>2.0129111401830571</v>
      </c>
      <c r="E805" s="2090">
        <f t="shared" si="432"/>
        <v>2.0042428984479512</v>
      </c>
      <c r="F805" s="2090">
        <f t="shared" si="432"/>
        <v>1.9939441134245512</v>
      </c>
      <c r="G805" s="2090">
        <f t="shared" si="432"/>
        <v>1.981919010946712</v>
      </c>
      <c r="H805" s="2090">
        <f t="shared" si="432"/>
        <v>1.968105255604323</v>
      </c>
      <c r="I805" s="2090">
        <f t="shared" si="432"/>
        <v>3.3468775916024516</v>
      </c>
      <c r="J805" s="2090">
        <f t="shared" si="432"/>
        <v>4.7851258998635942</v>
      </c>
      <c r="K805" s="2090">
        <f t="shared" si="432"/>
        <v>4.7858018128507984</v>
      </c>
      <c r="N805" s="1920"/>
      <c r="O805" s="1920"/>
    </row>
    <row r="806" spans="1:15">
      <c r="A806" s="251" t="str">
        <f>$A774</f>
        <v>DCR Mortgage C</v>
      </c>
      <c r="B806" s="2090" t="str">
        <f t="shared" ref="B806:K806" si="433">IF(B798=0,"",-(B795+B796+B797)/B798)</f>
        <v/>
      </c>
      <c r="C806" s="2090" t="str">
        <f t="shared" si="433"/>
        <v/>
      </c>
      <c r="D806" s="2090" t="str">
        <f t="shared" si="433"/>
        <v/>
      </c>
      <c r="E806" s="2090" t="str">
        <f t="shared" si="433"/>
        <v/>
      </c>
      <c r="F806" s="2090" t="str">
        <f t="shared" si="433"/>
        <v/>
      </c>
      <c r="G806" s="2090" t="str">
        <f t="shared" si="433"/>
        <v/>
      </c>
      <c r="H806" s="2090" t="str">
        <f t="shared" si="433"/>
        <v/>
      </c>
      <c r="I806" s="2090" t="str">
        <f t="shared" si="433"/>
        <v/>
      </c>
      <c r="J806" s="2090" t="str">
        <f t="shared" si="433"/>
        <v/>
      </c>
      <c r="K806" s="2090" t="str">
        <f t="shared" si="433"/>
        <v/>
      </c>
      <c r="N806" s="1920"/>
      <c r="O806" s="1920"/>
    </row>
    <row r="807" spans="1:15">
      <c r="A807" s="251" t="str">
        <f>$A775</f>
        <v>DCR Other Source</v>
      </c>
      <c r="B807" s="2090" t="str">
        <f t="shared" ref="B807:K807" si="434">IF(B799=0,"",-(B795+B796+B797+B798)/B799)</f>
        <v/>
      </c>
      <c r="C807" s="2090" t="str">
        <f t="shared" si="434"/>
        <v/>
      </c>
      <c r="D807" s="2090" t="str">
        <f t="shared" si="434"/>
        <v/>
      </c>
      <c r="E807" s="2090" t="str">
        <f t="shared" si="434"/>
        <v/>
      </c>
      <c r="F807" s="2090" t="str">
        <f t="shared" si="434"/>
        <v/>
      </c>
      <c r="G807" s="2090" t="str">
        <f t="shared" si="434"/>
        <v/>
      </c>
      <c r="H807" s="2090" t="str">
        <f t="shared" si="434"/>
        <v/>
      </c>
      <c r="I807" s="2090" t="str">
        <f t="shared" si="434"/>
        <v/>
      </c>
      <c r="J807" s="2090" t="str">
        <f t="shared" si="434"/>
        <v/>
      </c>
      <c r="K807" s="2090" t="str">
        <f t="shared" si="434"/>
        <v/>
      </c>
      <c r="N807" s="1920"/>
      <c r="O807" s="1920"/>
    </row>
    <row r="808" spans="1:15">
      <c r="A808" s="251" t="s">
        <v>1416</v>
      </c>
      <c r="B808" s="2090">
        <f t="shared" ref="B808:K808" si="435">IF(AND(B796=0,B797=0,B798=0,B799=0),"",-B795/(B796+B797+B798+B799))</f>
        <v>1.2539623360155554</v>
      </c>
      <c r="C808" s="2090">
        <f t="shared" si="435"/>
        <v>1.2531026088095405</v>
      </c>
      <c r="D808" s="2090">
        <f t="shared" si="435"/>
        <v>1.2520076452824727</v>
      </c>
      <c r="E808" s="2090">
        <f t="shared" si="435"/>
        <v>1.2506618997424712</v>
      </c>
      <c r="F808" s="2090">
        <f t="shared" si="435"/>
        <v>1.2490516139782697</v>
      </c>
      <c r="G808" s="2090">
        <f t="shared" si="435"/>
        <v>1.2471555590961065</v>
      </c>
      <c r="H808" s="2090">
        <f t="shared" si="435"/>
        <v>1.2449561186988523</v>
      </c>
      <c r="I808" s="2090">
        <f t="shared" si="435"/>
        <v>1.9261093312209603</v>
      </c>
      <c r="J808" s="2090">
        <f t="shared" si="435"/>
        <v>4.5989796558281597</v>
      </c>
      <c r="K808" s="2090">
        <f t="shared" si="435"/>
        <v>4.7792117431058658</v>
      </c>
      <c r="N808" s="1920"/>
      <c r="O808" s="1920"/>
    </row>
    <row r="809" spans="1:15">
      <c r="A809" s="251" t="s">
        <v>1417</v>
      </c>
      <c r="B809" s="2091">
        <f t="shared" ref="B809:K809" si="436">IF(OR(B792="Choose mgt fee",B792="Choose One!"),"",(B785+B786+B787+B788+B789) / -(B791+B792+B793))</f>
        <v>1.4092520113774651</v>
      </c>
      <c r="C809" s="2091">
        <f t="shared" si="436"/>
        <v>1.3964975978278469</v>
      </c>
      <c r="D809" s="2091">
        <f t="shared" si="436"/>
        <v>1.3838496149103683</v>
      </c>
      <c r="E809" s="2091">
        <f t="shared" si="436"/>
        <v>1.3713062337715363</v>
      </c>
      <c r="F809" s="2091">
        <f t="shared" si="436"/>
        <v>1.3588711260448549</v>
      </c>
      <c r="G809" s="2091">
        <f t="shared" si="436"/>
        <v>1.3465388017363</v>
      </c>
      <c r="H809" s="2091">
        <f t="shared" si="436"/>
        <v>1.3343126869010542</v>
      </c>
      <c r="I809" s="2091">
        <f t="shared" si="436"/>
        <v>1.322187710506906</v>
      </c>
      <c r="J809" s="2091">
        <f t="shared" si="436"/>
        <v>1.3101670584408027</v>
      </c>
      <c r="K809" s="2091">
        <f t="shared" si="436"/>
        <v>1.2982475021451023</v>
      </c>
      <c r="N809" s="1920"/>
      <c r="O809" s="1920"/>
    </row>
    <row r="810" spans="1:15">
      <c r="A810" s="251" t="s">
        <v>1418</v>
      </c>
      <c r="B810" s="2089">
        <f>'Part VI-Pro Forma'!B72</f>
        <v>891053.62131542456</v>
      </c>
      <c r="C810" s="2089">
        <f>'Part VI-Pro Forma'!C72</f>
        <v>774117.8132431478</v>
      </c>
      <c r="D810" s="2089">
        <f>'Part VI-Pro Forma'!D72</f>
        <v>650573.37472890434</v>
      </c>
      <c r="E810" s="2089">
        <f>'Part VI-Pro Forma'!E72</f>
        <v>520146.61674891494</v>
      </c>
      <c r="F810" s="2089">
        <f>'Part VI-Pro Forma'!F72</f>
        <v>382551.8053220557</v>
      </c>
      <c r="G810" s="2089">
        <f>'Part VI-Pro Forma'!G72</f>
        <v>237493.73300202182</v>
      </c>
      <c r="H810" s="2089">
        <f>'Part VI-Pro Forma'!H72</f>
        <v>84664.289076238871</v>
      </c>
      <c r="I810" s="2089">
        <f>'Part VI-Pro Forma'!I72</f>
        <v>2854.3956147628924</v>
      </c>
      <c r="J810" s="2089">
        <f>'Part VI-Pro Forma'!J72</f>
        <v>96.233895240540733</v>
      </c>
      <c r="K810" s="2089">
        <f>'Part VI-Pro Forma'!K72</f>
        <v>3.2444565656105198</v>
      </c>
      <c r="N810" s="1920"/>
      <c r="O810" s="1920"/>
    </row>
    <row r="811" spans="1:15">
      <c r="A811" s="251" t="s">
        <v>1419</v>
      </c>
      <c r="B811" s="2089">
        <f>'Part VI-Pro Forma'!B73</f>
        <v>474801.65598723316</v>
      </c>
      <c r="C811" s="2089">
        <f>'Part VI-Pro Forma'!C73</f>
        <v>424130.53221322899</v>
      </c>
      <c r="D811" s="2089">
        <f>'Part VI-Pro Forma'!D73</f>
        <v>372950.36831168167</v>
      </c>
      <c r="E811" s="2089">
        <f>'Part VI-Pro Forma'!E73</f>
        <v>321256.05048537988</v>
      </c>
      <c r="F811" s="2089">
        <f>'Part VI-Pro Forma'!F73</f>
        <v>269042.41356410563</v>
      </c>
      <c r="G811" s="2089">
        <f>'Part VI-Pro Forma'!G73</f>
        <v>216304.2404885428</v>
      </c>
      <c r="H811" s="2089">
        <f>'Part VI-Pro Forma'!H73</f>
        <v>163036.2617890015</v>
      </c>
      <c r="I811" s="2089">
        <f>'Part VI-Pro Forma'!I73</f>
        <v>109233.15505890545</v>
      </c>
      <c r="J811" s="2089">
        <f>'Part VI-Pro Forma'!J73</f>
        <v>54889.544422990046</v>
      </c>
      <c r="K811" s="2089">
        <f>'Part VI-Pro Forma'!K73</f>
        <v>1.5807017916813493E-7</v>
      </c>
      <c r="N811" s="1920"/>
      <c r="O811" s="1920"/>
    </row>
    <row r="812" spans="1:15">
      <c r="A812" s="251" t="s">
        <v>1420</v>
      </c>
      <c r="B812" s="2089" t="str">
        <f>'Part VI-Pro Forma'!B74</f>
        <v/>
      </c>
      <c r="C812" s="2089" t="str">
        <f>'Part VI-Pro Forma'!C74</f>
        <v/>
      </c>
      <c r="D812" s="2089" t="str">
        <f>'Part VI-Pro Forma'!D74</f>
        <v/>
      </c>
      <c r="E812" s="2089" t="str">
        <f>'Part VI-Pro Forma'!E74</f>
        <v/>
      </c>
      <c r="F812" s="2089" t="str">
        <f>'Part VI-Pro Forma'!F74</f>
        <v/>
      </c>
      <c r="G812" s="2089" t="str">
        <f>'Part VI-Pro Forma'!G74</f>
        <v/>
      </c>
      <c r="H812" s="2089" t="str">
        <f>'Part VI-Pro Forma'!H74</f>
        <v/>
      </c>
      <c r="I812" s="2089" t="str">
        <f>'Part VI-Pro Forma'!I74</f>
        <v/>
      </c>
      <c r="J812" s="2089" t="str">
        <f>'Part VI-Pro Forma'!J74</f>
        <v/>
      </c>
      <c r="K812" s="2089" t="str">
        <f>'Part VI-Pro Forma'!K74</f>
        <v/>
      </c>
      <c r="N812" s="1920"/>
      <c r="O812" s="1920"/>
    </row>
    <row r="813" spans="1:15">
      <c r="A813" s="251" t="s">
        <v>1421</v>
      </c>
      <c r="B813" s="2089" t="str">
        <f>'Part VI-Pro Forma'!B75</f>
        <v/>
      </c>
      <c r="C813" s="2089" t="str">
        <f>'Part VI-Pro Forma'!C75</f>
        <v/>
      </c>
      <c r="D813" s="2089" t="str">
        <f>'Part VI-Pro Forma'!D75</f>
        <v/>
      </c>
      <c r="E813" s="2089" t="str">
        <f>'Part VI-Pro Forma'!E75</f>
        <v/>
      </c>
      <c r="F813" s="2089" t="str">
        <f>'Part VI-Pro Forma'!F75</f>
        <v/>
      </c>
      <c r="G813" s="2089" t="str">
        <f>'Part VI-Pro Forma'!G75</f>
        <v/>
      </c>
      <c r="H813" s="2089" t="str">
        <f>'Part VI-Pro Forma'!H75</f>
        <v/>
      </c>
      <c r="I813" s="2089" t="str">
        <f>'Part VI-Pro Forma'!I75</f>
        <v/>
      </c>
      <c r="J813" s="2089" t="str">
        <f>'Part VI-Pro Forma'!J75</f>
        <v/>
      </c>
      <c r="K813" s="2089" t="str">
        <f>'Part VI-Pro Forma'!K75</f>
        <v/>
      </c>
      <c r="N813" s="1920"/>
      <c r="O813" s="1920"/>
    </row>
    <row r="814" spans="1:15">
      <c r="A814" s="251" t="s">
        <v>1422</v>
      </c>
      <c r="B814" s="2089">
        <f>'Part VI-Pro Forma'!B76</f>
        <v>1</v>
      </c>
      <c r="C814" s="2089">
        <f>'Part VI-Pro Forma'!C76</f>
        <v>1</v>
      </c>
      <c r="D814" s="2089">
        <f>'Part VI-Pro Forma'!D76</f>
        <v>1</v>
      </c>
      <c r="E814" s="2089">
        <f>'Part VI-Pro Forma'!E76</f>
        <v>1</v>
      </c>
      <c r="F814" s="2089">
        <f>'Part VI-Pro Forma'!F76</f>
        <v>1</v>
      </c>
      <c r="G814" s="2089">
        <f>'Part VI-Pro Forma'!G76</f>
        <v>1</v>
      </c>
      <c r="H814" s="2089" t="str">
        <f>'Part VI-Pro Forma'!H76</f>
        <v/>
      </c>
      <c r="I814" s="2089" t="str">
        <f>'Part VI-Pro Forma'!I76</f>
        <v/>
      </c>
      <c r="J814" s="2089" t="str">
        <f>'Part VI-Pro Forma'!J76</f>
        <v/>
      </c>
      <c r="K814" s="2089" t="str">
        <f>'Part VI-Pro Forma'!K76</f>
        <v/>
      </c>
      <c r="N814" s="1920"/>
      <c r="O814" s="1920"/>
    </row>
    <row r="815" spans="1:15">
      <c r="B815" s="2089"/>
      <c r="C815" s="2089"/>
      <c r="D815" s="2089"/>
      <c r="E815" s="2089"/>
      <c r="F815" s="2089"/>
      <c r="G815" s="2089"/>
      <c r="H815" s="2089"/>
      <c r="I815" s="2089"/>
      <c r="J815" s="2089"/>
      <c r="K815" s="2089"/>
    </row>
    <row r="816" spans="1:15">
      <c r="A816" s="255" t="s">
        <v>480</v>
      </c>
      <c r="B816" s="2092">
        <f>K784+1</f>
        <v>21</v>
      </c>
      <c r="C816" s="2092">
        <f t="shared" ref="C816:K816" si="437">B816+1</f>
        <v>22</v>
      </c>
      <c r="D816" s="2092">
        <f t="shared" si="437"/>
        <v>23</v>
      </c>
      <c r="E816" s="2092">
        <f t="shared" si="437"/>
        <v>24</v>
      </c>
      <c r="F816" s="2092">
        <f t="shared" si="437"/>
        <v>25</v>
      </c>
      <c r="G816" s="2092">
        <f t="shared" si="437"/>
        <v>26</v>
      </c>
      <c r="H816" s="2092">
        <f t="shared" si="437"/>
        <v>27</v>
      </c>
      <c r="I816" s="2092">
        <f t="shared" si="437"/>
        <v>28</v>
      </c>
      <c r="J816" s="2092">
        <f t="shared" si="437"/>
        <v>29</v>
      </c>
      <c r="K816" s="2092">
        <f t="shared" si="437"/>
        <v>30</v>
      </c>
      <c r="N816" s="255" t="s">
        <v>1291</v>
      </c>
      <c r="O816" s="255"/>
    </row>
    <row r="817" spans="1:19">
      <c r="A817" s="251" t="s">
        <v>1396</v>
      </c>
      <c r="B817" s="2089">
        <f>'Part VI-Pro Forma'!B79</f>
        <v>1236658.9170394416</v>
      </c>
      <c r="C817" s="2089">
        <f>'Part VI-Pro Forma'!C79</f>
        <v>1261392.0953802303</v>
      </c>
      <c r="D817" s="2089">
        <f>'Part VI-Pro Forma'!D79</f>
        <v>1286619.9372878349</v>
      </c>
      <c r="E817" s="2089">
        <f>'Part VI-Pro Forma'!E79</f>
        <v>1312352.3360335915</v>
      </c>
      <c r="F817" s="2089">
        <f>'Part VI-Pro Forma'!F79</f>
        <v>1338599.3827542635</v>
      </c>
      <c r="G817" s="2089">
        <f>'Part VI-Pro Forma'!G79</f>
        <v>1365371.3704093487</v>
      </c>
      <c r="H817" s="2089">
        <f>'Part VI-Pro Forma'!H79</f>
        <v>1392678.7978175357</v>
      </c>
      <c r="I817" s="2089">
        <f>'Part VI-Pro Forma'!I79</f>
        <v>1420532.3737738861</v>
      </c>
      <c r="J817" s="2089">
        <f>'Part VI-Pro Forma'!J79</f>
        <v>1448943.0212493644</v>
      </c>
      <c r="K817" s="2089">
        <f>'Part VI-Pro Forma'!K79</f>
        <v>1477921.8816743514</v>
      </c>
      <c r="N817" s="1920"/>
      <c r="O817" s="1920"/>
    </row>
    <row r="818" spans="1:19">
      <c r="A818" s="251" t="s">
        <v>1281</v>
      </c>
      <c r="B818" s="2089">
        <f>'Part VI-Pro Forma'!B80</f>
        <v>24733.178340788832</v>
      </c>
      <c r="C818" s="2089">
        <f>'Part VI-Pro Forma'!C80</f>
        <v>25227.841907604608</v>
      </c>
      <c r="D818" s="2089">
        <f>'Part VI-Pro Forma'!D80</f>
        <v>25732.398745756702</v>
      </c>
      <c r="E818" s="2089">
        <f>'Part VI-Pro Forma'!E80</f>
        <v>26247.046720671831</v>
      </c>
      <c r="F818" s="2089">
        <f>'Part VI-Pro Forma'!F80</f>
        <v>26771.987655085271</v>
      </c>
      <c r="G818" s="2089">
        <f>'Part VI-Pro Forma'!G80</f>
        <v>27307.427408186973</v>
      </c>
      <c r="H818" s="2089">
        <f>'Part VI-Pro Forma'!H80</f>
        <v>27853.575956350716</v>
      </c>
      <c r="I818" s="2089">
        <f>'Part VI-Pro Forma'!I80</f>
        <v>28410.647475477726</v>
      </c>
      <c r="J818" s="2089">
        <f>'Part VI-Pro Forma'!J80</f>
        <v>28978.860424987288</v>
      </c>
      <c r="K818" s="2089">
        <f>'Part VI-Pro Forma'!K80</f>
        <v>29558.437633487029</v>
      </c>
      <c r="N818" s="1920"/>
      <c r="O818" s="1920"/>
    </row>
    <row r="819" spans="1:19">
      <c r="A819" s="251" t="s">
        <v>1399</v>
      </c>
      <c r="B819" s="2089">
        <f>'Part VI-Pro Forma'!B81</f>
        <v>-88297.446676616149</v>
      </c>
      <c r="C819" s="2089">
        <f>'Part VI-Pro Forma'!C81</f>
        <v>-90063.395610148451</v>
      </c>
      <c r="D819" s="2089">
        <f>'Part VI-Pro Forma'!D81</f>
        <v>-91864.663522351417</v>
      </c>
      <c r="E819" s="2089">
        <f>'Part VI-Pro Forma'!E81</f>
        <v>-93701.956792798446</v>
      </c>
      <c r="F819" s="2089">
        <f>'Part VI-Pro Forma'!F81</f>
        <v>-95575.995928654418</v>
      </c>
      <c r="G819" s="2089">
        <f>'Part VI-Pro Forma'!G81</f>
        <v>-97487.515847227507</v>
      </c>
      <c r="H819" s="2089">
        <f>'Part VI-Pro Forma'!H81</f>
        <v>-99437.266164172048</v>
      </c>
      <c r="I819" s="2089">
        <f>'Part VI-Pro Forma'!I81</f>
        <v>-101426.01148745549</v>
      </c>
      <c r="J819" s="2089">
        <f>'Part VI-Pro Forma'!J81</f>
        <v>-103454.53171720462</v>
      </c>
      <c r="K819" s="2089">
        <f>'Part VI-Pro Forma'!K81</f>
        <v>-105523.62235154869</v>
      </c>
      <c r="N819" s="1920"/>
      <c r="O819" s="1920"/>
    </row>
    <row r="820" spans="1:19">
      <c r="A820" s="251" t="s">
        <v>1402</v>
      </c>
      <c r="B820" s="2089">
        <f>'Part VI-Pro Forma'!B82</f>
        <v>0</v>
      </c>
      <c r="C820" s="2089">
        <f>'Part VI-Pro Forma'!C82</f>
        <v>0</v>
      </c>
      <c r="D820" s="2089">
        <f>'Part VI-Pro Forma'!D82</f>
        <v>0</v>
      </c>
      <c r="E820" s="2089">
        <f>'Part VI-Pro Forma'!E82</f>
        <v>0</v>
      </c>
      <c r="F820" s="2089">
        <f>'Part VI-Pro Forma'!F82</f>
        <v>0</v>
      </c>
      <c r="G820" s="2089">
        <f>'Part VI-Pro Forma'!G82</f>
        <v>0</v>
      </c>
      <c r="H820" s="2089">
        <f>'Part VI-Pro Forma'!H82</f>
        <v>0</v>
      </c>
      <c r="I820" s="2089">
        <f>'Part VI-Pro Forma'!I82</f>
        <v>0</v>
      </c>
      <c r="J820" s="2089">
        <f>'Part VI-Pro Forma'!J82</f>
        <v>0</v>
      </c>
      <c r="K820" s="2089">
        <f>'Part VI-Pro Forma'!K82</f>
        <v>0</v>
      </c>
      <c r="N820" s="1920"/>
      <c r="O820" s="1920"/>
    </row>
    <row r="821" spans="1:19">
      <c r="A821" s="251" t="s">
        <v>1403</v>
      </c>
      <c r="B821" s="2089">
        <f>'Part VI-Pro Forma'!B83</f>
        <v>0</v>
      </c>
      <c r="C821" s="2089">
        <f>'Part VI-Pro Forma'!C83</f>
        <v>0</v>
      </c>
      <c r="D821" s="2089">
        <f>'Part VI-Pro Forma'!D83</f>
        <v>0</v>
      </c>
      <c r="E821" s="2089">
        <f>'Part VI-Pro Forma'!E83</f>
        <v>0</v>
      </c>
      <c r="F821" s="2089">
        <f>'Part VI-Pro Forma'!F83</f>
        <v>0</v>
      </c>
      <c r="G821" s="2089">
        <f>'Part VI-Pro Forma'!G83</f>
        <v>0</v>
      </c>
      <c r="H821" s="2089">
        <f>'Part VI-Pro Forma'!H83</f>
        <v>0</v>
      </c>
      <c r="I821" s="2089">
        <f>'Part VI-Pro Forma'!I83</f>
        <v>0</v>
      </c>
      <c r="J821" s="2089">
        <f>'Part VI-Pro Forma'!J83</f>
        <v>0</v>
      </c>
      <c r="K821" s="2089">
        <f>'Part VI-Pro Forma'!K83</f>
        <v>0</v>
      </c>
      <c r="N821" s="1920"/>
      <c r="O821" s="1920"/>
    </row>
    <row r="822" spans="1:19">
      <c r="A822" s="251" t="s">
        <v>1404</v>
      </c>
      <c r="B822" s="2089">
        <f>'Part VI-Pro Forma'!B84</f>
        <v>1173094.6487036145</v>
      </c>
      <c r="C822" s="2089">
        <f>'Part VI-Pro Forma'!C84</f>
        <v>1196556.5416776864</v>
      </c>
      <c r="D822" s="2089">
        <f>'Part VI-Pro Forma'!D84</f>
        <v>1220487.67251124</v>
      </c>
      <c r="E822" s="2089">
        <f>'Part VI-Pro Forma'!E84</f>
        <v>1244897.4259614651</v>
      </c>
      <c r="F822" s="2089">
        <f>'Part VI-Pro Forma'!F84</f>
        <v>1269795.3744806943</v>
      </c>
      <c r="G822" s="2089">
        <f>'Part VI-Pro Forma'!G84</f>
        <v>1295191.2819703082</v>
      </c>
      <c r="H822" s="2089">
        <f>'Part VI-Pro Forma'!H84</f>
        <v>1321095.1076097144</v>
      </c>
      <c r="I822" s="2089">
        <f>'Part VI-Pro Forma'!I84</f>
        <v>1347517.0097619083</v>
      </c>
      <c r="J822" s="2089">
        <f>'Part VI-Pro Forma'!J84</f>
        <v>1374467.3499571469</v>
      </c>
      <c r="K822" s="2089">
        <f>'Part VI-Pro Forma'!K84</f>
        <v>1401956.6969562897</v>
      </c>
      <c r="N822" s="1920"/>
      <c r="O822" s="1920"/>
    </row>
    <row r="823" spans="1:19">
      <c r="A823" s="251" t="s">
        <v>1405</v>
      </c>
      <c r="B823" s="2089">
        <f>'Part VI-Pro Forma'!B85</f>
        <v>-785649.35652502137</v>
      </c>
      <c r="C823" s="2089">
        <f>'Part VI-Pro Forma'!C85</f>
        <v>-809218.83722077194</v>
      </c>
      <c r="D823" s="2089">
        <f>'Part VI-Pro Forma'!D85</f>
        <v>-833495.40233739524</v>
      </c>
      <c r="E823" s="2089">
        <f>'Part VI-Pro Forma'!E85</f>
        <v>-858500.26440751716</v>
      </c>
      <c r="F823" s="2089">
        <f>'Part VI-Pro Forma'!F85</f>
        <v>-884255.27233974251</v>
      </c>
      <c r="G823" s="2089">
        <f>'Part VI-Pro Forma'!G85</f>
        <v>-910782.93050993478</v>
      </c>
      <c r="H823" s="2089">
        <f>'Part VI-Pro Forma'!H85</f>
        <v>-938106.41842523287</v>
      </c>
      <c r="I823" s="2089">
        <f>'Part VI-Pro Forma'!I85</f>
        <v>-966249.61097798985</v>
      </c>
      <c r="J823" s="2089">
        <f>'Part VI-Pro Forma'!J85</f>
        <v>-995237.09930732951</v>
      </c>
      <c r="K823" s="2089">
        <f>'Part VI-Pro Forma'!K85</f>
        <v>-1025094.2122865493</v>
      </c>
      <c r="N823" s="1920"/>
      <c r="O823" s="1920"/>
    </row>
    <row r="824" spans="1:19">
      <c r="A824" s="251" t="s">
        <v>1406</v>
      </c>
      <c r="B824" s="2089">
        <f>'Part VI-Pro Forma'!B86</f>
        <v>-56895</v>
      </c>
      <c r="C824" s="2089">
        <f>'Part VI-Pro Forma'!C86</f>
        <v>-58033</v>
      </c>
      <c r="D824" s="2089">
        <f>'Part VI-Pro Forma'!D86</f>
        <v>-59194</v>
      </c>
      <c r="E824" s="2089">
        <f>'Part VI-Pro Forma'!E86</f>
        <v>-60378</v>
      </c>
      <c r="F824" s="2089">
        <f>'Part VI-Pro Forma'!F86</f>
        <v>-61585</v>
      </c>
      <c r="G824" s="2089">
        <f>'Part VI-Pro Forma'!G86</f>
        <v>-62817</v>
      </c>
      <c r="H824" s="2089">
        <f>'Part VI-Pro Forma'!H86</f>
        <v>-64073</v>
      </c>
      <c r="I824" s="2089">
        <f>'Part VI-Pro Forma'!I86</f>
        <v>-65355</v>
      </c>
      <c r="J824" s="2089">
        <f>'Part VI-Pro Forma'!J86</f>
        <v>-66662</v>
      </c>
      <c r="K824" s="2089">
        <f>'Part VI-Pro Forma'!K86</f>
        <v>-67995</v>
      </c>
      <c r="N824" s="1920"/>
      <c r="O824" s="1920"/>
    </row>
    <row r="825" spans="1:19">
      <c r="A825" s="251" t="s">
        <v>1407</v>
      </c>
      <c r="B825" s="2089">
        <f>'Part VI-Pro Forma'!B87</f>
        <v>-69354.671411305462</v>
      </c>
      <c r="C825" s="2089">
        <f>'Part VI-Pro Forma'!C87</f>
        <v>-71435.311553644628</v>
      </c>
      <c r="D825" s="2089">
        <f>'Part VI-Pro Forma'!D87</f>
        <v>-73578.370900253969</v>
      </c>
      <c r="E825" s="2089">
        <f>'Part VI-Pro Forma'!E87</f>
        <v>-75785.722027261596</v>
      </c>
      <c r="F825" s="2089">
        <f>'Part VI-Pro Forma'!F87</f>
        <v>-78059.29368807943</v>
      </c>
      <c r="G825" s="2089">
        <f>'Part VI-Pro Forma'!G87</f>
        <v>-80401.072498721813</v>
      </c>
      <c r="H825" s="2089">
        <f>'Part VI-Pro Forma'!H87</f>
        <v>-82813.104673683483</v>
      </c>
      <c r="I825" s="2089">
        <f>'Part VI-Pro Forma'!I87</f>
        <v>-85297.497813893977</v>
      </c>
      <c r="J825" s="2089">
        <f>'Part VI-Pro Forma'!J87</f>
        <v>-87856.422748310797</v>
      </c>
      <c r="K825" s="2089">
        <f>'Part VI-Pro Forma'!K87</f>
        <v>-90492.11543076011</v>
      </c>
      <c r="N825" s="1920"/>
      <c r="O825" s="1920"/>
      <c r="Q825" s="1185"/>
      <c r="R825" s="1297"/>
      <c r="S825" s="1297"/>
    </row>
    <row r="826" spans="1:19">
      <c r="A826" s="251" t="s">
        <v>1408</v>
      </c>
      <c r="B826" s="2089">
        <f>'Part VI-Pro Forma'!B88</f>
        <v>0</v>
      </c>
      <c r="C826" s="2089">
        <f>'Part VI-Pro Forma'!C88</f>
        <v>0</v>
      </c>
      <c r="D826" s="2089">
        <f>'Part VI-Pro Forma'!D88</f>
        <v>0</v>
      </c>
      <c r="E826" s="2089">
        <f>'Part VI-Pro Forma'!E88</f>
        <v>0</v>
      </c>
      <c r="F826" s="2089">
        <f>'Part VI-Pro Forma'!F88</f>
        <v>0</v>
      </c>
      <c r="G826" s="2089">
        <f>'Part VI-Pro Forma'!G88</f>
        <v>0</v>
      </c>
      <c r="H826" s="2089">
        <f>'Part VI-Pro Forma'!H88</f>
        <v>0</v>
      </c>
      <c r="I826" s="2089">
        <f>'Part VI-Pro Forma'!I88</f>
        <v>0</v>
      </c>
      <c r="J826" s="2089">
        <f>'Part VI-Pro Forma'!J88</f>
        <v>0</v>
      </c>
      <c r="K826" s="2089">
        <f>'Part VI-Pro Forma'!K88</f>
        <v>0</v>
      </c>
      <c r="N826" s="1920"/>
      <c r="O826" s="1920"/>
    </row>
    <row r="827" spans="1:19">
      <c r="A827" s="251" t="s">
        <v>1409</v>
      </c>
      <c r="B827" s="2089">
        <f>SUM(B822:B826)</f>
        <v>261195.62076728765</v>
      </c>
      <c r="C827" s="2089">
        <f t="shared" ref="C827:J827" si="438">SUM(C822:C826)</f>
        <v>257869.39290326982</v>
      </c>
      <c r="D827" s="2089">
        <f t="shared" si="438"/>
        <v>254219.8992735908</v>
      </c>
      <c r="E827" s="2089">
        <f t="shared" si="438"/>
        <v>250233.43952668636</v>
      </c>
      <c r="F827" s="2089">
        <f t="shared" si="438"/>
        <v>245895.80845287236</v>
      </c>
      <c r="G827" s="2089">
        <f t="shared" si="438"/>
        <v>241190.27896165155</v>
      </c>
      <c r="H827" s="2089">
        <f t="shared" si="438"/>
        <v>236102.58451079804</v>
      </c>
      <c r="I827" s="2089">
        <f t="shared" si="438"/>
        <v>230614.90097002449</v>
      </c>
      <c r="J827" s="2089">
        <f t="shared" si="438"/>
        <v>224711.82790150662</v>
      </c>
      <c r="K827" s="2089">
        <f>SUM(K822:K826)</f>
        <v>218375.36923898032</v>
      </c>
      <c r="N827" s="1920"/>
      <c r="O827" s="1920"/>
    </row>
    <row r="828" spans="1:19">
      <c r="A828" s="251" t="str">
        <f>$A796</f>
        <v>Mortgage A</v>
      </c>
      <c r="B828" s="2089">
        <f>'Part VI-Pro Forma'!B90</f>
        <v>-3.2444565656105198</v>
      </c>
      <c r="C828" s="2089">
        <f>'Part VI-Pro Forma'!C90</f>
        <v>-130231.87094349621</v>
      </c>
      <c r="D828" s="2089">
        <f>'Part VI-Pro Forma'!D90</f>
        <v>-130231.87094349621</v>
      </c>
      <c r="E828" s="2089">
        <f>'Part VI-Pro Forma'!E90</f>
        <v>-130231.87094349621</v>
      </c>
      <c r="F828" s="2089">
        <f>'Part VI-Pro Forma'!F90</f>
        <v>-130231.87094349621</v>
      </c>
      <c r="G828" s="2089">
        <f>'Part VI-Pro Forma'!G90</f>
        <v>-130231.87094349621</v>
      </c>
      <c r="H828" s="2089">
        <f>'Part VI-Pro Forma'!H90</f>
        <v>-130231.87094349621</v>
      </c>
      <c r="I828" s="2089">
        <f>'Part VI-Pro Forma'!I90</f>
        <v>-130231.87094349621</v>
      </c>
      <c r="J828" s="2089">
        <f>'Part VI-Pro Forma'!J90</f>
        <v>-130231.87094349621</v>
      </c>
      <c r="K828" s="2089">
        <f>'Part VI-Pro Forma'!K90</f>
        <v>-130231.87094349621</v>
      </c>
      <c r="N828" s="1920"/>
      <c r="O828" s="1920"/>
    </row>
    <row r="829" spans="1:19">
      <c r="A829" s="251" t="str">
        <f>$A797</f>
        <v>Mortgage B</v>
      </c>
      <c r="B829" s="2089">
        <f>'Part VI-Pro Forma'!B91</f>
        <v>-55187.316834935598</v>
      </c>
      <c r="C829" s="2089">
        <f>'Part VI-Pro Forma'!C91</f>
        <v>-55187.316834935598</v>
      </c>
      <c r="D829" s="2089">
        <f>'Part VI-Pro Forma'!D91</f>
        <v>-55187.316834935598</v>
      </c>
      <c r="E829" s="2089">
        <f>'Part VI-Pro Forma'!E91</f>
        <v>-55187.316834935598</v>
      </c>
      <c r="F829" s="2089">
        <f>'Part VI-Pro Forma'!F91</f>
        <v>-55187.316834935598</v>
      </c>
      <c r="G829" s="2089">
        <f>'Part VI-Pro Forma'!G91</f>
        <v>-55187.316834935598</v>
      </c>
      <c r="H829" s="2089">
        <f>'Part VI-Pro Forma'!H91</f>
        <v>-55187.316834935598</v>
      </c>
      <c r="I829" s="2089">
        <f>'Part VI-Pro Forma'!I91</f>
        <v>-55187.316834935598</v>
      </c>
      <c r="J829" s="2089">
        <f>'Part VI-Pro Forma'!J91</f>
        <v>-55187.316834935598</v>
      </c>
      <c r="K829" s="2089">
        <f>'Part VI-Pro Forma'!K91</f>
        <v>-55187.316834935598</v>
      </c>
      <c r="N829" s="1920"/>
      <c r="O829" s="1920"/>
    </row>
    <row r="830" spans="1:19">
      <c r="A830" s="251" t="str">
        <f>$A798</f>
        <v>Mortgage C</v>
      </c>
      <c r="B830" s="2089">
        <f>'Part VI-Pro Forma'!B92</f>
        <v>0</v>
      </c>
      <c r="C830" s="2089">
        <f>'Part VI-Pro Forma'!C92</f>
        <v>0</v>
      </c>
      <c r="D830" s="2089">
        <f>'Part VI-Pro Forma'!D92</f>
        <v>0</v>
      </c>
      <c r="E830" s="2089">
        <f>'Part VI-Pro Forma'!E92</f>
        <v>0</v>
      </c>
      <c r="F830" s="2089">
        <f>'Part VI-Pro Forma'!F92</f>
        <v>0</v>
      </c>
      <c r="G830" s="2089">
        <f>'Part VI-Pro Forma'!G92</f>
        <v>0</v>
      </c>
      <c r="H830" s="2089">
        <f>'Part VI-Pro Forma'!H92</f>
        <v>0</v>
      </c>
      <c r="I830" s="2089">
        <f>'Part VI-Pro Forma'!I92</f>
        <v>0</v>
      </c>
      <c r="J830" s="2089">
        <f>'Part VI-Pro Forma'!J92</f>
        <v>0</v>
      </c>
      <c r="K830" s="2089">
        <f>'Part VI-Pro Forma'!K92</f>
        <v>0</v>
      </c>
      <c r="N830" s="1920"/>
      <c r="O830" s="1920"/>
    </row>
    <row r="831" spans="1:19">
      <c r="A831" s="251" t="str">
        <f>$A799</f>
        <v>D/S Other Source,not DDF</v>
      </c>
      <c r="B831" s="2089">
        <f>'Part VI-Pro Forma'!B93</f>
        <v>0</v>
      </c>
      <c r="C831" s="2089">
        <f>'Part VI-Pro Forma'!C93</f>
        <v>0</v>
      </c>
      <c r="D831" s="2089">
        <f>'Part VI-Pro Forma'!D93</f>
        <v>0</v>
      </c>
      <c r="E831" s="2089">
        <f>'Part VI-Pro Forma'!E93</f>
        <v>0</v>
      </c>
      <c r="F831" s="2089">
        <f>'Part VI-Pro Forma'!F93</f>
        <v>0</v>
      </c>
      <c r="G831" s="2089">
        <f>'Part VI-Pro Forma'!G93</f>
        <v>0</v>
      </c>
      <c r="H831" s="2089">
        <f>'Part VI-Pro Forma'!H93</f>
        <v>0</v>
      </c>
      <c r="I831" s="2089">
        <f>'Part VI-Pro Forma'!I93</f>
        <v>0</v>
      </c>
      <c r="J831" s="2089">
        <f>'Part VI-Pro Forma'!J93</f>
        <v>0</v>
      </c>
      <c r="K831" s="2089">
        <f>'Part VI-Pro Forma'!K93</f>
        <v>0</v>
      </c>
      <c r="N831" s="1920"/>
      <c r="O831" s="1920"/>
    </row>
    <row r="832" spans="1:19">
      <c r="A832" s="251" t="s">
        <v>1411</v>
      </c>
      <c r="B832" s="2089">
        <f>'Part VI-Pro Forma'!B94</f>
        <v>0</v>
      </c>
      <c r="C832" s="2089">
        <f>'Part VI-Pro Forma'!C94</f>
        <v>0</v>
      </c>
      <c r="D832" s="2089">
        <f>'Part VI-Pro Forma'!D94</f>
        <v>0</v>
      </c>
      <c r="E832" s="2089">
        <f>'Part VI-Pro Forma'!E94</f>
        <v>0</v>
      </c>
      <c r="F832" s="2089">
        <f>'Part VI-Pro Forma'!F94</f>
        <v>0</v>
      </c>
      <c r="G832" s="2089">
        <f>'Part VI-Pro Forma'!G94</f>
        <v>0</v>
      </c>
      <c r="H832" s="2089">
        <f>'Part VI-Pro Forma'!H94</f>
        <v>0</v>
      </c>
      <c r="I832" s="2089">
        <f>'Part VI-Pro Forma'!I94</f>
        <v>0</v>
      </c>
      <c r="J832" s="2089">
        <f>'Part VI-Pro Forma'!J94</f>
        <v>0</v>
      </c>
      <c r="K832" s="2089">
        <f>'Part VI-Pro Forma'!K94</f>
        <v>0</v>
      </c>
      <c r="N832" s="1920"/>
      <c r="O832" s="1920"/>
    </row>
    <row r="833" spans="1:15">
      <c r="A833" s="251" t="s">
        <v>1412</v>
      </c>
      <c r="B833" s="2089">
        <f>'Part VI-Pro Forma'!B95</f>
        <v>-7500</v>
      </c>
      <c r="C833" s="2089">
        <f>'Part VI-Pro Forma'!C95</f>
        <v>-7500</v>
      </c>
      <c r="D833" s="2089">
        <f>'Part VI-Pro Forma'!D95</f>
        <v>-7500</v>
      </c>
      <c r="E833" s="2089">
        <f>'Part VI-Pro Forma'!E95</f>
        <v>-7500</v>
      </c>
      <c r="F833" s="2089">
        <f>'Part VI-Pro Forma'!F95</f>
        <v>-7500</v>
      </c>
      <c r="G833" s="2089">
        <f>'Part VI-Pro Forma'!G95</f>
        <v>-7500</v>
      </c>
      <c r="H833" s="2089">
        <f>'Part VI-Pro Forma'!H95</f>
        <v>-7500</v>
      </c>
      <c r="I833" s="2089">
        <f>'Part VI-Pro Forma'!I95</f>
        <v>-7500</v>
      </c>
      <c r="J833" s="2089">
        <f>'Part VI-Pro Forma'!J95</f>
        <v>-7500</v>
      </c>
      <c r="K833" s="2089">
        <f>'Part VI-Pro Forma'!K95</f>
        <v>-7500</v>
      </c>
      <c r="N833" s="1920"/>
      <c r="O833" s="1920"/>
    </row>
    <row r="834" spans="1:15">
      <c r="A834" s="251" t="s">
        <v>1414</v>
      </c>
      <c r="B834" s="2089">
        <f>'Part VI-Pro Forma'!B96</f>
        <v>198505.05947578643</v>
      </c>
      <c r="C834" s="2089">
        <f>'Part VI-Pro Forma'!C96</f>
        <v>64950.205124838016</v>
      </c>
      <c r="D834" s="2089">
        <f>'Part VI-Pro Forma'!D96</f>
        <v>61300.71149515899</v>
      </c>
      <c r="E834" s="2089">
        <f>'Part VI-Pro Forma'!E96</f>
        <v>57314.251748254552</v>
      </c>
      <c r="F834" s="2089">
        <f>'Part VI-Pro Forma'!F96</f>
        <v>52976.62067444055</v>
      </c>
      <c r="G834" s="2089">
        <f>'Part VI-Pro Forma'!G96</f>
        <v>48271.091183219745</v>
      </c>
      <c r="H834" s="2089">
        <f>'Part VI-Pro Forma'!H96</f>
        <v>43183.396732366236</v>
      </c>
      <c r="I834" s="2089">
        <f>'Part VI-Pro Forma'!I96</f>
        <v>37695.713191592688</v>
      </c>
      <c r="J834" s="2089">
        <f>'Part VI-Pro Forma'!J96</f>
        <v>31792.640123074816</v>
      </c>
      <c r="K834" s="2089">
        <f>'Part VI-Pro Forma'!K96</f>
        <v>25456.181460548512</v>
      </c>
      <c r="N834" s="1920"/>
      <c r="O834" s="1920"/>
    </row>
    <row r="835" spans="1:15">
      <c r="A835" s="251" t="str">
        <f>$A804</f>
        <v>DCR Mortgage A</v>
      </c>
      <c r="B835" s="2090">
        <f t="shared" ref="B835:K835" si="439">IF(B828=0,"",-B827/B828)</f>
        <v>80505.198786083187</v>
      </c>
      <c r="C835" s="2090">
        <f t="shared" si="439"/>
        <v>1.9800790009010298</v>
      </c>
      <c r="D835" s="2090">
        <f t="shared" si="439"/>
        <v>1.9520559555186714</v>
      </c>
      <c r="E835" s="2090">
        <f t="shared" si="439"/>
        <v>1.9214454780831285</v>
      </c>
      <c r="F835" s="2090">
        <f t="shared" si="439"/>
        <v>1.888138492301622</v>
      </c>
      <c r="G835" s="2090">
        <f t="shared" si="439"/>
        <v>1.8520065573372355</v>
      </c>
      <c r="H835" s="2090">
        <f t="shared" si="439"/>
        <v>1.8129401259484019</v>
      </c>
      <c r="I835" s="2090">
        <f t="shared" si="439"/>
        <v>1.7708023335553671</v>
      </c>
      <c r="J835" s="2090">
        <f t="shared" si="439"/>
        <v>1.725474926172277</v>
      </c>
      <c r="K835" s="2090">
        <f t="shared" si="439"/>
        <v>1.6768197189897318</v>
      </c>
      <c r="N835" s="1920"/>
      <c r="O835" s="1920"/>
    </row>
    <row r="836" spans="1:15">
      <c r="A836" s="251" t="str">
        <f>$A805</f>
        <v>DCR Mortgage B</v>
      </c>
      <c r="B836" s="2090">
        <f t="shared" ref="B836:K836" si="440">IF(B829=0,"",-(B827+B828)/B829)</f>
        <v>4.7328333988757656</v>
      </c>
      <c r="C836" s="2090">
        <f t="shared" si="440"/>
        <v>2.3128053560120607</v>
      </c>
      <c r="D836" s="2090">
        <f t="shared" si="440"/>
        <v>2.2466761466396501</v>
      </c>
      <c r="E836" s="2090">
        <f t="shared" si="440"/>
        <v>2.1744410756934056</v>
      </c>
      <c r="F836" s="2090">
        <f t="shared" si="440"/>
        <v>2.0958427432760534</v>
      </c>
      <c r="G836" s="2090">
        <f t="shared" si="440"/>
        <v>2.0105780527440791</v>
      </c>
      <c r="H836" s="2090">
        <f t="shared" si="440"/>
        <v>1.9183884928480848</v>
      </c>
      <c r="I836" s="2090">
        <f t="shared" si="440"/>
        <v>1.8189510884678877</v>
      </c>
      <c r="J836" s="2090">
        <f t="shared" si="440"/>
        <v>1.7119867820462895</v>
      </c>
      <c r="K836" s="2090">
        <f t="shared" si="440"/>
        <v>1.5971694829650793</v>
      </c>
      <c r="N836" s="1920"/>
      <c r="O836" s="1920"/>
    </row>
    <row r="837" spans="1:15">
      <c r="A837" s="251" t="str">
        <f>$A806</f>
        <v>DCR Mortgage C</v>
      </c>
      <c r="B837" s="2090" t="str">
        <f t="shared" ref="B837:K837" si="441">IF(B830=0,"",-(B827+B828+B829)/B830)</f>
        <v/>
      </c>
      <c r="C837" s="2090" t="str">
        <f t="shared" si="441"/>
        <v/>
      </c>
      <c r="D837" s="2090" t="str">
        <f t="shared" si="441"/>
        <v/>
      </c>
      <c r="E837" s="2090" t="str">
        <f t="shared" si="441"/>
        <v/>
      </c>
      <c r="F837" s="2090" t="str">
        <f t="shared" si="441"/>
        <v/>
      </c>
      <c r="G837" s="2090" t="str">
        <f t="shared" si="441"/>
        <v/>
      </c>
      <c r="H837" s="2090" t="str">
        <f t="shared" si="441"/>
        <v/>
      </c>
      <c r="I837" s="2090" t="str">
        <f t="shared" si="441"/>
        <v/>
      </c>
      <c r="J837" s="2090" t="str">
        <f t="shared" si="441"/>
        <v/>
      </c>
      <c r="K837" s="2090" t="str">
        <f t="shared" si="441"/>
        <v/>
      </c>
      <c r="N837" s="1920"/>
      <c r="O837" s="1920"/>
    </row>
    <row r="838" spans="1:15">
      <c r="A838" s="251" t="str">
        <f>$A807</f>
        <v>DCR Other Source</v>
      </c>
      <c r="B838" s="2090" t="str">
        <f t="shared" ref="B838:K838" si="442">IF(B831=0,"",-(B827+B828+B829+B830)/B831)</f>
        <v/>
      </c>
      <c r="C838" s="2090" t="str">
        <f t="shared" si="442"/>
        <v/>
      </c>
      <c r="D838" s="2090" t="str">
        <f t="shared" si="442"/>
        <v/>
      </c>
      <c r="E838" s="2090" t="str">
        <f t="shared" si="442"/>
        <v/>
      </c>
      <c r="F838" s="2090" t="str">
        <f t="shared" si="442"/>
        <v/>
      </c>
      <c r="G838" s="2090" t="str">
        <f t="shared" si="442"/>
        <v/>
      </c>
      <c r="H838" s="2090" t="str">
        <f t="shared" si="442"/>
        <v/>
      </c>
      <c r="I838" s="2090" t="str">
        <f t="shared" si="442"/>
        <v/>
      </c>
      <c r="J838" s="2090" t="str">
        <f t="shared" si="442"/>
        <v/>
      </c>
      <c r="K838" s="2090" t="str">
        <f t="shared" si="442"/>
        <v/>
      </c>
      <c r="N838" s="1920"/>
      <c r="O838" s="1920"/>
    </row>
    <row r="839" spans="1:15">
      <c r="A839" s="251" t="s">
        <v>1416</v>
      </c>
      <c r="B839" s="2090">
        <f t="shared" ref="B839:K839" si="443">IF(AND(B828=0,B829=0,B830=0,B831=0),"",-B827/(B828+B829+B830+B831))</f>
        <v>4.7326139588928067</v>
      </c>
      <c r="C839" s="2090">
        <f t="shared" si="443"/>
        <v>1.3907373664661555</v>
      </c>
      <c r="D839" s="2090">
        <f t="shared" si="443"/>
        <v>1.3710549718153926</v>
      </c>
      <c r="E839" s="2090">
        <f t="shared" si="443"/>
        <v>1.3495552565234235</v>
      </c>
      <c r="F839" s="2090">
        <f t="shared" si="443"/>
        <v>1.3261616092650972</v>
      </c>
      <c r="G839" s="2090">
        <f t="shared" si="443"/>
        <v>1.300783817745248</v>
      </c>
      <c r="H839" s="2090">
        <f t="shared" si="443"/>
        <v>1.2733449398609749</v>
      </c>
      <c r="I839" s="2090">
        <f t="shared" si="443"/>
        <v>1.2437488467784665</v>
      </c>
      <c r="J839" s="2090">
        <f t="shared" si="443"/>
        <v>1.2119124810859807</v>
      </c>
      <c r="K839" s="2090">
        <f t="shared" si="443"/>
        <v>1.1777387866671587</v>
      </c>
      <c r="N839" s="1920"/>
      <c r="O839" s="1920"/>
    </row>
    <row r="840" spans="1:15">
      <c r="A840" s="251" t="s">
        <v>1417</v>
      </c>
      <c r="B840" s="2091">
        <f>IF(OR(B824="Choose mgt fee",B824="Choose One!"),"",(B817+B818+B819+B820+B821) / -(B823+B824+B825))</f>
        <v>1.2864304191204003</v>
      </c>
      <c r="C840" s="2091">
        <f t="shared" ref="C840:K840" si="444">IF(OR(C824="Choose mgt fee",C824="Choose One!"),"",(C817+C818+C819+C820+C821) / -(C823+C824+C825))</f>
        <v>1.2747128191111952</v>
      </c>
      <c r="D840" s="2091">
        <f t="shared" si="444"/>
        <v>1.263094668284116</v>
      </c>
      <c r="E840" s="2091">
        <f t="shared" si="444"/>
        <v>1.2515758516839539</v>
      </c>
      <c r="F840" s="2091">
        <f t="shared" si="444"/>
        <v>1.2401561799726271</v>
      </c>
      <c r="G840" s="2091">
        <f t="shared" si="444"/>
        <v>1.2288330639849216</v>
      </c>
      <c r="H840" s="2091">
        <f t="shared" si="444"/>
        <v>1.2176075682406091</v>
      </c>
      <c r="I840" s="2091">
        <f t="shared" si="444"/>
        <v>1.20647727240794</v>
      </c>
      <c r="J840" s="2091">
        <f t="shared" si="444"/>
        <v>1.1954431386419837</v>
      </c>
      <c r="K840" s="2091">
        <f t="shared" si="444"/>
        <v>1.1845038985704055</v>
      </c>
      <c r="N840" s="1920"/>
      <c r="O840" s="1920"/>
    </row>
    <row r="841" spans="1:15">
      <c r="A841" s="251" t="s">
        <v>1418</v>
      </c>
      <c r="B841" s="2089">
        <f>'Part VI-Pro Forma'!B103</f>
        <v>0.10938451966245122</v>
      </c>
      <c r="C841" s="2089">
        <f>'Part VI-Pro Forma'!C103</f>
        <v>-133873.49778245739</v>
      </c>
      <c r="D841" s="2089">
        <f>'Part VI-Pro Forma'!D103</f>
        <v>-276004.13610590086</v>
      </c>
      <c r="E841" s="2089">
        <f>'Part VI-Pro Forma'!E103</f>
        <v>-426901.08120003866</v>
      </c>
      <c r="F841" s="2089">
        <f>'Part VI-Pro Forma'!F103</f>
        <v>-587105.01968462009</v>
      </c>
      <c r="G841" s="2089">
        <f>'Part VI-Pro Forma'!G103</f>
        <v>-757189.98654700513</v>
      </c>
      <c r="H841" s="2089">
        <f>'Part VI-Pro Forma'!H103</f>
        <v>-937765.42199650768</v>
      </c>
      <c r="I841" s="2089">
        <f>'Part VI-Pro Forma'!I103</f>
        <v>-1129478.3551810144</v>
      </c>
      <c r="J841" s="2089">
        <f>'Part VI-Pro Forma'!J103</f>
        <v>-1333015.7225904663</v>
      </c>
      <c r="K841" s="2089">
        <f>'Part VI-Pro Forma'!K103</f>
        <v>-1549106.8294543934</v>
      </c>
      <c r="N841" s="1920"/>
      <c r="O841" s="1920"/>
    </row>
    <row r="842" spans="1:15">
      <c r="A842" s="251" t="s">
        <v>1419</v>
      </c>
      <c r="B842" s="2089">
        <f>'Part VI-Pro Forma'!B104</f>
        <v>-55440.962639060839</v>
      </c>
      <c r="C842" s="2089">
        <f>'Part VI-Pro Forma'!C104</f>
        <v>-111438.88302050097</v>
      </c>
      <c r="D842" s="2089">
        <f>'Part VI-Pro Forma'!D104</f>
        <v>-167999.35631985651</v>
      </c>
      <c r="E842" s="2089">
        <f>'Part VI-Pro Forma'!E104</f>
        <v>-225128.03392173781</v>
      </c>
      <c r="F842" s="2089">
        <f>'Part VI-Pro Forma'!F104</f>
        <v>-282830.62398434395</v>
      </c>
      <c r="G842" s="2089">
        <f>'Part VI-Pro Forma'!G104</f>
        <v>-341112.8920098081</v>
      </c>
      <c r="H842" s="2089">
        <f>'Part VI-Pro Forma'!H104</f>
        <v>-399980.6614202722</v>
      </c>
      <c r="I842" s="2089">
        <f>'Part VI-Pro Forma'!I104</f>
        <v>-459439.81413974939</v>
      </c>
      <c r="J842" s="2089">
        <f>'Part VI-Pro Forma'!J104</f>
        <v>-519496.29118183127</v>
      </c>
      <c r="K842" s="2089">
        <f>'Part VI-Pro Forma'!K104</f>
        <v>-580156.09324329987</v>
      </c>
      <c r="N842" s="1920"/>
      <c r="O842" s="1920"/>
    </row>
    <row r="843" spans="1:15">
      <c r="A843" s="251" t="s">
        <v>1420</v>
      </c>
      <c r="B843" s="2089" t="str">
        <f>'Part VI-Pro Forma'!B105</f>
        <v/>
      </c>
      <c r="C843" s="2089" t="str">
        <f>'Part VI-Pro Forma'!C105</f>
        <v/>
      </c>
      <c r="D843" s="2089" t="str">
        <f>'Part VI-Pro Forma'!D105</f>
        <v/>
      </c>
      <c r="E843" s="2089" t="str">
        <f>'Part VI-Pro Forma'!E105</f>
        <v/>
      </c>
      <c r="F843" s="2089" t="str">
        <f>'Part VI-Pro Forma'!F105</f>
        <v/>
      </c>
      <c r="G843" s="2089" t="str">
        <f>'Part VI-Pro Forma'!G105</f>
        <v/>
      </c>
      <c r="H843" s="2089" t="str">
        <f>'Part VI-Pro Forma'!H105</f>
        <v/>
      </c>
      <c r="I843" s="2089" t="str">
        <f>'Part VI-Pro Forma'!I105</f>
        <v/>
      </c>
      <c r="J843" s="2089" t="str">
        <f>'Part VI-Pro Forma'!J105</f>
        <v/>
      </c>
      <c r="K843" s="2089" t="str">
        <f>'Part VI-Pro Forma'!K105</f>
        <v/>
      </c>
      <c r="N843" s="1920"/>
      <c r="O843" s="1920"/>
    </row>
    <row r="844" spans="1:15">
      <c r="A844" s="251" t="s">
        <v>1421</v>
      </c>
      <c r="B844" s="2089" t="str">
        <f>'Part VI-Pro Forma'!B106</f>
        <v/>
      </c>
      <c r="C844" s="2089" t="str">
        <f>'Part VI-Pro Forma'!C106</f>
        <v/>
      </c>
      <c r="D844" s="2089" t="str">
        <f>'Part VI-Pro Forma'!D106</f>
        <v/>
      </c>
      <c r="E844" s="2089" t="str">
        <f>'Part VI-Pro Forma'!E106</f>
        <v/>
      </c>
      <c r="F844" s="2089" t="str">
        <f>'Part VI-Pro Forma'!F106</f>
        <v/>
      </c>
      <c r="G844" s="2089" t="str">
        <f>'Part VI-Pro Forma'!G106</f>
        <v/>
      </c>
      <c r="H844" s="2089" t="str">
        <f>'Part VI-Pro Forma'!H106</f>
        <v/>
      </c>
      <c r="I844" s="2089" t="str">
        <f>'Part VI-Pro Forma'!I106</f>
        <v/>
      </c>
      <c r="J844" s="2089" t="str">
        <f>'Part VI-Pro Forma'!J106</f>
        <v/>
      </c>
      <c r="K844" s="2089" t="str">
        <f>'Part VI-Pro Forma'!K106</f>
        <v/>
      </c>
      <c r="N844" s="1920"/>
      <c r="O844" s="1920"/>
    </row>
    <row r="845" spans="1:15">
      <c r="B845" s="2089"/>
      <c r="C845" s="2089"/>
      <c r="D845" s="2089"/>
      <c r="E845" s="2089"/>
      <c r="F845" s="2089"/>
      <c r="G845" s="2089"/>
      <c r="H845" s="2089"/>
      <c r="I845" s="2089"/>
      <c r="J845" s="2089"/>
      <c r="K845" s="2089"/>
    </row>
    <row r="846" spans="1:15">
      <c r="A846" s="255" t="s">
        <v>480</v>
      </c>
      <c r="B846" s="2092">
        <f>K816+1</f>
        <v>31</v>
      </c>
      <c r="C846" s="2092">
        <f>B846+1</f>
        <v>32</v>
      </c>
      <c r="D846" s="2092">
        <f>C846+1</f>
        <v>33</v>
      </c>
      <c r="E846" s="2092">
        <f>D846+1</f>
        <v>34</v>
      </c>
      <c r="F846" s="2092">
        <f>E846+1</f>
        <v>35</v>
      </c>
      <c r="G846" s="2089"/>
      <c r="H846" s="2089"/>
      <c r="I846" s="2089"/>
      <c r="J846" s="2089"/>
      <c r="K846" s="2089"/>
      <c r="N846" s="255" t="s">
        <v>1425</v>
      </c>
      <c r="O846" s="255"/>
    </row>
    <row r="847" spans="1:15">
      <c r="A847" s="251" t="s">
        <v>1396</v>
      </c>
      <c r="B847" s="2089">
        <f>'Part VI-Pro Forma'!B109</f>
        <v>1507480.3193078386</v>
      </c>
      <c r="C847" s="2089">
        <f>'Part VI-Pro Forma'!C109</f>
        <v>1537629.9256939949</v>
      </c>
      <c r="D847" s="2089">
        <f>'Part VI-Pro Forma'!D109</f>
        <v>1568382.5242078751</v>
      </c>
      <c r="E847" s="2089">
        <f>'Part VI-Pro Forma'!E109</f>
        <v>1599750.1746920326</v>
      </c>
      <c r="F847" s="2089">
        <f>'Part VI-Pro Forma'!F109</f>
        <v>1631745.1781858732</v>
      </c>
      <c r="G847" s="2089"/>
      <c r="H847" s="2089"/>
      <c r="I847" s="2089"/>
      <c r="J847" s="2089"/>
      <c r="K847" s="2089"/>
      <c r="N847" s="1920"/>
      <c r="O847" s="1920"/>
    </row>
    <row r="848" spans="1:15">
      <c r="A848" s="251" t="s">
        <v>1281</v>
      </c>
      <c r="B848" s="2089">
        <f>'Part VI-Pro Forma'!B110</f>
        <v>30149.606386156771</v>
      </c>
      <c r="C848" s="2089">
        <f>'Part VI-Pro Forma'!C110</f>
        <v>30752.598513879901</v>
      </c>
      <c r="D848" s="2089">
        <f>'Part VI-Pro Forma'!D110</f>
        <v>31367.650484157504</v>
      </c>
      <c r="E848" s="2089">
        <f>'Part VI-Pro Forma'!E110</f>
        <v>31995.003493840657</v>
      </c>
      <c r="F848" s="2089">
        <f>'Part VI-Pro Forma'!F110</f>
        <v>32634.903563717467</v>
      </c>
      <c r="G848" s="2089"/>
      <c r="H848" s="2089"/>
      <c r="I848" s="2089"/>
      <c r="J848" s="2089"/>
      <c r="K848" s="2089"/>
      <c r="N848" s="1920"/>
      <c r="O848" s="1920"/>
    </row>
    <row r="849" spans="1:19">
      <c r="A849" s="251" t="s">
        <v>1399</v>
      </c>
      <c r="B849" s="2089">
        <f>'Part VI-Pro Forma'!B111</f>
        <v>-107634.09479857968</v>
      </c>
      <c r="C849" s="2089">
        <f>'Part VI-Pro Forma'!C111</f>
        <v>-109786.77669455124</v>
      </c>
      <c r="D849" s="2089">
        <f>'Part VI-Pro Forma'!D111</f>
        <v>-111982.5122284423</v>
      </c>
      <c r="E849" s="2089">
        <f>'Part VI-Pro Forma'!E111</f>
        <v>-114222.16247301114</v>
      </c>
      <c r="F849" s="2089">
        <f>'Part VI-Pro Forma'!F111</f>
        <v>-116506.60572247136</v>
      </c>
      <c r="G849" s="2089"/>
      <c r="H849" s="2089"/>
      <c r="I849" s="2089"/>
      <c r="J849" s="2089"/>
      <c r="K849" s="2089"/>
      <c r="N849" s="1920"/>
      <c r="O849" s="1920"/>
    </row>
    <row r="850" spans="1:19">
      <c r="A850" s="251" t="s">
        <v>1402</v>
      </c>
      <c r="B850" s="2089">
        <f>'Part VI-Pro Forma'!B112</f>
        <v>0</v>
      </c>
      <c r="C850" s="2089">
        <f>'Part VI-Pro Forma'!C112</f>
        <v>0</v>
      </c>
      <c r="D850" s="2089">
        <f>'Part VI-Pro Forma'!D112</f>
        <v>0</v>
      </c>
      <c r="E850" s="2089">
        <f>'Part VI-Pro Forma'!E112</f>
        <v>0</v>
      </c>
      <c r="F850" s="2089">
        <f>'Part VI-Pro Forma'!F112</f>
        <v>0</v>
      </c>
      <c r="G850" s="2089"/>
      <c r="H850" s="2089"/>
      <c r="I850" s="2089"/>
      <c r="J850" s="2089"/>
      <c r="K850" s="2089"/>
      <c r="N850" s="1920"/>
      <c r="O850" s="1920"/>
    </row>
    <row r="851" spans="1:19">
      <c r="A851" s="251" t="s">
        <v>1403</v>
      </c>
      <c r="B851" s="2089">
        <f>'Part VI-Pro Forma'!B113</f>
        <v>0</v>
      </c>
      <c r="C851" s="2089">
        <f>'Part VI-Pro Forma'!C113</f>
        <v>0</v>
      </c>
      <c r="D851" s="2089">
        <f>'Part VI-Pro Forma'!D113</f>
        <v>0</v>
      </c>
      <c r="E851" s="2089">
        <f>'Part VI-Pro Forma'!E113</f>
        <v>0</v>
      </c>
      <c r="F851" s="2089">
        <f>'Part VI-Pro Forma'!F113</f>
        <v>0</v>
      </c>
      <c r="G851" s="2089"/>
      <c r="H851" s="2089"/>
      <c r="I851" s="2089"/>
      <c r="J851" s="2089"/>
      <c r="K851" s="2089"/>
      <c r="N851" s="1920"/>
      <c r="O851" s="1920"/>
    </row>
    <row r="852" spans="1:19">
      <c r="A852" s="251" t="s">
        <v>1404</v>
      </c>
      <c r="B852" s="2089">
        <f>'Part VI-Pro Forma'!B114</f>
        <v>1429995.8308954157</v>
      </c>
      <c r="C852" s="2089">
        <f>'Part VI-Pro Forma'!C114</f>
        <v>1458595.7475133233</v>
      </c>
      <c r="D852" s="2089">
        <f>'Part VI-Pro Forma'!D114</f>
        <v>1487767.6624635903</v>
      </c>
      <c r="E852" s="2089">
        <f>'Part VI-Pro Forma'!E114</f>
        <v>1517523.0157128621</v>
      </c>
      <c r="F852" s="2089">
        <f>'Part VI-Pro Forma'!F114</f>
        <v>1547873.4760271192</v>
      </c>
      <c r="G852" s="2089"/>
      <c r="H852" s="2089"/>
      <c r="I852" s="2089"/>
      <c r="J852" s="2089"/>
      <c r="K852" s="2089"/>
      <c r="N852" s="1920"/>
      <c r="O852" s="1920"/>
    </row>
    <row r="853" spans="1:19">
      <c r="A853" s="251" t="s">
        <v>1405</v>
      </c>
      <c r="B853" s="2089">
        <f>'Part VI-Pro Forma'!B115</f>
        <v>-1055847.0386551458</v>
      </c>
      <c r="C853" s="2089">
        <f>'Part VI-Pro Forma'!C115</f>
        <v>-1087522.4498148004</v>
      </c>
      <c r="D853" s="2089">
        <f>'Part VI-Pro Forma'!D115</f>
        <v>-1120148.1233092442</v>
      </c>
      <c r="E853" s="2089">
        <f>'Part VI-Pro Forma'!E115</f>
        <v>-1153752.5670085214</v>
      </c>
      <c r="F853" s="2089">
        <f>'Part VI-Pro Forma'!F115</f>
        <v>-1188365.1440187769</v>
      </c>
      <c r="G853" s="2089"/>
      <c r="H853" s="2089"/>
      <c r="I853" s="2089"/>
      <c r="J853" s="2089"/>
      <c r="K853" s="2089"/>
      <c r="N853" s="1920"/>
      <c r="O853" s="1920"/>
    </row>
    <row r="854" spans="1:19">
      <c r="A854" s="251" t="s">
        <v>1406</v>
      </c>
      <c r="B854" s="2089">
        <f>'Part VI-Pro Forma'!B116</f>
        <v>-69355</v>
      </c>
      <c r="C854" s="2089">
        <f>'Part VI-Pro Forma'!C116</f>
        <v>-70742</v>
      </c>
      <c r="D854" s="2089">
        <f>'Part VI-Pro Forma'!D116</f>
        <v>-72157</v>
      </c>
      <c r="E854" s="2089">
        <f>'Part VI-Pro Forma'!E116</f>
        <v>-73600</v>
      </c>
      <c r="F854" s="2089">
        <f>'Part VI-Pro Forma'!F116</f>
        <v>-75072</v>
      </c>
      <c r="G854" s="2089"/>
      <c r="H854" s="2089"/>
      <c r="I854" s="2089"/>
      <c r="J854" s="2089"/>
      <c r="K854" s="2089"/>
      <c r="N854" s="1920"/>
      <c r="O854" s="1920"/>
    </row>
    <row r="855" spans="1:19">
      <c r="A855" s="251" t="s">
        <v>1407</v>
      </c>
      <c r="B855" s="2089">
        <f>'Part VI-Pro Forma'!B117</f>
        <v>-93206.878893682908</v>
      </c>
      <c r="C855" s="2089">
        <f>'Part VI-Pro Forma'!C117</f>
        <v>-96003.085260493419</v>
      </c>
      <c r="D855" s="2089">
        <f>'Part VI-Pro Forma'!D117</f>
        <v>-98883.177818308191</v>
      </c>
      <c r="E855" s="2089">
        <f>'Part VI-Pro Forma'!E117</f>
        <v>-101849.67315285745</v>
      </c>
      <c r="F855" s="2089">
        <f>'Part VI-Pro Forma'!F117</f>
        <v>-104905.16334744316</v>
      </c>
      <c r="G855" s="2089"/>
      <c r="H855" s="2089"/>
      <c r="I855" s="2089"/>
      <c r="J855" s="2089"/>
      <c r="K855" s="2089"/>
      <c r="N855" s="1920"/>
      <c r="O855" s="1920"/>
      <c r="Q855" s="1185">
        <v>10</v>
      </c>
      <c r="R855" s="1297">
        <f>-SUM(B861:K861)</f>
        <v>0</v>
      </c>
      <c r="S855" s="1297">
        <f>SUM(B862:K862)+R855</f>
        <v>0</v>
      </c>
    </row>
    <row r="856" spans="1:19">
      <c r="A856" s="251" t="s">
        <v>1408</v>
      </c>
      <c r="B856" s="2089">
        <f>'Part VI-Pro Forma'!B118</f>
        <v>0</v>
      </c>
      <c r="C856" s="2089">
        <f>'Part VI-Pro Forma'!C118</f>
        <v>0</v>
      </c>
      <c r="D856" s="2089">
        <f>'Part VI-Pro Forma'!D118</f>
        <v>0</v>
      </c>
      <c r="E856" s="2089">
        <f>'Part VI-Pro Forma'!E118</f>
        <v>0</v>
      </c>
      <c r="F856" s="2089">
        <f>'Part VI-Pro Forma'!F118</f>
        <v>0</v>
      </c>
      <c r="G856" s="2089"/>
      <c r="H856" s="2089"/>
      <c r="I856" s="2089"/>
      <c r="J856" s="2089"/>
      <c r="K856" s="2089"/>
      <c r="N856" s="1920"/>
      <c r="O856" s="1920"/>
    </row>
    <row r="857" spans="1:19">
      <c r="A857" s="251" t="s">
        <v>1409</v>
      </c>
      <c r="B857" s="2089">
        <f>SUM(B852:B856)</f>
        <v>211586.91334658704</v>
      </c>
      <c r="C857" s="2089">
        <f t="shared" ref="C857:F857" si="445">SUM(C852:C856)</f>
        <v>204328.2124380295</v>
      </c>
      <c r="D857" s="2089">
        <f t="shared" si="445"/>
        <v>196579.36133603792</v>
      </c>
      <c r="E857" s="2089">
        <f t="shared" si="445"/>
        <v>188320.77555148327</v>
      </c>
      <c r="F857" s="2089">
        <f t="shared" si="445"/>
        <v>179531.1686608991</v>
      </c>
      <c r="G857" s="2089"/>
      <c r="H857" s="2089"/>
      <c r="I857" s="2089"/>
      <c r="J857" s="2089"/>
      <c r="K857" s="2089"/>
      <c r="N857" s="1920"/>
      <c r="O857" s="1920"/>
    </row>
    <row r="858" spans="1:19">
      <c r="A858" s="251" t="str">
        <f>$A828</f>
        <v>Mortgage A</v>
      </c>
      <c r="B858" s="2089">
        <f>'Part VI-Pro Forma'!B120</f>
        <v>1549106.8294543934</v>
      </c>
      <c r="C858" s="2089">
        <f>'Part VI-Pro Forma'!C120</f>
        <v>-130231.87094349621</v>
      </c>
      <c r="D858" s="2089">
        <f>'Part VI-Pro Forma'!D120</f>
        <v>-130231.87094349621</v>
      </c>
      <c r="E858" s="2089">
        <f>'Part VI-Pro Forma'!E120</f>
        <v>-130231.87094349621</v>
      </c>
      <c r="F858" s="2089">
        <f>'Part VI-Pro Forma'!F120</f>
        <v>-130231.87094349621</v>
      </c>
      <c r="G858" s="2089"/>
      <c r="H858" s="2089"/>
      <c r="I858" s="2089"/>
      <c r="J858" s="2089"/>
      <c r="K858" s="2089"/>
      <c r="N858" s="1920"/>
      <c r="O858" s="1920"/>
    </row>
    <row r="859" spans="1:19">
      <c r="A859" s="251" t="str">
        <f>$A829</f>
        <v>Mortgage B</v>
      </c>
      <c r="B859" s="2089">
        <f>'Part VI-Pro Forma'!B121</f>
        <v>-55187.316834935598</v>
      </c>
      <c r="C859" s="2089">
        <f>'Part VI-Pro Forma'!C121</f>
        <v>-55187.316834935598</v>
      </c>
      <c r="D859" s="2089">
        <f>'Part VI-Pro Forma'!D121</f>
        <v>-55187.316834935598</v>
      </c>
      <c r="E859" s="2089">
        <f>'Part VI-Pro Forma'!E121</f>
        <v>-55187.316834935598</v>
      </c>
      <c r="F859" s="2089">
        <f>'Part VI-Pro Forma'!F121</f>
        <v>-55187.316834935598</v>
      </c>
      <c r="G859" s="2089"/>
      <c r="H859" s="2089"/>
      <c r="I859" s="2089"/>
      <c r="J859" s="2089"/>
      <c r="K859" s="2089"/>
      <c r="N859" s="1920"/>
      <c r="O859" s="1920"/>
    </row>
    <row r="860" spans="1:19">
      <c r="A860" s="251" t="str">
        <f>$A830</f>
        <v>Mortgage C</v>
      </c>
      <c r="B860" s="2089">
        <f>'Part VI-Pro Forma'!B122</f>
        <v>0</v>
      </c>
      <c r="C860" s="2089">
        <f>'Part VI-Pro Forma'!C122</f>
        <v>0</v>
      </c>
      <c r="D860" s="2089">
        <f>'Part VI-Pro Forma'!D122</f>
        <v>0</v>
      </c>
      <c r="E860" s="2089">
        <f>'Part VI-Pro Forma'!E122</f>
        <v>0</v>
      </c>
      <c r="F860" s="2089">
        <f>'Part VI-Pro Forma'!F122</f>
        <v>0</v>
      </c>
      <c r="G860" s="2089"/>
      <c r="H860" s="2089"/>
      <c r="I860" s="2089"/>
      <c r="J860" s="2089"/>
      <c r="K860" s="2089"/>
      <c r="N860" s="1920"/>
      <c r="O860" s="1920"/>
    </row>
    <row r="861" spans="1:19">
      <c r="A861" s="251" t="str">
        <f>$A831</f>
        <v>D/S Other Source,not DDF</v>
      </c>
      <c r="B861" s="2089">
        <f>'Part VI-Pro Forma'!B123</f>
        <v>0</v>
      </c>
      <c r="C861" s="2089">
        <f>'Part VI-Pro Forma'!C123</f>
        <v>0</v>
      </c>
      <c r="D861" s="2089">
        <f>'Part VI-Pro Forma'!D123</f>
        <v>0</v>
      </c>
      <c r="E861" s="2089">
        <f>'Part VI-Pro Forma'!E123</f>
        <v>0</v>
      </c>
      <c r="F861" s="2089">
        <f>'Part VI-Pro Forma'!F123</f>
        <v>0</v>
      </c>
      <c r="G861" s="2089"/>
      <c r="H861" s="2089"/>
      <c r="I861" s="2089"/>
      <c r="J861" s="2089"/>
      <c r="K861" s="2089"/>
      <c r="N861" s="1920"/>
      <c r="O861" s="1920"/>
    </row>
    <row r="862" spans="1:19">
      <c r="A862" s="251" t="s">
        <v>1411</v>
      </c>
      <c r="B862" s="2089">
        <f>'Part VI-Pro Forma'!B124</f>
        <v>0</v>
      </c>
      <c r="C862" s="2089">
        <f>'Part VI-Pro Forma'!C124</f>
        <v>0</v>
      </c>
      <c r="D862" s="2089">
        <f>'Part VI-Pro Forma'!D124</f>
        <v>0</v>
      </c>
      <c r="E862" s="2089">
        <f>'Part VI-Pro Forma'!E124</f>
        <v>0</v>
      </c>
      <c r="F862" s="2089">
        <f>'Part VI-Pro Forma'!F124</f>
        <v>0</v>
      </c>
      <c r="G862" s="2089"/>
      <c r="H862" s="2089"/>
      <c r="I862" s="2089"/>
      <c r="J862" s="2089"/>
      <c r="K862" s="2089"/>
      <c r="N862" s="1920"/>
      <c r="O862" s="1920"/>
    </row>
    <row r="863" spans="1:19">
      <c r="A863" s="251" t="s">
        <v>1412</v>
      </c>
      <c r="B863" s="2089">
        <f>'Part VI-Pro Forma'!B125</f>
        <v>-7500</v>
      </c>
      <c r="C863" s="2089">
        <f>'Part VI-Pro Forma'!C125</f>
        <v>-7500</v>
      </c>
      <c r="D863" s="2089">
        <f>'Part VI-Pro Forma'!D125</f>
        <v>-7500</v>
      </c>
      <c r="E863" s="2089">
        <f>'Part VI-Pro Forma'!E125</f>
        <v>-7500</v>
      </c>
      <c r="F863" s="2089">
        <f>'Part VI-Pro Forma'!F125</f>
        <v>-7500</v>
      </c>
      <c r="G863" s="2089"/>
      <c r="H863" s="2089"/>
      <c r="I863" s="2089"/>
      <c r="J863" s="2089"/>
      <c r="K863" s="2089"/>
      <c r="N863" s="1920"/>
      <c r="O863" s="1920"/>
    </row>
    <row r="864" spans="1:19">
      <c r="A864" s="251" t="s">
        <v>1414</v>
      </c>
      <c r="B864" s="2089">
        <f>'Part VI-Pro Forma'!B126</f>
        <v>1698006.4259660447</v>
      </c>
      <c r="C864" s="2089">
        <f>'Part VI-Pro Forma'!C126</f>
        <v>11409.024659597693</v>
      </c>
      <c r="D864" s="2089">
        <f>'Part VI-Pro Forma'!D126</f>
        <v>3660.1735576061183</v>
      </c>
      <c r="E864" s="2089">
        <f>'Part VI-Pro Forma'!E126</f>
        <v>-4598.4122269485379</v>
      </c>
      <c r="F864" s="2089">
        <f>'Part VI-Pro Forma'!F126</f>
        <v>-13388.019117532705</v>
      </c>
      <c r="G864" s="2089"/>
      <c r="H864" s="2089"/>
      <c r="I864" s="2089"/>
      <c r="J864" s="2089"/>
      <c r="K864" s="2089"/>
      <c r="N864" s="1920"/>
      <c r="O864" s="1920"/>
    </row>
    <row r="865" spans="1:15">
      <c r="A865" s="251" t="str">
        <f>$A835</f>
        <v>DCR Mortgage A</v>
      </c>
      <c r="B865" s="2090">
        <f>IF(B858=0,"",-B857/B858)</f>
        <v>-0.13658639244467696</v>
      </c>
      <c r="C865" s="2090">
        <f>IF(C858=0,"",-C857/C858)</f>
        <v>1.5689570529680981</v>
      </c>
      <c r="D865" s="2090">
        <f>IF(D858=0,"",-D857/D858)</f>
        <v>1.5094566323271816</v>
      </c>
      <c r="E865" s="2090">
        <f>IF(E858=0,"",-E857/E858)</f>
        <v>1.4460421568633544</v>
      </c>
      <c r="F865" s="2090">
        <f>IF(F858=0,"",-F857/F858)</f>
        <v>1.3785501763910957</v>
      </c>
      <c r="G865" s="2089"/>
      <c r="H865" s="2089"/>
      <c r="I865" s="2089"/>
      <c r="J865" s="2089"/>
      <c r="K865" s="2089"/>
      <c r="N865" s="1920"/>
      <c r="O865" s="1920"/>
    </row>
    <row r="866" spans="1:15">
      <c r="A866" s="251" t="str">
        <f>$A836</f>
        <v>DCR Mortgage B</v>
      </c>
      <c r="B866" s="2090">
        <f>IF(B859=0,"",-(B857+B858)/B859)</f>
        <v>31.903956267110935</v>
      </c>
      <c r="C866" s="2090">
        <f>IF(C859=0,"",-(C857+C858)/C859)</f>
        <v>1.3426335205995663</v>
      </c>
      <c r="D866" s="2090">
        <f>IF(D859=0,"",-(D857+D858)/D859)</f>
        <v>1.2022235215925794</v>
      </c>
      <c r="E866" s="2090">
        <f>IF(E859=0,"",-(E857+E858)/E859)</f>
        <v>1.052577076391122</v>
      </c>
      <c r="F866" s="2090">
        <f>IF(F859=0,"",-(F857+F858)/F859)</f>
        <v>0.89330847275754177</v>
      </c>
      <c r="G866" s="2089"/>
      <c r="H866" s="2089"/>
      <c r="I866" s="2089"/>
      <c r="J866" s="2089"/>
      <c r="K866" s="2089"/>
      <c r="N866" s="1920"/>
      <c r="O866" s="1920"/>
    </row>
    <row r="867" spans="1:15">
      <c r="A867" s="251" t="str">
        <f>$A837</f>
        <v>DCR Mortgage C</v>
      </c>
      <c r="B867" s="2090" t="str">
        <f>IF(B860=0,"",-(B857+B858+B859)/B860)</f>
        <v/>
      </c>
      <c r="C867" s="2090" t="str">
        <f>IF(C860=0,"",-(C857+C858+C859)/C860)</f>
        <v/>
      </c>
      <c r="D867" s="2090" t="str">
        <f>IF(D860=0,"",-(D857+D858+D859)/D860)</f>
        <v/>
      </c>
      <c r="E867" s="2090" t="str">
        <f>IF(E860=0,"",-(E857+E858+E859)/E860)</f>
        <v/>
      </c>
      <c r="F867" s="2090" t="str">
        <f>IF(F860=0,"",-(F857+F858+F859)/F860)</f>
        <v/>
      </c>
      <c r="G867" s="2089"/>
      <c r="H867" s="2089"/>
      <c r="I867" s="2089"/>
      <c r="J867" s="2089"/>
      <c r="K867" s="2089"/>
      <c r="N867" s="1920"/>
      <c r="O867" s="1920"/>
    </row>
    <row r="868" spans="1:15">
      <c r="A868" s="251" t="str">
        <f>$A838</f>
        <v>DCR Other Source</v>
      </c>
      <c r="B868" s="2090" t="str">
        <f>IF(B861=0,"",-(B857+B858+B859+B860)/B861)</f>
        <v/>
      </c>
      <c r="C868" s="2090" t="str">
        <f>IF(C861=0,"",-(C857+C858+C859+C860)/C861)</f>
        <v/>
      </c>
      <c r="D868" s="2090" t="str">
        <f>IF(D861=0,"",-(D857+D858+D859+D860)/D861)</f>
        <v/>
      </c>
      <c r="E868" s="2090" t="str">
        <f>IF(E861=0,"",-(E857+E858+E859+E860)/E861)</f>
        <v/>
      </c>
      <c r="F868" s="2090" t="str">
        <f>IF(F861=0,"",-(F857+F858+F859+F860)/F861)</f>
        <v/>
      </c>
      <c r="G868" s="2089"/>
      <c r="H868" s="2089"/>
      <c r="I868" s="2089"/>
      <c r="J868" s="2089"/>
      <c r="K868" s="2089"/>
      <c r="N868" s="1920"/>
      <c r="O868" s="1920"/>
    </row>
    <row r="869" spans="1:15">
      <c r="A869" s="251" t="s">
        <v>1416</v>
      </c>
      <c r="B869" s="2090">
        <f>IF(AND(B858=0,B859=0,B860=0,B861=0),"",-B857/(B858+B859+B860+B861))</f>
        <v>-0.1416320702415807</v>
      </c>
      <c r="C869" s="2090">
        <f>IF(AND(C858=0,C859=0,C860=0,C861=0),"",-C857/(C858+C859+C860+C861))</f>
        <v>1.1019798699700549</v>
      </c>
      <c r="D869" s="2090">
        <f>IF(AND(D858=0,D859=0,D860=0,D861=0),"",-D857/(D858+D859+D860+D861))</f>
        <v>1.0601888816973035</v>
      </c>
      <c r="E869" s="2090">
        <f>IF(AND(E858=0,E859=0,E860=0,E861=0),"",-E857/(E858+E859+E860+E861))</f>
        <v>1.0156487999317456</v>
      </c>
      <c r="F869" s="2090">
        <f>IF(AND(F858=0,F859=0,F860=0,F861=0),"",-F857/(F858+F859+F860+F861))</f>
        <v>0.96824482305159998</v>
      </c>
      <c r="G869" s="2089"/>
      <c r="H869" s="2089"/>
      <c r="I869" s="2089"/>
      <c r="J869" s="2089"/>
      <c r="K869" s="2089"/>
      <c r="N869" s="1920"/>
      <c r="O869" s="1920"/>
    </row>
    <row r="870" spans="1:15">
      <c r="A870" s="251" t="s">
        <v>1417</v>
      </c>
      <c r="B870" s="2091">
        <f>IF(OR(B854="Choose mgt fee",B854="Choose One!"),"",(B847+B848+B849+B850+B851) / -(B853+B854+B855))</f>
        <v>1.1736583755249046</v>
      </c>
      <c r="C870" s="2091">
        <f>IF(OR(C854="Choose mgt fee",C854="Choose One!"),"",(C847+C848+C849+C850+C851) / -(C853+C854+C855))</f>
        <v>1.1629064029196639</v>
      </c>
      <c r="D870" s="2091">
        <f>IF(OR(D854="Choose mgt fee",D854="Choose One!"),"",(D847+D848+D849+D850+D851) / -(D853+D854+D855))</f>
        <v>1.1522468575376432</v>
      </c>
      <c r="E870" s="2091">
        <f>IF(OR(E854="Choose mgt fee",E854="Choose One!"),"",(E847+E848+E849+E850+E851) / -(E853+E854+E855))</f>
        <v>1.1416795502305346</v>
      </c>
      <c r="F870" s="2091">
        <f>IF(OR(F854="Choose mgt fee",F854="Choose One!"),"",(F847+F848+F849+F850+F851) / -(F853+F854+F855))</f>
        <v>1.1312034040710617</v>
      </c>
      <c r="G870" s="2089"/>
      <c r="H870" s="2089"/>
      <c r="I870" s="2089"/>
      <c r="J870" s="2089"/>
      <c r="K870" s="2089"/>
      <c r="N870" s="1920"/>
      <c r="O870" s="1920"/>
    </row>
    <row r="871" spans="1:15">
      <c r="A871" s="251" t="s">
        <v>1418</v>
      </c>
      <c r="B871" s="2089">
        <f>'Part VI-Pro Forma'!B133</f>
        <v>-52227.022621215554</v>
      </c>
      <c r="C871" s="2089">
        <f>'Part VI-Pro Forma'!C133</f>
        <v>-189321.88501026461</v>
      </c>
      <c r="D871" s="2089">
        <f>'Part VI-Pro Forma'!D133</f>
        <v>-334872.45852933463</v>
      </c>
      <c r="E871" s="2089">
        <f>'Part VI-Pro Forma'!E133</f>
        <v>-489400.27293868363</v>
      </c>
      <c r="F871" s="2089">
        <f>'Part VI-Pro Forma'!F133</f>
        <v>-653459.02481300442</v>
      </c>
      <c r="G871" s="2089"/>
      <c r="H871" s="2089"/>
      <c r="I871" s="2089"/>
      <c r="J871" s="2089"/>
      <c r="K871" s="2089"/>
      <c r="N871" s="1920"/>
      <c r="O871" s="1920"/>
    </row>
    <row r="872" spans="1:15">
      <c r="A872" s="251" t="s">
        <v>1419</v>
      </c>
      <c r="B872" s="2089">
        <f>'Part VI-Pro Forma'!B134</f>
        <v>-641425.28130370204</v>
      </c>
      <c r="C872" s="2089">
        <f>'Part VI-Pro Forma'!C134</f>
        <v>-703309.9772309484</v>
      </c>
      <c r="D872" s="2089">
        <f>'Part VI-Pro Forma'!D134</f>
        <v>-765816.3643929949</v>
      </c>
      <c r="E872" s="2089">
        <f>'Part VI-Pro Forma'!E134</f>
        <v>-828950.68827567028</v>
      </c>
      <c r="F872" s="2089">
        <f>'Part VI-Pro Forma'!F134</f>
        <v>-892719.25710670964</v>
      </c>
      <c r="G872" s="2089"/>
      <c r="H872" s="2089"/>
      <c r="I872" s="2089"/>
      <c r="J872" s="2089"/>
      <c r="K872" s="2089"/>
      <c r="N872" s="1920"/>
      <c r="O872" s="1920"/>
    </row>
    <row r="873" spans="1:15">
      <c r="A873" s="251" t="s">
        <v>1420</v>
      </c>
      <c r="B873" s="2089" t="str">
        <f>'Part VI-Pro Forma'!B135</f>
        <v/>
      </c>
      <c r="C873" s="2089" t="str">
        <f>'Part VI-Pro Forma'!C135</f>
        <v/>
      </c>
      <c r="D873" s="2089" t="str">
        <f>'Part VI-Pro Forma'!D135</f>
        <v/>
      </c>
      <c r="E873" s="2089" t="str">
        <f>'Part VI-Pro Forma'!E135</f>
        <v/>
      </c>
      <c r="F873" s="2089" t="str">
        <f>'Part VI-Pro Forma'!F135</f>
        <v/>
      </c>
      <c r="G873" s="2089"/>
      <c r="H873" s="2089"/>
      <c r="I873" s="2089"/>
      <c r="J873" s="2089"/>
      <c r="K873" s="2089"/>
      <c r="N873" s="1920"/>
      <c r="O873" s="1920"/>
    </row>
    <row r="874" spans="1:15">
      <c r="A874" s="251" t="s">
        <v>1421</v>
      </c>
      <c r="B874" s="2089" t="str">
        <f>'Part VI-Pro Forma'!B136</f>
        <v/>
      </c>
      <c r="C874" s="2089" t="str">
        <f>'Part VI-Pro Forma'!C136</f>
        <v/>
      </c>
      <c r="D874" s="2089" t="str">
        <f>'Part VI-Pro Forma'!D136</f>
        <v/>
      </c>
      <c r="E874" s="2089" t="str">
        <f>'Part VI-Pro Forma'!E136</f>
        <v/>
      </c>
      <c r="F874" s="2089" t="str">
        <f>'Part VI-Pro Forma'!F136</f>
        <v/>
      </c>
      <c r="G874" s="2089"/>
      <c r="H874" s="2089"/>
      <c r="I874" s="2089"/>
      <c r="J874" s="2089"/>
      <c r="K874" s="2089"/>
      <c r="N874" s="1920"/>
      <c r="O874" s="1920"/>
    </row>
    <row r="876" spans="1:15">
      <c r="A876" s="255" t="s">
        <v>1427</v>
      </c>
      <c r="B876" s="255"/>
      <c r="G876" s="255" t="s">
        <v>1428</v>
      </c>
    </row>
    <row r="877" spans="1:15">
      <c r="B877" s="255"/>
    </row>
    <row r="878" spans="1:15" ht="15.75" customHeight="1">
      <c r="A878" s="1841" t="str">
        <f>'Part VI-Pro Forma'!A140</f>
        <v>APPLICANTS: Explain any any debt service payment amounts that deviate from the amount shown in Permanent Sources (Part III)</v>
      </c>
      <c r="B878" s="1841"/>
      <c r="C878" s="1841"/>
      <c r="D878" s="1841"/>
      <c r="E878" s="1841"/>
      <c r="F878" s="1841"/>
      <c r="G878" s="1841"/>
      <c r="H878" s="1841"/>
      <c r="I878" s="1841"/>
      <c r="J878" s="1841"/>
      <c r="K878" s="1841"/>
      <c r="N878" s="1957" t="s">
        <v>289</v>
      </c>
      <c r="O878" s="1957"/>
    </row>
    <row r="883" spans="1:17">
      <c r="A883" s="2093" t="str">
        <f>CONCATENATE("PART SEVEN - THRESHOLD CRITERIA","  -  ",'Part I-Project Identification'!$O$7," ",'Part I-Project Identification'!$F$27,", ",'Part I-Project Identification'!F906,", ",'Part I-Project Identification'!J906," County")</f>
        <v>PART SEVEN - THRESHOLD CRITERIA  -  2026-0xx The Groves, ,  County</v>
      </c>
      <c r="B883" s="2093"/>
      <c r="C883" s="2093"/>
      <c r="D883" s="2093"/>
      <c r="E883" s="2093"/>
      <c r="F883" s="2093"/>
      <c r="G883" s="2093"/>
      <c r="H883" s="2093"/>
      <c r="I883" s="2093"/>
      <c r="J883" s="2093"/>
      <c r="K883" s="2093"/>
      <c r="L883" s="2093"/>
      <c r="M883" s="2093"/>
      <c r="N883" s="2093"/>
      <c r="O883" s="2093"/>
      <c r="P883" s="2093"/>
      <c r="Q883" s="2093"/>
    </row>
    <row r="884" spans="1:17">
      <c r="A884" s="2094"/>
      <c r="B884" s="2094"/>
      <c r="C884" s="2094"/>
      <c r="D884" s="2094"/>
      <c r="E884" s="2094"/>
      <c r="F884" s="2094"/>
      <c r="G884" s="2094"/>
      <c r="H884" s="2094"/>
      <c r="I884" s="2094"/>
      <c r="J884" s="2094"/>
      <c r="K884" s="2094"/>
      <c r="L884" s="2094"/>
      <c r="M884" s="2094"/>
      <c r="N884" s="2094"/>
      <c r="O884" s="2094"/>
      <c r="P884" s="2094"/>
      <c r="Q884" s="2094"/>
    </row>
    <row r="885" spans="1:17" ht="12.75" customHeight="1">
      <c r="A885" s="2095" t="str">
        <f>IF(OR(P909="Fail",P915="Fail",P923="Fail",P931="Fail",P942="Fail",P952="Fail",P968="Fail",P977="Fail",P984="Fail",P991="Fail",P1000="Fail",P1009="Fail",P1028="Fail",P1038="Fail",P1045="Fail",P1055="Fail",P1076="Fail",P1091="Fail",P1104="Fail",P1118="Fail",P1128="Fail",P1138="Fail",P1149="Fail",P1158="Fail",P1169="Fail",P1177="Fail",P1186="Fail"),"Preliminary Rating: FAIL",IF(OR(P909="",P915="",P923="",P931="",P942="",P952="",P968="",P977="",P984="",P991="",P1000="",P1009="",P1028="",P1038="",P1045="",P1055="",P1076="",P1091="",P1104="",P1118="",P1128="",P1138="",P1149="",P1158="",P1169="",P1177="",P1186=""),"Preliminary Rating: Incomplete",IF(OR(P909="TBD",P915="TBD",P923="TBD",P931="TBD",P942="TBD",P952="TBD",P968="TBD",P977="TBD",P984="TBD",P991="TBD",P1000="TBD",P1009="TBD",P1028="TBD",P1038="TBD",P1045="TBD",P1055="TBD",P1076="TBD",P1091="TBD",P1104="TBD",P1118="TBD",P1128="TBD",P1138="TBD",P1149="TBD",P1158="TBD",P1169="TBD",P1177="TBD",P1186="TBD"),"Preliminary Rating: TBD","")))</f>
        <v>Preliminary Rating: Incomplete</v>
      </c>
      <c r="B885" s="2095"/>
      <c r="C885" s="2095"/>
      <c r="D885" s="2095"/>
      <c r="E885" s="2095"/>
      <c r="F885" s="2095"/>
      <c r="G885" s="2095"/>
      <c r="H885" s="2095" t="str">
        <f>IF(AND(NOT(A885="Preliminary Rating: Fail"),NOT(A885="Preliminary Rating: Incomplete"),NOT(A885="Preliminary Rating: TBD"),OR(P909="Conditional Pass",P915="Conditional Pass",P923="Conditional Pass",P931="Conditional Pass",P942="Conditional Pass",P952="Conditional Pass",P968="Conditional Pass",P977="Conditional Pass",P984="Conditional Pass",P991="Conditional Pass",P1000="Conditional Pass",P1009="Conditional Pass",P1028="Conditional Pass",P1038="Conditional Pass",P1045="Conditional Pass",P1055="Conditional Pass",P1076="Conditional Pass",P1091="Conditional Pass",P1104="Conditional Pass",P1118="Conditional Pass",P1128="Conditional Pass",P1138="Conditional Pass",P1149="Conditional Pass",P1158="Conditional Pass",P1169="Conditional Pass",P1177="Conditional Pass",P1186="Conditional Pass")),"Preliminary Rating: Conditional Pass","")</f>
        <v/>
      </c>
      <c r="I885" s="2095"/>
      <c r="J885" s="2095"/>
      <c r="K885" s="2095"/>
      <c r="L885" s="2095"/>
      <c r="M885" s="2095"/>
      <c r="N885" s="2095"/>
      <c r="O885" s="2094"/>
      <c r="P885" s="2093" t="s">
        <v>7566</v>
      </c>
      <c r="Q885" s="2093" t="s">
        <v>1431</v>
      </c>
    </row>
    <row r="886" spans="1:17">
      <c r="A886" s="2093"/>
      <c r="B886" s="2095"/>
      <c r="C886" s="2095"/>
      <c r="D886" s="2095"/>
      <c r="E886" s="2093"/>
      <c r="F886" s="2093"/>
      <c r="G886" s="2093"/>
      <c r="H886" s="2093"/>
      <c r="I886" s="2094"/>
      <c r="J886" s="2093"/>
      <c r="K886" s="2093"/>
      <c r="L886" s="2093"/>
      <c r="M886" s="2093"/>
      <c r="N886" s="2093"/>
      <c r="O886" s="2094"/>
      <c r="P886" s="2093"/>
      <c r="Q886" s="2093"/>
    </row>
    <row r="887" spans="1:17">
      <c r="A887" s="2094"/>
      <c r="B887" s="2094"/>
      <c r="C887" s="2094"/>
      <c r="D887" s="2094"/>
      <c r="E887" s="2096" t="str">
        <f>'Part I-Project Identification'!$A$6</f>
        <v>May XX, 2026</v>
      </c>
      <c r="F887" s="2096"/>
      <c r="G887" s="2096"/>
      <c r="H887" s="2096"/>
      <c r="I887" s="2096"/>
      <c r="J887" s="2093"/>
      <c r="K887" s="2097"/>
      <c r="L887" s="2097"/>
      <c r="M887" s="2097"/>
      <c r="N887" s="2097"/>
      <c r="O887" s="2094"/>
      <c r="P887" s="2093"/>
      <c r="Q887" s="2093"/>
    </row>
    <row r="888" spans="1:17">
      <c r="A888" s="2094"/>
      <c r="B888" s="2094"/>
      <c r="C888" s="2094"/>
      <c r="D888" s="2094"/>
      <c r="E888" s="2096"/>
      <c r="F888" s="2096"/>
      <c r="G888" s="2096"/>
      <c r="H888" s="2096"/>
      <c r="I888" s="2096"/>
      <c r="J888" s="2093"/>
      <c r="K888" s="2094"/>
      <c r="L888" s="2098"/>
      <c r="M888" s="2093"/>
      <c r="N888" s="2097"/>
      <c r="O888" s="2094"/>
      <c r="P888" s="2093"/>
      <c r="Q888" s="2093"/>
    </row>
    <row r="889" spans="1:17" ht="15.75" customHeight="1">
      <c r="A889" s="2099" t="s">
        <v>1432</v>
      </c>
      <c r="B889" s="2099"/>
      <c r="C889" s="2099"/>
      <c r="D889" s="2099"/>
      <c r="E889" s="2099"/>
      <c r="F889" s="2099"/>
      <c r="G889" s="2099"/>
      <c r="H889" s="2099"/>
      <c r="I889" s="2099"/>
      <c r="J889" s="2099"/>
      <c r="K889" s="2099"/>
      <c r="L889" s="2099"/>
      <c r="M889" s="2099"/>
      <c r="N889" s="2099"/>
      <c r="O889" s="2099"/>
      <c r="P889" s="2099"/>
      <c r="Q889" s="2099"/>
    </row>
    <row r="890" spans="1:17">
      <c r="A890" s="2094"/>
      <c r="B890" s="2094"/>
      <c r="C890" s="2094"/>
      <c r="D890" s="2094"/>
      <c r="E890" s="2096"/>
      <c r="F890" s="2096"/>
      <c r="G890" s="2096"/>
      <c r="H890" s="2096"/>
      <c r="I890" s="2096"/>
      <c r="J890" s="2093"/>
      <c r="K890" s="2094"/>
      <c r="L890" s="2093"/>
      <c r="M890" s="2093"/>
      <c r="N890" s="2093"/>
      <c r="O890" s="2094"/>
      <c r="P890" s="2093"/>
      <c r="Q890" s="2093"/>
    </row>
    <row r="891" spans="1:17" ht="13.8">
      <c r="A891" s="2100" t="s">
        <v>7567</v>
      </c>
      <c r="B891" s="2101"/>
      <c r="C891" s="2101"/>
      <c r="D891" s="2101"/>
      <c r="E891" s="2101"/>
      <c r="F891" s="2101"/>
      <c r="G891" s="2101"/>
      <c r="H891" s="2101"/>
      <c r="I891" s="1750"/>
      <c r="J891" s="1750"/>
      <c r="K891" s="1745"/>
      <c r="L891" s="1745"/>
      <c r="M891" s="1745"/>
      <c r="N891" s="1745"/>
      <c r="O891" s="1745"/>
      <c r="P891" s="1750"/>
      <c r="Q891" s="1750"/>
    </row>
    <row r="892" spans="1:17" ht="14.4">
      <c r="A892" s="2102" t="s">
        <v>1434</v>
      </c>
      <c r="B892" s="2101"/>
      <c r="C892" s="2101"/>
      <c r="D892" s="2101"/>
      <c r="E892" s="2101"/>
      <c r="F892" s="2101"/>
      <c r="G892" s="2101"/>
      <c r="H892" s="1745"/>
      <c r="I892" s="1750"/>
      <c r="J892" s="1750"/>
      <c r="K892" s="1745"/>
      <c r="L892" s="1745"/>
      <c r="M892" s="1748"/>
      <c r="N892" s="1748"/>
      <c r="O892" s="2101"/>
      <c r="P892" s="2101"/>
      <c r="Q892" s="2101"/>
    </row>
    <row r="893" spans="1:17">
      <c r="A893" s="2103" t="s">
        <v>1435</v>
      </c>
      <c r="B893" s="2103"/>
      <c r="C893" s="2103"/>
      <c r="D893" s="2103"/>
      <c r="E893" s="2103"/>
      <c r="F893" s="2103"/>
      <c r="G893" s="2103"/>
      <c r="H893" s="2103"/>
      <c r="I893" s="2103"/>
      <c r="J893" s="2103"/>
      <c r="K893" s="2103"/>
      <c r="L893" s="2103"/>
      <c r="M893" s="2103"/>
      <c r="N893" s="2103"/>
      <c r="O893" s="2103"/>
      <c r="P893" s="2103"/>
      <c r="Q893" s="2103"/>
    </row>
    <row r="894" spans="1:17">
      <c r="A894" s="2103" t="s">
        <v>1436</v>
      </c>
      <c r="B894" s="2103"/>
      <c r="C894" s="2103"/>
      <c r="D894" s="2103"/>
      <c r="E894" s="2103"/>
      <c r="F894" s="2103"/>
      <c r="G894" s="2103"/>
      <c r="H894" s="2103"/>
      <c r="I894" s="2103"/>
      <c r="J894" s="2103"/>
      <c r="K894" s="2103"/>
      <c r="L894" s="2103"/>
      <c r="M894" s="2103"/>
      <c r="N894" s="2103"/>
      <c r="O894" s="2103"/>
      <c r="P894" s="2103"/>
      <c r="Q894" s="2103"/>
    </row>
    <row r="895" spans="1:17">
      <c r="A895" s="2103" t="s">
        <v>1437</v>
      </c>
      <c r="B895" s="2103"/>
      <c r="C895" s="2103"/>
      <c r="D895" s="2103"/>
      <c r="E895" s="2103"/>
      <c r="F895" s="2103"/>
      <c r="G895" s="2103"/>
      <c r="H895" s="2103"/>
      <c r="I895" s="2103"/>
      <c r="J895" s="2103"/>
      <c r="K895" s="2103"/>
      <c r="L895" s="2103"/>
      <c r="M895" s="2103"/>
      <c r="N895" s="2103"/>
      <c r="O895" s="2103"/>
      <c r="P895" s="2103"/>
      <c r="Q895" s="2103"/>
    </row>
    <row r="896" spans="1:17">
      <c r="A896" s="2103" t="s">
        <v>1438</v>
      </c>
      <c r="B896" s="2103"/>
      <c r="C896" s="2103"/>
      <c r="D896" s="2103"/>
      <c r="E896" s="2103"/>
      <c r="F896" s="2103"/>
      <c r="G896" s="2103"/>
      <c r="H896" s="2103"/>
      <c r="I896" s="2103"/>
      <c r="J896" s="2103"/>
      <c r="K896" s="2103"/>
      <c r="L896" s="2103"/>
      <c r="M896" s="2103"/>
      <c r="N896" s="2103"/>
      <c r="O896" s="2103"/>
      <c r="P896" s="2103"/>
      <c r="Q896" s="2103"/>
    </row>
    <row r="897" spans="1:17">
      <c r="A897" s="2103" t="s">
        <v>1439</v>
      </c>
      <c r="B897" s="2103"/>
      <c r="C897" s="2103"/>
      <c r="D897" s="2103"/>
      <c r="E897" s="2103"/>
      <c r="F897" s="2103"/>
      <c r="G897" s="2103"/>
      <c r="H897" s="2103"/>
      <c r="I897" s="2103"/>
      <c r="J897" s="2103"/>
      <c r="K897" s="2103"/>
      <c r="L897" s="2103"/>
      <c r="M897" s="2103"/>
      <c r="N897" s="2103"/>
      <c r="O897" s="2103"/>
      <c r="P897" s="2103"/>
      <c r="Q897" s="2103"/>
    </row>
    <row r="898" spans="1:17">
      <c r="A898" s="2103" t="s">
        <v>1440</v>
      </c>
      <c r="B898" s="2103"/>
      <c r="C898" s="2103"/>
      <c r="D898" s="2103"/>
      <c r="E898" s="2103"/>
      <c r="F898" s="2103"/>
      <c r="G898" s="2103"/>
      <c r="H898" s="2103"/>
      <c r="I898" s="2103"/>
      <c r="J898" s="2103"/>
      <c r="K898" s="2103"/>
      <c r="L898" s="2103"/>
      <c r="M898" s="2103"/>
      <c r="N898" s="2103"/>
      <c r="O898" s="2103"/>
      <c r="P898" s="2103"/>
      <c r="Q898" s="2103"/>
    </row>
    <row r="899" spans="1:17">
      <c r="A899" s="2103" t="s">
        <v>1441</v>
      </c>
      <c r="B899" s="2103"/>
      <c r="C899" s="2103"/>
      <c r="D899" s="2103"/>
      <c r="E899" s="2103"/>
      <c r="F899" s="2103"/>
      <c r="G899" s="2103"/>
      <c r="H899" s="2103"/>
      <c r="I899" s="2103"/>
      <c r="J899" s="2103"/>
      <c r="K899" s="2103"/>
      <c r="L899" s="2103"/>
      <c r="M899" s="2103"/>
      <c r="N899" s="2103"/>
      <c r="O899" s="2103"/>
      <c r="P899" s="2103"/>
      <c r="Q899" s="2103"/>
    </row>
    <row r="900" spans="1:17">
      <c r="A900" s="2103" t="s">
        <v>1442</v>
      </c>
      <c r="B900" s="2103"/>
      <c r="C900" s="2103"/>
      <c r="D900" s="2103"/>
      <c r="E900" s="2103"/>
      <c r="F900" s="2103"/>
      <c r="G900" s="2103"/>
      <c r="H900" s="2103"/>
      <c r="I900" s="2103"/>
      <c r="J900" s="2103"/>
      <c r="K900" s="2103"/>
      <c r="L900" s="2103"/>
      <c r="M900" s="2103"/>
      <c r="N900" s="2103"/>
      <c r="O900" s="2103"/>
      <c r="P900" s="2103"/>
      <c r="Q900" s="2103"/>
    </row>
    <row r="901" spans="1:17">
      <c r="A901" s="2103" t="s">
        <v>1443</v>
      </c>
      <c r="B901" s="2103"/>
      <c r="C901" s="2103"/>
      <c r="D901" s="2103"/>
      <c r="E901" s="2103"/>
      <c r="F901" s="2103"/>
      <c r="G901" s="2103"/>
      <c r="H901" s="2103"/>
      <c r="I901" s="2103"/>
      <c r="J901" s="2103"/>
      <c r="K901" s="2103"/>
      <c r="L901" s="2103"/>
      <c r="M901" s="2103"/>
      <c r="N901" s="2103"/>
      <c r="O901" s="2103"/>
      <c r="P901" s="2103"/>
      <c r="Q901" s="2103"/>
    </row>
    <row r="902" spans="1:17">
      <c r="A902" s="2103" t="s">
        <v>1444</v>
      </c>
      <c r="B902" s="2103"/>
      <c r="C902" s="2103"/>
      <c r="D902" s="2103"/>
      <c r="E902" s="2103"/>
      <c r="F902" s="2103"/>
      <c r="G902" s="2103"/>
      <c r="H902" s="2103"/>
      <c r="I902" s="2103"/>
      <c r="J902" s="2103"/>
      <c r="K902" s="2103"/>
      <c r="L902" s="2103"/>
      <c r="M902" s="2103"/>
      <c r="N902" s="2103"/>
      <c r="O902" s="2103"/>
      <c r="P902" s="2103"/>
      <c r="Q902" s="2103"/>
    </row>
    <row r="903" spans="1:17">
      <c r="A903" s="2103" t="s">
        <v>1445</v>
      </c>
      <c r="B903" s="2103"/>
      <c r="C903" s="2103"/>
      <c r="D903" s="2103"/>
      <c r="E903" s="2103"/>
      <c r="F903" s="2103"/>
      <c r="G903" s="2103"/>
      <c r="H903" s="2103"/>
      <c r="I903" s="2103"/>
      <c r="J903" s="2103"/>
      <c r="K903" s="2103"/>
      <c r="L903" s="2103"/>
      <c r="M903" s="2103"/>
      <c r="N903" s="2103"/>
      <c r="O903" s="2103"/>
      <c r="P903" s="2103"/>
      <c r="Q903" s="2103"/>
    </row>
    <row r="904" spans="1:17">
      <c r="A904" s="2103" t="s">
        <v>1446</v>
      </c>
      <c r="B904" s="2103"/>
      <c r="C904" s="2103"/>
      <c r="D904" s="2103"/>
      <c r="E904" s="2103"/>
      <c r="F904" s="2103"/>
      <c r="G904" s="2103"/>
      <c r="H904" s="2103"/>
      <c r="I904" s="2103"/>
      <c r="J904" s="2103"/>
      <c r="K904" s="2103"/>
      <c r="L904" s="2103"/>
      <c r="M904" s="2103"/>
      <c r="N904" s="2103"/>
      <c r="O904" s="2103"/>
      <c r="P904" s="2103"/>
      <c r="Q904" s="2103"/>
    </row>
    <row r="905" spans="1:17">
      <c r="A905" s="2103" t="s">
        <v>1447</v>
      </c>
      <c r="B905" s="2103"/>
      <c r="C905" s="2103"/>
      <c r="D905" s="2103"/>
      <c r="E905" s="2103"/>
      <c r="F905" s="2103"/>
      <c r="G905" s="2103"/>
      <c r="H905" s="2103"/>
      <c r="I905" s="2103"/>
      <c r="J905" s="2103"/>
      <c r="K905" s="2103"/>
      <c r="L905" s="2103"/>
      <c r="M905" s="2103"/>
      <c r="N905" s="2103"/>
      <c r="O905" s="2103"/>
      <c r="P905" s="2103"/>
      <c r="Q905" s="2103"/>
    </row>
    <row r="906" spans="1:17">
      <c r="A906" s="2103" t="s">
        <v>1448</v>
      </c>
      <c r="B906" s="2103"/>
      <c r="C906" s="2103"/>
      <c r="D906" s="2103"/>
      <c r="E906" s="2103"/>
      <c r="F906" s="2103"/>
      <c r="G906" s="2103"/>
      <c r="H906" s="2103"/>
      <c r="I906" s="2103"/>
      <c r="J906" s="2103"/>
      <c r="K906" s="2103"/>
      <c r="L906" s="2103"/>
      <c r="M906" s="2103"/>
      <c r="N906" s="2103"/>
      <c r="O906" s="2103"/>
      <c r="P906" s="2103"/>
      <c r="Q906" s="2103"/>
    </row>
    <row r="907" spans="1:17">
      <c r="A907" s="2103" t="s">
        <v>1449</v>
      </c>
      <c r="B907" s="2103"/>
      <c r="C907" s="2103"/>
      <c r="D907" s="2103"/>
      <c r="E907" s="2103"/>
      <c r="F907" s="2103"/>
      <c r="G907" s="2103"/>
      <c r="H907" s="2103"/>
      <c r="I907" s="2103"/>
      <c r="J907" s="2103"/>
      <c r="K907" s="2103"/>
      <c r="L907" s="2103"/>
      <c r="M907" s="2103"/>
      <c r="N907" s="2103"/>
      <c r="O907" s="2103"/>
      <c r="P907" s="2103"/>
      <c r="Q907" s="2103"/>
    </row>
    <row r="908" spans="1:17" ht="13.8">
      <c r="A908" s="2101"/>
      <c r="B908" s="2101"/>
      <c r="C908" s="2101"/>
      <c r="D908" s="2101"/>
      <c r="E908" s="2101"/>
      <c r="F908" s="2101"/>
      <c r="G908" s="2101"/>
      <c r="H908" s="2101"/>
      <c r="I908" s="2101"/>
      <c r="J908" s="2101"/>
      <c r="K908" s="2101"/>
      <c r="L908" s="2101"/>
      <c r="M908" s="2101"/>
      <c r="N908" s="2101"/>
      <c r="O908" s="2101"/>
      <c r="P908" s="2101"/>
      <c r="Q908" s="2101"/>
    </row>
    <row r="909" spans="1:17" ht="13.8">
      <c r="A909" s="2104" t="s">
        <v>21</v>
      </c>
      <c r="B909" s="1750" t="s">
        <v>1450</v>
      </c>
      <c r="C909" s="1750"/>
      <c r="D909" s="1750"/>
      <c r="E909" s="1750"/>
      <c r="F909" s="1750"/>
      <c r="G909" s="1750"/>
      <c r="H909" s="1745"/>
      <c r="I909" s="1747"/>
      <c r="J909" s="1747"/>
      <c r="K909" s="1747"/>
      <c r="L909" s="1748"/>
      <c r="M909" s="1748"/>
      <c r="N909" s="1745"/>
      <c r="O909" s="2105" t="s">
        <v>1451</v>
      </c>
      <c r="P909" s="1750"/>
      <c r="Q909" s="1750"/>
    </row>
    <row r="910" spans="1:17" ht="14.4">
      <c r="A910" s="1745"/>
      <c r="B910" s="2106" t="s">
        <v>1452</v>
      </c>
      <c r="C910" s="2106"/>
      <c r="D910" s="2106"/>
      <c r="E910" s="2106"/>
      <c r="F910" s="2106"/>
      <c r="G910" s="1747"/>
      <c r="H910" s="1747"/>
      <c r="I910" s="1747"/>
      <c r="J910" s="1747"/>
      <c r="K910" s="1748"/>
      <c r="L910" s="1748"/>
      <c r="M910" s="1748"/>
      <c r="N910" s="1748"/>
      <c r="O910" s="1748"/>
      <c r="P910" s="1750"/>
      <c r="Q910" s="1745"/>
    </row>
    <row r="911" spans="1:17" ht="13.8">
      <c r="A911" s="2107" t="str">
        <f>'Part VII-Threshold Criteria'!A29</f>
        <v xml:space="preserve">The applicant has submitted a proposal which conforms to the 2026 QAP. All costs for Development and Construction have been carefully underwritten based upon experience with previous and current LIHTC projects. Federal and State equity pricing is competitive and provided by experienced LIHTC syndicators and are appropriate for their yields. Operating costs have been proposed based on experience with the current property and other LIHTC properties. Rents have been set within the allowable limits per DCA instructions and the most current utiiltiy allowances from DCA have been utilized. </v>
      </c>
      <c r="B911" s="2107"/>
      <c r="C911" s="2107"/>
      <c r="D911" s="2107"/>
      <c r="E911" s="2107"/>
      <c r="F911" s="2107"/>
      <c r="G911" s="2107"/>
      <c r="H911" s="2107"/>
      <c r="I911" s="2107"/>
      <c r="J911" s="2107"/>
      <c r="K911" s="2107"/>
      <c r="L911" s="2107"/>
      <c r="M911" s="2107"/>
      <c r="N911" s="2107"/>
      <c r="O911" s="2107"/>
      <c r="P911" s="2107"/>
      <c r="Q911" s="2107"/>
    </row>
    <row r="912" spans="1:17" ht="14.4">
      <c r="A912" s="1745"/>
      <c r="B912" s="2106" t="s">
        <v>1453</v>
      </c>
      <c r="C912" s="2106"/>
      <c r="D912" s="1745"/>
      <c r="E912" s="1745"/>
      <c r="F912" s="1745"/>
      <c r="G912" s="1745"/>
      <c r="H912" s="1745"/>
      <c r="I912" s="1745"/>
      <c r="J912" s="1745"/>
      <c r="K912" s="1745"/>
      <c r="L912" s="1745"/>
      <c r="M912" s="1745"/>
      <c r="N912" s="1745"/>
      <c r="O912" s="1745"/>
      <c r="P912" s="1745"/>
      <c r="Q912" s="1745"/>
    </row>
    <row r="913" spans="1:17" ht="13.8">
      <c r="A913" s="1745"/>
      <c r="B913" s="1745"/>
      <c r="C913" s="1745"/>
      <c r="D913" s="1745"/>
      <c r="E913" s="1745"/>
      <c r="F913" s="1745"/>
      <c r="G913" s="1745"/>
      <c r="H913" s="1745"/>
      <c r="I913" s="1745"/>
      <c r="J913" s="1745"/>
      <c r="K913" s="1745"/>
      <c r="L913" s="1745"/>
      <c r="M913" s="1745"/>
      <c r="N913" s="1745"/>
      <c r="O913" s="1745"/>
      <c r="P913" s="1745"/>
      <c r="Q913" s="1745"/>
    </row>
    <row r="914" spans="1:17" ht="13.8">
      <c r="A914" s="1745"/>
      <c r="B914" s="1745"/>
      <c r="C914" s="1745"/>
      <c r="D914" s="1745"/>
      <c r="E914" s="1745"/>
      <c r="F914" s="1745"/>
      <c r="G914" s="1745"/>
      <c r="H914" s="1745"/>
      <c r="I914" s="1745"/>
      <c r="J914" s="1745"/>
      <c r="K914" s="1745"/>
      <c r="L914" s="1745"/>
      <c r="M914" s="1745"/>
      <c r="N914" s="1745"/>
      <c r="O914" s="1745"/>
      <c r="P914" s="1745"/>
      <c r="Q914" s="1750"/>
    </row>
    <row r="915" spans="1:17" ht="13.8">
      <c r="A915" s="2104" t="s">
        <v>25</v>
      </c>
      <c r="B915" s="1750" t="s">
        <v>1458</v>
      </c>
      <c r="C915" s="1750"/>
      <c r="D915" s="1750"/>
      <c r="E915" s="1746"/>
      <c r="F915" s="1746"/>
      <c r="G915" s="1746"/>
      <c r="H915" s="1745"/>
      <c r="I915" s="1745"/>
      <c r="J915" s="1745"/>
      <c r="K915" s="1745"/>
      <c r="L915" s="1745"/>
      <c r="M915" s="1745"/>
      <c r="N915" s="1745"/>
      <c r="O915" s="2105" t="s">
        <v>1451</v>
      </c>
      <c r="P915" s="1750"/>
      <c r="Q915" s="1750"/>
    </row>
    <row r="916" spans="1:17" ht="13.8">
      <c r="A916" s="2104"/>
      <c r="B916" s="1745" t="s">
        <v>7568</v>
      </c>
      <c r="C916" s="1745"/>
      <c r="D916" s="1745"/>
      <c r="E916" s="1745"/>
      <c r="F916" s="1745"/>
      <c r="G916" s="1745"/>
      <c r="H916" s="1745"/>
      <c r="I916" s="1745"/>
      <c r="J916" s="1745"/>
      <c r="K916" s="1745"/>
      <c r="L916" s="1745"/>
      <c r="M916" s="1745"/>
      <c r="N916" s="1745"/>
      <c r="O916" s="1745"/>
      <c r="P916" s="1750" t="str">
        <f>'Part VII-Threshold Criteria'!P44</f>
        <v>Yes</v>
      </c>
      <c r="Q916" s="1750"/>
    </row>
    <row r="917" spans="1:17" ht="14.4">
      <c r="A917" s="1745"/>
      <c r="B917" s="2106" t="s">
        <v>1457</v>
      </c>
      <c r="C917" s="1745"/>
      <c r="D917" s="2106"/>
      <c r="E917" s="2106"/>
      <c r="F917" s="2106"/>
      <c r="G917" s="2106"/>
      <c r="H917" s="1745"/>
      <c r="I917" s="1745"/>
      <c r="J917" s="1745"/>
      <c r="K917" s="1745"/>
      <c r="L917" s="1745"/>
      <c r="M917" s="1745"/>
      <c r="N917" s="1745"/>
      <c r="O917" s="1745"/>
      <c r="P917" s="1745"/>
      <c r="Q917" s="1745"/>
    </row>
    <row r="918" spans="1:17" ht="13.8">
      <c r="A918" s="2107" t="str">
        <f>'Part VII-Threshold Criteria'!A46</f>
        <v>The applicant has elected family tenancy for this project.</v>
      </c>
      <c r="B918" s="2107"/>
      <c r="C918" s="2107"/>
      <c r="D918" s="2107"/>
      <c r="E918" s="2107"/>
      <c r="F918" s="2107"/>
      <c r="G918" s="2107"/>
      <c r="H918" s="2107"/>
      <c r="I918" s="2107"/>
      <c r="J918" s="2107"/>
      <c r="K918" s="2107"/>
      <c r="L918" s="2107"/>
      <c r="M918" s="2107"/>
      <c r="N918" s="2107"/>
      <c r="O918" s="2107"/>
      <c r="P918" s="2107"/>
      <c r="Q918" s="2107"/>
    </row>
    <row r="919" spans="1:17" ht="14.4">
      <c r="A919" s="1750"/>
      <c r="B919" s="2106" t="s">
        <v>1453</v>
      </c>
      <c r="C919" s="1750"/>
      <c r="D919" s="1750"/>
      <c r="E919" s="1750"/>
      <c r="F919" s="1750"/>
      <c r="G919" s="1750"/>
      <c r="H919" s="1750"/>
      <c r="I919" s="1745"/>
      <c r="J919" s="1745"/>
      <c r="K919" s="1745"/>
      <c r="L919" s="1745"/>
      <c r="M919" s="1745"/>
      <c r="N919" s="1745"/>
      <c r="O919" s="1745"/>
      <c r="P919" s="1745"/>
      <c r="Q919" s="1750"/>
    </row>
    <row r="920" spans="1:17" ht="13.8">
      <c r="A920" s="1745"/>
      <c r="B920" s="1745"/>
      <c r="C920" s="1745"/>
      <c r="D920" s="1745"/>
      <c r="E920" s="1745"/>
      <c r="F920" s="1745"/>
      <c r="G920" s="1745"/>
      <c r="H920" s="1745"/>
      <c r="I920" s="1745"/>
      <c r="J920" s="1745"/>
      <c r="K920" s="1745"/>
      <c r="L920" s="1745"/>
      <c r="M920" s="1745"/>
      <c r="N920" s="1745"/>
      <c r="O920" s="1745"/>
      <c r="P920" s="1745"/>
      <c r="Q920" s="1745"/>
    </row>
    <row r="921" spans="1:17" ht="13.8">
      <c r="A921" s="1750"/>
      <c r="B921" s="1745"/>
      <c r="C921" s="1745"/>
      <c r="D921" s="1745"/>
      <c r="E921" s="1745"/>
      <c r="F921" s="1745"/>
      <c r="G921" s="1745"/>
      <c r="H921" s="1745"/>
      <c r="I921" s="1745"/>
      <c r="J921" s="1745"/>
      <c r="K921" s="1745"/>
      <c r="L921" s="1745"/>
      <c r="M921" s="1745"/>
      <c r="N921" s="1745"/>
      <c r="O921" s="1745"/>
      <c r="P921" s="1745"/>
      <c r="Q921" s="1750"/>
    </row>
    <row r="922" spans="1:17" ht="13.8">
      <c r="A922" s="1745"/>
      <c r="B922" s="1747"/>
      <c r="C922" s="1746"/>
      <c r="D922" s="1746"/>
      <c r="E922" s="1746"/>
      <c r="F922" s="1746"/>
      <c r="G922" s="1746"/>
      <c r="H922" s="1746"/>
      <c r="I922" s="1746"/>
      <c r="J922" s="1746"/>
      <c r="K922" s="1746"/>
      <c r="L922" s="1746"/>
      <c r="M922" s="1746"/>
      <c r="N922" s="1746"/>
      <c r="O922" s="1746"/>
      <c r="P922" s="1746"/>
      <c r="Q922" s="1748"/>
    </row>
    <row r="923" spans="1:17" ht="13.8">
      <c r="A923" s="2104" t="s">
        <v>32</v>
      </c>
      <c r="B923" s="2104" t="s">
        <v>1460</v>
      </c>
      <c r="C923" s="2104"/>
      <c r="D923" s="1746"/>
      <c r="E923" s="1746"/>
      <c r="F923" s="1746"/>
      <c r="G923" s="1746"/>
      <c r="H923" s="1746"/>
      <c r="I923" s="1746"/>
      <c r="J923" s="1746"/>
      <c r="K923" s="1745"/>
      <c r="L923" s="2108"/>
      <c r="M923" s="2109"/>
      <c r="N923" s="1745"/>
      <c r="O923" s="2105" t="s">
        <v>1451</v>
      </c>
      <c r="P923" s="1750"/>
      <c r="Q923" s="1750"/>
    </row>
    <row r="924" spans="1:17" ht="13.8">
      <c r="A924" s="2105"/>
      <c r="B924" s="1746" t="s">
        <v>7569</v>
      </c>
      <c r="C924" s="2104"/>
      <c r="D924" s="1746"/>
      <c r="E924" s="1746"/>
      <c r="F924" s="1746"/>
      <c r="G924" s="1746"/>
      <c r="H924" s="1746"/>
      <c r="I924" s="1746"/>
      <c r="J924" s="1746"/>
      <c r="K924" s="1745"/>
      <c r="L924" s="2108"/>
      <c r="M924" s="2109"/>
      <c r="N924" s="1745"/>
      <c r="O924" s="2105"/>
      <c r="P924" s="1750" t="str">
        <f>'Part VII-Threshold Criteria'!P52</f>
        <v>Yes</v>
      </c>
      <c r="Q924" s="1750"/>
    </row>
    <row r="925" spans="1:17" ht="14.4">
      <c r="A925" s="1745"/>
      <c r="B925" s="2110" t="s">
        <v>1457</v>
      </c>
      <c r="C925" s="1745"/>
      <c r="D925" s="2110"/>
      <c r="E925" s="2110"/>
      <c r="F925" s="2110"/>
      <c r="G925" s="2110"/>
      <c r="H925" s="1746"/>
      <c r="I925" s="1747"/>
      <c r="J925" s="1747"/>
      <c r="K925" s="1745"/>
      <c r="L925" s="1745"/>
      <c r="M925" s="1745"/>
      <c r="N925" s="1745"/>
      <c r="O925" s="1745"/>
      <c r="P925" s="1745"/>
      <c r="Q925" s="1745"/>
    </row>
    <row r="926" spans="1:17" ht="13.8">
      <c r="A926" s="2107" t="str">
        <f>'Part VII-Threshold Criteria'!A54</f>
        <v>Applicant agrees to provide the required number and kinds of services as required in the 2026 QAP for projects with a family tenancy.</v>
      </c>
      <c r="B926" s="2107"/>
      <c r="C926" s="2107"/>
      <c r="D926" s="2107"/>
      <c r="E926" s="2107"/>
      <c r="F926" s="2107"/>
      <c r="G926" s="2107"/>
      <c r="H926" s="2107"/>
      <c r="I926" s="2107"/>
      <c r="J926" s="2107"/>
      <c r="K926" s="2107"/>
      <c r="L926" s="2107"/>
      <c r="M926" s="2107"/>
      <c r="N926" s="2107"/>
      <c r="O926" s="2107"/>
      <c r="P926" s="2107"/>
      <c r="Q926" s="2107"/>
    </row>
    <row r="927" spans="1:17" ht="14.4">
      <c r="A927" s="1750"/>
      <c r="B927" s="2106" t="s">
        <v>1453</v>
      </c>
      <c r="C927" s="1750"/>
      <c r="D927" s="1750"/>
      <c r="E927" s="1750"/>
      <c r="F927" s="1750"/>
      <c r="G927" s="1750"/>
      <c r="H927" s="1750"/>
      <c r="I927" s="1745"/>
      <c r="J927" s="1745"/>
      <c r="K927" s="1745"/>
      <c r="L927" s="1745"/>
      <c r="M927" s="1745"/>
      <c r="N927" s="1745"/>
      <c r="O927" s="1745"/>
      <c r="P927" s="1745"/>
      <c r="Q927" s="1750"/>
    </row>
    <row r="928" spans="1:17" ht="13.8">
      <c r="A928" s="1745"/>
      <c r="B928" s="1745"/>
      <c r="C928" s="1745"/>
      <c r="D928" s="1745"/>
      <c r="E928" s="1745"/>
      <c r="F928" s="1745"/>
      <c r="G928" s="1745"/>
      <c r="H928" s="1745"/>
      <c r="I928" s="1745"/>
      <c r="J928" s="1745"/>
      <c r="K928" s="1745"/>
      <c r="L928" s="1745"/>
      <c r="M928" s="1745"/>
      <c r="N928" s="1745"/>
      <c r="O928" s="1745"/>
      <c r="P928" s="1745"/>
      <c r="Q928" s="1745"/>
    </row>
    <row r="929" spans="1:17" ht="13.8">
      <c r="A929" s="1750"/>
      <c r="B929" s="1745"/>
      <c r="C929" s="1745"/>
      <c r="D929" s="1745"/>
      <c r="E929" s="1745"/>
      <c r="F929" s="1745"/>
      <c r="G929" s="1745"/>
      <c r="H929" s="1745"/>
      <c r="I929" s="1745"/>
      <c r="J929" s="1745"/>
      <c r="K929" s="1745"/>
      <c r="L929" s="1745"/>
      <c r="M929" s="1745"/>
      <c r="N929" s="1745"/>
      <c r="O929" s="1745"/>
      <c r="P929" s="1745"/>
      <c r="Q929" s="1750"/>
    </row>
    <row r="930" spans="1:17" ht="13.8">
      <c r="A930" s="2104"/>
      <c r="B930" s="1747"/>
      <c r="C930" s="1746"/>
      <c r="D930" s="1746"/>
      <c r="E930" s="1746"/>
      <c r="F930" s="1746"/>
      <c r="G930" s="1746"/>
      <c r="H930" s="1746"/>
      <c r="I930" s="1746"/>
      <c r="J930" s="1746"/>
      <c r="K930" s="1746"/>
      <c r="L930" s="1746"/>
      <c r="M930" s="1746"/>
      <c r="N930" s="1746"/>
      <c r="O930" s="1746"/>
      <c r="P930" s="1746"/>
      <c r="Q930" s="1748"/>
    </row>
    <row r="931" spans="1:17" ht="13.8">
      <c r="A931" s="2104" t="s">
        <v>44</v>
      </c>
      <c r="B931" s="2104" t="s">
        <v>1462</v>
      </c>
      <c r="C931" s="2104"/>
      <c r="D931" s="1746"/>
      <c r="E931" s="1746"/>
      <c r="F931" s="1746"/>
      <c r="G931" s="1746"/>
      <c r="H931" s="1748"/>
      <c r="I931" s="1745"/>
      <c r="J931" s="2105"/>
      <c r="K931" s="1750"/>
      <c r="L931" s="2105"/>
      <c r="M931" s="2104"/>
      <c r="N931" s="1745"/>
      <c r="O931" s="2105" t="s">
        <v>1451</v>
      </c>
      <c r="P931" s="1750"/>
      <c r="Q931" s="1750"/>
    </row>
    <row r="932" spans="1:17" ht="13.8">
      <c r="A932" s="2105"/>
      <c r="B932" s="1745" t="s">
        <v>1463</v>
      </c>
      <c r="C932" s="1745"/>
      <c r="D932" s="1745"/>
      <c r="E932" s="1745"/>
      <c r="F932" s="1745"/>
      <c r="G932" s="1745"/>
      <c r="H932" s="1745"/>
      <c r="I932" s="1745"/>
      <c r="J932" s="1745"/>
      <c r="K932" s="1745"/>
      <c r="L932" s="2107" t="str">
        <f>'Part VII-Threshold Criteria'!L60</f>
        <v>Novogradac</v>
      </c>
      <c r="M932" s="2107"/>
      <c r="N932" s="2107"/>
      <c r="O932" s="2107"/>
      <c r="P932" s="2107"/>
      <c r="Q932" s="2107"/>
    </row>
    <row r="933" spans="1:17" ht="13.8">
      <c r="A933" s="2105"/>
      <c r="B933" s="1745" t="s">
        <v>1464</v>
      </c>
      <c r="C933" s="1745"/>
      <c r="D933" s="1745"/>
      <c r="E933" s="1745"/>
      <c r="F933" s="1745"/>
      <c r="G933" s="1745"/>
      <c r="H933" s="1745"/>
      <c r="I933" s="1745"/>
      <c r="J933" s="1745"/>
      <c r="K933" s="1745"/>
      <c r="L933" s="1745"/>
      <c r="M933" s="1745"/>
      <c r="N933" s="2111"/>
      <c r="O933" s="2111"/>
      <c r="P933" s="2112">
        <f>'Part VII-Threshold Criteria'!P61</f>
        <v>0.98799999999999999</v>
      </c>
      <c r="Q933" s="2112"/>
    </row>
    <row r="934" spans="1:17" ht="13.8">
      <c r="A934" s="2105"/>
      <c r="B934" s="1745" t="s">
        <v>1465</v>
      </c>
      <c r="C934" s="1745"/>
      <c r="D934" s="1745"/>
      <c r="E934" s="1745"/>
      <c r="F934" s="1745"/>
      <c r="G934" s="1745"/>
      <c r="H934" s="1745"/>
      <c r="I934" s="1745"/>
      <c r="J934" s="1745"/>
      <c r="K934" s="1745"/>
      <c r="L934" s="1746" t="s">
        <v>1466</v>
      </c>
      <c r="M934" s="1745"/>
      <c r="N934" s="1745"/>
      <c r="O934" s="1745"/>
      <c r="P934" s="2112">
        <f>'Part VII-Threshold Criteria'!P62</f>
        <v>8.3000000000000004E-2</v>
      </c>
      <c r="Q934" s="2112"/>
    </row>
    <row r="935" spans="1:17" ht="13.8">
      <c r="A935" s="2105"/>
      <c r="B935" s="1745"/>
      <c r="C935" s="1745"/>
      <c r="D935" s="1745"/>
      <c r="E935" s="1745"/>
      <c r="F935" s="1745"/>
      <c r="G935" s="1745"/>
      <c r="H935" s="1745"/>
      <c r="I935" s="1745"/>
      <c r="J935" s="2111"/>
      <c r="K935" s="1745"/>
      <c r="L935" s="2113" t="s">
        <v>1467</v>
      </c>
      <c r="M935" s="1745"/>
      <c r="N935" s="1745"/>
      <c r="O935" s="1745"/>
      <c r="P935" s="2112" t="str">
        <f>'Part VII-Threshold Criteria'!P63</f>
        <v>NA</v>
      </c>
      <c r="Q935" s="2112"/>
    </row>
    <row r="936" spans="1:17" ht="14.4">
      <c r="A936" s="1745"/>
      <c r="B936" s="2110" t="s">
        <v>1457</v>
      </c>
      <c r="C936" s="1745"/>
      <c r="D936" s="2110"/>
      <c r="E936" s="2110"/>
      <c r="F936" s="2110"/>
      <c r="G936" s="2110"/>
      <c r="H936" s="1746"/>
      <c r="I936" s="1747"/>
      <c r="J936" s="1747"/>
      <c r="K936" s="1747"/>
      <c r="L936" s="1748"/>
      <c r="M936" s="1748"/>
      <c r="N936" s="1748"/>
      <c r="O936" s="1748"/>
      <c r="P936" s="1750"/>
      <c r="Q936" s="1750"/>
    </row>
    <row r="937" spans="1:17" ht="13.8">
      <c r="A937" s="2107" t="str">
        <f>'Part VII-Threshold Criteria'!A65</f>
        <v>The market study has been completed by a well-known and capable third party market analyst and included in the Tab 8 of the application. The report found that there is adequate support for the subject property as proposed and that it will fill an unmet demand for affordable housing in the area. The report also found that the addition of the Subject to the market will not impact the existing LIHTC properties.</v>
      </c>
      <c r="B937" s="2107"/>
      <c r="C937" s="2107"/>
      <c r="D937" s="2107"/>
      <c r="E937" s="2107"/>
      <c r="F937" s="2107"/>
      <c r="G937" s="2107"/>
      <c r="H937" s="2107"/>
      <c r="I937" s="2107"/>
      <c r="J937" s="2107"/>
      <c r="K937" s="2107"/>
      <c r="L937" s="2107"/>
      <c r="M937" s="2107"/>
      <c r="N937" s="2107"/>
      <c r="O937" s="2107"/>
      <c r="P937" s="2107"/>
      <c r="Q937" s="2107"/>
    </row>
    <row r="938" spans="1:17" ht="14.4">
      <c r="A938" s="1745"/>
      <c r="B938" s="2106" t="s">
        <v>1453</v>
      </c>
      <c r="C938" s="2106"/>
      <c r="D938" s="1745"/>
      <c r="E938" s="1745"/>
      <c r="F938" s="1745"/>
      <c r="G938" s="1745"/>
      <c r="H938" s="1745"/>
      <c r="I938" s="1745"/>
      <c r="J938" s="1745"/>
      <c r="K938" s="1745"/>
      <c r="L938" s="1745"/>
      <c r="M938" s="1745"/>
      <c r="N938" s="1745"/>
      <c r="O938" s="1745"/>
      <c r="P938" s="1745"/>
      <c r="Q938" s="1745"/>
    </row>
    <row r="939" spans="1:17" ht="13.8">
      <c r="A939" s="1745"/>
      <c r="B939" s="1745"/>
      <c r="C939" s="1745"/>
      <c r="D939" s="1745"/>
      <c r="E939" s="1745"/>
      <c r="F939" s="1745"/>
      <c r="G939" s="1745"/>
      <c r="H939" s="1745"/>
      <c r="I939" s="1745"/>
      <c r="J939" s="1745"/>
      <c r="K939" s="1745"/>
      <c r="L939" s="1745"/>
      <c r="M939" s="1745"/>
      <c r="N939" s="1745"/>
      <c r="O939" s="1745"/>
      <c r="P939" s="1745"/>
      <c r="Q939" s="1745"/>
    </row>
    <row r="940" spans="1:17" ht="13.8">
      <c r="A940" s="1745"/>
      <c r="B940" s="1745"/>
      <c r="C940" s="1745"/>
      <c r="D940" s="1745"/>
      <c r="E940" s="1745"/>
      <c r="F940" s="1745"/>
      <c r="G940" s="1745"/>
      <c r="H940" s="1745"/>
      <c r="I940" s="1745"/>
      <c r="J940" s="1745"/>
      <c r="K940" s="1745"/>
      <c r="L940" s="1745"/>
      <c r="M940" s="1745"/>
      <c r="N940" s="1745"/>
      <c r="O940" s="1745"/>
      <c r="P940" s="1745"/>
      <c r="Q940" s="1745"/>
    </row>
    <row r="941" spans="1:17" ht="13.8">
      <c r="A941" s="2104"/>
      <c r="B941" s="1746"/>
      <c r="C941" s="1746"/>
      <c r="D941" s="1746"/>
      <c r="E941" s="1746"/>
      <c r="F941" s="1746"/>
      <c r="G941" s="1746"/>
      <c r="H941" s="1746"/>
      <c r="I941" s="1746"/>
      <c r="J941" s="1746"/>
      <c r="K941" s="1746"/>
      <c r="L941" s="1746"/>
      <c r="M941" s="1746"/>
      <c r="N941" s="1746"/>
      <c r="O941" s="1746"/>
      <c r="P941" s="1746"/>
      <c r="Q941" s="1746"/>
    </row>
    <row r="942" spans="1:17" ht="13.8">
      <c r="A942" s="2104" t="s">
        <v>58</v>
      </c>
      <c r="B942" s="2104" t="s">
        <v>1468</v>
      </c>
      <c r="C942" s="2104"/>
      <c r="D942" s="1746"/>
      <c r="E942" s="1746"/>
      <c r="F942" s="1746"/>
      <c r="G942" s="1746"/>
      <c r="H942" s="1746"/>
      <c r="I942" s="1746"/>
      <c r="J942" s="1746"/>
      <c r="K942" s="1746"/>
      <c r="L942" s="1746"/>
      <c r="M942" s="1746"/>
      <c r="N942" s="1745"/>
      <c r="O942" s="2105" t="s">
        <v>1451</v>
      </c>
      <c r="P942" s="1750"/>
      <c r="Q942" s="1750"/>
    </row>
    <row r="943" spans="1:17" ht="13.8">
      <c r="A943" s="2105"/>
      <c r="B943" s="1745" t="s">
        <v>1469</v>
      </c>
      <c r="C943" s="1745"/>
      <c r="D943" s="1745"/>
      <c r="E943" s="1745"/>
      <c r="F943" s="1745"/>
      <c r="G943" s="1745"/>
      <c r="H943" s="1745"/>
      <c r="I943" s="1745"/>
      <c r="J943" s="1745"/>
      <c r="K943" s="1745"/>
      <c r="L943" s="2107">
        <f>'Part VII-Threshold Criteria'!L71</f>
        <v>0</v>
      </c>
      <c r="M943" s="1745"/>
      <c r="N943" s="1745"/>
      <c r="O943" s="1745"/>
      <c r="P943" s="1745"/>
      <c r="Q943" s="1745"/>
    </row>
    <row r="944" spans="1:17" ht="13.8">
      <c r="A944" s="2105"/>
      <c r="B944" s="1745" t="s">
        <v>1470</v>
      </c>
      <c r="C944" s="1745"/>
      <c r="D944" s="1745"/>
      <c r="E944" s="1745"/>
      <c r="F944" s="1745"/>
      <c r="G944" s="1745"/>
      <c r="H944" s="1745"/>
      <c r="I944" s="1745"/>
      <c r="J944" s="1745"/>
      <c r="K944" s="1745"/>
      <c r="L944" s="1745"/>
      <c r="M944" s="1745"/>
      <c r="N944" s="1745"/>
      <c r="O944" s="1745"/>
      <c r="P944" s="1750">
        <f>'Part VII-Threshold Criteria'!P72</f>
        <v>0</v>
      </c>
      <c r="Q944" s="1750"/>
    </row>
    <row r="945" spans="1:17" ht="15" customHeight="1">
      <c r="A945" s="1745"/>
      <c r="B945" s="2104"/>
      <c r="C945" s="1745" t="s">
        <v>1471</v>
      </c>
      <c r="D945" s="1745"/>
      <c r="E945" s="1745"/>
      <c r="F945" s="1745"/>
      <c r="G945" s="1745"/>
      <c r="H945" s="1745"/>
      <c r="I945" s="1745"/>
      <c r="J945" s="1745"/>
      <c r="K945" s="1745"/>
      <c r="L945" s="1745"/>
      <c r="M945" s="1745"/>
      <c r="N945" s="1745"/>
      <c r="O945" s="1745"/>
      <c r="P945" s="1750">
        <f>'Part VII-Threshold Criteria'!P73</f>
        <v>0</v>
      </c>
      <c r="Q945" s="1748"/>
    </row>
    <row r="946" spans="1:17" ht="14.4">
      <c r="A946" s="1745"/>
      <c r="B946" s="2110" t="s">
        <v>1452</v>
      </c>
      <c r="C946" s="1745"/>
      <c r="D946" s="2106"/>
      <c r="E946" s="2106"/>
      <c r="F946" s="2106"/>
      <c r="G946" s="2106"/>
      <c r="H946" s="1745"/>
      <c r="I946" s="1745"/>
      <c r="J946" s="1745"/>
      <c r="K946" s="1745"/>
      <c r="L946" s="1750"/>
      <c r="M946" s="1750"/>
      <c r="N946" s="1750"/>
      <c r="O946" s="1750"/>
      <c r="P946" s="1748"/>
      <c r="Q946" s="1748"/>
    </row>
    <row r="947" spans="1:17" ht="13.8">
      <c r="A947" s="2107" t="str">
        <f>'Part VII-Threshold Criteria'!A75</f>
        <v>An appraisal is not required at the time this application is submitted. The applicant will provide an appraisal when required.</v>
      </c>
      <c r="B947" s="2107"/>
      <c r="C947" s="2107"/>
      <c r="D947" s="2107"/>
      <c r="E947" s="2107"/>
      <c r="F947" s="2107"/>
      <c r="G947" s="2107"/>
      <c r="H947" s="2107"/>
      <c r="I947" s="2107"/>
      <c r="J947" s="2107"/>
      <c r="K947" s="2107"/>
      <c r="L947" s="2107"/>
      <c r="M947" s="2107"/>
      <c r="N947" s="2107"/>
      <c r="O947" s="2107"/>
      <c r="P947" s="2107"/>
      <c r="Q947" s="2107"/>
    </row>
    <row r="948" spans="1:17" ht="14.4">
      <c r="A948" s="1745"/>
      <c r="B948" s="2106" t="s">
        <v>1453</v>
      </c>
      <c r="C948" s="2106"/>
      <c r="D948" s="1745"/>
      <c r="E948" s="1745"/>
      <c r="F948" s="1745"/>
      <c r="G948" s="1745"/>
      <c r="H948" s="1745"/>
      <c r="I948" s="1745"/>
      <c r="J948" s="1745"/>
      <c r="K948" s="1745"/>
      <c r="L948" s="1745"/>
      <c r="M948" s="1745"/>
      <c r="N948" s="1745"/>
      <c r="O948" s="1745"/>
      <c r="P948" s="1745"/>
      <c r="Q948" s="1745"/>
    </row>
    <row r="949" spans="1:17" ht="13.8">
      <c r="A949" s="1745"/>
      <c r="B949" s="1745"/>
      <c r="C949" s="1745"/>
      <c r="D949" s="1745"/>
      <c r="E949" s="1745"/>
      <c r="F949" s="1745"/>
      <c r="G949" s="1745"/>
      <c r="H949" s="1745"/>
      <c r="I949" s="1745"/>
      <c r="J949" s="1745"/>
      <c r="K949" s="1745"/>
      <c r="L949" s="1745"/>
      <c r="M949" s="1745"/>
      <c r="N949" s="1745"/>
      <c r="O949" s="1745"/>
      <c r="P949" s="1745"/>
      <c r="Q949" s="1745"/>
    </row>
    <row r="950" spans="1:17" ht="13.8">
      <c r="A950" s="1745"/>
      <c r="B950" s="1745"/>
      <c r="C950" s="1745"/>
      <c r="D950" s="1745"/>
      <c r="E950" s="1745"/>
      <c r="F950" s="1745"/>
      <c r="G950" s="1745"/>
      <c r="H950" s="1745"/>
      <c r="I950" s="1745"/>
      <c r="J950" s="1745"/>
      <c r="K950" s="1745"/>
      <c r="L950" s="1745"/>
      <c r="M950" s="1745"/>
      <c r="N950" s="1745"/>
      <c r="O950" s="1745"/>
      <c r="P950" s="1745"/>
      <c r="Q950" s="1745"/>
    </row>
    <row r="951" spans="1:17" ht="13.8">
      <c r="A951" s="1745"/>
      <c r="B951" s="1745"/>
      <c r="C951" s="1745"/>
      <c r="D951" s="1745"/>
      <c r="E951" s="1745"/>
      <c r="F951" s="1745"/>
      <c r="G951" s="1745"/>
      <c r="H951" s="1745"/>
      <c r="I951" s="1745"/>
      <c r="J951" s="1745"/>
      <c r="K951" s="1745"/>
      <c r="L951" s="1745"/>
      <c r="M951" s="1745"/>
      <c r="N951" s="1745"/>
      <c r="O951" s="1745"/>
      <c r="P951" s="1745"/>
      <c r="Q951" s="1745"/>
    </row>
    <row r="952" spans="1:17" ht="13.8">
      <c r="A952" s="2104" t="s">
        <v>67</v>
      </c>
      <c r="B952" s="2104" t="s">
        <v>1472</v>
      </c>
      <c r="C952" s="1746"/>
      <c r="D952" s="1746"/>
      <c r="E952" s="1746"/>
      <c r="F952" s="1746"/>
      <c r="G952" s="1746"/>
      <c r="H952" s="1746"/>
      <c r="I952" s="1746"/>
      <c r="J952" s="1746"/>
      <c r="K952" s="1746"/>
      <c r="L952" s="1746"/>
      <c r="M952" s="1746"/>
      <c r="N952" s="1745"/>
      <c r="O952" s="2105" t="s">
        <v>1451</v>
      </c>
      <c r="P952" s="1750"/>
      <c r="Q952" s="1750"/>
    </row>
    <row r="953" spans="1:17" ht="15" customHeight="1">
      <c r="A953" s="2105"/>
      <c r="B953" s="1745" t="s">
        <v>1473</v>
      </c>
      <c r="C953" s="1745"/>
      <c r="D953" s="1745"/>
      <c r="E953" s="1745"/>
      <c r="F953" s="1745"/>
      <c r="G953" s="1745"/>
      <c r="H953" s="1745"/>
      <c r="I953" s="1745"/>
      <c r="J953" s="1745"/>
      <c r="K953" s="1745"/>
      <c r="L953" s="2107" t="str">
        <f>'Part VII-Threshold Criteria'!L81</f>
        <v>TTL, Inc.</v>
      </c>
      <c r="M953" s="2114"/>
      <c r="N953" s="2114"/>
      <c r="O953" s="2114"/>
      <c r="P953" s="2114"/>
      <c r="Q953" s="2114"/>
    </row>
    <row r="954" spans="1:17" ht="13.8">
      <c r="A954" s="1745"/>
      <c r="B954" s="1745" t="s">
        <v>1474</v>
      </c>
      <c r="C954" s="1745"/>
      <c r="D954" s="1745"/>
      <c r="E954" s="1745"/>
      <c r="F954" s="1745"/>
      <c r="G954" s="1745"/>
      <c r="H954" s="1745"/>
      <c r="I954" s="1745"/>
      <c r="J954" s="1745"/>
      <c r="K954" s="1745"/>
      <c r="L954" s="1745"/>
      <c r="M954" s="1745"/>
      <c r="N954" s="1745"/>
      <c r="O954" s="1745"/>
      <c r="P954" s="1750" t="str">
        <f>'Part VII-Threshold Criteria'!P82</f>
        <v>No</v>
      </c>
      <c r="Q954" s="1750"/>
    </row>
    <row r="955" spans="1:17" ht="13.8">
      <c r="A955" s="2105"/>
      <c r="B955" s="1745" t="s">
        <v>1475</v>
      </c>
      <c r="C955" s="1745"/>
      <c r="D955" s="1745"/>
      <c r="E955" s="1745"/>
      <c r="F955" s="1745"/>
      <c r="G955" s="1745"/>
      <c r="H955" s="1745"/>
      <c r="I955" s="1745"/>
      <c r="J955" s="1745"/>
      <c r="K955" s="1745"/>
      <c r="L955" s="1746"/>
      <c r="M955" s="1745"/>
      <c r="N955" s="1745"/>
      <c r="O955" s="2115"/>
      <c r="P955" s="1750" t="str">
        <f>'Part VII-Threshold Criteria'!P83</f>
        <v>No</v>
      </c>
      <c r="Q955" s="1748"/>
    </row>
    <row r="956" spans="1:17" ht="13.8">
      <c r="A956" s="2105"/>
      <c r="B956" s="1745" t="s">
        <v>1476</v>
      </c>
      <c r="C956" s="1745"/>
      <c r="D956" s="1745"/>
      <c r="E956" s="1745"/>
      <c r="F956" s="1745"/>
      <c r="G956" s="1745"/>
      <c r="H956" s="1745"/>
      <c r="I956" s="1745" t="s">
        <v>1477</v>
      </c>
      <c r="J956" s="1745"/>
      <c r="K956" s="1745"/>
      <c r="L956" s="1746"/>
      <c r="M956" s="1746"/>
      <c r="N956" s="1746"/>
      <c r="O956" s="2115"/>
      <c r="P956" s="1750" t="str">
        <f>'Part VII-Threshold Criteria'!P84</f>
        <v>No</v>
      </c>
      <c r="Q956" s="1748"/>
    </row>
    <row r="957" spans="1:17" ht="13.8">
      <c r="A957" s="2105"/>
      <c r="B957" s="2104"/>
      <c r="C957" s="1745"/>
      <c r="D957" s="1745"/>
      <c r="E957" s="1745"/>
      <c r="F957" s="1745"/>
      <c r="G957" s="1745"/>
      <c r="H957" s="1745"/>
      <c r="I957" s="1745" t="s">
        <v>1478</v>
      </c>
      <c r="J957" s="1745"/>
      <c r="K957" s="1745"/>
      <c r="L957" s="1746"/>
      <c r="M957" s="1746"/>
      <c r="N957" s="1745"/>
      <c r="O957" s="2115"/>
      <c r="P957" s="1750" t="str">
        <f>'Part VII-Threshold Criteria'!P85</f>
        <v>No</v>
      </c>
      <c r="Q957" s="1748"/>
    </row>
    <row r="958" spans="1:17" ht="14.4">
      <c r="A958" s="2105"/>
      <c r="B958" s="2104"/>
      <c r="C958" s="1745"/>
      <c r="D958" s="1745"/>
      <c r="E958" s="1745"/>
      <c r="F958" s="1745"/>
      <c r="G958" s="1745"/>
      <c r="H958" s="1745"/>
      <c r="I958" s="2116"/>
      <c r="J958" s="2102" t="s">
        <v>1479</v>
      </c>
      <c r="K958" s="1745"/>
      <c r="L958" s="1746"/>
      <c r="M958" s="1746"/>
      <c r="N958" s="1745"/>
      <c r="O958" s="2115"/>
      <c r="P958" s="1750">
        <f>'Part VII-Threshold Criteria'!P86</f>
        <v>0</v>
      </c>
      <c r="Q958" s="2117"/>
    </row>
    <row r="959" spans="1:17" ht="14.4">
      <c r="A959" s="1827"/>
      <c r="B959" s="2116"/>
      <c r="C959" s="2107"/>
      <c r="D959" s="2107"/>
      <c r="E959" s="2118"/>
      <c r="F959" s="2118"/>
      <c r="G959" s="2102"/>
      <c r="H959" s="2102"/>
      <c r="I959" s="1745" t="s">
        <v>1480</v>
      </c>
      <c r="J959" s="1745"/>
      <c r="K959" s="2107"/>
      <c r="L959" s="1828"/>
      <c r="M959" s="1828"/>
      <c r="N959" s="2107"/>
      <c r="O959" s="2119"/>
      <c r="P959" s="1750" t="str">
        <f>'Part VII-Threshold Criteria'!P87</f>
        <v>Yes</v>
      </c>
      <c r="Q959" s="1748"/>
    </row>
    <row r="960" spans="1:17" ht="15" customHeight="1">
      <c r="A960" s="2105"/>
      <c r="B960" s="1745" t="s">
        <v>7570</v>
      </c>
      <c r="C960" s="1745"/>
      <c r="D960" s="1745"/>
      <c r="E960" s="1745"/>
      <c r="F960" s="1745"/>
      <c r="G960" s="1745"/>
      <c r="H960" s="1745"/>
      <c r="I960" s="1745"/>
      <c r="J960" s="1745"/>
      <c r="K960" s="1745"/>
      <c r="L960" s="1745"/>
      <c r="M960" s="1745"/>
      <c r="N960" s="1745"/>
      <c r="O960" s="1745"/>
      <c r="P960" s="1745"/>
      <c r="Q960" s="1745"/>
    </row>
    <row r="961" spans="1:17" ht="13.8">
      <c r="A961" s="1745"/>
      <c r="B961" s="2107" t="str">
        <f>'Part VII-Threshold Criteria'!B89</f>
        <v>The proposed project is only contemplating the rehabiliation of the existing structures. The wetlands on site wil not be disturbed.</v>
      </c>
      <c r="C961" s="2107"/>
      <c r="D961" s="2107"/>
      <c r="E961" s="2107"/>
      <c r="F961" s="2107"/>
      <c r="G961" s="2107"/>
      <c r="H961" s="2107"/>
      <c r="I961" s="2107"/>
      <c r="J961" s="2107"/>
      <c r="K961" s="2107"/>
      <c r="L961" s="2107"/>
      <c r="M961" s="2107"/>
      <c r="N961" s="2107"/>
      <c r="O961" s="2107"/>
      <c r="P961" s="2107"/>
      <c r="Q961" s="2107"/>
    </row>
    <row r="962" spans="1:17" ht="14.4">
      <c r="A962" s="1745"/>
      <c r="B962" s="2106" t="s">
        <v>1457</v>
      </c>
      <c r="C962" s="1745"/>
      <c r="D962" s="2106"/>
      <c r="E962" s="2106"/>
      <c r="F962" s="2106"/>
      <c r="G962" s="2106"/>
      <c r="H962" s="1745"/>
      <c r="I962" s="1745"/>
      <c r="J962" s="1745"/>
      <c r="K962" s="1745"/>
      <c r="L962" s="1750"/>
      <c r="M962" s="1750"/>
      <c r="N962" s="1750"/>
      <c r="O962" s="1750"/>
      <c r="P962" s="1750"/>
      <c r="Q962" s="1750"/>
    </row>
    <row r="963" spans="1:17" ht="13.8">
      <c r="A963" s="2107" t="str">
        <f>'Part VII-Threshold Criteria'!A91</f>
        <v>The applicant has conducted a thorough environmental review in accordance with ASTM standards through a qualified, third-party Environmental Professional. Please refer to the Phase I ESA included with this application.</v>
      </c>
      <c r="B963" s="2107"/>
      <c r="C963" s="2107"/>
      <c r="D963" s="2107"/>
      <c r="E963" s="2107"/>
      <c r="F963" s="2107"/>
      <c r="G963" s="2107"/>
      <c r="H963" s="2107"/>
      <c r="I963" s="2107"/>
      <c r="J963" s="2107"/>
      <c r="K963" s="2107"/>
      <c r="L963" s="2107"/>
      <c r="M963" s="2107"/>
      <c r="N963" s="2107"/>
      <c r="O963" s="2107"/>
      <c r="P963" s="2107"/>
      <c r="Q963" s="2107"/>
    </row>
    <row r="964" spans="1:17" ht="14.4">
      <c r="A964" s="1745"/>
      <c r="B964" s="2106" t="s">
        <v>1453</v>
      </c>
      <c r="C964" s="2106"/>
      <c r="D964" s="1745"/>
      <c r="E964" s="1745"/>
      <c r="F964" s="1745"/>
      <c r="G964" s="1745"/>
      <c r="H964" s="1745"/>
      <c r="I964" s="1745"/>
      <c r="J964" s="1745"/>
      <c r="K964" s="1745"/>
      <c r="L964" s="1745"/>
      <c r="M964" s="1745"/>
      <c r="N964" s="1745"/>
      <c r="O964" s="1745"/>
      <c r="P964" s="1745"/>
      <c r="Q964" s="1745"/>
    </row>
    <row r="965" spans="1:17" ht="13.8">
      <c r="A965" s="1745"/>
      <c r="B965" s="1745"/>
      <c r="C965" s="1745"/>
      <c r="D965" s="1745"/>
      <c r="E965" s="1745"/>
      <c r="F965" s="1745"/>
      <c r="G965" s="1745"/>
      <c r="H965" s="1745"/>
      <c r="I965" s="1745"/>
      <c r="J965" s="1745"/>
      <c r="K965" s="1745"/>
      <c r="L965" s="1745"/>
      <c r="M965" s="1745"/>
      <c r="N965" s="1745"/>
      <c r="O965" s="1745"/>
      <c r="P965" s="1745"/>
      <c r="Q965" s="1745"/>
    </row>
    <row r="966" spans="1:17" ht="13.8">
      <c r="A966" s="1750"/>
      <c r="B966" s="1745"/>
      <c r="C966" s="1745"/>
      <c r="D966" s="1745"/>
      <c r="E966" s="1745"/>
      <c r="F966" s="1745"/>
      <c r="G966" s="1745"/>
      <c r="H966" s="1745"/>
      <c r="I966" s="1745"/>
      <c r="J966" s="1745"/>
      <c r="K966" s="1745"/>
      <c r="L966" s="1745"/>
      <c r="M966" s="1745"/>
      <c r="N966" s="1745"/>
      <c r="O966" s="1745"/>
      <c r="P966" s="1745"/>
      <c r="Q966" s="1750"/>
    </row>
    <row r="967" spans="1:17" ht="13.8">
      <c r="A967" s="1745"/>
      <c r="B967" s="1747"/>
      <c r="C967" s="1746"/>
      <c r="D967" s="1746"/>
      <c r="E967" s="1746"/>
      <c r="F967" s="1746"/>
      <c r="G967" s="1746"/>
      <c r="H967" s="1746"/>
      <c r="I967" s="1746"/>
      <c r="J967" s="1746"/>
      <c r="K967" s="1746"/>
      <c r="L967" s="1746"/>
      <c r="M967" s="1746"/>
      <c r="N967" s="1746"/>
      <c r="O967" s="1746"/>
      <c r="P967" s="1746"/>
      <c r="Q967" s="1748"/>
    </row>
    <row r="968" spans="1:17" ht="13.8">
      <c r="A968" s="2104" t="s">
        <v>69</v>
      </c>
      <c r="B968" s="2104" t="s">
        <v>1483</v>
      </c>
      <c r="C968" s="2104"/>
      <c r="D968" s="1746"/>
      <c r="E968" s="1746"/>
      <c r="F968" s="1746"/>
      <c r="G968" s="1746"/>
      <c r="H968" s="1746"/>
      <c r="I968" s="1746"/>
      <c r="J968" s="1746"/>
      <c r="K968" s="1746"/>
      <c r="L968" s="1745"/>
      <c r="M968" s="1745"/>
      <c r="N968" s="1745"/>
      <c r="O968" s="2105" t="s">
        <v>1451</v>
      </c>
      <c r="P968" s="1750"/>
      <c r="Q968" s="1750"/>
    </row>
    <row r="969" spans="1:17" ht="15" customHeight="1">
      <c r="A969" s="2105"/>
      <c r="B969" s="1745" t="s">
        <v>1484</v>
      </c>
      <c r="C969" s="1745"/>
      <c r="D969" s="1745"/>
      <c r="E969" s="1745"/>
      <c r="F969" s="2120" t="str">
        <f>IF(L969="Ground lease/Option","Ground lease/Option:","")</f>
        <v/>
      </c>
      <c r="G969" s="1745"/>
      <c r="H969" s="2121" t="str">
        <f>IF(L969="Ground lease/Option","Annual Pymt:","")</f>
        <v/>
      </c>
      <c r="I969" s="2122" t="str">
        <f>IF(M1009="Ground lease/Option",'Part V-Revenues &amp; Expenses'!$F$275,"")</f>
        <v/>
      </c>
      <c r="J969" s="2123" t="str">
        <f>IF(L969="Ground lease/Option","Term (yrs):","")</f>
        <v/>
      </c>
      <c r="K969" s="2124" t="str">
        <f>IF(M1009="Ground lease/Option",'Part V-Revenues &amp; Expenses'!$L$275,"")</f>
        <v/>
      </c>
      <c r="L969" s="2107" t="str">
        <f>'Part VII-Threshold Criteria'!L97</f>
        <v>Purchase Contract</v>
      </c>
      <c r="M969" s="1750"/>
      <c r="N969" s="1750"/>
      <c r="O969" s="1750" t="s">
        <v>721</v>
      </c>
      <c r="P969" s="1750"/>
      <c r="Q969" s="1750"/>
    </row>
    <row r="970" spans="1:17" ht="13.8">
      <c r="A970" s="2105"/>
      <c r="B970" s="1745" t="s">
        <v>1485</v>
      </c>
      <c r="C970" s="1745"/>
      <c r="D970" s="1745"/>
      <c r="E970" s="1745"/>
      <c r="F970" s="1745"/>
      <c r="G970" s="1745"/>
      <c r="H970" s="1745"/>
      <c r="I970" s="1745"/>
      <c r="J970" s="1745"/>
      <c r="K970" s="1745"/>
      <c r="L970" s="2107" t="str">
        <f>'Part VII-Threshold Criteria'!L98</f>
        <v>Tifton Groves New Apartments, LP</v>
      </c>
      <c r="M970" s="1745"/>
      <c r="N970" s="1745"/>
      <c r="O970" s="1745"/>
      <c r="P970" s="1745"/>
      <c r="Q970" s="1745"/>
    </row>
    <row r="971" spans="1:17" ht="14.4">
      <c r="A971" s="1745"/>
      <c r="B971" s="2110" t="s">
        <v>1457</v>
      </c>
      <c r="C971" s="1745"/>
      <c r="D971" s="2110"/>
      <c r="E971" s="2110"/>
      <c r="F971" s="2110"/>
      <c r="G971" s="2110"/>
      <c r="H971" s="1746"/>
      <c r="I971" s="1747"/>
      <c r="J971" s="1747"/>
      <c r="K971" s="1747"/>
      <c r="L971" s="1750"/>
      <c r="M971" s="1750"/>
      <c r="N971" s="1750"/>
      <c r="O971" s="1750"/>
      <c r="P971" s="1750"/>
      <c r="Q971" s="1750"/>
    </row>
    <row r="972" spans="1:17" ht="13.8">
      <c r="A972" s="2107" t="str">
        <f>'Part VII-Threshold Criteria'!A100</f>
        <v>Site control is in place via Purchase Contract.</v>
      </c>
      <c r="B972" s="2107"/>
      <c r="C972" s="2107"/>
      <c r="D972" s="2107"/>
      <c r="E972" s="2107"/>
      <c r="F972" s="2107"/>
      <c r="G972" s="2107"/>
      <c r="H972" s="2107"/>
      <c r="I972" s="2107"/>
      <c r="J972" s="2107"/>
      <c r="K972" s="2107"/>
      <c r="L972" s="2107"/>
      <c r="M972" s="2107"/>
      <c r="N972" s="2107"/>
      <c r="O972" s="2107"/>
      <c r="P972" s="2107"/>
      <c r="Q972" s="2107"/>
    </row>
    <row r="973" spans="1:17" ht="14.4">
      <c r="A973" s="1745"/>
      <c r="B973" s="2106" t="s">
        <v>1453</v>
      </c>
      <c r="C973" s="2106"/>
      <c r="D973" s="1745"/>
      <c r="E973" s="1745"/>
      <c r="F973" s="1745"/>
      <c r="G973" s="1745"/>
      <c r="H973" s="1745"/>
      <c r="I973" s="1745"/>
      <c r="J973" s="1745"/>
      <c r="K973" s="1745"/>
      <c r="L973" s="1745"/>
      <c r="M973" s="1745"/>
      <c r="N973" s="1745"/>
      <c r="O973" s="1745"/>
      <c r="P973" s="1745"/>
      <c r="Q973" s="1745"/>
    </row>
    <row r="974" spans="1:17" ht="13.8">
      <c r="A974" s="1745"/>
      <c r="B974" s="1745"/>
      <c r="C974" s="1745"/>
      <c r="D974" s="1745"/>
      <c r="E974" s="1745"/>
      <c r="F974" s="1745"/>
      <c r="G974" s="1745"/>
      <c r="H974" s="1745"/>
      <c r="I974" s="1745"/>
      <c r="J974" s="1745"/>
      <c r="K974" s="1745"/>
      <c r="L974" s="1745"/>
      <c r="M974" s="1745"/>
      <c r="N974" s="1745"/>
      <c r="O974" s="1745"/>
      <c r="P974" s="1745"/>
      <c r="Q974" s="1745"/>
    </row>
    <row r="975" spans="1:17" ht="13.8">
      <c r="A975" s="1750"/>
      <c r="B975" s="1745"/>
      <c r="C975" s="1745"/>
      <c r="D975" s="1745"/>
      <c r="E975" s="1745"/>
      <c r="F975" s="1745"/>
      <c r="G975" s="1745"/>
      <c r="H975" s="1745"/>
      <c r="I975" s="1745"/>
      <c r="J975" s="1745"/>
      <c r="K975" s="1745"/>
      <c r="L975" s="1745"/>
      <c r="M975" s="1745"/>
      <c r="N975" s="1745"/>
      <c r="O975" s="1745"/>
      <c r="P975" s="1745"/>
      <c r="Q975" s="1750"/>
    </row>
    <row r="976" spans="1:17" ht="13.8">
      <c r="A976" s="1745"/>
      <c r="B976" s="1747"/>
      <c r="C976" s="1746"/>
      <c r="D976" s="1746"/>
      <c r="E976" s="1746"/>
      <c r="F976" s="1746"/>
      <c r="G976" s="1746"/>
      <c r="H976" s="1746"/>
      <c r="I976" s="1746"/>
      <c r="J976" s="1746"/>
      <c r="K976" s="1746"/>
      <c r="L976" s="1746"/>
      <c r="M976" s="1746"/>
      <c r="N976" s="1745"/>
      <c r="O976" s="1745"/>
      <c r="P976" s="1745"/>
      <c r="Q976" s="1748"/>
    </row>
    <row r="977" spans="1:17" ht="13.8">
      <c r="A977" s="2104" t="s">
        <v>1482</v>
      </c>
      <c r="B977" s="2104" t="s">
        <v>1487</v>
      </c>
      <c r="C977" s="2104"/>
      <c r="D977" s="1746"/>
      <c r="E977" s="1746"/>
      <c r="F977" s="1746"/>
      <c r="G977" s="1746"/>
      <c r="H977" s="1746"/>
      <c r="I977" s="1746"/>
      <c r="J977" s="1746"/>
      <c r="K977" s="1746"/>
      <c r="L977" s="1746"/>
      <c r="M977" s="1746"/>
      <c r="N977" s="1745"/>
      <c r="O977" s="2105" t="s">
        <v>1451</v>
      </c>
      <c r="P977" s="1750"/>
      <c r="Q977" s="1750"/>
    </row>
    <row r="978" spans="1:17" ht="14.4">
      <c r="A978" s="1745"/>
      <c r="B978" s="2110" t="s">
        <v>1457</v>
      </c>
      <c r="C978" s="1745"/>
      <c r="D978" s="2110"/>
      <c r="E978" s="2110"/>
      <c r="F978" s="2110"/>
      <c r="G978" s="2110"/>
      <c r="H978" s="1746"/>
      <c r="I978" s="1747"/>
      <c r="J978" s="1747"/>
      <c r="K978" s="1747"/>
      <c r="L978" s="1748"/>
      <c r="M978" s="1748"/>
      <c r="N978" s="1748"/>
      <c r="O978" s="1748"/>
      <c r="P978" s="1750"/>
      <c r="Q978" s="1750"/>
    </row>
    <row r="979" spans="1:17" ht="13.8">
      <c r="A979" s="2107" t="str">
        <f>'Part VII-Threshold Criteria'!A107</f>
        <v>The development has direct access to Rainwater Road, a public paved road.</v>
      </c>
      <c r="B979" s="2107"/>
      <c r="C979" s="2107"/>
      <c r="D979" s="2107"/>
      <c r="E979" s="2107"/>
      <c r="F979" s="2107"/>
      <c r="G979" s="2107"/>
      <c r="H979" s="2107"/>
      <c r="I979" s="2107"/>
      <c r="J979" s="2107"/>
      <c r="K979" s="2107"/>
      <c r="L979" s="2107"/>
      <c r="M979" s="2107"/>
      <c r="N979" s="2107"/>
      <c r="O979" s="2107"/>
      <c r="P979" s="2107"/>
      <c r="Q979" s="2107"/>
    </row>
    <row r="980" spans="1:17" ht="14.4">
      <c r="A980" s="1745"/>
      <c r="B980" s="2106" t="s">
        <v>1453</v>
      </c>
      <c r="C980" s="2106"/>
      <c r="D980" s="1745"/>
      <c r="E980" s="1745"/>
      <c r="F980" s="1745"/>
      <c r="G980" s="1745"/>
      <c r="H980" s="1745"/>
      <c r="I980" s="1745"/>
      <c r="J980" s="1745"/>
      <c r="K980" s="1745"/>
      <c r="L980" s="1745"/>
      <c r="M980" s="1745"/>
      <c r="N980" s="1745"/>
      <c r="O980" s="1745"/>
      <c r="P980" s="1745"/>
      <c r="Q980" s="1745"/>
    </row>
    <row r="981" spans="1:17" ht="13.8">
      <c r="A981" s="1745"/>
      <c r="B981" s="1745"/>
      <c r="C981" s="1745"/>
      <c r="D981" s="1745"/>
      <c r="E981" s="1745"/>
      <c r="F981" s="1745"/>
      <c r="G981" s="1745"/>
      <c r="H981" s="1745"/>
      <c r="I981" s="1745"/>
      <c r="J981" s="1745"/>
      <c r="K981" s="1745"/>
      <c r="L981" s="1745"/>
      <c r="M981" s="1745"/>
      <c r="N981" s="1745"/>
      <c r="O981" s="1745"/>
      <c r="P981" s="1745"/>
      <c r="Q981" s="1745"/>
    </row>
    <row r="982" spans="1:17" ht="13.8">
      <c r="A982" s="1745"/>
      <c r="B982" s="1745"/>
      <c r="C982" s="1745"/>
      <c r="D982" s="1745"/>
      <c r="E982" s="1745"/>
      <c r="F982" s="1745"/>
      <c r="G982" s="1745"/>
      <c r="H982" s="1745"/>
      <c r="I982" s="1745"/>
      <c r="J982" s="1745"/>
      <c r="K982" s="1745"/>
      <c r="L982" s="1745"/>
      <c r="M982" s="1745"/>
      <c r="N982" s="1745"/>
      <c r="O982" s="1745"/>
      <c r="P982" s="1745"/>
      <c r="Q982" s="1750"/>
    </row>
    <row r="983" spans="1:17" ht="13.8">
      <c r="A983" s="1745"/>
      <c r="B983" s="1747"/>
      <c r="C983" s="1746"/>
      <c r="D983" s="1746"/>
      <c r="E983" s="1746"/>
      <c r="F983" s="1746"/>
      <c r="G983" s="1746"/>
      <c r="H983" s="1746"/>
      <c r="I983" s="1746"/>
      <c r="J983" s="1746"/>
      <c r="K983" s="1746"/>
      <c r="L983" s="1746"/>
      <c r="M983" s="1746"/>
      <c r="N983" s="1746"/>
      <c r="O983" s="1746"/>
      <c r="P983" s="1746"/>
      <c r="Q983" s="1748"/>
    </row>
    <row r="984" spans="1:17" ht="13.8">
      <c r="A984" s="2104" t="s">
        <v>1486</v>
      </c>
      <c r="B984" s="1750" t="s">
        <v>1489</v>
      </c>
      <c r="C984" s="1750"/>
      <c r="D984" s="1750"/>
      <c r="E984" s="1745"/>
      <c r="F984" s="1745"/>
      <c r="G984" s="1745"/>
      <c r="H984" s="1745"/>
      <c r="I984" s="1745"/>
      <c r="J984" s="1745"/>
      <c r="K984" s="1745"/>
      <c r="L984" s="1745"/>
      <c r="M984" s="1745"/>
      <c r="N984" s="1745"/>
      <c r="O984" s="2105" t="s">
        <v>1451</v>
      </c>
      <c r="P984" s="1750"/>
      <c r="Q984" s="1750"/>
    </row>
    <row r="985" spans="1:17" ht="14.4">
      <c r="A985" s="1745"/>
      <c r="B985" s="2106" t="s">
        <v>1457</v>
      </c>
      <c r="C985" s="1745"/>
      <c r="D985" s="2106"/>
      <c r="E985" s="2110"/>
      <c r="F985" s="2110"/>
      <c r="G985" s="2110"/>
      <c r="H985" s="1746"/>
      <c r="I985" s="1747"/>
      <c r="J985" s="1747"/>
      <c r="K985" s="1747"/>
      <c r="L985" s="1748"/>
      <c r="M985" s="1748"/>
      <c r="N985" s="1748"/>
      <c r="O985" s="1748"/>
      <c r="P985" s="1750"/>
      <c r="Q985" s="1750"/>
    </row>
    <row r="986" spans="1:17" ht="13.8">
      <c r="A986" s="2107" t="str">
        <f>'Part VII-Threshold Criteria'!A114</f>
        <v>Per the 2026 QAP, rehabilitation projects are not required to include a zoning letter.</v>
      </c>
      <c r="B986" s="2107"/>
      <c r="C986" s="2107"/>
      <c r="D986" s="2107"/>
      <c r="E986" s="2107"/>
      <c r="F986" s="2107"/>
      <c r="G986" s="2107"/>
      <c r="H986" s="2107"/>
      <c r="I986" s="2107"/>
      <c r="J986" s="2107"/>
      <c r="K986" s="2107"/>
      <c r="L986" s="2107"/>
      <c r="M986" s="2107"/>
      <c r="N986" s="2107"/>
      <c r="O986" s="2107"/>
      <c r="P986" s="2107"/>
      <c r="Q986" s="2107"/>
    </row>
    <row r="987" spans="1:17" ht="14.4">
      <c r="A987" s="1745"/>
      <c r="B987" s="2106" t="s">
        <v>1453</v>
      </c>
      <c r="C987" s="2106"/>
      <c r="D987" s="1745"/>
      <c r="E987" s="1745"/>
      <c r="F987" s="1745"/>
      <c r="G987" s="1745"/>
      <c r="H987" s="1745"/>
      <c r="I987" s="1745"/>
      <c r="J987" s="1745"/>
      <c r="K987" s="1745"/>
      <c r="L987" s="1745"/>
      <c r="M987" s="1745"/>
      <c r="N987" s="1745"/>
      <c r="O987" s="1745"/>
      <c r="P987" s="1745"/>
      <c r="Q987" s="1745"/>
    </row>
    <row r="988" spans="1:17" ht="13.8">
      <c r="A988" s="1745"/>
      <c r="B988" s="1745"/>
      <c r="C988" s="1745"/>
      <c r="D988" s="1745"/>
      <c r="E988" s="1745"/>
      <c r="F988" s="1745"/>
      <c r="G988" s="1745"/>
      <c r="H988" s="1745"/>
      <c r="I988" s="1745"/>
      <c r="J988" s="1745"/>
      <c r="K988" s="1745"/>
      <c r="L988" s="1745"/>
      <c r="M988" s="1745"/>
      <c r="N988" s="1745"/>
      <c r="O988" s="1745"/>
      <c r="P988" s="1745"/>
      <c r="Q988" s="1745"/>
    </row>
    <row r="989" spans="1:17" ht="13.8">
      <c r="A989" s="1750"/>
      <c r="B989" s="1745"/>
      <c r="C989" s="1745"/>
      <c r="D989" s="1745"/>
      <c r="E989" s="1745"/>
      <c r="F989" s="1745"/>
      <c r="G989" s="1745"/>
      <c r="H989" s="1745"/>
      <c r="I989" s="1745"/>
      <c r="J989" s="1745"/>
      <c r="K989" s="1745"/>
      <c r="L989" s="1745"/>
      <c r="M989" s="1745"/>
      <c r="N989" s="1745"/>
      <c r="O989" s="1745"/>
      <c r="P989" s="1745"/>
      <c r="Q989" s="1750"/>
    </row>
    <row r="990" spans="1:17" ht="13.8">
      <c r="A990" s="1745"/>
      <c r="B990" s="1747"/>
      <c r="C990" s="1746"/>
      <c r="D990" s="1746"/>
      <c r="E990" s="1746"/>
      <c r="F990" s="1746"/>
      <c r="G990" s="1746"/>
      <c r="H990" s="1746"/>
      <c r="I990" s="1746"/>
      <c r="J990" s="1746"/>
      <c r="K990" s="1746"/>
      <c r="L990" s="1746"/>
      <c r="M990" s="1746"/>
      <c r="N990" s="1746"/>
      <c r="O990" s="1746"/>
      <c r="P990" s="1746"/>
      <c r="Q990" s="1748"/>
    </row>
    <row r="991" spans="1:17" ht="13.8">
      <c r="A991" s="2104" t="s">
        <v>1488</v>
      </c>
      <c r="B991" s="2104" t="s">
        <v>1491</v>
      </c>
      <c r="C991" s="2104"/>
      <c r="D991" s="1746"/>
      <c r="E991" s="1746"/>
      <c r="F991" s="1745"/>
      <c r="G991" s="1746"/>
      <c r="H991" s="1745"/>
      <c r="I991" s="1745"/>
      <c r="J991" s="1745"/>
      <c r="K991" s="1745"/>
      <c r="L991" s="1745"/>
      <c r="M991" s="1745"/>
      <c r="N991" s="1745"/>
      <c r="O991" s="2105" t="s">
        <v>1451</v>
      </c>
      <c r="P991" s="1750"/>
      <c r="Q991" s="1750"/>
    </row>
    <row r="992" spans="1:17" ht="13.8">
      <c r="A992" s="2105"/>
      <c r="B992" s="1745" t="s">
        <v>1492</v>
      </c>
      <c r="C992" s="1745"/>
      <c r="D992" s="1745"/>
      <c r="E992" s="1745"/>
      <c r="F992" s="1745"/>
      <c r="G992" s="1745"/>
      <c r="H992" s="1745"/>
      <c r="I992" s="1745"/>
      <c r="J992" s="1745" t="s">
        <v>1493</v>
      </c>
      <c r="K992" s="1745"/>
      <c r="L992" s="1745"/>
      <c r="M992" s="2107">
        <f>'Part VII-Threshold Criteria'!M120</f>
        <v>0</v>
      </c>
      <c r="N992" s="1750"/>
      <c r="O992" s="1750"/>
      <c r="P992" s="1750"/>
      <c r="Q992" s="1750"/>
    </row>
    <row r="993" spans="1:17" ht="13.8">
      <c r="A993" s="2105"/>
      <c r="B993" s="2105"/>
      <c r="C993" s="1745"/>
      <c r="D993" s="1745"/>
      <c r="E993" s="1745"/>
      <c r="F993" s="1745"/>
      <c r="G993" s="1745"/>
      <c r="H993" s="1745"/>
      <c r="I993" s="1745"/>
      <c r="J993" s="1745" t="s">
        <v>1495</v>
      </c>
      <c r="K993" s="1745"/>
      <c r="L993" s="1745"/>
      <c r="M993" s="2107">
        <f>'Part VII-Threshold Criteria'!M121</f>
        <v>0</v>
      </c>
      <c r="N993" s="1750"/>
      <c r="O993" s="1750"/>
      <c r="P993" s="1750"/>
      <c r="Q993" s="1750"/>
    </row>
    <row r="994" spans="1:17" ht="14.4">
      <c r="A994" s="2105"/>
      <c r="B994" s="2110" t="s">
        <v>1457</v>
      </c>
      <c r="C994" s="1745"/>
      <c r="D994" s="1745"/>
      <c r="E994" s="1745"/>
      <c r="F994" s="1745"/>
      <c r="G994" s="1745"/>
      <c r="H994" s="1745"/>
      <c r="I994" s="1745"/>
      <c r="J994" s="1745"/>
      <c r="K994" s="1745"/>
      <c r="L994" s="1745"/>
      <c r="M994" s="1745"/>
      <c r="N994" s="1745"/>
      <c r="O994" s="1745"/>
      <c r="P994" s="1745"/>
      <c r="Q994" s="1745"/>
    </row>
    <row r="995" spans="1:17" ht="13.8">
      <c r="A995" s="2107" t="str">
        <f>'Part VII-Threshold Criteria'!A123</f>
        <v>Per the 2026 QAP, rehabilitation projects are not required to include a utility letter.</v>
      </c>
      <c r="B995" s="2107"/>
      <c r="C995" s="2107"/>
      <c r="D995" s="2107"/>
      <c r="E995" s="2107"/>
      <c r="F995" s="2107"/>
      <c r="G995" s="2107"/>
      <c r="H995" s="2107"/>
      <c r="I995" s="2107"/>
      <c r="J995" s="2107"/>
      <c r="K995" s="2107"/>
      <c r="L995" s="2107"/>
      <c r="M995" s="2107"/>
      <c r="N995" s="2107"/>
      <c r="O995" s="2107"/>
      <c r="P995" s="2107"/>
      <c r="Q995" s="2107"/>
    </row>
    <row r="996" spans="1:17" ht="14.4">
      <c r="A996" s="1745"/>
      <c r="B996" s="2106" t="s">
        <v>1453</v>
      </c>
      <c r="C996" s="2106"/>
      <c r="D996" s="1745"/>
      <c r="E996" s="1745"/>
      <c r="F996" s="1745"/>
      <c r="G996" s="1745"/>
      <c r="H996" s="1745"/>
      <c r="I996" s="1745"/>
      <c r="J996" s="1745"/>
      <c r="K996" s="1745"/>
      <c r="L996" s="1745"/>
      <c r="M996" s="1745"/>
      <c r="N996" s="1745"/>
      <c r="O996" s="1745"/>
      <c r="P996" s="1745"/>
      <c r="Q996" s="1745"/>
    </row>
    <row r="997" spans="1:17" ht="13.8">
      <c r="A997" s="1745"/>
      <c r="B997" s="1745"/>
      <c r="C997" s="1745"/>
      <c r="D997" s="1745"/>
      <c r="E997" s="1745"/>
      <c r="F997" s="1745"/>
      <c r="G997" s="1745"/>
      <c r="H997" s="1745"/>
      <c r="I997" s="1745"/>
      <c r="J997" s="1745"/>
      <c r="K997" s="1745"/>
      <c r="L997" s="1745"/>
      <c r="M997" s="1745"/>
      <c r="N997" s="1745"/>
      <c r="O997" s="1745"/>
      <c r="P997" s="1745"/>
      <c r="Q997" s="1745"/>
    </row>
    <row r="998" spans="1:17" ht="13.8">
      <c r="A998" s="1745"/>
      <c r="B998" s="1745"/>
      <c r="C998" s="1745"/>
      <c r="D998" s="1745"/>
      <c r="E998" s="1745"/>
      <c r="F998" s="1745"/>
      <c r="G998" s="1745"/>
      <c r="H998" s="1745"/>
      <c r="I998" s="1745"/>
      <c r="J998" s="1745"/>
      <c r="K998" s="1745"/>
      <c r="L998" s="1745"/>
      <c r="M998" s="1745"/>
      <c r="N998" s="1745"/>
      <c r="O998" s="1745"/>
      <c r="P998" s="1745"/>
      <c r="Q998" s="1750"/>
    </row>
    <row r="999" spans="1:17" ht="13.8">
      <c r="A999" s="1745"/>
      <c r="B999" s="1747"/>
      <c r="C999" s="1746"/>
      <c r="D999" s="1746"/>
      <c r="E999" s="1746"/>
      <c r="F999" s="1746"/>
      <c r="G999" s="1746"/>
      <c r="H999" s="1746"/>
      <c r="I999" s="1746"/>
      <c r="J999" s="1746"/>
      <c r="K999" s="1746"/>
      <c r="L999" s="1746"/>
      <c r="M999" s="1746"/>
      <c r="N999" s="1745"/>
      <c r="O999" s="1745"/>
      <c r="P999" s="1745"/>
      <c r="Q999" s="1748"/>
    </row>
    <row r="1000" spans="1:17" ht="13.8">
      <c r="A1000" s="2104" t="s">
        <v>1490</v>
      </c>
      <c r="B1000" s="1750" t="s">
        <v>1497</v>
      </c>
      <c r="C1000" s="1750"/>
      <c r="D1000" s="1750"/>
      <c r="E1000" s="1750"/>
      <c r="F1000" s="1750"/>
      <c r="G1000" s="1746"/>
      <c r="H1000" s="1746"/>
      <c r="I1000" s="1745"/>
      <c r="J1000" s="1746"/>
      <c r="K1000" s="1746"/>
      <c r="L1000" s="1746"/>
      <c r="M1000" s="1746"/>
      <c r="N1000" s="1745"/>
      <c r="O1000" s="2105" t="s">
        <v>1451</v>
      </c>
      <c r="P1000" s="1750"/>
      <c r="Q1000" s="1750"/>
    </row>
    <row r="1001" spans="1:17" ht="13.8">
      <c r="A1001" s="2105"/>
      <c r="B1001" s="1745" t="s">
        <v>1498</v>
      </c>
      <c r="C1001" s="1745"/>
      <c r="D1001" s="1745"/>
      <c r="E1001" s="1745"/>
      <c r="F1001" s="1745"/>
      <c r="G1001" s="1745"/>
      <c r="H1001" s="1745"/>
      <c r="I1001" s="1745"/>
      <c r="J1001" s="1745" t="s">
        <v>1499</v>
      </c>
      <c r="K1001" s="1745"/>
      <c r="L1001" s="1745"/>
      <c r="M1001" s="2107">
        <f>'Part VII-Threshold Criteria'!M129</f>
        <v>0</v>
      </c>
      <c r="N1001" s="1750"/>
      <c r="O1001" s="1750"/>
      <c r="P1001" s="1750"/>
      <c r="Q1001" s="1750"/>
    </row>
    <row r="1002" spans="1:17" ht="13.8">
      <c r="A1002" s="1745"/>
      <c r="B1002" s="2105"/>
      <c r="C1002" s="1745"/>
      <c r="D1002" s="1745"/>
      <c r="E1002" s="1745"/>
      <c r="F1002" s="1745"/>
      <c r="G1002" s="1745"/>
      <c r="H1002" s="1745"/>
      <c r="I1002" s="1745"/>
      <c r="J1002" s="1745" t="s">
        <v>1500</v>
      </c>
      <c r="K1002" s="1745"/>
      <c r="L1002" s="1745"/>
      <c r="M1002" s="2107">
        <f>'Part VII-Threshold Criteria'!M130</f>
        <v>0</v>
      </c>
      <c r="N1002" s="1750"/>
      <c r="O1002" s="1750"/>
      <c r="P1002" s="1750"/>
      <c r="Q1002" s="1750"/>
    </row>
    <row r="1003" spans="1:17" ht="14.4">
      <c r="A1003" s="1745"/>
      <c r="B1003" s="2110" t="s">
        <v>1457</v>
      </c>
      <c r="C1003" s="1745"/>
      <c r="D1003" s="2110"/>
      <c r="E1003" s="2110"/>
      <c r="F1003" s="2110"/>
      <c r="G1003" s="2110"/>
      <c r="H1003" s="1746"/>
      <c r="I1003" s="1747"/>
      <c r="J1003" s="1747"/>
      <c r="K1003" s="1747"/>
      <c r="L1003" s="1748"/>
      <c r="M1003" s="1750"/>
      <c r="N1003" s="1750"/>
      <c r="O1003" s="1750"/>
      <c r="P1003" s="1750"/>
      <c r="Q1003" s="1750"/>
    </row>
    <row r="1004" spans="1:17" ht="13.8">
      <c r="A1004" s="2107" t="str">
        <f>'Part VII-Threshold Criteria'!A132</f>
        <v>Per the 2026 QAP, rehabilitation projects are not required to include a water/sewer letter.</v>
      </c>
      <c r="B1004" s="2107"/>
      <c r="C1004" s="2107"/>
      <c r="D1004" s="2107"/>
      <c r="E1004" s="2107"/>
      <c r="F1004" s="2107"/>
      <c r="G1004" s="2107"/>
      <c r="H1004" s="2107"/>
      <c r="I1004" s="2107"/>
      <c r="J1004" s="2107"/>
      <c r="K1004" s="2107"/>
      <c r="L1004" s="2107"/>
      <c r="M1004" s="2107"/>
      <c r="N1004" s="2107"/>
      <c r="O1004" s="2107"/>
      <c r="P1004" s="2107"/>
      <c r="Q1004" s="2107"/>
    </row>
    <row r="1005" spans="1:17" ht="14.4">
      <c r="A1005" s="1745"/>
      <c r="B1005" s="2106" t="s">
        <v>1453</v>
      </c>
      <c r="C1005" s="2106"/>
      <c r="D1005" s="1745"/>
      <c r="E1005" s="1745"/>
      <c r="F1005" s="1745"/>
      <c r="G1005" s="1745"/>
      <c r="H1005" s="1745"/>
      <c r="I1005" s="1745"/>
      <c r="J1005" s="1745"/>
      <c r="K1005" s="1745"/>
      <c r="L1005" s="1745"/>
      <c r="M1005" s="1745"/>
      <c r="N1005" s="1745"/>
      <c r="O1005" s="1745"/>
      <c r="P1005" s="1745"/>
      <c r="Q1005" s="1745"/>
    </row>
    <row r="1006" spans="1:17" ht="13.8">
      <c r="A1006" s="1745"/>
      <c r="B1006" s="1745"/>
      <c r="C1006" s="1745"/>
      <c r="D1006" s="1745"/>
      <c r="E1006" s="1745"/>
      <c r="F1006" s="1745"/>
      <c r="G1006" s="1745"/>
      <c r="H1006" s="1745"/>
      <c r="I1006" s="1745"/>
      <c r="J1006" s="1745"/>
      <c r="K1006" s="1745"/>
      <c r="L1006" s="1745"/>
      <c r="M1006" s="1745"/>
      <c r="N1006" s="1745"/>
      <c r="O1006" s="1745"/>
      <c r="P1006" s="1745"/>
      <c r="Q1006" s="1745"/>
    </row>
    <row r="1007" spans="1:17" ht="13.8">
      <c r="A1007" s="1750"/>
      <c r="B1007" s="1745"/>
      <c r="C1007" s="1745"/>
      <c r="D1007" s="1745"/>
      <c r="E1007" s="1745"/>
      <c r="F1007" s="1745"/>
      <c r="G1007" s="1745"/>
      <c r="H1007" s="1745"/>
      <c r="I1007" s="1745"/>
      <c r="J1007" s="1745"/>
      <c r="K1007" s="1745"/>
      <c r="L1007" s="1745"/>
      <c r="M1007" s="1745"/>
      <c r="N1007" s="1745"/>
      <c r="O1007" s="1745"/>
      <c r="P1007" s="1745"/>
      <c r="Q1007" s="1750"/>
    </row>
    <row r="1008" spans="1:17" ht="13.8">
      <c r="A1008" s="1745"/>
      <c r="B1008" s="1747"/>
      <c r="C1008" s="1746"/>
      <c r="D1008" s="1746"/>
      <c r="E1008" s="1746"/>
      <c r="F1008" s="1746"/>
      <c r="G1008" s="1746"/>
      <c r="H1008" s="1746"/>
      <c r="I1008" s="1746"/>
      <c r="J1008" s="1746"/>
      <c r="K1008" s="1746"/>
      <c r="L1008" s="1746"/>
      <c r="M1008" s="1746"/>
      <c r="N1008" s="1745"/>
      <c r="O1008" s="1745"/>
      <c r="P1008" s="1745"/>
      <c r="Q1008" s="1748"/>
    </row>
    <row r="1009" spans="1:17" ht="13.8">
      <c r="A1009" s="2104" t="s">
        <v>1496</v>
      </c>
      <c r="B1009" s="2104" t="s">
        <v>1502</v>
      </c>
      <c r="C1009" s="2104"/>
      <c r="D1009" s="1746"/>
      <c r="E1009" s="1746"/>
      <c r="F1009" s="1746"/>
      <c r="G1009" s="1746"/>
      <c r="H1009" s="1746"/>
      <c r="I1009" s="1746"/>
      <c r="J1009" s="1746"/>
      <c r="K1009" s="1746"/>
      <c r="L1009" s="1746"/>
      <c r="M1009" s="1746"/>
      <c r="N1009" s="1745"/>
      <c r="O1009" s="2105" t="s">
        <v>1451</v>
      </c>
      <c r="P1009" s="1750"/>
      <c r="Q1009" s="1750"/>
    </row>
    <row r="1010" spans="1:17" ht="15" customHeight="1">
      <c r="A1010" s="1745"/>
      <c r="B1010" s="1745" t="s">
        <v>7571</v>
      </c>
      <c r="C1010" s="1745"/>
      <c r="D1010" s="1745"/>
      <c r="E1010" s="1745"/>
      <c r="F1010" s="1745"/>
      <c r="G1010" s="1745"/>
      <c r="H1010" s="1745"/>
      <c r="I1010" s="1745"/>
      <c r="J1010" s="1745"/>
      <c r="K1010" s="1745"/>
      <c r="L1010" s="1745"/>
      <c r="M1010" s="1745"/>
      <c r="N1010" s="1745"/>
      <c r="O1010" s="1745"/>
      <c r="P1010" s="1750" t="str">
        <f>'Part VII-Threshold Criteria'!P138</f>
        <v>Yes</v>
      </c>
      <c r="Q1010" s="1750"/>
    </row>
    <row r="1011" spans="1:17" ht="14.4">
      <c r="A1011" s="2105" t="s">
        <v>186</v>
      </c>
      <c r="B1011" s="1745" t="s">
        <v>7572</v>
      </c>
      <c r="C1011" s="1745"/>
      <c r="D1011" s="1745"/>
      <c r="E1011" s="1745"/>
      <c r="F1011" s="1745"/>
      <c r="G1011" s="1745"/>
      <c r="H1011" s="1745"/>
      <c r="I1011" s="1745"/>
      <c r="J1011" s="1745"/>
      <c r="K1011" s="1745"/>
      <c r="L1011" s="1745"/>
      <c r="M1011" s="1745"/>
      <c r="N1011" s="1745"/>
      <c r="O1011" s="1745"/>
      <c r="P1011" s="1745"/>
      <c r="Q1011" s="1745"/>
    </row>
    <row r="1012" spans="1:17" ht="13.8">
      <c r="A1012" s="2105"/>
      <c r="B1012" s="1746"/>
      <c r="C1012" s="1745" t="s">
        <v>1505</v>
      </c>
      <c r="D1012" s="1745"/>
      <c r="E1012" s="1745"/>
      <c r="F1012" s="1745"/>
      <c r="G1012" s="1745"/>
      <c r="H1012" s="1745"/>
      <c r="I1012" s="1745"/>
      <c r="J1012" s="2115"/>
      <c r="K1012" s="1745"/>
      <c r="L1012" s="1745"/>
      <c r="M1012" s="2107" t="str">
        <f>'Part VII-Threshold Criteria'!M140</f>
        <v>Building</v>
      </c>
      <c r="N1012" s="1750"/>
      <c r="O1012" s="1750"/>
      <c r="P1012" s="1750"/>
      <c r="Q1012" s="1750"/>
    </row>
    <row r="1013" spans="1:17" ht="13.8">
      <c r="A1013" s="2105"/>
      <c r="B1013" s="1746"/>
      <c r="C1013" s="1746" t="s">
        <v>1506</v>
      </c>
      <c r="D1013" s="1745"/>
      <c r="E1013" s="1746"/>
      <c r="F1013" s="1746"/>
      <c r="G1013" s="1746"/>
      <c r="H1013" s="1746"/>
      <c r="I1013" s="1745"/>
      <c r="J1013" s="2115"/>
      <c r="K1013" s="1745"/>
      <c r="L1013" s="1745"/>
      <c r="M1013" s="2107" t="str">
        <f>'Part VII-Threshold Criteria'!M141</f>
        <v>Gazebo</v>
      </c>
      <c r="N1013" s="1750"/>
      <c r="O1013" s="1750"/>
      <c r="P1013" s="1750"/>
      <c r="Q1013" s="1750"/>
    </row>
    <row r="1014" spans="1:17" ht="15" customHeight="1">
      <c r="A1014" s="2105"/>
      <c r="B1014" s="1746"/>
      <c r="C1014" s="2107" t="str">
        <f>'Part VII-Threshold Criteria'!C142</f>
        <v>If "Other Pre-Approved", explain here</v>
      </c>
      <c r="D1014" s="1745"/>
      <c r="E1014" s="1745"/>
      <c r="F1014" s="1745"/>
      <c r="G1014" s="1745"/>
      <c r="H1014" s="1745"/>
      <c r="I1014" s="1745"/>
      <c r="J1014" s="1745"/>
      <c r="K1014" s="1745"/>
      <c r="L1014" s="1745"/>
      <c r="M1014" s="1745"/>
      <c r="N1014" s="1745"/>
      <c r="O1014" s="1745"/>
      <c r="P1014" s="1745"/>
      <c r="Q1014" s="1745"/>
    </row>
    <row r="1015" spans="1:17" ht="13.8">
      <c r="A1015" s="2105"/>
      <c r="B1015" s="1746"/>
      <c r="C1015" s="1745" t="s">
        <v>1508</v>
      </c>
      <c r="D1015" s="1745"/>
      <c r="E1015" s="1745"/>
      <c r="F1015" s="1745"/>
      <c r="G1015" s="1745"/>
      <c r="H1015" s="1745"/>
      <c r="I1015" s="1745"/>
      <c r="J1015" s="1745"/>
      <c r="K1015" s="1745"/>
      <c r="L1015" s="1745"/>
      <c r="M1015" s="2107" t="str">
        <f>'Part VII-Threshold Criteria'!M143</f>
        <v>On-site laundry</v>
      </c>
      <c r="N1015" s="1750"/>
      <c r="O1015" s="1750"/>
      <c r="P1015" s="1750"/>
      <c r="Q1015" s="1750"/>
    </row>
    <row r="1016" spans="1:17" ht="15" customHeight="1">
      <c r="A1016" s="2105" t="s">
        <v>198</v>
      </c>
      <c r="B1016" s="1745" t="s">
        <v>7573</v>
      </c>
      <c r="C1016" s="1745"/>
      <c r="D1016" s="1745"/>
      <c r="E1016" s="1745"/>
      <c r="F1016" s="1745"/>
      <c r="G1016" s="1745"/>
      <c r="H1016" s="1745"/>
      <c r="I1016" s="1745"/>
      <c r="J1016" s="1745"/>
      <c r="K1016" s="1745"/>
      <c r="L1016" s="1745"/>
      <c r="M1016" s="1745"/>
      <c r="N1016" s="1745"/>
      <c r="O1016" s="1745"/>
      <c r="P1016" s="1750"/>
      <c r="Q1016" s="1750"/>
    </row>
    <row r="1017" spans="1:17" ht="15" customHeight="1">
      <c r="A1017" s="1827"/>
      <c r="B1017" s="1745"/>
      <c r="C1017" s="1745" t="s">
        <v>7574</v>
      </c>
      <c r="D1017" s="1745"/>
      <c r="E1017" s="1745"/>
      <c r="F1017" s="1745"/>
      <c r="G1017" s="1745"/>
      <c r="H1017" s="1745"/>
      <c r="I1017" s="1745"/>
      <c r="J1017" s="1745"/>
      <c r="K1017" s="1745"/>
      <c r="L1017" s="1745"/>
      <c r="M1017" s="1745"/>
      <c r="N1017" s="1745"/>
      <c r="O1017" s="1745"/>
      <c r="P1017" s="1745"/>
      <c r="Q1017" s="1745"/>
    </row>
    <row r="1018" spans="1:17" ht="15" customHeight="1">
      <c r="A1018" s="1748"/>
      <c r="B1018" s="2119" t="s">
        <v>1511</v>
      </c>
      <c r="C1018" s="2107" t="str">
        <f>'Part VII-Threshold Criteria'!C146</f>
        <v xml:space="preserve">Equipped Computer Center and WiFi </v>
      </c>
      <c r="D1018" s="2107"/>
      <c r="E1018" s="2107"/>
      <c r="F1018" s="2107"/>
      <c r="G1018" s="2107"/>
      <c r="H1018" s="2107"/>
      <c r="I1018" s="1745"/>
      <c r="J1018" s="2107">
        <f>'Part VII-Threshold Criteria'!J146</f>
        <v>0</v>
      </c>
      <c r="K1018" s="2107"/>
      <c r="L1018" s="2107"/>
      <c r="M1018" s="2107"/>
      <c r="N1018" s="2107"/>
      <c r="O1018" s="2107"/>
      <c r="P1018" s="2107"/>
      <c r="Q1018" s="2107"/>
    </row>
    <row r="1019" spans="1:17" ht="15" customHeight="1">
      <c r="A1019" s="1748"/>
      <c r="B1019" s="2119" t="s">
        <v>1513</v>
      </c>
      <c r="C1019" s="2107" t="str">
        <f>'Part VII-Threshold Criteria'!C147</f>
        <v>Equipped playground</v>
      </c>
      <c r="D1019" s="2107"/>
      <c r="E1019" s="2107"/>
      <c r="F1019" s="2107"/>
      <c r="G1019" s="2107"/>
      <c r="H1019" s="2107"/>
      <c r="I1019" s="1745"/>
      <c r="J1019" s="2107">
        <f>'Part VII-Threshold Criteria'!J147</f>
        <v>0</v>
      </c>
      <c r="K1019" s="2107"/>
      <c r="L1019" s="2107"/>
      <c r="M1019" s="2107"/>
      <c r="N1019" s="2107"/>
      <c r="O1019" s="2107"/>
      <c r="P1019" s="2107"/>
      <c r="Q1019" s="2107"/>
    </row>
    <row r="1020" spans="1:17" ht="15" customHeight="1">
      <c r="A1020" s="1748"/>
      <c r="B1020" s="2119" t="s">
        <v>1514</v>
      </c>
      <c r="C1020" s="2107">
        <f>'Part VII-Threshold Criteria'!C148</f>
        <v>0</v>
      </c>
      <c r="D1020" s="2107"/>
      <c r="E1020" s="2107"/>
      <c r="F1020" s="2107"/>
      <c r="G1020" s="2107"/>
      <c r="H1020" s="2107"/>
      <c r="I1020" s="1745"/>
      <c r="J1020" s="2107">
        <f>'Part VII-Threshold Criteria'!J148</f>
        <v>0</v>
      </c>
      <c r="K1020" s="2107"/>
      <c r="L1020" s="2107"/>
      <c r="M1020" s="2107"/>
      <c r="N1020" s="2107"/>
      <c r="O1020" s="2107"/>
      <c r="P1020" s="2107"/>
      <c r="Q1020" s="2107"/>
    </row>
    <row r="1021" spans="1:17" ht="15" customHeight="1">
      <c r="A1021" s="1748"/>
      <c r="B1021" s="2119" t="s">
        <v>1515</v>
      </c>
      <c r="C1021" s="2107">
        <f>'Part VII-Threshold Criteria'!C149</f>
        <v>0</v>
      </c>
      <c r="D1021" s="2107"/>
      <c r="E1021" s="2107"/>
      <c r="F1021" s="2107"/>
      <c r="G1021" s="2107"/>
      <c r="H1021" s="2107"/>
      <c r="I1021" s="1745"/>
      <c r="J1021" s="2107">
        <f>'Part VII-Threshold Criteria'!J149</f>
        <v>0</v>
      </c>
      <c r="K1021" s="2107"/>
      <c r="L1021" s="2107"/>
      <c r="M1021" s="2107"/>
      <c r="N1021" s="2107"/>
      <c r="O1021" s="2107"/>
      <c r="P1021" s="2107"/>
      <c r="Q1021" s="2107"/>
    </row>
    <row r="1022" spans="1:17" ht="14.4">
      <c r="A1022" s="1745"/>
      <c r="B1022" s="2110" t="s">
        <v>1457</v>
      </c>
      <c r="C1022" s="1745"/>
      <c r="D1022" s="2106"/>
      <c r="E1022" s="2106"/>
      <c r="F1022" s="2106"/>
      <c r="G1022" s="2106"/>
      <c r="H1022" s="1745"/>
      <c r="I1022" s="1747"/>
      <c r="J1022" s="1745"/>
      <c r="K1022" s="1745"/>
      <c r="L1022" s="1750"/>
      <c r="M1022" s="1750"/>
      <c r="N1022" s="1750"/>
      <c r="O1022" s="1750"/>
      <c r="P1022" s="1745"/>
      <c r="Q1022" s="1745"/>
    </row>
    <row r="1023" spans="1:17" ht="13.8">
      <c r="A1023" s="2107" t="str">
        <f>'Part VII-Threshold Criteria'!A151</f>
        <v>All required amenities will be provided.</v>
      </c>
      <c r="B1023" s="2107"/>
      <c r="C1023" s="2107"/>
      <c r="D1023" s="2107"/>
      <c r="E1023" s="2107"/>
      <c r="F1023" s="2107"/>
      <c r="G1023" s="2107"/>
      <c r="H1023" s="2107"/>
      <c r="I1023" s="2107"/>
      <c r="J1023" s="2107"/>
      <c r="K1023" s="2107"/>
      <c r="L1023" s="2107"/>
      <c r="M1023" s="2107"/>
      <c r="N1023" s="2107"/>
      <c r="O1023" s="2107"/>
      <c r="P1023" s="2107"/>
      <c r="Q1023" s="2107"/>
    </row>
    <row r="1024" spans="1:17" ht="14.4">
      <c r="A1024" s="1745"/>
      <c r="B1024" s="2106" t="s">
        <v>1453</v>
      </c>
      <c r="C1024" s="2106"/>
      <c r="D1024" s="1745"/>
      <c r="E1024" s="1745"/>
      <c r="F1024" s="1745"/>
      <c r="G1024" s="1745"/>
      <c r="H1024" s="1745"/>
      <c r="I1024" s="1745"/>
      <c r="J1024" s="1745"/>
      <c r="K1024" s="1745"/>
      <c r="L1024" s="1745"/>
      <c r="M1024" s="1745"/>
      <c r="N1024" s="1745"/>
      <c r="O1024" s="1745"/>
      <c r="P1024" s="1745"/>
      <c r="Q1024" s="1745"/>
    </row>
    <row r="1025" spans="1:17" ht="13.8">
      <c r="A1025" s="1745"/>
      <c r="B1025" s="1745"/>
      <c r="C1025" s="1745"/>
      <c r="D1025" s="1745"/>
      <c r="E1025" s="1745"/>
      <c r="F1025" s="1745"/>
      <c r="G1025" s="1745"/>
      <c r="H1025" s="1745"/>
      <c r="I1025" s="1745"/>
      <c r="J1025" s="1745"/>
      <c r="K1025" s="1745"/>
      <c r="L1025" s="1745"/>
      <c r="M1025" s="1745"/>
      <c r="N1025" s="1745"/>
      <c r="O1025" s="1745"/>
      <c r="P1025" s="1745"/>
      <c r="Q1025" s="1745"/>
    </row>
    <row r="1026" spans="1:17" ht="13.8">
      <c r="A1026" s="1750"/>
      <c r="B1026" s="1745"/>
      <c r="C1026" s="1745"/>
      <c r="D1026" s="1745"/>
      <c r="E1026" s="1745"/>
      <c r="F1026" s="1745"/>
      <c r="G1026" s="1745"/>
      <c r="H1026" s="1745"/>
      <c r="I1026" s="1745"/>
      <c r="J1026" s="1745"/>
      <c r="K1026" s="1745"/>
      <c r="L1026" s="1745"/>
      <c r="M1026" s="1745"/>
      <c r="N1026" s="1745"/>
      <c r="O1026" s="1745"/>
      <c r="P1026" s="1745"/>
      <c r="Q1026" s="1750"/>
    </row>
    <row r="1027" spans="1:17" ht="13.8">
      <c r="A1027" s="1745"/>
      <c r="B1027" s="1747"/>
      <c r="C1027" s="1746"/>
      <c r="D1027" s="1746"/>
      <c r="E1027" s="1746"/>
      <c r="F1027" s="1746"/>
      <c r="G1027" s="1746"/>
      <c r="H1027" s="1746"/>
      <c r="I1027" s="1746"/>
      <c r="J1027" s="1746"/>
      <c r="K1027" s="1746"/>
      <c r="L1027" s="1746"/>
      <c r="M1027" s="1746"/>
      <c r="N1027" s="1745"/>
      <c r="O1027" s="1745"/>
      <c r="P1027" s="1745"/>
      <c r="Q1027" s="1748"/>
    </row>
    <row r="1028" spans="1:17" ht="13.8">
      <c r="A1028" s="2104" t="s">
        <v>1501</v>
      </c>
      <c r="B1028" s="1750" t="s">
        <v>1517</v>
      </c>
      <c r="C1028" s="1750"/>
      <c r="D1028" s="1750"/>
      <c r="E1028" s="1750"/>
      <c r="F1028" s="1750"/>
      <c r="G1028" s="1750"/>
      <c r="H1028" s="1746"/>
      <c r="I1028" s="1746"/>
      <c r="J1028" s="1746"/>
      <c r="K1028" s="1746"/>
      <c r="L1028" s="2109"/>
      <c r="M1028" s="2125"/>
      <c r="N1028" s="1745"/>
      <c r="O1028" s="2105" t="s">
        <v>1451</v>
      </c>
      <c r="P1028" s="1750"/>
      <c r="Q1028" s="1750"/>
    </row>
    <row r="1029" spans="1:17" ht="13.8">
      <c r="A1029" s="1745"/>
      <c r="B1029" s="1745" t="s">
        <v>1455</v>
      </c>
      <c r="C1029" s="1745"/>
      <c r="D1029" s="1745"/>
      <c r="E1029" s="1745"/>
      <c r="F1029" s="1745"/>
      <c r="G1029" s="1745"/>
      <c r="H1029" s="1745"/>
      <c r="I1029" s="1745"/>
      <c r="J1029" s="1745"/>
      <c r="K1029" s="1745"/>
      <c r="L1029" s="1745"/>
      <c r="M1029" s="1745"/>
      <c r="N1029" s="1747"/>
      <c r="O1029" s="1745"/>
      <c r="P1029" s="1750" t="str">
        <f>'Part VII-Threshold Criteria'!P157</f>
        <v>No</v>
      </c>
      <c r="Q1029" s="1750"/>
    </row>
    <row r="1030" spans="1:17" ht="15" customHeight="1">
      <c r="A1030" s="2105"/>
      <c r="B1030" s="1745" t="s">
        <v>1518</v>
      </c>
      <c r="C1030" s="1745"/>
      <c r="D1030" s="1745"/>
      <c r="E1030" s="1745"/>
      <c r="F1030" s="1745"/>
      <c r="G1030" s="1745"/>
      <c r="H1030" s="1745"/>
      <c r="I1030" s="1745"/>
      <c r="J1030" s="1745"/>
      <c r="K1030" s="1745"/>
      <c r="L1030" s="1745"/>
      <c r="M1030" s="2107" t="str">
        <f>'Part VII-Threshold Criteria'!M158</f>
        <v>Substantial Rehab Non-Gutted</v>
      </c>
      <c r="N1030" s="1745"/>
      <c r="O1030" s="1745"/>
      <c r="P1030" s="1745"/>
      <c r="Q1030" s="1745"/>
    </row>
    <row r="1031" spans="1:17" ht="13.8">
      <c r="A1031" s="2105"/>
      <c r="B1031" s="1745" t="s">
        <v>1519</v>
      </c>
      <c r="C1031" s="1745"/>
      <c r="D1031" s="1745"/>
      <c r="E1031" s="1745"/>
      <c r="F1031" s="1745"/>
      <c r="G1031" s="1745"/>
      <c r="H1031" s="1745"/>
      <c r="I1031" s="1745"/>
      <c r="J1031" s="1745"/>
      <c r="K1031" s="1745"/>
      <c r="L1031" s="1745"/>
      <c r="M1031" s="2107" t="str">
        <f>'Part VII-Threshold Criteria'!M159</f>
        <v>Newbanks</v>
      </c>
      <c r="N1031" s="1745"/>
      <c r="O1031" s="1745"/>
      <c r="P1031" s="1745"/>
      <c r="Q1031" s="1745"/>
    </row>
    <row r="1032" spans="1:17" ht="14.4">
      <c r="A1032" s="1745"/>
      <c r="B1032" s="2110" t="s">
        <v>1457</v>
      </c>
      <c r="C1032" s="1745"/>
      <c r="D1032" s="2110"/>
      <c r="E1032" s="2110"/>
      <c r="F1032" s="2110"/>
      <c r="G1032" s="2110"/>
      <c r="H1032" s="1746"/>
      <c r="I1032" s="1747"/>
      <c r="J1032" s="1747"/>
      <c r="K1032" s="1747"/>
      <c r="L1032" s="1748"/>
      <c r="M1032" s="1750"/>
      <c r="N1032" s="1750"/>
      <c r="O1032" s="1750"/>
      <c r="P1032" s="1750"/>
      <c r="Q1032" s="1750"/>
    </row>
    <row r="1033" spans="1:17" ht="13.8">
      <c r="A1033" s="2107" t="str">
        <f>'Part VII-Threshold Criteria'!A161</f>
        <v xml:space="preserve">The applicant has developed a scope of work which includes all applicant-identified needs at the property, as well as including all DCA requirements and recommendations of the PNA. </v>
      </c>
      <c r="B1033" s="2107"/>
      <c r="C1033" s="2107"/>
      <c r="D1033" s="2107"/>
      <c r="E1033" s="2107"/>
      <c r="F1033" s="2107"/>
      <c r="G1033" s="2107"/>
      <c r="H1033" s="2107"/>
      <c r="I1033" s="2107"/>
      <c r="J1033" s="2107"/>
      <c r="K1033" s="2107"/>
      <c r="L1033" s="2107"/>
      <c r="M1033" s="2107"/>
      <c r="N1033" s="2107"/>
      <c r="O1033" s="2107"/>
      <c r="P1033" s="2107"/>
      <c r="Q1033" s="2107"/>
    </row>
    <row r="1034" spans="1:17" ht="14.4">
      <c r="A1034" s="1745"/>
      <c r="B1034" s="2106" t="s">
        <v>1453</v>
      </c>
      <c r="C1034" s="2106"/>
      <c r="D1034" s="1745"/>
      <c r="E1034" s="1745"/>
      <c r="F1034" s="1745"/>
      <c r="G1034" s="1745"/>
      <c r="H1034" s="1745"/>
      <c r="I1034" s="1745"/>
      <c r="J1034" s="1745"/>
      <c r="K1034" s="1745"/>
      <c r="L1034" s="1745"/>
      <c r="M1034" s="1745"/>
      <c r="N1034" s="1745"/>
      <c r="O1034" s="1745"/>
      <c r="P1034" s="1745"/>
      <c r="Q1034" s="1745"/>
    </row>
    <row r="1035" spans="1:17" ht="13.8">
      <c r="A1035" s="1745"/>
      <c r="B1035" s="1745"/>
      <c r="C1035" s="1745"/>
      <c r="D1035" s="1745"/>
      <c r="E1035" s="1745"/>
      <c r="F1035" s="1745"/>
      <c r="G1035" s="1745"/>
      <c r="H1035" s="1745"/>
      <c r="I1035" s="1745"/>
      <c r="J1035" s="1745"/>
      <c r="K1035" s="1745"/>
      <c r="L1035" s="1745"/>
      <c r="M1035" s="1745"/>
      <c r="N1035" s="1745"/>
      <c r="O1035" s="1745"/>
      <c r="P1035" s="1745"/>
      <c r="Q1035" s="1745"/>
    </row>
    <row r="1036" spans="1:17" ht="13.8">
      <c r="A1036" s="1750"/>
      <c r="B1036" s="1745"/>
      <c r="C1036" s="1745"/>
      <c r="D1036" s="1745"/>
      <c r="E1036" s="1745"/>
      <c r="F1036" s="1745"/>
      <c r="G1036" s="1745"/>
      <c r="H1036" s="1745"/>
      <c r="I1036" s="1745"/>
      <c r="J1036" s="1745"/>
      <c r="K1036" s="1745"/>
      <c r="L1036" s="1745"/>
      <c r="M1036" s="1745"/>
      <c r="N1036" s="1745"/>
      <c r="O1036" s="1745"/>
      <c r="P1036" s="1745"/>
      <c r="Q1036" s="1750"/>
    </row>
    <row r="1037" spans="1:17" ht="13.8">
      <c r="A1037" s="1745"/>
      <c r="B1037" s="1747"/>
      <c r="C1037" s="1746"/>
      <c r="D1037" s="1746"/>
      <c r="E1037" s="1746"/>
      <c r="F1037" s="1746"/>
      <c r="G1037" s="1746"/>
      <c r="H1037" s="1746"/>
      <c r="I1037" s="1746"/>
      <c r="J1037" s="1746"/>
      <c r="K1037" s="1746"/>
      <c r="L1037" s="1746"/>
      <c r="M1037" s="1746"/>
      <c r="N1037" s="1745"/>
      <c r="O1037" s="1745"/>
      <c r="P1037" s="1745"/>
      <c r="Q1037" s="1748"/>
    </row>
    <row r="1038" spans="1:17" ht="13.8">
      <c r="A1038" s="2104" t="s">
        <v>1516</v>
      </c>
      <c r="B1038" s="1750" t="s">
        <v>1521</v>
      </c>
      <c r="C1038" s="1750"/>
      <c r="D1038" s="1750"/>
      <c r="E1038" s="1750"/>
      <c r="F1038" s="1750"/>
      <c r="G1038" s="1750"/>
      <c r="H1038" s="1746"/>
      <c r="I1038" s="1746"/>
      <c r="J1038" s="1746"/>
      <c r="K1038" s="1746"/>
      <c r="L1038" s="1746"/>
      <c r="M1038" s="1746"/>
      <c r="N1038" s="1745"/>
      <c r="O1038" s="2105" t="s">
        <v>1451</v>
      </c>
      <c r="P1038" s="1750"/>
      <c r="Q1038" s="1750"/>
    </row>
    <row r="1039" spans="1:17" ht="14.4">
      <c r="A1039" s="1745"/>
      <c r="B1039" s="2110" t="s">
        <v>1457</v>
      </c>
      <c r="C1039" s="1745"/>
      <c r="D1039" s="2110"/>
      <c r="E1039" s="2110"/>
      <c r="F1039" s="2110"/>
      <c r="G1039" s="2110"/>
      <c r="H1039" s="1746"/>
      <c r="I1039" s="1747"/>
      <c r="J1039" s="1747"/>
      <c r="K1039" s="1747"/>
      <c r="L1039" s="1748"/>
      <c r="M1039" s="1748"/>
      <c r="N1039" s="1748"/>
      <c r="O1039" s="1748"/>
      <c r="P1039" s="1750"/>
      <c r="Q1039" s="1750"/>
    </row>
    <row r="1040" spans="1:17" ht="13.8">
      <c r="A1040" s="2107" t="str">
        <f>'Part VII-Threshold Criteria'!A168</f>
        <v>A conforming CSDP has been included with the application.</v>
      </c>
      <c r="B1040" s="2107"/>
      <c r="C1040" s="2107"/>
      <c r="D1040" s="2107"/>
      <c r="E1040" s="2107"/>
      <c r="F1040" s="2107"/>
      <c r="G1040" s="2107"/>
      <c r="H1040" s="2107"/>
      <c r="I1040" s="2107"/>
      <c r="J1040" s="2107"/>
      <c r="K1040" s="2107"/>
      <c r="L1040" s="2107"/>
      <c r="M1040" s="2107"/>
      <c r="N1040" s="2107"/>
      <c r="O1040" s="2107"/>
      <c r="P1040" s="2107"/>
      <c r="Q1040" s="2107"/>
    </row>
    <row r="1041" spans="1:17" ht="14.4">
      <c r="A1041" s="1745"/>
      <c r="B1041" s="2106" t="s">
        <v>1453</v>
      </c>
      <c r="C1041" s="2106"/>
      <c r="D1041" s="1745"/>
      <c r="E1041" s="1745"/>
      <c r="F1041" s="1745"/>
      <c r="G1041" s="1745"/>
      <c r="H1041" s="1745"/>
      <c r="I1041" s="1745"/>
      <c r="J1041" s="1745"/>
      <c r="K1041" s="1745"/>
      <c r="L1041" s="1745"/>
      <c r="M1041" s="1745"/>
      <c r="N1041" s="1745"/>
      <c r="O1041" s="1745"/>
      <c r="P1041" s="1745"/>
      <c r="Q1041" s="1745"/>
    </row>
    <row r="1042" spans="1:17" ht="13.8">
      <c r="A1042" s="1745"/>
      <c r="B1042" s="1745"/>
      <c r="C1042" s="1745"/>
      <c r="D1042" s="1745"/>
      <c r="E1042" s="1745"/>
      <c r="F1042" s="1745"/>
      <c r="G1042" s="1745"/>
      <c r="H1042" s="1745"/>
      <c r="I1042" s="1745"/>
      <c r="J1042" s="1745"/>
      <c r="K1042" s="1745"/>
      <c r="L1042" s="1745"/>
      <c r="M1042" s="1745"/>
      <c r="N1042" s="1745"/>
      <c r="O1042" s="1745"/>
      <c r="P1042" s="1745"/>
      <c r="Q1042" s="1745"/>
    </row>
    <row r="1043" spans="1:17" ht="13.8">
      <c r="A1043" s="1745"/>
      <c r="B1043" s="1745"/>
      <c r="C1043" s="1745"/>
      <c r="D1043" s="1745"/>
      <c r="E1043" s="1745"/>
      <c r="F1043" s="1745"/>
      <c r="G1043" s="1745"/>
      <c r="H1043" s="1745"/>
      <c r="I1043" s="1745"/>
      <c r="J1043" s="1745"/>
      <c r="K1043" s="1745"/>
      <c r="L1043" s="1745"/>
      <c r="M1043" s="1745"/>
      <c r="N1043" s="1745"/>
      <c r="O1043" s="1745"/>
      <c r="P1043" s="1745"/>
      <c r="Q1043" s="1745"/>
    </row>
    <row r="1044" spans="1:17" ht="13.8">
      <c r="A1044" s="1745"/>
      <c r="B1044" s="1745"/>
      <c r="C1044" s="1745"/>
      <c r="D1044" s="1745"/>
      <c r="E1044" s="1745"/>
      <c r="F1044" s="1745"/>
      <c r="G1044" s="1745"/>
      <c r="H1044" s="1745"/>
      <c r="I1044" s="1745"/>
      <c r="J1044" s="1745"/>
      <c r="K1044" s="1745"/>
      <c r="L1044" s="1745"/>
      <c r="M1044" s="1745"/>
      <c r="N1044" s="1745"/>
      <c r="O1044" s="1745"/>
      <c r="P1044" s="1745"/>
      <c r="Q1044" s="1745"/>
    </row>
    <row r="1045" spans="1:17" ht="13.8">
      <c r="A1045" s="2104" t="s">
        <v>1520</v>
      </c>
      <c r="B1045" s="2104" t="s">
        <v>1523</v>
      </c>
      <c r="C1045" s="2104"/>
      <c r="D1045" s="1746"/>
      <c r="E1045" s="1746"/>
      <c r="F1045" s="1746"/>
      <c r="G1045" s="1746"/>
      <c r="H1045" s="1746"/>
      <c r="I1045" s="1746"/>
      <c r="J1045" s="1746"/>
      <c r="K1045" s="1746"/>
      <c r="L1045" s="1746"/>
      <c r="M1045" s="1746"/>
      <c r="N1045" s="1745"/>
      <c r="O1045" s="2105" t="s">
        <v>1451</v>
      </c>
      <c r="P1045" s="1750"/>
      <c r="Q1045" s="1750"/>
    </row>
    <row r="1046" spans="1:17" ht="13.8">
      <c r="A1046" s="2105" t="s">
        <v>186</v>
      </c>
      <c r="B1046" s="1750" t="s">
        <v>1524</v>
      </c>
      <c r="C1046" s="1745"/>
      <c r="D1046" s="1745"/>
      <c r="E1046" s="1745"/>
      <c r="F1046" s="1745"/>
      <c r="G1046" s="1745"/>
      <c r="H1046" s="1745"/>
      <c r="I1046" s="1745"/>
      <c r="J1046" s="1745"/>
      <c r="K1046" s="1745"/>
      <c r="L1046" s="1745"/>
      <c r="M1046" s="1745"/>
      <c r="N1046" s="1745"/>
      <c r="O1046" s="2115"/>
      <c r="P1046" s="1745"/>
      <c r="Q1046" s="1745"/>
    </row>
    <row r="1047" spans="1:17" ht="15" customHeight="1">
      <c r="A1047" s="1745"/>
      <c r="B1047" s="2107" t="s">
        <v>7575</v>
      </c>
      <c r="C1047" s="2107"/>
      <c r="D1047" s="2107"/>
      <c r="E1047" s="2107"/>
      <c r="F1047" s="2107"/>
      <c r="G1047" s="2107"/>
      <c r="H1047" s="2107"/>
      <c r="I1047" s="2107"/>
      <c r="J1047" s="2107"/>
      <c r="K1047" s="2107"/>
      <c r="L1047" s="2107"/>
      <c r="M1047" s="2107"/>
      <c r="N1047" s="2107"/>
      <c r="O1047" s="2107"/>
      <c r="P1047" s="1750" t="str">
        <f>'Part VII-Threshold Criteria'!P175</f>
        <v>Agree</v>
      </c>
      <c r="Q1047" s="2114"/>
    </row>
    <row r="1048" spans="1:17" ht="13.8">
      <c r="A1048" s="2105" t="s">
        <v>198</v>
      </c>
      <c r="B1048" s="1750" t="s">
        <v>1526</v>
      </c>
      <c r="C1048" s="1745"/>
      <c r="D1048" s="1745"/>
      <c r="E1048" s="1745"/>
      <c r="F1048" s="1745"/>
      <c r="G1048" s="1745"/>
      <c r="H1048" s="1745"/>
      <c r="I1048" s="1745"/>
      <c r="J1048" s="1745"/>
      <c r="K1048" s="1745"/>
      <c r="L1048" s="2107">
        <f>'Part VII-Threshold Criteria'!L176</f>
        <v>0</v>
      </c>
      <c r="M1048" s="1750"/>
      <c r="N1048" s="1750"/>
      <c r="O1048" s="1750"/>
      <c r="P1048" s="1750"/>
      <c r="Q1048" s="1750"/>
    </row>
    <row r="1049" spans="1:17" ht="14.4">
      <c r="A1049" s="1745"/>
      <c r="B1049" s="2110" t="s">
        <v>1457</v>
      </c>
      <c r="C1049" s="1745"/>
      <c r="D1049" s="1745"/>
      <c r="E1049" s="1745"/>
      <c r="F1049" s="1745"/>
      <c r="G1049" s="1745"/>
      <c r="H1049" s="1745"/>
      <c r="I1049" s="1745"/>
      <c r="J1049" s="1745"/>
      <c r="K1049" s="1745"/>
      <c r="L1049" s="1745"/>
      <c r="M1049" s="1745"/>
      <c r="N1049" s="1745"/>
      <c r="O1049" s="2126"/>
      <c r="P1049" s="1750"/>
      <c r="Q1049" s="1745"/>
    </row>
    <row r="1050" spans="1:17" ht="13.8">
      <c r="A1050" s="2107" t="str">
        <f>'Part VII-Threshold Criteria'!A178</f>
        <v>Building Sustainability Threshold is not required at the Competitive Review Stage. Relevant information will be provided as required at the full application stage.</v>
      </c>
      <c r="B1050" s="2107"/>
      <c r="C1050" s="2107"/>
      <c r="D1050" s="2107"/>
      <c r="E1050" s="2107"/>
      <c r="F1050" s="2107"/>
      <c r="G1050" s="2107"/>
      <c r="H1050" s="2107"/>
      <c r="I1050" s="2107"/>
      <c r="J1050" s="2107"/>
      <c r="K1050" s="2107"/>
      <c r="L1050" s="2107"/>
      <c r="M1050" s="2107"/>
      <c r="N1050" s="2107"/>
      <c r="O1050" s="2107"/>
      <c r="P1050" s="2107"/>
      <c r="Q1050" s="2107"/>
    </row>
    <row r="1051" spans="1:17" ht="14.4">
      <c r="A1051" s="1745"/>
      <c r="B1051" s="2106" t="s">
        <v>1453</v>
      </c>
      <c r="C1051" s="2106"/>
      <c r="D1051" s="1745"/>
      <c r="E1051" s="1745"/>
      <c r="F1051" s="1745"/>
      <c r="G1051" s="1745"/>
      <c r="H1051" s="1745"/>
      <c r="I1051" s="1745"/>
      <c r="J1051" s="1745"/>
      <c r="K1051" s="1745"/>
      <c r="L1051" s="1745"/>
      <c r="M1051" s="1745"/>
      <c r="N1051" s="1745"/>
      <c r="O1051" s="1745"/>
      <c r="P1051" s="1745"/>
      <c r="Q1051" s="1745"/>
    </row>
    <row r="1052" spans="1:17" ht="13.8">
      <c r="A1052" s="1745"/>
      <c r="B1052" s="1745"/>
      <c r="C1052" s="1745"/>
      <c r="D1052" s="1745"/>
      <c r="E1052" s="1745"/>
      <c r="F1052" s="1745"/>
      <c r="G1052" s="1745"/>
      <c r="H1052" s="1745"/>
      <c r="I1052" s="1745"/>
      <c r="J1052" s="1745"/>
      <c r="K1052" s="1745"/>
      <c r="L1052" s="1745"/>
      <c r="M1052" s="1745"/>
      <c r="N1052" s="1745"/>
      <c r="O1052" s="1745"/>
      <c r="P1052" s="1745"/>
      <c r="Q1052" s="1745"/>
    </row>
    <row r="1053" spans="1:17" ht="13.8">
      <c r="A1053" s="1745"/>
      <c r="B1053" s="1745"/>
      <c r="C1053" s="1745"/>
      <c r="D1053" s="1745"/>
      <c r="E1053" s="1745"/>
      <c r="F1053" s="1750"/>
      <c r="G1053" s="1750"/>
      <c r="H1053" s="1750"/>
      <c r="I1053" s="1750"/>
      <c r="J1053" s="1745"/>
      <c r="K1053" s="1745"/>
      <c r="L1053" s="1745"/>
      <c r="M1053" s="1745"/>
      <c r="N1053" s="1750"/>
      <c r="O1053" s="1750"/>
      <c r="P1053" s="2126"/>
      <c r="Q1053" s="1745"/>
    </row>
    <row r="1054" spans="1:17" ht="13.8">
      <c r="A1054" s="1745"/>
      <c r="B1054" s="1745"/>
      <c r="C1054" s="1745"/>
      <c r="D1054" s="1745"/>
      <c r="E1054" s="1745"/>
      <c r="F1054" s="1748"/>
      <c r="G1054" s="1748"/>
      <c r="H1054" s="1748"/>
      <c r="I1054" s="1748"/>
      <c r="J1054" s="1746"/>
      <c r="K1054" s="1746"/>
      <c r="L1054" s="1746"/>
      <c r="M1054" s="1747"/>
      <c r="N1054" s="1748"/>
      <c r="O1054" s="1748"/>
      <c r="P1054" s="2127"/>
      <c r="Q1054" s="1745"/>
    </row>
    <row r="1055" spans="1:17" ht="13.8">
      <c r="A1055" s="2104" t="s">
        <v>1522</v>
      </c>
      <c r="B1055" s="2104" t="s">
        <v>1529</v>
      </c>
      <c r="C1055" s="2104"/>
      <c r="D1055" s="2104"/>
      <c r="E1055" s="1746"/>
      <c r="F1055" s="1746"/>
      <c r="G1055" s="1746"/>
      <c r="H1055" s="1746"/>
      <c r="I1055" s="1746"/>
      <c r="J1055" s="1746"/>
      <c r="K1055" s="1746"/>
      <c r="L1055" s="1746"/>
      <c r="M1055" s="1746"/>
      <c r="N1055" s="1745"/>
      <c r="O1055" s="2105" t="s">
        <v>1451</v>
      </c>
      <c r="P1055" s="1750"/>
      <c r="Q1055" s="1750"/>
    </row>
    <row r="1056" spans="1:17" ht="13.8">
      <c r="A1056" s="1745"/>
      <c r="B1056" s="1745" t="s">
        <v>1455</v>
      </c>
      <c r="C1056" s="1745"/>
      <c r="D1056" s="1745"/>
      <c r="E1056" s="1745"/>
      <c r="F1056" s="1745"/>
      <c r="G1056" s="1745"/>
      <c r="H1056" s="1745"/>
      <c r="I1056" s="1745"/>
      <c r="J1056" s="1745"/>
      <c r="K1056" s="1745"/>
      <c r="L1056" s="1745"/>
      <c r="M1056" s="1745"/>
      <c r="N1056" s="1747"/>
      <c r="O1056" s="1745"/>
      <c r="P1056" s="1750" t="str">
        <f>'Part VII-Threshold Criteria'!P184</f>
        <v>No</v>
      </c>
      <c r="Q1056" s="1750"/>
    </row>
    <row r="1057" spans="1:17" ht="15" customHeight="1">
      <c r="A1057" s="1745"/>
      <c r="B1057" s="1745" t="s">
        <v>7576</v>
      </c>
      <c r="C1057" s="1745"/>
      <c r="D1057" s="1745"/>
      <c r="E1057" s="1745"/>
      <c r="F1057" s="1745"/>
      <c r="G1057" s="1745"/>
      <c r="H1057" s="1745"/>
      <c r="I1057" s="1745"/>
      <c r="J1057" s="1745"/>
      <c r="K1057" s="1745"/>
      <c r="L1057" s="1745"/>
      <c r="M1057" s="1745"/>
      <c r="N1057" s="1745"/>
      <c r="O1057" s="1745"/>
      <c r="P1057" s="1750" t="str">
        <f>'Part VII-Threshold Criteria'!P185</f>
        <v>Agree</v>
      </c>
      <c r="Q1057" s="1750"/>
    </row>
    <row r="1058" spans="1:17" ht="13.8">
      <c r="A1058" s="2105" t="s">
        <v>186</v>
      </c>
      <c r="B1058" s="1750" t="s">
        <v>1531</v>
      </c>
      <c r="C1058" s="1745"/>
      <c r="D1058" s="1745"/>
      <c r="E1058" s="1745"/>
      <c r="F1058" s="1745"/>
      <c r="G1058" s="1745"/>
      <c r="H1058" s="1745"/>
      <c r="I1058" s="1745"/>
      <c r="J1058" s="1745"/>
      <c r="K1058" s="1745"/>
      <c r="L1058" s="2128"/>
      <c r="M1058" s="2129"/>
      <c r="N1058" s="2120"/>
      <c r="O1058" s="1745"/>
      <c r="P1058" s="1745"/>
      <c r="Q1058" s="1745"/>
    </row>
    <row r="1059" spans="1:17" ht="14.25" customHeight="1">
      <c r="A1059" s="1745"/>
      <c r="B1059" s="2107" t="s">
        <v>7577</v>
      </c>
      <c r="C1059" s="2107"/>
      <c r="D1059" s="2107"/>
      <c r="E1059" s="2107"/>
      <c r="F1059" s="2107"/>
      <c r="G1059" s="2107"/>
      <c r="H1059" s="2107"/>
      <c r="I1059" s="2107"/>
      <c r="J1059" s="2107"/>
      <c r="K1059" s="2107"/>
      <c r="L1059" s="2107"/>
      <c r="M1059" s="2107"/>
      <c r="N1059" s="2107"/>
      <c r="O1059" s="2107"/>
      <c r="P1059" s="2115"/>
      <c r="Q1059" s="2115"/>
    </row>
    <row r="1060" spans="1:17" ht="15.75" customHeight="1">
      <c r="A1060" s="1745"/>
      <c r="B1060" s="1745"/>
      <c r="C1060" s="2107"/>
      <c r="D1060" s="2107" t="s">
        <v>1533</v>
      </c>
      <c r="E1060" s="2107"/>
      <c r="F1060" s="2107"/>
      <c r="G1060" s="2107"/>
      <c r="H1060" s="2107"/>
      <c r="I1060" s="2107"/>
      <c r="J1060" s="2107"/>
      <c r="K1060" s="2107"/>
      <c r="L1060" s="2107"/>
      <c r="M1060" s="2107"/>
      <c r="N1060" s="2107"/>
      <c r="O1060" s="2107"/>
      <c r="P1060" s="2130">
        <f>'Part VII-Threshold Criteria'!P188</f>
        <v>10</v>
      </c>
      <c r="Q1060" s="2099"/>
    </row>
    <row r="1061" spans="1:17" ht="13.8">
      <c r="A1061" s="1745"/>
      <c r="B1061" s="1745"/>
      <c r="C1061" s="1745"/>
      <c r="D1061" s="1745"/>
      <c r="E1061" s="1745"/>
      <c r="F1061" s="1745"/>
      <c r="G1061" s="1745"/>
      <c r="H1061" s="1745"/>
      <c r="I1061" s="1745"/>
      <c r="J1061" s="1745"/>
      <c r="K1061" s="1745"/>
      <c r="L1061" s="2131" t="s">
        <v>1534</v>
      </c>
      <c r="M1061" s="2131"/>
      <c r="N1061" s="1745"/>
      <c r="O1061" s="1745"/>
      <c r="P1061" s="1750"/>
      <c r="Q1061" s="1750"/>
    </row>
    <row r="1062" spans="1:17" ht="13.8">
      <c r="A1062" s="2105" t="s">
        <v>198</v>
      </c>
      <c r="B1062" s="2104" t="s">
        <v>1535</v>
      </c>
      <c r="C1062" s="1745"/>
      <c r="D1062" s="2132"/>
      <c r="E1062" s="2132"/>
      <c r="F1062" s="2132"/>
      <c r="G1062" s="2132"/>
      <c r="H1062" s="2132"/>
      <c r="I1062" s="2132"/>
      <c r="J1062" s="2132"/>
      <c r="K1062" s="2132"/>
      <c r="L1062" s="1745" t="s">
        <v>1536</v>
      </c>
      <c r="M1062" s="1745" t="s">
        <v>1537</v>
      </c>
      <c r="N1062" s="2132"/>
      <c r="O1062" s="2115"/>
      <c r="P1062" s="1745" t="s">
        <v>1538</v>
      </c>
      <c r="Q1062" s="1745"/>
    </row>
    <row r="1063" spans="1:17" ht="13.8">
      <c r="A1063" s="2105"/>
      <c r="B1063" s="1745" t="s">
        <v>1539</v>
      </c>
      <c r="C1063" s="1745"/>
      <c r="D1063" s="1745"/>
      <c r="E1063" s="1745"/>
      <c r="F1063" s="1745"/>
      <c r="G1063" s="1745"/>
      <c r="H1063" s="1745"/>
      <c r="I1063" s="1745"/>
      <c r="J1063" s="1745"/>
      <c r="K1063" s="2133"/>
      <c r="L1063" s="2134">
        <f>'Part VII-Threshold Criteria'!L191</f>
        <v>5</v>
      </c>
      <c r="M1063" s="2135">
        <f>'DCA Underwriting Assumptions'!$Q$148</f>
        <v>0.05</v>
      </c>
      <c r="N1063" s="2120" t="s">
        <v>1540</v>
      </c>
      <c r="O1063" s="2115"/>
      <c r="P1063" s="1750">
        <f>'Part VII-Threshold Criteria'!P191</f>
        <v>5</v>
      </c>
      <c r="Q1063" s="1750"/>
    </row>
    <row r="1064" spans="1:17" ht="15" customHeight="1">
      <c r="A1064" s="2105"/>
      <c r="B1064" s="1746"/>
      <c r="C1064" s="1745"/>
      <c r="D1064" s="1745" t="s">
        <v>1541</v>
      </c>
      <c r="E1064" s="1745"/>
      <c r="F1064" s="1745"/>
      <c r="G1064" s="1745"/>
      <c r="H1064" s="1745"/>
      <c r="I1064" s="1745"/>
      <c r="J1064" s="1745"/>
      <c r="K1064" s="2133"/>
      <c r="L1064" s="2134">
        <f>'Part VII-Threshold Criteria'!L192</f>
        <v>2</v>
      </c>
      <c r="M1064" s="2135">
        <f>'DCA Underwriting Assumptions'!$Q$149</f>
        <v>0.4</v>
      </c>
      <c r="N1064" s="2120" t="s">
        <v>1542</v>
      </c>
      <c r="O1064" s="2115"/>
      <c r="P1064" s="1750">
        <f>'Part VII-Threshold Criteria'!P192</f>
        <v>2</v>
      </c>
      <c r="Q1064" s="1750"/>
    </row>
    <row r="1065" spans="1:17" ht="15" customHeight="1">
      <c r="A1065" s="2105"/>
      <c r="B1065" s="1745" t="s">
        <v>1543</v>
      </c>
      <c r="C1065" s="1745"/>
      <c r="D1065" s="1745"/>
      <c r="E1065" s="1745"/>
      <c r="F1065" s="1745"/>
      <c r="G1065" s="1745"/>
      <c r="H1065" s="1745"/>
      <c r="I1065" s="1745"/>
      <c r="J1065" s="1745"/>
      <c r="K1065" s="1745"/>
      <c r="L1065" s="2134">
        <f>'Part VII-Threshold Criteria'!L193</f>
        <v>2</v>
      </c>
      <c r="M1065" s="2135">
        <f>'DCA Underwriting Assumptions'!$Q$150</f>
        <v>0.02</v>
      </c>
      <c r="N1065" s="2120" t="s">
        <v>1540</v>
      </c>
      <c r="O1065" s="2115"/>
      <c r="P1065" s="1750">
        <f>'Part VII-Threshold Criteria'!P193</f>
        <v>2</v>
      </c>
      <c r="Q1065" s="1750"/>
    </row>
    <row r="1066" spans="1:17" ht="13.8">
      <c r="A1066" s="2105" t="s">
        <v>219</v>
      </c>
      <c r="B1066" s="1750" t="s">
        <v>1544</v>
      </c>
      <c r="C1066" s="1745"/>
      <c r="D1066" s="1745"/>
      <c r="E1066" s="1745"/>
      <c r="F1066" s="1745"/>
      <c r="G1066" s="1745"/>
      <c r="H1066" s="1745"/>
      <c r="I1066" s="1745"/>
      <c r="J1066" s="1745"/>
      <c r="K1066" s="1745"/>
      <c r="L1066" s="2134"/>
      <c r="M1066" s="2135"/>
      <c r="N1066" s="2120"/>
      <c r="O1066" s="2115"/>
      <c r="P1066" s="1745"/>
      <c r="Q1066" s="1745"/>
    </row>
    <row r="1067" spans="1:17" ht="13.8">
      <c r="A1067" s="2105"/>
      <c r="B1067" s="1745" t="s">
        <v>1545</v>
      </c>
      <c r="C1067" s="1745"/>
      <c r="D1067" s="1745"/>
      <c r="E1067" s="1745"/>
      <c r="F1067" s="1745"/>
      <c r="G1067" s="1745"/>
      <c r="H1067" s="1745"/>
      <c r="I1067" s="1745"/>
      <c r="J1067" s="1745"/>
      <c r="K1067" s="1745"/>
      <c r="L1067" s="1745"/>
      <c r="M1067" s="2107" t="str">
        <f>'Part VII-Threshold Criteria'!M195</f>
        <v>TBD</v>
      </c>
      <c r="N1067" s="2093"/>
      <c r="O1067" s="2093"/>
      <c r="P1067" s="2093"/>
      <c r="Q1067" s="2093"/>
    </row>
    <row r="1068" spans="1:17" ht="13.8">
      <c r="A1068" s="2105"/>
      <c r="B1068" s="1745"/>
      <c r="C1068" s="1745"/>
      <c r="D1068" s="1745" t="s">
        <v>1546</v>
      </c>
      <c r="E1068" s="1745"/>
      <c r="F1068" s="1745"/>
      <c r="G1068" s="1745"/>
      <c r="H1068" s="1745"/>
      <c r="I1068" s="1745"/>
      <c r="J1068" s="1745"/>
      <c r="K1068" s="1745"/>
      <c r="L1068" s="1745"/>
      <c r="M1068" s="1745"/>
      <c r="N1068" s="1745"/>
      <c r="O1068" s="1745"/>
      <c r="P1068" s="1750">
        <f>'Part VII-Threshold Criteria'!P196</f>
        <v>0</v>
      </c>
      <c r="Q1068" s="1750"/>
    </row>
    <row r="1069" spans="1:17" ht="13.8">
      <c r="A1069" s="2105"/>
      <c r="B1069" s="1745"/>
      <c r="C1069" s="1745"/>
      <c r="D1069" s="1745" t="s">
        <v>1547</v>
      </c>
      <c r="E1069" s="1745"/>
      <c r="F1069" s="1745"/>
      <c r="G1069" s="1745"/>
      <c r="H1069" s="1745"/>
      <c r="I1069" s="1745"/>
      <c r="J1069" s="1745"/>
      <c r="K1069" s="1745"/>
      <c r="L1069" s="1745"/>
      <c r="M1069" s="1745"/>
      <c r="N1069" s="1745"/>
      <c r="O1069" s="2115"/>
      <c r="P1069" s="1750">
        <f>'Part VII-Threshold Criteria'!P197</f>
        <v>0</v>
      </c>
      <c r="Q1069" s="1748"/>
    </row>
    <row r="1070" spans="1:17" ht="14.4">
      <c r="A1070" s="1745"/>
      <c r="B1070" s="2110" t="s">
        <v>1457</v>
      </c>
      <c r="C1070" s="1745"/>
      <c r="D1070" s="2110"/>
      <c r="E1070" s="2110"/>
      <c r="F1070" s="2110"/>
      <c r="G1070" s="2110"/>
      <c r="H1070" s="1746"/>
      <c r="I1070" s="1747"/>
      <c r="J1070" s="1747"/>
      <c r="K1070" s="1747"/>
      <c r="L1070" s="1748"/>
      <c r="M1070" s="1748"/>
      <c r="N1070" s="1748"/>
      <c r="O1070" s="1748"/>
      <c r="P1070" s="1748"/>
      <c r="Q1070" s="1748"/>
    </row>
    <row r="1071" spans="1:17" ht="13.8">
      <c r="A1071" s="2107" t="str">
        <f>'Part VII-Threshold Criteria'!A199</f>
        <v>Applicant expects to comply with all required DCA accessibility regulations and standards. Waivers are not required until a later date, and if any waivers are submitted and subsequently denied, the project will comply with all requirements of the 2026 QAP and Accessibility Manual. A Qualified Consultant will be selected at a later date, per the 2026 QAP. Accessible and adaptable units required for Integrated Supportive Housing points are in addition to those shown here, as the same units cannot satisfy both criteria.</v>
      </c>
      <c r="B1071" s="2107"/>
      <c r="C1071" s="2107"/>
      <c r="D1071" s="2107"/>
      <c r="E1071" s="2107"/>
      <c r="F1071" s="2107"/>
      <c r="G1071" s="2107"/>
      <c r="H1071" s="2107"/>
      <c r="I1071" s="2107"/>
      <c r="J1071" s="2107"/>
      <c r="K1071" s="2107"/>
      <c r="L1071" s="2107"/>
      <c r="M1071" s="2107"/>
      <c r="N1071" s="2107"/>
      <c r="O1071" s="2107"/>
      <c r="P1071" s="2107"/>
      <c r="Q1071" s="2107"/>
    </row>
    <row r="1072" spans="1:17" ht="14.4">
      <c r="A1072" s="1745"/>
      <c r="B1072" s="2106" t="s">
        <v>1453</v>
      </c>
      <c r="C1072" s="2106"/>
      <c r="D1072" s="1745"/>
      <c r="E1072" s="1745"/>
      <c r="F1072" s="1745"/>
      <c r="G1072" s="1745"/>
      <c r="H1072" s="1745"/>
      <c r="I1072" s="1745"/>
      <c r="J1072" s="1745"/>
      <c r="K1072" s="1745"/>
      <c r="L1072" s="1745"/>
      <c r="M1072" s="1745"/>
      <c r="N1072" s="1745"/>
      <c r="O1072" s="1745"/>
      <c r="P1072" s="1745"/>
      <c r="Q1072" s="1745"/>
    </row>
    <row r="1073" spans="1:17" ht="13.8">
      <c r="A1073" s="1745"/>
      <c r="B1073" s="1745"/>
      <c r="C1073" s="1745"/>
      <c r="D1073" s="1745"/>
      <c r="E1073" s="1745"/>
      <c r="F1073" s="1745"/>
      <c r="G1073" s="1745"/>
      <c r="H1073" s="1745"/>
      <c r="I1073" s="1745"/>
      <c r="J1073" s="1745"/>
      <c r="K1073" s="1745"/>
      <c r="L1073" s="1745"/>
      <c r="M1073" s="1745"/>
      <c r="N1073" s="1745"/>
      <c r="O1073" s="1745"/>
      <c r="P1073" s="1745"/>
      <c r="Q1073" s="1745"/>
    </row>
    <row r="1074" spans="1:17" ht="13.8">
      <c r="A1074" s="1745"/>
      <c r="B1074" s="1745"/>
      <c r="C1074" s="1745"/>
      <c r="D1074" s="1745"/>
      <c r="E1074" s="1745"/>
      <c r="F1074" s="1745"/>
      <c r="G1074" s="1745"/>
      <c r="H1074" s="1745"/>
      <c r="I1074" s="1745"/>
      <c r="J1074" s="1745"/>
      <c r="K1074" s="1745"/>
      <c r="L1074" s="1745"/>
      <c r="M1074" s="1745"/>
      <c r="N1074" s="1745"/>
      <c r="O1074" s="1745"/>
      <c r="P1074" s="1745"/>
      <c r="Q1074" s="1745"/>
    </row>
    <row r="1075" spans="1:17" ht="13.8">
      <c r="A1075" s="1745"/>
      <c r="B1075" s="1746"/>
      <c r="C1075" s="1746"/>
      <c r="D1075" s="1746"/>
      <c r="E1075" s="1746"/>
      <c r="F1075" s="1746"/>
      <c r="G1075" s="1746"/>
      <c r="H1075" s="1746"/>
      <c r="I1075" s="1746"/>
      <c r="J1075" s="1746"/>
      <c r="K1075" s="1746"/>
      <c r="L1075" s="1746"/>
      <c r="M1075" s="1746"/>
      <c r="N1075" s="1746"/>
      <c r="O1075" s="1746"/>
      <c r="P1075" s="1746"/>
      <c r="Q1075" s="1746"/>
    </row>
    <row r="1076" spans="1:17" ht="13.8">
      <c r="A1076" s="2104" t="s">
        <v>1528</v>
      </c>
      <c r="B1076" s="1750" t="s">
        <v>1549</v>
      </c>
      <c r="C1076" s="1750"/>
      <c r="D1076" s="1750"/>
      <c r="E1076" s="1750"/>
      <c r="F1076" s="1750"/>
      <c r="G1076" s="1750"/>
      <c r="H1076" s="1746"/>
      <c r="I1076" s="1746"/>
      <c r="J1076" s="1746"/>
      <c r="K1076" s="1746"/>
      <c r="L1076" s="1746"/>
      <c r="M1076" s="1746"/>
      <c r="N1076" s="1745"/>
      <c r="O1076" s="2105" t="s">
        <v>1451</v>
      </c>
      <c r="P1076" s="1750"/>
      <c r="Q1076" s="1750"/>
    </row>
    <row r="1077" spans="1:17" ht="13.8">
      <c r="A1077" s="1745"/>
      <c r="B1077" s="1745" t="s">
        <v>1455</v>
      </c>
      <c r="C1077" s="1745"/>
      <c r="D1077" s="1745"/>
      <c r="E1077" s="1745"/>
      <c r="F1077" s="1745"/>
      <c r="G1077" s="1745"/>
      <c r="H1077" s="1745"/>
      <c r="I1077" s="1745"/>
      <c r="J1077" s="1745"/>
      <c r="K1077" s="1745"/>
      <c r="L1077" s="1745"/>
      <c r="M1077" s="1745"/>
      <c r="N1077" s="1745"/>
      <c r="O1077" s="1745"/>
      <c r="P1077" s="1750" t="str">
        <f>'Part VII-Threshold Criteria'!P205</f>
        <v>No</v>
      </c>
      <c r="Q1077" s="1750"/>
    </row>
    <row r="1078" spans="1:17" ht="15" customHeight="1">
      <c r="A1078" s="1745"/>
      <c r="B1078" s="1745" t="s">
        <v>7578</v>
      </c>
      <c r="C1078" s="1745"/>
      <c r="D1078" s="1745"/>
      <c r="E1078" s="1745"/>
      <c r="F1078" s="1745"/>
      <c r="G1078" s="1745"/>
      <c r="H1078" s="1745"/>
      <c r="I1078" s="1745"/>
      <c r="J1078" s="1745"/>
      <c r="K1078" s="1745"/>
      <c r="L1078" s="1745"/>
      <c r="M1078" s="1745"/>
      <c r="N1078" s="1745"/>
      <c r="O1078" s="1745"/>
      <c r="P1078" s="1750" t="str">
        <f>'Part VII-Threshold Criteria'!P206</f>
        <v>Yes</v>
      </c>
      <c r="Q1078" s="1750"/>
    </row>
    <row r="1079" spans="1:17" ht="13.8">
      <c r="A1079" s="2105" t="s">
        <v>186</v>
      </c>
      <c r="B1079" s="1750" t="s">
        <v>1551</v>
      </c>
      <c r="C1079" s="1745"/>
      <c r="D1079" s="1750"/>
      <c r="E1079" s="1750"/>
      <c r="F1079" s="1750"/>
      <c r="G1079" s="1750"/>
      <c r="H1079" s="1750"/>
      <c r="I1079" s="1750"/>
      <c r="J1079" s="1750"/>
      <c r="K1079" s="1750"/>
      <c r="L1079" s="1750"/>
      <c r="M1079" s="1750"/>
      <c r="N1079" s="1745"/>
      <c r="O1079" s="2115"/>
      <c r="P1079" s="1750"/>
      <c r="Q1079" s="1750"/>
    </row>
    <row r="1080" spans="1:17" ht="14.25" customHeight="1">
      <c r="A1080" s="1745"/>
      <c r="B1080" s="2119" t="s">
        <v>1511</v>
      </c>
      <c r="C1080" s="2107" t="s">
        <v>1552</v>
      </c>
      <c r="D1080" s="2107"/>
      <c r="E1080" s="2107"/>
      <c r="F1080" s="2107" t="str">
        <f>'Part VII-Threshold Criteria'!F208</f>
        <v>&lt;&lt;Select exterior material /finish upgrade choice from options provided here&gt;&gt;</v>
      </c>
      <c r="G1080" s="2107"/>
      <c r="H1080" s="2107"/>
      <c r="I1080" s="2107"/>
      <c r="J1080" s="2107"/>
      <c r="K1080" s="2107"/>
      <c r="L1080" s="2107"/>
      <c r="M1080" s="2107"/>
      <c r="N1080" s="2107"/>
      <c r="O1080" s="2107"/>
      <c r="P1080" s="2107"/>
      <c r="Q1080" s="2107"/>
    </row>
    <row r="1081" spans="1:17" ht="14.25" customHeight="1">
      <c r="A1081" s="1745"/>
      <c r="B1081" s="2119" t="s">
        <v>1513</v>
      </c>
      <c r="C1081" s="2107" t="s">
        <v>1554</v>
      </c>
      <c r="D1081" s="2107"/>
      <c r="E1081" s="2107"/>
      <c r="F1081" s="2107" t="str">
        <f>'Part VII-Threshold Criteria'!F209</f>
        <v>&lt;&lt;Select materials&gt;&gt;</v>
      </c>
      <c r="G1081" s="2107"/>
      <c r="H1081" s="2107"/>
      <c r="I1081" s="2107"/>
      <c r="J1081" s="2107"/>
      <c r="K1081" s="2107"/>
      <c r="L1081" s="2107"/>
      <c r="M1081" s="2107"/>
      <c r="N1081" s="2107"/>
      <c r="O1081" s="2107"/>
      <c r="P1081" s="2107"/>
      <c r="Q1081" s="2107"/>
    </row>
    <row r="1082" spans="1:17" ht="15" customHeight="1">
      <c r="A1082" s="2105"/>
      <c r="B1082" s="2119" t="s">
        <v>1514</v>
      </c>
      <c r="C1082" s="1745" t="s">
        <v>1556</v>
      </c>
      <c r="D1082" s="1745"/>
      <c r="E1082" s="1745"/>
      <c r="F1082" s="1745"/>
      <c r="G1082" s="1745"/>
      <c r="H1082" s="1745"/>
      <c r="I1082" s="1745"/>
      <c r="J1082" s="1745"/>
      <c r="K1082" s="1745"/>
      <c r="L1082" s="1745"/>
      <c r="M1082" s="1745"/>
      <c r="N1082" s="1745"/>
      <c r="O1082" s="1745"/>
      <c r="P1082" s="1745"/>
      <c r="Q1082" s="1745"/>
    </row>
    <row r="1083" spans="1:17" ht="13.8">
      <c r="A1083" s="2105"/>
      <c r="B1083" s="2115"/>
      <c r="C1083" s="2107">
        <f>'Part VII-Threshold Criteria'!C211</f>
        <v>0</v>
      </c>
      <c r="D1083" s="1745"/>
      <c r="E1083" s="1745"/>
      <c r="F1083" s="1745"/>
      <c r="G1083" s="1745"/>
      <c r="H1083" s="1745"/>
      <c r="I1083" s="1745"/>
      <c r="J1083" s="1745"/>
      <c r="K1083" s="1745"/>
      <c r="L1083" s="1745"/>
      <c r="M1083" s="1745"/>
      <c r="N1083" s="1745"/>
      <c r="O1083" s="1745"/>
      <c r="P1083" s="1745"/>
      <c r="Q1083" s="1745"/>
    </row>
    <row r="1084" spans="1:17" ht="13.8">
      <c r="A1084" s="2105"/>
      <c r="B1084" s="2115"/>
      <c r="C1084" s="2107">
        <f>'Part VII-Threshold Criteria'!C212</f>
        <v>0</v>
      </c>
      <c r="D1084" s="1745"/>
      <c r="E1084" s="1745"/>
      <c r="F1084" s="1745"/>
      <c r="G1084" s="1745"/>
      <c r="H1084" s="1745"/>
      <c r="I1084" s="1745"/>
      <c r="J1084" s="1745"/>
      <c r="K1084" s="1745"/>
      <c r="L1084" s="1745"/>
      <c r="M1084" s="1745"/>
      <c r="N1084" s="1745"/>
      <c r="O1084" s="1745"/>
      <c r="P1084" s="1745"/>
      <c r="Q1084" s="1745"/>
    </row>
    <row r="1085" spans="1:17" ht="14.4">
      <c r="A1085" s="1745"/>
      <c r="B1085" s="2110" t="s">
        <v>1457</v>
      </c>
      <c r="C1085" s="1745"/>
      <c r="D1085" s="2106"/>
      <c r="E1085" s="2106"/>
      <c r="F1085" s="2106"/>
      <c r="G1085" s="2106"/>
      <c r="H1085" s="1745"/>
      <c r="I1085" s="1745"/>
      <c r="J1085" s="1745"/>
      <c r="K1085" s="1745"/>
      <c r="L1085" s="1750"/>
      <c r="M1085" s="1750"/>
      <c r="N1085" s="1750"/>
      <c r="O1085" s="1750"/>
      <c r="P1085" s="1750"/>
      <c r="Q1085" s="1750"/>
    </row>
    <row r="1086" spans="1:17" ht="13.8">
      <c r="A1086" s="2107" t="str">
        <f>'Part VII-Threshold Criteria'!A214</f>
        <v>The project expects to comply with all applicable DCA architectural design and quality standards. Waivers are not required until a later date, and if any waivers are submitted and subsequently denied, the project will comply with all requirements of the 2026 QAP and Accessibility Manual. This information is not required at the time of this application submission per the 2026 QAP, and will be submitted at a later date.</v>
      </c>
      <c r="B1086" s="2107"/>
      <c r="C1086" s="2107"/>
      <c r="D1086" s="2107"/>
      <c r="E1086" s="2107"/>
      <c r="F1086" s="2107"/>
      <c r="G1086" s="2107"/>
      <c r="H1086" s="2107"/>
      <c r="I1086" s="2107"/>
      <c r="J1086" s="2107"/>
      <c r="K1086" s="2107"/>
      <c r="L1086" s="2107"/>
      <c r="M1086" s="2107"/>
      <c r="N1086" s="2107"/>
      <c r="O1086" s="2107"/>
      <c r="P1086" s="2107"/>
      <c r="Q1086" s="2107"/>
    </row>
    <row r="1087" spans="1:17" ht="14.4">
      <c r="A1087" s="1745"/>
      <c r="B1087" s="2106" t="s">
        <v>1453</v>
      </c>
      <c r="C1087" s="2106"/>
      <c r="D1087" s="1745"/>
      <c r="E1087" s="1745"/>
      <c r="F1087" s="1745"/>
      <c r="G1087" s="1745"/>
      <c r="H1087" s="1745"/>
      <c r="I1087" s="1745"/>
      <c r="J1087" s="1745"/>
      <c r="K1087" s="1745"/>
      <c r="L1087" s="1745"/>
      <c r="M1087" s="1745"/>
      <c r="N1087" s="1745"/>
      <c r="O1087" s="1745"/>
      <c r="P1087" s="1745"/>
      <c r="Q1087" s="1745"/>
    </row>
    <row r="1088" spans="1:17" ht="13.8">
      <c r="A1088" s="1745"/>
      <c r="B1088" s="1745"/>
      <c r="C1088" s="1745"/>
      <c r="D1088" s="1745"/>
      <c r="E1088" s="1745"/>
      <c r="F1088" s="1745"/>
      <c r="G1088" s="1745"/>
      <c r="H1088" s="1745"/>
      <c r="I1088" s="1745"/>
      <c r="J1088" s="1745"/>
      <c r="K1088" s="1745"/>
      <c r="L1088" s="1745"/>
      <c r="M1088" s="1745"/>
      <c r="N1088" s="1745"/>
      <c r="O1088" s="1745"/>
      <c r="P1088" s="1745"/>
      <c r="Q1088" s="1745"/>
    </row>
    <row r="1089" spans="1:17" ht="13.8">
      <c r="A1089" s="1745"/>
      <c r="B1089" s="1745"/>
      <c r="C1089" s="1745"/>
      <c r="D1089" s="1745"/>
      <c r="E1089" s="1745"/>
      <c r="F1089" s="1745"/>
      <c r="G1089" s="1745"/>
      <c r="H1089" s="1745"/>
      <c r="I1089" s="1745"/>
      <c r="J1089" s="1745"/>
      <c r="K1089" s="1745"/>
      <c r="L1089" s="1745"/>
      <c r="M1089" s="1745"/>
      <c r="N1089" s="1745"/>
      <c r="O1089" s="1745"/>
      <c r="P1089" s="1745"/>
      <c r="Q1089" s="1745"/>
    </row>
    <row r="1090" spans="1:17" ht="13.8">
      <c r="A1090" s="1745"/>
      <c r="B1090" s="1746"/>
      <c r="C1090" s="1746"/>
      <c r="D1090" s="1746"/>
      <c r="E1090" s="1746"/>
      <c r="F1090" s="1746"/>
      <c r="G1090" s="1746"/>
      <c r="H1090" s="1746"/>
      <c r="I1090" s="1746"/>
      <c r="J1090" s="1746"/>
      <c r="K1090" s="1746"/>
      <c r="L1090" s="1746"/>
      <c r="M1090" s="1746"/>
      <c r="N1090" s="1746"/>
      <c r="O1090" s="1746"/>
      <c r="P1090" s="1746"/>
      <c r="Q1090" s="1746"/>
    </row>
    <row r="1091" spans="1:17" ht="13.8">
      <c r="A1091" s="2104" t="s">
        <v>1548</v>
      </c>
      <c r="B1091" s="2104" t="s">
        <v>1558</v>
      </c>
      <c r="C1091" s="2104"/>
      <c r="D1091" s="1746"/>
      <c r="E1091" s="1746"/>
      <c r="F1091" s="1746"/>
      <c r="G1091" s="1746"/>
      <c r="H1091" s="1746"/>
      <c r="I1091" s="1745"/>
      <c r="J1091" s="1745"/>
      <c r="K1091" s="1745"/>
      <c r="L1091" s="1745"/>
      <c r="M1091" s="1745"/>
      <c r="N1091" s="1745"/>
      <c r="O1091" s="2105" t="s">
        <v>1451</v>
      </c>
      <c r="P1091" s="1750"/>
      <c r="Q1091" s="1750"/>
    </row>
    <row r="1092" spans="1:17" ht="13.8">
      <c r="A1092" s="2105"/>
      <c r="B1092" s="1745" t="s">
        <v>7579</v>
      </c>
      <c r="C1092" s="1745"/>
      <c r="D1092" s="1745"/>
      <c r="E1092" s="1745"/>
      <c r="F1092" s="1745"/>
      <c r="G1092" s="1745"/>
      <c r="H1092" s="1745"/>
      <c r="I1092" s="1745"/>
      <c r="J1092" s="1745"/>
      <c r="K1092" s="1745"/>
      <c r="L1092" s="1745"/>
      <c r="M1092" s="1745"/>
      <c r="N1092" s="1745"/>
      <c r="O1092" s="2115"/>
      <c r="P1092" s="1750" t="str">
        <f>'Part VII-Threshold Criteria'!P220</f>
        <v>Yes - see Comment</v>
      </c>
      <c r="Q1092" s="1750"/>
    </row>
    <row r="1093" spans="1:17" ht="13.8">
      <c r="A1093" s="2105"/>
      <c r="B1093" s="1745" t="s">
        <v>7580</v>
      </c>
      <c r="C1093" s="1745"/>
      <c r="D1093" s="1745"/>
      <c r="E1093" s="1745"/>
      <c r="F1093" s="1745"/>
      <c r="G1093" s="1745"/>
      <c r="H1093" s="1745"/>
      <c r="I1093" s="1745"/>
      <c r="J1093" s="1745"/>
      <c r="K1093" s="1745"/>
      <c r="L1093" s="1745"/>
      <c r="M1093" s="1745"/>
      <c r="N1093" s="1745"/>
      <c r="O1093" s="2115"/>
      <c r="P1093" s="1750" t="str">
        <f>'Part VII-Threshold Criteria'!P221</f>
        <v>Yes - see Comment</v>
      </c>
      <c r="Q1093" s="1750"/>
    </row>
    <row r="1094" spans="1:17" ht="13.8">
      <c r="A1094" s="2105"/>
      <c r="B1094" s="1745" t="s">
        <v>7581</v>
      </c>
      <c r="C1094" s="1745"/>
      <c r="D1094" s="1745"/>
      <c r="E1094" s="1745"/>
      <c r="F1094" s="1745"/>
      <c r="G1094" s="1745"/>
      <c r="H1094" s="1745"/>
      <c r="I1094" s="1745"/>
      <c r="J1094" s="1745"/>
      <c r="K1094" s="1747"/>
      <c r="L1094" s="1745"/>
      <c r="M1094" s="2115"/>
      <c r="N1094" s="1745"/>
      <c r="O1094" s="1745"/>
      <c r="P1094" s="1750" t="str">
        <f>'Part VII-Threshold Criteria'!P222</f>
        <v>No</v>
      </c>
      <c r="Q1094" s="1750"/>
    </row>
    <row r="1095" spans="1:17" ht="15" customHeight="1">
      <c r="A1095" s="2105"/>
      <c r="B1095" s="1745" t="s">
        <v>7582</v>
      </c>
      <c r="C1095" s="1745"/>
      <c r="D1095" s="1745"/>
      <c r="E1095" s="1745"/>
      <c r="F1095" s="1745"/>
      <c r="G1095" s="1745"/>
      <c r="H1095" s="1745"/>
      <c r="I1095" s="1745"/>
      <c r="J1095" s="1745"/>
      <c r="K1095" s="1745"/>
      <c r="L1095" s="1745"/>
      <c r="M1095" s="1745"/>
      <c r="N1095" s="1745"/>
      <c r="O1095" s="1745"/>
      <c r="P1095" s="1750" t="str">
        <f>'Part VII-Threshold Criteria'!P223</f>
        <v>No</v>
      </c>
      <c r="Q1095" s="2114"/>
    </row>
    <row r="1096" spans="1:17" ht="13.8">
      <c r="A1096" s="2105"/>
      <c r="B1096" s="1745" t="s">
        <v>7583</v>
      </c>
      <c r="C1096" s="1745"/>
      <c r="D1096" s="1745"/>
      <c r="E1096" s="1745"/>
      <c r="F1096" s="1745"/>
      <c r="G1096" s="1745"/>
      <c r="H1096" s="1745"/>
      <c r="I1096" s="1745"/>
      <c r="J1096" s="1745"/>
      <c r="K1096" s="1745"/>
      <c r="L1096" s="1745"/>
      <c r="M1096" s="1745"/>
      <c r="N1096" s="1745"/>
      <c r="O1096" s="1750" t="str">
        <f>'Part VII-Threshold Criteria'!O224</f>
        <v>Qualified</v>
      </c>
      <c r="P1096" s="1750"/>
      <c r="Q1096" s="1750"/>
    </row>
    <row r="1097" spans="1:17" ht="13.8">
      <c r="A1097" s="2105"/>
      <c r="B1097" s="1750" t="s">
        <v>1564</v>
      </c>
      <c r="C1097" s="1745"/>
      <c r="D1097" s="1745"/>
      <c r="E1097" s="1745"/>
      <c r="F1097" s="1745"/>
      <c r="G1097" s="1745"/>
      <c r="H1097" s="1745"/>
      <c r="I1097" s="1750" t="s">
        <v>721</v>
      </c>
      <c r="J1097" s="1750"/>
      <c r="K1097" s="1750"/>
      <c r="L1097" s="1750"/>
      <c r="M1097" s="1745"/>
      <c r="N1097" s="1745"/>
      <c r="O1097" s="1745"/>
      <c r="P1097" s="1745"/>
      <c r="Q1097" s="1745"/>
    </row>
    <row r="1098" spans="1:17" ht="14.4">
      <c r="A1098" s="1745"/>
      <c r="B1098" s="2110" t="s">
        <v>1457</v>
      </c>
      <c r="C1098" s="1745"/>
      <c r="D1098" s="2110"/>
      <c r="E1098" s="2110"/>
      <c r="F1098" s="2110"/>
      <c r="G1098" s="2110"/>
      <c r="H1098" s="1746"/>
      <c r="I1098" s="1745"/>
      <c r="J1098" s="1745"/>
      <c r="K1098" s="1745"/>
      <c r="L1098" s="1750"/>
      <c r="M1098" s="1748"/>
      <c r="N1098" s="1748"/>
      <c r="O1098" s="1748"/>
      <c r="P1098" s="1748"/>
      <c r="Q1098" s="1748"/>
    </row>
    <row r="1099" spans="1:17" ht="13.8">
      <c r="A1099" s="2107" t="str">
        <f>'Part VII-Threshold Criteria'!A227</f>
        <v>The proposed project team was determined by DCA to be "Qualified". The QD Letter (2026-QD019) is included with this application.</v>
      </c>
      <c r="B1099" s="2107"/>
      <c r="C1099" s="2107"/>
      <c r="D1099" s="2107"/>
      <c r="E1099" s="2107"/>
      <c r="F1099" s="2107"/>
      <c r="G1099" s="2107"/>
      <c r="H1099" s="2107"/>
      <c r="I1099" s="2107"/>
      <c r="J1099" s="2107"/>
      <c r="K1099" s="2107"/>
      <c r="L1099" s="2107"/>
      <c r="M1099" s="2107"/>
      <c r="N1099" s="2107"/>
      <c r="O1099" s="2107"/>
      <c r="P1099" s="2107"/>
      <c r="Q1099" s="2107"/>
    </row>
    <row r="1100" spans="1:17" ht="14.4">
      <c r="A1100" s="1745"/>
      <c r="B1100" s="2106" t="s">
        <v>1453</v>
      </c>
      <c r="C1100" s="2106"/>
      <c r="D1100" s="1745"/>
      <c r="E1100" s="1745"/>
      <c r="F1100" s="1745"/>
      <c r="G1100" s="1745"/>
      <c r="H1100" s="1745"/>
      <c r="I1100" s="1745"/>
      <c r="J1100" s="1745"/>
      <c r="K1100" s="1745"/>
      <c r="L1100" s="1745"/>
      <c r="M1100" s="1745"/>
      <c r="N1100" s="1745"/>
      <c r="O1100" s="1745"/>
      <c r="P1100" s="1745"/>
      <c r="Q1100" s="1745"/>
    </row>
    <row r="1101" spans="1:17" ht="13.8">
      <c r="A1101" s="1745"/>
      <c r="B1101" s="1745"/>
      <c r="C1101" s="1745"/>
      <c r="D1101" s="1745"/>
      <c r="E1101" s="1745"/>
      <c r="F1101" s="1745"/>
      <c r="G1101" s="1745"/>
      <c r="H1101" s="1745"/>
      <c r="I1101" s="1745"/>
      <c r="J1101" s="1745"/>
      <c r="K1101" s="1745"/>
      <c r="L1101" s="1745"/>
      <c r="M1101" s="1745"/>
      <c r="N1101" s="1745"/>
      <c r="O1101" s="1745"/>
      <c r="P1101" s="1745"/>
      <c r="Q1101" s="1745"/>
    </row>
    <row r="1102" spans="1:17" ht="13.8">
      <c r="A1102" s="1750"/>
      <c r="B1102" s="1745"/>
      <c r="C1102" s="1745"/>
      <c r="D1102" s="1745"/>
      <c r="E1102" s="1745"/>
      <c r="F1102" s="1745"/>
      <c r="G1102" s="1745"/>
      <c r="H1102" s="1745"/>
      <c r="I1102" s="1745"/>
      <c r="J1102" s="1745"/>
      <c r="K1102" s="1745"/>
      <c r="L1102" s="1745"/>
      <c r="M1102" s="1745"/>
      <c r="N1102" s="1745"/>
      <c r="O1102" s="1745"/>
      <c r="P1102" s="1745"/>
      <c r="Q1102" s="1750"/>
    </row>
    <row r="1103" spans="1:17" ht="13.8">
      <c r="A1103" s="1745"/>
      <c r="B1103" s="1747"/>
      <c r="C1103" s="1746"/>
      <c r="D1103" s="1746"/>
      <c r="E1103" s="1746"/>
      <c r="F1103" s="1746"/>
      <c r="G1103" s="1746"/>
      <c r="H1103" s="1746"/>
      <c r="I1103" s="1746"/>
      <c r="J1103" s="1746"/>
      <c r="K1103" s="1746"/>
      <c r="L1103" s="1746"/>
      <c r="M1103" s="1746"/>
      <c r="N1103" s="1746"/>
      <c r="O1103" s="1746"/>
      <c r="P1103" s="1746"/>
      <c r="Q1103" s="1748"/>
    </row>
    <row r="1104" spans="1:17" ht="13.8">
      <c r="A1104" s="2104" t="s">
        <v>1557</v>
      </c>
      <c r="B1104" s="1750" t="s">
        <v>1566</v>
      </c>
      <c r="C1104" s="1750"/>
      <c r="D1104" s="1750"/>
      <c r="E1104" s="1750"/>
      <c r="F1104" s="1750"/>
      <c r="G1104" s="1750"/>
      <c r="H1104" s="1746"/>
      <c r="I1104" s="1746"/>
      <c r="J1104" s="1746"/>
      <c r="K1104" s="1746"/>
      <c r="L1104" s="1746"/>
      <c r="M1104" s="1746"/>
      <c r="N1104" s="2115"/>
      <c r="O1104" s="2105" t="s">
        <v>1451</v>
      </c>
      <c r="P1104" s="1750"/>
      <c r="Q1104" s="1750"/>
    </row>
    <row r="1105" spans="1:17" ht="15" customHeight="1">
      <c r="A1105" s="2104"/>
      <c r="B1105" s="1745" t="s">
        <v>1567</v>
      </c>
      <c r="C1105" s="1745"/>
      <c r="D1105" s="1745"/>
      <c r="E1105" s="1745"/>
      <c r="F1105" s="1745"/>
      <c r="G1105" s="1745"/>
      <c r="H1105" s="1745"/>
      <c r="I1105" s="1745"/>
      <c r="J1105" s="1745"/>
      <c r="K1105" s="1745"/>
      <c r="L1105" s="1745"/>
      <c r="M1105" s="1745"/>
      <c r="N1105" s="1745"/>
      <c r="O1105" s="1745"/>
      <c r="P1105" s="1750" t="str">
        <f>'Part VII-Threshold Criteria'!P233</f>
        <v>Agree</v>
      </c>
      <c r="Q1105" s="1750"/>
    </row>
    <row r="1106" spans="1:17" ht="13.8">
      <c r="A1106" s="1827" t="s">
        <v>186</v>
      </c>
      <c r="B1106" s="2114" t="s">
        <v>1568</v>
      </c>
      <c r="C1106" s="2114"/>
      <c r="D1106" s="2114"/>
      <c r="E1106" s="2114"/>
      <c r="F1106" s="2114"/>
      <c r="G1106" s="2114"/>
      <c r="H1106" s="2114"/>
      <c r="I1106" s="2114"/>
      <c r="J1106" s="2114"/>
      <c r="K1106" s="2114"/>
      <c r="L1106" s="2114"/>
      <c r="M1106" s="2114"/>
      <c r="N1106" s="2114"/>
      <c r="O1106" s="2114"/>
      <c r="P1106" s="2114"/>
      <c r="Q1106" s="2114"/>
    </row>
    <row r="1107" spans="1:17" ht="15" customHeight="1">
      <c r="A1107" s="1827"/>
      <c r="B1107" s="1746"/>
      <c r="C1107" s="1828" t="s">
        <v>1569</v>
      </c>
      <c r="D1107" s="2116"/>
      <c r="E1107" s="2116"/>
      <c r="F1107" s="1746"/>
      <c r="G1107" s="2107" t="s">
        <v>1570</v>
      </c>
      <c r="H1107" s="2107"/>
      <c r="I1107" s="2107"/>
      <c r="J1107" s="2107"/>
      <c r="K1107" s="2107"/>
      <c r="L1107" s="2107"/>
      <c r="M1107" s="2107"/>
      <c r="N1107" s="2107"/>
      <c r="O1107" s="2107"/>
      <c r="P1107" s="1750" t="str">
        <f>'Part VII-Threshold Criteria'!P235</f>
        <v>Disagree</v>
      </c>
      <c r="Q1107" s="1748"/>
    </row>
    <row r="1108" spans="1:17" ht="15" customHeight="1">
      <c r="A1108" s="1827"/>
      <c r="B1108" s="1746"/>
      <c r="C1108" s="2107" t="s">
        <v>1571</v>
      </c>
      <c r="D1108" s="2107"/>
      <c r="E1108" s="2107"/>
      <c r="F1108" s="2107"/>
      <c r="G1108" s="2107" t="s">
        <v>1572</v>
      </c>
      <c r="H1108" s="2107"/>
      <c r="I1108" s="2107"/>
      <c r="J1108" s="2107"/>
      <c r="K1108" s="2107"/>
      <c r="L1108" s="2107"/>
      <c r="M1108" s="2107"/>
      <c r="N1108" s="2107"/>
      <c r="O1108" s="2107"/>
      <c r="P1108" s="1750" t="str">
        <f>'Part VII-Threshold Criteria'!P236</f>
        <v>N/A - 9%</v>
      </c>
      <c r="Q1108" s="1748"/>
    </row>
    <row r="1109" spans="1:17" ht="15" customHeight="1">
      <c r="A1109" s="1827" t="s">
        <v>198</v>
      </c>
      <c r="B1109" s="2107" t="s">
        <v>7584</v>
      </c>
      <c r="C1109" s="2107"/>
      <c r="D1109" s="2107"/>
      <c r="E1109" s="2107"/>
      <c r="F1109" s="2107"/>
      <c r="G1109" s="2107"/>
      <c r="H1109" s="2107"/>
      <c r="I1109" s="2107"/>
      <c r="J1109" s="2107"/>
      <c r="K1109" s="2107"/>
      <c r="L1109" s="2107"/>
      <c r="M1109" s="2107"/>
      <c r="N1109" s="2107"/>
      <c r="O1109" s="2107"/>
      <c r="P1109" s="1750" t="str">
        <f>'Part VII-Threshold Criteria'!P237</f>
        <v>Disagree</v>
      </c>
      <c r="Q1109" s="1748"/>
    </row>
    <row r="1110" spans="1:17" ht="13.8">
      <c r="A1110" s="2105" t="s">
        <v>219</v>
      </c>
      <c r="B1110" s="1745" t="s">
        <v>7585</v>
      </c>
      <c r="C1110" s="1745"/>
      <c r="D1110" s="1745"/>
      <c r="E1110" s="1745"/>
      <c r="F1110" s="1745"/>
      <c r="G1110" s="1745" t="s">
        <v>7586</v>
      </c>
      <c r="H1110" s="1745"/>
      <c r="I1110" s="1745"/>
      <c r="J1110" s="1745"/>
      <c r="K1110" s="1745"/>
      <c r="L1110" s="1745"/>
      <c r="M1110" s="1745"/>
      <c r="N1110" s="1745"/>
      <c r="O1110" s="1745"/>
      <c r="P1110" s="1750" t="str">
        <f>'Part VII-Threshold Criteria'!P238</f>
        <v>Agree</v>
      </c>
      <c r="Q1110" s="1748"/>
    </row>
    <row r="1111" spans="1:17" ht="15" customHeight="1">
      <c r="A1111" s="1827" t="s">
        <v>221</v>
      </c>
      <c r="B1111" s="2107" t="s">
        <v>7587</v>
      </c>
      <c r="C1111" s="2107"/>
      <c r="D1111" s="2107"/>
      <c r="E1111" s="2107"/>
      <c r="F1111" s="2107"/>
      <c r="G1111" s="2107"/>
      <c r="H1111" s="2107"/>
      <c r="I1111" s="2107"/>
      <c r="J1111" s="2107"/>
      <c r="K1111" s="2107"/>
      <c r="L1111" s="2107"/>
      <c r="M1111" s="2107"/>
      <c r="N1111" s="2107"/>
      <c r="O1111" s="2107"/>
      <c r="P1111" s="1750" t="str">
        <f>'Part VII-Threshold Criteria'!P239</f>
        <v>Disagree</v>
      </c>
      <c r="Q1111" s="1748"/>
    </row>
    <row r="1112" spans="1:17" ht="14.4">
      <c r="A1112" s="1745"/>
      <c r="B1112" s="2106" t="s">
        <v>1457</v>
      </c>
      <c r="C1112" s="1745"/>
      <c r="D1112" s="2106"/>
      <c r="E1112" s="2106"/>
      <c r="F1112" s="2106"/>
      <c r="G1112" s="2106"/>
      <c r="H1112" s="1745"/>
      <c r="I1112" s="1745"/>
      <c r="J1112" s="1745"/>
      <c r="K1112" s="1745"/>
      <c r="L1112" s="1750"/>
      <c r="M1112" s="1750"/>
      <c r="N1112" s="1750"/>
      <c r="O1112" s="1750"/>
      <c r="P1112" s="1748"/>
      <c r="Q1112" s="1748"/>
    </row>
    <row r="1113" spans="1:17" ht="13.8">
      <c r="A1113" s="2107" t="str">
        <f>'Part VII-Threshold Criteria'!A241</f>
        <v>The proposed project qualifiesfor the Housing Tax Credit Set-Aside as defined in the QAP. More than 50% of the units are covered by an existing LURC.</v>
      </c>
      <c r="B1113" s="2107"/>
      <c r="C1113" s="2107"/>
      <c r="D1113" s="2107"/>
      <c r="E1113" s="2107"/>
      <c r="F1113" s="2107"/>
      <c r="G1113" s="2107"/>
      <c r="H1113" s="2107"/>
      <c r="I1113" s="2107"/>
      <c r="J1113" s="2107"/>
      <c r="K1113" s="2107"/>
      <c r="L1113" s="2107"/>
      <c r="M1113" s="2107"/>
      <c r="N1113" s="2107"/>
      <c r="O1113" s="2107"/>
      <c r="P1113" s="2107"/>
      <c r="Q1113" s="2107"/>
    </row>
    <row r="1114" spans="1:17" ht="14.4">
      <c r="A1114" s="1745"/>
      <c r="B1114" s="2106" t="s">
        <v>1453</v>
      </c>
      <c r="C1114" s="2106"/>
      <c r="D1114" s="1745"/>
      <c r="E1114" s="1745"/>
      <c r="F1114" s="1745"/>
      <c r="G1114" s="1745"/>
      <c r="H1114" s="1745"/>
      <c r="I1114" s="1745"/>
      <c r="J1114" s="1745"/>
      <c r="K1114" s="1745"/>
      <c r="L1114" s="1745"/>
      <c r="M1114" s="1745"/>
      <c r="N1114" s="1745"/>
      <c r="O1114" s="1745"/>
      <c r="P1114" s="1745"/>
      <c r="Q1114" s="1745"/>
    </row>
    <row r="1115" spans="1:17" ht="13.8">
      <c r="A1115" s="1745"/>
      <c r="B1115" s="1745"/>
      <c r="C1115" s="1745"/>
      <c r="D1115" s="1745"/>
      <c r="E1115" s="1745"/>
      <c r="F1115" s="1745"/>
      <c r="G1115" s="1745"/>
      <c r="H1115" s="1745"/>
      <c r="I1115" s="1745"/>
      <c r="J1115" s="1745"/>
      <c r="K1115" s="1745"/>
      <c r="L1115" s="1745"/>
      <c r="M1115" s="1745"/>
      <c r="N1115" s="1745"/>
      <c r="O1115" s="1745"/>
      <c r="P1115" s="1745"/>
      <c r="Q1115" s="1745"/>
    </row>
    <row r="1116" spans="1:17" ht="13.8">
      <c r="A1116" s="1750"/>
      <c r="B1116" s="1745"/>
      <c r="C1116" s="1745"/>
      <c r="D1116" s="1745"/>
      <c r="E1116" s="1745"/>
      <c r="F1116" s="1745"/>
      <c r="G1116" s="1745"/>
      <c r="H1116" s="1745"/>
      <c r="I1116" s="1745"/>
      <c r="J1116" s="1745"/>
      <c r="K1116" s="1745"/>
      <c r="L1116" s="1745"/>
      <c r="M1116" s="1745"/>
      <c r="N1116" s="1745"/>
      <c r="O1116" s="1745"/>
      <c r="P1116" s="1745"/>
      <c r="Q1116" s="1750"/>
    </row>
    <row r="1117" spans="1:17" ht="13.8">
      <c r="A1117" s="2104"/>
      <c r="B1117" s="1747"/>
      <c r="C1117" s="1746"/>
      <c r="D1117" s="1746"/>
      <c r="E1117" s="1746"/>
      <c r="F1117" s="1746"/>
      <c r="G1117" s="1746"/>
      <c r="H1117" s="1746"/>
      <c r="I1117" s="1746"/>
      <c r="J1117" s="1746"/>
      <c r="K1117" s="1746"/>
      <c r="L1117" s="1746"/>
      <c r="M1117" s="1746"/>
      <c r="N1117" s="1746"/>
      <c r="O1117" s="1746"/>
      <c r="P1117" s="1746"/>
      <c r="Q1117" s="1748"/>
    </row>
    <row r="1118" spans="1:17" ht="13.8">
      <c r="A1118" s="2104" t="s">
        <v>1565</v>
      </c>
      <c r="B1118" s="1750" t="s">
        <v>1578</v>
      </c>
      <c r="C1118" s="1750"/>
      <c r="D1118" s="1750"/>
      <c r="E1118" s="1750"/>
      <c r="F1118" s="1750"/>
      <c r="G1118" s="1750"/>
      <c r="H1118" s="1746"/>
      <c r="I1118" s="1746"/>
      <c r="J1118" s="1746"/>
      <c r="K1118" s="1746"/>
      <c r="L1118" s="1746"/>
      <c r="M1118" s="1746"/>
      <c r="N1118" s="2105"/>
      <c r="O1118" s="2105" t="s">
        <v>1451</v>
      </c>
      <c r="P1118" s="1750"/>
      <c r="Q1118" s="1750"/>
    </row>
    <row r="1119" spans="1:17" ht="13.8">
      <c r="A1119" s="2105"/>
      <c r="B1119" s="1745" t="s">
        <v>1579</v>
      </c>
      <c r="C1119" s="1745"/>
      <c r="D1119" s="1745"/>
      <c r="E1119" s="1745"/>
      <c r="F1119" s="1745"/>
      <c r="G1119" s="1745"/>
      <c r="H1119" s="1745"/>
      <c r="I1119" s="2107">
        <f>'Part VII-Threshold Criteria'!I247</f>
        <v>0</v>
      </c>
      <c r="J1119" s="1750"/>
      <c r="K1119" s="1750"/>
      <c r="L1119" s="1750"/>
      <c r="M1119" s="1750"/>
      <c r="N1119" s="1750"/>
      <c r="O1119" s="1750"/>
      <c r="P1119" s="1750"/>
      <c r="Q1119" s="1750"/>
    </row>
    <row r="1120" spans="1:17" ht="13.8">
      <c r="A1120" s="2105"/>
      <c r="B1120" s="1745" t="s">
        <v>1580</v>
      </c>
      <c r="C1120" s="1745"/>
      <c r="D1120" s="1745"/>
      <c r="E1120" s="1745"/>
      <c r="F1120" s="1745"/>
      <c r="G1120" s="1745"/>
      <c r="H1120" s="1745"/>
      <c r="I1120" s="2107">
        <f>'Part VII-Threshold Criteria'!I248</f>
        <v>0</v>
      </c>
      <c r="J1120" s="1750"/>
      <c r="K1120" s="1750"/>
      <c r="L1120" s="1750"/>
      <c r="M1120" s="1750"/>
      <c r="N1120" s="1750"/>
      <c r="O1120" s="1750"/>
      <c r="P1120" s="1750"/>
      <c r="Q1120" s="1750"/>
    </row>
    <row r="1121" spans="1:17" ht="15.75" customHeight="1">
      <c r="A1121" s="2105"/>
      <c r="B1121" s="2107" t="s">
        <v>7588</v>
      </c>
      <c r="C1121" s="2107"/>
      <c r="D1121" s="2107"/>
      <c r="E1121" s="2107"/>
      <c r="F1121" s="2107"/>
      <c r="G1121" s="2107"/>
      <c r="H1121" s="2107"/>
      <c r="I1121" s="2107"/>
      <c r="J1121" s="2107"/>
      <c r="K1121" s="2107"/>
      <c r="L1121" s="2107"/>
      <c r="M1121" s="2107"/>
      <c r="N1121" s="2107"/>
      <c r="O1121" s="2107"/>
      <c r="P1121" s="1750">
        <f>'Part VII-Threshold Criteria'!P249</f>
        <v>0</v>
      </c>
      <c r="Q1121" s="2114"/>
    </row>
    <row r="1122" spans="1:17" ht="14.4">
      <c r="A1122" s="1745"/>
      <c r="B1122" s="2106" t="s">
        <v>1457</v>
      </c>
      <c r="C1122" s="1745"/>
      <c r="D1122" s="2106"/>
      <c r="E1122" s="2106"/>
      <c r="F1122" s="2106"/>
      <c r="G1122" s="2106"/>
      <c r="H1122" s="1745"/>
      <c r="I1122" s="1745"/>
      <c r="J1122" s="1745"/>
      <c r="K1122" s="1745"/>
      <c r="L1122" s="1750"/>
      <c r="M1122" s="1750"/>
      <c r="N1122" s="1750"/>
      <c r="O1122" s="1750"/>
      <c r="P1122" s="1750"/>
      <c r="Q1122" s="1750"/>
    </row>
    <row r="1123" spans="1:17" ht="13.8">
      <c r="A1123" s="2107" t="str">
        <f>'Part VII-Threshold Criteria'!A251</f>
        <v>The applicant is not applying under the nonprofit setaside, therefore this section has been intentionally left blank.</v>
      </c>
      <c r="B1123" s="2107"/>
      <c r="C1123" s="2107"/>
      <c r="D1123" s="2107"/>
      <c r="E1123" s="2107"/>
      <c r="F1123" s="2107"/>
      <c r="G1123" s="2107"/>
      <c r="H1123" s="2107"/>
      <c r="I1123" s="2107"/>
      <c r="J1123" s="2107"/>
      <c r="K1123" s="2107"/>
      <c r="L1123" s="2107"/>
      <c r="M1123" s="2107"/>
      <c r="N1123" s="2107"/>
      <c r="O1123" s="2107"/>
      <c r="P1123" s="2107"/>
      <c r="Q1123" s="2107"/>
    </row>
    <row r="1124" spans="1:17" ht="14.4">
      <c r="A1124" s="1745"/>
      <c r="B1124" s="2106" t="s">
        <v>1453</v>
      </c>
      <c r="C1124" s="2106"/>
      <c r="D1124" s="1745"/>
      <c r="E1124" s="1745"/>
      <c r="F1124" s="1745"/>
      <c r="G1124" s="1745"/>
      <c r="H1124" s="1745"/>
      <c r="I1124" s="1745"/>
      <c r="J1124" s="1745"/>
      <c r="K1124" s="1745"/>
      <c r="L1124" s="1745"/>
      <c r="M1124" s="1745"/>
      <c r="N1124" s="1745"/>
      <c r="O1124" s="1745"/>
      <c r="P1124" s="1745"/>
      <c r="Q1124" s="1745"/>
    </row>
    <row r="1125" spans="1:17" ht="13.8">
      <c r="A1125" s="1745"/>
      <c r="B1125" s="1745"/>
      <c r="C1125" s="1745"/>
      <c r="D1125" s="1745"/>
      <c r="E1125" s="1745"/>
      <c r="F1125" s="1745"/>
      <c r="G1125" s="1745"/>
      <c r="H1125" s="1745"/>
      <c r="I1125" s="1745"/>
      <c r="J1125" s="1745"/>
      <c r="K1125" s="1745"/>
      <c r="L1125" s="1745"/>
      <c r="M1125" s="1745"/>
      <c r="N1125" s="1745"/>
      <c r="O1125" s="1745"/>
      <c r="P1125" s="1745"/>
      <c r="Q1125" s="1745"/>
    </row>
    <row r="1126" spans="1:17" ht="13.8">
      <c r="A1126" s="1750"/>
      <c r="B1126" s="1745"/>
      <c r="C1126" s="1745"/>
      <c r="D1126" s="1745"/>
      <c r="E1126" s="1745"/>
      <c r="F1126" s="1745"/>
      <c r="G1126" s="1745"/>
      <c r="H1126" s="1745"/>
      <c r="I1126" s="1745"/>
      <c r="J1126" s="1745"/>
      <c r="K1126" s="1745"/>
      <c r="L1126" s="1745"/>
      <c r="M1126" s="1745"/>
      <c r="N1126" s="1745"/>
      <c r="O1126" s="1745"/>
      <c r="P1126" s="1745"/>
      <c r="Q1126" s="1750"/>
    </row>
    <row r="1127" spans="1:17" ht="13.8">
      <c r="A1127" s="1745"/>
      <c r="B1127" s="1747"/>
      <c r="C1127" s="1746"/>
      <c r="D1127" s="1746"/>
      <c r="E1127" s="1746"/>
      <c r="F1127" s="1746"/>
      <c r="G1127" s="1746"/>
      <c r="H1127" s="1746"/>
      <c r="I1127" s="1746"/>
      <c r="J1127" s="1746"/>
      <c r="K1127" s="1746"/>
      <c r="L1127" s="1746"/>
      <c r="M1127" s="1746"/>
      <c r="N1127" s="1745"/>
      <c r="O1127" s="1745"/>
      <c r="P1127" s="1745"/>
      <c r="Q1127" s="1748"/>
    </row>
    <row r="1128" spans="1:17" ht="13.8">
      <c r="A1128" s="2104" t="s">
        <v>1577</v>
      </c>
      <c r="B1128" s="1750" t="s">
        <v>1583</v>
      </c>
      <c r="C1128" s="1750"/>
      <c r="D1128" s="1750"/>
      <c r="E1128" s="1746"/>
      <c r="F1128" s="1745"/>
      <c r="G1128" s="1745" t="s">
        <v>1584</v>
      </c>
      <c r="H1128" s="1746"/>
      <c r="I1128" s="1746"/>
      <c r="J1128" s="1746"/>
      <c r="K1128" s="1746"/>
      <c r="L1128" s="1746"/>
      <c r="M1128" s="1746"/>
      <c r="N1128" s="1745"/>
      <c r="O1128" s="2105" t="s">
        <v>1451</v>
      </c>
      <c r="P1128" s="1750"/>
      <c r="Q1128" s="1750"/>
    </row>
    <row r="1129" spans="1:17" ht="13.8">
      <c r="A1129" s="2105"/>
      <c r="B1129" s="1745" t="s">
        <v>1585</v>
      </c>
      <c r="C1129" s="1745"/>
      <c r="D1129" s="1745"/>
      <c r="E1129" s="1745"/>
      <c r="F1129" s="1745"/>
      <c r="G1129" s="1745"/>
      <c r="H1129" s="1745"/>
      <c r="I1129" s="1745"/>
      <c r="J1129" s="1745"/>
      <c r="K1129" s="1745"/>
      <c r="L1129" s="1745"/>
      <c r="M1129" s="1745"/>
      <c r="N1129" s="1745"/>
      <c r="O1129" s="2115"/>
      <c r="P1129" s="1750">
        <f>'Part VII-Threshold Criteria'!P257</f>
        <v>0</v>
      </c>
      <c r="Q1129" s="1750"/>
    </row>
    <row r="1130" spans="1:17" ht="13.8">
      <c r="A1130" s="2105"/>
      <c r="B1130" s="1745" t="s">
        <v>1586</v>
      </c>
      <c r="C1130" s="1745"/>
      <c r="D1130" s="1745"/>
      <c r="E1130" s="1745"/>
      <c r="F1130" s="1745"/>
      <c r="G1130" s="1745"/>
      <c r="H1130" s="1745"/>
      <c r="I1130" s="1745"/>
      <c r="J1130" s="1745"/>
      <c r="K1130" s="1745"/>
      <c r="L1130" s="1745"/>
      <c r="M1130" s="1745"/>
      <c r="N1130" s="1745"/>
      <c r="O1130" s="2115"/>
      <c r="P1130" s="1750" t="str">
        <f>'Part VII-Threshold Criteria'!P258</f>
        <v>No</v>
      </c>
      <c r="Q1130" s="1750"/>
    </row>
    <row r="1131" spans="1:17" ht="13.8">
      <c r="A1131" s="2105"/>
      <c r="B1131" s="1745" t="s">
        <v>436</v>
      </c>
      <c r="C1131" s="1745"/>
      <c r="D1131" s="2107">
        <f>'Part VII-Threshold Criteria'!D259</f>
        <v>0</v>
      </c>
      <c r="E1131" s="1745"/>
      <c r="F1131" s="1745"/>
      <c r="G1131" s="1745"/>
      <c r="H1131" s="1745"/>
      <c r="I1131" s="1745"/>
      <c r="J1131" s="1745"/>
      <c r="K1131" s="1745"/>
      <c r="L1131" s="1745"/>
      <c r="M1131" s="1745"/>
      <c r="N1131" s="1745"/>
      <c r="O1131" s="1745"/>
      <c r="P1131" s="1745"/>
      <c r="Q1131" s="1745"/>
    </row>
    <row r="1132" spans="1:17" ht="14.4">
      <c r="A1132" s="1745"/>
      <c r="B1132" s="2110" t="s">
        <v>1457</v>
      </c>
      <c r="C1132" s="1745"/>
      <c r="D1132" s="2106"/>
      <c r="E1132" s="2106"/>
      <c r="F1132" s="2106"/>
      <c r="G1132" s="2106"/>
      <c r="H1132" s="1745"/>
      <c r="I1132" s="1745"/>
      <c r="J1132" s="1745"/>
      <c r="K1132" s="1745"/>
      <c r="L1132" s="1750"/>
      <c r="M1132" s="1750"/>
      <c r="N1132" s="1750"/>
      <c r="O1132" s="1750"/>
      <c r="P1132" s="1750"/>
      <c r="Q1132" s="1750"/>
    </row>
    <row r="1133" spans="1:17" ht="13.8">
      <c r="A1133" s="2107" t="str">
        <f>'Part VII-Threshold Criteria'!A261</f>
        <v>Any required legal opinions will be provided at Threshold review.</v>
      </c>
      <c r="B1133" s="2107"/>
      <c r="C1133" s="2107"/>
      <c r="D1133" s="2107"/>
      <c r="E1133" s="2107"/>
      <c r="F1133" s="2107"/>
      <c r="G1133" s="2107"/>
      <c r="H1133" s="2107"/>
      <c r="I1133" s="2107"/>
      <c r="J1133" s="2107"/>
      <c r="K1133" s="2107"/>
      <c r="L1133" s="2107"/>
      <c r="M1133" s="2107"/>
      <c r="N1133" s="2107"/>
      <c r="O1133" s="2107"/>
      <c r="P1133" s="2107"/>
      <c r="Q1133" s="2107"/>
    </row>
    <row r="1134" spans="1:17" ht="14.4">
      <c r="A1134" s="1745"/>
      <c r="B1134" s="2106" t="s">
        <v>1453</v>
      </c>
      <c r="C1134" s="2106"/>
      <c r="D1134" s="1745"/>
      <c r="E1134" s="1745"/>
      <c r="F1134" s="1745"/>
      <c r="G1134" s="1745"/>
      <c r="H1134" s="1745"/>
      <c r="I1134" s="1745"/>
      <c r="J1134" s="1745"/>
      <c r="K1134" s="1745"/>
      <c r="L1134" s="1745"/>
      <c r="M1134" s="1745"/>
      <c r="N1134" s="1745"/>
      <c r="O1134" s="1745"/>
      <c r="P1134" s="1745"/>
      <c r="Q1134" s="1745"/>
    </row>
    <row r="1135" spans="1:17" ht="13.8">
      <c r="A1135" s="1745"/>
      <c r="B1135" s="1745"/>
      <c r="C1135" s="1745"/>
      <c r="D1135" s="1745"/>
      <c r="E1135" s="1745"/>
      <c r="F1135" s="1745"/>
      <c r="G1135" s="1745"/>
      <c r="H1135" s="1745"/>
      <c r="I1135" s="1745"/>
      <c r="J1135" s="1745"/>
      <c r="K1135" s="1745"/>
      <c r="L1135" s="1745"/>
      <c r="M1135" s="1745"/>
      <c r="N1135" s="1745"/>
      <c r="O1135" s="1745"/>
      <c r="P1135" s="1745"/>
      <c r="Q1135" s="1745"/>
    </row>
    <row r="1136" spans="1:17" ht="13.8">
      <c r="A1136" s="1750"/>
      <c r="B1136" s="1745"/>
      <c r="C1136" s="1745"/>
      <c r="D1136" s="1745"/>
      <c r="E1136" s="1745"/>
      <c r="F1136" s="1745"/>
      <c r="G1136" s="1745"/>
      <c r="H1136" s="1745"/>
      <c r="I1136" s="1745"/>
      <c r="J1136" s="1745"/>
      <c r="K1136" s="1745"/>
      <c r="L1136" s="1745"/>
      <c r="M1136" s="1745"/>
      <c r="N1136" s="1745"/>
      <c r="O1136" s="1745"/>
      <c r="P1136" s="1745"/>
      <c r="Q1136" s="1750"/>
    </row>
    <row r="1137" spans="1:17" ht="13.8">
      <c r="A1137" s="1745"/>
      <c r="B1137" s="1747"/>
      <c r="C1137" s="1746"/>
      <c r="D1137" s="1746"/>
      <c r="E1137" s="1746"/>
      <c r="F1137" s="1746"/>
      <c r="G1137" s="1746"/>
      <c r="H1137" s="1746"/>
      <c r="I1137" s="1746"/>
      <c r="J1137" s="1746"/>
      <c r="K1137" s="1746"/>
      <c r="L1137" s="1746"/>
      <c r="M1137" s="1746"/>
      <c r="N1137" s="1746"/>
      <c r="O1137" s="1746"/>
      <c r="P1137" s="1746"/>
      <c r="Q1137" s="1748"/>
    </row>
    <row r="1138" spans="1:17" ht="13.8">
      <c r="A1138" s="2104" t="s">
        <v>1582</v>
      </c>
      <c r="B1138" s="1750" t="s">
        <v>1588</v>
      </c>
      <c r="C1138" s="1750"/>
      <c r="D1138" s="1750"/>
      <c r="E1138" s="1750"/>
      <c r="F1138" s="1750"/>
      <c r="G1138" s="1750"/>
      <c r="H1138" s="1746"/>
      <c r="I1138" s="1746"/>
      <c r="J1138" s="1746"/>
      <c r="K1138" s="1746"/>
      <c r="L1138" s="1746"/>
      <c r="M1138" s="1746"/>
      <c r="N1138" s="1745"/>
      <c r="O1138" s="2105" t="s">
        <v>1451</v>
      </c>
      <c r="P1138" s="1750"/>
      <c r="Q1138" s="1750"/>
    </row>
    <row r="1139" spans="1:17" ht="13.8">
      <c r="A1139" s="1745"/>
      <c r="B1139" s="1745" t="s">
        <v>1589</v>
      </c>
      <c r="C1139" s="1745"/>
      <c r="D1139" s="1745"/>
      <c r="E1139" s="1745"/>
      <c r="F1139" s="1745"/>
      <c r="G1139" s="1745"/>
      <c r="H1139" s="1745"/>
      <c r="I1139" s="1745"/>
      <c r="J1139" s="1745"/>
      <c r="K1139" s="1745"/>
      <c r="L1139" s="1745"/>
      <c r="M1139" s="1745"/>
      <c r="N1139" s="1745"/>
      <c r="O1139" s="2115"/>
      <c r="P1139" s="1750" t="str">
        <f>'Part VII-Threshold Criteria'!P267</f>
        <v>No</v>
      </c>
      <c r="Q1139" s="1750"/>
    </row>
    <row r="1140" spans="1:17" ht="13.8">
      <c r="A1140" s="2105"/>
      <c r="B1140" s="1745" t="s">
        <v>1590</v>
      </c>
      <c r="C1140" s="1745"/>
      <c r="D1140" s="1745"/>
      <c r="E1140" s="1745"/>
      <c r="F1140" s="1745"/>
      <c r="G1140" s="1745"/>
      <c r="H1140" s="1745"/>
      <c r="I1140" s="1745"/>
      <c r="J1140" s="1745"/>
      <c r="K1140" s="1745"/>
      <c r="L1140" s="1745"/>
      <c r="M1140" s="1745"/>
      <c r="N1140" s="1745"/>
      <c r="O1140" s="1745"/>
      <c r="P1140" s="1750" t="str">
        <f>'Part VII-Threshold Criteria'!P268</f>
        <v>Yes</v>
      </c>
      <c r="Q1140" s="1750"/>
    </row>
    <row r="1141" spans="1:17" ht="13.8">
      <c r="A1141" s="1745"/>
      <c r="B1141" s="1745" t="s">
        <v>1591</v>
      </c>
      <c r="C1141" s="1745"/>
      <c r="D1141" s="1745"/>
      <c r="E1141" s="1745"/>
      <c r="F1141" s="1745"/>
      <c r="G1141" s="1745"/>
      <c r="H1141" s="1745"/>
      <c r="I1141" s="1745"/>
      <c r="J1141" s="1745"/>
      <c r="K1141" s="1745"/>
      <c r="L1141" s="1745"/>
      <c r="M1141" s="1745"/>
      <c r="N1141" s="1745"/>
      <c r="O1141" s="1745"/>
      <c r="P1141" s="1750" t="str">
        <f>'Part VII-Threshold Criteria'!P269</f>
        <v>No</v>
      </c>
      <c r="Q1141" s="1750"/>
    </row>
    <row r="1142" spans="1:17" ht="15" customHeight="1">
      <c r="A1142" s="2105"/>
      <c r="B1142" s="1745" t="s">
        <v>7589</v>
      </c>
      <c r="C1142" s="1745"/>
      <c r="D1142" s="1745"/>
      <c r="E1142" s="1745"/>
      <c r="F1142" s="1745"/>
      <c r="G1142" s="1745"/>
      <c r="H1142" s="1745"/>
      <c r="I1142" s="1745"/>
      <c r="J1142" s="1745"/>
      <c r="K1142" s="1745"/>
      <c r="L1142" s="1745"/>
      <c r="M1142" s="1745"/>
      <c r="N1142" s="1745"/>
      <c r="O1142" s="1745"/>
      <c r="P1142" s="1750" t="str">
        <f>'Part VII-Threshold Criteria'!P270</f>
        <v>No</v>
      </c>
      <c r="Q1142" s="1750"/>
    </row>
    <row r="1143" spans="1:17" ht="14.4">
      <c r="A1143" s="1745"/>
      <c r="B1143" s="2106" t="s">
        <v>1457</v>
      </c>
      <c r="C1143" s="1745"/>
      <c r="D1143" s="2106"/>
      <c r="E1143" s="2106"/>
      <c r="F1143" s="2106"/>
      <c r="G1143" s="2106"/>
      <c r="H1143" s="1745"/>
      <c r="I1143" s="1745"/>
      <c r="J1143" s="1745"/>
      <c r="K1143" s="1745"/>
      <c r="L1143" s="1745"/>
      <c r="M1143" s="1745"/>
      <c r="N1143" s="1745"/>
      <c r="O1143" s="1745"/>
      <c r="P1143" s="1745"/>
      <c r="Q1143" s="1745"/>
    </row>
    <row r="1144" spans="1:17" ht="13.8">
      <c r="A1144" s="2107" t="str">
        <f>'Part VII-Threshold Criteria'!A272</f>
        <v>The applicant submitted all required relocation documentation due prior to the Competitive Review. No permanent relocation is anticipated in this project The applicant has engaged Custom Relocation Specialists to assist in the development of the relocation plan. The owners of Custom Relocation Specialists have over fifteen years of experience in relocations within the multi-family housing industry. Custom Relocation Specialists assists developers with relocation planning for tax credit applications in multiple states as well as providing turn-key relocation services during renovations. The relocation plan will be provided at Threshold Review.</v>
      </c>
      <c r="B1144" s="2107"/>
      <c r="C1144" s="2107"/>
      <c r="D1144" s="2107"/>
      <c r="E1144" s="2107"/>
      <c r="F1144" s="2107"/>
      <c r="G1144" s="2107"/>
      <c r="H1144" s="2107"/>
      <c r="I1144" s="2107"/>
      <c r="J1144" s="2107"/>
      <c r="K1144" s="2107"/>
      <c r="L1144" s="2107"/>
      <c r="M1144" s="2107"/>
      <c r="N1144" s="2107"/>
      <c r="O1144" s="2107"/>
      <c r="P1144" s="2107"/>
      <c r="Q1144" s="2107"/>
    </row>
    <row r="1145" spans="1:17" ht="14.4">
      <c r="A1145" s="1745"/>
      <c r="B1145" s="2106" t="s">
        <v>1453</v>
      </c>
      <c r="C1145" s="2106"/>
      <c r="D1145" s="1745"/>
      <c r="E1145" s="1745"/>
      <c r="F1145" s="1745"/>
      <c r="G1145" s="1745"/>
      <c r="H1145" s="1745"/>
      <c r="I1145" s="1745"/>
      <c r="J1145" s="1745"/>
      <c r="K1145" s="1745"/>
      <c r="L1145" s="1745"/>
      <c r="M1145" s="1745"/>
      <c r="N1145" s="1745"/>
      <c r="O1145" s="1745"/>
      <c r="P1145" s="1745"/>
      <c r="Q1145" s="1745"/>
    </row>
    <row r="1146" spans="1:17" ht="13.8">
      <c r="A1146" s="1745"/>
      <c r="B1146" s="1745"/>
      <c r="C1146" s="1745"/>
      <c r="D1146" s="1745"/>
      <c r="E1146" s="1745"/>
      <c r="F1146" s="1745"/>
      <c r="G1146" s="1745"/>
      <c r="H1146" s="1745"/>
      <c r="I1146" s="1745"/>
      <c r="J1146" s="1745"/>
      <c r="K1146" s="1745"/>
      <c r="L1146" s="1745"/>
      <c r="M1146" s="1745"/>
      <c r="N1146" s="1745"/>
      <c r="O1146" s="1745"/>
      <c r="P1146" s="1745"/>
      <c r="Q1146" s="1745"/>
    </row>
    <row r="1147" spans="1:17" ht="13.8">
      <c r="A1147" s="1750"/>
      <c r="B1147" s="1745"/>
      <c r="C1147" s="1745"/>
      <c r="D1147" s="1745"/>
      <c r="E1147" s="1745"/>
      <c r="F1147" s="1745"/>
      <c r="G1147" s="1745"/>
      <c r="H1147" s="1745"/>
      <c r="I1147" s="1745"/>
      <c r="J1147" s="1745"/>
      <c r="K1147" s="1745"/>
      <c r="L1147" s="1745"/>
      <c r="M1147" s="1745"/>
      <c r="N1147" s="1745"/>
      <c r="O1147" s="1745"/>
      <c r="P1147" s="1745"/>
      <c r="Q1147" s="1750"/>
    </row>
    <row r="1148" spans="1:17" ht="13.8">
      <c r="A1148" s="1745"/>
      <c r="B1148" s="1747"/>
      <c r="C1148" s="1746"/>
      <c r="D1148" s="1746"/>
      <c r="E1148" s="1746"/>
      <c r="F1148" s="1746"/>
      <c r="G1148" s="1746"/>
      <c r="H1148" s="1746"/>
      <c r="I1148" s="1746"/>
      <c r="J1148" s="1746"/>
      <c r="K1148" s="1746"/>
      <c r="L1148" s="1746"/>
      <c r="M1148" s="1746"/>
      <c r="N1148" s="1745"/>
      <c r="O1148" s="1745"/>
      <c r="P1148" s="1745"/>
      <c r="Q1148" s="1748"/>
    </row>
    <row r="1149" spans="1:17" ht="13.8">
      <c r="A1149" s="2104" t="s">
        <v>1587</v>
      </c>
      <c r="B1149" s="1750" t="s">
        <v>1594</v>
      </c>
      <c r="C1149" s="1750"/>
      <c r="D1149" s="1750"/>
      <c r="E1149" s="1746"/>
      <c r="F1149" s="1746"/>
      <c r="G1149" s="1746"/>
      <c r="H1149" s="1746"/>
      <c r="I1149" s="1745"/>
      <c r="J1149" s="1745"/>
      <c r="K1149" s="1745"/>
      <c r="L1149" s="1745"/>
      <c r="M1149" s="1745"/>
      <c r="N1149" s="1745"/>
      <c r="O1149" s="2105" t="s">
        <v>1451</v>
      </c>
      <c r="P1149" s="1750"/>
      <c r="Q1149" s="1750"/>
    </row>
    <row r="1150" spans="1:17" ht="15" customHeight="1">
      <c r="A1150" s="1745"/>
      <c r="B1150" s="1745" t="s">
        <v>7590</v>
      </c>
      <c r="C1150" s="1745"/>
      <c r="D1150" s="1745"/>
      <c r="E1150" s="1745"/>
      <c r="F1150" s="1745"/>
      <c r="G1150" s="1745"/>
      <c r="H1150" s="1745"/>
      <c r="I1150" s="1745"/>
      <c r="J1150" s="1745"/>
      <c r="K1150" s="1745"/>
      <c r="L1150" s="1745"/>
      <c r="M1150" s="1745"/>
      <c r="N1150" s="1745"/>
      <c r="O1150" s="1750"/>
      <c r="P1150" s="1750" t="str">
        <f>'Part VII-Threshold Criteria'!P278</f>
        <v>Agree</v>
      </c>
      <c r="Q1150" s="1750"/>
    </row>
    <row r="1151" spans="1:17" ht="15" customHeight="1">
      <c r="A1151" s="1827"/>
      <c r="B1151" s="2107" t="s">
        <v>1596</v>
      </c>
      <c r="C1151" s="2107"/>
      <c r="D1151" s="2107"/>
      <c r="E1151" s="2107"/>
      <c r="F1151" s="2107"/>
      <c r="G1151" s="2107"/>
      <c r="H1151" s="2107"/>
      <c r="I1151" s="2107"/>
      <c r="J1151" s="2107"/>
      <c r="K1151" s="2107"/>
      <c r="L1151" s="2107"/>
      <c r="M1151" s="2107"/>
      <c r="N1151" s="2107"/>
      <c r="O1151" s="2107"/>
      <c r="P1151" s="1750" t="str">
        <f>'Part VII-Threshold Criteria'!P279</f>
        <v>Agree</v>
      </c>
      <c r="Q1151" s="1750"/>
    </row>
    <row r="1152" spans="1:17" ht="14.4">
      <c r="A1152" s="1745"/>
      <c r="B1152" s="2106" t="s">
        <v>1457</v>
      </c>
      <c r="C1152" s="1745"/>
      <c r="D1152" s="2106"/>
      <c r="E1152" s="2106"/>
      <c r="F1152" s="2106"/>
      <c r="G1152" s="2106"/>
      <c r="H1152" s="1745"/>
      <c r="I1152" s="1745"/>
      <c r="J1152" s="1745"/>
      <c r="K1152" s="1745"/>
      <c r="L1152" s="1750"/>
      <c r="M1152" s="1750"/>
      <c r="N1152" s="1750"/>
      <c r="O1152" s="1750"/>
      <c r="P1152" s="1750"/>
      <c r="Q1152" s="1750"/>
    </row>
    <row r="1153" spans="1:17" ht="13.8">
      <c r="A1153" s="2107" t="str">
        <f>'Part VII-Threshold Criteria'!A281</f>
        <v>This project will comply with all Affirmatively Furthering Fair Housing Laws and DCA requirements.</v>
      </c>
      <c r="B1153" s="2107"/>
      <c r="C1153" s="2107"/>
      <c r="D1153" s="2107"/>
      <c r="E1153" s="2107"/>
      <c r="F1153" s="2107"/>
      <c r="G1153" s="2107"/>
      <c r="H1153" s="2107"/>
      <c r="I1153" s="2107"/>
      <c r="J1153" s="2107"/>
      <c r="K1153" s="2107"/>
      <c r="L1153" s="2107"/>
      <c r="M1153" s="2107"/>
      <c r="N1153" s="2107"/>
      <c r="O1153" s="2107"/>
      <c r="P1153" s="2107"/>
      <c r="Q1153" s="2107"/>
    </row>
    <row r="1154" spans="1:17" ht="14.4">
      <c r="A1154" s="1745"/>
      <c r="B1154" s="2106" t="s">
        <v>1453</v>
      </c>
      <c r="C1154" s="2106"/>
      <c r="D1154" s="1745"/>
      <c r="E1154" s="1745"/>
      <c r="F1154" s="1745"/>
      <c r="G1154" s="1745"/>
      <c r="H1154" s="1745"/>
      <c r="I1154" s="1745"/>
      <c r="J1154" s="1745"/>
      <c r="K1154" s="1745"/>
      <c r="L1154" s="1745"/>
      <c r="M1154" s="1745"/>
      <c r="N1154" s="1745"/>
      <c r="O1154" s="1745"/>
      <c r="P1154" s="1745"/>
      <c r="Q1154" s="1745"/>
    </row>
    <row r="1155" spans="1:17" ht="13.8">
      <c r="A1155" s="1745"/>
      <c r="B1155" s="1745"/>
      <c r="C1155" s="1745"/>
      <c r="D1155" s="1745"/>
      <c r="E1155" s="1745"/>
      <c r="F1155" s="1745"/>
      <c r="G1155" s="1745"/>
      <c r="H1155" s="1745"/>
      <c r="I1155" s="1745"/>
      <c r="J1155" s="1745"/>
      <c r="K1155" s="1745"/>
      <c r="L1155" s="1745"/>
      <c r="M1155" s="1745"/>
      <c r="N1155" s="1745"/>
      <c r="O1155" s="1745"/>
      <c r="P1155" s="1745"/>
      <c r="Q1155" s="1745"/>
    </row>
    <row r="1156" spans="1:17" ht="13.8">
      <c r="A1156" s="1750"/>
      <c r="B1156" s="1745"/>
      <c r="C1156" s="1745"/>
      <c r="D1156" s="1745"/>
      <c r="E1156" s="1745"/>
      <c r="F1156" s="1745"/>
      <c r="G1156" s="1745"/>
      <c r="H1156" s="1745"/>
      <c r="I1156" s="1745"/>
      <c r="J1156" s="1745"/>
      <c r="K1156" s="1745"/>
      <c r="L1156" s="1745"/>
      <c r="M1156" s="1745"/>
      <c r="N1156" s="1745"/>
      <c r="O1156" s="1745"/>
      <c r="P1156" s="1745"/>
      <c r="Q1156" s="1750"/>
    </row>
    <row r="1157" spans="1:17" ht="13.8">
      <c r="A1157" s="1748"/>
      <c r="B1157" s="1747"/>
      <c r="C1157" s="1746"/>
      <c r="D1157" s="1746"/>
      <c r="E1157" s="1746"/>
      <c r="F1157" s="1746"/>
      <c r="G1157" s="1746"/>
      <c r="H1157" s="1746"/>
      <c r="I1157" s="1746"/>
      <c r="J1157" s="1746"/>
      <c r="K1157" s="1746"/>
      <c r="L1157" s="1746"/>
      <c r="M1157" s="1746"/>
      <c r="N1157" s="1745"/>
      <c r="O1157" s="1745"/>
      <c r="P1157" s="1745"/>
      <c r="Q1157" s="1748"/>
    </row>
    <row r="1158" spans="1:17" ht="13.8">
      <c r="A1158" s="2104" t="s">
        <v>1593</v>
      </c>
      <c r="B1158" s="2104" t="s">
        <v>1598</v>
      </c>
      <c r="C1158" s="1746"/>
      <c r="D1158" s="1746"/>
      <c r="E1158" s="1746"/>
      <c r="F1158" s="1746"/>
      <c r="G1158" s="1746"/>
      <c r="H1158" s="1746"/>
      <c r="I1158" s="1746"/>
      <c r="J1158" s="1746"/>
      <c r="K1158" s="1746"/>
      <c r="L1158" s="1746"/>
      <c r="M1158" s="1746"/>
      <c r="N1158" s="1745"/>
      <c r="O1158" s="2105" t="s">
        <v>1451</v>
      </c>
      <c r="P1158" s="1750"/>
      <c r="Q1158" s="1750"/>
    </row>
    <row r="1159" spans="1:17" ht="13.8">
      <c r="A1159" s="1827" t="s">
        <v>186</v>
      </c>
      <c r="B1159" s="2104" t="s">
        <v>1599</v>
      </c>
      <c r="C1159" s="2104"/>
      <c r="D1159" s="1746"/>
      <c r="E1159" s="1746"/>
      <c r="F1159" s="1746"/>
      <c r="G1159" s="1746"/>
      <c r="H1159" s="1746"/>
      <c r="I1159" s="1746"/>
      <c r="J1159" s="1746"/>
      <c r="K1159" s="1746"/>
      <c r="L1159" s="1746"/>
      <c r="M1159" s="1746"/>
      <c r="N1159" s="1745"/>
      <c r="O1159" s="1745"/>
      <c r="P1159" s="1750" t="str">
        <f>'Part VII-Threshold Criteria'!P287</f>
        <v>Agree</v>
      </c>
      <c r="Q1159" s="2114"/>
    </row>
    <row r="1160" spans="1:17" ht="14.25" customHeight="1">
      <c r="A1160" s="1746"/>
      <c r="B1160" s="2107" t="s">
        <v>7591</v>
      </c>
      <c r="C1160" s="2107"/>
      <c r="D1160" s="2107"/>
      <c r="E1160" s="2107"/>
      <c r="F1160" s="2107"/>
      <c r="G1160" s="2107"/>
      <c r="H1160" s="2107"/>
      <c r="I1160" s="2107"/>
      <c r="J1160" s="2107"/>
      <c r="K1160" s="2107"/>
      <c r="L1160" s="2107"/>
      <c r="M1160" s="2107"/>
      <c r="N1160" s="2107"/>
      <c r="O1160" s="2107"/>
      <c r="P1160" s="1750">
        <f>'Part VII-Threshold Criteria'!P288</f>
        <v>0</v>
      </c>
      <c r="Q1160" s="2114"/>
    </row>
    <row r="1161" spans="1:17" ht="13.8">
      <c r="A1161" s="1827" t="s">
        <v>198</v>
      </c>
      <c r="B1161" s="1750" t="s">
        <v>1601</v>
      </c>
      <c r="C1161" s="1745"/>
      <c r="D1161" s="1745"/>
      <c r="E1161" s="1745"/>
      <c r="F1161" s="1745"/>
      <c r="G1161" s="1745"/>
      <c r="H1161" s="1745"/>
      <c r="I1161" s="1745"/>
      <c r="J1161" s="1745"/>
      <c r="K1161" s="1745"/>
      <c r="L1161" s="1745"/>
      <c r="M1161" s="1745"/>
      <c r="N1161" s="1745"/>
      <c r="O1161" s="1745"/>
      <c r="P1161" s="1750" t="str">
        <f>'Part VII-Threshold Criteria'!P289</f>
        <v>Agree</v>
      </c>
      <c r="Q1161" s="2114"/>
    </row>
    <row r="1162" spans="1:17" ht="14.25" customHeight="1">
      <c r="A1162" s="1746"/>
      <c r="B1162" s="2107" t="s">
        <v>7592</v>
      </c>
      <c r="C1162" s="2107"/>
      <c r="D1162" s="2107"/>
      <c r="E1162" s="2107"/>
      <c r="F1162" s="2107"/>
      <c r="G1162" s="2107"/>
      <c r="H1162" s="2107"/>
      <c r="I1162" s="2107"/>
      <c r="J1162" s="2107"/>
      <c r="K1162" s="2107"/>
      <c r="L1162" s="2107"/>
      <c r="M1162" s="2107"/>
      <c r="N1162" s="2107"/>
      <c r="O1162" s="2107"/>
      <c r="P1162" s="1750">
        <f>'Part VII-Threshold Criteria'!P290</f>
        <v>0</v>
      </c>
      <c r="Q1162" s="2114"/>
    </row>
    <row r="1163" spans="1:17" ht="14.4">
      <c r="A1163" s="2104"/>
      <c r="B1163" s="2106" t="s">
        <v>1457</v>
      </c>
      <c r="C1163" s="1745"/>
      <c r="D1163" s="2106"/>
      <c r="E1163" s="2106"/>
      <c r="F1163" s="2106"/>
      <c r="G1163" s="2106"/>
      <c r="H1163" s="1745"/>
      <c r="I1163" s="1745"/>
      <c r="J1163" s="1745"/>
      <c r="K1163" s="1745"/>
      <c r="L1163" s="1750"/>
      <c r="M1163" s="1750"/>
      <c r="N1163" s="1750"/>
      <c r="O1163" s="1750"/>
      <c r="P1163" s="1750"/>
      <c r="Q1163" s="1750"/>
    </row>
    <row r="1164" spans="1:17" ht="13.8">
      <c r="A1164" s="2107" t="str">
        <f>'Part VII-Threshold Criteria'!A292</f>
        <v>This project will comply with all Supportive Housing Requirements and DCA requirements.</v>
      </c>
      <c r="B1164" s="2107"/>
      <c r="C1164" s="2107"/>
      <c r="D1164" s="2107"/>
      <c r="E1164" s="2107"/>
      <c r="F1164" s="2107"/>
      <c r="G1164" s="2107"/>
      <c r="H1164" s="2107"/>
      <c r="I1164" s="2107"/>
      <c r="J1164" s="2107"/>
      <c r="K1164" s="2107"/>
      <c r="L1164" s="2107"/>
      <c r="M1164" s="2107"/>
      <c r="N1164" s="2107"/>
      <c r="O1164" s="2107"/>
      <c r="P1164" s="2107"/>
      <c r="Q1164" s="2107"/>
    </row>
    <row r="1165" spans="1:17" ht="14.4">
      <c r="A1165" s="1745"/>
      <c r="B1165" s="2106" t="s">
        <v>1453</v>
      </c>
      <c r="C1165" s="2106"/>
      <c r="D1165" s="1745"/>
      <c r="E1165" s="1745"/>
      <c r="F1165" s="1745"/>
      <c r="G1165" s="1745"/>
      <c r="H1165" s="1745"/>
      <c r="I1165" s="1745"/>
      <c r="J1165" s="1745"/>
      <c r="K1165" s="1745"/>
      <c r="L1165" s="1745"/>
      <c r="M1165" s="1745"/>
      <c r="N1165" s="1745"/>
      <c r="O1165" s="1745"/>
      <c r="P1165" s="1745"/>
      <c r="Q1165" s="1745"/>
    </row>
    <row r="1166" spans="1:17" ht="13.8">
      <c r="A1166" s="1745"/>
      <c r="B1166" s="1745"/>
      <c r="C1166" s="1745"/>
      <c r="D1166" s="1745"/>
      <c r="E1166" s="1745"/>
      <c r="F1166" s="1745"/>
      <c r="G1166" s="1745"/>
      <c r="H1166" s="1745"/>
      <c r="I1166" s="1745"/>
      <c r="J1166" s="1745"/>
      <c r="K1166" s="1745"/>
      <c r="L1166" s="1745"/>
      <c r="M1166" s="1745"/>
      <c r="N1166" s="1745"/>
      <c r="O1166" s="1745"/>
      <c r="P1166" s="1745"/>
      <c r="Q1166" s="1745"/>
    </row>
    <row r="1167" spans="1:17" ht="13.8">
      <c r="A1167" s="1750"/>
      <c r="B1167" s="1745"/>
      <c r="C1167" s="1745"/>
      <c r="D1167" s="1745"/>
      <c r="E1167" s="1745"/>
      <c r="F1167" s="1745"/>
      <c r="G1167" s="1745"/>
      <c r="H1167" s="1745"/>
      <c r="I1167" s="1745"/>
      <c r="J1167" s="1745"/>
      <c r="K1167" s="1745"/>
      <c r="L1167" s="1745"/>
      <c r="M1167" s="1745"/>
      <c r="N1167" s="1745"/>
      <c r="O1167" s="1745"/>
      <c r="P1167" s="1745"/>
      <c r="Q1167" s="1750"/>
    </row>
    <row r="1168" spans="1:17" ht="13.8">
      <c r="A1168" s="2104"/>
      <c r="B1168" s="1747"/>
      <c r="C1168" s="1746"/>
      <c r="D1168" s="1746"/>
      <c r="E1168" s="1746"/>
      <c r="F1168" s="1746"/>
      <c r="G1168" s="1746"/>
      <c r="H1168" s="1746"/>
      <c r="I1168" s="1746"/>
      <c r="J1168" s="1746"/>
      <c r="K1168" s="1746"/>
      <c r="L1168" s="1746"/>
      <c r="M1168" s="1746"/>
      <c r="N1168" s="1745"/>
      <c r="O1168" s="1745"/>
      <c r="P1168" s="1745"/>
      <c r="Q1168" s="1748"/>
    </row>
    <row r="1169" spans="1:17" ht="13.8">
      <c r="A1169" s="2104" t="s">
        <v>1597</v>
      </c>
      <c r="B1169" s="2104" t="s">
        <v>1604</v>
      </c>
      <c r="C1169" s="1746"/>
      <c r="D1169" s="1746"/>
      <c r="E1169" s="1746"/>
      <c r="F1169" s="1746"/>
      <c r="G1169" s="1746"/>
      <c r="H1169" s="1746"/>
      <c r="I1169" s="1746"/>
      <c r="J1169" s="1746"/>
      <c r="K1169" s="1746"/>
      <c r="L1169" s="1746"/>
      <c r="M1169" s="1746"/>
      <c r="N1169" s="1745"/>
      <c r="O1169" s="2105" t="s">
        <v>1451</v>
      </c>
      <c r="P1169" s="1750"/>
      <c r="Q1169" s="1750"/>
    </row>
    <row r="1170" spans="1:17" ht="15" customHeight="1">
      <c r="A1170" s="2104"/>
      <c r="B1170" s="1745" t="s">
        <v>7593</v>
      </c>
      <c r="C1170" s="1745"/>
      <c r="D1170" s="1745"/>
      <c r="E1170" s="1745"/>
      <c r="F1170" s="1745"/>
      <c r="G1170" s="1745"/>
      <c r="H1170" s="1745"/>
      <c r="I1170" s="1745"/>
      <c r="J1170" s="1745"/>
      <c r="K1170" s="1745"/>
      <c r="L1170" s="1745"/>
      <c r="M1170" s="1745"/>
      <c r="N1170" s="1745"/>
      <c r="O1170" s="1745"/>
      <c r="P1170" s="1750" t="str">
        <f>'Part VII-Threshold Criteria'!P298</f>
        <v>Yes</v>
      </c>
      <c r="Q1170" s="1750"/>
    </row>
    <row r="1171" spans="1:17" ht="14.4">
      <c r="A1171" s="2104"/>
      <c r="B1171" s="2106" t="s">
        <v>1457</v>
      </c>
      <c r="C1171" s="1745"/>
      <c r="D1171" s="2106"/>
      <c r="E1171" s="2106"/>
      <c r="F1171" s="2106"/>
      <c r="G1171" s="2106"/>
      <c r="H1171" s="1745"/>
      <c r="I1171" s="1745"/>
      <c r="J1171" s="1745"/>
      <c r="K1171" s="1745"/>
      <c r="L1171" s="1750"/>
      <c r="M1171" s="1750"/>
      <c r="N1171" s="1750"/>
      <c r="O1171" s="1750"/>
      <c r="P1171" s="1750"/>
      <c r="Q1171" s="1750"/>
    </row>
    <row r="1172" spans="1:17" ht="13.8">
      <c r="A1172" s="2107" t="str">
        <f>'Part VII-Threshold Criteria'!A300</f>
        <v>This project will comply with all DCA requirements that pertain to Tenant Selection.</v>
      </c>
      <c r="B1172" s="2107"/>
      <c r="C1172" s="2107"/>
      <c r="D1172" s="2107"/>
      <c r="E1172" s="2107"/>
      <c r="F1172" s="2107"/>
      <c r="G1172" s="2107"/>
      <c r="H1172" s="2107"/>
      <c r="I1172" s="2107"/>
      <c r="J1172" s="2107"/>
      <c r="K1172" s="2107"/>
      <c r="L1172" s="2107"/>
      <c r="M1172" s="2107"/>
      <c r="N1172" s="2107"/>
      <c r="O1172" s="2107"/>
      <c r="P1172" s="2107"/>
      <c r="Q1172" s="2107"/>
    </row>
    <row r="1173" spans="1:17" ht="14.4">
      <c r="A1173" s="1745"/>
      <c r="B1173" s="2106" t="s">
        <v>1453</v>
      </c>
      <c r="C1173" s="2106"/>
      <c r="D1173" s="1745"/>
      <c r="E1173" s="1745"/>
      <c r="F1173" s="1745"/>
      <c r="G1173" s="1745"/>
      <c r="H1173" s="1745"/>
      <c r="I1173" s="1745"/>
      <c r="J1173" s="1745"/>
      <c r="K1173" s="1745"/>
      <c r="L1173" s="1745"/>
      <c r="M1173" s="1745"/>
      <c r="N1173" s="1745"/>
      <c r="O1173" s="1745"/>
      <c r="P1173" s="1745"/>
      <c r="Q1173" s="1745"/>
    </row>
    <row r="1174" spans="1:17" ht="13.8">
      <c r="A1174" s="1745"/>
      <c r="B1174" s="1745"/>
      <c r="C1174" s="1745"/>
      <c r="D1174" s="1745"/>
      <c r="E1174" s="1745"/>
      <c r="F1174" s="1745"/>
      <c r="G1174" s="1745"/>
      <c r="H1174" s="1745"/>
      <c r="I1174" s="1745"/>
      <c r="J1174" s="1745"/>
      <c r="K1174" s="1745"/>
      <c r="L1174" s="1745"/>
      <c r="M1174" s="1745"/>
      <c r="N1174" s="1745"/>
      <c r="O1174" s="1745"/>
      <c r="P1174" s="1745"/>
      <c r="Q1174" s="1745"/>
    </row>
    <row r="1175" spans="1:17" ht="13.8">
      <c r="A1175" s="1750"/>
      <c r="B1175" s="1745"/>
      <c r="C1175" s="1745"/>
      <c r="D1175" s="1745"/>
      <c r="E1175" s="1745"/>
      <c r="F1175" s="1745"/>
      <c r="G1175" s="1745"/>
      <c r="H1175" s="1745"/>
      <c r="I1175" s="1745"/>
      <c r="J1175" s="1745"/>
      <c r="K1175" s="1745"/>
      <c r="L1175" s="1745"/>
      <c r="M1175" s="1745"/>
      <c r="N1175" s="1745"/>
      <c r="O1175" s="1745"/>
      <c r="P1175" s="1745"/>
      <c r="Q1175" s="1750"/>
    </row>
    <row r="1176" spans="1:17" ht="13.8">
      <c r="A1176" s="2104"/>
      <c r="B1176" s="1747"/>
      <c r="C1176" s="1746"/>
      <c r="D1176" s="1746"/>
      <c r="E1176" s="1746"/>
      <c r="F1176" s="1746"/>
      <c r="G1176" s="1746"/>
      <c r="H1176" s="1746"/>
      <c r="I1176" s="1746"/>
      <c r="J1176" s="1746"/>
      <c r="K1176" s="1746"/>
      <c r="L1176" s="1746"/>
      <c r="M1176" s="1746"/>
      <c r="N1176" s="1745"/>
      <c r="O1176" s="1745"/>
      <c r="P1176" s="1745"/>
      <c r="Q1176" s="1748"/>
    </row>
    <row r="1177" spans="1:17" ht="13.8">
      <c r="A1177" s="2104" t="s">
        <v>1603</v>
      </c>
      <c r="B1177" s="1750" t="s">
        <v>1607</v>
      </c>
      <c r="C1177" s="1745"/>
      <c r="D1177" s="1750"/>
      <c r="E1177" s="1746"/>
      <c r="F1177" s="1746"/>
      <c r="G1177" s="1746"/>
      <c r="H1177" s="1746"/>
      <c r="I1177" s="1745"/>
      <c r="J1177" s="1746"/>
      <c r="K1177" s="1746"/>
      <c r="L1177" s="1746"/>
      <c r="M1177" s="1746"/>
      <c r="N1177" s="1745"/>
      <c r="O1177" s="2105" t="s">
        <v>1451</v>
      </c>
      <c r="P1177" s="1750"/>
      <c r="Q1177" s="1750"/>
    </row>
    <row r="1178" spans="1:17" ht="15" customHeight="1">
      <c r="A1178" s="2104"/>
      <c r="B1178" s="1745" t="s">
        <v>1608</v>
      </c>
      <c r="C1178" s="1745"/>
      <c r="D1178" s="1745"/>
      <c r="E1178" s="1745"/>
      <c r="F1178" s="1745"/>
      <c r="G1178" s="1745"/>
      <c r="H1178" s="1745"/>
      <c r="I1178" s="1745"/>
      <c r="J1178" s="1745"/>
      <c r="K1178" s="1745"/>
      <c r="L1178" s="1745"/>
      <c r="M1178" s="1745"/>
      <c r="N1178" s="1745"/>
      <c r="O1178" s="1745"/>
      <c r="P1178" s="1750" t="str">
        <f>'Part VII-Threshold Criteria'!P306</f>
        <v>Yes</v>
      </c>
      <c r="Q1178" s="1750"/>
    </row>
    <row r="1179" spans="1:17" ht="15" customHeight="1">
      <c r="A1179" s="2104"/>
      <c r="B1179" s="2107" t="s">
        <v>1609</v>
      </c>
      <c r="C1179" s="2107"/>
      <c r="D1179" s="2107"/>
      <c r="E1179" s="2107"/>
      <c r="F1179" s="2107"/>
      <c r="G1179" s="2107"/>
      <c r="H1179" s="2107"/>
      <c r="I1179" s="2107"/>
      <c r="J1179" s="2107"/>
      <c r="K1179" s="2107"/>
      <c r="L1179" s="2107"/>
      <c r="M1179" s="2107"/>
      <c r="N1179" s="2107"/>
      <c r="O1179" s="2107"/>
      <c r="P1179" s="1750" t="str">
        <f>'Part VII-Threshold Criteria'!P307</f>
        <v>Yes</v>
      </c>
      <c r="Q1179" s="2114"/>
    </row>
    <row r="1180" spans="1:17" ht="14.4">
      <c r="A1180" s="2104"/>
      <c r="B1180" s="2106" t="s">
        <v>1457</v>
      </c>
      <c r="C1180" s="1745"/>
      <c r="D1180" s="2106"/>
      <c r="E1180" s="2106"/>
      <c r="F1180" s="2106"/>
      <c r="G1180" s="2106"/>
      <c r="H1180" s="1745"/>
      <c r="I1180" s="1745"/>
      <c r="J1180" s="1745"/>
      <c r="K1180" s="1745"/>
      <c r="L1180" s="1750"/>
      <c r="M1180" s="1750"/>
      <c r="N1180" s="1750"/>
      <c r="O1180" s="1750"/>
      <c r="P1180" s="1750"/>
      <c r="Q1180" s="1750"/>
    </row>
    <row r="1181" spans="1:17" ht="13.8">
      <c r="A1181" s="2107" t="str">
        <f>'Part VII-Threshold Criteria'!A309</f>
        <v>This project will comply with all DCA requirements that pertain to the DCA PBRA Agreement section.</v>
      </c>
      <c r="B1181" s="2107"/>
      <c r="C1181" s="2107"/>
      <c r="D1181" s="2107"/>
      <c r="E1181" s="2107"/>
      <c r="F1181" s="2107"/>
      <c r="G1181" s="2107"/>
      <c r="H1181" s="2107"/>
      <c r="I1181" s="2107"/>
      <c r="J1181" s="2107"/>
      <c r="K1181" s="2107"/>
      <c r="L1181" s="2107"/>
      <c r="M1181" s="2107"/>
      <c r="N1181" s="2107"/>
      <c r="O1181" s="2107"/>
      <c r="P1181" s="2107"/>
      <c r="Q1181" s="2107"/>
    </row>
    <row r="1182" spans="1:17" ht="14.4">
      <c r="A1182" s="1745"/>
      <c r="B1182" s="2106" t="s">
        <v>1453</v>
      </c>
      <c r="C1182" s="2106"/>
      <c r="D1182" s="1745"/>
      <c r="E1182" s="1745"/>
      <c r="F1182" s="1745"/>
      <c r="G1182" s="1745"/>
      <c r="H1182" s="1745"/>
      <c r="I1182" s="1745"/>
      <c r="J1182" s="1745"/>
      <c r="K1182" s="1745"/>
      <c r="L1182" s="1745"/>
      <c r="M1182" s="1745"/>
      <c r="N1182" s="1745"/>
      <c r="O1182" s="1745"/>
      <c r="P1182" s="1745"/>
      <c r="Q1182" s="1745"/>
    </row>
    <row r="1183" spans="1:17" ht="13.8">
      <c r="A1183" s="1745"/>
      <c r="B1183" s="1745"/>
      <c r="C1183" s="1745"/>
      <c r="D1183" s="1745"/>
      <c r="E1183" s="1745"/>
      <c r="F1183" s="1745"/>
      <c r="G1183" s="1745"/>
      <c r="H1183" s="1745"/>
      <c r="I1183" s="1745"/>
      <c r="J1183" s="1745"/>
      <c r="K1183" s="1745"/>
      <c r="L1183" s="1745"/>
      <c r="M1183" s="1745"/>
      <c r="N1183" s="1745"/>
      <c r="O1183" s="1745"/>
      <c r="P1183" s="1745"/>
      <c r="Q1183" s="1745"/>
    </row>
    <row r="1184" spans="1:17" ht="13.8">
      <c r="A1184" s="1750"/>
      <c r="B1184" s="1745"/>
      <c r="C1184" s="1745"/>
      <c r="D1184" s="1745"/>
      <c r="E1184" s="1745"/>
      <c r="F1184" s="1745"/>
      <c r="G1184" s="1745"/>
      <c r="H1184" s="1745"/>
      <c r="I1184" s="1745"/>
      <c r="J1184" s="1745"/>
      <c r="K1184" s="1745"/>
      <c r="L1184" s="1745"/>
      <c r="M1184" s="1745"/>
      <c r="N1184" s="1745"/>
      <c r="O1184" s="1745"/>
      <c r="P1184" s="1745"/>
      <c r="Q1184" s="1750"/>
    </row>
    <row r="1185" spans="1:32" ht="13.8">
      <c r="A1185" s="2104"/>
      <c r="B1185" s="1747"/>
      <c r="C1185" s="1746"/>
      <c r="D1185" s="1746"/>
      <c r="E1185" s="1746"/>
      <c r="F1185" s="1746"/>
      <c r="G1185" s="1746"/>
      <c r="H1185" s="1746"/>
      <c r="I1185" s="1746"/>
      <c r="J1185" s="1746"/>
      <c r="K1185" s="1746"/>
      <c r="L1185" s="1746"/>
      <c r="M1185" s="1746"/>
      <c r="N1185" s="1745"/>
      <c r="O1185" s="1745"/>
      <c r="P1185" s="1745"/>
      <c r="Q1185" s="1748"/>
    </row>
    <row r="1186" spans="1:32" ht="13.8">
      <c r="A1186" s="2104" t="s">
        <v>1606</v>
      </c>
      <c r="B1186" s="1750" t="s">
        <v>1614</v>
      </c>
      <c r="C1186" s="1745"/>
      <c r="D1186" s="1750"/>
      <c r="E1186" s="1746"/>
      <c r="F1186" s="1746"/>
      <c r="G1186" s="1746"/>
      <c r="H1186" s="1746"/>
      <c r="I1186" s="1745"/>
      <c r="J1186" s="1746"/>
      <c r="K1186" s="1746"/>
      <c r="L1186" s="1746"/>
      <c r="M1186" s="1746"/>
      <c r="N1186" s="1745"/>
      <c r="O1186" s="2105" t="s">
        <v>1451</v>
      </c>
      <c r="P1186" s="1750"/>
      <c r="Q1186" s="1750"/>
    </row>
    <row r="1187" spans="1:32" ht="14.4">
      <c r="A1187" s="2104"/>
      <c r="B1187" s="2110" t="s">
        <v>1457</v>
      </c>
      <c r="C1187" s="1745"/>
      <c r="D1187" s="2110"/>
      <c r="E1187" s="2110"/>
      <c r="F1187" s="2110"/>
      <c r="G1187" s="2110"/>
      <c r="H1187" s="1746"/>
      <c r="I1187" s="1747"/>
      <c r="J1187" s="1747"/>
      <c r="K1187" s="1747"/>
      <c r="L1187" s="1748"/>
      <c r="M1187" s="1748"/>
      <c r="N1187" s="1748"/>
      <c r="O1187" s="1748"/>
      <c r="P1187" s="1750"/>
      <c r="Q1187" s="1750"/>
    </row>
    <row r="1188" spans="1:32" ht="13.8">
      <c r="A1188" s="2107" t="str">
        <f>'Part VII-Threshold Criteria'!A322</f>
        <v>The owners will ensure the complete, effective, efficient, and lawful utilization of the low income housing tax credits if awarded by DCA.</v>
      </c>
      <c r="B1188" s="2107"/>
      <c r="C1188" s="2107"/>
      <c r="D1188" s="2107"/>
      <c r="E1188" s="2107"/>
      <c r="F1188" s="2107"/>
      <c r="G1188" s="2107"/>
      <c r="H1188" s="2107"/>
      <c r="I1188" s="2107"/>
      <c r="J1188" s="2107"/>
      <c r="K1188" s="2107"/>
      <c r="L1188" s="2107"/>
      <c r="M1188" s="2107"/>
      <c r="N1188" s="2107"/>
      <c r="O1188" s="2107"/>
      <c r="P1188" s="2107"/>
      <c r="Q1188" s="2107"/>
    </row>
    <row r="1189" spans="1:32" ht="14.4">
      <c r="A1189" s="1745"/>
      <c r="B1189" s="2106" t="s">
        <v>1453</v>
      </c>
      <c r="C1189" s="2106"/>
      <c r="D1189" s="1745"/>
      <c r="E1189" s="1745"/>
      <c r="F1189" s="1745"/>
      <c r="G1189" s="1745"/>
      <c r="H1189" s="1745"/>
      <c r="I1189" s="1745"/>
      <c r="J1189" s="1745"/>
      <c r="K1189" s="1745"/>
      <c r="L1189" s="1745"/>
      <c r="M1189" s="1745"/>
      <c r="N1189" s="1745"/>
      <c r="O1189" s="1745"/>
      <c r="P1189" s="1745"/>
      <c r="Q1189" s="1745"/>
    </row>
    <row r="1190" spans="1:32" ht="13.8">
      <c r="A1190" s="1745"/>
      <c r="B1190" s="1745"/>
      <c r="C1190" s="1745"/>
      <c r="D1190" s="1745"/>
      <c r="E1190" s="1745"/>
      <c r="F1190" s="1745"/>
      <c r="G1190" s="1745"/>
      <c r="H1190" s="1745"/>
      <c r="I1190" s="1745"/>
      <c r="J1190" s="1745"/>
      <c r="K1190" s="1745"/>
      <c r="L1190" s="1745"/>
      <c r="M1190" s="1745"/>
      <c r="N1190" s="1745"/>
      <c r="O1190" s="1745"/>
      <c r="P1190" s="1745"/>
      <c r="Q1190" s="1745"/>
    </row>
    <row r="1195" spans="1:32" ht="13.8">
      <c r="A1195" s="1445" t="str">
        <f>CONCATENATE("PART EIGHT - SCORING CRITERIA","  -  ",'Part I-Project Identification'!$O$7," ",'Part I-Project Identification'!$F$27,", ",'Part I-Project Identification'!F1218,", ",'Part I-Project Identification'!J1218," County")</f>
        <v>PART EIGHT - SCORING CRITERIA  -  2026-0xx The Groves, ,  County</v>
      </c>
      <c r="B1195" s="1445"/>
      <c r="C1195" s="1445"/>
      <c r="D1195" s="1445"/>
      <c r="E1195" s="1445"/>
      <c r="F1195" s="1445"/>
      <c r="G1195" s="1445"/>
      <c r="H1195" s="1445"/>
      <c r="I1195" s="1445"/>
      <c r="J1195" s="1445"/>
      <c r="K1195" s="1445"/>
      <c r="L1195" s="1445"/>
      <c r="M1195" s="1445"/>
      <c r="N1195" s="1445"/>
      <c r="O1195" s="1445"/>
      <c r="P1195" s="1445"/>
      <c r="Q1195" s="1445"/>
      <c r="R1195" s="1445"/>
      <c r="S1195" s="1445"/>
      <c r="T1195" s="1445"/>
      <c r="U1195" s="1445"/>
      <c r="V1195" s="1445"/>
      <c r="W1195" s="1445"/>
      <c r="X1195" s="2136"/>
      <c r="Y1195" s="1463"/>
      <c r="Z1195" s="1463"/>
      <c r="AA1195" s="1463"/>
      <c r="AB1195" s="1463"/>
      <c r="AC1195" s="1463"/>
      <c r="AD1195" s="1463"/>
      <c r="AE1195" s="1463"/>
      <c r="AF1195" s="1463"/>
    </row>
    <row r="1196" spans="1:32" ht="13.8">
      <c r="A1196" s="1446"/>
      <c r="B1196" s="1446"/>
      <c r="C1196" s="2137"/>
      <c r="D1196" s="1446"/>
      <c r="E1196" s="1446"/>
      <c r="F1196" s="1446"/>
      <c r="G1196" s="1446"/>
      <c r="H1196" s="1446"/>
      <c r="I1196" s="1446"/>
      <c r="J1196" s="1446"/>
      <c r="K1196" s="1446"/>
      <c r="L1196" s="1446"/>
      <c r="M1196" s="1446"/>
      <c r="N1196" s="1446"/>
      <c r="O1196" s="1445"/>
      <c r="P1196" s="1445"/>
      <c r="Q1196" s="1445"/>
      <c r="R1196" s="1445"/>
      <c r="S1196" s="1445"/>
      <c r="T1196" s="1445"/>
      <c r="U1196" s="1445"/>
      <c r="V1196" s="1445"/>
      <c r="W1196" s="1445"/>
      <c r="X1196" s="2136"/>
      <c r="Y1196" s="1463"/>
      <c r="Z1196" s="1463"/>
      <c r="AA1196" s="1463"/>
      <c r="AB1196" s="1463"/>
      <c r="AC1196" s="1463"/>
      <c r="AD1196" s="1463"/>
      <c r="AE1196" s="1463"/>
      <c r="AF1196" s="1463"/>
    </row>
    <row r="1197" spans="1:32" ht="15" customHeight="1">
      <c r="A1197" s="2138" t="s">
        <v>1721</v>
      </c>
      <c r="B1197" s="2138"/>
      <c r="C1197" s="2138"/>
      <c r="D1197" s="2138"/>
      <c r="E1197" s="2138"/>
      <c r="F1197" s="2138"/>
      <c r="G1197" s="2138"/>
      <c r="H1197" s="2138"/>
      <c r="I1197" s="2138"/>
      <c r="J1197" s="2138"/>
      <c r="K1197" s="2138"/>
      <c r="L1197" s="2138"/>
      <c r="M1197" s="2567" t="s">
        <v>1722</v>
      </c>
      <c r="N1197" s="1454"/>
      <c r="O1197" s="2567" t="s">
        <v>1723</v>
      </c>
      <c r="P1197" s="2567" t="s">
        <v>1724</v>
      </c>
      <c r="Q1197" s="1445"/>
      <c r="R1197" s="1445"/>
      <c r="S1197" s="1445"/>
      <c r="T1197" s="1445"/>
      <c r="U1197" s="1445"/>
      <c r="V1197" s="1445"/>
      <c r="W1197" s="1445"/>
      <c r="X1197" s="2136"/>
      <c r="Y1197" s="1446"/>
      <c r="Z1197" s="1446"/>
      <c r="AA1197" s="1446"/>
      <c r="AB1197" s="1446"/>
      <c r="AC1197" s="1446"/>
      <c r="AD1197" s="1446"/>
      <c r="AE1197" s="1446"/>
      <c r="AF1197" s="1446"/>
    </row>
    <row r="1198" spans="1:32" ht="15" customHeight="1">
      <c r="A1198" s="2138"/>
      <c r="B1198" s="2138"/>
      <c r="C1198" s="2138"/>
      <c r="D1198" s="2138"/>
      <c r="E1198" s="2138"/>
      <c r="F1198" s="2138"/>
      <c r="G1198" s="2138"/>
      <c r="H1198" s="2138"/>
      <c r="I1198" s="2138"/>
      <c r="J1198" s="2138"/>
      <c r="K1198" s="2138"/>
      <c r="L1198" s="2138"/>
      <c r="M1198" s="2567" t="s">
        <v>1725</v>
      </c>
      <c r="N1198" s="1445"/>
      <c r="O1198" s="2567" t="s">
        <v>1725</v>
      </c>
      <c r="P1198" s="2567" t="s">
        <v>1725</v>
      </c>
      <c r="Q1198" s="1445"/>
      <c r="R1198" s="1445"/>
      <c r="S1198" s="1445"/>
      <c r="T1198" s="1445"/>
      <c r="U1198" s="1445"/>
      <c r="V1198" s="1445"/>
      <c r="W1198" s="1446"/>
      <c r="X1198" s="1446"/>
      <c r="Y1198" s="1446"/>
      <c r="Z1198" s="1446"/>
      <c r="AA1198" s="1446"/>
      <c r="AB1198" s="1446"/>
      <c r="AC1198" s="1446"/>
      <c r="AD1198" s="1446"/>
      <c r="AE1198" s="1446"/>
      <c r="AF1198" s="1446"/>
    </row>
    <row r="1199" spans="1:32" ht="13.8">
      <c r="A1199" s="1446"/>
      <c r="B1199" s="1446"/>
      <c r="C1199" s="1446"/>
      <c r="D1199" s="1446"/>
      <c r="E1199" s="1446"/>
      <c r="F1199" s="1446"/>
      <c r="G1199" s="1446"/>
      <c r="H1199" s="1446"/>
      <c r="I1199" s="1446"/>
      <c r="J1199" s="1446"/>
      <c r="K1199" s="1446"/>
      <c r="L1199" s="1446"/>
      <c r="M1199" s="2569"/>
      <c r="N1199" s="1445"/>
      <c r="O1199" s="2567"/>
      <c r="P1199" s="2569"/>
      <c r="Q1199" s="1445"/>
      <c r="R1199" s="1445"/>
      <c r="S1199" s="1445"/>
      <c r="T1199" s="1445"/>
      <c r="U1199" s="1445"/>
      <c r="V1199" s="1445"/>
      <c r="W1199" s="1446"/>
      <c r="X1199" s="1446"/>
      <c r="Y1199" s="1446"/>
      <c r="Z1199" s="1446"/>
      <c r="AA1199" s="1446"/>
      <c r="AB1199" s="1446"/>
      <c r="AC1199" s="1446"/>
      <c r="AD1199" s="1446"/>
      <c r="AE1199" s="1446"/>
      <c r="AF1199" s="1446"/>
    </row>
    <row r="1200" spans="1:32" ht="13.8">
      <c r="A1200" s="1446"/>
      <c r="B1200" s="2139" t="str">
        <f>'Part I-Project Identification'!$A$6</f>
        <v>May XX, 2026</v>
      </c>
      <c r="C1200" s="2139"/>
      <c r="D1200" s="2139"/>
      <c r="E1200" s="2139"/>
      <c r="F1200" s="2139"/>
      <c r="G1200" s="1446"/>
      <c r="H1200" s="1446"/>
      <c r="I1200" s="1446"/>
      <c r="J1200" s="1446"/>
      <c r="K1200" s="1446"/>
      <c r="L1200" s="2567" t="s">
        <v>1726</v>
      </c>
      <c r="M1200" s="1462"/>
      <c r="N1200" s="2140"/>
      <c r="O1200" s="2141">
        <f>O1602</f>
        <v>73</v>
      </c>
      <c r="P1200" s="2141">
        <f>P1602</f>
        <v>12</v>
      </c>
      <c r="Q1200" s="1445" t="s">
        <v>1727</v>
      </c>
      <c r="R1200" s="1446"/>
      <c r="S1200" s="1446"/>
      <c r="T1200" s="1446"/>
      <c r="U1200" s="1446"/>
      <c r="V1200" s="1446"/>
      <c r="W1200" s="1446"/>
      <c r="X1200" s="1446"/>
      <c r="Y1200" s="1446"/>
      <c r="Z1200" s="1446"/>
      <c r="AA1200" s="1446"/>
      <c r="AB1200" s="1446"/>
      <c r="AC1200" s="1446"/>
      <c r="AD1200" s="1446"/>
      <c r="AE1200" s="1446"/>
      <c r="AF1200" s="1446"/>
    </row>
    <row r="1201" spans="1:32" ht="13.8">
      <c r="A1201" s="1446"/>
      <c r="B1201" s="1445"/>
      <c r="C1201" s="1446"/>
      <c r="D1201" s="1446"/>
      <c r="E1201" s="1446"/>
      <c r="F1201" s="1446"/>
      <c r="G1201" s="1446"/>
      <c r="H1201" s="1446"/>
      <c r="I1201" s="1446"/>
      <c r="J1201" s="1446"/>
      <c r="K1201" s="1446"/>
      <c r="L1201" s="1446"/>
      <c r="M1201" s="1454"/>
      <c r="N1201" s="2568"/>
      <c r="O1201" s="1462"/>
      <c r="P1201" s="2567"/>
      <c r="Q1201" s="1446"/>
      <c r="R1201" s="1446"/>
      <c r="S1201" s="1446"/>
      <c r="T1201" s="1446"/>
      <c r="U1201" s="1446"/>
      <c r="V1201" s="1446"/>
      <c r="W1201" s="1446"/>
      <c r="X1201" s="1446"/>
      <c r="Y1201" s="1446"/>
      <c r="Z1201" s="1463"/>
      <c r="AA1201" s="1463"/>
      <c r="AB1201" s="1463"/>
      <c r="AC1201" s="1463"/>
      <c r="AD1201" s="1463"/>
      <c r="AE1201" s="1463"/>
      <c r="AF1201" s="1463"/>
    </row>
    <row r="1202" spans="1:32" ht="14.4">
      <c r="A1202" s="1730" t="s">
        <v>25</v>
      </c>
      <c r="B1202" s="1731" t="s">
        <v>1728</v>
      </c>
      <c r="C1202" s="1445"/>
      <c r="D1202" s="1446"/>
      <c r="E1202" s="1446"/>
      <c r="F1202" s="1446"/>
      <c r="G1202" s="2142"/>
      <c r="H1202" s="1446"/>
      <c r="I1202" s="2142"/>
      <c r="J1202" s="2142"/>
      <c r="K1202" s="2142"/>
      <c r="L1202" s="2142"/>
      <c r="M1202" s="2142"/>
      <c r="N1202" s="2142"/>
      <c r="O1202" s="2142"/>
      <c r="P1202" s="2142"/>
      <c r="Q1202" s="1446"/>
      <c r="R1202" s="1446"/>
      <c r="S1202" s="1446"/>
      <c r="T1202" s="1446"/>
      <c r="U1202" s="1446"/>
      <c r="V1202" s="1446"/>
      <c r="W1202" s="1446"/>
      <c r="X1202" s="1446"/>
      <c r="Y1202" s="1446"/>
      <c r="Z1202" s="1446"/>
      <c r="AA1202" s="1446"/>
      <c r="AB1202" s="1446"/>
      <c r="AC1202" s="1446"/>
      <c r="AD1202" s="1446"/>
      <c r="AE1202" s="1446"/>
      <c r="AF1202" s="1446"/>
    </row>
    <row r="1203" spans="1:32" ht="13.8">
      <c r="A1203" s="1463"/>
      <c r="B1203" s="1463"/>
      <c r="C1203" s="1463"/>
      <c r="D1203" s="1463"/>
      <c r="E1203" s="1463"/>
      <c r="F1203" s="1463"/>
      <c r="G1203" s="1463"/>
      <c r="H1203" s="1463"/>
      <c r="I1203" s="1463"/>
      <c r="J1203" s="1463"/>
      <c r="K1203" s="1463"/>
      <c r="L1203" s="1463"/>
      <c r="M1203" s="1463"/>
      <c r="N1203" s="2568"/>
      <c r="O1203" s="2569"/>
      <c r="P1203" s="2569"/>
      <c r="Q1203" s="1463"/>
      <c r="R1203" s="1463"/>
      <c r="S1203" s="1463"/>
      <c r="T1203" s="1463"/>
      <c r="U1203" s="1463"/>
      <c r="V1203" s="1463"/>
      <c r="W1203" s="1463"/>
      <c r="X1203" s="1463"/>
      <c r="Y1203" s="1463"/>
      <c r="Z1203" s="1463"/>
      <c r="AA1203" s="1463"/>
      <c r="AB1203" s="1463"/>
      <c r="AC1203" s="1463"/>
      <c r="AD1203" s="1463"/>
      <c r="AE1203" s="1463"/>
      <c r="AF1203" s="1463"/>
    </row>
    <row r="1204" spans="1:32" ht="13.8">
      <c r="A1204" s="2143" t="str">
        <f>IF(OR((D1206-C1206&gt;0),(E1206-C1206&gt;0)),"Points Exceed Max!","")</f>
        <v/>
      </c>
      <c r="B1204" s="2143"/>
      <c r="C1204" s="1463" t="s">
        <v>1729</v>
      </c>
      <c r="D1204" s="1463"/>
      <c r="E1204" s="1463"/>
      <c r="F1204" s="1463"/>
      <c r="G1204" s="1463"/>
      <c r="H1204" s="1463"/>
      <c r="I1204" s="1463"/>
      <c r="J1204" s="1463"/>
      <c r="K1204" s="1463"/>
      <c r="L1204" s="1463"/>
      <c r="M1204" s="1463"/>
      <c r="N1204" s="2568"/>
      <c r="O1204" s="2569"/>
      <c r="P1204" s="1445"/>
      <c r="Q1204" s="1463"/>
      <c r="R1204" s="1463"/>
      <c r="S1204" s="1463"/>
      <c r="T1204" s="1463"/>
      <c r="U1204" s="1463"/>
      <c r="V1204" s="1463"/>
      <c r="W1204" s="1463"/>
      <c r="X1204" s="1463"/>
      <c r="Y1204" s="1463"/>
      <c r="Z1204" s="1463"/>
      <c r="AA1204" s="1463"/>
      <c r="AB1204" s="1463"/>
      <c r="AC1204" s="1463"/>
      <c r="AD1204" s="1463"/>
      <c r="AE1204" s="1463"/>
      <c r="AF1204" s="1463"/>
    </row>
    <row r="1205" spans="1:32" ht="15" customHeight="1">
      <c r="A1205" s="2143"/>
      <c r="B1205" s="2143"/>
      <c r="C1205" s="1454" t="s">
        <v>1722</v>
      </c>
      <c r="D1205" s="1454" t="s">
        <v>1730</v>
      </c>
      <c r="E1205" s="1454" t="s">
        <v>1724</v>
      </c>
      <c r="F1205" s="1445" t="s">
        <v>1731</v>
      </c>
      <c r="G1205" s="1445"/>
      <c r="H1205" s="1445" t="str">
        <f>'Part VIII Scoring Criteria'!M11</f>
        <v>Preservation</v>
      </c>
      <c r="I1205" s="1445"/>
      <c r="J1205" s="1445"/>
      <c r="K1205" s="1445" t="s">
        <v>1733</v>
      </c>
      <c r="L1205" s="1445" t="str">
        <f>'Part VIII Scoring Criteria'!X11</f>
        <v>Rural</v>
      </c>
      <c r="M1205" s="1445"/>
      <c r="N1205" s="1445"/>
      <c r="O1205" s="2569"/>
      <c r="P1205" s="1445"/>
      <c r="Q1205" s="1463"/>
      <c r="R1205" s="1463"/>
      <c r="S1205" s="1463"/>
      <c r="T1205" s="1463"/>
      <c r="U1205" s="1463"/>
      <c r="V1205" s="1463"/>
      <c r="W1205" s="1463"/>
      <c r="X1205" s="1463"/>
      <c r="Y1205" s="1463"/>
      <c r="Z1205" s="1463"/>
      <c r="AA1205" s="1463"/>
      <c r="AB1205" s="1463"/>
      <c r="AC1205" s="1463"/>
      <c r="AD1205" s="1463"/>
      <c r="AE1205" s="1463"/>
      <c r="AF1205" s="1463"/>
    </row>
    <row r="1206" spans="1:32" ht="13.8">
      <c r="A1206" s="2143"/>
      <c r="B1206" s="2143"/>
      <c r="C1206" s="2567">
        <v>33</v>
      </c>
      <c r="D1206" s="2567">
        <f>IF($C$16="4%",O1354+O1363+O1384+O1400+O1432+O1459,0)</f>
        <v>0</v>
      </c>
      <c r="E1206" s="2567">
        <f>IF($C$16="4%",P1354+P1363+P1384+P1400+P1432+P1459,0)</f>
        <v>0</v>
      </c>
      <c r="F1206" s="1445"/>
      <c r="G1206" s="1445"/>
      <c r="H1206" s="1445" t="s">
        <v>1732</v>
      </c>
      <c r="I1206" s="1445"/>
      <c r="J1206" s="1445"/>
      <c r="K1206" s="1445"/>
      <c r="L1206" s="1445" t="s">
        <v>1734</v>
      </c>
      <c r="M1206" s="1445"/>
      <c r="N1206" s="1445"/>
      <c r="O1206" s="2569"/>
      <c r="P1206" s="1445"/>
      <c r="Q1206" s="1463"/>
      <c r="R1206" s="1463"/>
      <c r="S1206" s="1463"/>
      <c r="T1206" s="1463"/>
      <c r="U1206" s="1463"/>
      <c r="V1206" s="1463"/>
      <c r="W1206" s="1463"/>
      <c r="X1206" s="1463"/>
      <c r="Y1206" s="1463"/>
      <c r="Z1206" s="1463"/>
      <c r="AA1206" s="1463"/>
      <c r="AB1206" s="1463"/>
      <c r="AC1206" s="1463"/>
      <c r="AD1206" s="1463"/>
      <c r="AE1206" s="1463"/>
      <c r="AF1206" s="1463"/>
    </row>
    <row r="1207" spans="1:32" ht="13.8">
      <c r="A1207" s="2143"/>
      <c r="B1207" s="2143"/>
      <c r="C1207" s="1445"/>
      <c r="D1207" s="1445"/>
      <c r="E1207" s="1445"/>
      <c r="F1207" s="1445"/>
      <c r="G1207" s="1445"/>
      <c r="H1207" s="1445"/>
      <c r="I1207" s="1445"/>
      <c r="J1207" s="1445"/>
      <c r="K1207" s="1445"/>
      <c r="L1207" s="1445"/>
      <c r="M1207" s="1445"/>
      <c r="N1207" s="1445"/>
      <c r="O1207" s="2569"/>
      <c r="P1207" s="1445"/>
      <c r="Q1207" s="1463"/>
      <c r="R1207" s="1463"/>
      <c r="S1207" s="1463"/>
      <c r="T1207" s="1463"/>
      <c r="U1207" s="1463"/>
      <c r="V1207" s="1463"/>
      <c r="W1207" s="1463"/>
      <c r="X1207" s="1463"/>
      <c r="Y1207" s="1463"/>
      <c r="Z1207" s="1463"/>
      <c r="AA1207" s="1463"/>
      <c r="AB1207" s="1463"/>
      <c r="AC1207" s="1463"/>
      <c r="AD1207" s="1463"/>
      <c r="AE1207" s="1463"/>
      <c r="AF1207" s="1463"/>
    </row>
    <row r="1208" spans="1:32" ht="13.8">
      <c r="A1208" s="1446"/>
      <c r="B1208" s="1445"/>
      <c r="C1208" s="1463"/>
      <c r="D1208" s="1445"/>
      <c r="E1208" s="1446"/>
      <c r="F1208" s="1446"/>
      <c r="G1208" s="2144"/>
      <c r="H1208" s="2144"/>
      <c r="I1208" s="2144"/>
      <c r="J1208" s="2144"/>
      <c r="K1208" s="2144"/>
      <c r="L1208" s="2144"/>
      <c r="M1208" s="1446"/>
      <c r="N1208" s="1463"/>
      <c r="O1208" s="1462"/>
      <c r="P1208" s="2567"/>
      <c r="Q1208" s="1463"/>
      <c r="R1208" s="1463"/>
      <c r="S1208" s="1463"/>
      <c r="T1208" s="1463"/>
      <c r="U1208" s="1463"/>
      <c r="V1208" s="1463"/>
      <c r="W1208" s="1446"/>
      <c r="X1208" s="1739"/>
      <c r="Y1208" s="1739"/>
      <c r="Z1208" s="1739"/>
      <c r="AA1208" s="1739"/>
      <c r="AB1208" s="1739"/>
      <c r="AC1208" s="1739"/>
      <c r="AD1208" s="1739"/>
      <c r="AE1208" s="1739"/>
      <c r="AF1208" s="1739"/>
    </row>
    <row r="1209" spans="1:32" ht="15" customHeight="1">
      <c r="A1209" s="1463"/>
      <c r="B1209" s="1463"/>
      <c r="C1209" s="1445" t="s">
        <v>1735</v>
      </c>
      <c r="D1209" s="1445"/>
      <c r="E1209" s="1463"/>
      <c r="F1209" s="1445" t="s">
        <v>7594</v>
      </c>
      <c r="G1209" s="1445"/>
      <c r="H1209" s="1445" t="str">
        <f>'Part VIII Scoring Criteria'!M15</f>
        <v>&lt;&lt; Select Scoring Track &gt;&gt;</v>
      </c>
      <c r="I1209" s="1445"/>
      <c r="J1209" s="1445"/>
      <c r="K1209" s="1445"/>
      <c r="L1209" s="1445"/>
      <c r="M1209" s="1445"/>
      <c r="N1209" s="1445"/>
      <c r="O1209" s="2569"/>
      <c r="P1209" s="2569"/>
      <c r="Q1209" s="1463"/>
      <c r="R1209" s="1463"/>
      <c r="S1209" s="1463"/>
      <c r="T1209" s="1463"/>
      <c r="U1209" s="1463"/>
      <c r="V1209" s="1463"/>
      <c r="W1209" s="1463"/>
      <c r="X1209" s="1463"/>
      <c r="Y1209" s="1463"/>
      <c r="Z1209" s="1463"/>
      <c r="AA1209" s="1446"/>
      <c r="AB1209" s="1446"/>
      <c r="AC1209" s="1446"/>
      <c r="AD1209" s="1446"/>
      <c r="AE1209" s="1446"/>
      <c r="AF1209" s="1739"/>
    </row>
    <row r="1210" spans="1:32" ht="13.8">
      <c r="A1210" s="1463"/>
      <c r="B1210" s="1463"/>
      <c r="C1210" s="1445" t="str">
        <f>IF(OR('Part I-Project Identification'!$F$12="9% Credit Competitive Round only", 'Part I-Project Identification'!$F$12="9% Credit &amp; HOME"),"9%",IF(OR('Part I-Project Identification'!$F$12="4% Credit/TE Bond", 'Part I-Project Identification'!$F$12="4% Credit/TE Bond &amp; HOME",'Part I-Project Identification'!$F$132="4% Credit/TE Bond &amp; HOME NOFA",'Part I-Project Identification'!$F$12="4% Credit &amp; NHTF", 'Part I-Project Identification'!$F$12="4% Credit &amp; NHTF &amp; HOME"),"4%",""))</f>
        <v/>
      </c>
      <c r="D1210" s="1445"/>
      <c r="E1210" s="1463"/>
      <c r="F1210" s="1445"/>
      <c r="G1210" s="1445"/>
      <c r="H1210" s="1445" t="s">
        <v>1737</v>
      </c>
      <c r="I1210" s="1445"/>
      <c r="J1210" s="1445"/>
      <c r="K1210" s="1445"/>
      <c r="L1210" s="1445"/>
      <c r="M1210" s="1445"/>
      <c r="N1210" s="1445"/>
      <c r="O1210" s="2569"/>
      <c r="P1210" s="2569"/>
      <c r="Q1210" s="1463"/>
      <c r="R1210" s="1463"/>
      <c r="S1210" s="1463"/>
      <c r="T1210" s="1463"/>
      <c r="U1210" s="1463"/>
      <c r="V1210" s="1463"/>
      <c r="W1210" s="1463"/>
      <c r="X1210" s="1463"/>
      <c r="Y1210" s="1463"/>
      <c r="Z1210" s="1463"/>
      <c r="AA1210" s="1446"/>
      <c r="AB1210" s="1446"/>
      <c r="AC1210" s="1446"/>
      <c r="AD1210" s="1446"/>
      <c r="AE1210" s="1446"/>
      <c r="AF1210" s="1739"/>
    </row>
    <row r="1211" spans="1:32" ht="13.8">
      <c r="A1211" s="1463"/>
      <c r="B1211" s="1463"/>
      <c r="C1211" s="1445"/>
      <c r="D1211" s="1463"/>
      <c r="E1211" s="1463"/>
      <c r="F1211" s="1463"/>
      <c r="G1211" s="1463"/>
      <c r="H1211" s="1463"/>
      <c r="I1211" s="1463"/>
      <c r="J1211" s="1463"/>
      <c r="K1211" s="1463"/>
      <c r="L1211" s="1463"/>
      <c r="M1211" s="1463"/>
      <c r="N1211" s="1463"/>
      <c r="O1211" s="2569"/>
      <c r="P1211" s="2569"/>
      <c r="Q1211" s="1446"/>
      <c r="R1211" s="1446"/>
      <c r="S1211" s="1446"/>
      <c r="T1211" s="1446"/>
      <c r="U1211" s="1446"/>
      <c r="V1211" s="1446"/>
      <c r="W1211" s="1446"/>
      <c r="X1211" s="1446"/>
      <c r="Y1211" s="1446"/>
      <c r="Z1211" s="1446"/>
      <c r="AA1211" s="1446"/>
      <c r="AB1211" s="1446"/>
      <c r="AC1211" s="1446"/>
      <c r="AD1211" s="1446"/>
      <c r="AE1211" s="1446"/>
      <c r="AF1211" s="1463"/>
    </row>
    <row r="1212" spans="1:32" ht="47.25" customHeight="1">
      <c r="A1212" s="1463"/>
      <c r="B1212" s="1463"/>
      <c r="C1212" s="2145" t="s">
        <v>1740</v>
      </c>
      <c r="D1212" s="1446" t="s">
        <v>1741</v>
      </c>
      <c r="E1212" s="1446"/>
      <c r="F1212" s="1446"/>
      <c r="G1212" s="1446"/>
      <c r="H1212" s="1446"/>
      <c r="I1212" s="1446"/>
      <c r="J1212" s="1446"/>
      <c r="K1212" s="1446"/>
      <c r="L1212" s="1446"/>
      <c r="M1212" s="1446"/>
      <c r="N1212" s="1446"/>
      <c r="O1212" s="1446"/>
      <c r="P1212" s="1454"/>
      <c r="Q1212" s="1446"/>
      <c r="R1212" s="1446"/>
      <c r="S1212" s="1446"/>
      <c r="T1212" s="1446"/>
      <c r="U1212" s="1446"/>
      <c r="V1212" s="1446"/>
      <c r="W1212" s="1446"/>
      <c r="X1212" s="1446"/>
      <c r="Y1212" s="1446"/>
      <c r="Z1212" s="1446"/>
      <c r="AA1212" s="1446"/>
      <c r="AB1212" s="1446"/>
      <c r="AC1212" s="1446"/>
      <c r="AD1212" s="1446"/>
      <c r="AE1212" s="1446"/>
      <c r="AF1212" s="1463"/>
    </row>
    <row r="1213" spans="1:32" ht="13.8">
      <c r="A1213" s="1463"/>
      <c r="B1213" s="1463"/>
      <c r="C1213" s="1463"/>
      <c r="D1213" s="1463"/>
      <c r="E1213" s="1463"/>
      <c r="F1213" s="1463"/>
      <c r="G1213" s="1463"/>
      <c r="H1213" s="1463"/>
      <c r="I1213" s="1463"/>
      <c r="J1213" s="1463"/>
      <c r="K1213" s="1463"/>
      <c r="L1213" s="1463"/>
      <c r="M1213" s="1463"/>
      <c r="N1213" s="1463"/>
      <c r="O1213" s="2569"/>
      <c r="P1213" s="2569"/>
      <c r="Q1213" s="1446"/>
      <c r="R1213" s="1446"/>
      <c r="S1213" s="1446"/>
      <c r="T1213" s="1446"/>
      <c r="U1213" s="1446"/>
      <c r="V1213" s="1446"/>
      <c r="W1213" s="1446"/>
      <c r="X1213" s="1446"/>
      <c r="Y1213" s="1446"/>
      <c r="Z1213" s="1446"/>
      <c r="AA1213" s="1446"/>
      <c r="AB1213" s="1446"/>
      <c r="AC1213" s="1446"/>
      <c r="AD1213" s="1446"/>
      <c r="AE1213" s="1446"/>
      <c r="AF1213" s="1463"/>
    </row>
    <row r="1214" spans="1:32" ht="13.8">
      <c r="A1214" s="1730" t="s">
        <v>32</v>
      </c>
      <c r="B1214" s="1731" t="s">
        <v>1742</v>
      </c>
      <c r="C1214" s="1463"/>
      <c r="D1214" s="1463"/>
      <c r="E1214" s="1463"/>
      <c r="F1214" s="1463"/>
      <c r="G1214" s="1463"/>
      <c r="H1214" s="1465"/>
      <c r="I1214" s="1463"/>
      <c r="J1214" s="1454"/>
      <c r="K1214" s="1446"/>
      <c r="L1214" s="2146" t="s">
        <v>1743</v>
      </c>
      <c r="M1214" s="2567">
        <v>6</v>
      </c>
      <c r="N1214" s="1454"/>
      <c r="O1214" s="1462">
        <f>'Part VIII Scoring Criteria'!AA23</f>
        <v>6</v>
      </c>
      <c r="P1214" s="1462">
        <f>'Part VIII Scoring Criteria'!AB23</f>
        <v>0</v>
      </c>
      <c r="Q1214" s="2567" t="s">
        <v>1744</v>
      </c>
      <c r="R1214" s="1463"/>
      <c r="S1214" s="1463"/>
      <c r="T1214" s="1731"/>
      <c r="U1214" s="1731"/>
      <c r="V1214" s="1463"/>
      <c r="W1214" s="1463"/>
      <c r="X1214" s="1463"/>
      <c r="Y1214" s="1463"/>
      <c r="Z1214" s="1463"/>
      <c r="AA1214" s="1463"/>
      <c r="AB1214" s="1463"/>
      <c r="AC1214" s="1463"/>
      <c r="AD1214" s="1463"/>
      <c r="AE1214" s="1463"/>
      <c r="AF1214" s="1463"/>
    </row>
    <row r="1215" spans="1:32" ht="13.8">
      <c r="A1215" s="2567" t="s">
        <v>186</v>
      </c>
      <c r="B1215" s="1445" t="s">
        <v>6918</v>
      </c>
      <c r="C1215" s="1446"/>
      <c r="D1215" s="2147"/>
      <c r="E1215" s="2147"/>
      <c r="F1215" s="1446"/>
      <c r="G1215" s="1463"/>
      <c r="H1215" s="1446"/>
      <c r="I1215" s="1446"/>
      <c r="J1215" s="1446"/>
      <c r="K1215" s="1446"/>
      <c r="L1215" s="2148"/>
      <c r="M1215" s="1454">
        <v>5</v>
      </c>
      <c r="N1215" s="1733"/>
      <c r="O1215" s="1462">
        <f>'Part VIII Scoring Criteria'!AA24</f>
        <v>5</v>
      </c>
      <c r="P1215" s="1462">
        <f>'Part VIII Scoring Criteria'!AB24</f>
        <v>0</v>
      </c>
      <c r="Q1215" s="2149"/>
      <c r="R1215" s="2150"/>
      <c r="S1215" s="1446"/>
      <c r="T1215" s="1731"/>
      <c r="U1215" s="1731"/>
      <c r="V1215" s="1446"/>
      <c r="W1215" s="1446"/>
      <c r="X1215" s="1446"/>
      <c r="Y1215" s="1446"/>
      <c r="Z1215" s="1446"/>
      <c r="AA1215" s="1446"/>
      <c r="AB1215" s="1446"/>
      <c r="AC1215" s="1446"/>
      <c r="AD1215" s="1446"/>
      <c r="AE1215" s="1446"/>
      <c r="AF1215" s="1446"/>
    </row>
    <row r="1216" spans="1:32" ht="13.8">
      <c r="A1216" s="2567"/>
      <c r="B1216" s="2151" t="s">
        <v>201</v>
      </c>
      <c r="C1216" s="1465" t="s">
        <v>7595</v>
      </c>
      <c r="D1216" s="2147"/>
      <c r="E1216" s="2147"/>
      <c r="F1216" s="1446"/>
      <c r="G1216" s="1463"/>
      <c r="H1216" s="1446"/>
      <c r="I1216" s="1446"/>
      <c r="J1216" s="1446"/>
      <c r="K1216" s="1446"/>
      <c r="L1216" s="2148"/>
      <c r="M1216" s="1454">
        <v>5</v>
      </c>
      <c r="N1216" s="2152"/>
      <c r="O1216" s="2567" t="str">
        <f>'Part VIII Scoring Criteria'!AA25</f>
        <v>Yes</v>
      </c>
      <c r="P1216" s="2567"/>
      <c r="Q1216" s="2149"/>
      <c r="R1216" s="2150"/>
      <c r="S1216" s="1446"/>
      <c r="T1216" s="1731"/>
      <c r="U1216" s="1731"/>
      <c r="V1216" s="1446"/>
      <c r="W1216" s="1446"/>
      <c r="X1216" s="1446"/>
      <c r="Y1216" s="1446"/>
      <c r="Z1216" s="1446"/>
      <c r="AA1216" s="1446"/>
      <c r="AB1216" s="1446"/>
      <c r="AC1216" s="1446"/>
      <c r="AD1216" s="1446"/>
      <c r="AE1216" s="1446"/>
      <c r="AF1216" s="1446"/>
    </row>
    <row r="1217" spans="1:32" ht="13.8">
      <c r="A1217" s="2567"/>
      <c r="B1217" s="2153" t="s">
        <v>209</v>
      </c>
      <c r="C1217" s="1465" t="s">
        <v>7596</v>
      </c>
      <c r="D1217" s="2147"/>
      <c r="E1217" s="2147"/>
      <c r="F1217" s="1446"/>
      <c r="G1217" s="1463"/>
      <c r="H1217" s="1446"/>
      <c r="I1217" s="1446"/>
      <c r="J1217" s="1446"/>
      <c r="K1217" s="1446"/>
      <c r="L1217" s="2148"/>
      <c r="M1217" s="1454">
        <v>3</v>
      </c>
      <c r="N1217" s="2152"/>
      <c r="O1217" s="2567" t="e">
        <f>'Part VIII Scoring Criteria'!#REF!</f>
        <v>#REF!</v>
      </c>
      <c r="P1217" s="2567"/>
      <c r="Q1217" s="2149"/>
      <c r="R1217" s="2150"/>
      <c r="S1217" s="1446"/>
      <c r="T1217" s="1731"/>
      <c r="U1217" s="1731"/>
      <c r="V1217" s="1446"/>
      <c r="W1217" s="1446"/>
      <c r="X1217" s="1446"/>
      <c r="Y1217" s="1446"/>
      <c r="Z1217" s="1446"/>
      <c r="AA1217" s="1446"/>
      <c r="AB1217" s="1446"/>
      <c r="AC1217" s="1446"/>
      <c r="AD1217" s="1446"/>
      <c r="AE1217" s="1446"/>
      <c r="AF1217" s="1446"/>
    </row>
    <row r="1218" spans="1:32" ht="13.8">
      <c r="A1218" s="2567"/>
      <c r="B1218" s="2153" t="s">
        <v>213</v>
      </c>
      <c r="C1218" s="1465" t="s">
        <v>7597</v>
      </c>
      <c r="D1218" s="2147"/>
      <c r="E1218" s="2147"/>
      <c r="F1218" s="1446"/>
      <c r="G1218" s="1463"/>
      <c r="H1218" s="1446"/>
      <c r="I1218" s="1446"/>
      <c r="J1218" s="1446"/>
      <c r="K1218" s="1733"/>
      <c r="L1218" s="1446"/>
      <c r="M1218" s="1454">
        <v>1</v>
      </c>
      <c r="N1218" s="2152"/>
      <c r="O1218" s="2567" t="e">
        <f>'Part VIII Scoring Criteria'!#REF!</f>
        <v>#REF!</v>
      </c>
      <c r="P1218" s="2567"/>
      <c r="Q1218" s="1446"/>
      <c r="R1218" s="1463"/>
      <c r="S1218" s="1446"/>
      <c r="T1218" s="1731"/>
      <c r="U1218" s="1731"/>
      <c r="V1218" s="1446"/>
      <c r="W1218" s="1446"/>
      <c r="X1218" s="1446"/>
      <c r="Y1218" s="1446"/>
      <c r="Z1218" s="1446"/>
      <c r="AA1218" s="1446"/>
      <c r="AB1218" s="1446"/>
      <c r="AC1218" s="1446"/>
      <c r="AD1218" s="1446"/>
      <c r="AE1218" s="1446"/>
      <c r="AF1218" s="1446"/>
    </row>
    <row r="1219" spans="1:32" ht="13.8">
      <c r="A1219" s="2567" t="s">
        <v>198</v>
      </c>
      <c r="B1219" s="1445" t="s">
        <v>1747</v>
      </c>
      <c r="C1219" s="1463"/>
      <c r="D1219" s="1446"/>
      <c r="E1219" s="1463"/>
      <c r="F1219" s="1463"/>
      <c r="G1219" s="1463"/>
      <c r="H1219" s="1463"/>
      <c r="I1219" s="1463"/>
      <c r="J1219" s="1463"/>
      <c r="K1219" s="1446"/>
      <c r="L1219" s="2148" t="str">
        <f>IF(OR($O1219=$M1219,$O1219=0,$O1219=""),"","* * Check Score! * *")</f>
        <v/>
      </c>
      <c r="M1219" s="1454">
        <v>1</v>
      </c>
      <c r="N1219" s="1733"/>
      <c r="O1219" s="1462">
        <f>'Part VIII Scoring Criteria'!AA26</f>
        <v>0</v>
      </c>
      <c r="P1219" s="1462">
        <f>'Part VIII Scoring Criteria'!AB26</f>
        <v>0</v>
      </c>
      <c r="Q1219" s="2149" t="str">
        <f>IF(OR($O1219=$M1219,$O1219=0,$O1219=""),"","*CHECK!*")</f>
        <v/>
      </c>
      <c r="R1219" s="2150"/>
      <c r="S1219" s="1463"/>
      <c r="T1219" s="1731"/>
      <c r="U1219" s="1731"/>
      <c r="V1219" s="1463"/>
      <c r="W1219" s="1463"/>
      <c r="X1219" s="1463"/>
      <c r="Y1219" s="1463"/>
      <c r="Z1219" s="1463"/>
      <c r="AA1219" s="1463"/>
      <c r="AB1219" s="1463"/>
      <c r="AC1219" s="1463"/>
      <c r="AD1219" s="1463"/>
      <c r="AE1219" s="1463"/>
      <c r="AF1219" s="1463"/>
    </row>
    <row r="1220" spans="1:32" ht="15" customHeight="1">
      <c r="A1220" s="2154"/>
      <c r="B1220" s="1446" t="s">
        <v>1748</v>
      </c>
      <c r="C1220" s="1446"/>
      <c r="D1220" s="1446"/>
      <c r="E1220" s="1446"/>
      <c r="F1220" s="1446"/>
      <c r="G1220" s="1446"/>
      <c r="H1220" s="1446"/>
      <c r="I1220" s="1446"/>
      <c r="J1220" s="1446"/>
      <c r="K1220" s="1446"/>
      <c r="L1220" s="1446"/>
      <c r="M1220" s="1454"/>
      <c r="N1220" s="1733"/>
      <c r="O1220" s="2567" t="str">
        <f>'Part VIII Scoring Criteria'!AA27</f>
        <v>No</v>
      </c>
      <c r="P1220" s="2155"/>
      <c r="Q1220" s="1463"/>
      <c r="R1220" s="2148"/>
      <c r="S1220" s="1463"/>
      <c r="T1220" s="1731"/>
      <c r="U1220" s="1731"/>
      <c r="V1220" s="1463"/>
      <c r="W1220" s="1463"/>
      <c r="X1220" s="1463"/>
      <c r="Y1220" s="1463"/>
      <c r="Z1220" s="1463"/>
      <c r="AA1220" s="1463"/>
      <c r="AB1220" s="1463"/>
      <c r="AC1220" s="1463"/>
      <c r="AD1220" s="1463"/>
      <c r="AE1220" s="1463"/>
      <c r="AF1220" s="1463"/>
    </row>
    <row r="1221" spans="1:32" ht="13.8">
      <c r="A1221" s="2567" t="s">
        <v>219</v>
      </c>
      <c r="B1221" s="1445" t="s">
        <v>7598</v>
      </c>
      <c r="C1221" s="1463"/>
      <c r="D1221" s="1446"/>
      <c r="E1221" s="1463"/>
      <c r="F1221" s="1463"/>
      <c r="G1221" s="1463"/>
      <c r="H1221" s="1446"/>
      <c r="I1221" s="1463"/>
      <c r="J1221" s="1463"/>
      <c r="K1221" s="1446"/>
      <c r="L1221" s="1731"/>
      <c r="M1221" s="1454">
        <v>1</v>
      </c>
      <c r="N1221" s="1733"/>
      <c r="O1221" s="1462">
        <f>'Part VIII Scoring Criteria'!AA28</f>
        <v>1</v>
      </c>
      <c r="P1221" s="1462">
        <f>'Part VIII Scoring Criteria'!AB28</f>
        <v>0</v>
      </c>
      <c r="Q1221" s="2149" t="str">
        <f>IF(OR($O1221=$M1221,$O1221=0,$O1221=""),"","*CHECK!*")</f>
        <v/>
      </c>
      <c r="R1221" s="2150"/>
      <c r="S1221" s="1463"/>
      <c r="T1221" s="1731"/>
      <c r="U1221" s="1731"/>
      <c r="V1221" s="1463"/>
      <c r="W1221" s="1463"/>
      <c r="X1221" s="1463"/>
      <c r="Y1221" s="1463"/>
      <c r="Z1221" s="1463"/>
      <c r="AA1221" s="1463"/>
      <c r="AB1221" s="1463"/>
      <c r="AC1221" s="1463"/>
      <c r="AD1221" s="1463"/>
      <c r="AE1221" s="1463"/>
      <c r="AF1221" s="1463"/>
    </row>
    <row r="1222" spans="1:32" ht="14.25" customHeight="1">
      <c r="A1222" s="1463"/>
      <c r="B1222" s="1468" t="s">
        <v>7599</v>
      </c>
      <c r="C1222" s="1468"/>
      <c r="D1222" s="1468"/>
      <c r="E1222" s="1468"/>
      <c r="F1222" s="1468"/>
      <c r="G1222" s="1468"/>
      <c r="H1222" s="1468"/>
      <c r="I1222" s="1468"/>
      <c r="J1222" s="1468"/>
      <c r="K1222" s="1468"/>
      <c r="L1222" s="1468"/>
      <c r="M1222" s="1454"/>
      <c r="N1222" s="1454"/>
      <c r="O1222" s="1454"/>
      <c r="P1222" s="1454"/>
      <c r="Q1222" s="1463"/>
      <c r="R1222" s="2148"/>
      <c r="S1222" s="1463"/>
      <c r="T1222" s="1731"/>
      <c r="U1222" s="1731"/>
      <c r="V1222" s="1463"/>
      <c r="W1222" s="1463"/>
      <c r="X1222" s="1463"/>
      <c r="Y1222" s="1463"/>
      <c r="Z1222" s="1463"/>
      <c r="AA1222" s="1463"/>
      <c r="AB1222" s="1463"/>
      <c r="AC1222" s="1463"/>
      <c r="AD1222" s="1463"/>
      <c r="AE1222" s="1463"/>
      <c r="AF1222" s="1463"/>
    </row>
    <row r="1223" spans="1:32" ht="13.8">
      <c r="A1223" s="1468"/>
      <c r="B1223" s="2156" t="s">
        <v>201</v>
      </c>
      <c r="C1223" s="1468" t="s">
        <v>1751</v>
      </c>
      <c r="D1223" s="1468"/>
      <c r="E1223" s="1468"/>
      <c r="F1223" s="1468"/>
      <c r="G1223" s="1468"/>
      <c r="H1223" s="1468"/>
      <c r="I1223" s="1468"/>
      <c r="J1223" s="1468"/>
      <c r="K1223" s="1468"/>
      <c r="L1223" s="1468"/>
      <c r="M1223" s="1467"/>
      <c r="N1223" s="2157"/>
      <c r="O1223" s="2567" t="str">
        <f>'Part VIII Scoring Criteria'!AA30</f>
        <v>No</v>
      </c>
      <c r="P1223" s="2155"/>
      <c r="Q1223" s="1468"/>
      <c r="R1223" s="2158"/>
      <c r="S1223" s="1468"/>
      <c r="T1223" s="2159"/>
      <c r="U1223" s="2159"/>
      <c r="V1223" s="1468"/>
      <c r="W1223" s="1468"/>
      <c r="X1223" s="1468"/>
      <c r="Y1223" s="1468"/>
      <c r="Z1223" s="1468"/>
      <c r="AA1223" s="1468"/>
      <c r="AB1223" s="1468"/>
      <c r="AC1223" s="1468"/>
      <c r="AD1223" s="1468"/>
      <c r="AE1223" s="1468"/>
      <c r="AF1223" s="1468"/>
    </row>
    <row r="1224" spans="1:32" ht="13.8">
      <c r="A1224" s="1468"/>
      <c r="B1224" s="2153" t="s">
        <v>209</v>
      </c>
      <c r="C1224" s="1469" t="s">
        <v>1752</v>
      </c>
      <c r="D1224" s="1469"/>
      <c r="E1224" s="1469"/>
      <c r="F1224" s="1469"/>
      <c r="G1224" s="1469"/>
      <c r="H1224" s="1469"/>
      <c r="I1224" s="1469"/>
      <c r="J1224" s="1469"/>
      <c r="K1224" s="1469"/>
      <c r="L1224" s="1469"/>
      <c r="M1224" s="1467"/>
      <c r="N1224" s="2157"/>
      <c r="O1224" s="2567" t="str">
        <f>'Part VIII Scoring Criteria'!AA31</f>
        <v>No</v>
      </c>
      <c r="P1224" s="2155"/>
      <c r="Q1224" s="1468"/>
      <c r="R1224" s="2158"/>
      <c r="S1224" s="1468"/>
      <c r="T1224" s="2159"/>
      <c r="U1224" s="2159"/>
      <c r="V1224" s="1468"/>
      <c r="W1224" s="1468"/>
      <c r="X1224" s="1468"/>
      <c r="Y1224" s="1468"/>
      <c r="Z1224" s="1468"/>
      <c r="AA1224" s="1468"/>
      <c r="AB1224" s="1468"/>
      <c r="AC1224" s="1468"/>
      <c r="AD1224" s="1468"/>
      <c r="AE1224" s="1468"/>
      <c r="AF1224" s="1468"/>
    </row>
    <row r="1225" spans="1:32" ht="13.8">
      <c r="A1225" s="1468"/>
      <c r="B1225" s="1468"/>
      <c r="C1225" s="1469" t="s">
        <v>1753</v>
      </c>
      <c r="D1225" s="1469"/>
      <c r="E1225" s="1469"/>
      <c r="F1225" s="1469"/>
      <c r="G1225" s="1469"/>
      <c r="H1225" s="1469"/>
      <c r="I1225" s="1468"/>
      <c r="J1225" s="1465">
        <f>'Part VIII Scoring Criteria'!K32</f>
        <v>0</v>
      </c>
      <c r="K1225" s="1445"/>
      <c r="L1225" s="1445"/>
      <c r="M1225" s="1445"/>
      <c r="N1225" s="1445"/>
      <c r="O1225" s="2157"/>
      <c r="P1225" s="2157"/>
      <c r="Q1225" s="1468"/>
      <c r="R1225" s="2158"/>
      <c r="S1225" s="1468"/>
      <c r="T1225" s="2159"/>
      <c r="U1225" s="2159"/>
      <c r="V1225" s="1468"/>
      <c r="W1225" s="1468"/>
      <c r="X1225" s="1468"/>
      <c r="Y1225" s="1468"/>
      <c r="Z1225" s="1468"/>
      <c r="AA1225" s="1468"/>
      <c r="AB1225" s="1468"/>
      <c r="AC1225" s="1468"/>
      <c r="AD1225" s="1468"/>
      <c r="AE1225" s="1468"/>
      <c r="AF1225" s="1468"/>
    </row>
    <row r="1226" spans="1:32" ht="15" customHeight="1">
      <c r="A1226" s="1468"/>
      <c r="B1226" s="2153" t="s">
        <v>213</v>
      </c>
      <c r="C1226" s="1468" t="s">
        <v>1754</v>
      </c>
      <c r="D1226" s="1468"/>
      <c r="E1226" s="1468"/>
      <c r="F1226" s="1468"/>
      <c r="G1226" s="1468"/>
      <c r="H1226" s="1468"/>
      <c r="I1226" s="1468"/>
      <c r="J1226" s="1468"/>
      <c r="K1226" s="1468"/>
      <c r="L1226" s="1468"/>
      <c r="M1226" s="1468"/>
      <c r="N1226" s="1468"/>
      <c r="O1226" s="2567" t="str">
        <f>'Part VIII Scoring Criteria'!AA33</f>
        <v>Yes</v>
      </c>
      <c r="P1226" s="2155"/>
      <c r="Q1226" s="1468"/>
      <c r="R1226" s="2158"/>
      <c r="S1226" s="1468"/>
      <c r="T1226" s="2159"/>
      <c r="U1226" s="2159"/>
      <c r="V1226" s="1468"/>
      <c r="W1226" s="1468"/>
      <c r="X1226" s="1468"/>
      <c r="Y1226" s="1468"/>
      <c r="Z1226" s="1468"/>
      <c r="AA1226" s="1468"/>
      <c r="AB1226" s="1468"/>
      <c r="AC1226" s="1468"/>
      <c r="AD1226" s="1468"/>
      <c r="AE1226" s="1468"/>
      <c r="AF1226" s="1468"/>
    </row>
    <row r="1227" spans="1:32" ht="14.4">
      <c r="A1227" s="1446"/>
      <c r="B1227" s="2160" t="s">
        <v>1453</v>
      </c>
      <c r="C1227" s="1446"/>
      <c r="D1227" s="2160"/>
      <c r="E1227" s="1468"/>
      <c r="F1227" s="1468"/>
      <c r="G1227" s="1468"/>
      <c r="H1227" s="1468"/>
      <c r="I1227" s="1468"/>
      <c r="J1227" s="1468"/>
      <c r="K1227" s="1468"/>
      <c r="L1227" s="1468"/>
      <c r="M1227" s="1469"/>
      <c r="N1227" s="1467"/>
      <c r="O1227" s="2155"/>
      <c r="P1227" s="2567"/>
      <c r="Q1227" s="1463"/>
      <c r="R1227" s="1463"/>
      <c r="S1227" s="1463"/>
      <c r="T1227" s="1463"/>
      <c r="U1227" s="1463"/>
      <c r="V1227" s="1463"/>
      <c r="W1227" s="1463"/>
      <c r="X1227" s="1463"/>
      <c r="Y1227" s="1463"/>
      <c r="Z1227" s="1463"/>
      <c r="AA1227" s="1463"/>
      <c r="AB1227" s="1463"/>
      <c r="AC1227" s="1463"/>
      <c r="AD1227" s="1463"/>
      <c r="AE1227" s="1463"/>
      <c r="AF1227" s="1463"/>
    </row>
    <row r="1228" spans="1:32" ht="13.8">
      <c r="A1228" s="1468"/>
      <c r="B1228" s="1468"/>
      <c r="C1228" s="1468"/>
      <c r="D1228" s="1468"/>
      <c r="E1228" s="1468"/>
      <c r="F1228" s="1468"/>
      <c r="G1228" s="1468"/>
      <c r="H1228" s="1468"/>
      <c r="I1228" s="1468"/>
      <c r="J1228" s="1468"/>
      <c r="K1228" s="1468"/>
      <c r="L1228" s="1468"/>
      <c r="M1228" s="1468"/>
      <c r="N1228" s="1468"/>
      <c r="O1228" s="1468"/>
      <c r="P1228" s="1468"/>
      <c r="Q1228" s="1445"/>
      <c r="R1228" s="1463"/>
      <c r="S1228" s="1463"/>
      <c r="T1228" s="1463"/>
      <c r="U1228" s="1463"/>
      <c r="V1228" s="1463"/>
      <c r="W1228" s="1463"/>
      <c r="X1228" s="1463"/>
      <c r="Y1228" s="1463"/>
      <c r="Z1228" s="1463"/>
      <c r="AA1228" s="1463"/>
      <c r="AB1228" s="1463"/>
      <c r="AC1228" s="1463"/>
      <c r="AD1228" s="1463"/>
      <c r="AE1228" s="1463"/>
      <c r="AF1228" s="1463"/>
    </row>
    <row r="1229" spans="1:32" ht="13.8">
      <c r="A1229" s="1446"/>
      <c r="B1229" s="1445"/>
      <c r="C1229" s="1446"/>
      <c r="D1229" s="1445"/>
      <c r="E1229" s="1446"/>
      <c r="F1229" s="1446"/>
      <c r="G1229" s="2144"/>
      <c r="H1229" s="2144"/>
      <c r="I1229" s="2144"/>
      <c r="J1229" s="2144"/>
      <c r="K1229" s="2144"/>
      <c r="L1229" s="2144"/>
      <c r="M1229" s="1446"/>
      <c r="N1229" s="1463"/>
      <c r="O1229" s="2161"/>
      <c r="P1229" s="1445"/>
      <c r="Q1229" s="1463"/>
      <c r="R1229" s="1446"/>
      <c r="S1229" s="1446"/>
      <c r="T1229" s="1446"/>
      <c r="U1229" s="1446"/>
      <c r="V1229" s="1446"/>
      <c r="W1229" s="1446"/>
      <c r="X1229" s="1739"/>
      <c r="Y1229" s="1739"/>
      <c r="Z1229" s="1739"/>
      <c r="AA1229" s="1739"/>
      <c r="AB1229" s="1739"/>
      <c r="AC1229" s="1739"/>
      <c r="AD1229" s="1739"/>
      <c r="AE1229" s="1739"/>
      <c r="AF1229" s="1739"/>
    </row>
    <row r="1230" spans="1:32" ht="13.8">
      <c r="A1230" s="1463"/>
      <c r="B1230" s="1463"/>
      <c r="C1230" s="1463"/>
      <c r="D1230" s="1463"/>
      <c r="E1230" s="1463"/>
      <c r="F1230" s="1463"/>
      <c r="G1230" s="1463"/>
      <c r="H1230" s="1463"/>
      <c r="I1230" s="1463"/>
      <c r="J1230" s="1463"/>
      <c r="K1230" s="1463"/>
      <c r="L1230" s="1463"/>
      <c r="M1230" s="1463"/>
      <c r="N1230" s="2568"/>
      <c r="O1230" s="2569"/>
      <c r="P1230" s="2569"/>
      <c r="Q1230" s="1463"/>
      <c r="R1230" s="1463"/>
      <c r="S1230" s="1463"/>
      <c r="T1230" s="1731"/>
      <c r="U1230" s="1731"/>
      <c r="V1230" s="1463"/>
      <c r="W1230" s="1463"/>
      <c r="X1230" s="1463"/>
      <c r="Y1230" s="1463"/>
      <c r="Z1230" s="1463"/>
      <c r="AA1230" s="1463"/>
      <c r="AB1230" s="1463"/>
      <c r="AC1230" s="1463"/>
      <c r="AD1230" s="1463"/>
      <c r="AE1230" s="1463"/>
      <c r="AF1230" s="1463"/>
    </row>
    <row r="1231" spans="1:32" ht="14.4">
      <c r="A1231" s="1730" t="s">
        <v>44</v>
      </c>
      <c r="B1231" s="1731" t="s">
        <v>6930</v>
      </c>
      <c r="C1231" s="1446"/>
      <c r="D1231" s="1731"/>
      <c r="E1231" s="1731"/>
      <c r="F1231" s="1446"/>
      <c r="G1231" s="2162"/>
      <c r="H1231" s="1446"/>
      <c r="I1231" s="1446"/>
      <c r="J1231" s="1446"/>
      <c r="K1231" s="1446"/>
      <c r="L1231" s="1737" t="e">
        <f>IF(AND(O1238&gt;0,O1240&gt;0), "Choose only one option!","")</f>
        <v>#REF!</v>
      </c>
      <c r="M1231" s="2567">
        <v>2</v>
      </c>
      <c r="N1231" s="1454"/>
      <c r="O1231" s="1462" t="e">
        <f>'Part VIII Scoring Criteria'!#REF!</f>
        <v>#REF!</v>
      </c>
      <c r="P1231" s="1462" t="e">
        <f>'Part VIII Scoring Criteria'!#REF!</f>
        <v>#REF!</v>
      </c>
      <c r="Q1231" s="2567" t="s">
        <v>1744</v>
      </c>
      <c r="R1231" s="1445"/>
      <c r="S1231" s="1445"/>
      <c r="T1231" s="1445"/>
      <c r="U1231" s="1445"/>
      <c r="V1231" s="1445"/>
      <c r="W1231" s="1446"/>
      <c r="X1231" s="1446"/>
      <c r="Y1231" s="1446"/>
      <c r="Z1231" s="1446"/>
      <c r="AA1231" s="1446"/>
      <c r="AB1231" s="1446"/>
      <c r="AC1231" s="1446"/>
      <c r="AD1231" s="1446"/>
      <c r="AE1231" s="1446"/>
      <c r="AF1231" s="1446"/>
    </row>
    <row r="1232" spans="1:32" ht="15" customHeight="1">
      <c r="A1232" s="1730"/>
      <c r="B1232" s="1446" t="s">
        <v>7600</v>
      </c>
      <c r="C1232" s="1446"/>
      <c r="D1232" s="1731"/>
      <c r="E1232" s="1731"/>
      <c r="F1232" s="1446"/>
      <c r="G1232" s="1446"/>
      <c r="H1232" s="1446"/>
      <c r="I1232" s="1446"/>
      <c r="J1232" s="2163"/>
      <c r="K1232" s="1446"/>
      <c r="L1232" s="1446"/>
      <c r="M1232" s="2567"/>
      <c r="N1232" s="1446"/>
      <c r="O1232" s="2164" t="s">
        <v>7601</v>
      </c>
      <c r="P1232" s="2164" t="s">
        <v>6829</v>
      </c>
      <c r="Q1232" s="2567"/>
      <c r="R1232" s="1445"/>
      <c r="S1232" s="1445"/>
      <c r="T1232" s="1445"/>
      <c r="U1232" s="1445"/>
      <c r="V1232" s="1445"/>
      <c r="W1232" s="1463"/>
      <c r="X1232" s="1463"/>
      <c r="Y1232" s="1446"/>
      <c r="Z1232" s="1446"/>
      <c r="AA1232" s="1446"/>
      <c r="AB1232" s="1446"/>
      <c r="AC1232" s="1446"/>
      <c r="AD1232" s="1446"/>
      <c r="AE1232" s="1446"/>
      <c r="AF1232" s="1446"/>
    </row>
    <row r="1233" spans="1:32" ht="13.8">
      <c r="A1233" s="1730"/>
      <c r="B1233" s="1446"/>
      <c r="C1233" s="1446" t="s">
        <v>6933</v>
      </c>
      <c r="D1233" s="1446"/>
      <c r="E1233" s="1446"/>
      <c r="F1233" s="1446"/>
      <c r="G1233" s="1446"/>
      <c r="H1233" s="1446"/>
      <c r="I1233" s="1446"/>
      <c r="J1233" s="1465" t="e">
        <f>'Part VIII Scoring Criteria'!#REF!</f>
        <v>#REF!</v>
      </c>
      <c r="K1233" s="1445"/>
      <c r="L1233" s="1445"/>
      <c r="M1233" s="1445"/>
      <c r="N1233" s="1445"/>
      <c r="O1233" s="2164"/>
      <c r="P1233" s="2164"/>
      <c r="Q1233" s="2567"/>
      <c r="R1233" s="1446"/>
      <c r="S1233" s="1446"/>
      <c r="T1233" s="1446"/>
      <c r="U1233" s="1446"/>
      <c r="V1233" s="1445"/>
      <c r="W1233" s="1463"/>
      <c r="X1233" s="1463"/>
      <c r="Y1233" s="1446"/>
      <c r="Z1233" s="1446"/>
      <c r="AA1233" s="1446"/>
      <c r="AB1233" s="1446"/>
      <c r="AC1233" s="1446"/>
      <c r="AD1233" s="1446"/>
      <c r="AE1233" s="1446"/>
      <c r="AF1233" s="1446"/>
    </row>
    <row r="1234" spans="1:32" ht="13.8">
      <c r="A1234" s="1730"/>
      <c r="B1234" s="1446"/>
      <c r="C1234" s="1446" t="s">
        <v>7602</v>
      </c>
      <c r="D1234" s="1446"/>
      <c r="E1234" s="1446"/>
      <c r="F1234" s="1446"/>
      <c r="G1234" s="1446"/>
      <c r="H1234" s="1446"/>
      <c r="I1234" s="1446"/>
      <c r="J1234" s="1465" t="e">
        <f>'Part VIII Scoring Criteria'!#REF!</f>
        <v>#REF!</v>
      </c>
      <c r="K1234" s="1445"/>
      <c r="L1234" s="1446"/>
      <c r="M1234" s="1446"/>
      <c r="N1234" s="1446"/>
      <c r="O1234" s="2164"/>
      <c r="P1234" s="2164"/>
      <c r="Q1234" s="2567"/>
      <c r="R1234" s="1446"/>
      <c r="S1234" s="1446"/>
      <c r="T1234" s="1446"/>
      <c r="U1234" s="1446"/>
      <c r="V1234" s="1446"/>
      <c r="W1234" s="1446"/>
      <c r="X1234" s="1463"/>
      <c r="Y1234" s="1446"/>
      <c r="Z1234" s="1446"/>
      <c r="AA1234" s="1446"/>
      <c r="AB1234" s="1446"/>
      <c r="AC1234" s="1446"/>
      <c r="AD1234" s="1446"/>
      <c r="AE1234" s="1446"/>
      <c r="AF1234" s="1446"/>
    </row>
    <row r="1235" spans="1:32" ht="13.8">
      <c r="A1235" s="1730"/>
      <c r="B1235" s="1446"/>
      <c r="C1235" s="1446" t="s">
        <v>6934</v>
      </c>
      <c r="D1235" s="1446"/>
      <c r="E1235" s="1446"/>
      <c r="F1235" s="1446"/>
      <c r="G1235" s="1446"/>
      <c r="H1235" s="1446"/>
      <c r="I1235" s="1446"/>
      <c r="J1235" s="1465" t="e">
        <f>'Part VIII Scoring Criteria'!#REF!</f>
        <v>#REF!</v>
      </c>
      <c r="K1235" s="1445"/>
      <c r="L1235" s="1446"/>
      <c r="M1235" s="1446"/>
      <c r="N1235" s="1446"/>
      <c r="O1235" s="2164"/>
      <c r="P1235" s="2164"/>
      <c r="Q1235" s="2567"/>
      <c r="R1235" s="1446"/>
      <c r="S1235" s="1446"/>
      <c r="T1235" s="1446"/>
      <c r="U1235" s="1446"/>
      <c r="V1235" s="1446"/>
      <c r="W1235" s="1446"/>
      <c r="X1235" s="1463"/>
      <c r="Y1235" s="1446"/>
      <c r="Z1235" s="1446"/>
      <c r="AA1235" s="1446"/>
      <c r="AB1235" s="1446"/>
      <c r="AC1235" s="1446"/>
      <c r="AD1235" s="1446"/>
      <c r="AE1235" s="1446"/>
      <c r="AF1235" s="1446"/>
    </row>
    <row r="1236" spans="1:32" ht="15" customHeight="1">
      <c r="A1236" s="2165"/>
      <c r="B1236" s="1733"/>
      <c r="C1236" s="1446" t="s">
        <v>7603</v>
      </c>
      <c r="D1236" s="1446"/>
      <c r="E1236" s="1446"/>
      <c r="F1236" s="1446"/>
      <c r="G1236" s="1446"/>
      <c r="H1236" s="1446"/>
      <c r="I1236" s="1446"/>
      <c r="J1236" s="1446"/>
      <c r="K1236" s="1446"/>
      <c r="L1236" s="1446"/>
      <c r="M1236" s="1446"/>
      <c r="N1236" s="1733"/>
      <c r="O1236" s="2567" t="e">
        <f>'Part VIII Scoring Criteria'!#REF!</f>
        <v>#REF!</v>
      </c>
      <c r="P1236" s="1445"/>
      <c r="Q1236" s="2567"/>
      <c r="R1236" s="1446"/>
      <c r="S1236" s="1446"/>
      <c r="T1236" s="1463"/>
      <c r="U1236" s="1463"/>
      <c r="V1236" s="1463"/>
      <c r="W1236" s="1463"/>
      <c r="X1236" s="1463"/>
      <c r="Y1236" s="1463"/>
      <c r="Z1236" s="1463"/>
      <c r="AA1236" s="1463"/>
      <c r="AB1236" s="1463"/>
      <c r="AC1236" s="1463"/>
      <c r="AD1236" s="1463"/>
      <c r="AE1236" s="1463"/>
      <c r="AF1236" s="1463"/>
    </row>
    <row r="1237" spans="1:32" ht="13.8">
      <c r="A1237" s="1446"/>
      <c r="B1237" s="1463"/>
      <c r="C1237" s="1463"/>
      <c r="D1237" s="1446"/>
      <c r="E1237" s="1446"/>
      <c r="F1237" s="1445"/>
      <c r="G1237" s="1445"/>
      <c r="H1237" s="1445"/>
      <c r="I1237" s="1445"/>
      <c r="J1237" s="1446"/>
      <c r="K1237" s="1446"/>
      <c r="L1237" s="1446"/>
      <c r="M1237" s="1454"/>
      <c r="N1237" s="2567"/>
      <c r="O1237" s="2569"/>
      <c r="P1237" s="1462"/>
      <c r="Q1237" s="1463"/>
      <c r="R1237" s="1463"/>
      <c r="S1237" s="1463"/>
      <c r="T1237" s="1463"/>
      <c r="U1237" s="1463"/>
      <c r="V1237" s="1463"/>
      <c r="W1237" s="1463"/>
      <c r="X1237" s="1463"/>
      <c r="Y1237" s="1463"/>
      <c r="Z1237" s="1463"/>
      <c r="AA1237" s="1463"/>
      <c r="AB1237" s="1463"/>
      <c r="AC1237" s="1463"/>
      <c r="AD1237" s="1463"/>
      <c r="AE1237" s="1463"/>
      <c r="AF1237" s="1463"/>
    </row>
    <row r="1238" spans="1:32" ht="13.8">
      <c r="A1238" s="2567" t="s">
        <v>186</v>
      </c>
      <c r="B1238" s="2166" t="s">
        <v>6941</v>
      </c>
      <c r="C1238" s="1463"/>
      <c r="D1238" s="1469"/>
      <c r="E1238" s="1469"/>
      <c r="F1238" s="1463"/>
      <c r="G1238" s="1463"/>
      <c r="H1238" s="1469"/>
      <c r="I1238" s="1463"/>
      <c r="J1238" s="1463"/>
      <c r="K1238" s="1463"/>
      <c r="L1238" s="1469"/>
      <c r="M1238" s="2568">
        <v>2</v>
      </c>
      <c r="N1238" s="1733"/>
      <c r="O1238" s="1462" t="e">
        <f>'Part VIII Scoring Criteria'!#REF!</f>
        <v>#REF!</v>
      </c>
      <c r="P1238" s="1462" t="e">
        <f>'Part VIII Scoring Criteria'!#REF!</f>
        <v>#REF!</v>
      </c>
      <c r="Q1238" s="2569" t="e">
        <f>IF(OR(O1238=0,O1238="",O1238=$M1238),"","Check!")</f>
        <v>#REF!</v>
      </c>
      <c r="R1238" s="2150"/>
      <c r="S1238" s="1445"/>
      <c r="T1238" s="1445"/>
      <c r="U1238" s="1445"/>
      <c r="V1238" s="1445"/>
      <c r="W1238" s="1463"/>
      <c r="X1238" s="1463"/>
      <c r="Y1238" s="1463"/>
      <c r="Z1238" s="1463"/>
      <c r="AA1238" s="1463"/>
      <c r="AB1238" s="1463"/>
      <c r="AC1238" s="1463"/>
      <c r="AD1238" s="1463"/>
      <c r="AE1238" s="1463"/>
      <c r="AF1238" s="1463"/>
    </row>
    <row r="1239" spans="1:32" ht="13.8">
      <c r="A1239" s="2167"/>
      <c r="B1239" s="1469" t="s">
        <v>7604</v>
      </c>
      <c r="C1239" s="1468"/>
      <c r="D1239" s="1468"/>
      <c r="E1239" s="1468"/>
      <c r="F1239" s="1468"/>
      <c r="G1239" s="1468"/>
      <c r="H1239" s="1468"/>
      <c r="I1239" s="1468"/>
      <c r="J1239" s="1468"/>
      <c r="K1239" s="1468"/>
      <c r="L1239" s="1468"/>
      <c r="M1239" s="1468"/>
      <c r="N1239" s="2152"/>
      <c r="O1239" s="2567" t="e">
        <f>'Part VIII Scoring Criteria'!#REF!</f>
        <v>#REF!</v>
      </c>
      <c r="P1239" s="2567"/>
      <c r="Q1239" s="2155"/>
      <c r="R1239" s="1468"/>
      <c r="S1239" s="1468"/>
      <c r="T1239" s="1468"/>
      <c r="U1239" s="1468"/>
      <c r="V1239" s="1468"/>
      <c r="W1239" s="1468"/>
      <c r="X1239" s="1468"/>
      <c r="Y1239" s="1468"/>
      <c r="Z1239" s="1468"/>
      <c r="AA1239" s="1468"/>
      <c r="AB1239" s="1468"/>
      <c r="AC1239" s="1468"/>
      <c r="AD1239" s="1468"/>
      <c r="AE1239" s="1468"/>
      <c r="AF1239" s="1468"/>
    </row>
    <row r="1240" spans="1:32" ht="13.8">
      <c r="A1240" s="2567" t="s">
        <v>198</v>
      </c>
      <c r="B1240" s="2166" t="s">
        <v>6945</v>
      </c>
      <c r="C1240" s="1463"/>
      <c r="D1240" s="1469"/>
      <c r="E1240" s="1463"/>
      <c r="F1240" s="1463"/>
      <c r="G1240" s="1463"/>
      <c r="H1240" s="1463"/>
      <c r="I1240" s="1463"/>
      <c r="J1240" s="1463"/>
      <c r="K1240" s="1463"/>
      <c r="L1240" s="1469"/>
      <c r="M1240" s="2568">
        <v>2</v>
      </c>
      <c r="N1240" s="1733"/>
      <c r="O1240" s="1462" t="e">
        <f>'Part VIII Scoring Criteria'!#REF!</f>
        <v>#REF!</v>
      </c>
      <c r="P1240" s="1462" t="e">
        <f>'Part VIII Scoring Criteria'!#REF!</f>
        <v>#REF!</v>
      </c>
      <c r="Q1240" s="2569" t="e">
        <f>IF(OR(O1240=0,O1240="",O1240=$M1240),"","Check!")</f>
        <v>#REF!</v>
      </c>
      <c r="R1240" s="2150"/>
      <c r="S1240" s="1445"/>
      <c r="T1240" s="1445"/>
      <c r="U1240" s="1445"/>
      <c r="V1240" s="1445"/>
      <c r="W1240" s="1463"/>
      <c r="X1240" s="1463"/>
      <c r="Y1240" s="1463"/>
      <c r="Z1240" s="1463"/>
      <c r="AA1240" s="1463"/>
      <c r="AB1240" s="1463"/>
      <c r="AC1240" s="1463"/>
      <c r="AD1240" s="1463"/>
      <c r="AE1240" s="1463"/>
      <c r="AF1240" s="1463"/>
    </row>
    <row r="1241" spans="1:32" ht="13.8">
      <c r="A1241" s="2567"/>
      <c r="B1241" s="1446" t="s">
        <v>7605</v>
      </c>
      <c r="C1241" s="1463"/>
      <c r="D1241" s="1469"/>
      <c r="E1241" s="1463"/>
      <c r="F1241" s="1463"/>
      <c r="G1241" s="1463"/>
      <c r="H1241" s="1463"/>
      <c r="I1241" s="1463"/>
      <c r="J1241" s="1463"/>
      <c r="K1241" s="1463"/>
      <c r="L1241" s="1469"/>
      <c r="M1241" s="2568"/>
      <c r="N1241" s="1733"/>
      <c r="O1241" s="2567" t="e">
        <f>'Part VIII Scoring Criteria'!#REF!</f>
        <v>#REF!</v>
      </c>
      <c r="P1241" s="2567"/>
      <c r="Q1241" s="2569"/>
      <c r="R1241" s="2150"/>
      <c r="S1241" s="1445"/>
      <c r="T1241" s="1445"/>
      <c r="U1241" s="1445"/>
      <c r="V1241" s="1445"/>
      <c r="W1241" s="1463"/>
      <c r="X1241" s="1463"/>
      <c r="Y1241" s="1463"/>
      <c r="Z1241" s="1463"/>
      <c r="AA1241" s="1463"/>
      <c r="AB1241" s="1463"/>
      <c r="AC1241" s="1463"/>
      <c r="AD1241" s="1463"/>
      <c r="AE1241" s="1463"/>
      <c r="AF1241" s="1463"/>
    </row>
    <row r="1242" spans="1:32" ht="15" customHeight="1">
      <c r="A1242" s="2567"/>
      <c r="B1242" s="1468" t="s">
        <v>7606</v>
      </c>
      <c r="C1242" s="1468"/>
      <c r="D1242" s="1468"/>
      <c r="E1242" s="1468"/>
      <c r="F1242" s="1468"/>
      <c r="G1242" s="1468"/>
      <c r="H1242" s="1468"/>
      <c r="I1242" s="1468"/>
      <c r="J1242" s="1468"/>
      <c r="K1242" s="1468"/>
      <c r="L1242" s="1468"/>
      <c r="M1242" s="1468"/>
      <c r="N1242" s="1733"/>
      <c r="O1242" s="2567" t="e">
        <f>'Part VIII Scoring Criteria'!#REF!</f>
        <v>#REF!</v>
      </c>
      <c r="P1242" s="2155"/>
      <c r="Q1242" s="2569"/>
      <c r="R1242" s="2150"/>
      <c r="S1242" s="1445"/>
      <c r="T1242" s="1445"/>
      <c r="U1242" s="1445"/>
      <c r="V1242" s="1445"/>
      <c r="W1242" s="1463"/>
      <c r="X1242" s="1463"/>
      <c r="Y1242" s="1463"/>
      <c r="Z1242" s="1463"/>
      <c r="AA1242" s="1463"/>
      <c r="AB1242" s="1463"/>
      <c r="AC1242" s="1463"/>
      <c r="AD1242" s="1463"/>
      <c r="AE1242" s="1463"/>
      <c r="AF1242" s="1463"/>
    </row>
    <row r="1243" spans="1:32" ht="14.4">
      <c r="A1243" s="1446"/>
      <c r="B1243" s="2142" t="s">
        <v>7607</v>
      </c>
      <c r="C1243" s="1446"/>
      <c r="D1243" s="1446"/>
      <c r="E1243" s="1446"/>
      <c r="F1243" s="1446"/>
      <c r="G1243" s="1446"/>
      <c r="H1243" s="1446"/>
      <c r="I1243" s="1446"/>
      <c r="J1243" s="1446"/>
      <c r="K1243" s="1446"/>
      <c r="L1243" s="1463"/>
      <c r="M1243" s="1446"/>
      <c r="N1243" s="2568"/>
      <c r="O1243" s="1462"/>
      <c r="P1243" s="2569"/>
      <c r="Q1243" s="1463"/>
      <c r="R1243" s="1445"/>
      <c r="S1243" s="1445"/>
      <c r="T1243" s="1445"/>
      <c r="U1243" s="1445"/>
      <c r="V1243" s="1445"/>
      <c r="W1243" s="1463"/>
      <c r="X1243" s="1463"/>
      <c r="Y1243" s="1463"/>
      <c r="Z1243" s="1463"/>
      <c r="AA1243" s="1463"/>
      <c r="AB1243" s="1463"/>
      <c r="AC1243" s="1463"/>
      <c r="AD1243" s="1463"/>
      <c r="AE1243" s="1463"/>
      <c r="AF1243" s="1463"/>
    </row>
    <row r="1244" spans="1:32" ht="13.8">
      <c r="A1244" s="1469" t="e">
        <f>'Part VIII Scoring Criteria'!#REF!</f>
        <v>#REF!</v>
      </c>
      <c r="B1244" s="1468"/>
      <c r="C1244" s="1468"/>
      <c r="D1244" s="1468"/>
      <c r="E1244" s="1468"/>
      <c r="F1244" s="1468"/>
      <c r="G1244" s="1468"/>
      <c r="H1244" s="1468"/>
      <c r="I1244" s="1468"/>
      <c r="J1244" s="1468"/>
      <c r="K1244" s="1468"/>
      <c r="L1244" s="1468"/>
      <c r="M1244" s="1468"/>
      <c r="N1244" s="1468"/>
      <c r="O1244" s="1468"/>
      <c r="P1244" s="1468"/>
      <c r="Q1244" s="1445"/>
      <c r="R1244" s="1463"/>
      <c r="S1244" s="1463"/>
      <c r="T1244" s="1463"/>
      <c r="U1244" s="1463"/>
      <c r="V1244" s="1463"/>
      <c r="W1244" s="1463"/>
      <c r="X1244" s="1463"/>
      <c r="Y1244" s="1463"/>
      <c r="Z1244" s="1463"/>
      <c r="AA1244" s="1463"/>
      <c r="AB1244" s="1463"/>
      <c r="AC1244" s="1463"/>
      <c r="AD1244" s="1463"/>
      <c r="AE1244" s="1463"/>
      <c r="AF1244" s="1463"/>
    </row>
    <row r="1245" spans="1:32" ht="14.4">
      <c r="A1245" s="1446"/>
      <c r="B1245" s="2160" t="s">
        <v>1453</v>
      </c>
      <c r="C1245" s="1446"/>
      <c r="D1245" s="2160"/>
      <c r="E1245" s="1468"/>
      <c r="F1245" s="1468"/>
      <c r="G1245" s="1468"/>
      <c r="H1245" s="1468"/>
      <c r="I1245" s="1468"/>
      <c r="J1245" s="1468"/>
      <c r="K1245" s="1468"/>
      <c r="L1245" s="1468"/>
      <c r="M1245" s="1468"/>
      <c r="N1245" s="1468"/>
      <c r="O1245" s="2136"/>
      <c r="P1245" s="1445"/>
      <c r="Q1245" s="1463"/>
      <c r="R1245" s="1463"/>
      <c r="S1245" s="1463"/>
      <c r="T1245" s="1463"/>
      <c r="U1245" s="1463"/>
      <c r="V1245" s="1463"/>
      <c r="W1245" s="1463"/>
      <c r="X1245" s="1463"/>
      <c r="Y1245" s="1463"/>
      <c r="Z1245" s="1463"/>
      <c r="AA1245" s="1463"/>
      <c r="AB1245" s="1463"/>
      <c r="AC1245" s="1463"/>
      <c r="AD1245" s="1463"/>
      <c r="AE1245" s="1463"/>
      <c r="AF1245" s="1463"/>
    </row>
    <row r="1246" spans="1:32" ht="13.8">
      <c r="A1246" s="1468"/>
      <c r="B1246" s="1468"/>
      <c r="C1246" s="1468"/>
      <c r="D1246" s="1468"/>
      <c r="E1246" s="1468"/>
      <c r="F1246" s="1468"/>
      <c r="G1246" s="1468"/>
      <c r="H1246" s="1468"/>
      <c r="I1246" s="1468"/>
      <c r="J1246" s="1468"/>
      <c r="K1246" s="1468"/>
      <c r="L1246" s="1468"/>
      <c r="M1246" s="1468"/>
      <c r="N1246" s="1468"/>
      <c r="O1246" s="1468"/>
      <c r="P1246" s="1468"/>
      <c r="Q1246" s="1445"/>
      <c r="R1246" s="1463"/>
      <c r="S1246" s="1463"/>
      <c r="T1246" s="1463"/>
      <c r="U1246" s="1463"/>
      <c r="V1246" s="1463"/>
      <c r="W1246" s="1463"/>
      <c r="X1246" s="1463"/>
      <c r="Y1246" s="1463"/>
      <c r="Z1246" s="1463"/>
      <c r="AA1246" s="1463"/>
      <c r="AB1246" s="1463"/>
      <c r="AC1246" s="1463"/>
      <c r="AD1246" s="1463"/>
      <c r="AE1246" s="1463"/>
      <c r="AF1246" s="1463"/>
    </row>
    <row r="1247" spans="1:32" ht="13.8">
      <c r="A1247" s="1446"/>
      <c r="B1247" s="1445"/>
      <c r="C1247" s="1446"/>
      <c r="D1247" s="1445"/>
      <c r="E1247" s="1446"/>
      <c r="F1247" s="1446"/>
      <c r="G1247" s="2144"/>
      <c r="H1247" s="2144"/>
      <c r="I1247" s="2144"/>
      <c r="J1247" s="2144"/>
      <c r="K1247" s="2144"/>
      <c r="L1247" s="2144"/>
      <c r="M1247" s="1446"/>
      <c r="N1247" s="1463"/>
      <c r="O1247" s="2161"/>
      <c r="P1247" s="1445"/>
      <c r="Q1247" s="1463"/>
      <c r="R1247" s="1446"/>
      <c r="S1247" s="1446"/>
      <c r="T1247" s="1446"/>
      <c r="U1247" s="1446"/>
      <c r="V1247" s="1446"/>
      <c r="W1247" s="1446"/>
      <c r="X1247" s="1739"/>
      <c r="Y1247" s="1739"/>
      <c r="Z1247" s="1739"/>
      <c r="AA1247" s="1739"/>
      <c r="AB1247" s="1739"/>
      <c r="AC1247" s="1739"/>
      <c r="AD1247" s="1739"/>
      <c r="AE1247" s="1739"/>
      <c r="AF1247" s="1739"/>
    </row>
    <row r="1248" spans="1:32" ht="13.8">
      <c r="A1248" s="1463"/>
      <c r="B1248" s="1463"/>
      <c r="C1248" s="1463"/>
      <c r="D1248" s="1463"/>
      <c r="E1248" s="1463"/>
      <c r="F1248" s="1463"/>
      <c r="G1248" s="1463"/>
      <c r="H1248" s="1463"/>
      <c r="I1248" s="1463"/>
      <c r="J1248" s="1463"/>
      <c r="K1248" s="1463"/>
      <c r="L1248" s="1463"/>
      <c r="M1248" s="1463"/>
      <c r="N1248" s="2568"/>
      <c r="O1248" s="2569"/>
      <c r="P1248" s="2569"/>
      <c r="Q1248" s="1463"/>
      <c r="R1248" s="1463"/>
      <c r="S1248" s="1463"/>
      <c r="T1248" s="1731"/>
      <c r="U1248" s="1731"/>
      <c r="V1248" s="1463"/>
      <c r="W1248" s="1463"/>
      <c r="X1248" s="1463"/>
      <c r="Y1248" s="1463"/>
      <c r="Z1248" s="1463"/>
      <c r="AA1248" s="1463"/>
      <c r="AB1248" s="1463"/>
      <c r="AC1248" s="1463"/>
      <c r="AD1248" s="1463"/>
      <c r="AE1248" s="1463"/>
      <c r="AF1248" s="1463"/>
    </row>
    <row r="1249" spans="1:32" ht="13.8">
      <c r="A1249" s="1730" t="s">
        <v>58</v>
      </c>
      <c r="B1249" s="1731" t="s">
        <v>1755</v>
      </c>
      <c r="C1249" s="1463"/>
      <c r="D1249" s="1470"/>
      <c r="E1249" s="1470"/>
      <c r="F1249" s="1446"/>
      <c r="G1249" s="1446"/>
      <c r="H1249" s="1446"/>
      <c r="I1249" s="1463"/>
      <c r="J1249" s="2168"/>
      <c r="K1249" s="2567"/>
      <c r="L1249" s="2146" t="s">
        <v>1743</v>
      </c>
      <c r="M1249" s="1462">
        <v>5</v>
      </c>
      <c r="N1249" s="1454"/>
      <c r="O1249" s="2141">
        <f>'Part VIII Scoring Criteria'!AA38</f>
        <v>2</v>
      </c>
      <c r="P1249" s="2141">
        <f>'Part VIII Scoring Criteria'!AB38</f>
        <v>0</v>
      </c>
      <c r="Q1249" s="2567" t="s">
        <v>1744</v>
      </c>
      <c r="R1249" s="1463"/>
      <c r="S1249" s="1463"/>
      <c r="T1249" s="1463"/>
      <c r="U1249" s="1463"/>
      <c r="V1249" s="1463"/>
      <c r="W1249" s="1463"/>
      <c r="X1249" s="1463"/>
      <c r="Y1249" s="1463"/>
      <c r="Z1249" s="1463"/>
      <c r="AA1249" s="1463"/>
      <c r="AB1249" s="1463"/>
      <c r="AC1249" s="1463"/>
      <c r="AD1249" s="1463"/>
      <c r="AE1249" s="1463"/>
      <c r="AF1249" s="1463"/>
    </row>
    <row r="1250" spans="1:32" ht="13.8">
      <c r="A1250" s="2169" t="s">
        <v>186</v>
      </c>
      <c r="B1250" s="1445" t="s">
        <v>1756</v>
      </c>
      <c r="C1250" s="1463"/>
      <c r="D1250" s="1463"/>
      <c r="E1250" s="1463"/>
      <c r="F1250" s="1463"/>
      <c r="G1250" s="1463"/>
      <c r="H1250" s="1463"/>
      <c r="I1250" s="1463"/>
      <c r="J1250" s="1463"/>
      <c r="K1250" s="1463"/>
      <c r="L1250" s="2148" t="str">
        <f>IF(O1250&lt;=M1250,"","* * Check Score! * *")</f>
        <v/>
      </c>
      <c r="M1250" s="1454">
        <v>4</v>
      </c>
      <c r="N1250" s="1733"/>
      <c r="O1250" s="2567">
        <f>'Part VIII Scoring Criteria'!AA39</f>
        <v>2</v>
      </c>
      <c r="P1250" s="1462"/>
      <c r="Q1250" s="2149" t="str">
        <f>IF(O1250&lt;=M1250,"","*CHECK!*")</f>
        <v/>
      </c>
      <c r="R1250" s="1445"/>
      <c r="S1250" s="1445"/>
      <c r="T1250" s="2136"/>
      <c r="U1250" s="1463"/>
      <c r="V1250" s="1463"/>
      <c r="W1250" s="1463"/>
      <c r="X1250" s="1463"/>
      <c r="Y1250" s="1463"/>
      <c r="Z1250" s="1463"/>
      <c r="AA1250" s="1463"/>
      <c r="AB1250" s="1463"/>
      <c r="AC1250" s="1463"/>
      <c r="AD1250" s="1463"/>
      <c r="AE1250" s="1463"/>
      <c r="AF1250" s="1463"/>
    </row>
    <row r="1251" spans="1:32" ht="15" customHeight="1">
      <c r="A1251" s="2169"/>
      <c r="B1251" s="2165" t="s">
        <v>1757</v>
      </c>
      <c r="C1251" s="2165"/>
      <c r="D1251" s="2165"/>
      <c r="E1251" s="2165"/>
      <c r="F1251" s="2165"/>
      <c r="G1251" s="2165"/>
      <c r="H1251" s="2165"/>
      <c r="I1251" s="2165"/>
      <c r="J1251" s="2165"/>
      <c r="K1251" s="2165"/>
      <c r="L1251" s="2165"/>
      <c r="M1251" s="1463"/>
      <c r="N1251" s="1463"/>
      <c r="O1251" s="2567" t="str">
        <f>'Part VIII Scoring Criteria'!AA40</f>
        <v>N/a</v>
      </c>
      <c r="P1251" s="2567"/>
      <c r="Q1251" s="1463"/>
      <c r="R1251" s="1445"/>
      <c r="S1251" s="1445"/>
      <c r="T1251" s="2136"/>
      <c r="U1251" s="1463"/>
      <c r="V1251" s="1463"/>
      <c r="W1251" s="1463"/>
      <c r="X1251" s="1463"/>
      <c r="Y1251" s="1463"/>
      <c r="Z1251" s="1463"/>
      <c r="AA1251" s="1463"/>
      <c r="AB1251" s="1463"/>
      <c r="AC1251" s="1463"/>
      <c r="AD1251" s="1463"/>
      <c r="AE1251" s="1463"/>
      <c r="AF1251" s="1463"/>
    </row>
    <row r="1252" spans="1:32" ht="14.4">
      <c r="A1252" s="2169"/>
      <c r="B1252" s="2170"/>
      <c r="C1252" s="1468"/>
      <c r="D1252" s="1468"/>
      <c r="E1252" s="1468"/>
      <c r="F1252" s="1468"/>
      <c r="G1252" s="1468"/>
      <c r="H1252" s="1468"/>
      <c r="I1252" s="1468"/>
      <c r="J1252" s="2171" t="s">
        <v>1758</v>
      </c>
      <c r="K1252" s="2171"/>
      <c r="L1252" s="1463"/>
      <c r="M1252" s="2171" t="s">
        <v>1758</v>
      </c>
      <c r="N1252" s="2171"/>
      <c r="O1252" s="2171"/>
      <c r="P1252" s="2171"/>
      <c r="Q1252" s="1463"/>
      <c r="R1252" s="2150"/>
      <c r="S1252" s="2150"/>
      <c r="T1252" s="2136"/>
      <c r="U1252" s="1463"/>
      <c r="V1252" s="1463"/>
      <c r="W1252" s="1463"/>
      <c r="X1252" s="1463"/>
      <c r="Y1252" s="1463"/>
      <c r="Z1252" s="1463"/>
      <c r="AA1252" s="1463"/>
      <c r="AB1252" s="1463"/>
      <c r="AC1252" s="1463"/>
      <c r="AD1252" s="1463"/>
      <c r="AE1252" s="1463"/>
      <c r="AF1252" s="1463"/>
    </row>
    <row r="1253" spans="1:32" ht="13.8">
      <c r="A1253" s="1733"/>
      <c r="B1253" s="2151" t="s">
        <v>201</v>
      </c>
      <c r="C1253" s="1446" t="s">
        <v>1759</v>
      </c>
      <c r="D1253" s="1463"/>
      <c r="E1253" s="1463"/>
      <c r="F1253" s="1463"/>
      <c r="G1253" s="1463"/>
      <c r="H1253" s="1463"/>
      <c r="I1253" s="1733"/>
      <c r="J1253" s="2172">
        <f>'Part VIII Scoring Criteria'!K42</f>
        <v>0</v>
      </c>
      <c r="K1253" s="2172"/>
      <c r="L1253" s="1733"/>
      <c r="M1253" s="2172"/>
      <c r="N1253" s="2172"/>
      <c r="O1253" s="2172"/>
      <c r="P1253" s="2172"/>
      <c r="Q1253" s="1463"/>
      <c r="R1253" s="2148"/>
      <c r="S1253" s="1463"/>
      <c r="T1253" s="1463"/>
      <c r="U1253" s="1463"/>
      <c r="V1253" s="1463"/>
      <c r="W1253" s="1463"/>
      <c r="X1253" s="1463"/>
      <c r="Y1253" s="1463"/>
      <c r="Z1253" s="1463"/>
      <c r="AA1253" s="1463"/>
      <c r="AB1253" s="1463"/>
      <c r="AC1253" s="1463"/>
      <c r="AD1253" s="1463"/>
      <c r="AE1253" s="1463"/>
      <c r="AF1253" s="1463"/>
    </row>
    <row r="1254" spans="1:32" ht="13.8">
      <c r="A1254" s="2146"/>
      <c r="B1254" s="2153" t="s">
        <v>209</v>
      </c>
      <c r="C1254" s="1446" t="s">
        <v>1760</v>
      </c>
      <c r="D1254" s="1463"/>
      <c r="E1254" s="1463"/>
      <c r="F1254" s="1463"/>
      <c r="G1254" s="1463"/>
      <c r="H1254" s="1463"/>
      <c r="I1254" s="2157"/>
      <c r="J1254" s="2172">
        <f>'Part VIII Scoring Criteria'!K43</f>
        <v>0</v>
      </c>
      <c r="K1254" s="2172"/>
      <c r="L1254" s="2157"/>
      <c r="M1254" s="2172"/>
      <c r="N1254" s="2172"/>
      <c r="O1254" s="2172"/>
      <c r="P1254" s="2172"/>
      <c r="Q1254" s="1463"/>
      <c r="R1254" s="1463"/>
      <c r="S1254" s="1463"/>
      <c r="T1254" s="1463"/>
      <c r="U1254" s="1463"/>
      <c r="V1254" s="1463"/>
      <c r="W1254" s="1463"/>
      <c r="X1254" s="1463"/>
      <c r="Y1254" s="1463"/>
      <c r="Z1254" s="1463"/>
      <c r="AA1254" s="1463"/>
      <c r="AB1254" s="1463"/>
      <c r="AC1254" s="1463"/>
      <c r="AD1254" s="1463"/>
      <c r="AE1254" s="1463"/>
      <c r="AF1254" s="1463"/>
    </row>
    <row r="1255" spans="1:32" ht="13.8">
      <c r="A1255" s="1463"/>
      <c r="B1255" s="2151" t="s">
        <v>213</v>
      </c>
      <c r="C1255" s="1446" t="s">
        <v>6976</v>
      </c>
      <c r="D1255" s="1463"/>
      <c r="E1255" s="1463"/>
      <c r="F1255" s="1463"/>
      <c r="G1255" s="1463"/>
      <c r="H1255" s="1463"/>
      <c r="I1255" s="1733"/>
      <c r="J1255" s="2172">
        <f>'Part VIII Scoring Criteria'!K44</f>
        <v>0</v>
      </c>
      <c r="K1255" s="2172"/>
      <c r="L1255" s="1733"/>
      <c r="M1255" s="2172"/>
      <c r="N1255" s="2172"/>
      <c r="O1255" s="2172"/>
      <c r="P1255" s="2172"/>
      <c r="Q1255" s="1463"/>
      <c r="R1255" s="1463"/>
      <c r="S1255" s="1463"/>
      <c r="T1255" s="1463"/>
      <c r="U1255" s="1463"/>
      <c r="V1255" s="1463"/>
      <c r="W1255" s="1463"/>
      <c r="X1255" s="1463"/>
      <c r="Y1255" s="1463"/>
      <c r="Z1255" s="1463"/>
      <c r="AA1255" s="1463"/>
      <c r="AB1255" s="1463"/>
      <c r="AC1255" s="1463"/>
      <c r="AD1255" s="1463"/>
      <c r="AE1255" s="1463"/>
      <c r="AF1255" s="1463"/>
    </row>
    <row r="1256" spans="1:32" ht="13.8">
      <c r="A1256" s="1463"/>
      <c r="B1256" s="2151" t="s">
        <v>253</v>
      </c>
      <c r="C1256" s="1446" t="s">
        <v>1762</v>
      </c>
      <c r="D1256" s="1463"/>
      <c r="E1256" s="1463"/>
      <c r="F1256" s="1463"/>
      <c r="G1256" s="1463"/>
      <c r="H1256" s="1463"/>
      <c r="I1256" s="1733"/>
      <c r="J1256" s="2172">
        <f>'Part VIII Scoring Criteria'!K45</f>
        <v>0</v>
      </c>
      <c r="K1256" s="2172"/>
      <c r="L1256" s="1733"/>
      <c r="M1256" s="2172"/>
      <c r="N1256" s="2172"/>
      <c r="O1256" s="2172"/>
      <c r="P1256" s="2172"/>
      <c r="Q1256" s="1463"/>
      <c r="R1256" s="1463"/>
      <c r="S1256" s="1463"/>
      <c r="T1256" s="1463"/>
      <c r="U1256" s="1463"/>
      <c r="V1256" s="1463"/>
      <c r="W1256" s="1463"/>
      <c r="X1256" s="1463"/>
      <c r="Y1256" s="1463"/>
      <c r="Z1256" s="1463"/>
      <c r="AA1256" s="1463"/>
      <c r="AB1256" s="1463"/>
      <c r="AC1256" s="1463"/>
      <c r="AD1256" s="1463"/>
      <c r="AE1256" s="1463"/>
      <c r="AF1256" s="1463"/>
    </row>
    <row r="1257" spans="1:32" ht="13.8">
      <c r="A1257" s="2146"/>
      <c r="B1257" s="2153" t="s">
        <v>255</v>
      </c>
      <c r="C1257" s="1446" t="s">
        <v>1763</v>
      </c>
      <c r="D1257" s="1463"/>
      <c r="E1257" s="1463"/>
      <c r="F1257" s="1463"/>
      <c r="G1257" s="1463"/>
      <c r="H1257" s="1463"/>
      <c r="I1257" s="1733"/>
      <c r="J1257" s="2172">
        <f>'Part VIII Scoring Criteria'!K46</f>
        <v>0</v>
      </c>
      <c r="K1257" s="2172"/>
      <c r="L1257" s="1733"/>
      <c r="M1257" s="2172"/>
      <c r="N1257" s="2172"/>
      <c r="O1257" s="2172"/>
      <c r="P1257" s="2172"/>
      <c r="Q1257" s="1463"/>
      <c r="R1257" s="1463"/>
      <c r="S1257" s="1463"/>
      <c r="T1257" s="1463"/>
      <c r="U1257" s="1463"/>
      <c r="V1257" s="1463"/>
      <c r="W1257" s="1463"/>
      <c r="X1257" s="1463"/>
      <c r="Y1257" s="1463"/>
      <c r="Z1257" s="1463"/>
      <c r="AA1257" s="1463"/>
      <c r="AB1257" s="1463"/>
      <c r="AC1257" s="1463"/>
      <c r="AD1257" s="1463"/>
      <c r="AE1257" s="1463"/>
      <c r="AF1257" s="1463"/>
    </row>
    <row r="1258" spans="1:32" ht="13.8">
      <c r="A1258" s="1733"/>
      <c r="B1258" s="2151" t="s">
        <v>257</v>
      </c>
      <c r="C1258" s="1446" t="s">
        <v>1764</v>
      </c>
      <c r="D1258" s="1463"/>
      <c r="E1258" s="1463"/>
      <c r="F1258" s="1463"/>
      <c r="G1258" s="1463"/>
      <c r="H1258" s="1463"/>
      <c r="I1258" s="2157"/>
      <c r="J1258" s="2172">
        <f>'Part VIII Scoring Criteria'!K47</f>
        <v>0</v>
      </c>
      <c r="K1258" s="2172"/>
      <c r="L1258" s="2157"/>
      <c r="M1258" s="2172"/>
      <c r="N1258" s="2172"/>
      <c r="O1258" s="2172"/>
      <c r="P1258" s="2172"/>
      <c r="Q1258" s="1463"/>
      <c r="R1258" s="1463"/>
      <c r="S1258" s="1463"/>
      <c r="T1258" s="1463"/>
      <c r="U1258" s="1463"/>
      <c r="V1258" s="1463"/>
      <c r="W1258" s="1463"/>
      <c r="X1258" s="1463"/>
      <c r="Y1258" s="1463"/>
      <c r="Z1258" s="1463"/>
      <c r="AA1258" s="1463"/>
      <c r="AB1258" s="1463"/>
      <c r="AC1258" s="1463"/>
      <c r="AD1258" s="1463"/>
      <c r="AE1258" s="1463"/>
      <c r="AF1258" s="1463"/>
    </row>
    <row r="1259" spans="1:32" ht="13.8">
      <c r="A1259" s="1463"/>
      <c r="B1259" s="2151" t="s">
        <v>259</v>
      </c>
      <c r="C1259" s="1446" t="s">
        <v>1765</v>
      </c>
      <c r="D1259" s="1463"/>
      <c r="E1259" s="1463"/>
      <c r="F1259" s="1463"/>
      <c r="G1259" s="1463"/>
      <c r="H1259" s="1463"/>
      <c r="I1259" s="1733"/>
      <c r="J1259" s="2172">
        <f>'Part VIII Scoring Criteria'!K48</f>
        <v>0</v>
      </c>
      <c r="K1259" s="2172"/>
      <c r="L1259" s="1733"/>
      <c r="M1259" s="2172"/>
      <c r="N1259" s="2172"/>
      <c r="O1259" s="2172"/>
      <c r="P1259" s="2172"/>
      <c r="Q1259" s="1463"/>
      <c r="R1259" s="1463"/>
      <c r="S1259" s="1463"/>
      <c r="T1259" s="1463"/>
      <c r="U1259" s="1463"/>
      <c r="V1259" s="1463"/>
      <c r="W1259" s="1463"/>
      <c r="X1259" s="1463"/>
      <c r="Y1259" s="1463"/>
      <c r="Z1259" s="1463"/>
      <c r="AA1259" s="1463"/>
      <c r="AB1259" s="1463"/>
      <c r="AC1259" s="1463"/>
      <c r="AD1259" s="1463"/>
      <c r="AE1259" s="1463"/>
      <c r="AF1259" s="1463"/>
    </row>
    <row r="1260" spans="1:32" ht="13.8">
      <c r="A1260" s="1463"/>
      <c r="B1260" s="2151" t="s">
        <v>261</v>
      </c>
      <c r="C1260" s="1446" t="s">
        <v>1766</v>
      </c>
      <c r="D1260" s="1463"/>
      <c r="E1260" s="1463"/>
      <c r="F1260" s="1463"/>
      <c r="G1260" s="1463"/>
      <c r="H1260" s="1463"/>
      <c r="I1260" s="1733"/>
      <c r="J1260" s="2172">
        <f>'Part VIII Scoring Criteria'!K49</f>
        <v>0</v>
      </c>
      <c r="K1260" s="2172"/>
      <c r="L1260" s="1733"/>
      <c r="M1260" s="2172"/>
      <c r="N1260" s="2172"/>
      <c r="O1260" s="2172"/>
      <c r="P1260" s="2172"/>
      <c r="Q1260" s="1463"/>
      <c r="R1260" s="2148"/>
      <c r="S1260" s="1463"/>
      <c r="T1260" s="1463"/>
      <c r="U1260" s="1463"/>
      <c r="V1260" s="1463"/>
      <c r="W1260" s="1463"/>
      <c r="X1260" s="1463"/>
      <c r="Y1260" s="1463"/>
      <c r="Z1260" s="1463"/>
      <c r="AA1260" s="1463"/>
      <c r="AB1260" s="1463"/>
      <c r="AC1260" s="1463"/>
      <c r="AD1260" s="1463"/>
      <c r="AE1260" s="1463"/>
      <c r="AF1260" s="1463"/>
    </row>
    <row r="1261" spans="1:32" ht="13.8">
      <c r="A1261" s="2146"/>
      <c r="B1261" s="2151" t="s">
        <v>263</v>
      </c>
      <c r="C1261" s="1446" t="s">
        <v>1767</v>
      </c>
      <c r="D1261" s="1463"/>
      <c r="E1261" s="1463"/>
      <c r="F1261" s="1463"/>
      <c r="G1261" s="1463"/>
      <c r="H1261" s="1463"/>
      <c r="I1261" s="1733"/>
      <c r="J1261" s="2172">
        <f>'Part VIII Scoring Criteria'!K50</f>
        <v>0</v>
      </c>
      <c r="K1261" s="2172"/>
      <c r="L1261" s="1733"/>
      <c r="M1261" s="2172"/>
      <c r="N1261" s="2172"/>
      <c r="O1261" s="2172"/>
      <c r="P1261" s="2172"/>
      <c r="Q1261" s="1463"/>
      <c r="R1261" s="2148"/>
      <c r="S1261" s="1463"/>
      <c r="T1261" s="1463"/>
      <c r="U1261" s="1463"/>
      <c r="V1261" s="1463"/>
      <c r="W1261" s="1463"/>
      <c r="X1261" s="1463"/>
      <c r="Y1261" s="1463"/>
      <c r="Z1261" s="1463"/>
      <c r="AA1261" s="1463"/>
      <c r="AB1261" s="1463"/>
      <c r="AC1261" s="1463"/>
      <c r="AD1261" s="1463"/>
      <c r="AE1261" s="1463"/>
      <c r="AF1261" s="1463"/>
    </row>
    <row r="1262" spans="1:32" ht="13.8">
      <c r="A1262" s="1463"/>
      <c r="B1262" s="2151" t="s">
        <v>1768</v>
      </c>
      <c r="C1262" s="1446" t="s">
        <v>7608</v>
      </c>
      <c r="D1262" s="1463"/>
      <c r="E1262" s="1463"/>
      <c r="F1262" s="1463"/>
      <c r="G1262" s="1463"/>
      <c r="H1262" s="1463"/>
      <c r="I1262" s="1733"/>
      <c r="J1262" s="2172" t="e">
        <f>'Part VIII Scoring Criteria'!#REF!</f>
        <v>#REF!</v>
      </c>
      <c r="K1262" s="2172"/>
      <c r="L1262" s="1733"/>
      <c r="M1262" s="2172"/>
      <c r="N1262" s="2172"/>
      <c r="O1262" s="2172"/>
      <c r="P1262" s="2172"/>
      <c r="Q1262" s="1463"/>
      <c r="R1262" s="2148"/>
      <c r="S1262" s="1463"/>
      <c r="T1262" s="1463"/>
      <c r="U1262" s="1463"/>
      <c r="V1262" s="1463"/>
      <c r="W1262" s="1463"/>
      <c r="X1262" s="1463"/>
      <c r="Y1262" s="1463"/>
      <c r="Z1262" s="1463"/>
      <c r="AA1262" s="1463"/>
      <c r="AB1262" s="1463"/>
      <c r="AC1262" s="1463"/>
      <c r="AD1262" s="1463"/>
      <c r="AE1262" s="1463"/>
      <c r="AF1262" s="1463"/>
    </row>
    <row r="1263" spans="1:32" ht="13.8">
      <c r="A1263" s="1463"/>
      <c r="B1263" s="2151" t="s">
        <v>1770</v>
      </c>
      <c r="C1263" s="1446" t="s">
        <v>1769</v>
      </c>
      <c r="D1263" s="1463"/>
      <c r="E1263" s="1463"/>
      <c r="F1263" s="1463"/>
      <c r="G1263" s="1463"/>
      <c r="H1263" s="1463"/>
      <c r="I1263" s="1733"/>
      <c r="J1263" s="2172">
        <f>'Part VIII Scoring Criteria'!K51</f>
        <v>0</v>
      </c>
      <c r="K1263" s="2172"/>
      <c r="L1263" s="1733"/>
      <c r="M1263" s="2172"/>
      <c r="N1263" s="2172"/>
      <c r="O1263" s="2172"/>
      <c r="P1263" s="2172"/>
      <c r="Q1263" s="1463"/>
      <c r="R1263" s="2148"/>
      <c r="S1263" s="1463"/>
      <c r="T1263" s="1463"/>
      <c r="U1263" s="1463"/>
      <c r="V1263" s="1463"/>
      <c r="W1263" s="1463"/>
      <c r="X1263" s="1463"/>
      <c r="Y1263" s="1463"/>
      <c r="Z1263" s="1463"/>
      <c r="AA1263" s="1463"/>
      <c r="AB1263" s="1463"/>
      <c r="AC1263" s="1463"/>
      <c r="AD1263" s="1463"/>
      <c r="AE1263" s="1463"/>
      <c r="AF1263" s="1463"/>
    </row>
    <row r="1264" spans="1:32" ht="13.8">
      <c r="A1264" s="1463"/>
      <c r="B1264" s="2151" t="s">
        <v>7609</v>
      </c>
      <c r="C1264" s="1446" t="s">
        <v>1771</v>
      </c>
      <c r="D1264" s="1463"/>
      <c r="E1264" s="1463"/>
      <c r="F1264" s="1463"/>
      <c r="G1264" s="1463"/>
      <c r="H1264" s="1463"/>
      <c r="I1264" s="1733"/>
      <c r="J1264" s="2172">
        <f>'Part VIII Scoring Criteria'!K52</f>
        <v>0</v>
      </c>
      <c r="K1264" s="2172"/>
      <c r="L1264" s="1733"/>
      <c r="M1264" s="2172"/>
      <c r="N1264" s="2172"/>
      <c r="O1264" s="2172"/>
      <c r="P1264" s="2172"/>
      <c r="Q1264" s="1463"/>
      <c r="R1264" s="2148"/>
      <c r="S1264" s="1463"/>
      <c r="T1264" s="1463"/>
      <c r="U1264" s="1463"/>
      <c r="V1264" s="1463"/>
      <c r="W1264" s="1463"/>
      <c r="X1264" s="1463"/>
      <c r="Y1264" s="1463"/>
      <c r="Z1264" s="1463"/>
      <c r="AA1264" s="1463"/>
      <c r="AB1264" s="1463"/>
      <c r="AC1264" s="1463"/>
      <c r="AD1264" s="1463"/>
      <c r="AE1264" s="1463"/>
      <c r="AF1264" s="1463"/>
    </row>
    <row r="1265" spans="1:32" ht="13.8">
      <c r="A1265" s="1463"/>
      <c r="B1265" s="1446"/>
      <c r="C1265" s="1463"/>
      <c r="D1265" s="1463"/>
      <c r="E1265" s="1463"/>
      <c r="F1265" s="1463"/>
      <c r="G1265" s="1463"/>
      <c r="H1265" s="1463"/>
      <c r="I1265" s="1737" t="s">
        <v>1772</v>
      </c>
      <c r="J1265" s="2172" t="e">
        <f>SUM(J1253:K1264)</f>
        <v>#REF!</v>
      </c>
      <c r="K1265" s="2172"/>
      <c r="L1265" s="1463"/>
      <c r="M1265" s="2172">
        <f>SUM($M1253:$M1264)</f>
        <v>0</v>
      </c>
      <c r="N1265" s="2172"/>
      <c r="O1265" s="2172"/>
      <c r="P1265" s="2172"/>
      <c r="Q1265" s="1463"/>
      <c r="R1265" s="1463"/>
      <c r="S1265" s="1463"/>
      <c r="T1265" s="1463"/>
      <c r="U1265" s="1463" t="s">
        <v>1773</v>
      </c>
      <c r="V1265" s="1463"/>
      <c r="W1265" s="1463"/>
      <c r="X1265" s="1463"/>
      <c r="Y1265" s="1463"/>
      <c r="Z1265" s="1463"/>
      <c r="AA1265" s="1463"/>
      <c r="AB1265" s="1463"/>
      <c r="AC1265" s="1463"/>
      <c r="AD1265" s="1463"/>
      <c r="AE1265" s="1463"/>
      <c r="AF1265" s="1463"/>
    </row>
    <row r="1266" spans="1:32" ht="13.8">
      <c r="A1266" s="1463"/>
      <c r="B1266" s="1463"/>
      <c r="C1266" s="1463"/>
      <c r="D1266" s="1463"/>
      <c r="E1266" s="1463"/>
      <c r="F1266" s="1463"/>
      <c r="G1266" s="1463"/>
      <c r="H1266" s="1463"/>
      <c r="I1266" s="1463"/>
      <c r="J1266" s="1463"/>
      <c r="K1266" s="1463"/>
      <c r="L1266" s="1463"/>
      <c r="M1266" s="1445"/>
      <c r="N1266" s="1445"/>
      <c r="O1266" s="1463"/>
      <c r="P1266" s="1445"/>
      <c r="Q1266" s="1463"/>
      <c r="R1266" s="1463"/>
      <c r="S1266" s="1463"/>
      <c r="T1266" s="1463"/>
      <c r="U1266" s="2173" t="s">
        <v>1774</v>
      </c>
      <c r="V1266" s="2173" t="s">
        <v>1722</v>
      </c>
      <c r="W1266" s="2173" t="s">
        <v>1774</v>
      </c>
      <c r="X1266" s="2173" t="s">
        <v>1722</v>
      </c>
      <c r="Y1266" s="2173" t="s">
        <v>1774</v>
      </c>
      <c r="Z1266" s="2173" t="s">
        <v>1722</v>
      </c>
      <c r="AA1266" s="1463"/>
      <c r="AB1266" s="1463"/>
      <c r="AC1266" s="1463"/>
      <c r="AD1266" s="1463"/>
      <c r="AE1266" s="1463"/>
      <c r="AF1266" s="1463"/>
    </row>
    <row r="1267" spans="1:32" ht="13.8">
      <c r="A1267" s="1446"/>
      <c r="B1267" s="2151"/>
      <c r="C1267" s="1470" t="s">
        <v>1775</v>
      </c>
      <c r="D1267" s="1446"/>
      <c r="E1267" s="1446"/>
      <c r="F1267" s="1463"/>
      <c r="G1267" s="1463"/>
      <c r="H1267" s="1463"/>
      <c r="I1267" s="1733" t="s">
        <v>1776</v>
      </c>
      <c r="J1267" s="2172">
        <f>'Part V-Revenues &amp; Expenses'!$P$76</f>
        <v>96</v>
      </c>
      <c r="K1267" s="2172"/>
      <c r="L1267" s="1445"/>
      <c r="M1267" s="1445"/>
      <c r="N1267" s="1445"/>
      <c r="O1267" s="1463"/>
      <c r="P1267" s="1445"/>
      <c r="Q1267" s="1463"/>
      <c r="R1267" s="2174" t="s">
        <v>1777</v>
      </c>
      <c r="S1267" s="1463"/>
      <c r="T1267" s="1463"/>
      <c r="U1267" s="2175">
        <v>500000</v>
      </c>
      <c r="V1267" s="2176">
        <v>999999.99</v>
      </c>
      <c r="W1267" s="2175">
        <v>1000000</v>
      </c>
      <c r="X1267" s="2176">
        <v>1999999.99</v>
      </c>
      <c r="Y1267" s="2175">
        <v>2000000</v>
      </c>
      <c r="Z1267" s="2175"/>
      <c r="AA1267" s="1463"/>
      <c r="AB1267" s="1463"/>
      <c r="AC1267" s="1463"/>
      <c r="AD1267" s="1463"/>
      <c r="AE1267" s="1463"/>
      <c r="AF1267" s="1463"/>
    </row>
    <row r="1268" spans="1:32" ht="13.8">
      <c r="A1268" s="1463"/>
      <c r="B1268" s="1463"/>
      <c r="C1268" s="1446"/>
      <c r="D1268" s="1446"/>
      <c r="E1268" s="1446"/>
      <c r="F1268" s="1463"/>
      <c r="G1268" s="1463"/>
      <c r="H1268" s="1463"/>
      <c r="I1268" s="2146" t="s">
        <v>1778</v>
      </c>
      <c r="J1268" s="2177" t="e">
        <f>IF(J1267=0,0,J1265/J1267)</f>
        <v>#REF!</v>
      </c>
      <c r="K1268" s="2177"/>
      <c r="L1268" s="1463"/>
      <c r="M1268" s="2177">
        <f>IF(J1267=0,0,M1265/J1267)</f>
        <v>0</v>
      </c>
      <c r="N1268" s="2177"/>
      <c r="O1268" s="2177"/>
      <c r="P1268" s="2177"/>
      <c r="Q1268" s="1463"/>
      <c r="R1268" s="2174" t="s">
        <v>1779</v>
      </c>
      <c r="S1268" s="1463"/>
      <c r="T1268" s="1463"/>
      <c r="U1268" s="2175">
        <v>10000</v>
      </c>
      <c r="V1268" s="2176">
        <v>19999.990000000002</v>
      </c>
      <c r="W1268" s="2175">
        <v>20000</v>
      </c>
      <c r="X1268" s="2176">
        <v>29999.99</v>
      </c>
      <c r="Y1268" s="2175">
        <v>30000</v>
      </c>
      <c r="Z1268" s="2175"/>
      <c r="AA1268" s="1463"/>
      <c r="AB1268" s="1463"/>
      <c r="AC1268" s="1463"/>
      <c r="AD1268" s="1463"/>
      <c r="AE1268" s="1463"/>
      <c r="AF1268" s="1463"/>
    </row>
    <row r="1269" spans="1:32" ht="13.8">
      <c r="A1269" s="1463"/>
      <c r="B1269" s="1463"/>
      <c r="C1269" s="1446"/>
      <c r="D1269" s="1446"/>
      <c r="E1269" s="1446"/>
      <c r="F1269" s="1463"/>
      <c r="G1269" s="1463"/>
      <c r="H1269" s="1463"/>
      <c r="I1269" s="2146" t="s">
        <v>1780</v>
      </c>
      <c r="J1269" s="2172">
        <f>'Part VIII Scoring Criteria'!T57</f>
        <v>2</v>
      </c>
      <c r="K1269" s="2172"/>
      <c r="L1269" s="1463"/>
      <c r="M1269" s="2172">
        <f>IF(AND(M1256+M1261&gt;0,M1265&gt;=$Y$73),$Y$75, IF(AND(M1256+M1261=0,M1265&gt;=$Y$73),$Y$76, IF(AND(M1256+M1261&gt;0,M1265&gt;=$W$73),$W$75,IF(AND(M1256+M1261=0,M1265&gt;=$W$73),$W$76, IF(AND(M1256+M1261&gt;0,M1265&gt;=$U$73),$U$75,IF(AND(M1256+M1261=0,M1265&gt;=$U$73),$U$76,0))))))</f>
        <v>0</v>
      </c>
      <c r="N1269" s="2172"/>
      <c r="O1269" s="2172">
        <f>IF(AND(O1256+O1261&gt;0,O1265&gt;=$Y$73),$Y$75, IF(AND(O1256+O1261=0,O1265&gt;=$Y$73),$Y$76, IF(AND(O1256+O1261&gt;0,O1265&gt;=$W$73),$W$75,IF(AND(O1256+O1261=0,O1265&gt;=$W$73),$W$76, IF(AND(O1256+O1261&gt;0,O1265&gt;=$U$73),$U$75,IF(AND(O1256+O1261=0,O1265&gt;=$U$73),$U$76,0))))))</f>
        <v>0</v>
      </c>
      <c r="P1269" s="2172"/>
      <c r="Q1269" s="1463"/>
      <c r="R1269" s="2174" t="s">
        <v>1781</v>
      </c>
      <c r="S1269" s="1463"/>
      <c r="T1269" s="1463"/>
      <c r="U1269" s="1446">
        <v>2</v>
      </c>
      <c r="V1269" s="1446"/>
      <c r="W1269" s="1446">
        <v>3</v>
      </c>
      <c r="X1269" s="1446"/>
      <c r="Y1269" s="1446">
        <v>4</v>
      </c>
      <c r="Z1269" s="1446"/>
      <c r="AA1269" s="1463"/>
      <c r="AB1269" s="1463"/>
      <c r="AC1269" s="1463"/>
      <c r="AD1269" s="1463"/>
      <c r="AE1269" s="1463"/>
      <c r="AF1269" s="1463"/>
    </row>
    <row r="1270" spans="1:32" ht="13.8">
      <c r="A1270" s="1463"/>
      <c r="B1270" s="1463"/>
      <c r="C1270" s="1446"/>
      <c r="D1270" s="1446"/>
      <c r="E1270" s="1446"/>
      <c r="F1270" s="1463"/>
      <c r="G1270" s="1463"/>
      <c r="H1270" s="1463"/>
      <c r="I1270" s="2146" t="s">
        <v>1782</v>
      </c>
      <c r="J1270" s="2178">
        <f>'Part VIII Scoring Criteria'!T58</f>
        <v>1</v>
      </c>
      <c r="K1270" s="2178"/>
      <c r="L1270" s="1445"/>
      <c r="M1270" s="2178">
        <f>IF(AND(M1256+M1261&gt;0,$M$74&gt;=$Y$74),$Y$75,IF(AND(M1256+M1261=0,$M$74&gt;=$Y$74),$Y$76,IF(AND(M1256+M1261&gt;0,$M$74&gt;=$W$74),$W$75,IF(AND(M1256+M1261=0,$M$74&gt;=$W$74),$W$76,IF(AND(M1256+M1261&gt;0,$M$74&gt;=$U$74),$U$75,IF(AND(M1256+M1261=0,$M$74&gt;=$U$74),$U$76,0))))))</f>
        <v>0</v>
      </c>
      <c r="N1270" s="2178"/>
      <c r="O1270" s="2178">
        <f t="shared" ref="O1270" si="446">IF(AND(O1256+O1261&gt;0,$J$73&gt;=$Y$74),$Y$75, IF(AND(O1256+O1261=0,$J$73&gt;=$Y$74),$Y$76, IF(AND(O1256+O1261&gt;0,$J$73&gt;=$W$74),$W$75,IF(AND(O1256+O1261=0,$J$73&gt;=$W$74),$W$76, IF(AND(O1256+O1261&gt;0,$J$73&gt;=$U$74),$U$75,IF(AND(O1256+O1261=0,$J$73&gt;=$U$74),$U$76,0))))))</f>
        <v>0</v>
      </c>
      <c r="P1270" s="2178"/>
      <c r="Q1270" s="1463"/>
      <c r="R1270" s="2174" t="s">
        <v>1783</v>
      </c>
      <c r="S1270" s="1463"/>
      <c r="T1270" s="1463"/>
      <c r="U1270" s="1446">
        <v>1</v>
      </c>
      <c r="V1270" s="1446"/>
      <c r="W1270" s="1446">
        <v>2</v>
      </c>
      <c r="X1270" s="1446"/>
      <c r="Y1270" s="1446">
        <v>3</v>
      </c>
      <c r="Z1270" s="1446"/>
      <c r="AA1270" s="1463"/>
      <c r="AB1270" s="1463"/>
      <c r="AC1270" s="1463"/>
      <c r="AD1270" s="1463"/>
      <c r="AE1270" s="1463"/>
      <c r="AF1270" s="1463"/>
    </row>
    <row r="1271" spans="1:32" ht="13.8">
      <c r="A1271" s="1463"/>
      <c r="B1271" s="1463"/>
      <c r="C1271" s="1463"/>
      <c r="D1271" s="1463"/>
      <c r="E1271" s="1463"/>
      <c r="F1271" s="1463"/>
      <c r="G1271" s="1463"/>
      <c r="H1271" s="1463"/>
      <c r="I1271" s="1463"/>
      <c r="J1271" s="1463"/>
      <c r="K1271" s="1463"/>
      <c r="L1271" s="1463"/>
      <c r="M1271" s="1463"/>
      <c r="N1271" s="1463"/>
      <c r="O1271" s="1470"/>
      <c r="P1271" s="1470"/>
      <c r="Q1271" s="1463"/>
      <c r="R1271" s="1463"/>
      <c r="S1271" s="1463"/>
      <c r="T1271" s="1463"/>
      <c r="U1271" s="1463"/>
      <c r="V1271" s="1463"/>
      <c r="W1271" s="1463"/>
      <c r="X1271" s="1463"/>
      <c r="Y1271" s="1463"/>
      <c r="Z1271" s="1463"/>
      <c r="AA1271" s="1463"/>
      <c r="AB1271" s="1463"/>
      <c r="AC1271" s="1463"/>
      <c r="AD1271" s="1463"/>
      <c r="AE1271" s="1463"/>
      <c r="AF1271" s="1463"/>
    </row>
    <row r="1272" spans="1:32" ht="13.8">
      <c r="A1272" s="2567" t="s">
        <v>198</v>
      </c>
      <c r="B1272" s="1445" t="s">
        <v>1784</v>
      </c>
      <c r="C1272" s="1463"/>
      <c r="D1272" s="1446"/>
      <c r="E1272" s="1463"/>
      <c r="F1272" s="2179" t="s">
        <v>1785</v>
      </c>
      <c r="G1272" s="1463"/>
      <c r="H1272" s="1463"/>
      <c r="I1272" s="1463"/>
      <c r="J1272" s="1463"/>
      <c r="K1272" s="1446"/>
      <c r="L1272" s="2180" t="s">
        <v>1786</v>
      </c>
      <c r="M1272" s="1454">
        <v>1</v>
      </c>
      <c r="N1272" s="1733"/>
      <c r="O1272" s="2141">
        <f>'Part VIII Scoring Criteria'!AA60</f>
        <v>0</v>
      </c>
      <c r="P1272" s="2141">
        <f>'Part VIII Scoring Criteria'!AB60</f>
        <v>0</v>
      </c>
      <c r="Q1272" s="2149"/>
      <c r="R1272" s="2150"/>
      <c r="S1272" s="1463"/>
      <c r="T1272" s="1731"/>
      <c r="U1272" s="1731"/>
      <c r="V1272" s="1463"/>
      <c r="W1272" s="1463"/>
      <c r="X1272" s="1463"/>
      <c r="Y1272" s="1463"/>
      <c r="Z1272" s="1463"/>
      <c r="AA1272" s="1463"/>
      <c r="AB1272" s="1463"/>
      <c r="AC1272" s="1463"/>
      <c r="AD1272" s="1463"/>
      <c r="AE1272" s="1463"/>
      <c r="AF1272" s="1463"/>
    </row>
    <row r="1273" spans="1:32" ht="13.8">
      <c r="A1273" s="2567"/>
      <c r="B1273" s="2151" t="s">
        <v>201</v>
      </c>
      <c r="C1273" s="1465" t="s">
        <v>1787</v>
      </c>
      <c r="D1273" s="1446"/>
      <c r="E1273" s="1446"/>
      <c r="F1273" s="2181" t="s">
        <v>1788</v>
      </c>
      <c r="G1273" s="1446"/>
      <c r="H1273" s="1446"/>
      <c r="I1273" s="2567"/>
      <c r="J1273" s="1465"/>
      <c r="K1273" s="1465"/>
      <c r="L1273" s="2148" t="str">
        <f>IF(OR($O1273=$M1273,$O1273=0,$O1273=""),"","* * Check Score! * *")</f>
        <v/>
      </c>
      <c r="M1273" s="2182">
        <v>0.5</v>
      </c>
      <c r="N1273" s="1733"/>
      <c r="O1273" s="2567">
        <f>'Part VIII Scoring Criteria'!AA61</f>
        <v>0</v>
      </c>
      <c r="P1273" s="2141"/>
      <c r="Q1273" s="2150"/>
      <c r="R1273" s="1446"/>
      <c r="S1273" s="1446"/>
      <c r="T1273" s="1446"/>
      <c r="U1273" s="1446"/>
      <c r="V1273" s="1731"/>
      <c r="W1273" s="1446"/>
      <c r="X1273" s="1446"/>
      <c r="Y1273" s="1446"/>
      <c r="Z1273" s="1446"/>
      <c r="AA1273" s="1446"/>
      <c r="AB1273" s="1446"/>
      <c r="AC1273" s="1446"/>
      <c r="AD1273" s="1446"/>
      <c r="AE1273" s="1446"/>
      <c r="AF1273" s="1446"/>
    </row>
    <row r="1274" spans="1:32" ht="13.8">
      <c r="A1274" s="2567"/>
      <c r="B1274" s="2153" t="s">
        <v>209</v>
      </c>
      <c r="C1274" s="1465" t="s">
        <v>6985</v>
      </c>
      <c r="D1274" s="1446"/>
      <c r="E1274" s="1446"/>
      <c r="F1274" s="2567"/>
      <c r="G1274" s="1446"/>
      <c r="H1274" s="1446"/>
      <c r="I1274" s="2567"/>
      <c r="J1274" s="1465"/>
      <c r="K1274" s="1465"/>
      <c r="L1274" s="2148" t="str">
        <f>IF(OR($O1274=$M1274,$O1274=0,$O1274=""),"","* * Check Score! * *")</f>
        <v/>
      </c>
      <c r="M1274" s="2182">
        <v>1</v>
      </c>
      <c r="N1274" s="1733"/>
      <c r="O1274" s="1462">
        <f>'Part VIII Scoring Criteria'!AA62</f>
        <v>0</v>
      </c>
      <c r="P1274" s="1462">
        <f>'Part VIII Scoring Criteria'!AB62</f>
        <v>0</v>
      </c>
      <c r="Q1274" s="2150"/>
      <c r="R1274" s="1446"/>
      <c r="S1274" s="1446"/>
      <c r="T1274" s="1446"/>
      <c r="U1274" s="1446"/>
      <c r="V1274" s="1731"/>
      <c r="W1274" s="1446"/>
      <c r="X1274" s="1446"/>
      <c r="Y1274" s="1446"/>
      <c r="Z1274" s="1446"/>
      <c r="AA1274" s="1446"/>
      <c r="AB1274" s="1446"/>
      <c r="AC1274" s="1446"/>
      <c r="AD1274" s="1446"/>
      <c r="AE1274" s="1446"/>
      <c r="AF1274" s="1446"/>
    </row>
    <row r="1275" spans="1:32" ht="13.8">
      <c r="A1275" s="1737"/>
      <c r="B1275" s="2183"/>
      <c r="C1275" s="1469" t="s">
        <v>7604</v>
      </c>
      <c r="D1275" s="1468"/>
      <c r="E1275" s="1468"/>
      <c r="F1275" s="1468"/>
      <c r="G1275" s="1468"/>
      <c r="H1275" s="1468"/>
      <c r="I1275" s="1468"/>
      <c r="J1275" s="1468"/>
      <c r="K1275" s="1468"/>
      <c r="L1275" s="1468"/>
      <c r="M1275" s="1468"/>
      <c r="N1275" s="2184"/>
      <c r="O1275" s="2567">
        <f>'Part VIII Scoring Criteria'!AA63</f>
        <v>0</v>
      </c>
      <c r="P1275" s="2155"/>
      <c r="Q1275" s="1463"/>
      <c r="R1275" s="1463"/>
      <c r="S1275" s="1463"/>
      <c r="T1275" s="1463"/>
      <c r="U1275" s="1463"/>
      <c r="V1275" s="1731"/>
      <c r="W1275" s="1463"/>
      <c r="X1275" s="1463"/>
      <c r="Y1275" s="1463"/>
      <c r="Z1275" s="1463"/>
      <c r="AA1275" s="1463"/>
      <c r="AB1275" s="1463"/>
      <c r="AC1275" s="1463"/>
      <c r="AD1275" s="1463"/>
      <c r="AE1275" s="1463"/>
      <c r="AF1275" s="1463"/>
    </row>
    <row r="1276" spans="1:32" ht="13.8">
      <c r="A1276" s="1737"/>
      <c r="B1276" s="2183"/>
      <c r="C1276" s="1446" t="s">
        <v>7610</v>
      </c>
      <c r="D1276" s="1446"/>
      <c r="E1276" s="1446"/>
      <c r="F1276" s="1446"/>
      <c r="G1276" s="1446"/>
      <c r="H1276" s="1446"/>
      <c r="I1276" s="1446"/>
      <c r="J1276" s="1446"/>
      <c r="K1276" s="1446"/>
      <c r="L1276" s="1463"/>
      <c r="M1276" s="1446"/>
      <c r="N1276" s="2185"/>
      <c r="O1276" s="2567">
        <f>'Part VIII Scoring Criteria'!AA64</f>
        <v>0</v>
      </c>
      <c r="P1276" s="2567"/>
      <c r="Q1276" s="1463"/>
      <c r="R1276" s="1463"/>
      <c r="S1276" s="1463"/>
      <c r="T1276" s="1463"/>
      <c r="U1276" s="1463"/>
      <c r="V1276" s="1731"/>
      <c r="W1276" s="1463"/>
      <c r="X1276" s="1463"/>
      <c r="Y1276" s="1463"/>
      <c r="Z1276" s="1463"/>
      <c r="AA1276" s="1463"/>
      <c r="AB1276" s="1463"/>
      <c r="AC1276" s="1463"/>
      <c r="AD1276" s="1463"/>
      <c r="AE1276" s="1463"/>
      <c r="AF1276" s="1463"/>
    </row>
    <row r="1277" spans="1:32" ht="14.4">
      <c r="A1277" s="1446"/>
      <c r="B1277" s="2142" t="s">
        <v>7607</v>
      </c>
      <c r="C1277" s="1446"/>
      <c r="D1277" s="1446"/>
      <c r="E1277" s="1446"/>
      <c r="F1277" s="1446"/>
      <c r="G1277" s="1446"/>
      <c r="H1277" s="1446"/>
      <c r="I1277" s="1446"/>
      <c r="J1277" s="1446"/>
      <c r="K1277" s="1446"/>
      <c r="L1277" s="1463"/>
      <c r="M1277" s="1454"/>
      <c r="N1277" s="2568"/>
      <c r="O1277" s="1462"/>
      <c r="P1277" s="2569"/>
      <c r="Q1277" s="1463"/>
      <c r="R1277" s="1463"/>
      <c r="S1277" s="1463"/>
      <c r="T1277" s="1463"/>
      <c r="U1277" s="1463"/>
      <c r="V1277" s="1463"/>
      <c r="W1277" s="1463"/>
      <c r="X1277" s="1463"/>
      <c r="Y1277" s="1463"/>
      <c r="Z1277" s="1463"/>
      <c r="AA1277" s="1463"/>
      <c r="AB1277" s="1463"/>
      <c r="AC1277" s="1463"/>
      <c r="AD1277" s="1463"/>
      <c r="AE1277" s="1463"/>
      <c r="AF1277" s="1463"/>
    </row>
    <row r="1278" spans="1:32" ht="13.8">
      <c r="A1278" s="1469" t="str">
        <f>'Part VIII Scoring Criteria'!A66</f>
        <v>The proposed transaction involves the creation of a new ownership entity which will receive a loan it has never been party to before, therefore for the purposes of this tax partnership this is new debt. The lender has agreed to transfer the HOME loan from the existing borrower to this newly formed entity and re-amortize the debt with the new borrower. As this represents new indebtedness by a new borrower with new terms, this loan should be considered a qualifying favorable financing source under the 2026 Qualified Allocation Plan.
Recognition of the assumed HOME loan as qualifying financing is also consistent with the policy objectives of the QAP. The transaction preserves existing affordable housing resources, maintains long-term affordability restrictions, and leverages below-market public financing to facilitate rehabilitation and recapitalization of the property while maximizing the efficient use of tax credits. Treating the assumed HOME obligation as qualifying debt encourages preservation transactions and promotes continuity of affordability.
For these reasons, the assumed HOME loan should be considered eligible financing for purposes of scoring and evaluation under the 2026 Qualified Allocation Plan.</v>
      </c>
      <c r="B1278" s="1468"/>
      <c r="C1278" s="1468"/>
      <c r="D1278" s="1468"/>
      <c r="E1278" s="1468"/>
      <c r="F1278" s="1468"/>
      <c r="G1278" s="1468"/>
      <c r="H1278" s="1468"/>
      <c r="I1278" s="1468"/>
      <c r="J1278" s="1468"/>
      <c r="K1278" s="1468"/>
      <c r="L1278" s="1468"/>
      <c r="M1278" s="1468"/>
      <c r="N1278" s="1468"/>
      <c r="O1278" s="1468"/>
      <c r="P1278" s="1468"/>
      <c r="Q1278" s="1445"/>
      <c r="R1278" s="1463"/>
      <c r="S1278" s="1463"/>
      <c r="T1278" s="1463"/>
      <c r="U1278" s="1463"/>
      <c r="V1278" s="1463"/>
      <c r="W1278" s="1463"/>
      <c r="X1278" s="1463"/>
      <c r="Y1278" s="1463"/>
      <c r="Z1278" s="1463"/>
      <c r="AA1278" s="1463"/>
      <c r="AB1278" s="1463"/>
      <c r="AC1278" s="1463"/>
      <c r="AD1278" s="1463"/>
      <c r="AE1278" s="1463"/>
      <c r="AF1278" s="1463"/>
    </row>
    <row r="1279" spans="1:32" ht="14.4">
      <c r="A1279" s="1446"/>
      <c r="B1279" s="2142" t="s">
        <v>1453</v>
      </c>
      <c r="C1279" s="1446"/>
      <c r="D1279" s="2142"/>
      <c r="E1279" s="1446"/>
      <c r="F1279" s="1446"/>
      <c r="G1279" s="1446"/>
      <c r="H1279" s="1446"/>
      <c r="I1279" s="1446"/>
      <c r="J1279" s="1446"/>
      <c r="K1279" s="1446"/>
      <c r="L1279" s="1446"/>
      <c r="M1279" s="1446"/>
      <c r="N1279" s="1446"/>
      <c r="O1279" s="1445"/>
      <c r="P1279" s="1445"/>
      <c r="Q1279" s="1463"/>
      <c r="R1279" s="1446"/>
      <c r="S1279" s="1446"/>
      <c r="T1279" s="1446"/>
      <c r="U1279" s="1446"/>
      <c r="V1279" s="1446"/>
      <c r="W1279" s="1446"/>
      <c r="X1279" s="1446"/>
      <c r="Y1279" s="1446"/>
      <c r="Z1279" s="1446"/>
      <c r="AA1279" s="1446"/>
      <c r="AB1279" s="1446"/>
      <c r="AC1279" s="1446"/>
      <c r="AD1279" s="1446"/>
      <c r="AE1279" s="1446"/>
      <c r="AF1279" s="1446"/>
    </row>
    <row r="1280" spans="1:32" ht="13.8">
      <c r="A1280" s="1468"/>
      <c r="B1280" s="1468"/>
      <c r="C1280" s="1468"/>
      <c r="D1280" s="1468"/>
      <c r="E1280" s="1468"/>
      <c r="F1280" s="1468"/>
      <c r="G1280" s="1468"/>
      <c r="H1280" s="1468"/>
      <c r="I1280" s="1468"/>
      <c r="J1280" s="1468"/>
      <c r="K1280" s="1468"/>
      <c r="L1280" s="1468"/>
      <c r="M1280" s="1468"/>
      <c r="N1280" s="1468"/>
      <c r="O1280" s="1468"/>
      <c r="P1280" s="1468"/>
      <c r="Q1280" s="1445"/>
      <c r="R1280" s="1463"/>
      <c r="S1280" s="1463"/>
      <c r="T1280" s="1463"/>
      <c r="U1280" s="1463"/>
      <c r="V1280" s="1463"/>
      <c r="W1280" s="1463"/>
      <c r="X1280" s="1463"/>
      <c r="Y1280" s="1463"/>
      <c r="Z1280" s="1463"/>
      <c r="AA1280" s="1463"/>
      <c r="AB1280" s="1463"/>
      <c r="AC1280" s="1463"/>
      <c r="AD1280" s="1463"/>
      <c r="AE1280" s="1463"/>
      <c r="AF1280" s="1463"/>
    </row>
    <row r="1281" spans="1:32" ht="13.8">
      <c r="A1281" s="1446"/>
      <c r="B1281" s="1445"/>
      <c r="C1281" s="1446"/>
      <c r="D1281" s="1445"/>
      <c r="E1281" s="1446"/>
      <c r="F1281" s="1446"/>
      <c r="G1281" s="2144"/>
      <c r="H1281" s="2144"/>
      <c r="I1281" s="2144"/>
      <c r="J1281" s="2144"/>
      <c r="K1281" s="2144"/>
      <c r="L1281" s="2144"/>
      <c r="M1281" s="1446"/>
      <c r="N1281" s="1463"/>
      <c r="O1281" s="2161"/>
      <c r="P1281" s="1445"/>
      <c r="Q1281" s="1463"/>
      <c r="R1281" s="1446"/>
      <c r="S1281" s="1446"/>
      <c r="T1281" s="1446"/>
      <c r="U1281" s="1446"/>
      <c r="V1281" s="1446"/>
      <c r="W1281" s="1446"/>
      <c r="X1281" s="1739"/>
      <c r="Y1281" s="1739"/>
      <c r="Z1281" s="1739"/>
      <c r="AA1281" s="1739"/>
      <c r="AB1281" s="1739"/>
      <c r="AC1281" s="1739"/>
      <c r="AD1281" s="1739"/>
      <c r="AE1281" s="1739"/>
      <c r="AF1281" s="1739"/>
    </row>
    <row r="1282" spans="1:32" ht="13.8">
      <c r="A1282" s="1463"/>
      <c r="B1282" s="1463"/>
      <c r="C1282" s="1463"/>
      <c r="D1282" s="1463"/>
      <c r="E1282" s="1463"/>
      <c r="F1282" s="1463"/>
      <c r="G1282" s="1463"/>
      <c r="H1282" s="1463"/>
      <c r="I1282" s="1463"/>
      <c r="J1282" s="1463"/>
      <c r="K1282" s="1463"/>
      <c r="L1282" s="1463"/>
      <c r="M1282" s="1463"/>
      <c r="N1282" s="2568"/>
      <c r="O1282" s="2569"/>
      <c r="P1282" s="2569"/>
      <c r="Q1282" s="1463"/>
      <c r="R1282" s="1463"/>
      <c r="S1282" s="1463"/>
      <c r="T1282" s="1731"/>
      <c r="U1282" s="1731"/>
      <c r="V1282" s="1463"/>
      <c r="W1282" s="1463"/>
      <c r="X1282" s="1463"/>
      <c r="Y1282" s="1463"/>
      <c r="Z1282" s="1463"/>
      <c r="AA1282" s="1463"/>
      <c r="AB1282" s="1463"/>
      <c r="AC1282" s="1463"/>
      <c r="AD1282" s="1463"/>
      <c r="AE1282" s="1463"/>
      <c r="AF1282" s="1463"/>
    </row>
    <row r="1283" spans="1:32" ht="13.8">
      <c r="A1283" s="2186" t="s">
        <v>67</v>
      </c>
      <c r="B1283" s="1731" t="s">
        <v>1793</v>
      </c>
      <c r="C1283" s="1446"/>
      <c r="D1283" s="1731"/>
      <c r="E1283" s="1731"/>
      <c r="F1283" s="1446"/>
      <c r="G1283" s="1446"/>
      <c r="H1283" s="1446"/>
      <c r="I1283" s="1446"/>
      <c r="J1283" s="1446"/>
      <c r="K1283" s="2148"/>
      <c r="L1283" s="2146" t="s">
        <v>1743</v>
      </c>
      <c r="M1283" s="2567">
        <v>10</v>
      </c>
      <c r="N1283" s="1454"/>
      <c r="O1283" s="1462">
        <f>'Part VIII Scoring Criteria'!AA71</f>
        <v>10</v>
      </c>
      <c r="P1283" s="1462">
        <f>'Part VIII Scoring Criteria'!AB71</f>
        <v>10</v>
      </c>
      <c r="Q1283" s="2567" t="s">
        <v>1744</v>
      </c>
      <c r="R1283" s="1446"/>
      <c r="S1283" s="1446"/>
      <c r="T1283" s="1446"/>
      <c r="U1283" s="1446"/>
      <c r="V1283" s="1446"/>
      <c r="W1283" s="1446"/>
      <c r="X1283" s="1446"/>
      <c r="Y1283" s="1446"/>
      <c r="Z1283" s="1446"/>
      <c r="AA1283" s="1446"/>
      <c r="AB1283" s="1446"/>
      <c r="AC1283" s="1446"/>
      <c r="AD1283" s="1446"/>
      <c r="AE1283" s="1446"/>
      <c r="AF1283" s="1446"/>
    </row>
    <row r="1284" spans="1:32" ht="13.8">
      <c r="A1284" s="2186"/>
      <c r="B1284" s="1731"/>
      <c r="C1284" s="1446"/>
      <c r="D1284" s="1731"/>
      <c r="E1284" s="1731"/>
      <c r="F1284" s="1446"/>
      <c r="G1284" s="1446"/>
      <c r="H1284" s="1446"/>
      <c r="I1284" s="1446"/>
      <c r="J1284" s="1446"/>
      <c r="K1284" s="1446"/>
      <c r="L1284" s="2148"/>
      <c r="M1284" s="2567"/>
      <c r="N1284" s="1454"/>
      <c r="O1284" s="1454"/>
      <c r="P1284" s="1454"/>
      <c r="Q1284" s="2567"/>
      <c r="R1284" s="1446"/>
      <c r="S1284" s="1446"/>
      <c r="T1284" s="1446"/>
      <c r="U1284" s="1446"/>
      <c r="V1284" s="1446"/>
      <c r="W1284" s="1446"/>
      <c r="X1284" s="1446"/>
      <c r="Y1284" s="1446"/>
      <c r="Z1284" s="1446"/>
      <c r="AA1284" s="1446"/>
      <c r="AB1284" s="1446"/>
      <c r="AC1284" s="1446"/>
      <c r="AD1284" s="1446"/>
      <c r="AE1284" s="1446"/>
      <c r="AF1284" s="1446"/>
    </row>
    <row r="1285" spans="1:32" ht="13.8">
      <c r="A1285" s="2186"/>
      <c r="B1285" s="1445" t="s">
        <v>1794</v>
      </c>
      <c r="C1285" s="1446"/>
      <c r="D1285" s="1731"/>
      <c r="E1285" s="1731"/>
      <c r="F1285" s="1446"/>
      <c r="G1285" s="1446"/>
      <c r="H1285" s="1446"/>
      <c r="I1285" s="1446"/>
      <c r="J1285" s="1446"/>
      <c r="K1285" s="1446"/>
      <c r="L1285" s="2148"/>
      <c r="M1285" s="2567"/>
      <c r="N1285" s="1454"/>
      <c r="O1285" s="1462">
        <v>10</v>
      </c>
      <c r="P1285" s="1462">
        <v>10</v>
      </c>
      <c r="Q1285" s="2567"/>
      <c r="R1285" s="1446"/>
      <c r="S1285" s="1446"/>
      <c r="T1285" s="1446"/>
      <c r="U1285" s="1446"/>
      <c r="V1285" s="1446"/>
      <c r="W1285" s="1446"/>
      <c r="X1285" s="1446"/>
      <c r="Y1285" s="1446"/>
      <c r="Z1285" s="1446"/>
      <c r="AA1285" s="1446"/>
      <c r="AB1285" s="1446"/>
      <c r="AC1285" s="1446"/>
      <c r="AD1285" s="1446"/>
      <c r="AE1285" s="1446"/>
      <c r="AF1285" s="1446"/>
    </row>
    <row r="1286" spans="1:32" ht="13.8">
      <c r="A1286" s="2567" t="s">
        <v>186</v>
      </c>
      <c r="B1286" s="1445" t="s">
        <v>1795</v>
      </c>
      <c r="C1286" s="1446"/>
      <c r="D1286" s="1731"/>
      <c r="E1286" s="1731"/>
      <c r="F1286" s="1446"/>
      <c r="G1286" s="1446"/>
      <c r="H1286" s="1446"/>
      <c r="I1286" s="1446"/>
      <c r="J1286" s="1446"/>
      <c r="K1286" s="1446"/>
      <c r="L1286" s="2148"/>
      <c r="M1286" s="2567"/>
      <c r="N1286" s="1454"/>
      <c r="O1286" s="1462">
        <f>'Part VIII Scoring Criteria'!AA73</f>
        <v>0</v>
      </c>
      <c r="P1286" s="1462">
        <f>'Part VIII Scoring Criteria'!AB73</f>
        <v>0</v>
      </c>
      <c r="Q1286" s="2567"/>
      <c r="R1286" s="1446"/>
      <c r="S1286" s="1446"/>
      <c r="T1286" s="1446"/>
      <c r="U1286" s="1446"/>
      <c r="V1286" s="1446"/>
      <c r="W1286" s="1446"/>
      <c r="X1286" s="1446"/>
      <c r="Y1286" s="1446"/>
      <c r="Z1286" s="1446"/>
      <c r="AA1286" s="1446"/>
      <c r="AB1286" s="1446"/>
      <c r="AC1286" s="1446"/>
      <c r="AD1286" s="1446"/>
      <c r="AE1286" s="1446"/>
      <c r="AF1286" s="1446"/>
    </row>
    <row r="1287" spans="1:32" ht="13.8">
      <c r="A1287" s="2567"/>
      <c r="B1287" s="2151" t="s">
        <v>201</v>
      </c>
      <c r="C1287" s="1446" t="s">
        <v>1796</v>
      </c>
      <c r="D1287" s="1731"/>
      <c r="E1287" s="1731"/>
      <c r="F1287" s="1446"/>
      <c r="G1287" s="1446"/>
      <c r="H1287" s="1446"/>
      <c r="I1287" s="1446"/>
      <c r="J1287" s="1446"/>
      <c r="K1287" s="1446"/>
      <c r="L1287" s="2148"/>
      <c r="M1287" s="2187"/>
      <c r="N1287" s="1454"/>
      <c r="O1287" s="2567">
        <f>'Part VIII Scoring Criteria'!AA74</f>
        <v>0</v>
      </c>
      <c r="P1287" s="1462"/>
      <c r="Q1287" s="2567"/>
      <c r="R1287" s="1446"/>
      <c r="S1287" s="1446"/>
      <c r="T1287" s="1446"/>
      <c r="U1287" s="1446"/>
      <c r="V1287" s="1446"/>
      <c r="W1287" s="1446"/>
      <c r="X1287" s="1446"/>
      <c r="Y1287" s="1446"/>
      <c r="Z1287" s="1446"/>
      <c r="AA1287" s="1446"/>
      <c r="AB1287" s="1446"/>
      <c r="AC1287" s="1446"/>
      <c r="AD1287" s="1446"/>
      <c r="AE1287" s="1446"/>
      <c r="AF1287" s="1446"/>
    </row>
    <row r="1288" spans="1:32" ht="13.8">
      <c r="A1288" s="2567"/>
      <c r="B1288" s="2153" t="s">
        <v>209</v>
      </c>
      <c r="C1288" s="1446" t="s">
        <v>1797</v>
      </c>
      <c r="D1288" s="1731"/>
      <c r="E1288" s="1731"/>
      <c r="F1288" s="1446"/>
      <c r="G1288" s="1446"/>
      <c r="H1288" s="1446"/>
      <c r="I1288" s="1446"/>
      <c r="J1288" s="1446"/>
      <c r="K1288" s="1446"/>
      <c r="L1288" s="2148"/>
      <c r="M1288" s="2187"/>
      <c r="N1288" s="1454"/>
      <c r="O1288" s="2567">
        <f>'Part VIII Scoring Criteria'!AA75</f>
        <v>0</v>
      </c>
      <c r="P1288" s="1462"/>
      <c r="Q1288" s="2567"/>
      <c r="R1288" s="1446"/>
      <c r="S1288" s="1446"/>
      <c r="T1288" s="1446"/>
      <c r="U1288" s="1446"/>
      <c r="V1288" s="1446"/>
      <c r="W1288" s="1446"/>
      <c r="X1288" s="1446"/>
      <c r="Y1288" s="1446"/>
      <c r="Z1288" s="1446"/>
      <c r="AA1288" s="1446"/>
      <c r="AB1288" s="1446"/>
      <c r="AC1288" s="1446"/>
      <c r="AD1288" s="1446"/>
      <c r="AE1288" s="1446"/>
      <c r="AF1288" s="1446"/>
    </row>
    <row r="1289" spans="1:32" ht="13.8">
      <c r="A1289" s="2567" t="s">
        <v>198</v>
      </c>
      <c r="B1289" s="1445" t="s">
        <v>1798</v>
      </c>
      <c r="C1289" s="1446"/>
      <c r="D1289" s="1731"/>
      <c r="E1289" s="1731"/>
      <c r="F1289" s="1446"/>
      <c r="G1289" s="1446"/>
      <c r="H1289" s="1446"/>
      <c r="I1289" s="1446"/>
      <c r="J1289" s="1446"/>
      <c r="K1289" s="1446"/>
      <c r="L1289" s="2148"/>
      <c r="M1289" s="2567"/>
      <c r="N1289" s="1454"/>
      <c r="O1289" s="2567">
        <f>'Part VIII Scoring Criteria'!AA76</f>
        <v>0</v>
      </c>
      <c r="P1289" s="1462"/>
      <c r="Q1289" s="2567"/>
      <c r="R1289" s="1446"/>
      <c r="S1289" s="1446"/>
      <c r="T1289" s="1446"/>
      <c r="U1289" s="1446"/>
      <c r="V1289" s="1446"/>
      <c r="W1289" s="1446"/>
      <c r="X1289" s="1446"/>
      <c r="Y1289" s="1446"/>
      <c r="Z1289" s="1446"/>
      <c r="AA1289" s="1446"/>
      <c r="AB1289" s="1446"/>
      <c r="AC1289" s="1446"/>
      <c r="AD1289" s="1446"/>
      <c r="AE1289" s="1446"/>
      <c r="AF1289" s="1446"/>
    </row>
    <row r="1290" spans="1:32" ht="14.4">
      <c r="A1290" s="2142"/>
      <c r="B1290" s="2142" t="s">
        <v>1453</v>
      </c>
      <c r="C1290" s="1446"/>
      <c r="D1290" s="2142"/>
      <c r="E1290" s="1465"/>
      <c r="F1290" s="1465"/>
      <c r="G1290" s="1465"/>
      <c r="H1290" s="1465"/>
      <c r="I1290" s="1465"/>
      <c r="J1290" s="1446" t="s">
        <v>1799</v>
      </c>
      <c r="K1290" s="1465"/>
      <c r="L1290" s="1465"/>
      <c r="M1290" s="1465"/>
      <c r="N1290" s="1454"/>
      <c r="O1290" s="2567"/>
      <c r="P1290" s="2567"/>
      <c r="Q1290" s="1446"/>
      <c r="R1290" s="1446"/>
      <c r="S1290" s="1446"/>
      <c r="T1290" s="1446"/>
      <c r="U1290" s="1446"/>
      <c r="V1290" s="1446"/>
      <c r="W1290" s="1446"/>
      <c r="X1290" s="1446"/>
      <c r="Y1290" s="1446"/>
      <c r="Z1290" s="1446"/>
      <c r="AA1290" s="1446"/>
      <c r="AB1290" s="1446"/>
      <c r="AC1290" s="1446"/>
      <c r="AD1290" s="1446"/>
      <c r="AE1290" s="1446"/>
      <c r="AF1290" s="1446"/>
    </row>
    <row r="1291" spans="1:32" ht="13.8">
      <c r="A1291" s="1468"/>
      <c r="B1291" s="1468"/>
      <c r="C1291" s="1468"/>
      <c r="D1291" s="1468"/>
      <c r="E1291" s="1468"/>
      <c r="F1291" s="1468"/>
      <c r="G1291" s="1468"/>
      <c r="H1291" s="1468"/>
      <c r="I1291" s="1468"/>
      <c r="J1291" s="1468"/>
      <c r="K1291" s="1468"/>
      <c r="L1291" s="1468"/>
      <c r="M1291" s="1468"/>
      <c r="N1291" s="1468"/>
      <c r="O1291" s="1468"/>
      <c r="P1291" s="1468"/>
      <c r="Q1291" s="1445"/>
      <c r="R1291" s="1445"/>
      <c r="S1291" s="1463"/>
      <c r="T1291" s="1463"/>
      <c r="U1291" s="1463"/>
      <c r="V1291" s="1463"/>
      <c r="W1291" s="1463"/>
      <c r="X1291" s="1463"/>
      <c r="Y1291" s="1463"/>
      <c r="Z1291" s="1463"/>
      <c r="AA1291" s="1463"/>
      <c r="AB1291" s="1463"/>
      <c r="AC1291" s="1463"/>
      <c r="AD1291" s="1463"/>
      <c r="AE1291" s="1463"/>
      <c r="AF1291" s="1463"/>
    </row>
    <row r="1292" spans="1:32" ht="13.8">
      <c r="A1292" s="1446"/>
      <c r="B1292" s="1445"/>
      <c r="C1292" s="1446"/>
      <c r="D1292" s="1445"/>
      <c r="E1292" s="1446"/>
      <c r="F1292" s="1446"/>
      <c r="G1292" s="2144"/>
      <c r="H1292" s="2144"/>
      <c r="I1292" s="2144"/>
      <c r="J1292" s="2144"/>
      <c r="K1292" s="2144"/>
      <c r="L1292" s="2144"/>
      <c r="M1292" s="1446"/>
      <c r="N1292" s="1463"/>
      <c r="O1292" s="2161"/>
      <c r="P1292" s="1445"/>
      <c r="Q1292" s="1463"/>
      <c r="R1292" s="1446"/>
      <c r="S1292" s="1446"/>
      <c r="T1292" s="1446"/>
      <c r="U1292" s="1446"/>
      <c r="V1292" s="1446"/>
      <c r="W1292" s="1446"/>
      <c r="X1292" s="1739"/>
      <c r="Y1292" s="1739"/>
      <c r="Z1292" s="1739"/>
      <c r="AA1292" s="1739"/>
      <c r="AB1292" s="1739"/>
      <c r="AC1292" s="1739"/>
      <c r="AD1292" s="1739"/>
      <c r="AE1292" s="1739"/>
      <c r="AF1292" s="1739"/>
    </row>
    <row r="1293" spans="1:32" ht="13.8">
      <c r="A1293" s="1463"/>
      <c r="B1293" s="1463"/>
      <c r="C1293" s="1463"/>
      <c r="D1293" s="1463"/>
      <c r="E1293" s="1463"/>
      <c r="F1293" s="1463"/>
      <c r="G1293" s="1463"/>
      <c r="H1293" s="1463"/>
      <c r="I1293" s="1463"/>
      <c r="J1293" s="1463"/>
      <c r="K1293" s="1463"/>
      <c r="L1293" s="1463"/>
      <c r="M1293" s="1463"/>
      <c r="N1293" s="2568"/>
      <c r="O1293" s="2569"/>
      <c r="P1293" s="2569"/>
      <c r="Q1293" s="1463"/>
      <c r="R1293" s="1463"/>
      <c r="S1293" s="1463"/>
      <c r="T1293" s="1731"/>
      <c r="U1293" s="1731"/>
      <c r="V1293" s="1463"/>
      <c r="W1293" s="1463"/>
      <c r="X1293" s="1463"/>
      <c r="Y1293" s="1463"/>
      <c r="Z1293" s="1463"/>
      <c r="AA1293" s="1463"/>
      <c r="AB1293" s="1463"/>
      <c r="AC1293" s="1463"/>
      <c r="AD1293" s="1463"/>
      <c r="AE1293" s="1463"/>
      <c r="AF1293" s="1463"/>
    </row>
    <row r="1294" spans="1:32" ht="13.8">
      <c r="A1294" s="2186" t="s">
        <v>69</v>
      </c>
      <c r="B1294" s="1731" t="s">
        <v>1800</v>
      </c>
      <c r="C1294" s="1469"/>
      <c r="D1294" s="1469"/>
      <c r="E1294" s="1469"/>
      <c r="F1294" s="1469"/>
      <c r="G1294" s="2188" t="s">
        <v>1801</v>
      </c>
      <c r="H1294" s="1469"/>
      <c r="I1294" s="1463"/>
      <c r="J1294" s="1463"/>
      <c r="K1294" s="1469"/>
      <c r="L1294" s="2146" t="s">
        <v>1743</v>
      </c>
      <c r="M1294" s="2567">
        <v>5</v>
      </c>
      <c r="N1294" s="1467"/>
      <c r="O1294" s="1462">
        <f>'Part VIII Scoring Criteria'!AA81</f>
        <v>4</v>
      </c>
      <c r="P1294" s="1462">
        <f>'Part VIII Scoring Criteria'!AB81</f>
        <v>2</v>
      </c>
      <c r="Q1294" s="2567" t="s">
        <v>1744</v>
      </c>
      <c r="R1294" s="2150"/>
      <c r="S1294" s="1463"/>
      <c r="T1294" s="1463"/>
      <c r="U1294" s="1463"/>
      <c r="V1294" s="1463"/>
      <c r="W1294" s="1463"/>
      <c r="X1294" s="1463"/>
      <c r="Y1294" s="1463"/>
      <c r="Z1294" s="1463"/>
      <c r="AA1294" s="1463"/>
      <c r="AB1294" s="1463"/>
      <c r="AC1294" s="1463"/>
      <c r="AD1294" s="1463"/>
      <c r="AE1294" s="1463"/>
      <c r="AF1294" s="1463"/>
    </row>
    <row r="1295" spans="1:32" ht="13.8">
      <c r="A1295" s="2567" t="s">
        <v>186</v>
      </c>
      <c r="B1295" s="1445" t="s">
        <v>1802</v>
      </c>
      <c r="C1295" s="1446"/>
      <c r="D1295" s="1446"/>
      <c r="E1295" s="1445"/>
      <c r="F1295" s="1446"/>
      <c r="G1295" s="2179"/>
      <c r="H1295" s="1446"/>
      <c r="I1295" s="1446"/>
      <c r="J1295" s="1446"/>
      <c r="K1295" s="1454"/>
      <c r="L1295" s="1733"/>
      <c r="M1295" s="1454">
        <v>3</v>
      </c>
      <c r="N1295" s="1733"/>
      <c r="O1295" s="1462">
        <f>IF(AND(O1297&gt;0,O1298&gt;0),"1or2?",MIN($M1295,SUM(O1297,O1298)))</f>
        <v>2</v>
      </c>
      <c r="P1295" s="1462">
        <f>IF(AND(P1297&gt;0,P1298&gt;0),"1or2?",MIN($M1295,SUM(P1297,P1298)))</f>
        <v>0</v>
      </c>
      <c r="Q1295" s="2149"/>
      <c r="R1295" s="2150"/>
      <c r="S1295" s="1463"/>
      <c r="T1295" s="1463"/>
      <c r="U1295" s="1463"/>
      <c r="V1295" s="1463"/>
      <c r="W1295" s="1463"/>
      <c r="X1295" s="1463"/>
      <c r="Y1295" s="1463"/>
      <c r="Z1295" s="1463"/>
      <c r="AA1295" s="1463"/>
      <c r="AB1295" s="1463"/>
      <c r="AC1295" s="1463"/>
      <c r="AD1295" s="1463"/>
      <c r="AE1295" s="1463"/>
      <c r="AF1295" s="1463"/>
    </row>
    <row r="1296" spans="1:32" ht="15" customHeight="1">
      <c r="A1296" s="2567"/>
      <c r="B1296" s="1446" t="s">
        <v>1803</v>
      </c>
      <c r="C1296" s="1446"/>
      <c r="D1296" s="1446"/>
      <c r="E1296" s="1446"/>
      <c r="F1296" s="1446"/>
      <c r="G1296" s="1446"/>
      <c r="H1296" s="1446"/>
      <c r="I1296" s="1446"/>
      <c r="J1296" s="1446"/>
      <c r="K1296" s="1446"/>
      <c r="L1296" s="1446"/>
      <c r="M1296" s="1454"/>
      <c r="N1296" s="1454"/>
      <c r="O1296" s="1454"/>
      <c r="P1296" s="1454"/>
      <c r="Q1296" s="2149"/>
      <c r="R1296" s="2150"/>
      <c r="S1296" s="1463"/>
      <c r="T1296" s="1463"/>
      <c r="U1296" s="1463"/>
      <c r="V1296" s="1463"/>
      <c r="W1296" s="1463"/>
      <c r="X1296" s="1463"/>
      <c r="Y1296" s="1463"/>
      <c r="Z1296" s="1463"/>
      <c r="AA1296" s="1463"/>
      <c r="AB1296" s="1463"/>
      <c r="AC1296" s="1463"/>
      <c r="AD1296" s="1463"/>
      <c r="AE1296" s="1463"/>
      <c r="AF1296" s="1463"/>
    </row>
    <row r="1297" spans="1:32" ht="13.8">
      <c r="A1297" s="2567"/>
      <c r="B1297" s="2189" t="s">
        <v>201</v>
      </c>
      <c r="C1297" s="1446" t="s">
        <v>1804</v>
      </c>
      <c r="D1297" s="1446"/>
      <c r="E1297" s="1446"/>
      <c r="F1297" s="1446"/>
      <c r="G1297" s="1446"/>
      <c r="H1297" s="1446"/>
      <c r="I1297" s="1446"/>
      <c r="J1297" s="2190" t="s">
        <v>1534</v>
      </c>
      <c r="K1297" s="2190"/>
      <c r="L1297" s="1446"/>
      <c r="M1297" s="2182">
        <v>2</v>
      </c>
      <c r="N1297" s="2187"/>
      <c r="O1297" s="2567">
        <f>'Part VIII Scoring Criteria'!AA84</f>
        <v>2</v>
      </c>
      <c r="P1297" s="1462"/>
      <c r="Q1297" s="2149" t="str">
        <f>IF(OR($O1297=$M1297,$O1297=0,$O1297=""),"","*CHECK!*")</f>
        <v/>
      </c>
      <c r="R1297" s="2150"/>
      <c r="S1297" s="1468"/>
      <c r="T1297" s="1468"/>
      <c r="U1297" s="1468"/>
      <c r="V1297" s="1468"/>
      <c r="W1297" s="1468"/>
      <c r="X1297" s="1468"/>
      <c r="Y1297" s="1468"/>
      <c r="Z1297" s="1468"/>
      <c r="AA1297" s="1468"/>
      <c r="AB1297" s="1468"/>
      <c r="AC1297" s="1468"/>
      <c r="AD1297" s="1468"/>
      <c r="AE1297" s="1468"/>
      <c r="AF1297" s="1468"/>
    </row>
    <row r="1298" spans="1:32" ht="13.8">
      <c r="A1298" s="2567"/>
      <c r="B1298" s="2153" t="s">
        <v>209</v>
      </c>
      <c r="C1298" s="1446" t="s">
        <v>1805</v>
      </c>
      <c r="D1298" s="1446"/>
      <c r="E1298" s="1446"/>
      <c r="F1298" s="1446"/>
      <c r="G1298" s="1446"/>
      <c r="H1298" s="1446"/>
      <c r="I1298" s="1468"/>
      <c r="J1298" s="2191" t="s">
        <v>1536</v>
      </c>
      <c r="K1298" s="2192" t="s">
        <v>1806</v>
      </c>
      <c r="L1298" s="2193"/>
      <c r="M1298" s="2182">
        <v>3</v>
      </c>
      <c r="N1298" s="2187"/>
      <c r="O1298" s="2567">
        <f>'Part VIII Scoring Criteria'!AA85</f>
        <v>0</v>
      </c>
      <c r="P1298" s="1462"/>
      <c r="Q1298" s="2149" t="str">
        <f>IF(OR($O1298=$M1298,$O1298=0,$O1298=""),"","*CHECK!*")</f>
        <v/>
      </c>
      <c r="R1298" s="2150"/>
      <c r="S1298" s="1468"/>
      <c r="T1298" s="1468"/>
      <c r="U1298" s="1468"/>
      <c r="V1298" s="1468"/>
      <c r="W1298" s="1468"/>
      <c r="X1298" s="1468"/>
      <c r="Y1298" s="1468"/>
      <c r="Z1298" s="1468"/>
      <c r="AA1298" s="1468"/>
      <c r="AB1298" s="1468"/>
      <c r="AC1298" s="1468"/>
      <c r="AD1298" s="1468"/>
      <c r="AE1298" s="1468"/>
      <c r="AF1298" s="1468"/>
    </row>
    <row r="1299" spans="1:32" ht="13.8">
      <c r="A1299" s="1463"/>
      <c r="B1299" s="1463"/>
      <c r="C1299" s="1463" t="s">
        <v>1807</v>
      </c>
      <c r="D1299" s="1463"/>
      <c r="E1299" s="1463"/>
      <c r="F1299" s="1463"/>
      <c r="G1299" s="1463"/>
      <c r="H1299" s="2146"/>
      <c r="I1299" s="1463"/>
      <c r="J1299" s="2569">
        <f>'Part VIII Scoring Criteria'!K86</f>
        <v>0</v>
      </c>
      <c r="K1299" s="2194">
        <v>0.1</v>
      </c>
      <c r="L1299" s="1463"/>
      <c r="M1299" s="1463"/>
      <c r="N1299" s="2146" t="s">
        <v>1808</v>
      </c>
      <c r="O1299" s="2567">
        <f>'Part VIII Scoring Criteria'!AA86</f>
        <v>10</v>
      </c>
      <c r="P1299" s="1462"/>
      <c r="Q1299" s="1463"/>
      <c r="R1299" s="1463"/>
      <c r="S1299" s="1463"/>
      <c r="T1299" s="1731"/>
      <c r="U1299" s="1731"/>
      <c r="V1299" s="1463"/>
      <c r="W1299" s="1463"/>
      <c r="X1299" s="1463"/>
      <c r="Y1299" s="1463"/>
      <c r="Z1299" s="1463"/>
      <c r="AA1299" s="1463"/>
      <c r="AB1299" s="1463"/>
      <c r="AC1299" s="1463"/>
      <c r="AD1299" s="1463"/>
      <c r="AE1299" s="1463"/>
      <c r="AF1299" s="1463"/>
    </row>
    <row r="1300" spans="1:32" ht="15" customHeight="1">
      <c r="A1300" s="1463"/>
      <c r="B1300" s="1463"/>
      <c r="C1300" s="1446" t="s">
        <v>7611</v>
      </c>
      <c r="D1300" s="1446"/>
      <c r="E1300" s="1446"/>
      <c r="F1300" s="1446"/>
      <c r="G1300" s="1446"/>
      <c r="H1300" s="1446"/>
      <c r="I1300" s="1446"/>
      <c r="J1300" s="1446"/>
      <c r="K1300" s="1446"/>
      <c r="L1300" s="1446"/>
      <c r="M1300" s="1463"/>
      <c r="N1300" s="2568"/>
      <c r="O1300" s="2567">
        <f>'Part VIII Scoring Criteria'!AA87</f>
        <v>0</v>
      </c>
      <c r="P1300" s="2155"/>
      <c r="Q1300" s="1463"/>
      <c r="R1300" s="1463"/>
      <c r="S1300" s="1463"/>
      <c r="T1300" s="1731"/>
      <c r="U1300" s="1731"/>
      <c r="V1300" s="1463"/>
      <c r="W1300" s="1463"/>
      <c r="X1300" s="1463"/>
      <c r="Y1300" s="1463"/>
      <c r="Z1300" s="1463"/>
      <c r="AA1300" s="1463"/>
      <c r="AB1300" s="1463"/>
      <c r="AC1300" s="1463"/>
      <c r="AD1300" s="1463"/>
      <c r="AE1300" s="1463"/>
      <c r="AF1300" s="1463"/>
    </row>
    <row r="1301" spans="1:32" ht="13.8">
      <c r="A1301" s="2567" t="s">
        <v>198</v>
      </c>
      <c r="B1301" s="1445" t="s">
        <v>1810</v>
      </c>
      <c r="C1301" s="1446"/>
      <c r="D1301" s="1446"/>
      <c r="E1301" s="1446"/>
      <c r="F1301" s="1446"/>
      <c r="G1301" s="1446"/>
      <c r="H1301" s="1446"/>
      <c r="I1301" s="1446"/>
      <c r="J1301" s="1446"/>
      <c r="K1301" s="1446"/>
      <c r="L1301" s="1446"/>
      <c r="M1301" s="1454">
        <v>1</v>
      </c>
      <c r="N1301" s="1733"/>
      <c r="O1301" s="2567">
        <f>'Part VIII Scoring Criteria'!AA88</f>
        <v>0</v>
      </c>
      <c r="P1301" s="1462"/>
      <c r="Q1301" s="2149" t="str">
        <f>IF(OR($O1301=$M1301,$O1301=0,$O1301=""),"","*CHECK!*")</f>
        <v/>
      </c>
      <c r="R1301" s="2150"/>
      <c r="S1301" s="1463"/>
      <c r="T1301" s="1463"/>
      <c r="U1301" s="1463"/>
      <c r="V1301" s="1463"/>
      <c r="W1301" s="1463"/>
      <c r="X1301" s="1463"/>
      <c r="Y1301" s="1463"/>
      <c r="Z1301" s="1463"/>
      <c r="AA1301" s="1463"/>
      <c r="AB1301" s="1463"/>
      <c r="AC1301" s="1463"/>
      <c r="AD1301" s="1463"/>
      <c r="AE1301" s="1463"/>
      <c r="AF1301" s="1463"/>
    </row>
    <row r="1302" spans="1:32" ht="13.8">
      <c r="A1302" s="2567" t="s">
        <v>219</v>
      </c>
      <c r="B1302" s="1445" t="s">
        <v>1811</v>
      </c>
      <c r="C1302" s="1446"/>
      <c r="D1302" s="1446"/>
      <c r="E1302" s="1446"/>
      <c r="F1302" s="1446"/>
      <c r="G1302" s="2173" t="s">
        <v>1812</v>
      </c>
      <c r="H1302" s="1446"/>
      <c r="I1302" s="1446"/>
      <c r="J1302" s="1446"/>
      <c r="K1302" s="1446"/>
      <c r="L1302" s="1446"/>
      <c r="M1302" s="1454">
        <v>2</v>
      </c>
      <c r="N1302" s="1733"/>
      <c r="O1302" s="1462">
        <f>O1303-O1304</f>
        <v>2</v>
      </c>
      <c r="P1302" s="1462">
        <f>P1303-P1304</f>
        <v>2</v>
      </c>
      <c r="Q1302" s="2149" t="str">
        <f>IF(OR($O1302=$M1302,$O1302=0,$O1302=""),"","*CHECK!*")</f>
        <v/>
      </c>
      <c r="R1302" s="1446"/>
      <c r="S1302" s="1446"/>
      <c r="T1302" s="1446"/>
      <c r="U1302" s="1446"/>
      <c r="V1302" s="1446"/>
      <c r="W1302" s="1446"/>
      <c r="X1302" s="1446"/>
      <c r="Y1302" s="1446"/>
      <c r="Z1302" s="1446"/>
      <c r="AA1302" s="1446"/>
      <c r="AB1302" s="1446"/>
      <c r="AC1302" s="1446"/>
      <c r="AD1302" s="1446"/>
      <c r="AE1302" s="1446"/>
      <c r="AF1302" s="1446"/>
    </row>
    <row r="1303" spans="1:32" ht="13.8">
      <c r="A1303" s="2186"/>
      <c r="B1303" s="1446"/>
      <c r="C1303" s="1445" t="s">
        <v>1794</v>
      </c>
      <c r="D1303" s="1731"/>
      <c r="E1303" s="1731"/>
      <c r="F1303" s="1446"/>
      <c r="G1303" s="1446"/>
      <c r="H1303" s="1446"/>
      <c r="I1303" s="1446"/>
      <c r="J1303" s="1446"/>
      <c r="K1303" s="1446"/>
      <c r="L1303" s="2148"/>
      <c r="M1303" s="2567"/>
      <c r="N1303" s="1454"/>
      <c r="O1303" s="1462">
        <v>2</v>
      </c>
      <c r="P1303" s="1462">
        <v>2</v>
      </c>
      <c r="Q1303" s="2567"/>
      <c r="R1303" s="1446"/>
      <c r="S1303" s="1446"/>
      <c r="T1303" s="1446"/>
      <c r="U1303" s="1446"/>
      <c r="V1303" s="1446"/>
      <c r="W1303" s="1446"/>
      <c r="X1303" s="1446"/>
      <c r="Y1303" s="1446"/>
      <c r="Z1303" s="1446"/>
      <c r="AA1303" s="1446"/>
      <c r="AB1303" s="1446"/>
      <c r="AC1303" s="1446"/>
      <c r="AD1303" s="1446"/>
      <c r="AE1303" s="1446"/>
      <c r="AF1303" s="1446"/>
    </row>
    <row r="1304" spans="1:32" ht="13.8">
      <c r="A1304" s="2186"/>
      <c r="B1304" s="1446"/>
      <c r="C1304" s="1445" t="s">
        <v>1813</v>
      </c>
      <c r="D1304" s="1731"/>
      <c r="E1304" s="1731"/>
      <c r="F1304" s="1446"/>
      <c r="G1304" s="1446"/>
      <c r="H1304" s="1446"/>
      <c r="I1304" s="1446"/>
      <c r="J1304" s="1446"/>
      <c r="K1304" s="1446"/>
      <c r="L1304" s="2148"/>
      <c r="M1304" s="2567"/>
      <c r="N1304" s="1454"/>
      <c r="O1304" s="2567">
        <f>'Part VIII Scoring Criteria'!AA91</f>
        <v>0</v>
      </c>
      <c r="P1304" s="1462"/>
      <c r="Q1304" s="2567"/>
      <c r="R1304" s="2150"/>
      <c r="S1304" s="1446"/>
      <c r="T1304" s="1446"/>
      <c r="U1304" s="1446"/>
      <c r="V1304" s="1446"/>
      <c r="W1304" s="1446"/>
      <c r="X1304" s="1446"/>
      <c r="Y1304" s="1446"/>
      <c r="Z1304" s="1446"/>
      <c r="AA1304" s="1446"/>
      <c r="AB1304" s="1446"/>
      <c r="AC1304" s="1446"/>
      <c r="AD1304" s="1446"/>
      <c r="AE1304" s="1446"/>
      <c r="AF1304" s="1446"/>
    </row>
    <row r="1305" spans="1:32" ht="14.4">
      <c r="A1305" s="1446"/>
      <c r="B1305" s="2142" t="s">
        <v>7607</v>
      </c>
      <c r="C1305" s="1446"/>
      <c r="D1305" s="1446"/>
      <c r="E1305" s="1446"/>
      <c r="F1305" s="1446"/>
      <c r="G1305" s="1446"/>
      <c r="H1305" s="1446"/>
      <c r="I1305" s="1446"/>
      <c r="J1305" s="1446"/>
      <c r="K1305" s="1446"/>
      <c r="L1305" s="1463"/>
      <c r="M1305" s="1454"/>
      <c r="N1305" s="2568"/>
      <c r="O1305" s="1462"/>
      <c r="P1305" s="1462"/>
      <c r="Q1305" s="1463"/>
      <c r="R1305" s="1463"/>
      <c r="S1305" s="1463"/>
      <c r="T1305" s="1463"/>
      <c r="U1305" s="1463"/>
      <c r="V1305" s="1463"/>
      <c r="W1305" s="1463"/>
      <c r="X1305" s="1463"/>
      <c r="Y1305" s="1463"/>
      <c r="Z1305" s="1463"/>
      <c r="AA1305" s="1463"/>
      <c r="AB1305" s="1463"/>
      <c r="AC1305" s="1463"/>
      <c r="AD1305" s="1463"/>
      <c r="AE1305" s="1463"/>
      <c r="AF1305" s="1463"/>
    </row>
    <row r="1306" spans="1:32" ht="13.8">
      <c r="A1306" s="1469" t="str">
        <f>'Part VIII Scoring Criteria'!A93</f>
        <v>The Applicant commits to accept service provider referrals at the proposed development for the required number of units noted in this section.</v>
      </c>
      <c r="B1306" s="1468"/>
      <c r="C1306" s="1468"/>
      <c r="D1306" s="1468"/>
      <c r="E1306" s="1468"/>
      <c r="F1306" s="1468"/>
      <c r="G1306" s="1468"/>
      <c r="H1306" s="1468"/>
      <c r="I1306" s="1468"/>
      <c r="J1306" s="1468"/>
      <c r="K1306" s="1468"/>
      <c r="L1306" s="1468"/>
      <c r="M1306" s="1468"/>
      <c r="N1306" s="1468"/>
      <c r="O1306" s="1468"/>
      <c r="P1306" s="1468"/>
      <c r="Q1306" s="1445"/>
      <c r="R1306" s="1445"/>
      <c r="S1306" s="1463"/>
      <c r="T1306" s="1463"/>
      <c r="U1306" s="1463"/>
      <c r="V1306" s="1463"/>
      <c r="W1306" s="1463"/>
      <c r="X1306" s="1463"/>
      <c r="Y1306" s="1463"/>
      <c r="Z1306" s="1463"/>
      <c r="AA1306" s="1463"/>
      <c r="AB1306" s="1463"/>
      <c r="AC1306" s="1463"/>
      <c r="AD1306" s="1463"/>
      <c r="AE1306" s="1463"/>
      <c r="AF1306" s="1463"/>
    </row>
    <row r="1307" spans="1:32" ht="14.4">
      <c r="A1307" s="1463"/>
      <c r="B1307" s="2160" t="s">
        <v>1453</v>
      </c>
      <c r="C1307" s="1446"/>
      <c r="D1307" s="2160"/>
      <c r="E1307" s="1468"/>
      <c r="F1307" s="1468"/>
      <c r="G1307" s="1468"/>
      <c r="H1307" s="1468"/>
      <c r="I1307" s="1468"/>
      <c r="J1307" s="1468"/>
      <c r="K1307" s="1468"/>
      <c r="L1307" s="1468"/>
      <c r="M1307" s="1468"/>
      <c r="N1307" s="1468"/>
      <c r="O1307" s="2136"/>
      <c r="P1307" s="1445"/>
      <c r="Q1307" s="1463"/>
      <c r="R1307" s="1463"/>
      <c r="S1307" s="1463"/>
      <c r="T1307" s="1463"/>
      <c r="U1307" s="1463"/>
      <c r="V1307" s="1463"/>
      <c r="W1307" s="1463"/>
      <c r="X1307" s="1463"/>
      <c r="Y1307" s="1463"/>
      <c r="Z1307" s="1463"/>
      <c r="AA1307" s="1463"/>
      <c r="AB1307" s="1463"/>
      <c r="AC1307" s="1463"/>
      <c r="AD1307" s="1463"/>
      <c r="AE1307" s="1463"/>
      <c r="AF1307" s="1463"/>
    </row>
    <row r="1308" spans="1:32" ht="13.8">
      <c r="A1308" s="1468"/>
      <c r="B1308" s="1468"/>
      <c r="C1308" s="1468"/>
      <c r="D1308" s="1468"/>
      <c r="E1308" s="1468"/>
      <c r="F1308" s="1468"/>
      <c r="G1308" s="1468"/>
      <c r="H1308" s="1468"/>
      <c r="I1308" s="1468"/>
      <c r="J1308" s="1468"/>
      <c r="K1308" s="1468"/>
      <c r="L1308" s="1468"/>
      <c r="M1308" s="1468"/>
      <c r="N1308" s="1468"/>
      <c r="O1308" s="1468"/>
      <c r="P1308" s="1468"/>
      <c r="Q1308" s="1445"/>
      <c r="R1308" s="1463"/>
      <c r="S1308" s="1463"/>
      <c r="T1308" s="1463"/>
      <c r="U1308" s="1463"/>
      <c r="V1308" s="1463"/>
      <c r="W1308" s="1463"/>
      <c r="X1308" s="1463"/>
      <c r="Y1308" s="1463"/>
      <c r="Z1308" s="1463"/>
      <c r="AA1308" s="1463"/>
      <c r="AB1308" s="1463"/>
      <c r="AC1308" s="1463"/>
      <c r="AD1308" s="1463"/>
      <c r="AE1308" s="1463"/>
      <c r="AF1308" s="1463"/>
    </row>
    <row r="1309" spans="1:32" ht="13.8">
      <c r="A1309" s="1730"/>
      <c r="B1309" s="1446"/>
      <c r="C1309" s="1468"/>
      <c r="D1309" s="1468"/>
      <c r="E1309" s="1468"/>
      <c r="F1309" s="1468"/>
      <c r="G1309" s="1468"/>
      <c r="H1309" s="1468"/>
      <c r="I1309" s="1468"/>
      <c r="J1309" s="1468"/>
      <c r="K1309" s="1468"/>
      <c r="L1309" s="1468"/>
      <c r="M1309" s="1468"/>
      <c r="N1309" s="1468"/>
      <c r="O1309" s="2136"/>
      <c r="P1309" s="1445"/>
      <c r="Q1309" s="1463"/>
      <c r="R1309" s="1463"/>
      <c r="S1309" s="1463"/>
      <c r="T1309" s="1463"/>
      <c r="U1309" s="1463"/>
      <c r="V1309" s="1463"/>
      <c r="W1309" s="1463"/>
      <c r="X1309" s="1463"/>
      <c r="Y1309" s="1463"/>
      <c r="Z1309" s="1463"/>
      <c r="AA1309" s="1463"/>
      <c r="AB1309" s="1463"/>
      <c r="AC1309" s="1463"/>
      <c r="AD1309" s="1463"/>
      <c r="AE1309" s="1463"/>
      <c r="AF1309" s="1463"/>
    </row>
    <row r="1310" spans="1:32" ht="13.8">
      <c r="A1310" s="2186"/>
      <c r="B1310" s="1446"/>
      <c r="C1310" s="1469"/>
      <c r="D1310" s="1469"/>
      <c r="E1310" s="1469"/>
      <c r="F1310" s="1469"/>
      <c r="G1310" s="1469"/>
      <c r="H1310" s="1469"/>
      <c r="I1310" s="1469"/>
      <c r="J1310" s="1469"/>
      <c r="K1310" s="1469"/>
      <c r="L1310" s="1469"/>
      <c r="M1310" s="1469"/>
      <c r="N1310" s="1467"/>
      <c r="O1310" s="2155"/>
      <c r="P1310" s="2567"/>
      <c r="Q1310" s="1463"/>
      <c r="R1310" s="1463"/>
      <c r="S1310" s="1463"/>
      <c r="T1310" s="1463"/>
      <c r="U1310" s="1463"/>
      <c r="V1310" s="1463"/>
      <c r="W1310" s="1463"/>
      <c r="X1310" s="1463"/>
      <c r="Y1310" s="1463"/>
      <c r="Z1310" s="1463"/>
      <c r="AA1310" s="1463"/>
      <c r="AB1310" s="1463"/>
      <c r="AC1310" s="1463"/>
      <c r="AD1310" s="1463"/>
      <c r="AE1310" s="1463"/>
      <c r="AF1310" s="1463"/>
    </row>
    <row r="1311" spans="1:32" ht="13.8">
      <c r="A1311" s="2186" t="s">
        <v>1482</v>
      </c>
      <c r="B1311" s="1731" t="s">
        <v>1814</v>
      </c>
      <c r="C1311" s="1446"/>
      <c r="D1311" s="1731"/>
      <c r="E1311" s="1731"/>
      <c r="F1311" s="1446"/>
      <c r="G1311" s="1446"/>
      <c r="H1311" s="1446"/>
      <c r="I1311" s="1446"/>
      <c r="J1311" s="1446"/>
      <c r="K1311" s="1446"/>
      <c r="L1311" s="2146" t="s">
        <v>1743</v>
      </c>
      <c r="M1311" s="2567">
        <v>13</v>
      </c>
      <c r="N1311" s="1454"/>
      <c r="O1311" s="1462">
        <f>'Part VIII Scoring Criteria'!AA98</f>
        <v>15</v>
      </c>
      <c r="P1311" s="1462">
        <f>'Part VIII Scoring Criteria'!AB98</f>
        <v>0</v>
      </c>
      <c r="Q1311" s="2567" t="s">
        <v>1744</v>
      </c>
      <c r="R1311" s="2150"/>
      <c r="S1311" s="1446"/>
      <c r="T1311" s="1446"/>
      <c r="U1311" s="1446"/>
      <c r="V1311" s="1446"/>
      <c r="W1311" s="1446"/>
      <c r="X1311" s="1446"/>
      <c r="Y1311" s="1446"/>
      <c r="Z1311" s="1446"/>
      <c r="AA1311" s="1446"/>
      <c r="AB1311" s="1446"/>
      <c r="AC1311" s="1446"/>
      <c r="AD1311" s="1446"/>
      <c r="AE1311" s="1446"/>
      <c r="AF1311" s="1446"/>
    </row>
    <row r="1312" spans="1:32" ht="13.8">
      <c r="A1312" s="2567" t="s">
        <v>186</v>
      </c>
      <c r="B1312" s="1445" t="s">
        <v>7612</v>
      </c>
      <c r="C1312" s="1445"/>
      <c r="D1312" s="1445"/>
      <c r="E1312" s="1446"/>
      <c r="F1312" s="2195"/>
      <c r="G1312" s="1446"/>
      <c r="H1312" s="1733"/>
      <c r="I1312" s="1445"/>
      <c r="J1312" s="1445"/>
      <c r="K1312" s="1445"/>
      <c r="L1312" s="1445"/>
      <c r="M1312" s="1445"/>
      <c r="N1312" s="1445"/>
      <c r="O1312" s="1445"/>
      <c r="P1312" s="1445"/>
      <c r="Q1312" s="2147"/>
      <c r="R1312" s="2150"/>
      <c r="S1312" s="1446"/>
      <c r="T1312" s="1446"/>
      <c r="U1312" s="1446"/>
      <c r="V1312" s="1446"/>
      <c r="W1312" s="1446"/>
      <c r="X1312" s="1446"/>
      <c r="Y1312" s="1446"/>
      <c r="Z1312" s="1446"/>
      <c r="AA1312" s="1446"/>
      <c r="AB1312" s="1446"/>
      <c r="AC1312" s="1446"/>
      <c r="AD1312" s="1446"/>
      <c r="AE1312" s="1446"/>
      <c r="AF1312" s="1446"/>
    </row>
    <row r="1313" spans="1:32" ht="13.8">
      <c r="A1313" s="2567"/>
      <c r="B1313" s="1446" t="s">
        <v>7613</v>
      </c>
      <c r="C1313" s="1445"/>
      <c r="D1313" s="1445"/>
      <c r="E1313" s="1446"/>
      <c r="F1313" s="2195"/>
      <c r="G1313" s="1446"/>
      <c r="H1313" s="1733"/>
      <c r="I1313" s="1445"/>
      <c r="J1313" s="1445"/>
      <c r="K1313" s="1445"/>
      <c r="L1313" s="1445"/>
      <c r="M1313" s="1445"/>
      <c r="N1313" s="1445"/>
      <c r="O1313" s="1445"/>
      <c r="P1313" s="1445"/>
      <c r="Q1313" s="2147"/>
      <c r="R1313" s="2150"/>
      <c r="S1313" s="1446"/>
      <c r="T1313" s="1446"/>
      <c r="U1313" s="1446"/>
      <c r="V1313" s="1446"/>
      <c r="W1313" s="1446"/>
      <c r="X1313" s="1446"/>
      <c r="Y1313" s="1446"/>
      <c r="Z1313" s="1446"/>
      <c r="AA1313" s="1446"/>
      <c r="AB1313" s="1446"/>
      <c r="AC1313" s="1446"/>
      <c r="AD1313" s="1446"/>
      <c r="AE1313" s="1446"/>
      <c r="AF1313" s="1446"/>
    </row>
    <row r="1314" spans="1:32" ht="13.8">
      <c r="A1314" s="2567"/>
      <c r="B1314" s="1446"/>
      <c r="C1314" s="1445" t="s">
        <v>1817</v>
      </c>
      <c r="D1314" s="1445"/>
      <c r="E1314" s="1446"/>
      <c r="F1314" s="2195"/>
      <c r="G1314" s="1446"/>
      <c r="H1314" s="1733"/>
      <c r="I1314" s="1445"/>
      <c r="J1314" s="1445"/>
      <c r="K1314" s="1445"/>
      <c r="L1314" s="1445"/>
      <c r="M1314" s="1445"/>
      <c r="N1314" s="1445"/>
      <c r="O1314" s="1445"/>
      <c r="P1314" s="1445"/>
      <c r="Q1314" s="2147"/>
      <c r="R1314" s="2150"/>
      <c r="S1314" s="1446"/>
      <c r="T1314" s="1446"/>
      <c r="U1314" s="1446"/>
      <c r="V1314" s="1446"/>
      <c r="W1314" s="1446"/>
      <c r="X1314" s="1446"/>
      <c r="Y1314" s="1446"/>
      <c r="Z1314" s="1446"/>
      <c r="AA1314" s="1446"/>
      <c r="AB1314" s="1446"/>
      <c r="AC1314" s="1446"/>
      <c r="AD1314" s="1446"/>
      <c r="AE1314" s="1446"/>
      <c r="AF1314" s="1446"/>
    </row>
    <row r="1315" spans="1:32" ht="13.8">
      <c r="A1315" s="2567"/>
      <c r="B1315" s="2151"/>
      <c r="C1315" s="2150" t="s">
        <v>1818</v>
      </c>
      <c r="D1315" s="1446"/>
      <c r="E1315" s="1446"/>
      <c r="F1315" s="2567"/>
      <c r="G1315" s="1446"/>
      <c r="H1315" s="1446"/>
      <c r="I1315" s="2567"/>
      <c r="J1315" s="1454" t="s">
        <v>1815</v>
      </c>
      <c r="K1315" s="1446"/>
      <c r="L1315" s="2148"/>
      <c r="M1315" s="2182">
        <v>5</v>
      </c>
      <c r="N1315" s="1733"/>
      <c r="O1315" s="2196">
        <f>'Part VIII Scoring Criteria'!AA101</f>
        <v>5</v>
      </c>
      <c r="P1315" s="2196">
        <f>'Part VIII Scoring Criteria'!AB101</f>
        <v>0</v>
      </c>
      <c r="Q1315" s="2150"/>
      <c r="R1315" s="1446"/>
      <c r="S1315" s="1446"/>
      <c r="T1315" s="1446"/>
      <c r="U1315" s="1446"/>
      <c r="V1315" s="1731"/>
      <c r="W1315" s="1446"/>
      <c r="X1315" s="1446"/>
      <c r="Y1315" s="1446"/>
      <c r="Z1315" s="1446"/>
      <c r="AA1315" s="1446"/>
      <c r="AB1315" s="1446"/>
      <c r="AC1315" s="1446"/>
      <c r="AD1315" s="1446"/>
      <c r="AE1315" s="1446"/>
      <c r="AF1315" s="1446"/>
    </row>
    <row r="1316" spans="1:32" ht="13.8">
      <c r="A1316" s="2567"/>
      <c r="B1316" s="2152"/>
      <c r="C1316" s="1445"/>
      <c r="D1316" s="1465" t="s">
        <v>1819</v>
      </c>
      <c r="E1316" s="1446"/>
      <c r="F1316" s="2567"/>
      <c r="G1316" s="1446"/>
      <c r="H1316" s="1446"/>
      <c r="I1316" s="2567"/>
      <c r="J1316" s="1454" t="str">
        <f>'Part VIII Scoring Criteria'!T102</f>
        <v>Submitted</v>
      </c>
      <c r="K1316" s="1446"/>
      <c r="L1316" s="1446"/>
      <c r="M1316" s="2182"/>
      <c r="N1316" s="1733"/>
      <c r="O1316" s="2567" t="str">
        <f>IF(OR($J1316="Submitted",$J1316="N/A"), "Yes","")</f>
        <v>Yes</v>
      </c>
      <c r="P1316" s="2567"/>
      <c r="Q1316" s="1733"/>
      <c r="R1316" s="1446"/>
      <c r="S1316" s="1446"/>
      <c r="T1316" s="1446"/>
      <c r="U1316" s="1446"/>
      <c r="V1316" s="1731"/>
      <c r="W1316" s="1446"/>
      <c r="X1316" s="1446"/>
      <c r="Y1316" s="1446"/>
      <c r="Z1316" s="1446"/>
      <c r="AA1316" s="1446"/>
      <c r="AB1316" s="1446"/>
      <c r="AC1316" s="1446"/>
      <c r="AD1316" s="1446"/>
      <c r="AE1316" s="1446"/>
      <c r="AF1316" s="1446"/>
    </row>
    <row r="1317" spans="1:32" ht="13.8">
      <c r="A1317" s="2567"/>
      <c r="B1317" s="2152"/>
      <c r="C1317" s="1445"/>
      <c r="D1317" s="1465" t="s">
        <v>1820</v>
      </c>
      <c r="E1317" s="1446"/>
      <c r="F1317" s="2197"/>
      <c r="G1317" s="1446"/>
      <c r="H1317" s="1446"/>
      <c r="I1317" s="2567"/>
      <c r="J1317" s="1454" t="str">
        <f>'Part VIII Scoring Criteria'!T103</f>
        <v>N/A</v>
      </c>
      <c r="K1317" s="1733"/>
      <c r="L1317" s="1446"/>
      <c r="M1317" s="2182"/>
      <c r="N1317" s="1733"/>
      <c r="O1317" s="2567" t="str">
        <f>IF(OR($J1317="Submitted",$J1317="N/A"), "Yes","")</f>
        <v>Yes</v>
      </c>
      <c r="P1317" s="2155"/>
      <c r="Q1317" s="1733"/>
      <c r="R1317" s="1446"/>
      <c r="S1317" s="1446"/>
      <c r="T1317" s="1446"/>
      <c r="U1317" s="1446"/>
      <c r="V1317" s="1731"/>
      <c r="W1317" s="1446"/>
      <c r="X1317" s="1446"/>
      <c r="Y1317" s="1446"/>
      <c r="Z1317" s="1446"/>
      <c r="AA1317" s="1446"/>
      <c r="AB1317" s="1446"/>
      <c r="AC1317" s="1446"/>
      <c r="AD1317" s="1446"/>
      <c r="AE1317" s="1446"/>
      <c r="AF1317" s="1446"/>
    </row>
    <row r="1318" spans="1:32" ht="13.8">
      <c r="A1318" s="2567"/>
      <c r="B1318" s="2152"/>
      <c r="C1318" s="1465" t="s">
        <v>1821</v>
      </c>
      <c r="D1318" s="1445"/>
      <c r="E1318" s="1446"/>
      <c r="F1318" s="2567"/>
      <c r="G1318" s="1446"/>
      <c r="H1318" s="1446"/>
      <c r="I1318" s="2567"/>
      <c r="J1318" s="1454" t="str">
        <f>'Part VIII Scoring Criteria'!T104</f>
        <v>N/A</v>
      </c>
      <c r="K1318" s="1465"/>
      <c r="L1318" s="2148" t="str">
        <f t="shared" ref="L1318:L1326" si="447">IF(OR($O1318=$M1318,$O1318=0,$O1318=""),"","* * Check Score! * *")</f>
        <v/>
      </c>
      <c r="M1318" s="2182">
        <v>1</v>
      </c>
      <c r="N1318" s="1733"/>
      <c r="O1318" s="2567">
        <f>IF(OR($J1318="Submitted",$J1318="N/A"),1,"")</f>
        <v>1</v>
      </c>
      <c r="P1318" s="1462"/>
      <c r="Q1318" s="1733"/>
      <c r="R1318" s="1446"/>
      <c r="S1318" s="1446"/>
      <c r="T1318" s="1446"/>
      <c r="U1318" s="1446"/>
      <c r="V1318" s="1731"/>
      <c r="W1318" s="1446"/>
      <c r="X1318" s="1446"/>
      <c r="Y1318" s="1446"/>
      <c r="Z1318" s="1446"/>
      <c r="AA1318" s="1446"/>
      <c r="AB1318" s="1446"/>
      <c r="AC1318" s="1446"/>
      <c r="AD1318" s="1446"/>
      <c r="AE1318" s="1446"/>
      <c r="AF1318" s="1446"/>
    </row>
    <row r="1319" spans="1:32" ht="13.8">
      <c r="A1319" s="2567"/>
      <c r="B1319" s="2152"/>
      <c r="C1319" s="1465" t="s">
        <v>1822</v>
      </c>
      <c r="D1319" s="1445"/>
      <c r="E1319" s="1446"/>
      <c r="F1319" s="2567"/>
      <c r="G1319" s="1446"/>
      <c r="H1319" s="1446"/>
      <c r="I1319" s="2567"/>
      <c r="J1319" s="1454" t="str">
        <f>'Part VIII Scoring Criteria'!T105</f>
        <v>N/A</v>
      </c>
      <c r="K1319" s="1465"/>
      <c r="L1319" s="2158" t="str">
        <f t="shared" si="447"/>
        <v/>
      </c>
      <c r="M1319" s="2182">
        <v>1</v>
      </c>
      <c r="N1319" s="1733"/>
      <c r="O1319" s="2567">
        <f t="shared" ref="O1319:O1320" si="448">IF(OR($J1319="Submitted",$J1319="N/A"),1,"")</f>
        <v>1</v>
      </c>
      <c r="P1319" s="1462"/>
      <c r="Q1319" s="2150"/>
      <c r="R1319" s="1446"/>
      <c r="S1319" s="1446"/>
      <c r="T1319" s="1446"/>
      <c r="U1319" s="1446"/>
      <c r="V1319" s="1731"/>
      <c r="W1319" s="1446"/>
      <c r="X1319" s="1446"/>
      <c r="Y1319" s="1446"/>
      <c r="Z1319" s="1446"/>
      <c r="AA1319" s="1446"/>
      <c r="AB1319" s="1446"/>
      <c r="AC1319" s="1446"/>
      <c r="AD1319" s="1446"/>
      <c r="AE1319" s="1446"/>
      <c r="AF1319" s="1446"/>
    </row>
    <row r="1320" spans="1:32" ht="13.8">
      <c r="A1320" s="2567"/>
      <c r="B1320" s="2151"/>
      <c r="C1320" s="1465" t="s">
        <v>1823</v>
      </c>
      <c r="D1320" s="1445"/>
      <c r="E1320" s="1446"/>
      <c r="F1320" s="2567"/>
      <c r="G1320" s="1446"/>
      <c r="H1320" s="1446"/>
      <c r="I1320" s="2567"/>
      <c r="J1320" s="1454" t="str">
        <f>'Part VIII Scoring Criteria'!T106</f>
        <v>Submitted</v>
      </c>
      <c r="K1320" s="1465"/>
      <c r="L1320" s="2148" t="str">
        <f t="shared" si="447"/>
        <v/>
      </c>
      <c r="M1320" s="2182">
        <v>1</v>
      </c>
      <c r="N1320" s="1733"/>
      <c r="O1320" s="2567">
        <f t="shared" si="448"/>
        <v>1</v>
      </c>
      <c r="P1320" s="1462"/>
      <c r="Q1320" s="2150"/>
      <c r="R1320" s="1446"/>
      <c r="S1320" s="1446"/>
      <c r="T1320" s="1446"/>
      <c r="U1320" s="1446"/>
      <c r="V1320" s="1731"/>
      <c r="W1320" s="1446"/>
      <c r="X1320" s="1446"/>
      <c r="Y1320" s="1446"/>
      <c r="Z1320" s="1446"/>
      <c r="AA1320" s="1446"/>
      <c r="AB1320" s="1446"/>
      <c r="AC1320" s="1446"/>
      <c r="AD1320" s="1446"/>
      <c r="AE1320" s="1446"/>
      <c r="AF1320" s="1446"/>
    </row>
    <row r="1321" spans="1:32" ht="13.8">
      <c r="A1321" s="2567"/>
      <c r="B1321" s="2151"/>
      <c r="C1321" s="2150" t="s">
        <v>1824</v>
      </c>
      <c r="D1321" s="1445"/>
      <c r="E1321" s="1446"/>
      <c r="F1321" s="2567"/>
      <c r="G1321" s="1446"/>
      <c r="H1321" s="1446"/>
      <c r="I1321" s="1446"/>
      <c r="J1321" s="1446"/>
      <c r="K1321" s="1446"/>
      <c r="L1321" s="1446"/>
      <c r="M1321" s="1446"/>
      <c r="N1321" s="1446"/>
      <c r="O1321" s="1446"/>
      <c r="P1321" s="1446"/>
      <c r="Q1321" s="1446"/>
      <c r="R1321" s="1446"/>
      <c r="S1321" s="1446"/>
      <c r="T1321" s="1446"/>
      <c r="U1321" s="1446"/>
      <c r="V1321" s="1731"/>
      <c r="W1321" s="1446"/>
      <c r="X1321" s="1446"/>
      <c r="Y1321" s="1446"/>
      <c r="Z1321" s="1446"/>
      <c r="AA1321" s="1446"/>
      <c r="AB1321" s="1446"/>
      <c r="AC1321" s="1446"/>
      <c r="AD1321" s="1446"/>
      <c r="AE1321" s="1446"/>
      <c r="AF1321" s="1446"/>
    </row>
    <row r="1322" spans="1:32" ht="13.8">
      <c r="A1322" s="2567"/>
      <c r="B1322" s="2153"/>
      <c r="C1322" s="1465" t="s">
        <v>1825</v>
      </c>
      <c r="D1322" s="1446"/>
      <c r="E1322" s="1446"/>
      <c r="F1322" s="1454"/>
      <c r="G1322" s="1446"/>
      <c r="H1322" s="1446"/>
      <c r="I1322" s="1454"/>
      <c r="J1322" s="1454" t="str">
        <f>'Part VIII Scoring Criteria'!T108</f>
        <v>Submitted</v>
      </c>
      <c r="K1322" s="1465"/>
      <c r="L1322" s="2148" t="str">
        <f t="shared" si="447"/>
        <v/>
      </c>
      <c r="M1322" s="2182">
        <v>1</v>
      </c>
      <c r="N1322" s="1733"/>
      <c r="O1322" s="2567">
        <f>IF(OR($J1322="Submitted",$J1322="N/A"),1,"")</f>
        <v>1</v>
      </c>
      <c r="P1322" s="1462"/>
      <c r="Q1322" s="2150"/>
      <c r="R1322" s="1446"/>
      <c r="S1322" s="1446"/>
      <c r="T1322" s="1446"/>
      <c r="U1322" s="1446"/>
      <c r="V1322" s="1731"/>
      <c r="W1322" s="1446"/>
      <c r="X1322" s="1446"/>
      <c r="Y1322" s="1446"/>
      <c r="Z1322" s="1446"/>
      <c r="AA1322" s="1446"/>
      <c r="AB1322" s="1446"/>
      <c r="AC1322" s="1446"/>
      <c r="AD1322" s="1446"/>
      <c r="AE1322" s="1446"/>
      <c r="AF1322" s="1446"/>
    </row>
    <row r="1323" spans="1:32" ht="13.8">
      <c r="A1323" s="2567"/>
      <c r="B1323" s="2153"/>
      <c r="C1323" s="1468" t="s">
        <v>1826</v>
      </c>
      <c r="D1323" s="1468"/>
      <c r="E1323" s="1468"/>
      <c r="F1323" s="1468"/>
      <c r="G1323" s="1468"/>
      <c r="H1323" s="1468"/>
      <c r="I1323" s="1468"/>
      <c r="J1323" s="1454" t="str">
        <f>'Part VIII Scoring Criteria'!T109</f>
        <v>Submitted</v>
      </c>
      <c r="K1323" s="1468"/>
      <c r="L1323" s="2148" t="str">
        <f t="shared" si="447"/>
        <v/>
      </c>
      <c r="M1323" s="2198">
        <v>1</v>
      </c>
      <c r="N1323" s="2157"/>
      <c r="O1323" s="2567">
        <f t="shared" ref="O1323:O1326" si="449">IF(OR($J1323="Submitted",$J1323="N/A"),1,"")</f>
        <v>1</v>
      </c>
      <c r="P1323" s="2199"/>
      <c r="Q1323" s="2150"/>
      <c r="R1323" s="1446"/>
      <c r="S1323" s="1446"/>
      <c r="T1323" s="1446"/>
      <c r="U1323" s="1446"/>
      <c r="V1323" s="1731"/>
      <c r="W1323" s="1446"/>
      <c r="X1323" s="1446"/>
      <c r="Y1323" s="1446"/>
      <c r="Z1323" s="1446"/>
      <c r="AA1323" s="1446"/>
      <c r="AB1323" s="1446"/>
      <c r="AC1323" s="1446"/>
      <c r="AD1323" s="1446"/>
      <c r="AE1323" s="1446"/>
      <c r="AF1323" s="1446"/>
    </row>
    <row r="1324" spans="1:32" ht="13.8">
      <c r="A1324" s="2567"/>
      <c r="B1324" s="2153"/>
      <c r="C1324" s="1465" t="s">
        <v>1827</v>
      </c>
      <c r="D1324" s="1446"/>
      <c r="E1324" s="1446"/>
      <c r="F1324" s="2567"/>
      <c r="G1324" s="1446"/>
      <c r="H1324" s="1446"/>
      <c r="I1324" s="2567"/>
      <c r="J1324" s="1454" t="str">
        <f>'Part VIII Scoring Criteria'!T110</f>
        <v>Submitted</v>
      </c>
      <c r="K1324" s="1465"/>
      <c r="L1324" s="2148" t="str">
        <f t="shared" si="447"/>
        <v/>
      </c>
      <c r="M1324" s="2182">
        <v>1</v>
      </c>
      <c r="N1324" s="1733"/>
      <c r="O1324" s="2567">
        <f t="shared" si="449"/>
        <v>1</v>
      </c>
      <c r="P1324" s="1462"/>
      <c r="Q1324" s="2150"/>
      <c r="R1324" s="1446"/>
      <c r="S1324" s="1446"/>
      <c r="T1324" s="1446"/>
      <c r="U1324" s="1446"/>
      <c r="V1324" s="1731"/>
      <c r="W1324" s="1446"/>
      <c r="X1324" s="1446"/>
      <c r="Y1324" s="1446"/>
      <c r="Z1324" s="1446"/>
      <c r="AA1324" s="1446"/>
      <c r="AB1324" s="1446"/>
      <c r="AC1324" s="1446"/>
      <c r="AD1324" s="1446"/>
      <c r="AE1324" s="1446"/>
      <c r="AF1324" s="1446"/>
    </row>
    <row r="1325" spans="1:32" ht="13.8">
      <c r="A1325" s="2567"/>
      <c r="B1325" s="2151"/>
      <c r="C1325" s="1465" t="s">
        <v>1828</v>
      </c>
      <c r="D1325" s="1446"/>
      <c r="E1325" s="1446"/>
      <c r="F1325" s="2567"/>
      <c r="G1325" s="1446"/>
      <c r="H1325" s="1446"/>
      <c r="I1325" s="2567"/>
      <c r="J1325" s="1454" t="str">
        <f>'Part VIII Scoring Criteria'!T111</f>
        <v>Submitted</v>
      </c>
      <c r="K1325" s="1465"/>
      <c r="L1325" s="2148" t="str">
        <f t="shared" si="447"/>
        <v/>
      </c>
      <c r="M1325" s="2182">
        <v>1</v>
      </c>
      <c r="N1325" s="1733"/>
      <c r="O1325" s="2567">
        <f t="shared" si="449"/>
        <v>1</v>
      </c>
      <c r="P1325" s="1462"/>
      <c r="Q1325" s="2150"/>
      <c r="R1325" s="1446"/>
      <c r="S1325" s="1446"/>
      <c r="T1325" s="1446"/>
      <c r="U1325" s="1446"/>
      <c r="V1325" s="1731"/>
      <c r="W1325" s="1446"/>
      <c r="X1325" s="1446"/>
      <c r="Y1325" s="1446"/>
      <c r="Z1325" s="1446"/>
      <c r="AA1325" s="1446"/>
      <c r="AB1325" s="1446"/>
      <c r="AC1325" s="1446"/>
      <c r="AD1325" s="1446"/>
      <c r="AE1325" s="1446"/>
      <c r="AF1325" s="1446"/>
    </row>
    <row r="1326" spans="1:32" ht="13.8">
      <c r="A1326" s="2567"/>
      <c r="B1326" s="2153"/>
      <c r="C1326" s="1465" t="s">
        <v>1829</v>
      </c>
      <c r="D1326" s="1446"/>
      <c r="E1326" s="1446"/>
      <c r="F1326" s="2567"/>
      <c r="G1326" s="1446"/>
      <c r="H1326" s="1446"/>
      <c r="I1326" s="2567"/>
      <c r="J1326" s="1454" t="str">
        <f>'Part VIII Scoring Criteria'!T112</f>
        <v>Submitted</v>
      </c>
      <c r="K1326" s="1465"/>
      <c r="L1326" s="2148" t="str">
        <f t="shared" si="447"/>
        <v/>
      </c>
      <c r="M1326" s="2182">
        <v>1</v>
      </c>
      <c r="N1326" s="1733"/>
      <c r="O1326" s="2567">
        <f t="shared" si="449"/>
        <v>1</v>
      </c>
      <c r="P1326" s="1462"/>
      <c r="Q1326" s="2150"/>
      <c r="R1326" s="1446"/>
      <c r="S1326" s="1446"/>
      <c r="T1326" s="1446"/>
      <c r="U1326" s="1446"/>
      <c r="V1326" s="1731"/>
      <c r="W1326" s="1446"/>
      <c r="X1326" s="1446"/>
      <c r="Y1326" s="1446"/>
      <c r="Z1326" s="1446"/>
      <c r="AA1326" s="1446"/>
      <c r="AB1326" s="1446"/>
      <c r="AC1326" s="1446"/>
      <c r="AD1326" s="1446"/>
      <c r="AE1326" s="1446"/>
      <c r="AF1326" s="1446"/>
    </row>
    <row r="1327" spans="1:32" ht="13.8">
      <c r="A1327" s="2567" t="s">
        <v>198</v>
      </c>
      <c r="B1327" s="1445" t="s">
        <v>7614</v>
      </c>
      <c r="C1327" s="1446"/>
      <c r="D1327" s="1446"/>
      <c r="E1327" s="1446"/>
      <c r="F1327" s="2173" t="s">
        <v>7615</v>
      </c>
      <c r="G1327" s="1446"/>
      <c r="H1327" s="1733"/>
      <c r="I1327" s="1446"/>
      <c r="J1327" s="1445"/>
      <c r="K1327" s="1445"/>
      <c r="L1327" s="1445"/>
      <c r="M1327" s="1454"/>
      <c r="N1327" s="1454"/>
      <c r="O1327" s="1454"/>
      <c r="P1327" s="1454"/>
      <c r="Q1327" s="1454"/>
      <c r="R1327" s="2150"/>
      <c r="S1327" s="1446"/>
      <c r="T1327" s="1446"/>
      <c r="U1327" s="1446"/>
      <c r="V1327" s="1446"/>
      <c r="W1327" s="1446"/>
      <c r="X1327" s="1446"/>
      <c r="Y1327" s="1446"/>
      <c r="Z1327" s="1446"/>
      <c r="AA1327" s="1446"/>
      <c r="AB1327" s="1446"/>
      <c r="AC1327" s="1446"/>
      <c r="AD1327" s="1446"/>
      <c r="AE1327" s="1446"/>
      <c r="AF1327" s="1446"/>
    </row>
    <row r="1328" spans="1:32" ht="13.8">
      <c r="A1328" s="1463"/>
      <c r="B1328" s="1465" t="e">
        <f>'Part VIII Scoring Criteria'!#REF!</f>
        <v>#REF!</v>
      </c>
      <c r="C1328" s="2200"/>
      <c r="D1328" s="2200"/>
      <c r="E1328" s="2200"/>
      <c r="F1328" s="2200"/>
      <c r="G1328" s="2200"/>
      <c r="H1328" s="2200"/>
      <c r="I1328" s="2200"/>
      <c r="J1328" s="2200"/>
      <c r="K1328" s="2200"/>
      <c r="L1328" s="2200"/>
      <c r="M1328" s="2200"/>
      <c r="N1328" s="2200"/>
      <c r="O1328" s="2200"/>
      <c r="P1328" s="2200"/>
      <c r="Q1328" s="1445"/>
      <c r="R1328" s="1445"/>
      <c r="S1328" s="1463"/>
      <c r="T1328" s="1463"/>
      <c r="U1328" s="1463"/>
      <c r="V1328" s="1463"/>
      <c r="W1328" s="1463"/>
      <c r="X1328" s="1463"/>
      <c r="Y1328" s="1463"/>
      <c r="Z1328" s="1463"/>
      <c r="AA1328" s="1463"/>
      <c r="AB1328" s="1463"/>
      <c r="AC1328" s="1463"/>
      <c r="AD1328" s="1463"/>
      <c r="AE1328" s="1463"/>
      <c r="AF1328" s="1463"/>
    </row>
    <row r="1329" spans="1:32" ht="14.4">
      <c r="A1329" s="1446"/>
      <c r="B1329" s="2142" t="s">
        <v>7607</v>
      </c>
      <c r="C1329" s="1446"/>
      <c r="D1329" s="1446"/>
      <c r="E1329" s="1446"/>
      <c r="F1329" s="1446"/>
      <c r="G1329" s="1446"/>
      <c r="H1329" s="1446"/>
      <c r="I1329" s="1446"/>
      <c r="J1329" s="1446"/>
      <c r="K1329" s="1446"/>
      <c r="L1329" s="1463"/>
      <c r="M1329" s="1446"/>
      <c r="N1329" s="1463"/>
      <c r="O1329" s="2161"/>
      <c r="P1329" s="1470"/>
      <c r="Q1329" s="1463"/>
      <c r="R1329" s="1463"/>
      <c r="S1329" s="1463"/>
      <c r="T1329" s="1463"/>
      <c r="U1329" s="1463"/>
      <c r="V1329" s="1463"/>
      <c r="W1329" s="1463"/>
      <c r="X1329" s="1463"/>
      <c r="Y1329" s="1463"/>
      <c r="Z1329" s="1463"/>
      <c r="AA1329" s="1463"/>
      <c r="AB1329" s="1463"/>
      <c r="AC1329" s="1463"/>
      <c r="AD1329" s="1463"/>
      <c r="AE1329" s="1463"/>
      <c r="AF1329" s="1463"/>
    </row>
    <row r="1330" spans="1:32" ht="13.8">
      <c r="A1330" s="1469" t="str">
        <f>'Part VIII Scoring Criteria'!A114</f>
        <v>The applicant has provided all applicable items requested under VII. Readiness to Proceed.</v>
      </c>
      <c r="B1330" s="1468"/>
      <c r="C1330" s="1468"/>
      <c r="D1330" s="1468"/>
      <c r="E1330" s="1468"/>
      <c r="F1330" s="1468"/>
      <c r="G1330" s="1468"/>
      <c r="H1330" s="1468"/>
      <c r="I1330" s="1468"/>
      <c r="J1330" s="1468"/>
      <c r="K1330" s="1468"/>
      <c r="L1330" s="1468"/>
      <c r="M1330" s="1468"/>
      <c r="N1330" s="1468"/>
      <c r="O1330" s="1468"/>
      <c r="P1330" s="1468"/>
      <c r="Q1330" s="1445"/>
      <c r="R1330" s="1445"/>
      <c r="S1330" s="1463"/>
      <c r="T1330" s="1463"/>
      <c r="U1330" s="1463"/>
      <c r="V1330" s="1463"/>
      <c r="W1330" s="1463"/>
      <c r="X1330" s="1463"/>
      <c r="Y1330" s="1463"/>
      <c r="Z1330" s="1463"/>
      <c r="AA1330" s="1463"/>
      <c r="AB1330" s="1463"/>
      <c r="AC1330" s="1463"/>
      <c r="AD1330" s="1463"/>
      <c r="AE1330" s="1463"/>
      <c r="AF1330" s="1463"/>
    </row>
    <row r="1331" spans="1:32" ht="14.4">
      <c r="A1331" s="2142"/>
      <c r="B1331" s="2142" t="s">
        <v>1453</v>
      </c>
      <c r="C1331" s="1446"/>
      <c r="D1331" s="2142"/>
      <c r="E1331" s="1446"/>
      <c r="F1331" s="1446"/>
      <c r="G1331" s="1446"/>
      <c r="H1331" s="1446"/>
      <c r="I1331" s="1446"/>
      <c r="J1331" s="1446"/>
      <c r="K1331" s="1446"/>
      <c r="L1331" s="1446"/>
      <c r="M1331" s="1446"/>
      <c r="N1331" s="1446"/>
      <c r="O1331" s="1445"/>
      <c r="P1331" s="1445"/>
      <c r="Q1331" s="1446"/>
      <c r="R1331" s="1446"/>
      <c r="S1331" s="1446"/>
      <c r="T1331" s="1446"/>
      <c r="U1331" s="1446"/>
      <c r="V1331" s="1446"/>
      <c r="W1331" s="1446"/>
      <c r="X1331" s="1446"/>
      <c r="Y1331" s="1446"/>
      <c r="Z1331" s="1446"/>
      <c r="AA1331" s="1446"/>
      <c r="AB1331" s="1446"/>
      <c r="AC1331" s="1446"/>
      <c r="AD1331" s="1446"/>
      <c r="AE1331" s="1446"/>
      <c r="AF1331" s="1446"/>
    </row>
    <row r="1332" spans="1:32" ht="13.8">
      <c r="A1332" s="1468"/>
      <c r="B1332" s="1468"/>
      <c r="C1332" s="1468"/>
      <c r="D1332" s="1468"/>
      <c r="E1332" s="1468"/>
      <c r="F1332" s="1468"/>
      <c r="G1332" s="1468"/>
      <c r="H1332" s="1468"/>
      <c r="I1332" s="1468"/>
      <c r="J1332" s="1468"/>
      <c r="K1332" s="1468"/>
      <c r="L1332" s="1468"/>
      <c r="M1332" s="1468"/>
      <c r="N1332" s="1468"/>
      <c r="O1332" s="1468"/>
      <c r="P1332" s="1468"/>
      <c r="Q1332" s="1445"/>
      <c r="R1332" s="1445"/>
      <c r="S1332" s="1463"/>
      <c r="T1332" s="1463"/>
      <c r="U1332" s="1463"/>
      <c r="V1332" s="1463"/>
      <c r="W1332" s="1463"/>
      <c r="X1332" s="1463"/>
      <c r="Y1332" s="1463"/>
      <c r="Z1332" s="1463"/>
      <c r="AA1332" s="1463"/>
      <c r="AB1332" s="1463"/>
      <c r="AC1332" s="1463"/>
      <c r="AD1332" s="1463"/>
      <c r="AE1332" s="1463"/>
      <c r="AF1332" s="1463"/>
    </row>
    <row r="1333" spans="1:32" ht="13.8">
      <c r="A1333" s="1730"/>
      <c r="B1333" s="1446"/>
      <c r="C1333" s="1468"/>
      <c r="D1333" s="1468"/>
      <c r="E1333" s="1468"/>
      <c r="F1333" s="1468"/>
      <c r="G1333" s="1468"/>
      <c r="H1333" s="1468"/>
      <c r="I1333" s="1468"/>
      <c r="J1333" s="1468"/>
      <c r="K1333" s="1468"/>
      <c r="L1333" s="1468"/>
      <c r="M1333" s="1468"/>
      <c r="N1333" s="1468"/>
      <c r="O1333" s="2136"/>
      <c r="P1333" s="1445"/>
      <c r="Q1333" s="1463"/>
      <c r="R1333" s="1463"/>
      <c r="S1333" s="1463"/>
      <c r="T1333" s="1463"/>
      <c r="U1333" s="1463"/>
      <c r="V1333" s="1463"/>
      <c r="W1333" s="1463"/>
      <c r="X1333" s="1463"/>
      <c r="Y1333" s="1463"/>
      <c r="Z1333" s="1463"/>
      <c r="AA1333" s="1463"/>
      <c r="AB1333" s="1463"/>
      <c r="AC1333" s="1463"/>
      <c r="AD1333" s="1463"/>
      <c r="AE1333" s="1463"/>
      <c r="AF1333" s="1463"/>
    </row>
    <row r="1334" spans="1:32" ht="13.8">
      <c r="A1334" s="1463"/>
      <c r="B1334" s="1463"/>
      <c r="C1334" s="1463"/>
      <c r="D1334" s="1446"/>
      <c r="E1334" s="1446"/>
      <c r="F1334" s="2567"/>
      <c r="G1334" s="2567"/>
      <c r="H1334" s="2567"/>
      <c r="I1334" s="2567"/>
      <c r="J1334" s="1465"/>
      <c r="K1334" s="1465"/>
      <c r="L1334" s="1465"/>
      <c r="M1334" s="1454"/>
      <c r="N1334" s="2567"/>
      <c r="O1334" s="2569"/>
      <c r="P1334" s="1462"/>
      <c r="Q1334" s="1463"/>
      <c r="R1334" s="1463"/>
      <c r="S1334" s="1463"/>
      <c r="T1334" s="1463"/>
      <c r="U1334" s="1463"/>
      <c r="V1334" s="1463"/>
      <c r="W1334" s="1463"/>
      <c r="X1334" s="1463"/>
      <c r="Y1334" s="1463"/>
      <c r="Z1334" s="1463"/>
      <c r="AA1334" s="1463"/>
      <c r="AB1334" s="1463"/>
      <c r="AC1334" s="1463"/>
      <c r="AD1334" s="1463"/>
      <c r="AE1334" s="1463"/>
      <c r="AF1334" s="1463"/>
    </row>
    <row r="1335" spans="1:32" ht="13.8">
      <c r="A1335" s="1730" t="s">
        <v>1486</v>
      </c>
      <c r="B1335" s="1731" t="s">
        <v>1831</v>
      </c>
      <c r="C1335" s="1446"/>
      <c r="D1335" s="1446"/>
      <c r="E1335" s="1446"/>
      <c r="F1335" s="1446"/>
      <c r="G1335" s="1445"/>
      <c r="H1335" s="1446"/>
      <c r="I1335" s="1445"/>
      <c r="J1335" s="2567"/>
      <c r="K1335" s="2201" t="s">
        <v>7616</v>
      </c>
      <c r="L1335" s="2146" t="s">
        <v>1743</v>
      </c>
      <c r="M1335" s="2567">
        <v>3</v>
      </c>
      <c r="N1335" s="1454"/>
      <c r="O1335" s="1462">
        <f>'Part VIII Scoring Criteria'!AA119</f>
        <v>2</v>
      </c>
      <c r="P1335" s="1462">
        <f>'Part VIII Scoring Criteria'!AB119</f>
        <v>0</v>
      </c>
      <c r="Q1335" s="2567" t="s">
        <v>1744</v>
      </c>
      <c r="R1335" s="2567">
        <f>$C$16</f>
        <v>0</v>
      </c>
      <c r="S1335" s="1470"/>
      <c r="T1335" s="1446"/>
      <c r="U1335" s="1446"/>
      <c r="V1335" s="1446"/>
      <c r="W1335" s="1446"/>
      <c r="X1335" s="1446"/>
      <c r="Y1335" s="1446"/>
      <c r="Z1335" s="1446"/>
      <c r="AA1335" s="1446"/>
      <c r="AB1335" s="1446"/>
      <c r="AC1335" s="1446"/>
      <c r="AD1335" s="1446"/>
      <c r="AE1335" s="1446"/>
      <c r="AF1335" s="1446"/>
    </row>
    <row r="1336" spans="1:32" ht="13.8">
      <c r="A1336" s="2202"/>
      <c r="B1336" s="2203"/>
      <c r="C1336" s="1463"/>
      <c r="D1336" s="1463"/>
      <c r="E1336" s="1446"/>
      <c r="F1336" s="1463" t="s">
        <v>6810</v>
      </c>
      <c r="G1336" s="1470"/>
      <c r="H1336" s="1446"/>
      <c r="I1336" s="1731"/>
      <c r="J1336" s="1463"/>
      <c r="K1336" s="2146"/>
      <c r="L1336" s="2204"/>
      <c r="M1336" s="2567"/>
      <c r="N1336" s="1454"/>
      <c r="O1336" s="1462"/>
      <c r="P1336" s="1462"/>
      <c r="Q1336" s="2567"/>
      <c r="R1336" s="2148"/>
      <c r="S1336" s="1463"/>
      <c r="T1336" s="1463"/>
      <c r="U1336" s="1463"/>
      <c r="V1336" s="1463"/>
      <c r="W1336" s="1463"/>
      <c r="X1336" s="1463"/>
      <c r="Y1336" s="1463"/>
      <c r="Z1336" s="1463"/>
      <c r="AA1336" s="1463"/>
      <c r="AB1336" s="1463"/>
      <c r="AC1336" s="1463"/>
      <c r="AD1336" s="1463"/>
      <c r="AE1336" s="1463"/>
      <c r="AF1336" s="1463"/>
    </row>
    <row r="1337" spans="1:32" ht="13.8">
      <c r="A1337" s="2567" t="s">
        <v>186</v>
      </c>
      <c r="B1337" s="2150" t="s">
        <v>1832</v>
      </c>
      <c r="C1337" s="1446"/>
      <c r="D1337" s="1446"/>
      <c r="E1337" s="1446"/>
      <c r="F1337" s="1446"/>
      <c r="G1337" s="2205"/>
      <c r="H1337" s="1463" t="s">
        <v>631</v>
      </c>
      <c r="I1337" s="1446"/>
      <c r="J1337" s="2161" t="str">
        <f>'Part V-Revenues &amp; Expenses'!$O$62</f>
        <v>40% of Units at 60% of AMI</v>
      </c>
      <c r="K1337" s="1446"/>
      <c r="L1337" s="1446"/>
      <c r="M1337" s="2567">
        <v>2</v>
      </c>
      <c r="N1337" s="2183"/>
      <c r="O1337" s="2140">
        <f>'Part VIII Scoring Criteria'!AA120</f>
        <v>2</v>
      </c>
      <c r="P1337" s="2140">
        <f>'Part VIII Scoring Criteria'!AB120</f>
        <v>0</v>
      </c>
      <c r="Q1337" s="1446"/>
      <c r="R1337" s="1446"/>
      <c r="S1337" s="1446"/>
      <c r="T1337" s="1446"/>
      <c r="U1337" s="1446"/>
      <c r="V1337" s="1446"/>
      <c r="W1337" s="1446"/>
      <c r="X1337" s="1446"/>
      <c r="Y1337" s="1446"/>
      <c r="Z1337" s="1446"/>
      <c r="AA1337" s="1446"/>
      <c r="AB1337" s="1446"/>
      <c r="AC1337" s="1446"/>
      <c r="AD1337" s="1446"/>
      <c r="AE1337" s="1446"/>
      <c r="AF1337" s="1446"/>
    </row>
    <row r="1338" spans="1:32" ht="13.8">
      <c r="A1338" s="2567"/>
      <c r="B1338" s="2151" t="s">
        <v>201</v>
      </c>
      <c r="C1338" s="2206" t="s">
        <v>1833</v>
      </c>
      <c r="D1338" s="1446"/>
      <c r="E1338" s="1446"/>
      <c r="F1338" s="1446"/>
      <c r="G1338" s="1446"/>
      <c r="H1338" s="1446" t="s">
        <v>1834</v>
      </c>
      <c r="I1338" s="1446"/>
      <c r="J1338" s="1446"/>
      <c r="K1338" s="2207">
        <f>'Part V-Revenues &amp; Expenses'!$B$59</f>
        <v>57.916666666666664</v>
      </c>
      <c r="L1338" s="2148" t="str">
        <f t="shared" ref="L1338:L1339" si="450">IF(OR($O1338=$M1338,$O1338=0,$O1338=""),"","* * Check Score! * *")</f>
        <v/>
      </c>
      <c r="M1338" s="1454">
        <v>2</v>
      </c>
      <c r="N1338" s="2152"/>
      <c r="O1338" s="2567">
        <f>'Part VIII Scoring Criteria'!AA121</f>
        <v>0</v>
      </c>
      <c r="P1338" s="1462"/>
      <c r="Q1338" s="2147" t="str">
        <f>IF(OR($O1338=$M1338,$O1338=0,$O1338=""),"","*CHECK!*")</f>
        <v/>
      </c>
      <c r="R1338" s="2150"/>
      <c r="S1338" s="1446"/>
      <c r="T1338" s="1446"/>
      <c r="U1338" s="1446"/>
      <c r="V1338" s="1446"/>
      <c r="W1338" s="1446"/>
      <c r="X1338" s="1446"/>
      <c r="Y1338" s="1446"/>
      <c r="Z1338" s="1446"/>
      <c r="AA1338" s="1446"/>
      <c r="AB1338" s="1446"/>
      <c r="AC1338" s="1446"/>
      <c r="AD1338" s="1446"/>
      <c r="AE1338" s="1446"/>
      <c r="AF1338" s="1446"/>
    </row>
    <row r="1339" spans="1:32" ht="13.8">
      <c r="A1339" s="2567"/>
      <c r="B1339" s="2153" t="s">
        <v>209</v>
      </c>
      <c r="C1339" s="2206" t="s">
        <v>1835</v>
      </c>
      <c r="D1339" s="1446"/>
      <c r="E1339" s="1446"/>
      <c r="F1339" s="1446"/>
      <c r="G1339" s="1446"/>
      <c r="H1339" s="1446"/>
      <c r="I1339" s="1446"/>
      <c r="J1339" s="1446"/>
      <c r="K1339" s="1463"/>
      <c r="L1339" s="2148" t="str">
        <f t="shared" si="450"/>
        <v/>
      </c>
      <c r="M1339" s="1454">
        <v>2</v>
      </c>
      <c r="N1339" s="2152"/>
      <c r="O1339" s="2567">
        <f>'Part VIII Scoring Criteria'!AA122</f>
        <v>2</v>
      </c>
      <c r="P1339" s="1462"/>
      <c r="Q1339" s="2147" t="str">
        <f>IF(OR($O1339=$M1339,$O1339=0,$O1339=""),"","*CHECK!*")</f>
        <v/>
      </c>
      <c r="R1339" s="2150"/>
      <c r="S1339" s="1446"/>
      <c r="T1339" s="1446"/>
      <c r="U1339" s="1446"/>
      <c r="V1339" s="1446"/>
      <c r="W1339" s="1446"/>
      <c r="X1339" s="1446"/>
      <c r="Y1339" s="1446"/>
      <c r="Z1339" s="1446"/>
      <c r="AA1339" s="1446"/>
      <c r="AB1339" s="1446"/>
      <c r="AC1339" s="1446"/>
      <c r="AD1339" s="1446"/>
      <c r="AE1339" s="1446"/>
      <c r="AF1339" s="1446"/>
    </row>
    <row r="1340" spans="1:32" ht="13.8">
      <c r="A1340" s="2567"/>
      <c r="B1340" s="2208"/>
      <c r="C1340" s="2209"/>
      <c r="D1340" s="1468"/>
      <c r="E1340" s="1463"/>
      <c r="F1340" s="1463"/>
      <c r="G1340" s="1463"/>
      <c r="H1340" s="1463"/>
      <c r="I1340" s="1463"/>
      <c r="J1340" s="1463"/>
      <c r="K1340" s="2210"/>
      <c r="L1340" s="2210"/>
      <c r="M1340" s="1454"/>
      <c r="N1340" s="2183"/>
      <c r="O1340" s="2140"/>
      <c r="P1340" s="2140"/>
      <c r="Q1340" s="1463"/>
      <c r="R1340" s="1463"/>
      <c r="S1340" s="1463"/>
      <c r="T1340" s="1463"/>
      <c r="U1340" s="1463"/>
      <c r="V1340" s="1463"/>
      <c r="W1340" s="1463"/>
      <c r="X1340" s="1463"/>
      <c r="Y1340" s="1463"/>
      <c r="Z1340" s="1463"/>
      <c r="AA1340" s="1463"/>
      <c r="AB1340" s="1463"/>
      <c r="AC1340" s="1463"/>
      <c r="AD1340" s="1463"/>
      <c r="AE1340" s="1463"/>
      <c r="AF1340" s="1463"/>
    </row>
    <row r="1341" spans="1:32" ht="13.8">
      <c r="A1341" s="2567" t="s">
        <v>198</v>
      </c>
      <c r="B1341" s="2150" t="s">
        <v>1836</v>
      </c>
      <c r="C1341" s="1463"/>
      <c r="D1341" s="1463"/>
      <c r="E1341" s="1463"/>
      <c r="F1341" s="1463"/>
      <c r="G1341" s="1463"/>
      <c r="H1341" s="1464" t="s">
        <v>7617</v>
      </c>
      <c r="I1341" s="1446"/>
      <c r="J1341" s="1463"/>
      <c r="K1341" s="2210">
        <f>IF(OR('Part V-Revenues &amp; Expenses'!$P$74="", 'Part V-Revenues &amp; Expenses'!$P$74=0),0,'Part V-Revenues &amp; Expenses'!$P$109/'Part V-Revenues &amp; Expenses'!$P$74)</f>
        <v>0</v>
      </c>
      <c r="L1341" s="1463"/>
      <c r="M1341" s="2567">
        <v>3</v>
      </c>
      <c r="N1341" s="2157"/>
      <c r="O1341" s="2567">
        <f>'Part VIII Scoring Criteria'!AA123</f>
        <v>0</v>
      </c>
      <c r="P1341" s="1462"/>
      <c r="Q1341" s="1463"/>
      <c r="R1341" s="1463"/>
      <c r="S1341" s="1463"/>
      <c r="T1341" s="1463"/>
      <c r="U1341" s="1463"/>
      <c r="V1341" s="1463"/>
      <c r="W1341" s="1463"/>
      <c r="X1341" s="1463"/>
      <c r="Y1341" s="1463"/>
      <c r="Z1341" s="1463"/>
      <c r="AA1341" s="1463"/>
      <c r="AB1341" s="1463"/>
      <c r="AC1341" s="1463"/>
      <c r="AD1341" s="1463"/>
      <c r="AE1341" s="1463"/>
      <c r="AF1341" s="1463"/>
    </row>
    <row r="1342" spans="1:32" ht="14.4">
      <c r="A1342" s="1446"/>
      <c r="B1342" s="2142" t="s">
        <v>1453</v>
      </c>
      <c r="C1342" s="1463"/>
      <c r="D1342" s="2160"/>
      <c r="E1342" s="1469"/>
      <c r="F1342" s="1469"/>
      <c r="G1342" s="1469"/>
      <c r="H1342" s="1469"/>
      <c r="I1342" s="1469"/>
      <c r="J1342" s="1469"/>
      <c r="K1342" s="1469"/>
      <c r="L1342" s="1469"/>
      <c r="M1342" s="1469"/>
      <c r="N1342" s="1467"/>
      <c r="O1342" s="2155"/>
      <c r="P1342" s="2567"/>
      <c r="Q1342" s="1463"/>
      <c r="R1342" s="1463"/>
      <c r="S1342" s="1463"/>
      <c r="T1342" s="1463"/>
      <c r="U1342" s="1463"/>
      <c r="V1342" s="1463"/>
      <c r="W1342" s="1463"/>
      <c r="X1342" s="1463"/>
      <c r="Y1342" s="1463"/>
      <c r="Z1342" s="1463"/>
      <c r="AA1342" s="1463"/>
      <c r="AB1342" s="1463"/>
      <c r="AC1342" s="1463"/>
      <c r="AD1342" s="1463"/>
      <c r="AE1342" s="1463"/>
      <c r="AF1342" s="1463"/>
    </row>
    <row r="1343" spans="1:32" ht="13.8">
      <c r="A1343" s="1468"/>
      <c r="B1343" s="1468"/>
      <c r="C1343" s="1468"/>
      <c r="D1343" s="1468"/>
      <c r="E1343" s="1468"/>
      <c r="F1343" s="1468"/>
      <c r="G1343" s="1468"/>
      <c r="H1343" s="1468"/>
      <c r="I1343" s="1468"/>
      <c r="J1343" s="1468"/>
      <c r="K1343" s="1468"/>
      <c r="L1343" s="1468"/>
      <c r="M1343" s="1468"/>
      <c r="N1343" s="1468"/>
      <c r="O1343" s="1468"/>
      <c r="P1343" s="1468"/>
      <c r="Q1343" s="1445"/>
      <c r="R1343" s="1463"/>
      <c r="S1343" s="1463"/>
      <c r="T1343" s="1463"/>
      <c r="U1343" s="1463"/>
      <c r="V1343" s="1463"/>
      <c r="W1343" s="1463"/>
      <c r="X1343" s="1463"/>
      <c r="Y1343" s="1463"/>
      <c r="Z1343" s="1463"/>
      <c r="AA1343" s="1463"/>
      <c r="AB1343" s="1463"/>
      <c r="AC1343" s="1463"/>
      <c r="AD1343" s="1463"/>
      <c r="AE1343" s="1463"/>
      <c r="AF1343" s="1463"/>
    </row>
    <row r="1344" spans="1:32" ht="13.8">
      <c r="A1344" s="1446"/>
      <c r="B1344" s="1445"/>
      <c r="C1344" s="1446"/>
      <c r="D1344" s="1445"/>
      <c r="E1344" s="1446"/>
      <c r="F1344" s="1446"/>
      <c r="G1344" s="2144"/>
      <c r="H1344" s="2144"/>
      <c r="I1344" s="2144"/>
      <c r="J1344" s="2144"/>
      <c r="K1344" s="2144"/>
      <c r="L1344" s="2144"/>
      <c r="M1344" s="1446"/>
      <c r="N1344" s="1463"/>
      <c r="O1344" s="2161"/>
      <c r="P1344" s="1445"/>
      <c r="Q1344" s="1463"/>
      <c r="R1344" s="1446"/>
      <c r="S1344" s="1446"/>
      <c r="T1344" s="1446"/>
      <c r="U1344" s="1446"/>
      <c r="V1344" s="1446"/>
      <c r="W1344" s="1446"/>
      <c r="X1344" s="1739"/>
      <c r="Y1344" s="1739"/>
      <c r="Z1344" s="1739"/>
      <c r="AA1344" s="1739"/>
      <c r="AB1344" s="1739"/>
      <c r="AC1344" s="1739"/>
      <c r="AD1344" s="1739"/>
      <c r="AE1344" s="1739"/>
      <c r="AF1344" s="1739"/>
    </row>
    <row r="1345" spans="1:32" ht="13.8">
      <c r="A1345" s="1463"/>
      <c r="B1345" s="1463"/>
      <c r="C1345" s="1463"/>
      <c r="D1345" s="1463"/>
      <c r="E1345" s="1463"/>
      <c r="F1345" s="1463"/>
      <c r="G1345" s="1463"/>
      <c r="H1345" s="1463"/>
      <c r="I1345" s="1463"/>
      <c r="J1345" s="1463"/>
      <c r="K1345" s="1463"/>
      <c r="L1345" s="1463"/>
      <c r="M1345" s="1463"/>
      <c r="N1345" s="2568"/>
      <c r="O1345" s="2569"/>
      <c r="P1345" s="2569"/>
      <c r="Q1345" s="1463"/>
      <c r="R1345" s="1463"/>
      <c r="S1345" s="1463"/>
      <c r="T1345" s="1731"/>
      <c r="U1345" s="1731"/>
      <c r="V1345" s="1463"/>
      <c r="W1345" s="1463"/>
      <c r="X1345" s="1463"/>
      <c r="Y1345" s="1463"/>
      <c r="Z1345" s="1463"/>
      <c r="AA1345" s="1463"/>
      <c r="AB1345" s="1463"/>
      <c r="AC1345" s="1463"/>
      <c r="AD1345" s="1463"/>
      <c r="AE1345" s="1463"/>
      <c r="AF1345" s="1463"/>
    </row>
    <row r="1346" spans="1:32" ht="14.4">
      <c r="A1346" s="2186" t="s">
        <v>1488</v>
      </c>
      <c r="B1346" s="1731" t="s">
        <v>1838</v>
      </c>
      <c r="C1346" s="1446"/>
      <c r="D1346" s="1731"/>
      <c r="E1346" s="1731"/>
      <c r="F1346" s="1446"/>
      <c r="G1346" s="1446"/>
      <c r="H1346" s="1446"/>
      <c r="I1346" s="1446"/>
      <c r="J1346" s="1446"/>
      <c r="K1346" s="1446"/>
      <c r="L1346" s="2211"/>
      <c r="M1346" s="2567">
        <v>2</v>
      </c>
      <c r="N1346" s="1454"/>
      <c r="O1346" s="1462">
        <f>'Part VIII Scoring Criteria'!AA128</f>
        <v>2</v>
      </c>
      <c r="P1346" s="1462">
        <f>'Part VIII Scoring Criteria'!AB128</f>
        <v>0</v>
      </c>
      <c r="Q1346" s="2567" t="s">
        <v>1744</v>
      </c>
      <c r="R1346" s="2567"/>
      <c r="S1346" s="1446"/>
      <c r="T1346" s="1446"/>
      <c r="U1346" s="1446"/>
      <c r="V1346" s="1446"/>
      <c r="W1346" s="1446"/>
      <c r="X1346" s="1446"/>
      <c r="Y1346" s="1446"/>
      <c r="Z1346" s="1446"/>
      <c r="AA1346" s="1446"/>
      <c r="AB1346" s="1446"/>
      <c r="AC1346" s="1446"/>
      <c r="AD1346" s="1446"/>
      <c r="AE1346" s="1446"/>
      <c r="AF1346" s="1446"/>
    </row>
    <row r="1347" spans="1:32" ht="13.8">
      <c r="A1347" s="1463"/>
      <c r="B1347" s="2212" t="s">
        <v>1839</v>
      </c>
      <c r="C1347" s="1446"/>
      <c r="D1347" s="1446"/>
      <c r="E1347" s="1446"/>
      <c r="F1347" s="1446"/>
      <c r="G1347" s="1446"/>
      <c r="H1347" s="1446"/>
      <c r="I1347" s="1446"/>
      <c r="J1347" s="1446"/>
      <c r="K1347" s="1446"/>
      <c r="L1347" s="1463"/>
      <c r="M1347" s="1454"/>
      <c r="N1347" s="2568"/>
      <c r="O1347" s="2567" t="str">
        <f>'Part VIII Scoring Criteria'!AA129</f>
        <v>Yes</v>
      </c>
      <c r="P1347" s="2567"/>
      <c r="Q1347" s="1463"/>
      <c r="R1347" s="1463"/>
      <c r="S1347" s="1463"/>
      <c r="T1347" s="1463"/>
      <c r="U1347" s="1463"/>
      <c r="V1347" s="1463"/>
      <c r="W1347" s="1463"/>
      <c r="X1347" s="1463"/>
      <c r="Y1347" s="1463"/>
      <c r="Z1347" s="1463"/>
      <c r="AA1347" s="1463"/>
      <c r="AB1347" s="1463"/>
      <c r="AC1347" s="1463"/>
      <c r="AD1347" s="1463"/>
      <c r="AE1347" s="1463"/>
      <c r="AF1347" s="1463"/>
    </row>
    <row r="1348" spans="1:32" ht="14.4">
      <c r="A1348" s="1446"/>
      <c r="B1348" s="2142" t="s">
        <v>7607</v>
      </c>
      <c r="C1348" s="1446"/>
      <c r="D1348" s="1446"/>
      <c r="E1348" s="1446"/>
      <c r="F1348" s="1446"/>
      <c r="G1348" s="1446"/>
      <c r="H1348" s="1446"/>
      <c r="I1348" s="1446"/>
      <c r="J1348" s="1446"/>
      <c r="K1348" s="1446"/>
      <c r="L1348" s="1463"/>
      <c r="M1348" s="1454"/>
      <c r="N1348" s="2568"/>
      <c r="O1348" s="1462"/>
      <c r="P1348" s="2569"/>
      <c r="Q1348" s="1463"/>
      <c r="R1348" s="1463"/>
      <c r="S1348" s="1463"/>
      <c r="T1348" s="1463"/>
      <c r="U1348" s="1463"/>
      <c r="V1348" s="1463"/>
      <c r="W1348" s="1463"/>
      <c r="X1348" s="1463"/>
      <c r="Y1348" s="1463"/>
      <c r="Z1348" s="1463"/>
      <c r="AA1348" s="1463"/>
      <c r="AB1348" s="1463"/>
      <c r="AC1348" s="1463"/>
      <c r="AD1348" s="1463"/>
      <c r="AE1348" s="1463"/>
      <c r="AF1348" s="1463"/>
    </row>
    <row r="1349" spans="1:32" ht="13.8">
      <c r="A1349" s="1469" t="str">
        <f>'Part VIII Scoring Criteria'!A131</f>
        <v>Applicant commits to meet all requirements under IX. HCV and PHA Notices.</v>
      </c>
      <c r="B1349" s="1468"/>
      <c r="C1349" s="1468"/>
      <c r="D1349" s="1468"/>
      <c r="E1349" s="1468"/>
      <c r="F1349" s="1468"/>
      <c r="G1349" s="1468"/>
      <c r="H1349" s="1468"/>
      <c r="I1349" s="1468"/>
      <c r="J1349" s="1468"/>
      <c r="K1349" s="1468"/>
      <c r="L1349" s="1468"/>
      <c r="M1349" s="1468"/>
      <c r="N1349" s="1468"/>
      <c r="O1349" s="1468"/>
      <c r="P1349" s="1468"/>
      <c r="Q1349" s="1445"/>
      <c r="R1349" s="1445"/>
      <c r="S1349" s="1463"/>
      <c r="T1349" s="1463"/>
      <c r="U1349" s="1463"/>
      <c r="V1349" s="1463"/>
      <c r="W1349" s="1463"/>
      <c r="X1349" s="1463"/>
      <c r="Y1349" s="1463"/>
      <c r="Z1349" s="1463"/>
      <c r="AA1349" s="1463"/>
      <c r="AB1349" s="1463"/>
      <c r="AC1349" s="1463"/>
      <c r="AD1349" s="1463"/>
      <c r="AE1349" s="1463"/>
      <c r="AF1349" s="1463"/>
    </row>
    <row r="1350" spans="1:32" ht="14.4">
      <c r="A1350" s="2142"/>
      <c r="B1350" s="2142" t="s">
        <v>1453</v>
      </c>
      <c r="C1350" s="1446"/>
      <c r="D1350" s="2142"/>
      <c r="E1350" s="1446"/>
      <c r="F1350" s="1446"/>
      <c r="G1350" s="1446"/>
      <c r="H1350" s="1446"/>
      <c r="I1350" s="1446"/>
      <c r="J1350" s="1446"/>
      <c r="K1350" s="1446"/>
      <c r="L1350" s="1446"/>
      <c r="M1350" s="1446"/>
      <c r="N1350" s="1446"/>
      <c r="O1350" s="1445"/>
      <c r="P1350" s="1445"/>
      <c r="Q1350" s="1446"/>
      <c r="R1350" s="1446"/>
      <c r="S1350" s="1446"/>
      <c r="T1350" s="1446"/>
      <c r="U1350" s="1446"/>
      <c r="V1350" s="1446"/>
      <c r="W1350" s="1446"/>
      <c r="X1350" s="1446"/>
      <c r="Y1350" s="1446"/>
      <c r="Z1350" s="1446"/>
      <c r="AA1350" s="1446"/>
      <c r="AB1350" s="1446"/>
      <c r="AC1350" s="1446"/>
      <c r="AD1350" s="1446"/>
      <c r="AE1350" s="1446"/>
      <c r="AF1350" s="1446"/>
    </row>
    <row r="1351" spans="1:32" ht="13.8">
      <c r="A1351" s="1468"/>
      <c r="B1351" s="1468"/>
      <c r="C1351" s="1468"/>
      <c r="D1351" s="1468"/>
      <c r="E1351" s="1468"/>
      <c r="F1351" s="1468"/>
      <c r="G1351" s="1468"/>
      <c r="H1351" s="1468"/>
      <c r="I1351" s="1468"/>
      <c r="J1351" s="1468"/>
      <c r="K1351" s="1468"/>
      <c r="L1351" s="1468"/>
      <c r="M1351" s="1468"/>
      <c r="N1351" s="1468"/>
      <c r="O1351" s="1468"/>
      <c r="P1351" s="1468"/>
      <c r="Q1351" s="1445"/>
      <c r="R1351" s="1445"/>
      <c r="S1351" s="1463"/>
      <c r="T1351" s="1463"/>
      <c r="U1351" s="1463"/>
      <c r="V1351" s="1463"/>
      <c r="W1351" s="1463"/>
      <c r="X1351" s="1463"/>
      <c r="Y1351" s="1463"/>
      <c r="Z1351" s="1463"/>
      <c r="AA1351" s="1463"/>
      <c r="AB1351" s="1463"/>
      <c r="AC1351" s="1463"/>
      <c r="AD1351" s="1463"/>
      <c r="AE1351" s="1463"/>
      <c r="AF1351" s="1463"/>
    </row>
    <row r="1352" spans="1:32" ht="13.8">
      <c r="A1352" s="1730"/>
      <c r="B1352" s="1446"/>
      <c r="C1352" s="1468"/>
      <c r="D1352" s="1468"/>
      <c r="E1352" s="1468"/>
      <c r="F1352" s="1468"/>
      <c r="G1352" s="1468"/>
      <c r="H1352" s="1468"/>
      <c r="I1352" s="1468"/>
      <c r="J1352" s="1468"/>
      <c r="K1352" s="1468"/>
      <c r="L1352" s="1468"/>
      <c r="M1352" s="1468"/>
      <c r="N1352" s="1468"/>
      <c r="O1352" s="2136"/>
      <c r="P1352" s="1445"/>
      <c r="Q1352" s="1463"/>
      <c r="R1352" s="1463"/>
      <c r="S1352" s="1463"/>
      <c r="T1352" s="1463"/>
      <c r="U1352" s="1463"/>
      <c r="V1352" s="1463"/>
      <c r="W1352" s="1463"/>
      <c r="X1352" s="1463"/>
      <c r="Y1352" s="1463"/>
      <c r="Z1352" s="1463"/>
      <c r="AA1352" s="1463"/>
      <c r="AB1352" s="1463"/>
      <c r="AC1352" s="1463"/>
      <c r="AD1352" s="1463"/>
      <c r="AE1352" s="1463"/>
      <c r="AF1352" s="1463"/>
    </row>
    <row r="1353" spans="1:32" ht="13.8">
      <c r="A1353" s="1463"/>
      <c r="B1353" s="1463"/>
      <c r="C1353" s="1463"/>
      <c r="D1353" s="1463"/>
      <c r="E1353" s="1463"/>
      <c r="F1353" s="1463"/>
      <c r="G1353" s="1463"/>
      <c r="H1353" s="1463"/>
      <c r="I1353" s="1463"/>
      <c r="J1353" s="1463"/>
      <c r="K1353" s="1463"/>
      <c r="L1353" s="1463"/>
      <c r="M1353" s="1463"/>
      <c r="N1353" s="2568"/>
      <c r="O1353" s="2569"/>
      <c r="P1353" s="2569"/>
      <c r="Q1353" s="1463"/>
      <c r="R1353" s="1463"/>
      <c r="S1353" s="1463"/>
      <c r="T1353" s="1463"/>
      <c r="U1353" s="1463"/>
      <c r="V1353" s="1463"/>
      <c r="W1353" s="1463"/>
      <c r="X1353" s="1463"/>
      <c r="Y1353" s="1463"/>
      <c r="Z1353" s="1463"/>
      <c r="AA1353" s="1463"/>
      <c r="AB1353" s="1463"/>
      <c r="AC1353" s="1463"/>
      <c r="AD1353" s="1463"/>
      <c r="AE1353" s="1463"/>
      <c r="AF1353" s="1463"/>
    </row>
    <row r="1354" spans="1:32" ht="13.8">
      <c r="A1354" s="1730" t="s">
        <v>1490</v>
      </c>
      <c r="B1354" s="1731" t="s">
        <v>1840</v>
      </c>
      <c r="C1354" s="1463"/>
      <c r="D1354" s="1463"/>
      <c r="E1354" s="1463"/>
      <c r="F1354" s="1463"/>
      <c r="G1354" s="1463"/>
      <c r="H1354" s="1463"/>
      <c r="I1354" s="1463"/>
      <c r="J1354" s="1463"/>
      <c r="K1354" s="1463"/>
      <c r="L1354" s="2146" t="s">
        <v>1743</v>
      </c>
      <c r="M1354" s="2567">
        <v>20</v>
      </c>
      <c r="N1354" s="1733"/>
      <c r="O1354" s="2141">
        <f>'Part VIII Scoring Criteria'!AA136</f>
        <v>0</v>
      </c>
      <c r="P1354" s="2141">
        <f>'Part VIII Scoring Criteria'!AB136</f>
        <v>0</v>
      </c>
      <c r="Q1354" s="2567" t="s">
        <v>1744</v>
      </c>
      <c r="R1354" s="2567">
        <f>$C$16</f>
        <v>0</v>
      </c>
      <c r="S1354" s="1463"/>
      <c r="T1354" s="1463"/>
      <c r="U1354" s="1463"/>
      <c r="V1354" s="1463"/>
      <c r="W1354" s="1463"/>
      <c r="X1354" s="1463"/>
      <c r="Y1354" s="1463"/>
      <c r="Z1354" s="1463"/>
      <c r="AA1354" s="1463"/>
      <c r="AB1354" s="1463"/>
      <c r="AC1354" s="1463"/>
      <c r="AD1354" s="1463"/>
      <c r="AE1354" s="1463"/>
      <c r="AF1354" s="1463"/>
    </row>
    <row r="1355" spans="1:32" ht="13.8">
      <c r="A1355" s="2567" t="s">
        <v>186</v>
      </c>
      <c r="B1355" s="1445" t="s">
        <v>1841</v>
      </c>
      <c r="C1355" s="1445"/>
      <c r="D1355" s="1445"/>
      <c r="E1355" s="1446"/>
      <c r="F1355" s="1445"/>
      <c r="G1355" s="1446"/>
      <c r="H1355" s="1733"/>
      <c r="I1355" s="1445"/>
      <c r="J1355" s="1445"/>
      <c r="K1355" s="1445"/>
      <c r="L1355" s="2148" t="str">
        <f>IF(OR($O1355=$M1355,$O1355&lt;$M1355,$O1355=0,$O1355=""),"","* * Check Score! * *")</f>
        <v/>
      </c>
      <c r="M1355" s="1454">
        <v>20</v>
      </c>
      <c r="N1355" s="2152"/>
      <c r="O1355" s="2213">
        <f>'Part VIII Scoring Criteria'!AA137</f>
        <v>20</v>
      </c>
      <c r="P1355" s="2213"/>
      <c r="Q1355" s="2147"/>
      <c r="R1355" s="2150"/>
      <c r="S1355" s="1446"/>
      <c r="T1355" s="1446"/>
      <c r="U1355" s="1446"/>
      <c r="V1355" s="1446"/>
      <c r="W1355" s="1446"/>
      <c r="X1355" s="1446"/>
      <c r="Y1355" s="1446"/>
      <c r="Z1355" s="1446"/>
      <c r="AA1355" s="1446"/>
      <c r="AB1355" s="1446"/>
      <c r="AC1355" s="1446"/>
      <c r="AD1355" s="1446"/>
      <c r="AE1355" s="1446"/>
      <c r="AF1355" s="1446"/>
    </row>
    <row r="1356" spans="1:32" ht="13.8">
      <c r="A1356" s="2567" t="s">
        <v>198</v>
      </c>
      <c r="B1356" s="1445" t="s">
        <v>1842</v>
      </c>
      <c r="C1356" s="1446"/>
      <c r="D1356" s="1446"/>
      <c r="E1356" s="1446"/>
      <c r="F1356" s="1446"/>
      <c r="G1356" s="1446"/>
      <c r="H1356" s="1733"/>
      <c r="I1356" s="1445"/>
      <c r="J1356" s="1445"/>
      <c r="K1356" s="2187"/>
      <c r="L1356" s="1445"/>
      <c r="M1356" s="1454" t="s">
        <v>1843</v>
      </c>
      <c r="N1356" s="1733"/>
      <c r="O1356" s="2213">
        <f>'Part VIII Scoring Criteria'!AA138</f>
        <v>0</v>
      </c>
      <c r="P1356" s="2213"/>
      <c r="Q1356" s="1446"/>
      <c r="R1356" s="2150"/>
      <c r="S1356" s="1446"/>
      <c r="T1356" s="1446"/>
      <c r="U1356" s="1446"/>
      <c r="V1356" s="1446"/>
      <c r="W1356" s="1446"/>
      <c r="X1356" s="1446"/>
      <c r="Y1356" s="1446"/>
      <c r="Z1356" s="1446"/>
      <c r="AA1356" s="1446"/>
      <c r="AB1356" s="1446"/>
      <c r="AC1356" s="1446"/>
      <c r="AD1356" s="1446"/>
      <c r="AE1356" s="1446"/>
      <c r="AF1356" s="1446"/>
    </row>
    <row r="1357" spans="1:32" ht="14.4">
      <c r="A1357" s="1446"/>
      <c r="B1357" s="2142" t="s">
        <v>7607</v>
      </c>
      <c r="C1357" s="1446"/>
      <c r="D1357" s="1446"/>
      <c r="E1357" s="1446"/>
      <c r="F1357" s="1446"/>
      <c r="G1357" s="1446"/>
      <c r="H1357" s="1446"/>
      <c r="I1357" s="1446"/>
      <c r="J1357" s="1446"/>
      <c r="K1357" s="1446"/>
      <c r="L1357" s="1463"/>
      <c r="M1357" s="1454"/>
      <c r="N1357" s="2568"/>
      <c r="O1357" s="1462"/>
      <c r="P1357" s="2569"/>
      <c r="Q1357" s="1463"/>
      <c r="R1357" s="1463"/>
      <c r="S1357" s="1463"/>
      <c r="T1357" s="1463"/>
      <c r="U1357" s="1463"/>
      <c r="V1357" s="1463"/>
      <c r="W1357" s="1463"/>
      <c r="X1357" s="1463"/>
      <c r="Y1357" s="1463"/>
      <c r="Z1357" s="1463"/>
      <c r="AA1357" s="1463"/>
      <c r="AB1357" s="1463"/>
      <c r="AC1357" s="1463"/>
      <c r="AD1357" s="1463"/>
      <c r="AE1357" s="1463"/>
      <c r="AF1357" s="1463"/>
    </row>
    <row r="1358" spans="1:32" ht="13.8">
      <c r="A1358" s="1469" t="str">
        <f>'Part VIII Scoring Criteria'!A140</f>
        <v>A completed Desirables Certification form is included, along with the required maps/directions, child care license, and other required documentation. The applicant has identified 23.5 potential Desirables points for this section, which exceeds the maximum.</v>
      </c>
      <c r="B1358" s="1468"/>
      <c r="C1358" s="1468"/>
      <c r="D1358" s="1468"/>
      <c r="E1358" s="1468"/>
      <c r="F1358" s="1468"/>
      <c r="G1358" s="1468"/>
      <c r="H1358" s="1468"/>
      <c r="I1358" s="1468"/>
      <c r="J1358" s="1468"/>
      <c r="K1358" s="1468"/>
      <c r="L1358" s="1468"/>
      <c r="M1358" s="1468"/>
      <c r="N1358" s="1468"/>
      <c r="O1358" s="1468"/>
      <c r="P1358" s="1468"/>
      <c r="Q1358" s="1445"/>
      <c r="R1358" s="1445"/>
      <c r="S1358" s="1463"/>
      <c r="T1358" s="1463"/>
      <c r="U1358" s="1463"/>
      <c r="V1358" s="1463"/>
      <c r="W1358" s="1463"/>
      <c r="X1358" s="1463"/>
      <c r="Y1358" s="1463"/>
      <c r="Z1358" s="1463"/>
      <c r="AA1358" s="1463"/>
      <c r="AB1358" s="1463"/>
      <c r="AC1358" s="1463"/>
      <c r="AD1358" s="1463"/>
      <c r="AE1358" s="1463"/>
      <c r="AF1358" s="1463"/>
    </row>
    <row r="1359" spans="1:32" ht="14.4">
      <c r="A1359" s="1446"/>
      <c r="B1359" s="2142" t="s">
        <v>1453</v>
      </c>
      <c r="C1359" s="1446"/>
      <c r="D1359" s="2160"/>
      <c r="E1359" s="1468"/>
      <c r="F1359" s="1468"/>
      <c r="G1359" s="1468"/>
      <c r="H1359" s="1468"/>
      <c r="I1359" s="1468"/>
      <c r="J1359" s="1468"/>
      <c r="K1359" s="1468"/>
      <c r="L1359" s="1468"/>
      <c r="M1359" s="1468"/>
      <c r="N1359" s="1468"/>
      <c r="O1359" s="2136"/>
      <c r="P1359" s="1445"/>
      <c r="Q1359" s="1463"/>
      <c r="R1359" s="1463"/>
      <c r="S1359" s="1463"/>
      <c r="T1359" s="1463"/>
      <c r="U1359" s="1463"/>
      <c r="V1359" s="1463"/>
      <c r="W1359" s="1463"/>
      <c r="X1359" s="1463"/>
      <c r="Y1359" s="1463"/>
      <c r="Z1359" s="1463"/>
      <c r="AA1359" s="1463"/>
      <c r="AB1359" s="1463"/>
      <c r="AC1359" s="1463"/>
      <c r="AD1359" s="1463"/>
      <c r="AE1359" s="1463"/>
      <c r="AF1359" s="1463"/>
    </row>
    <row r="1360" spans="1:32" ht="13.8">
      <c r="A1360" s="1468"/>
      <c r="B1360" s="1468"/>
      <c r="C1360" s="1468"/>
      <c r="D1360" s="1468"/>
      <c r="E1360" s="1468"/>
      <c r="F1360" s="1468"/>
      <c r="G1360" s="1468"/>
      <c r="H1360" s="1468"/>
      <c r="I1360" s="1468"/>
      <c r="J1360" s="1468"/>
      <c r="K1360" s="1468"/>
      <c r="L1360" s="1468"/>
      <c r="M1360" s="1468"/>
      <c r="N1360" s="1468"/>
      <c r="O1360" s="1468"/>
      <c r="P1360" s="1468"/>
      <c r="Q1360" s="1445"/>
      <c r="R1360" s="1445"/>
      <c r="S1360" s="1463"/>
      <c r="T1360" s="1463"/>
      <c r="U1360" s="1463"/>
      <c r="V1360" s="1463"/>
      <c r="W1360" s="1463"/>
      <c r="X1360" s="1463"/>
      <c r="Y1360" s="1463"/>
      <c r="Z1360" s="1463"/>
      <c r="AA1360" s="1463"/>
      <c r="AB1360" s="1463"/>
      <c r="AC1360" s="1463"/>
      <c r="AD1360" s="1463"/>
      <c r="AE1360" s="1463"/>
      <c r="AF1360" s="1463"/>
    </row>
    <row r="1361" spans="1:32" ht="13.8">
      <c r="A1361" s="1446"/>
      <c r="B1361" s="1445"/>
      <c r="C1361" s="1446"/>
      <c r="D1361" s="1445"/>
      <c r="E1361" s="1446"/>
      <c r="F1361" s="1446"/>
      <c r="G1361" s="2144"/>
      <c r="H1361" s="2144"/>
      <c r="I1361" s="2144"/>
      <c r="J1361" s="2144"/>
      <c r="K1361" s="2144"/>
      <c r="L1361" s="2144"/>
      <c r="M1361" s="1446"/>
      <c r="N1361" s="1463"/>
      <c r="O1361" s="2161"/>
      <c r="P1361" s="1445"/>
      <c r="Q1361" s="1463"/>
      <c r="R1361" s="1446"/>
      <c r="S1361" s="1446"/>
      <c r="T1361" s="1446"/>
      <c r="U1361" s="1446"/>
      <c r="V1361" s="1446"/>
      <c r="W1361" s="1446"/>
      <c r="X1361" s="1739"/>
      <c r="Y1361" s="1739"/>
      <c r="Z1361" s="1739"/>
      <c r="AA1361" s="1739"/>
      <c r="AB1361" s="1739"/>
      <c r="AC1361" s="1739"/>
      <c r="AD1361" s="1739"/>
      <c r="AE1361" s="1739"/>
      <c r="AF1361" s="1739"/>
    </row>
    <row r="1362" spans="1:32" ht="13.8">
      <c r="A1362" s="1463"/>
      <c r="B1362" s="1463"/>
      <c r="C1362" s="1463"/>
      <c r="D1362" s="1463"/>
      <c r="E1362" s="1463"/>
      <c r="F1362" s="1463"/>
      <c r="G1362" s="1463"/>
      <c r="H1362" s="1463"/>
      <c r="I1362" s="1463"/>
      <c r="J1362" s="1463"/>
      <c r="K1362" s="1463"/>
      <c r="L1362" s="1463"/>
      <c r="M1362" s="1463"/>
      <c r="N1362" s="2568"/>
      <c r="O1362" s="2569"/>
      <c r="P1362" s="2569"/>
      <c r="Q1362" s="1463"/>
      <c r="R1362" s="1463"/>
      <c r="S1362" s="1463"/>
      <c r="T1362" s="1731"/>
      <c r="U1362" s="1731"/>
      <c r="V1362" s="1463"/>
      <c r="W1362" s="1463"/>
      <c r="X1362" s="1463"/>
      <c r="Y1362" s="1463"/>
      <c r="Z1362" s="1463"/>
      <c r="AA1362" s="1463"/>
      <c r="AB1362" s="1463"/>
      <c r="AC1362" s="1463"/>
      <c r="AD1362" s="1463"/>
      <c r="AE1362" s="1463"/>
      <c r="AF1362" s="1463"/>
    </row>
    <row r="1363" spans="1:32" ht="14.4">
      <c r="A1363" s="1730" t="s">
        <v>1496</v>
      </c>
      <c r="B1363" s="1731" t="s">
        <v>1844</v>
      </c>
      <c r="C1363" s="1463"/>
      <c r="D1363" s="1463"/>
      <c r="E1363" s="1463"/>
      <c r="F1363" s="1463"/>
      <c r="G1363" s="1463"/>
      <c r="H1363" s="2214"/>
      <c r="I1363" s="2150"/>
      <c r="J1363" s="2567"/>
      <c r="K1363" s="2567"/>
      <c r="L1363" s="2146" t="s">
        <v>1743</v>
      </c>
      <c r="M1363" s="2567">
        <v>6</v>
      </c>
      <c r="N1363" s="1733"/>
      <c r="O1363" s="2141">
        <f>'Part VIII Scoring Criteria'!AA145</f>
        <v>0</v>
      </c>
      <c r="P1363" s="2141">
        <f>'Part VIII Scoring Criteria'!AB145</f>
        <v>0</v>
      </c>
      <c r="Q1363" s="2567" t="s">
        <v>1744</v>
      </c>
      <c r="R1363" s="2567">
        <f>$C$16</f>
        <v>0</v>
      </c>
      <c r="S1363" s="1463"/>
      <c r="T1363" s="1463"/>
      <c r="U1363" s="1463"/>
      <c r="V1363" s="1463"/>
      <c r="W1363" s="1463"/>
      <c r="X1363" s="1463"/>
      <c r="Y1363" s="1463"/>
      <c r="Z1363" s="1463"/>
      <c r="AA1363" s="1463"/>
      <c r="AB1363" s="1463"/>
      <c r="AC1363" s="1463"/>
      <c r="AD1363" s="1463"/>
      <c r="AE1363" s="1463"/>
      <c r="AF1363" s="1463"/>
    </row>
    <row r="1364" spans="1:32" ht="14.4">
      <c r="A1364" s="1730"/>
      <c r="B1364" s="1731"/>
      <c r="C1364" s="1463"/>
      <c r="D1364" s="1463"/>
      <c r="E1364" s="1463"/>
      <c r="F1364" s="1463"/>
      <c r="G1364" s="1463"/>
      <c r="H1364" s="1731"/>
      <c r="I1364" s="2142"/>
      <c r="J1364" s="1446"/>
      <c r="K1364" s="1446"/>
      <c r="L1364" s="1463"/>
      <c r="M1364" s="2567"/>
      <c r="N1364" s="1733"/>
      <c r="O1364" s="1462"/>
      <c r="P1364" s="1462"/>
      <c r="Q1364" s="2567"/>
      <c r="R1364" s="1463"/>
      <c r="S1364" s="1463"/>
      <c r="T1364" s="1463"/>
      <c r="U1364" s="1463"/>
      <c r="V1364" s="1463"/>
      <c r="W1364" s="1463"/>
      <c r="X1364" s="1463"/>
      <c r="Y1364" s="1463"/>
      <c r="Z1364" s="1463"/>
      <c r="AA1364" s="1463"/>
      <c r="AB1364" s="1463"/>
      <c r="AC1364" s="1463"/>
      <c r="AD1364" s="1463"/>
      <c r="AE1364" s="1463"/>
      <c r="AF1364" s="1463"/>
    </row>
    <row r="1365" spans="1:32" ht="14.25" customHeight="1">
      <c r="A1365" s="1730"/>
      <c r="B1365" s="1446" t="s">
        <v>1845</v>
      </c>
      <c r="C1365" s="1463"/>
      <c r="D1365" s="1463"/>
      <c r="E1365" s="1463"/>
      <c r="F1365" s="1446" t="s">
        <v>1846</v>
      </c>
      <c r="G1365" s="1446"/>
      <c r="H1365" s="1446"/>
      <c r="I1365" s="1446"/>
      <c r="J1365" s="1446" t="s">
        <v>1847</v>
      </c>
      <c r="K1365" s="1446"/>
      <c r="L1365" s="1446"/>
      <c r="M1365" s="1446"/>
      <c r="N1365" s="1733"/>
      <c r="O1365" s="2215" t="s">
        <v>1848</v>
      </c>
      <c r="P1365" s="2215"/>
      <c r="Q1365" s="1463"/>
      <c r="R1365" s="1463"/>
      <c r="S1365" s="1463"/>
      <c r="T1365" s="1463"/>
      <c r="U1365" s="1463"/>
      <c r="V1365" s="1463"/>
      <c r="W1365" s="1463"/>
      <c r="X1365" s="1463"/>
      <c r="Y1365" s="1463"/>
      <c r="Z1365" s="1463"/>
      <c r="AA1365" s="1463"/>
      <c r="AB1365" s="1463"/>
      <c r="AC1365" s="1463"/>
      <c r="AD1365" s="1463"/>
      <c r="AE1365" s="1463"/>
      <c r="AF1365" s="1463"/>
    </row>
    <row r="1366" spans="1:32" ht="13.8">
      <c r="A1366" s="1463"/>
      <c r="B1366" s="2170"/>
      <c r="C1366" s="1465" t="s">
        <v>1849</v>
      </c>
      <c r="D1366" s="1463"/>
      <c r="E1366" s="1463"/>
      <c r="F1366" s="1465">
        <f>'Part VIII Scoring Criteria'!G148</f>
        <v>0</v>
      </c>
      <c r="G1366" s="1465"/>
      <c r="H1366" s="1465"/>
      <c r="I1366" s="1465"/>
      <c r="J1366" s="1465">
        <f>'Part VIII Scoring Criteria'!K148</f>
        <v>0</v>
      </c>
      <c r="K1366" s="1446"/>
      <c r="L1366" s="1446"/>
      <c r="M1366" s="1446"/>
      <c r="N1366" s="1463"/>
      <c r="O1366" s="2215"/>
      <c r="P1366" s="2215"/>
      <c r="Q1366" s="1463"/>
      <c r="R1366" s="1463"/>
      <c r="S1366" s="1463"/>
      <c r="T1366" s="1463"/>
      <c r="U1366" s="1463"/>
      <c r="V1366" s="1463"/>
      <c r="W1366" s="1463"/>
      <c r="X1366" s="1463"/>
      <c r="Y1366" s="1463"/>
      <c r="Z1366" s="1463"/>
      <c r="AA1366" s="1463"/>
      <c r="AB1366" s="1463"/>
      <c r="AC1366" s="1463"/>
      <c r="AD1366" s="1463"/>
      <c r="AE1366" s="1463"/>
      <c r="AF1366" s="1463"/>
    </row>
    <row r="1367" spans="1:32" ht="13.8">
      <c r="A1367" s="2170"/>
      <c r="B1367" s="1468"/>
      <c r="C1367" s="1465" t="s">
        <v>1850</v>
      </c>
      <c r="D1367" s="1463"/>
      <c r="E1367" s="1463"/>
      <c r="F1367" s="1465">
        <f>'Part VIII Scoring Criteria'!G149</f>
        <v>0</v>
      </c>
      <c r="G1367" s="1465"/>
      <c r="H1367" s="1465"/>
      <c r="I1367" s="1465"/>
      <c r="J1367" s="1465">
        <f>'Part VIII Scoring Criteria'!K149</f>
        <v>0</v>
      </c>
      <c r="K1367" s="1446"/>
      <c r="L1367" s="1446"/>
      <c r="M1367" s="1446"/>
      <c r="N1367" s="1733"/>
      <c r="O1367" s="2216">
        <f>'Part VIII Scoring Criteria'!AA149</f>
        <v>0</v>
      </c>
      <c r="P1367" s="2217"/>
      <c r="Q1367" s="1463"/>
      <c r="R1367" s="1463"/>
      <c r="S1367" s="1463"/>
      <c r="T1367" s="1463"/>
      <c r="U1367" s="1463"/>
      <c r="V1367" s="1463"/>
      <c r="W1367" s="1463"/>
      <c r="X1367" s="1463"/>
      <c r="Y1367" s="1463"/>
      <c r="Z1367" s="1463"/>
      <c r="AA1367" s="1463"/>
      <c r="AB1367" s="1463"/>
      <c r="AC1367" s="1463"/>
      <c r="AD1367" s="1463"/>
      <c r="AE1367" s="1463"/>
      <c r="AF1367" s="1463"/>
    </row>
    <row r="1368" spans="1:32" ht="13.8">
      <c r="A1368" s="1468"/>
      <c r="B1368" s="1463" t="s">
        <v>7618</v>
      </c>
      <c r="C1368" s="1463"/>
      <c r="D1368" s="1463"/>
      <c r="E1368" s="1463"/>
      <c r="F1368" s="1463" t="s">
        <v>1852</v>
      </c>
      <c r="G1368" s="1446" t="s">
        <v>1853</v>
      </c>
      <c r="H1368" s="1446"/>
      <c r="I1368" s="1446"/>
      <c r="J1368" s="1446" t="s">
        <v>1854</v>
      </c>
      <c r="K1368" s="1446"/>
      <c r="L1368" s="1446"/>
      <c r="M1368" s="1446"/>
      <c r="N1368" s="1446"/>
      <c r="O1368" s="1446"/>
      <c r="P1368" s="1446"/>
      <c r="Q1368" s="1463"/>
      <c r="R1368" s="1463"/>
      <c r="S1368" s="1463"/>
      <c r="T1368" s="1463"/>
      <c r="U1368" s="1463"/>
      <c r="V1368" s="1463"/>
      <c r="W1368" s="1463"/>
      <c r="X1368" s="1463"/>
      <c r="Y1368" s="1463"/>
      <c r="Z1368" s="1463"/>
      <c r="AA1368" s="1463"/>
      <c r="AB1368" s="1463"/>
      <c r="AC1368" s="1463"/>
      <c r="AD1368" s="1463"/>
      <c r="AE1368" s="1463"/>
      <c r="AF1368" s="1463"/>
    </row>
    <row r="1369" spans="1:32" ht="13.8">
      <c r="A1369" s="1468"/>
      <c r="B1369" s="1465" t="str">
        <f>'Part VIII Scoring Criteria'!B151</f>
        <v>RMS, Inc.</v>
      </c>
      <c r="C1369" s="1465"/>
      <c r="D1369" s="1465"/>
      <c r="E1369" s="1465"/>
      <c r="F1369" s="2218" t="str">
        <f>'Part VIII Scoring Criteria'!G151</f>
        <v>john.hobdy@rmsinc.org</v>
      </c>
      <c r="G1369" s="1465">
        <f>'Part VIII Scoring Criteria'!H151</f>
        <v>0</v>
      </c>
      <c r="H1369" s="1465"/>
      <c r="I1369" s="1465"/>
      <c r="J1369" s="1465">
        <f>'Part VIII Scoring Criteria'!K151</f>
        <v>0</v>
      </c>
      <c r="K1369" s="1446"/>
      <c r="L1369" s="1446"/>
      <c r="M1369" s="1446"/>
      <c r="N1369" s="1446"/>
      <c r="O1369" s="1446"/>
      <c r="P1369" s="1446"/>
      <c r="Q1369" s="1463"/>
      <c r="R1369" s="1463"/>
      <c r="S1369" s="1463"/>
      <c r="T1369" s="1463"/>
      <c r="U1369" s="1463"/>
      <c r="V1369" s="1463"/>
      <c r="W1369" s="1463"/>
      <c r="X1369" s="1463"/>
      <c r="Y1369" s="1463"/>
      <c r="Z1369" s="1463"/>
      <c r="AA1369" s="1463"/>
      <c r="AB1369" s="1463"/>
      <c r="AC1369" s="1463"/>
      <c r="AD1369" s="1463"/>
      <c r="AE1369" s="1463"/>
      <c r="AF1369" s="1463"/>
    </row>
    <row r="1370" spans="1:32" ht="13.8">
      <c r="A1370" s="2219"/>
      <c r="B1370" s="2147"/>
      <c r="C1370" s="1464"/>
      <c r="D1370" s="1464"/>
      <c r="E1370" s="1464"/>
      <c r="F1370" s="2147"/>
      <c r="G1370" s="1464"/>
      <c r="H1370" s="1464"/>
      <c r="I1370" s="1464"/>
      <c r="J1370" s="1464"/>
      <c r="K1370" s="1463"/>
      <c r="L1370" s="1463"/>
      <c r="M1370" s="1445"/>
      <c r="N1370" s="1445"/>
      <c r="O1370" s="1445"/>
      <c r="P1370" s="1445"/>
      <c r="Q1370" s="2567"/>
      <c r="R1370" s="1446"/>
      <c r="S1370" s="1446"/>
      <c r="T1370" s="1446"/>
      <c r="U1370" s="1446"/>
      <c r="V1370" s="1463"/>
      <c r="W1370" s="1463"/>
      <c r="X1370" s="1463"/>
      <c r="Y1370" s="1463"/>
      <c r="Z1370" s="1463"/>
      <c r="AA1370" s="1463"/>
      <c r="AB1370" s="1463"/>
      <c r="AC1370" s="1463"/>
      <c r="AD1370" s="1463"/>
      <c r="AE1370" s="1463"/>
      <c r="AF1370" s="1463"/>
    </row>
    <row r="1371" spans="1:32" ht="13.8">
      <c r="A1371" s="2155" t="s">
        <v>186</v>
      </c>
      <c r="B1371" s="1445" t="s">
        <v>1855</v>
      </c>
      <c r="C1371" s="1463"/>
      <c r="D1371" s="1463"/>
      <c r="E1371" s="1463"/>
      <c r="F1371" s="1731"/>
      <c r="G1371" s="1463"/>
      <c r="H1371" s="1463"/>
      <c r="I1371" s="1463"/>
      <c r="J1371" s="1463"/>
      <c r="K1371" s="1463"/>
      <c r="L1371" s="2180" t="s">
        <v>1786</v>
      </c>
      <c r="M1371" s="2567">
        <v>6</v>
      </c>
      <c r="N1371" s="2183"/>
      <c r="O1371" s="2220">
        <f>'Part VIII Scoring Criteria'!AA153</f>
        <v>0</v>
      </c>
      <c r="P1371" s="2220">
        <f>'Part VIII Scoring Criteria'!AB153</f>
        <v>0</v>
      </c>
      <c r="Q1371" s="2567"/>
      <c r="R1371" s="1463"/>
      <c r="S1371" s="2221" t="s">
        <v>1856</v>
      </c>
      <c r="T1371" s="2221" t="s">
        <v>1857</v>
      </c>
      <c r="U1371" s="1463"/>
      <c r="V1371" s="1463"/>
      <c r="W1371" s="1463"/>
      <c r="X1371" s="1463"/>
      <c r="Y1371" s="1463"/>
      <c r="Z1371" s="1463"/>
      <c r="AA1371" s="1463"/>
      <c r="AB1371" s="1463"/>
      <c r="AC1371" s="1463"/>
      <c r="AD1371" s="1463"/>
      <c r="AE1371" s="1463"/>
      <c r="AF1371" s="1463"/>
    </row>
    <row r="1372" spans="1:32" ht="15" customHeight="1">
      <c r="A1372" s="1467"/>
      <c r="B1372" s="2153" t="s">
        <v>201</v>
      </c>
      <c r="C1372" s="1468" t="s">
        <v>7619</v>
      </c>
      <c r="D1372" s="1468"/>
      <c r="E1372" s="1468"/>
      <c r="F1372" s="1468"/>
      <c r="G1372" s="1468"/>
      <c r="H1372" s="1468"/>
      <c r="I1372" s="1468"/>
      <c r="J1372" s="1468"/>
      <c r="K1372" s="1468"/>
      <c r="L1372" s="2148" t="str">
        <f t="shared" ref="L1372" si="451">IF(OR($O1372=$M1372,$O1372=0,$O1372=""),"","* * Check Score! * *")</f>
        <v/>
      </c>
      <c r="M1372" s="1467">
        <v>6</v>
      </c>
      <c r="N1372" s="2184"/>
      <c r="O1372" s="2213">
        <f>'Part VIII Scoring Criteria'!AA154</f>
        <v>0</v>
      </c>
      <c r="P1372" s="2222"/>
      <c r="Q1372" s="1468"/>
      <c r="R1372" s="2223" t="s">
        <v>1859</v>
      </c>
      <c r="S1372" s="2121">
        <v>0.25</v>
      </c>
      <c r="T1372" s="2121">
        <v>5</v>
      </c>
      <c r="U1372" s="1468"/>
      <c r="V1372" s="1468"/>
      <c r="W1372" s="1468"/>
      <c r="X1372" s="1468"/>
      <c r="Y1372" s="1468"/>
      <c r="Z1372" s="1468"/>
      <c r="AA1372" s="1468"/>
      <c r="AB1372" s="1468"/>
      <c r="AC1372" s="1468"/>
      <c r="AD1372" s="1468"/>
      <c r="AE1372" s="1468"/>
      <c r="AF1372" s="1468"/>
    </row>
    <row r="1373" spans="1:32" ht="13.8">
      <c r="A1373" s="2567" t="s">
        <v>327</v>
      </c>
      <c r="B1373" s="2153" t="s">
        <v>209</v>
      </c>
      <c r="C1373" s="1446" t="s">
        <v>7620</v>
      </c>
      <c r="D1373" s="1446"/>
      <c r="E1373" s="1446"/>
      <c r="F1373" s="1446"/>
      <c r="G1373" s="1446"/>
      <c r="H1373" s="1446"/>
      <c r="I1373" s="1446"/>
      <c r="J1373" s="1446"/>
      <c r="K1373" s="1446"/>
      <c r="L1373" s="2148"/>
      <c r="M1373" s="1454">
        <v>5</v>
      </c>
      <c r="N1373" s="2185"/>
      <c r="O1373" s="2213">
        <f>'Part VIII Scoring Criteria'!AA155</f>
        <v>0</v>
      </c>
      <c r="P1373" s="2213"/>
      <c r="Q1373" s="1468"/>
      <c r="R1373" s="2223"/>
      <c r="S1373" s="2121">
        <v>0.5</v>
      </c>
      <c r="T1373" s="2121">
        <v>4.5</v>
      </c>
      <c r="U1373" s="1468"/>
      <c r="V1373" s="1468"/>
      <c r="W1373" s="1468"/>
      <c r="X1373" s="1468"/>
      <c r="Y1373" s="1468"/>
      <c r="Z1373" s="1468"/>
      <c r="AA1373" s="1468"/>
      <c r="AB1373" s="1468"/>
      <c r="AC1373" s="1468"/>
      <c r="AD1373" s="1468"/>
      <c r="AE1373" s="1468"/>
      <c r="AF1373" s="1468"/>
    </row>
    <row r="1374" spans="1:32" ht="13.8">
      <c r="A1374" s="2155" t="s">
        <v>198</v>
      </c>
      <c r="B1374" s="2136" t="s">
        <v>1861</v>
      </c>
      <c r="C1374" s="1468"/>
      <c r="D1374" s="1468"/>
      <c r="E1374" s="1468"/>
      <c r="F1374" s="2159"/>
      <c r="G1374" s="1468"/>
      <c r="H1374" s="1446"/>
      <c r="I1374" s="1446"/>
      <c r="J1374" s="1468"/>
      <c r="K1374" s="1468"/>
      <c r="L1374" s="2224"/>
      <c r="M1374" s="2567">
        <v>3</v>
      </c>
      <c r="N1374" s="1733"/>
      <c r="O1374" s="2225">
        <f>'Part VIII Scoring Criteria'!AA156</f>
        <v>2</v>
      </c>
      <c r="P1374" s="2225">
        <f>'Part VIII Scoring Criteria'!AB156</f>
        <v>0</v>
      </c>
      <c r="Q1374" s="1468"/>
      <c r="R1374" s="2223"/>
      <c r="S1374" s="2121">
        <v>1</v>
      </c>
      <c r="T1374" s="2121">
        <v>4</v>
      </c>
      <c r="U1374" s="1468"/>
      <c r="V1374" s="1468"/>
      <c r="W1374" s="1468"/>
      <c r="X1374" s="1468"/>
      <c r="Y1374" s="1468"/>
      <c r="Z1374" s="1468"/>
      <c r="AA1374" s="1468"/>
      <c r="AB1374" s="1468"/>
      <c r="AC1374" s="1468"/>
      <c r="AD1374" s="1468"/>
      <c r="AE1374" s="1468"/>
      <c r="AF1374" s="1468"/>
    </row>
    <row r="1375" spans="1:32" ht="13.8">
      <c r="A1375" s="1730"/>
      <c r="B1375" s="2226" t="s">
        <v>201</v>
      </c>
      <c r="C1375" s="1446" t="s">
        <v>7621</v>
      </c>
      <c r="D1375" s="1446"/>
      <c r="E1375" s="1446"/>
      <c r="F1375" s="1446"/>
      <c r="G1375" s="1446"/>
      <c r="H1375" s="1446"/>
      <c r="I1375" s="1446"/>
      <c r="J1375" s="1446"/>
      <c r="K1375" s="1446"/>
      <c r="L1375" s="2148" t="str">
        <f t="shared" ref="L1375:L1377" si="452">IF(OR($O1375=$M1375,$O1375=0,$O1375=""),"","* * Check Score! * *")</f>
        <v/>
      </c>
      <c r="M1375" s="1454">
        <v>3</v>
      </c>
      <c r="N1375" s="2185"/>
      <c r="O1375" s="2213">
        <f>'Part VIII Scoring Criteria'!AA157</f>
        <v>0</v>
      </c>
      <c r="P1375" s="2213"/>
      <c r="Q1375" s="1463"/>
      <c r="R1375" s="2223" t="s">
        <v>1863</v>
      </c>
      <c r="S1375" s="2121">
        <v>0.25</v>
      </c>
      <c r="T1375" s="2121">
        <v>3</v>
      </c>
      <c r="U1375" s="1468"/>
      <c r="V1375" s="1463"/>
      <c r="W1375" s="1463"/>
      <c r="X1375" s="1463"/>
      <c r="Y1375" s="1463"/>
      <c r="Z1375" s="1463"/>
      <c r="AA1375" s="1463"/>
      <c r="AB1375" s="1463"/>
      <c r="AC1375" s="1463"/>
      <c r="AD1375" s="1463"/>
      <c r="AE1375" s="1463"/>
      <c r="AF1375" s="1463"/>
    </row>
    <row r="1376" spans="1:32" ht="13.8">
      <c r="A1376" s="2567" t="s">
        <v>327</v>
      </c>
      <c r="B1376" s="2226" t="s">
        <v>209</v>
      </c>
      <c r="C1376" s="1446" t="s">
        <v>7622</v>
      </c>
      <c r="D1376" s="1446"/>
      <c r="E1376" s="1446"/>
      <c r="F1376" s="1446"/>
      <c r="G1376" s="1446"/>
      <c r="H1376" s="1446"/>
      <c r="I1376" s="1446"/>
      <c r="J1376" s="1468"/>
      <c r="K1376" s="1468"/>
      <c r="L1376" s="2148" t="str">
        <f t="shared" si="452"/>
        <v/>
      </c>
      <c r="M1376" s="1454">
        <v>1</v>
      </c>
      <c r="N1376" s="2185"/>
      <c r="O1376" s="2213">
        <f>'Part VIII Scoring Criteria'!AA158</f>
        <v>0</v>
      </c>
      <c r="P1376" s="2213"/>
      <c r="Q1376" s="1463"/>
      <c r="R1376" s="2223"/>
      <c r="S1376" s="2121">
        <v>0.5</v>
      </c>
      <c r="T1376" s="2121">
        <v>2</v>
      </c>
      <c r="U1376" s="1468"/>
      <c r="V1376" s="1463"/>
      <c r="W1376" s="1463"/>
      <c r="X1376" s="1463"/>
      <c r="Y1376" s="1463"/>
      <c r="Z1376" s="1463"/>
      <c r="AA1376" s="1463"/>
      <c r="AB1376" s="1463"/>
      <c r="AC1376" s="1463"/>
      <c r="AD1376" s="1463"/>
      <c r="AE1376" s="1463"/>
      <c r="AF1376" s="1463"/>
    </row>
    <row r="1377" spans="1:32" ht="15" customHeight="1">
      <c r="A1377" s="2155" t="s">
        <v>327</v>
      </c>
      <c r="B1377" s="2226" t="s">
        <v>213</v>
      </c>
      <c r="C1377" s="1468" t="s">
        <v>7623</v>
      </c>
      <c r="D1377" s="1468"/>
      <c r="E1377" s="1468"/>
      <c r="F1377" s="1468"/>
      <c r="G1377" s="1468"/>
      <c r="H1377" s="1468"/>
      <c r="I1377" s="1468"/>
      <c r="J1377" s="1468"/>
      <c r="K1377" s="1468"/>
      <c r="L1377" s="2148" t="str">
        <f t="shared" si="452"/>
        <v/>
      </c>
      <c r="M1377" s="1467">
        <v>2</v>
      </c>
      <c r="N1377" s="2184"/>
      <c r="O1377" s="2213">
        <f>'Part VIII Scoring Criteria'!AA159</f>
        <v>2</v>
      </c>
      <c r="P1377" s="2222"/>
      <c r="Q1377" s="1468"/>
      <c r="R1377" s="2223"/>
      <c r="S1377" s="2121">
        <v>1</v>
      </c>
      <c r="T1377" s="2121">
        <v>1</v>
      </c>
      <c r="U1377" s="1468"/>
      <c r="V1377" s="1468"/>
      <c r="W1377" s="1468"/>
      <c r="X1377" s="1468"/>
      <c r="Y1377" s="1468"/>
      <c r="Z1377" s="1468"/>
      <c r="AA1377" s="1468"/>
      <c r="AB1377" s="1468"/>
      <c r="AC1377" s="1468"/>
      <c r="AD1377" s="1468"/>
      <c r="AE1377" s="1468"/>
      <c r="AF1377" s="1468"/>
    </row>
    <row r="1378" spans="1:32" ht="14.4">
      <c r="A1378" s="1446"/>
      <c r="B1378" s="2142" t="s">
        <v>7607</v>
      </c>
      <c r="C1378" s="1446"/>
      <c r="D1378" s="1446"/>
      <c r="E1378" s="1446"/>
      <c r="F1378" s="1446"/>
      <c r="G1378" s="1446"/>
      <c r="H1378" s="1446"/>
      <c r="I1378" s="1446"/>
      <c r="J1378" s="1446"/>
      <c r="K1378" s="1446"/>
      <c r="L1378" s="1463"/>
      <c r="M1378" s="1454"/>
      <c r="N1378" s="2568"/>
      <c r="O1378" s="1462"/>
      <c r="P1378" s="2569"/>
      <c r="Q1378" s="1463"/>
      <c r="R1378" s="1463"/>
      <c r="S1378" s="1463"/>
      <c r="T1378" s="1463"/>
      <c r="U1378" s="1463"/>
      <c r="V1378" s="1463"/>
      <c r="W1378" s="1463"/>
      <c r="X1378" s="1463"/>
      <c r="Y1378" s="1463"/>
      <c r="Z1378" s="1463"/>
      <c r="AA1378" s="1463"/>
      <c r="AB1378" s="1463"/>
      <c r="AC1378" s="1463"/>
      <c r="AD1378" s="1463"/>
      <c r="AE1378" s="1463"/>
      <c r="AF1378" s="1463"/>
    </row>
    <row r="1379" spans="1:32" ht="13.8">
      <c r="A1379" s="1469" t="str">
        <f>'Part VIII Scoring Criteria'!A161</f>
        <v>RMS, Inc. operates in Tift County. Please refer to the letter from RMS, Inc. included in Folder 11.</v>
      </c>
      <c r="B1379" s="1468"/>
      <c r="C1379" s="1468"/>
      <c r="D1379" s="1468"/>
      <c r="E1379" s="1468"/>
      <c r="F1379" s="1468"/>
      <c r="G1379" s="1468"/>
      <c r="H1379" s="1468"/>
      <c r="I1379" s="1468"/>
      <c r="J1379" s="1468"/>
      <c r="K1379" s="1468"/>
      <c r="L1379" s="1468"/>
      <c r="M1379" s="1468"/>
      <c r="N1379" s="1468"/>
      <c r="O1379" s="1468"/>
      <c r="P1379" s="1468"/>
      <c r="Q1379" s="1445"/>
      <c r="R1379" s="1445"/>
      <c r="S1379" s="1463"/>
      <c r="T1379" s="1463"/>
      <c r="U1379" s="1463"/>
      <c r="V1379" s="1463"/>
      <c r="W1379" s="1463"/>
      <c r="X1379" s="1463"/>
      <c r="Y1379" s="1463"/>
      <c r="Z1379" s="1463"/>
      <c r="AA1379" s="1463"/>
      <c r="AB1379" s="1463"/>
      <c r="AC1379" s="1463"/>
      <c r="AD1379" s="1463"/>
      <c r="AE1379" s="1463"/>
      <c r="AF1379" s="1463"/>
    </row>
    <row r="1380" spans="1:32" ht="14.4">
      <c r="A1380" s="1446"/>
      <c r="B1380" s="2142" t="s">
        <v>1453</v>
      </c>
      <c r="C1380" s="1446"/>
      <c r="D1380" s="2142"/>
      <c r="E1380" s="1446"/>
      <c r="F1380" s="1446"/>
      <c r="G1380" s="1446"/>
      <c r="H1380" s="1446"/>
      <c r="I1380" s="1446"/>
      <c r="J1380" s="1446"/>
      <c r="K1380" s="1446"/>
      <c r="L1380" s="1446"/>
      <c r="M1380" s="1446"/>
      <c r="N1380" s="1446"/>
      <c r="O1380" s="1445"/>
      <c r="P1380" s="1445"/>
      <c r="Q1380" s="1463"/>
      <c r="R1380" s="1446"/>
      <c r="S1380" s="1446"/>
      <c r="T1380" s="1446"/>
      <c r="U1380" s="1446"/>
      <c r="V1380" s="1446"/>
      <c r="W1380" s="1446"/>
      <c r="X1380" s="1446"/>
      <c r="Y1380" s="1446"/>
      <c r="Z1380" s="1446"/>
      <c r="AA1380" s="1446"/>
      <c r="AB1380" s="1446"/>
      <c r="AC1380" s="1446"/>
      <c r="AD1380" s="1446"/>
      <c r="AE1380" s="1446"/>
      <c r="AF1380" s="1446"/>
    </row>
    <row r="1381" spans="1:32" ht="13.8">
      <c r="A1381" s="1468"/>
      <c r="B1381" s="1468"/>
      <c r="C1381" s="1468"/>
      <c r="D1381" s="1468"/>
      <c r="E1381" s="1468"/>
      <c r="F1381" s="1468"/>
      <c r="G1381" s="1468"/>
      <c r="H1381" s="1468"/>
      <c r="I1381" s="1468"/>
      <c r="J1381" s="1468"/>
      <c r="K1381" s="1468"/>
      <c r="L1381" s="1468"/>
      <c r="M1381" s="1468"/>
      <c r="N1381" s="1468"/>
      <c r="O1381" s="1468"/>
      <c r="P1381" s="1468"/>
      <c r="Q1381" s="1445"/>
      <c r="R1381" s="1463"/>
      <c r="S1381" s="1463"/>
      <c r="T1381" s="1463"/>
      <c r="U1381" s="1463"/>
      <c r="V1381" s="1463"/>
      <c r="W1381" s="1463"/>
      <c r="X1381" s="1463"/>
      <c r="Y1381" s="1463"/>
      <c r="Z1381" s="1463"/>
      <c r="AA1381" s="1463"/>
      <c r="AB1381" s="1463"/>
      <c r="AC1381" s="1463"/>
      <c r="AD1381" s="1463"/>
      <c r="AE1381" s="1463"/>
      <c r="AF1381" s="1463"/>
    </row>
    <row r="1382" spans="1:32" ht="13.8">
      <c r="A1382" s="1463"/>
      <c r="B1382" s="1463"/>
      <c r="C1382" s="1463"/>
      <c r="D1382" s="1463"/>
      <c r="E1382" s="1463"/>
      <c r="F1382" s="1463"/>
      <c r="G1382" s="1463"/>
      <c r="H1382" s="1463"/>
      <c r="I1382" s="1463"/>
      <c r="J1382" s="1463"/>
      <c r="K1382" s="1463"/>
      <c r="L1382" s="1463"/>
      <c r="M1382" s="1463"/>
      <c r="N1382" s="1463"/>
      <c r="O1382" s="1470"/>
      <c r="P1382" s="1470"/>
      <c r="Q1382" s="1463"/>
      <c r="R1382" s="1463"/>
      <c r="S1382" s="1463"/>
      <c r="T1382" s="1463"/>
      <c r="U1382" s="1463"/>
      <c r="V1382" s="1463"/>
      <c r="W1382" s="1463"/>
      <c r="X1382" s="1463"/>
      <c r="Y1382" s="1463"/>
      <c r="Z1382" s="1463"/>
      <c r="AA1382" s="1463"/>
      <c r="AB1382" s="1463"/>
      <c r="AC1382" s="1463"/>
      <c r="AD1382" s="1463"/>
      <c r="AE1382" s="1463"/>
      <c r="AF1382" s="1463"/>
    </row>
    <row r="1383" spans="1:32" ht="13.8">
      <c r="A1383" s="1463"/>
      <c r="B1383" s="1463"/>
      <c r="C1383" s="1463"/>
      <c r="D1383" s="1463"/>
      <c r="E1383" s="1463"/>
      <c r="F1383" s="1463"/>
      <c r="G1383" s="1463"/>
      <c r="H1383" s="1463"/>
      <c r="I1383" s="1463"/>
      <c r="J1383" s="1463"/>
      <c r="K1383" s="1463"/>
      <c r="L1383" s="1463"/>
      <c r="M1383" s="1463"/>
      <c r="N1383" s="2568"/>
      <c r="O1383" s="2569"/>
      <c r="P1383" s="2569"/>
      <c r="Q1383" s="1463"/>
      <c r="R1383" s="1463"/>
      <c r="S1383" s="1463"/>
      <c r="T1383" s="1463"/>
      <c r="U1383" s="1463"/>
      <c r="V1383" s="1463"/>
      <c r="W1383" s="1463"/>
      <c r="X1383" s="1463"/>
      <c r="Y1383" s="1463"/>
      <c r="Z1383" s="1463"/>
      <c r="AA1383" s="1463"/>
      <c r="AB1383" s="1463"/>
      <c r="AC1383" s="1463"/>
      <c r="AD1383" s="1463"/>
      <c r="AE1383" s="1463"/>
      <c r="AF1383" s="1463"/>
    </row>
    <row r="1384" spans="1:32" ht="13.8">
      <c r="A1384" s="1730" t="s">
        <v>1501</v>
      </c>
      <c r="B1384" s="1731" t="s">
        <v>1866</v>
      </c>
      <c r="C1384" s="1469"/>
      <c r="D1384" s="1469"/>
      <c r="E1384" s="1469"/>
      <c r="F1384" s="1463"/>
      <c r="G1384" s="2567"/>
      <c r="H1384" s="2150"/>
      <c r="I1384" s="1463"/>
      <c r="J1384" s="1463"/>
      <c r="K1384" s="1463"/>
      <c r="L1384" s="2146" t="s">
        <v>1743</v>
      </c>
      <c r="M1384" s="2567">
        <v>3</v>
      </c>
      <c r="N1384" s="1467"/>
      <c r="O1384" s="2567">
        <f>'Part VIII Scoring Criteria'!AA166</f>
        <v>1</v>
      </c>
      <c r="P1384" s="1739"/>
      <c r="Q1384" s="2147" t="str">
        <f>IF(OR($O1384&lt;=$M1384,$O1384=0,$O1384=""),"","*CHECK!*")</f>
        <v/>
      </c>
      <c r="R1384" s="2150" t="s">
        <v>1744</v>
      </c>
      <c r="S1384" s="2567">
        <f>$C$16</f>
        <v>0</v>
      </c>
      <c r="T1384" s="1463"/>
      <c r="U1384" s="1463"/>
      <c r="V1384" s="1463"/>
      <c r="W1384" s="1463"/>
      <c r="X1384" s="1463"/>
      <c r="Y1384" s="1463"/>
      <c r="Z1384" s="1463"/>
      <c r="AA1384" s="1463"/>
      <c r="AB1384" s="1463"/>
      <c r="AC1384" s="1463"/>
      <c r="AD1384" s="1463"/>
      <c r="AE1384" s="1463"/>
      <c r="AF1384" s="1463"/>
    </row>
    <row r="1385" spans="1:32" ht="15" customHeight="1">
      <c r="A1385" s="1463"/>
      <c r="B1385" s="2227"/>
      <c r="C1385" s="2227"/>
      <c r="D1385" s="2227"/>
      <c r="E1385" s="2164"/>
      <c r="F1385" s="1463" t="s">
        <v>7624</v>
      </c>
      <c r="G1385" s="2164" t="s">
        <v>7625</v>
      </c>
      <c r="H1385" s="2164"/>
      <c r="I1385" s="2164" t="s">
        <v>7626</v>
      </c>
      <c r="J1385" s="2164" t="s">
        <v>7627</v>
      </c>
      <c r="K1385" s="2228"/>
      <c r="L1385" s="2164" t="s">
        <v>6866</v>
      </c>
      <c r="M1385" s="2164"/>
      <c r="N1385" s="2164"/>
      <c r="O1385" s="2164"/>
      <c r="P1385" s="2569"/>
      <c r="Q1385" s="1463"/>
      <c r="R1385" s="1463"/>
      <c r="S1385" s="1463"/>
      <c r="T1385" s="1463"/>
      <c r="U1385" s="1463"/>
      <c r="V1385" s="1463"/>
      <c r="W1385" s="1463"/>
      <c r="X1385" s="1463"/>
      <c r="Y1385" s="1463"/>
      <c r="Z1385" s="1463"/>
      <c r="AA1385" s="1463"/>
      <c r="AB1385" s="1463"/>
      <c r="AC1385" s="1463"/>
      <c r="AD1385" s="1463"/>
      <c r="AE1385" s="1463"/>
      <c r="AF1385" s="1463"/>
    </row>
    <row r="1386" spans="1:32" ht="13.8">
      <c r="A1386" s="1463"/>
      <c r="B1386" s="2227"/>
      <c r="C1386" s="2227"/>
      <c r="D1386" s="2227"/>
      <c r="E1386" s="2164"/>
      <c r="F1386" s="1463"/>
      <c r="G1386" s="2164"/>
      <c r="H1386" s="2164"/>
      <c r="I1386" s="2164"/>
      <c r="J1386" s="2228"/>
      <c r="K1386" s="2228"/>
      <c r="L1386" s="2164"/>
      <c r="M1386" s="2164"/>
      <c r="N1386" s="2164"/>
      <c r="O1386" s="2164"/>
      <c r="P1386" s="2569"/>
      <c r="Q1386" s="1463"/>
      <c r="R1386" s="1463"/>
      <c r="S1386" s="1463"/>
      <c r="T1386" s="1463"/>
      <c r="U1386" s="1463"/>
      <c r="V1386" s="1463"/>
      <c r="W1386" s="1463"/>
      <c r="X1386" s="1463"/>
      <c r="Y1386" s="1463"/>
      <c r="Z1386" s="1463"/>
      <c r="AA1386" s="1463"/>
      <c r="AB1386" s="1463"/>
      <c r="AC1386" s="1463"/>
      <c r="AD1386" s="1463"/>
      <c r="AE1386" s="1463"/>
      <c r="AF1386" s="1463"/>
    </row>
    <row r="1387" spans="1:32" ht="13.8">
      <c r="A1387" s="1463"/>
      <c r="B1387" s="2229" t="s">
        <v>6867</v>
      </c>
      <c r="C1387" s="2230"/>
      <c r="D1387" s="2164"/>
      <c r="E1387" s="2164"/>
      <c r="F1387" s="1463"/>
      <c r="G1387" s="2164"/>
      <c r="H1387" s="2164"/>
      <c r="I1387" s="2164"/>
      <c r="J1387" s="2228"/>
      <c r="K1387" s="2228"/>
      <c r="L1387" s="2164"/>
      <c r="M1387" s="2164"/>
      <c r="N1387" s="2164"/>
      <c r="O1387" s="2164"/>
      <c r="P1387" s="2569"/>
      <c r="Q1387" s="1463"/>
      <c r="R1387" s="1463"/>
      <c r="S1387" s="1463"/>
      <c r="T1387" s="1463"/>
      <c r="U1387" s="1463"/>
      <c r="V1387" s="1463"/>
      <c r="W1387" s="1463"/>
      <c r="X1387" s="1463"/>
      <c r="Y1387" s="1463"/>
      <c r="Z1387" s="1463"/>
      <c r="AA1387" s="1463"/>
      <c r="AB1387" s="1463"/>
      <c r="AC1387" s="1463"/>
      <c r="AD1387" s="1463"/>
      <c r="AE1387" s="1463"/>
      <c r="AF1387" s="1463"/>
    </row>
    <row r="1388" spans="1:32" ht="13.8">
      <c r="A1388" s="1463"/>
      <c r="B1388" s="1465" t="str">
        <f>'Part VIII Scoring Criteria'!E171</f>
        <v>Eighth Street Middle School</v>
      </c>
      <c r="C1388" s="1465"/>
      <c r="D1388" s="1465"/>
      <c r="E1388" s="1465"/>
      <c r="F1388" s="1465">
        <f>'Part VIII Scoring Criteria'!T171</f>
        <v>3</v>
      </c>
      <c r="G1388" s="1465" t="str">
        <f>'Part VIII Scoring Criteria'!X171</f>
        <v>No</v>
      </c>
      <c r="H1388" s="1465"/>
      <c r="I1388" s="1465" t="str">
        <f>'Part VIII Scoring Criteria'!Z171</f>
        <v>Yes</v>
      </c>
      <c r="J1388" s="1465" t="e">
        <f>'Part VIII Scoring Criteria'!#REF!</f>
        <v>#REF!</v>
      </c>
      <c r="K1388" s="1465"/>
      <c r="L1388" s="1465" t="e">
        <f>'Part VIII Scoring Criteria'!#REF!</f>
        <v>#REF!</v>
      </c>
      <c r="M1388" s="1446"/>
      <c r="N1388" s="1446"/>
      <c r="O1388" s="2173"/>
      <c r="P1388" s="2173"/>
      <c r="Q1388" s="1463"/>
      <c r="R1388" s="1463"/>
      <c r="S1388" s="1463"/>
      <c r="T1388" s="1463"/>
      <c r="U1388" s="1463"/>
      <c r="V1388" s="1463"/>
      <c r="W1388" s="1463"/>
      <c r="X1388" s="1463"/>
      <c r="Y1388" s="1463"/>
      <c r="Z1388" s="1463"/>
      <c r="AA1388" s="1463"/>
      <c r="AB1388" s="1463"/>
      <c r="AC1388" s="1463"/>
      <c r="AD1388" s="1463"/>
      <c r="AE1388" s="1463"/>
      <c r="AF1388" s="1463"/>
    </row>
    <row r="1389" spans="1:32" ht="13.8">
      <c r="A1389" s="1463"/>
      <c r="B1389" s="1465">
        <f>'Part VIII Scoring Criteria'!E172</f>
        <v>0</v>
      </c>
      <c r="C1389" s="1465"/>
      <c r="D1389" s="1465"/>
      <c r="E1389" s="1465"/>
      <c r="F1389" s="1465">
        <f>'Part VIII Scoring Criteria'!T172</f>
        <v>0</v>
      </c>
      <c r="G1389" s="1465">
        <f>'Part VIII Scoring Criteria'!X172</f>
        <v>0</v>
      </c>
      <c r="H1389" s="1465"/>
      <c r="I1389" s="1465">
        <f>'Part VIII Scoring Criteria'!Z172</f>
        <v>0</v>
      </c>
      <c r="J1389" s="1465" t="e">
        <f>'Part VIII Scoring Criteria'!#REF!</f>
        <v>#REF!</v>
      </c>
      <c r="K1389" s="1465"/>
      <c r="L1389" s="1465" t="e">
        <f>'Part VIII Scoring Criteria'!#REF!</f>
        <v>#REF!</v>
      </c>
      <c r="M1389" s="1446"/>
      <c r="N1389" s="1446"/>
      <c r="O1389" s="2173"/>
      <c r="P1389" s="2173"/>
      <c r="Q1389" s="1463"/>
      <c r="R1389" s="1463"/>
      <c r="S1389" s="1463"/>
      <c r="T1389" s="1463"/>
      <c r="U1389" s="1463"/>
      <c r="V1389" s="1463"/>
      <c r="W1389" s="1463"/>
      <c r="X1389" s="1463"/>
      <c r="Y1389" s="1463"/>
      <c r="Z1389" s="1463"/>
      <c r="AA1389" s="1463"/>
      <c r="AB1389" s="1463"/>
      <c r="AC1389" s="1463"/>
      <c r="AD1389" s="1463"/>
      <c r="AE1389" s="1463"/>
      <c r="AF1389" s="1463"/>
    </row>
    <row r="1390" spans="1:32" ht="13.8">
      <c r="A1390" s="1463"/>
      <c r="B1390" s="1465">
        <f>'Part VIII Scoring Criteria'!E173</f>
        <v>0</v>
      </c>
      <c r="C1390" s="1465"/>
      <c r="D1390" s="1465"/>
      <c r="E1390" s="1465"/>
      <c r="F1390" s="1465">
        <f>'Part VIII Scoring Criteria'!T173</f>
        <v>0</v>
      </c>
      <c r="G1390" s="1465">
        <f>'Part VIII Scoring Criteria'!X173</f>
        <v>0</v>
      </c>
      <c r="H1390" s="1465"/>
      <c r="I1390" s="1465">
        <f>'Part VIII Scoring Criteria'!Z173</f>
        <v>0</v>
      </c>
      <c r="J1390" s="1465" t="e">
        <f>'Part VIII Scoring Criteria'!#REF!</f>
        <v>#REF!</v>
      </c>
      <c r="K1390" s="1465"/>
      <c r="L1390" s="1465" t="e">
        <f>'Part VIII Scoring Criteria'!#REF!</f>
        <v>#REF!</v>
      </c>
      <c r="M1390" s="1446"/>
      <c r="N1390" s="1446"/>
      <c r="O1390" s="2173"/>
      <c r="P1390" s="2173"/>
      <c r="Q1390" s="1463"/>
      <c r="R1390" s="1463"/>
      <c r="S1390" s="1463"/>
      <c r="T1390" s="1463"/>
      <c r="U1390" s="1463"/>
      <c r="V1390" s="1463"/>
      <c r="W1390" s="1463"/>
      <c r="X1390" s="1463"/>
      <c r="Y1390" s="1463"/>
      <c r="Z1390" s="1463"/>
      <c r="AA1390" s="1463"/>
      <c r="AB1390" s="1463"/>
      <c r="AC1390" s="1463"/>
      <c r="AD1390" s="1463"/>
      <c r="AE1390" s="1463"/>
      <c r="AF1390" s="1463"/>
    </row>
    <row r="1391" spans="1:32" ht="13.8">
      <c r="A1391" s="1463"/>
      <c r="B1391" s="1465">
        <f>'Part VIII Scoring Criteria'!E174</f>
        <v>0</v>
      </c>
      <c r="C1391" s="1465"/>
      <c r="D1391" s="1465"/>
      <c r="E1391" s="1465"/>
      <c r="F1391" s="1465">
        <f>'Part VIII Scoring Criteria'!T174</f>
        <v>0</v>
      </c>
      <c r="G1391" s="1465">
        <f>'Part VIII Scoring Criteria'!X174</f>
        <v>0</v>
      </c>
      <c r="H1391" s="1465"/>
      <c r="I1391" s="1465">
        <f>'Part VIII Scoring Criteria'!Z174</f>
        <v>0</v>
      </c>
      <c r="J1391" s="1465" t="e">
        <f>'Part VIII Scoring Criteria'!#REF!</f>
        <v>#REF!</v>
      </c>
      <c r="K1391" s="1465"/>
      <c r="L1391" s="1465" t="e">
        <f>'Part VIII Scoring Criteria'!#REF!</f>
        <v>#REF!</v>
      </c>
      <c r="M1391" s="1446"/>
      <c r="N1391" s="1446"/>
      <c r="O1391" s="2173"/>
      <c r="P1391" s="2173"/>
      <c r="Q1391" s="1463"/>
      <c r="R1391" s="1463"/>
      <c r="S1391" s="1463"/>
      <c r="T1391" s="1463"/>
      <c r="U1391" s="1463"/>
      <c r="V1391" s="1463"/>
      <c r="W1391" s="1463"/>
      <c r="X1391" s="1463"/>
      <c r="Y1391" s="1463"/>
      <c r="Z1391" s="1463"/>
      <c r="AA1391" s="1463"/>
      <c r="AB1391" s="1463"/>
      <c r="AC1391" s="1463"/>
      <c r="AD1391" s="1463"/>
      <c r="AE1391" s="1463"/>
      <c r="AF1391" s="1463"/>
    </row>
    <row r="1392" spans="1:32" ht="13.8">
      <c r="A1392" s="1463"/>
      <c r="B1392" s="1465">
        <f>'Part VIII Scoring Criteria'!E175</f>
        <v>0</v>
      </c>
      <c r="C1392" s="1465"/>
      <c r="D1392" s="1465"/>
      <c r="E1392" s="1465"/>
      <c r="F1392" s="1465">
        <f>'Part VIII Scoring Criteria'!T175</f>
        <v>0</v>
      </c>
      <c r="G1392" s="1465">
        <f>'Part VIII Scoring Criteria'!X175</f>
        <v>0</v>
      </c>
      <c r="H1392" s="1465"/>
      <c r="I1392" s="1465">
        <f>'Part VIII Scoring Criteria'!Z175</f>
        <v>0</v>
      </c>
      <c r="J1392" s="1465" t="e">
        <f>'Part VIII Scoring Criteria'!#REF!</f>
        <v>#REF!</v>
      </c>
      <c r="K1392" s="1465"/>
      <c r="L1392" s="1465" t="e">
        <f>'Part VIII Scoring Criteria'!#REF!</f>
        <v>#REF!</v>
      </c>
      <c r="M1392" s="1446"/>
      <c r="N1392" s="1446"/>
      <c r="O1392" s="2173"/>
      <c r="P1392" s="2173"/>
      <c r="Q1392" s="1463"/>
      <c r="R1392" s="1463"/>
      <c r="S1392" s="1463"/>
      <c r="T1392" s="1463"/>
      <c r="U1392" s="1463"/>
      <c r="V1392" s="1463"/>
      <c r="W1392" s="1463"/>
      <c r="X1392" s="1463"/>
      <c r="Y1392" s="1463"/>
      <c r="Z1392" s="1463"/>
      <c r="AA1392" s="1463"/>
      <c r="AB1392" s="1463"/>
      <c r="AC1392" s="1463"/>
      <c r="AD1392" s="1463"/>
      <c r="AE1392" s="1463"/>
      <c r="AF1392" s="1463"/>
    </row>
    <row r="1393" spans="1:32" ht="13.8">
      <c r="A1393" s="1463"/>
      <c r="B1393" s="1465">
        <f>'Part VIII Scoring Criteria'!E176</f>
        <v>0</v>
      </c>
      <c r="C1393" s="1465"/>
      <c r="D1393" s="1465"/>
      <c r="E1393" s="1465"/>
      <c r="F1393" s="1465">
        <f>'Part VIII Scoring Criteria'!T176</f>
        <v>0</v>
      </c>
      <c r="G1393" s="1465">
        <f>'Part VIII Scoring Criteria'!X176</f>
        <v>0</v>
      </c>
      <c r="H1393" s="1465"/>
      <c r="I1393" s="1465">
        <f>'Part VIII Scoring Criteria'!Z176</f>
        <v>0</v>
      </c>
      <c r="J1393" s="1465" t="e">
        <f>'Part VIII Scoring Criteria'!#REF!</f>
        <v>#REF!</v>
      </c>
      <c r="K1393" s="1465"/>
      <c r="L1393" s="1465" t="e">
        <f>'Part VIII Scoring Criteria'!#REF!</f>
        <v>#REF!</v>
      </c>
      <c r="M1393" s="1446"/>
      <c r="N1393" s="1446"/>
      <c r="O1393" s="2173"/>
      <c r="P1393" s="2173"/>
      <c r="Q1393" s="1463"/>
      <c r="R1393" s="1463"/>
      <c r="S1393" s="1463"/>
      <c r="T1393" s="1463"/>
      <c r="U1393" s="1463"/>
      <c r="V1393" s="1463"/>
      <c r="W1393" s="1463"/>
      <c r="X1393" s="1463"/>
      <c r="Y1393" s="1463"/>
      <c r="Z1393" s="1463"/>
      <c r="AA1393" s="1463"/>
      <c r="AB1393" s="1463"/>
      <c r="AC1393" s="1463"/>
      <c r="AD1393" s="1463"/>
      <c r="AE1393" s="1463"/>
      <c r="AF1393" s="1463"/>
    </row>
    <row r="1394" spans="1:32" ht="14.4">
      <c r="A1394" s="1446"/>
      <c r="B1394" s="2142" t="s">
        <v>7607</v>
      </c>
      <c r="C1394" s="1446"/>
      <c r="D1394" s="1446"/>
      <c r="E1394" s="1446"/>
      <c r="F1394" s="1446"/>
      <c r="G1394" s="1446"/>
      <c r="H1394" s="1446"/>
      <c r="I1394" s="1446"/>
      <c r="J1394" s="1446"/>
      <c r="K1394" s="1446"/>
      <c r="L1394" s="1463"/>
      <c r="M1394" s="1446"/>
      <c r="N1394" s="1463"/>
      <c r="O1394" s="2161"/>
      <c r="P1394" s="2569"/>
      <c r="Q1394" s="1463"/>
      <c r="R1394" s="1463"/>
      <c r="S1394" s="1463"/>
      <c r="T1394" s="1463"/>
      <c r="U1394" s="1463"/>
      <c r="V1394" s="1463"/>
      <c r="W1394" s="1463"/>
      <c r="X1394" s="1463"/>
      <c r="Y1394" s="1463"/>
      <c r="Z1394" s="1463"/>
      <c r="AA1394" s="1463"/>
      <c r="AB1394" s="1463"/>
      <c r="AC1394" s="1463"/>
      <c r="AD1394" s="1463"/>
      <c r="AE1394" s="1463"/>
      <c r="AF1394" s="1463"/>
    </row>
    <row r="1395" spans="1:32" ht="13.8">
      <c r="A1395" s="1469" t="str">
        <f>'Part VIII Scoring Criteria'!A178</f>
        <v>Eight Street Middle School l received a 2024 or later "Beating the Odds" Designation. Documentation is included in the application.</v>
      </c>
      <c r="B1395" s="1468"/>
      <c r="C1395" s="1468"/>
      <c r="D1395" s="1468"/>
      <c r="E1395" s="1468"/>
      <c r="F1395" s="1468"/>
      <c r="G1395" s="1468"/>
      <c r="H1395" s="1468"/>
      <c r="I1395" s="1468"/>
      <c r="J1395" s="1468"/>
      <c r="K1395" s="1468"/>
      <c r="L1395" s="1468"/>
      <c r="M1395" s="1468"/>
      <c r="N1395" s="1468"/>
      <c r="O1395" s="1468"/>
      <c r="P1395" s="1468"/>
      <c r="Q1395" s="1445"/>
      <c r="R1395" s="1463"/>
      <c r="S1395" s="1463"/>
      <c r="T1395" s="1463"/>
      <c r="U1395" s="1463"/>
      <c r="V1395" s="1463"/>
      <c r="W1395" s="1463"/>
      <c r="X1395" s="1463"/>
      <c r="Y1395" s="1463"/>
      <c r="Z1395" s="1463"/>
      <c r="AA1395" s="1463"/>
      <c r="AB1395" s="1463"/>
      <c r="AC1395" s="1463"/>
      <c r="AD1395" s="1463"/>
      <c r="AE1395" s="1463"/>
      <c r="AF1395" s="1463"/>
    </row>
    <row r="1396" spans="1:32" ht="14.4">
      <c r="A1396" s="1446"/>
      <c r="B1396" s="2160" t="s">
        <v>1453</v>
      </c>
      <c r="C1396" s="1446"/>
      <c r="D1396" s="2160"/>
      <c r="E1396" s="1468"/>
      <c r="F1396" s="1468"/>
      <c r="G1396" s="1468"/>
      <c r="H1396" s="1468"/>
      <c r="I1396" s="1468"/>
      <c r="J1396" s="1468"/>
      <c r="K1396" s="1468"/>
      <c r="L1396" s="1468"/>
      <c r="M1396" s="1468"/>
      <c r="N1396" s="1468"/>
      <c r="O1396" s="2136"/>
      <c r="P1396" s="1445"/>
      <c r="Q1396" s="1463"/>
      <c r="R1396" s="1463"/>
      <c r="S1396" s="1463"/>
      <c r="T1396" s="1463"/>
      <c r="U1396" s="1463"/>
      <c r="V1396" s="1463"/>
      <c r="W1396" s="1463"/>
      <c r="X1396" s="1463"/>
      <c r="Y1396" s="1463"/>
      <c r="Z1396" s="1463"/>
      <c r="AA1396" s="1463"/>
      <c r="AB1396" s="1463"/>
      <c r="AC1396" s="1463"/>
      <c r="AD1396" s="1463"/>
      <c r="AE1396" s="1463"/>
      <c r="AF1396" s="1463"/>
    </row>
    <row r="1397" spans="1:32" ht="13.8">
      <c r="A1397" s="1468"/>
      <c r="B1397" s="1468"/>
      <c r="C1397" s="1468"/>
      <c r="D1397" s="1468"/>
      <c r="E1397" s="1468"/>
      <c r="F1397" s="1468"/>
      <c r="G1397" s="1468"/>
      <c r="H1397" s="1468"/>
      <c r="I1397" s="1468"/>
      <c r="J1397" s="1468"/>
      <c r="K1397" s="1468"/>
      <c r="L1397" s="1468"/>
      <c r="M1397" s="1468"/>
      <c r="N1397" s="1468"/>
      <c r="O1397" s="1468"/>
      <c r="P1397" s="1468"/>
      <c r="Q1397" s="1445"/>
      <c r="R1397" s="1463"/>
      <c r="S1397" s="1463"/>
      <c r="T1397" s="1463"/>
      <c r="U1397" s="1464"/>
      <c r="V1397" s="1463"/>
      <c r="W1397" s="1463"/>
      <c r="X1397" s="1463"/>
      <c r="Y1397" s="1463"/>
      <c r="Z1397" s="1463"/>
      <c r="AA1397" s="1463"/>
      <c r="AB1397" s="1463"/>
      <c r="AC1397" s="1463"/>
      <c r="AD1397" s="1463"/>
      <c r="AE1397" s="1463"/>
      <c r="AF1397" s="1463"/>
    </row>
    <row r="1398" spans="1:32" ht="13.8">
      <c r="A1398" s="1463"/>
      <c r="B1398" s="1463"/>
      <c r="C1398" s="1463"/>
      <c r="D1398" s="1463"/>
      <c r="E1398" s="1463"/>
      <c r="F1398" s="1463"/>
      <c r="G1398" s="1463"/>
      <c r="H1398" s="1463"/>
      <c r="I1398" s="1463"/>
      <c r="J1398" s="1463"/>
      <c r="K1398" s="1463"/>
      <c r="L1398" s="1463"/>
      <c r="M1398" s="1463"/>
      <c r="N1398" s="1463"/>
      <c r="O1398" s="1470"/>
      <c r="P1398" s="1470"/>
      <c r="Q1398" s="1463"/>
      <c r="R1398" s="1463"/>
      <c r="S1398" s="1463"/>
      <c r="T1398" s="1463"/>
      <c r="U1398" s="1463"/>
      <c r="V1398" s="1463"/>
      <c r="W1398" s="1463"/>
      <c r="X1398" s="1463"/>
      <c r="Y1398" s="1463"/>
      <c r="Z1398" s="1463"/>
      <c r="AA1398" s="1463"/>
      <c r="AB1398" s="1463"/>
      <c r="AC1398" s="1463"/>
      <c r="AD1398" s="1463"/>
      <c r="AE1398" s="1463"/>
      <c r="AF1398" s="1463"/>
    </row>
    <row r="1399" spans="1:32" ht="13.8">
      <c r="A1399" s="1463"/>
      <c r="B1399" s="1463"/>
      <c r="C1399" s="1463"/>
      <c r="D1399" s="1463"/>
      <c r="E1399" s="1463"/>
      <c r="F1399" s="1463"/>
      <c r="G1399" s="1463"/>
      <c r="H1399" s="1463"/>
      <c r="I1399" s="1463"/>
      <c r="J1399" s="1463"/>
      <c r="K1399" s="1463"/>
      <c r="L1399" s="1463"/>
      <c r="M1399" s="1463"/>
      <c r="N1399" s="2568"/>
      <c r="O1399" s="2569"/>
      <c r="P1399" s="2569"/>
      <c r="Q1399" s="1463"/>
      <c r="R1399" s="1463"/>
      <c r="S1399" s="1463"/>
      <c r="T1399" s="1463"/>
      <c r="U1399" s="1463"/>
      <c r="V1399" s="1463"/>
      <c r="W1399" s="1463"/>
      <c r="X1399" s="1463"/>
      <c r="Y1399" s="1463"/>
      <c r="Z1399" s="1463"/>
      <c r="AA1399" s="1463"/>
      <c r="AB1399" s="1463"/>
      <c r="AC1399" s="1463"/>
      <c r="AD1399" s="1463"/>
      <c r="AE1399" s="1463"/>
      <c r="AF1399" s="1463"/>
    </row>
    <row r="1400" spans="1:32" ht="13.8">
      <c r="A1400" s="1730" t="s">
        <v>1516</v>
      </c>
      <c r="B1400" s="1731" t="s">
        <v>1880</v>
      </c>
      <c r="C1400" s="1446"/>
      <c r="D1400" s="1731"/>
      <c r="E1400" s="1731"/>
      <c r="F1400" s="1446"/>
      <c r="G1400" s="1446"/>
      <c r="H1400" s="1446"/>
      <c r="I1400" s="1446"/>
      <c r="J1400" s="1446"/>
      <c r="K1400" s="2180"/>
      <c r="L1400" s="2146" t="s">
        <v>1743</v>
      </c>
      <c r="M1400" s="2567">
        <v>10</v>
      </c>
      <c r="N1400" s="1454"/>
      <c r="O1400" s="2141">
        <f>'Part VIII Scoring Criteria'!AA183</f>
        <v>0</v>
      </c>
      <c r="P1400" s="2141">
        <f>'Part VIII Scoring Criteria'!AB183</f>
        <v>0</v>
      </c>
      <c r="Q1400" s="2567" t="s">
        <v>1744</v>
      </c>
      <c r="R1400" s="2231" t="s">
        <v>1881</v>
      </c>
      <c r="S1400" s="1445"/>
      <c r="T1400" s="1445"/>
      <c r="U1400" s="1445"/>
      <c r="V1400" s="2227">
        <f>$H$15</f>
        <v>0</v>
      </c>
      <c r="W1400" s="1446"/>
      <c r="X1400" s="1446"/>
      <c r="Y1400" s="1446"/>
      <c r="Z1400" s="1446"/>
      <c r="AA1400" s="1446"/>
      <c r="AB1400" s="1446"/>
      <c r="AC1400" s="1446"/>
      <c r="AD1400" s="1446"/>
      <c r="AE1400" s="1446"/>
      <c r="AF1400" s="1446"/>
    </row>
    <row r="1401" spans="1:32" ht="13.8">
      <c r="A1401" s="1730"/>
      <c r="B1401" s="1731"/>
      <c r="C1401" s="1446"/>
      <c r="D1401" s="1731"/>
      <c r="E1401" s="1731"/>
      <c r="F1401" s="1465" t="s">
        <v>7628</v>
      </c>
      <c r="G1401" s="1446"/>
      <c r="H1401" s="1446"/>
      <c r="I1401" s="1446"/>
      <c r="J1401" s="1446"/>
      <c r="K1401" s="1446"/>
      <c r="L1401" s="1737"/>
      <c r="M1401" s="2567"/>
      <c r="N1401" s="1454"/>
      <c r="O1401" s="1462">
        <f>MIN(O1406+O1416+O1423,M1400)</f>
        <v>0</v>
      </c>
      <c r="P1401" s="1462">
        <f>MIN(P1406+P1416+P1423,M1400)</f>
        <v>0</v>
      </c>
      <c r="Q1401" s="2567"/>
      <c r="R1401" s="2150"/>
      <c r="S1401" s="1445"/>
      <c r="T1401" s="1445"/>
      <c r="U1401" s="1445"/>
      <c r="V1401" s="1463"/>
      <c r="W1401" s="1463"/>
      <c r="X1401" s="1463"/>
      <c r="Y1401" s="1446"/>
      <c r="Z1401" s="1446"/>
      <c r="AA1401" s="1446"/>
      <c r="AB1401" s="1446"/>
      <c r="AC1401" s="1446"/>
      <c r="AD1401" s="1446"/>
      <c r="AE1401" s="1446"/>
      <c r="AF1401" s="1446"/>
    </row>
    <row r="1402" spans="1:32" ht="13.8">
      <c r="A1402" s="2567"/>
      <c r="B1402" s="1446" t="s">
        <v>7629</v>
      </c>
      <c r="C1402" s="1463"/>
      <c r="D1402" s="1445"/>
      <c r="E1402" s="1445"/>
      <c r="F1402" s="1445"/>
      <c r="G1402" s="1445"/>
      <c r="H1402" s="1445"/>
      <c r="I1402" s="1445"/>
      <c r="J1402" s="1445"/>
      <c r="K1402" s="1445"/>
      <c r="L1402" s="1445"/>
      <c r="M1402" s="1463"/>
      <c r="N1402" s="2568"/>
      <c r="O1402" s="2569"/>
      <c r="P1402" s="2569"/>
      <c r="Q1402" s="2147" t="str">
        <f>IF(OR($O1407=$M1407,$O1407=0,$O1407=""),"","*CHECK!*")</f>
        <v/>
      </c>
      <c r="R1402" s="2150"/>
      <c r="S1402" s="1445"/>
      <c r="T1402" s="1445"/>
      <c r="U1402" s="1445"/>
      <c r="V1402" s="1463"/>
      <c r="W1402" s="1463"/>
      <c r="X1402" s="1463"/>
      <c r="Y1402" s="1463"/>
      <c r="Z1402" s="1463"/>
      <c r="AA1402" s="1463"/>
      <c r="AB1402" s="1463"/>
      <c r="AC1402" s="1463"/>
      <c r="AD1402" s="1463"/>
      <c r="AE1402" s="1463"/>
      <c r="AF1402" s="1463"/>
    </row>
    <row r="1403" spans="1:32" ht="15" customHeight="1">
      <c r="A1403" s="2569"/>
      <c r="B1403" s="1733"/>
      <c r="C1403" s="1468" t="s">
        <v>1883</v>
      </c>
      <c r="D1403" s="1468"/>
      <c r="E1403" s="1468"/>
      <c r="F1403" s="1468"/>
      <c r="G1403" s="1468"/>
      <c r="H1403" s="1468"/>
      <c r="I1403" s="1468"/>
      <c r="J1403" s="1468"/>
      <c r="K1403" s="1468"/>
      <c r="L1403" s="2157"/>
      <c r="M1403" s="1463"/>
      <c r="N1403" s="1465" t="str">
        <f>'Part VIII Scoring Criteria'!Z185</f>
        <v>&lt;Page # from Plan&gt;</v>
      </c>
      <c r="O1403" s="2229"/>
      <c r="P1403" s="2229"/>
      <c r="Q1403" s="1463"/>
      <c r="R1403" s="1463"/>
      <c r="S1403" s="1445"/>
      <c r="T1403" s="1445"/>
      <c r="U1403" s="1445"/>
      <c r="V1403" s="1463"/>
      <c r="W1403" s="1463"/>
      <c r="X1403" s="1463"/>
      <c r="Y1403" s="1463"/>
      <c r="Z1403" s="1463"/>
      <c r="AA1403" s="1463"/>
      <c r="AB1403" s="1463"/>
      <c r="AC1403" s="1463"/>
      <c r="AD1403" s="1463"/>
      <c r="AE1403" s="1463"/>
      <c r="AF1403" s="1463"/>
    </row>
    <row r="1404" spans="1:32" ht="15" customHeight="1">
      <c r="A1404" s="1454"/>
      <c r="B1404" s="1733"/>
      <c r="C1404" s="1446" t="s">
        <v>1885</v>
      </c>
      <c r="D1404" s="1446"/>
      <c r="E1404" s="1446"/>
      <c r="F1404" s="1446"/>
      <c r="G1404" s="1446"/>
      <c r="H1404" s="1446"/>
      <c r="I1404" s="1446"/>
      <c r="J1404" s="1446"/>
      <c r="K1404" s="1446"/>
      <c r="L1404" s="1733"/>
      <c r="M1404" s="1446"/>
      <c r="N1404" s="1465" t="str">
        <f>'Part VIII Scoring Criteria'!Z186</f>
        <v>&lt;Page # from Plan&gt;</v>
      </c>
      <c r="O1404" s="2229"/>
      <c r="P1404" s="2229"/>
      <c r="Q1404" s="1446"/>
      <c r="R1404" s="1446"/>
      <c r="S1404" s="1445"/>
      <c r="T1404" s="1445"/>
      <c r="U1404" s="1445"/>
      <c r="V1404" s="1446"/>
      <c r="W1404" s="1446"/>
      <c r="X1404" s="1446"/>
      <c r="Y1404" s="1446"/>
      <c r="Z1404" s="1446"/>
      <c r="AA1404" s="1446"/>
      <c r="AB1404" s="1446"/>
      <c r="AC1404" s="1446"/>
      <c r="AD1404" s="1446"/>
      <c r="AE1404" s="1446"/>
      <c r="AF1404" s="1446"/>
    </row>
    <row r="1405" spans="1:32" ht="15" customHeight="1">
      <c r="A1405" s="1454"/>
      <c r="B1405" s="1733"/>
      <c r="C1405" s="1446" t="s">
        <v>7630</v>
      </c>
      <c r="D1405" s="1446"/>
      <c r="E1405" s="1446"/>
      <c r="F1405" s="1446"/>
      <c r="G1405" s="1446"/>
      <c r="H1405" s="1446"/>
      <c r="I1405" s="1446"/>
      <c r="J1405" s="1446"/>
      <c r="K1405" s="1446"/>
      <c r="L1405" s="1733"/>
      <c r="M1405" s="1446"/>
      <c r="N1405" s="1465" t="str">
        <f>'Part VIII Scoring Criteria'!Z189</f>
        <v>&lt;Page # from Plan&gt;</v>
      </c>
      <c r="O1405" s="2229"/>
      <c r="P1405" s="2229"/>
      <c r="Q1405" s="1454"/>
      <c r="R1405" s="1446"/>
      <c r="S1405" s="1445"/>
      <c r="T1405" s="1445"/>
      <c r="U1405" s="1445"/>
      <c r="V1405" s="1454"/>
      <c r="W1405" s="1446"/>
      <c r="X1405" s="1446"/>
      <c r="Y1405" s="1446"/>
      <c r="Z1405" s="1446"/>
      <c r="AA1405" s="1446"/>
      <c r="AB1405" s="1446"/>
      <c r="AC1405" s="1446"/>
      <c r="AD1405" s="1446"/>
      <c r="AE1405" s="1446"/>
      <c r="AF1405" s="1446"/>
    </row>
    <row r="1406" spans="1:32" ht="13.8">
      <c r="A1406" s="2567" t="s">
        <v>186</v>
      </c>
      <c r="B1406" s="2150" t="s">
        <v>1889</v>
      </c>
      <c r="C1406" s="1446"/>
      <c r="D1406" s="1446"/>
      <c r="E1406" s="1446"/>
      <c r="F1406" s="1446"/>
      <c r="G1406" s="1446"/>
      <c r="H1406" s="1446"/>
      <c r="I1406" s="1446"/>
      <c r="J1406" s="1446"/>
      <c r="K1406" s="1446"/>
      <c r="L1406" s="2180" t="s">
        <v>1743</v>
      </c>
      <c r="M1406" s="2567">
        <v>6</v>
      </c>
      <c r="N1406" s="1446"/>
      <c r="O1406" s="2232">
        <f>'Part VIII Scoring Criteria'!AA190</f>
        <v>0</v>
      </c>
      <c r="P1406" s="2232">
        <f>'Part VIII Scoring Criteria'!AB190</f>
        <v>0</v>
      </c>
      <c r="Q1406" s="1454"/>
      <c r="R1406" s="1446"/>
      <c r="S1406" s="1445"/>
      <c r="T1406" s="1445"/>
      <c r="U1406" s="1445"/>
      <c r="V1406" s="1454"/>
      <c r="W1406" s="1446"/>
      <c r="X1406" s="1446"/>
      <c r="Y1406" s="1446"/>
      <c r="Z1406" s="1446"/>
      <c r="AA1406" s="1446"/>
      <c r="AB1406" s="1446"/>
      <c r="AC1406" s="1446"/>
      <c r="AD1406" s="1446"/>
      <c r="AE1406" s="1446"/>
      <c r="AF1406" s="1446"/>
    </row>
    <row r="1407" spans="1:32" ht="13.8">
      <c r="A1407" s="2569"/>
      <c r="B1407" s="2150" t="s">
        <v>1890</v>
      </c>
      <c r="C1407" s="1463"/>
      <c r="D1407" s="1468"/>
      <c r="E1407" s="1468"/>
      <c r="F1407" s="1468"/>
      <c r="G1407" s="1468"/>
      <c r="H1407" s="1468"/>
      <c r="I1407" s="1468"/>
      <c r="J1407" s="1463"/>
      <c r="K1407" s="1454"/>
      <c r="L1407" s="2148" t="str">
        <f t="shared" ref="L1407:L1408" si="453">IF(OR($O1407=$M1407,$O1407=0,$O1407=""),"","* * Check Score! * *")</f>
        <v/>
      </c>
      <c r="M1407" s="1454">
        <v>2</v>
      </c>
      <c r="N1407" s="2157"/>
      <c r="O1407" s="2567">
        <f>'Part VIII Scoring Criteria'!AA191</f>
        <v>0</v>
      </c>
      <c r="P1407" s="1462"/>
      <c r="Q1407" s="1463"/>
      <c r="R1407" s="1445"/>
      <c r="S1407" s="1445"/>
      <c r="T1407" s="1445"/>
      <c r="U1407" s="1445"/>
      <c r="V1407" s="1463"/>
      <c r="W1407" s="1463"/>
      <c r="X1407" s="1463"/>
      <c r="Y1407" s="1463"/>
      <c r="Z1407" s="1463"/>
      <c r="AA1407" s="1463"/>
      <c r="AB1407" s="1463"/>
      <c r="AC1407" s="1463"/>
      <c r="AD1407" s="1463"/>
      <c r="AE1407" s="1463"/>
      <c r="AF1407" s="1463"/>
    </row>
    <row r="1408" spans="1:32" ht="13.8">
      <c r="A1408" s="2567"/>
      <c r="B1408" s="1463" t="s">
        <v>7631</v>
      </c>
      <c r="C1408" s="1463"/>
      <c r="D1408" s="2136"/>
      <c r="E1408" s="2136"/>
      <c r="F1408" s="2136"/>
      <c r="G1408" s="2136"/>
      <c r="H1408" s="2136"/>
      <c r="I1408" s="2136"/>
      <c r="J1408" s="2136"/>
      <c r="K1408" s="2136"/>
      <c r="L1408" s="2148" t="str">
        <f t="shared" si="453"/>
        <v/>
      </c>
      <c r="M1408" s="1454">
        <v>1</v>
      </c>
      <c r="N1408" s="1733"/>
      <c r="O1408" s="2567">
        <f>'Part VIII Scoring Criteria'!AA192</f>
        <v>0</v>
      </c>
      <c r="P1408" s="1462"/>
      <c r="Q1408" s="2147" t="str">
        <f>IF(OR($O1408=$M1408,$O1408=0,$O1408=""),"","*CHECK!*")</f>
        <v/>
      </c>
      <c r="R1408" s="2150"/>
      <c r="S1408" s="1463"/>
      <c r="T1408" s="1463"/>
      <c r="U1408" s="1463"/>
      <c r="V1408" s="1463"/>
      <c r="W1408" s="1463"/>
      <c r="X1408" s="1463"/>
      <c r="Y1408" s="1463"/>
      <c r="Z1408" s="1463"/>
      <c r="AA1408" s="1463"/>
      <c r="AB1408" s="1463"/>
      <c r="AC1408" s="1463"/>
      <c r="AD1408" s="1463"/>
      <c r="AE1408" s="1463"/>
      <c r="AF1408" s="1463"/>
    </row>
    <row r="1409" spans="1:32" ht="13.8">
      <c r="A1409" s="2569"/>
      <c r="B1409" s="2150" t="s">
        <v>1892</v>
      </c>
      <c r="C1409" s="1463"/>
      <c r="D1409" s="1468"/>
      <c r="E1409" s="1468"/>
      <c r="F1409" s="1468"/>
      <c r="G1409" s="1468"/>
      <c r="H1409" s="1468"/>
      <c r="I1409" s="1468"/>
      <c r="J1409" s="1463"/>
      <c r="K1409" s="1454"/>
      <c r="L1409" s="2180" t="s">
        <v>1743</v>
      </c>
      <c r="M1409" s="1454">
        <v>3</v>
      </c>
      <c r="N1409" s="1463"/>
      <c r="O1409" s="2196">
        <f>'Part VIII Scoring Criteria'!AA193</f>
        <v>0</v>
      </c>
      <c r="P1409" s="2196">
        <f>'Part VIII Scoring Criteria'!AB193</f>
        <v>0</v>
      </c>
      <c r="Q1409" s="1463"/>
      <c r="R1409" s="1445"/>
      <c r="S1409" s="1445"/>
      <c r="T1409" s="1445"/>
      <c r="U1409" s="1445"/>
      <c r="V1409" s="1463"/>
      <c r="W1409" s="1463"/>
      <c r="X1409" s="1463"/>
      <c r="Y1409" s="1463"/>
      <c r="Z1409" s="1463"/>
      <c r="AA1409" s="1463"/>
      <c r="AB1409" s="1463"/>
      <c r="AC1409" s="1463"/>
      <c r="AD1409" s="1463"/>
      <c r="AE1409" s="1463"/>
      <c r="AF1409" s="1463"/>
    </row>
    <row r="1410" spans="1:32" ht="13.8">
      <c r="A1410" s="1454"/>
      <c r="B1410" s="2152"/>
      <c r="C1410" s="1469" t="s">
        <v>1893</v>
      </c>
      <c r="D1410" s="1469"/>
      <c r="E1410" s="1469"/>
      <c r="F1410" s="1469"/>
      <c r="G1410" s="1469"/>
      <c r="H1410" s="1469"/>
      <c r="I1410" s="1469"/>
      <c r="J1410" s="1469"/>
      <c r="K1410" s="1469"/>
      <c r="L1410" s="1469"/>
      <c r="M1410" s="1454">
        <v>3</v>
      </c>
      <c r="N1410" s="1467"/>
      <c r="O1410" s="2196">
        <f>'Part VIII Scoring Criteria'!AA194</f>
        <v>0</v>
      </c>
      <c r="P1410" s="2196">
        <f>'Part VIII Scoring Criteria'!AB194</f>
        <v>0</v>
      </c>
      <c r="Q1410" s="1463"/>
      <c r="R1410" s="1463"/>
      <c r="S1410" s="1463"/>
      <c r="T1410" s="1463"/>
      <c r="U1410" s="1463"/>
      <c r="V1410" s="1463"/>
      <c r="W1410" s="1463"/>
      <c r="X1410" s="1463"/>
      <c r="Y1410" s="1463"/>
      <c r="Z1410" s="1463"/>
      <c r="AA1410" s="1463"/>
      <c r="AB1410" s="1463"/>
      <c r="AC1410" s="1463"/>
      <c r="AD1410" s="1463"/>
      <c r="AE1410" s="1463"/>
      <c r="AF1410" s="1463"/>
    </row>
    <row r="1411" spans="1:32" ht="13.8">
      <c r="A1411" s="2567"/>
      <c r="B1411" s="1463"/>
      <c r="C1411" s="2146"/>
      <c r="D1411" s="1468" t="s">
        <v>1894</v>
      </c>
      <c r="E1411" s="1468"/>
      <c r="F1411" s="1468"/>
      <c r="G1411" s="1468"/>
      <c r="H1411" s="1468"/>
      <c r="I1411" s="1468"/>
      <c r="J1411" s="1468"/>
      <c r="K1411" s="1468"/>
      <c r="L1411" s="1468"/>
      <c r="M1411" s="1467"/>
      <c r="N1411" s="2157"/>
      <c r="O1411" s="2567">
        <f>'Part VIII Scoring Criteria'!AA195</f>
        <v>0</v>
      </c>
      <c r="P1411" s="1462"/>
      <c r="Q1411" s="2147"/>
      <c r="R1411" s="2150"/>
      <c r="S1411" s="1463"/>
      <c r="T1411" s="1463"/>
      <c r="U1411" s="1463"/>
      <c r="V1411" s="1463"/>
      <c r="W1411" s="1463"/>
      <c r="X1411" s="1463"/>
      <c r="Y1411" s="1463"/>
      <c r="Z1411" s="1463"/>
      <c r="AA1411" s="1463"/>
      <c r="AB1411" s="1463"/>
      <c r="AC1411" s="1463"/>
      <c r="AD1411" s="1463"/>
      <c r="AE1411" s="1463"/>
      <c r="AF1411" s="1463"/>
    </row>
    <row r="1412" spans="1:32" ht="13.8">
      <c r="A1412" s="2567"/>
      <c r="B1412" s="1463"/>
      <c r="C1412" s="2146"/>
      <c r="D1412" s="1468" t="s">
        <v>1895</v>
      </c>
      <c r="E1412" s="1468"/>
      <c r="F1412" s="1468"/>
      <c r="G1412" s="1468"/>
      <c r="H1412" s="1468"/>
      <c r="I1412" s="1468"/>
      <c r="J1412" s="1468"/>
      <c r="K1412" s="1468"/>
      <c r="L1412" s="1468"/>
      <c r="M1412" s="1467"/>
      <c r="N1412" s="2157"/>
      <c r="O1412" s="2567">
        <f>'Part VIII Scoring Criteria'!AA196</f>
        <v>0</v>
      </c>
      <c r="P1412" s="2199"/>
      <c r="Q1412" s="2147"/>
      <c r="R1412" s="2150"/>
      <c r="S1412" s="1463"/>
      <c r="T1412" s="1463"/>
      <c r="U1412" s="1463"/>
      <c r="V1412" s="1463"/>
      <c r="W1412" s="1463"/>
      <c r="X1412" s="1463"/>
      <c r="Y1412" s="1463"/>
      <c r="Z1412" s="1463"/>
      <c r="AA1412" s="1463"/>
      <c r="AB1412" s="1463"/>
      <c r="AC1412" s="1463"/>
      <c r="AD1412" s="1463"/>
      <c r="AE1412" s="1463"/>
      <c r="AF1412" s="1463"/>
    </row>
    <row r="1413" spans="1:32" ht="13.8">
      <c r="A1413" s="2567"/>
      <c r="B1413" s="2152"/>
      <c r="C1413" s="2146"/>
      <c r="D1413" s="1468" t="s">
        <v>1896</v>
      </c>
      <c r="E1413" s="1468"/>
      <c r="F1413" s="1468"/>
      <c r="G1413" s="1468"/>
      <c r="H1413" s="1468"/>
      <c r="I1413" s="1468"/>
      <c r="J1413" s="1468"/>
      <c r="K1413" s="1468"/>
      <c r="L1413" s="1468"/>
      <c r="M1413" s="1467"/>
      <c r="N1413" s="2157"/>
      <c r="O1413" s="2567">
        <f>'Part VIII Scoring Criteria'!AA197</f>
        <v>0</v>
      </c>
      <c r="P1413" s="2199"/>
      <c r="Q1413" s="2147"/>
      <c r="R1413" s="2150"/>
      <c r="S1413" s="1463"/>
      <c r="T1413" s="1463"/>
      <c r="U1413" s="1463"/>
      <c r="V1413" s="1463"/>
      <c r="W1413" s="1463"/>
      <c r="X1413" s="1463"/>
      <c r="Y1413" s="1463"/>
      <c r="Z1413" s="1463"/>
      <c r="AA1413" s="1463"/>
      <c r="AB1413" s="1463"/>
      <c r="AC1413" s="1463"/>
      <c r="AD1413" s="1463"/>
      <c r="AE1413" s="1463"/>
      <c r="AF1413" s="1463"/>
    </row>
    <row r="1414" spans="1:32" ht="13.8">
      <c r="A1414" s="1454"/>
      <c r="B1414" s="1463"/>
      <c r="C1414" s="1469" t="s">
        <v>1897</v>
      </c>
      <c r="D1414" s="1463"/>
      <c r="E1414" s="1469"/>
      <c r="F1414" s="1469"/>
      <c r="G1414" s="1469"/>
      <c r="H1414" s="1469"/>
      <c r="I1414" s="1469"/>
      <c r="J1414" s="1469"/>
      <c r="K1414" s="1469"/>
      <c r="L1414" s="2148" t="str">
        <f t="shared" ref="L1414:L1415" si="454">IF(OR($O1414=$M1414,$O1414=0,$O1414=""),"","* * Check Score! * *")</f>
        <v/>
      </c>
      <c r="M1414" s="1454">
        <v>1</v>
      </c>
      <c r="N1414" s="1467"/>
      <c r="O1414" s="2567">
        <f>'Part VIII Scoring Criteria'!AA198</f>
        <v>0</v>
      </c>
      <c r="P1414" s="1462"/>
      <c r="Q1414" s="1463"/>
      <c r="R1414" s="1463"/>
      <c r="S1414" s="1463"/>
      <c r="T1414" s="1463"/>
      <c r="U1414" s="1463"/>
      <c r="V1414" s="1463"/>
      <c r="W1414" s="1463"/>
      <c r="X1414" s="1463"/>
      <c r="Y1414" s="1463"/>
      <c r="Z1414" s="1463"/>
      <c r="AA1414" s="1463"/>
      <c r="AB1414" s="1463"/>
      <c r="AC1414" s="1463"/>
      <c r="AD1414" s="1463"/>
      <c r="AE1414" s="1463"/>
      <c r="AF1414" s="1463"/>
    </row>
    <row r="1415" spans="1:32" ht="13.8">
      <c r="A1415" s="1454"/>
      <c r="B1415" s="1463"/>
      <c r="C1415" s="1469" t="s">
        <v>7632</v>
      </c>
      <c r="D1415" s="1463"/>
      <c r="E1415" s="1469"/>
      <c r="F1415" s="1469"/>
      <c r="G1415" s="1469"/>
      <c r="H1415" s="1469"/>
      <c r="I1415" s="1469"/>
      <c r="J1415" s="1469"/>
      <c r="K1415" s="1469"/>
      <c r="L1415" s="2148" t="e">
        <f t="shared" si="454"/>
        <v>#REF!</v>
      </c>
      <c r="M1415" s="1454">
        <v>2</v>
      </c>
      <c r="N1415" s="1467"/>
      <c r="O1415" s="2567" t="e">
        <f>'Part VIII Scoring Criteria'!#REF!</f>
        <v>#REF!</v>
      </c>
      <c r="P1415" s="1462"/>
      <c r="Q1415" s="1463"/>
      <c r="R1415" s="1463"/>
      <c r="S1415" s="1463"/>
      <c r="T1415" s="1463"/>
      <c r="U1415" s="1463"/>
      <c r="V1415" s="1463"/>
      <c r="W1415" s="1463"/>
      <c r="X1415" s="1463"/>
      <c r="Y1415" s="1463"/>
      <c r="Z1415" s="1463"/>
      <c r="AA1415" s="1463"/>
      <c r="AB1415" s="1463"/>
      <c r="AC1415" s="1463"/>
      <c r="AD1415" s="1463"/>
      <c r="AE1415" s="1463"/>
      <c r="AF1415" s="1463"/>
    </row>
    <row r="1416" spans="1:32" ht="13.8">
      <c r="A1416" s="2567" t="s">
        <v>198</v>
      </c>
      <c r="B1416" s="1445" t="s">
        <v>1898</v>
      </c>
      <c r="C1416" s="1469"/>
      <c r="D1416" s="1469"/>
      <c r="E1416" s="1469"/>
      <c r="F1416" s="1469"/>
      <c r="G1416" s="1469"/>
      <c r="H1416" s="1469"/>
      <c r="I1416" s="1469"/>
      <c r="J1416" s="1469"/>
      <c r="K1416" s="1469"/>
      <c r="L1416" s="2180" t="s">
        <v>1743</v>
      </c>
      <c r="M1416" s="2567">
        <v>3</v>
      </c>
      <c r="N1416" s="1467"/>
      <c r="O1416" s="1462">
        <f>'Part VIII Scoring Criteria'!AA199</f>
        <v>0</v>
      </c>
      <c r="P1416" s="1462">
        <f>'Part VIII Scoring Criteria'!AB199</f>
        <v>0</v>
      </c>
      <c r="Q1416" s="2567"/>
      <c r="R1416" s="2150"/>
      <c r="S1416" s="1463"/>
      <c r="T1416" s="1463"/>
      <c r="U1416" s="1463"/>
      <c r="V1416" s="1463"/>
      <c r="W1416" s="1463"/>
      <c r="X1416" s="1463"/>
      <c r="Y1416" s="1463"/>
      <c r="Z1416" s="1463"/>
      <c r="AA1416" s="1463"/>
      <c r="AB1416" s="1463"/>
      <c r="AC1416" s="1463"/>
      <c r="AD1416" s="1463"/>
      <c r="AE1416" s="1463"/>
      <c r="AF1416" s="1463"/>
    </row>
    <row r="1417" spans="1:32" ht="13.8">
      <c r="A1417" s="2567"/>
      <c r="B1417" s="1446" t="s">
        <v>1899</v>
      </c>
      <c r="C1417" s="1469"/>
      <c r="D1417" s="1469"/>
      <c r="E1417" s="1469"/>
      <c r="F1417" s="1469"/>
      <c r="G1417" s="1469"/>
      <c r="H1417" s="1469"/>
      <c r="I1417" s="1469"/>
      <c r="J1417" s="1469"/>
      <c r="K1417" s="1469"/>
      <c r="L1417" s="2180"/>
      <c r="M1417" s="2567"/>
      <c r="N1417" s="1467"/>
      <c r="O1417" s="2567">
        <f>'Part VIII Scoring Criteria'!AA200</f>
        <v>0</v>
      </c>
      <c r="P1417" s="2199"/>
      <c r="Q1417" s="2567"/>
      <c r="R1417" s="2150"/>
      <c r="S1417" s="1463"/>
      <c r="T1417" s="1463"/>
      <c r="U1417" s="1463"/>
      <c r="V1417" s="1463"/>
      <c r="W1417" s="1463"/>
      <c r="X1417" s="1463"/>
      <c r="Y1417" s="1463"/>
      <c r="Z1417" s="1463"/>
      <c r="AA1417" s="1463"/>
      <c r="AB1417" s="1463"/>
      <c r="AC1417" s="1463"/>
      <c r="AD1417" s="1463"/>
      <c r="AE1417" s="1463"/>
      <c r="AF1417" s="1463"/>
    </row>
    <row r="1418" spans="1:32" ht="13.8">
      <c r="A1418" s="1730"/>
      <c r="B1418" s="2233" t="s">
        <v>201</v>
      </c>
      <c r="C1418" s="1469" t="s">
        <v>1900</v>
      </c>
      <c r="D1418" s="1469"/>
      <c r="E1418" s="1469"/>
      <c r="F1418" s="1469"/>
      <c r="G1418" s="1469"/>
      <c r="H1418" s="1469"/>
      <c r="I1418" s="1463"/>
      <c r="J1418" s="1463"/>
      <c r="K1418" s="1463"/>
      <c r="L1418" s="2180" t="s">
        <v>1743</v>
      </c>
      <c r="M1418" s="1454">
        <v>3</v>
      </c>
      <c r="N1418" s="1467"/>
      <c r="O1418" s="2196">
        <f>'Part VIII Scoring Criteria'!AA201</f>
        <v>0</v>
      </c>
      <c r="P1418" s="2196">
        <f>'Part VIII Scoring Criteria'!AB201</f>
        <v>0</v>
      </c>
      <c r="Q1418" s="2567"/>
      <c r="R1418" s="2150"/>
      <c r="S1418" s="1463"/>
      <c r="T1418" s="1463"/>
      <c r="U1418" s="1463"/>
      <c r="V1418" s="1463"/>
      <c r="W1418" s="1463"/>
      <c r="X1418" s="1463"/>
      <c r="Y1418" s="1463"/>
      <c r="Z1418" s="1463"/>
      <c r="AA1418" s="1463"/>
      <c r="AB1418" s="1463"/>
      <c r="AC1418" s="1463"/>
      <c r="AD1418" s="1463"/>
      <c r="AE1418" s="1463"/>
      <c r="AF1418" s="1463"/>
    </row>
    <row r="1419" spans="1:32" ht="13.8">
      <c r="A1419" s="1463"/>
      <c r="B1419" s="2152" t="s">
        <v>203</v>
      </c>
      <c r="C1419" s="1463" t="s">
        <v>1901</v>
      </c>
      <c r="D1419" s="1463"/>
      <c r="E1419" s="1463"/>
      <c r="F1419" s="1463"/>
      <c r="G1419" s="1463"/>
      <c r="H1419" s="1463"/>
      <c r="I1419" s="1463"/>
      <c r="J1419" s="1463"/>
      <c r="K1419" s="1463"/>
      <c r="L1419" s="2148" t="str">
        <f>IF(OR($O1419=$M1419,$O1419=0,$O1419=""),"","* * Check Score! * *")</f>
        <v/>
      </c>
      <c r="M1419" s="2568">
        <v>1</v>
      </c>
      <c r="N1419" s="2568"/>
      <c r="O1419" s="2567">
        <f>'Part VIII Scoring Criteria'!AA202</f>
        <v>0</v>
      </c>
      <c r="P1419" s="1462"/>
      <c r="Q1419" s="1463"/>
      <c r="R1419" s="1463"/>
      <c r="S1419" s="1463"/>
      <c r="T1419" s="1463"/>
      <c r="U1419" s="1463"/>
      <c r="V1419" s="1463"/>
      <c r="W1419" s="1463"/>
      <c r="X1419" s="1463"/>
      <c r="Y1419" s="1463"/>
      <c r="Z1419" s="1463"/>
      <c r="AA1419" s="1463"/>
      <c r="AB1419" s="1463"/>
      <c r="AC1419" s="1463"/>
      <c r="AD1419" s="1463"/>
      <c r="AE1419" s="1463"/>
      <c r="AF1419" s="1463"/>
    </row>
    <row r="1420" spans="1:32" ht="13.8">
      <c r="A1420" s="1463"/>
      <c r="B1420" s="2152" t="s">
        <v>206</v>
      </c>
      <c r="C1420" s="1463" t="s">
        <v>1902</v>
      </c>
      <c r="D1420" s="1463"/>
      <c r="E1420" s="1463"/>
      <c r="F1420" s="1463"/>
      <c r="G1420" s="1463"/>
      <c r="H1420" s="1463"/>
      <c r="I1420" s="1463"/>
      <c r="J1420" s="1463"/>
      <c r="K1420" s="1463"/>
      <c r="L1420" s="2148" t="str">
        <f t="shared" ref="L1420" si="455">IF(OR($O1420=$M1420,$O1420=0,$O1420=""),"","* * Check Score! * *")</f>
        <v/>
      </c>
      <c r="M1420" s="2568">
        <v>1</v>
      </c>
      <c r="N1420" s="2568"/>
      <c r="O1420" s="2567">
        <f>'Part VIII Scoring Criteria'!AA203</f>
        <v>0</v>
      </c>
      <c r="P1420" s="1462"/>
      <c r="Q1420" s="1463"/>
      <c r="R1420" s="1463"/>
      <c r="S1420" s="1463"/>
      <c r="T1420" s="1463"/>
      <c r="U1420" s="1463"/>
      <c r="V1420" s="1463"/>
      <c r="W1420" s="1463"/>
      <c r="X1420" s="1463"/>
      <c r="Y1420" s="1463"/>
      <c r="Z1420" s="1463"/>
      <c r="AA1420" s="1463"/>
      <c r="AB1420" s="1463"/>
      <c r="AC1420" s="1463"/>
      <c r="AD1420" s="1463"/>
      <c r="AE1420" s="1463"/>
      <c r="AF1420" s="1463"/>
    </row>
    <row r="1421" spans="1:32" ht="13.8">
      <c r="A1421" s="1463"/>
      <c r="B1421" s="2152" t="s">
        <v>208</v>
      </c>
      <c r="C1421" s="1463" t="s">
        <v>7633</v>
      </c>
      <c r="D1421" s="1463"/>
      <c r="E1421" s="1463"/>
      <c r="F1421" s="1463"/>
      <c r="G1421" s="1463"/>
      <c r="H1421" s="1463"/>
      <c r="I1421" s="1463"/>
      <c r="J1421" s="1463"/>
      <c r="K1421" s="1463"/>
      <c r="L1421" s="2148"/>
      <c r="M1421" s="2568">
        <v>1</v>
      </c>
      <c r="N1421" s="2568"/>
      <c r="O1421" s="2567">
        <f>'Part VIII Scoring Criteria'!AA204</f>
        <v>0</v>
      </c>
      <c r="P1421" s="1462"/>
      <c r="Q1421" s="1463"/>
      <c r="R1421" s="1463"/>
      <c r="S1421" s="1463"/>
      <c r="T1421" s="1463"/>
      <c r="U1421" s="1463"/>
      <c r="V1421" s="1463"/>
      <c r="W1421" s="1463"/>
      <c r="X1421" s="1463"/>
      <c r="Y1421" s="1463"/>
      <c r="Z1421" s="1463"/>
      <c r="AA1421" s="1463"/>
      <c r="AB1421" s="1463"/>
      <c r="AC1421" s="1463"/>
      <c r="AD1421" s="1463"/>
      <c r="AE1421" s="1463"/>
      <c r="AF1421" s="1463"/>
    </row>
    <row r="1422" spans="1:32" ht="13.8">
      <c r="A1422" s="1730"/>
      <c r="B1422" s="2151" t="s">
        <v>209</v>
      </c>
      <c r="C1422" s="1446" t="s">
        <v>1904</v>
      </c>
      <c r="D1422" s="2180"/>
      <c r="E1422" s="1469"/>
      <c r="F1422" s="1469"/>
      <c r="G1422" s="1469"/>
      <c r="H1422" s="1469"/>
      <c r="I1422" s="1463"/>
      <c r="J1422" s="1463"/>
      <c r="K1422" s="1463"/>
      <c r="L1422" s="1463"/>
      <c r="M1422" s="1454">
        <v>2</v>
      </c>
      <c r="N1422" s="2234" t="str">
        <f>IF(OR(O$265&gt;0,O$238&gt;0),"Applicant is ineligible for points in this section!  Points claimed in Stable Communities or Community Designations.","")</f>
        <v/>
      </c>
      <c r="O1422" s="2567">
        <f>'Part VIII Scoring Criteria'!AA205</f>
        <v>0</v>
      </c>
      <c r="P1422" s="1462"/>
      <c r="Q1422" s="2567"/>
      <c r="R1422" s="1445"/>
      <c r="S1422" s="1445"/>
      <c r="T1422" s="1445"/>
      <c r="U1422" s="1445"/>
      <c r="V1422" s="1463"/>
      <c r="W1422" s="1463"/>
      <c r="X1422" s="1463"/>
      <c r="Y1422" s="1463"/>
      <c r="Z1422" s="1463"/>
      <c r="AA1422" s="1463"/>
      <c r="AB1422" s="1463"/>
      <c r="AC1422" s="1463"/>
      <c r="AD1422" s="1463"/>
      <c r="AE1422" s="1463"/>
      <c r="AF1422" s="1463"/>
    </row>
    <row r="1423" spans="1:32" ht="13.8">
      <c r="A1423" s="2567" t="s">
        <v>219</v>
      </c>
      <c r="B1423" s="1445" t="s">
        <v>1905</v>
      </c>
      <c r="C1423" s="1463"/>
      <c r="D1423" s="1446"/>
      <c r="E1423" s="1463"/>
      <c r="F1423" s="2235"/>
      <c r="G1423" s="1463"/>
      <c r="H1423" s="1463"/>
      <c r="I1423" s="1463"/>
      <c r="J1423" s="1463"/>
      <c r="K1423" s="1737"/>
      <c r="L1423" s="2180" t="s">
        <v>1743</v>
      </c>
      <c r="M1423" s="2567">
        <v>3</v>
      </c>
      <c r="N1423" s="1733"/>
      <c r="O1423" s="2141">
        <f>'Part VIII Scoring Criteria'!AA206</f>
        <v>0</v>
      </c>
      <c r="P1423" s="2141">
        <f>'Part VIII Scoring Criteria'!AB206</f>
        <v>0</v>
      </c>
      <c r="Q1423" s="2149"/>
      <c r="R1423" s="2150"/>
      <c r="S1423" s="1463"/>
      <c r="T1423" s="1463"/>
      <c r="U1423" s="1463"/>
      <c r="V1423" s="1463"/>
      <c r="W1423" s="1463"/>
      <c r="X1423" s="1463"/>
      <c r="Y1423" s="1463"/>
      <c r="Z1423" s="1463"/>
      <c r="AA1423" s="1463"/>
      <c r="AB1423" s="1463"/>
      <c r="AC1423" s="1463"/>
      <c r="AD1423" s="1463"/>
      <c r="AE1423" s="1463"/>
      <c r="AF1423" s="1463"/>
    </row>
    <row r="1424" spans="1:32" ht="13.8">
      <c r="A1424" s="1446"/>
      <c r="B1424" s="2233" t="s">
        <v>201</v>
      </c>
      <c r="C1424" s="1469" t="s">
        <v>1906</v>
      </c>
      <c r="D1424" s="1469"/>
      <c r="E1424" s="1469"/>
      <c r="F1424" s="1469"/>
      <c r="G1424" s="1469"/>
      <c r="H1424" s="1469"/>
      <c r="I1424" s="1469"/>
      <c r="J1424" s="1469"/>
      <c r="K1424" s="1469"/>
      <c r="L1424" s="2180" t="s">
        <v>1743</v>
      </c>
      <c r="M1424" s="1467">
        <v>2</v>
      </c>
      <c r="N1424" s="1467"/>
      <c r="O1424" s="2213">
        <f>'Part VIII Scoring Criteria'!AA207</f>
        <v>0</v>
      </c>
      <c r="P1424" s="2213"/>
      <c r="Q1424" s="1463"/>
      <c r="R1424" s="1463"/>
      <c r="S1424" s="1463"/>
      <c r="T1424" s="1463"/>
      <c r="U1424" s="1463"/>
      <c r="V1424" s="1463"/>
      <c r="W1424" s="1463"/>
      <c r="X1424" s="1463"/>
      <c r="Y1424" s="1463"/>
      <c r="Z1424" s="1463"/>
      <c r="AA1424" s="1463"/>
      <c r="AB1424" s="1463"/>
      <c r="AC1424" s="1463"/>
      <c r="AD1424" s="1463"/>
      <c r="AE1424" s="1463"/>
      <c r="AF1424" s="1463"/>
    </row>
    <row r="1425" spans="1:32" ht="13.8">
      <c r="A1425" s="1446"/>
      <c r="B1425" s="2151" t="s">
        <v>209</v>
      </c>
      <c r="C1425" s="1469" t="s">
        <v>1907</v>
      </c>
      <c r="D1425" s="1469"/>
      <c r="E1425" s="1469"/>
      <c r="F1425" s="1469"/>
      <c r="G1425" s="1469"/>
      <c r="H1425" s="1469"/>
      <c r="I1425" s="1469"/>
      <c r="J1425" s="1469"/>
      <c r="K1425" s="1469"/>
      <c r="L1425" s="1469"/>
      <c r="M1425" s="1467">
        <v>1</v>
      </c>
      <c r="N1425" s="1467"/>
      <c r="O1425" s="2213">
        <f>'Part VIII Scoring Criteria'!AA208</f>
        <v>0</v>
      </c>
      <c r="P1425" s="2213"/>
      <c r="Q1425" s="1463"/>
      <c r="R1425" s="1463"/>
      <c r="S1425" s="1463"/>
      <c r="T1425" s="1463"/>
      <c r="U1425" s="1463"/>
      <c r="V1425" s="1463"/>
      <c r="W1425" s="1463"/>
      <c r="X1425" s="1463"/>
      <c r="Y1425" s="1463"/>
      <c r="Z1425" s="1463"/>
      <c r="AA1425" s="1463"/>
      <c r="AB1425" s="1463"/>
      <c r="AC1425" s="1463"/>
      <c r="AD1425" s="1463"/>
      <c r="AE1425" s="1463"/>
      <c r="AF1425" s="1463"/>
    </row>
    <row r="1426" spans="1:32" ht="14.4">
      <c r="A1426" s="1446"/>
      <c r="B1426" s="2142" t="s">
        <v>7607</v>
      </c>
      <c r="C1426" s="1446"/>
      <c r="D1426" s="1446"/>
      <c r="E1426" s="1446"/>
      <c r="F1426" s="1446"/>
      <c r="G1426" s="1446"/>
      <c r="H1426" s="1446"/>
      <c r="I1426" s="1446"/>
      <c r="J1426" s="1446"/>
      <c r="K1426" s="1446"/>
      <c r="L1426" s="1463"/>
      <c r="M1426" s="1454"/>
      <c r="N1426" s="2568"/>
      <c r="O1426" s="1462"/>
      <c r="P1426" s="2569"/>
      <c r="Q1426" s="1446"/>
      <c r="R1426" s="1446"/>
      <c r="S1426" s="1446"/>
      <c r="T1426" s="1446"/>
      <c r="U1426" s="1446"/>
      <c r="V1426" s="1446"/>
      <c r="W1426" s="1446"/>
      <c r="X1426" s="1446"/>
      <c r="Y1426" s="1446"/>
      <c r="Z1426" s="1446"/>
      <c r="AA1426" s="1446"/>
      <c r="AB1426" s="1446"/>
      <c r="AC1426" s="1446"/>
      <c r="AD1426" s="1446"/>
      <c r="AE1426" s="1446"/>
      <c r="AF1426" s="1446"/>
    </row>
    <row r="1427" spans="1:32" ht="13.8">
      <c r="A1427" s="1469" t="str">
        <f>'Part VIII Scoring Criteria'!A210</f>
        <v>The applicant is not claiming points under this section, therefore it has been intentionally left blank.</v>
      </c>
      <c r="B1427" s="1468"/>
      <c r="C1427" s="1468"/>
      <c r="D1427" s="1468"/>
      <c r="E1427" s="1468"/>
      <c r="F1427" s="1468"/>
      <c r="G1427" s="1468"/>
      <c r="H1427" s="1468"/>
      <c r="I1427" s="1468"/>
      <c r="J1427" s="1468"/>
      <c r="K1427" s="1468"/>
      <c r="L1427" s="1468"/>
      <c r="M1427" s="1468"/>
      <c r="N1427" s="1468"/>
      <c r="O1427" s="1468"/>
      <c r="P1427" s="1468"/>
      <c r="Q1427" s="1445"/>
      <c r="R1427" s="1463"/>
      <c r="S1427" s="1463"/>
      <c r="T1427" s="1463"/>
      <c r="U1427" s="1463"/>
      <c r="V1427" s="1463"/>
      <c r="W1427" s="1463"/>
      <c r="X1427" s="1463"/>
      <c r="Y1427" s="1463"/>
      <c r="Z1427" s="1463"/>
      <c r="AA1427" s="1463"/>
      <c r="AB1427" s="1463"/>
      <c r="AC1427" s="1463"/>
      <c r="AD1427" s="1463"/>
      <c r="AE1427" s="1463"/>
      <c r="AF1427" s="1463"/>
    </row>
    <row r="1428" spans="1:32" ht="14.4">
      <c r="A1428" s="1446"/>
      <c r="B1428" s="2142" t="s">
        <v>1453</v>
      </c>
      <c r="C1428" s="1446"/>
      <c r="D1428" s="2142"/>
      <c r="E1428" s="1446"/>
      <c r="F1428" s="1446"/>
      <c r="G1428" s="1446"/>
      <c r="H1428" s="1446"/>
      <c r="I1428" s="1446"/>
      <c r="J1428" s="1446"/>
      <c r="K1428" s="1446"/>
      <c r="L1428" s="1446"/>
      <c r="M1428" s="1446"/>
      <c r="N1428" s="1446"/>
      <c r="O1428" s="1445"/>
      <c r="P1428" s="1445"/>
      <c r="Q1428" s="1463"/>
      <c r="R1428" s="1446"/>
      <c r="S1428" s="1446"/>
      <c r="T1428" s="1446"/>
      <c r="U1428" s="1446"/>
      <c r="V1428" s="1446"/>
      <c r="W1428" s="1446"/>
      <c r="X1428" s="1446"/>
      <c r="Y1428" s="1446"/>
      <c r="Z1428" s="1446"/>
      <c r="AA1428" s="1446"/>
      <c r="AB1428" s="1446"/>
      <c r="AC1428" s="1446"/>
      <c r="AD1428" s="1446"/>
      <c r="AE1428" s="1446"/>
      <c r="AF1428" s="1446"/>
    </row>
    <row r="1429" spans="1:32" ht="13.8">
      <c r="A1429" s="1468"/>
      <c r="B1429" s="1468"/>
      <c r="C1429" s="1468"/>
      <c r="D1429" s="1468"/>
      <c r="E1429" s="1468"/>
      <c r="F1429" s="1468"/>
      <c r="G1429" s="1468"/>
      <c r="H1429" s="1468"/>
      <c r="I1429" s="1468"/>
      <c r="J1429" s="1468"/>
      <c r="K1429" s="1468"/>
      <c r="L1429" s="1468"/>
      <c r="M1429" s="1468"/>
      <c r="N1429" s="1468"/>
      <c r="O1429" s="1468"/>
      <c r="P1429" s="1468"/>
      <c r="Q1429" s="1445"/>
      <c r="R1429" s="1463"/>
      <c r="S1429" s="1463"/>
      <c r="T1429" s="1463"/>
      <c r="U1429" s="1463"/>
      <c r="V1429" s="1463"/>
      <c r="W1429" s="1463"/>
      <c r="X1429" s="1463"/>
      <c r="Y1429" s="1463"/>
      <c r="Z1429" s="1463"/>
      <c r="AA1429" s="1463"/>
      <c r="AB1429" s="1463"/>
      <c r="AC1429" s="1463"/>
      <c r="AD1429" s="1463"/>
      <c r="AE1429" s="1463"/>
      <c r="AF1429" s="1463"/>
    </row>
    <row r="1430" spans="1:32" ht="13.8">
      <c r="A1430" s="1463"/>
      <c r="B1430" s="1463"/>
      <c r="C1430" s="1463"/>
      <c r="D1430" s="1463"/>
      <c r="E1430" s="1463"/>
      <c r="F1430" s="1463"/>
      <c r="G1430" s="1463"/>
      <c r="H1430" s="1463"/>
      <c r="I1430" s="1463"/>
      <c r="J1430" s="1463"/>
      <c r="K1430" s="1463"/>
      <c r="L1430" s="1463"/>
      <c r="M1430" s="1463"/>
      <c r="N1430" s="1463"/>
      <c r="O1430" s="1470"/>
      <c r="P1430" s="1470"/>
      <c r="Q1430" s="1463"/>
      <c r="R1430" s="1463"/>
      <c r="S1430" s="1463"/>
      <c r="T1430" s="1463"/>
      <c r="U1430" s="1463"/>
      <c r="V1430" s="1463"/>
      <c r="W1430" s="1463"/>
      <c r="X1430" s="1463"/>
      <c r="Y1430" s="1463"/>
      <c r="Z1430" s="1463"/>
      <c r="AA1430" s="1463"/>
      <c r="AB1430" s="1463"/>
      <c r="AC1430" s="1463"/>
      <c r="AD1430" s="1463"/>
      <c r="AE1430" s="1463"/>
      <c r="AF1430" s="1463"/>
    </row>
    <row r="1431" spans="1:32" ht="13.8">
      <c r="A1431" s="1463"/>
      <c r="B1431" s="1463"/>
      <c r="C1431" s="1463"/>
      <c r="D1431" s="1463"/>
      <c r="E1431" s="1463"/>
      <c r="F1431" s="1463"/>
      <c r="G1431" s="1463"/>
      <c r="H1431" s="1463"/>
      <c r="I1431" s="1463"/>
      <c r="J1431" s="1463"/>
      <c r="K1431" s="1463"/>
      <c r="L1431" s="1463"/>
      <c r="M1431" s="1463"/>
      <c r="N1431" s="2568"/>
      <c r="O1431" s="2569"/>
      <c r="P1431" s="2569"/>
      <c r="Q1431" s="1463"/>
      <c r="R1431" s="1463"/>
      <c r="S1431" s="1463"/>
      <c r="T1431" s="1463"/>
      <c r="U1431" s="1463"/>
      <c r="V1431" s="1463"/>
      <c r="W1431" s="1463"/>
      <c r="X1431" s="1463"/>
      <c r="Y1431" s="1463"/>
      <c r="Z1431" s="1463"/>
      <c r="AA1431" s="1463"/>
      <c r="AB1431" s="1463"/>
      <c r="AC1431" s="1463"/>
      <c r="AD1431" s="1463"/>
      <c r="AE1431" s="1463"/>
      <c r="AF1431" s="1463"/>
    </row>
    <row r="1432" spans="1:32" ht="13.8">
      <c r="A1432" s="1730" t="s">
        <v>1520</v>
      </c>
      <c r="B1432" s="1731" t="s">
        <v>1908</v>
      </c>
      <c r="C1432" s="1446"/>
      <c r="D1432" s="1731"/>
      <c r="E1432" s="1731"/>
      <c r="F1432" s="1465" t="s">
        <v>47</v>
      </c>
      <c r="G1432" s="1465" t="str">
        <f>'Part I-Project Identification'!$P$27</f>
        <v>No</v>
      </c>
      <c r="H1432" s="1446"/>
      <c r="I1432" s="1446"/>
      <c r="J1432" s="1446"/>
      <c r="K1432" s="1737" t="str">
        <f>IF(OR($O$206&gt;0,$O$265&gt;0,$O$304&gt;0),"Points already claimed in another restricted section!","")</f>
        <v/>
      </c>
      <c r="L1432" s="2148" t="str">
        <f>IF(OR($O1432=$M1432,$O1432=0,$O1432=""),"",IF(OR($O1432&lt;$J$251,$O1432&gt;$J$251),"* * Check Score! * *",""))</f>
        <v/>
      </c>
      <c r="M1432" s="2567">
        <v>10</v>
      </c>
      <c r="N1432" s="1454"/>
      <c r="O1432" s="1462">
        <f>'Part VIII Scoring Criteria'!AA215</f>
        <v>0</v>
      </c>
      <c r="P1432" s="1462">
        <f>'Part VIII Scoring Criteria'!AB215</f>
        <v>0</v>
      </c>
      <c r="Q1432" s="2567" t="s">
        <v>1744</v>
      </c>
      <c r="R1432" s="2231" t="s">
        <v>1881</v>
      </c>
      <c r="S1432" s="1445"/>
      <c r="T1432" s="1445"/>
      <c r="U1432" s="1445"/>
      <c r="V1432" s="2227" t="str">
        <f>'Part VIII Scoring Criteria'!AH215</f>
        <v>&lt;&lt; Select Scoring Track &gt;&gt;</v>
      </c>
      <c r="W1432" s="1463"/>
      <c r="X1432" s="1463"/>
      <c r="Y1432" s="1446"/>
      <c r="Z1432" s="1446"/>
      <c r="AA1432" s="1446"/>
      <c r="AB1432" s="1446"/>
      <c r="AC1432" s="1446"/>
      <c r="AD1432" s="1446"/>
      <c r="AE1432" s="1446"/>
      <c r="AF1432" s="1446"/>
    </row>
    <row r="1433" spans="1:32" ht="13.8">
      <c r="A1433" s="1730"/>
      <c r="B1433" s="1731"/>
      <c r="C1433" s="1446"/>
      <c r="D1433" s="1731"/>
      <c r="E1433" s="1731"/>
      <c r="F1433" s="1465" t="s">
        <v>7628</v>
      </c>
      <c r="G1433" s="1446"/>
      <c r="H1433" s="1446"/>
      <c r="I1433" s="1446"/>
      <c r="J1433" s="1446"/>
      <c r="K1433" s="1446"/>
      <c r="L1433" s="1737"/>
      <c r="M1433" s="2567"/>
      <c r="N1433" s="1454"/>
      <c r="O1433" s="1462">
        <f>MAX(J1445,O1432)</f>
        <v>0</v>
      </c>
      <c r="P1433" s="1462">
        <f>MAX(K1445,P1432)</f>
        <v>0</v>
      </c>
      <c r="Q1433" s="2567"/>
      <c r="R1433" s="2150"/>
      <c r="S1433" s="1445"/>
      <c r="T1433" s="1445"/>
      <c r="U1433" s="1445"/>
      <c r="V1433" s="1463"/>
      <c r="W1433" s="1463"/>
      <c r="X1433" s="1463"/>
      <c r="Y1433" s="1446"/>
      <c r="Z1433" s="1446"/>
      <c r="AA1433" s="1446"/>
      <c r="AB1433" s="1446"/>
      <c r="AC1433" s="1446"/>
      <c r="AD1433" s="1446"/>
      <c r="AE1433" s="1446"/>
      <c r="AF1433" s="1446"/>
    </row>
    <row r="1434" spans="1:32" ht="13.8">
      <c r="A1434" s="1730"/>
      <c r="B1434" s="1445" t="s">
        <v>1909</v>
      </c>
      <c r="C1434" s="1446"/>
      <c r="D1434" s="1731"/>
      <c r="E1434" s="1446"/>
      <c r="F1434" s="1446"/>
      <c r="G1434" s="1446"/>
      <c r="H1434" s="1446"/>
      <c r="I1434" s="1446"/>
      <c r="J1434" s="2567" t="s">
        <v>1730</v>
      </c>
      <c r="K1434" s="2236" t="s">
        <v>1724</v>
      </c>
      <c r="L1434" s="1737"/>
      <c r="M1434" s="2567"/>
      <c r="N1434" s="1454"/>
      <c r="O1434" s="1462"/>
      <c r="P1434" s="1462"/>
      <c r="Q1434" s="2567"/>
      <c r="R1434" s="2150"/>
      <c r="S1434" s="1445"/>
      <c r="T1434" s="1445"/>
      <c r="U1434" s="1445"/>
      <c r="V1434" s="1463"/>
      <c r="W1434" s="1463"/>
      <c r="X1434" s="1463"/>
      <c r="Y1434" s="1446"/>
      <c r="Z1434" s="1446"/>
      <c r="AA1434" s="1446"/>
      <c r="AB1434" s="1446"/>
      <c r="AC1434" s="1446"/>
      <c r="AD1434" s="1446"/>
      <c r="AE1434" s="1446"/>
      <c r="AF1434" s="1446"/>
    </row>
    <row r="1435" spans="1:32" ht="15" customHeight="1">
      <c r="A1435" s="1730"/>
      <c r="B1435" s="2233"/>
      <c r="C1435" s="1468"/>
      <c r="D1435" s="1468"/>
      <c r="E1435" s="1468"/>
      <c r="F1435" s="1446"/>
      <c r="G1435" s="1446"/>
      <c r="H1435" s="1446"/>
      <c r="I1435" s="1468"/>
      <c r="J1435" s="1468"/>
      <c r="K1435" s="1446"/>
      <c r="L1435" s="1468"/>
      <c r="M1435" s="1468"/>
      <c r="N1435" s="1446"/>
      <c r="O1435" s="1446"/>
      <c r="P1435" s="1446"/>
      <c r="Q1435" s="2567"/>
      <c r="R1435" s="2150"/>
      <c r="S1435" s="1445"/>
      <c r="T1435" s="1445"/>
      <c r="U1435" s="1445"/>
      <c r="V1435" s="1463"/>
      <c r="W1435" s="1463"/>
      <c r="X1435" s="1463"/>
      <c r="Y1435" s="1446"/>
      <c r="Z1435" s="1446"/>
      <c r="AA1435" s="1446"/>
      <c r="AB1435" s="1446"/>
      <c r="AC1435" s="1446"/>
      <c r="AD1435" s="1446"/>
      <c r="AE1435" s="1446"/>
      <c r="AF1435" s="1446"/>
    </row>
    <row r="1436" spans="1:32" ht="13.8">
      <c r="A1436" s="1730"/>
      <c r="B1436" s="2233"/>
      <c r="C1436" s="1468"/>
      <c r="D1436" s="1468"/>
      <c r="E1436" s="1468"/>
      <c r="F1436" s="1446"/>
      <c r="G1436" s="1446"/>
      <c r="H1436" s="1468"/>
      <c r="I1436" s="1468"/>
      <c r="J1436" s="1468"/>
      <c r="K1436" s="1468"/>
      <c r="L1436" s="1468"/>
      <c r="M1436" s="1468"/>
      <c r="N1436" s="1446"/>
      <c r="O1436" s="1446"/>
      <c r="P1436" s="1446"/>
      <c r="Q1436" s="2567"/>
      <c r="R1436" s="2150"/>
      <c r="S1436" s="1445"/>
      <c r="T1436" s="1445"/>
      <c r="U1436" s="1445"/>
      <c r="V1436" s="1463"/>
      <c r="W1436" s="1463"/>
      <c r="X1436" s="1463"/>
      <c r="Y1436" s="1446"/>
      <c r="Z1436" s="1446"/>
      <c r="AA1436" s="1446"/>
      <c r="AB1436" s="1446"/>
      <c r="AC1436" s="1446"/>
      <c r="AD1436" s="1446"/>
      <c r="AE1436" s="1446"/>
      <c r="AF1436" s="1446"/>
    </row>
    <row r="1437" spans="1:32" ht="13.8">
      <c r="A1437" s="1730"/>
      <c r="B1437" s="1731"/>
      <c r="C1437" s="1446"/>
      <c r="D1437" s="1731"/>
      <c r="E1437" s="1731"/>
      <c r="F1437" s="1446"/>
      <c r="G1437" s="1446"/>
      <c r="H1437" s="1446"/>
      <c r="I1437" s="1446"/>
      <c r="J1437" s="1446"/>
      <c r="K1437" s="1446"/>
      <c r="L1437" s="1737"/>
      <c r="M1437" s="2567"/>
      <c r="N1437" s="1454"/>
      <c r="O1437" s="1462"/>
      <c r="P1437" s="1462"/>
      <c r="Q1437" s="2567"/>
      <c r="R1437" s="2150"/>
      <c r="S1437" s="1445"/>
      <c r="T1437" s="1445"/>
      <c r="U1437" s="1445"/>
      <c r="V1437" s="1463"/>
      <c r="W1437" s="1463"/>
      <c r="X1437" s="1463"/>
      <c r="Y1437" s="1446"/>
      <c r="Z1437" s="1446"/>
      <c r="AA1437" s="1446"/>
      <c r="AB1437" s="1446"/>
      <c r="AC1437" s="1446"/>
      <c r="AD1437" s="1446"/>
      <c r="AE1437" s="1446"/>
      <c r="AF1437" s="1446"/>
    </row>
    <row r="1438" spans="1:32" ht="13.8">
      <c r="A1438" s="1463"/>
      <c r="B1438" s="1463"/>
      <c r="C1438" s="2212"/>
      <c r="D1438" s="1463"/>
      <c r="E1438" s="1463"/>
      <c r="F1438" s="1463"/>
      <c r="G1438" s="1463"/>
      <c r="H1438" s="1463"/>
      <c r="I1438" s="1463"/>
      <c r="J1438" s="2237"/>
      <c r="K1438" s="2237"/>
      <c r="L1438" s="2237"/>
      <c r="M1438" s="2237"/>
      <c r="N1438" s="1454"/>
      <c r="O1438" s="1454"/>
      <c r="P1438" s="1454"/>
      <c r="Q1438" s="1463"/>
      <c r="R1438" s="2150"/>
      <c r="S1438" s="1445"/>
      <c r="T1438" s="1463"/>
      <c r="U1438" s="1463"/>
      <c r="V1438" s="1463"/>
      <c r="W1438" s="1463"/>
      <c r="X1438" s="1463"/>
      <c r="Y1438" s="1463"/>
      <c r="Z1438" s="1463"/>
      <c r="AA1438" s="1463"/>
      <c r="AB1438" s="1463"/>
      <c r="AC1438" s="1463"/>
      <c r="AD1438" s="1463"/>
      <c r="AE1438" s="1463"/>
      <c r="AF1438" s="1463"/>
    </row>
    <row r="1439" spans="1:32" ht="13.8">
      <c r="A1439" s="1730"/>
      <c r="B1439" s="1731"/>
      <c r="C1439" s="1446"/>
      <c r="D1439" s="1731"/>
      <c r="E1439" s="1731"/>
      <c r="F1439" s="1446"/>
      <c r="G1439" s="1446"/>
      <c r="H1439" s="1446"/>
      <c r="I1439" s="1446"/>
      <c r="J1439" s="1446"/>
      <c r="K1439" s="1446"/>
      <c r="L1439" s="1445"/>
      <c r="M1439" s="1445"/>
      <c r="N1439" s="1454"/>
      <c r="O1439" s="1462"/>
      <c r="P1439" s="1462"/>
      <c r="Q1439" s="2567"/>
      <c r="R1439" s="2150"/>
      <c r="S1439" s="1445"/>
      <c r="T1439" s="1445"/>
      <c r="U1439" s="1445"/>
      <c r="V1439" s="1463"/>
      <c r="W1439" s="1463"/>
      <c r="X1439" s="1463"/>
      <c r="Y1439" s="1446"/>
      <c r="Z1439" s="1446"/>
      <c r="AA1439" s="1446"/>
      <c r="AB1439" s="1446"/>
      <c r="AC1439" s="1446"/>
      <c r="AD1439" s="1446"/>
      <c r="AE1439" s="1446"/>
      <c r="AF1439" s="1446"/>
    </row>
    <row r="1440" spans="1:32" ht="13.8">
      <c r="A1440" s="1730"/>
      <c r="B1440" s="1446"/>
      <c r="C1440" s="1446"/>
      <c r="D1440" s="1446"/>
      <c r="E1440" s="1731"/>
      <c r="F1440" s="1446"/>
      <c r="G1440" s="1446"/>
      <c r="H1440" s="1446"/>
      <c r="I1440" s="1446"/>
      <c r="J1440" s="2567"/>
      <c r="K1440" s="2567"/>
      <c r="L1440" s="2567"/>
      <c r="M1440" s="2567"/>
      <c r="N1440" s="1454"/>
      <c r="O1440" s="1462"/>
      <c r="P1440" s="1462"/>
      <c r="Q1440" s="2567"/>
      <c r="R1440" s="2150"/>
      <c r="S1440" s="1445"/>
      <c r="T1440" s="1445"/>
      <c r="U1440" s="1445"/>
      <c r="V1440" s="1463"/>
      <c r="W1440" s="1463"/>
      <c r="X1440" s="1463"/>
      <c r="Y1440" s="1446"/>
      <c r="Z1440" s="1446"/>
      <c r="AA1440" s="1446"/>
      <c r="AB1440" s="1446"/>
      <c r="AC1440" s="1446"/>
      <c r="AD1440" s="1446"/>
      <c r="AE1440" s="1446"/>
      <c r="AF1440" s="1446"/>
    </row>
    <row r="1441" spans="1:32" ht="13.8">
      <c r="A1441" s="1730"/>
      <c r="B1441" s="1446"/>
      <c r="C1441" s="1446"/>
      <c r="D1441" s="2229"/>
      <c r="E1441" s="1731"/>
      <c r="F1441" s="1446"/>
      <c r="G1441" s="1446"/>
      <c r="H1441" s="1446"/>
      <c r="I1441" s="1446"/>
      <c r="J1441" s="2182"/>
      <c r="K1441" s="2182"/>
      <c r="L1441" s="2182"/>
      <c r="M1441" s="2567"/>
      <c r="N1441" s="1454"/>
      <c r="O1441" s="1462"/>
      <c r="P1441" s="1462"/>
      <c r="Q1441" s="2567"/>
      <c r="R1441" s="2150"/>
      <c r="S1441" s="1445"/>
      <c r="T1441" s="1445"/>
      <c r="U1441" s="1445"/>
      <c r="V1441" s="1463"/>
      <c r="W1441" s="1463"/>
      <c r="X1441" s="1463"/>
      <c r="Y1441" s="1446"/>
      <c r="Z1441" s="1446"/>
      <c r="AA1441" s="1446"/>
      <c r="AB1441" s="1446"/>
      <c r="AC1441" s="1446"/>
      <c r="AD1441" s="1446"/>
      <c r="AE1441" s="1446"/>
      <c r="AF1441" s="1446"/>
    </row>
    <row r="1442" spans="1:32" ht="13.8">
      <c r="A1442" s="1730"/>
      <c r="B1442" s="1446"/>
      <c r="C1442" s="1446"/>
      <c r="D1442" s="2229"/>
      <c r="E1442" s="1731"/>
      <c r="F1442" s="1446"/>
      <c r="G1442" s="1446"/>
      <c r="H1442" s="1446"/>
      <c r="I1442" s="1446"/>
      <c r="J1442" s="2182"/>
      <c r="K1442" s="2182"/>
      <c r="L1442" s="2182"/>
      <c r="M1442" s="2567"/>
      <c r="N1442" s="1454"/>
      <c r="O1442" s="1462"/>
      <c r="P1442" s="1462"/>
      <c r="Q1442" s="2567"/>
      <c r="R1442" s="2150"/>
      <c r="S1442" s="1445"/>
      <c r="T1442" s="1445"/>
      <c r="U1442" s="1445"/>
      <c r="V1442" s="1463"/>
      <c r="W1442" s="1463"/>
      <c r="X1442" s="1463"/>
      <c r="Y1442" s="1446"/>
      <c r="Z1442" s="1446"/>
      <c r="AA1442" s="1446"/>
      <c r="AB1442" s="1446"/>
      <c r="AC1442" s="1446"/>
      <c r="AD1442" s="1446"/>
      <c r="AE1442" s="1446"/>
      <c r="AF1442" s="1446"/>
    </row>
    <row r="1443" spans="1:32" ht="13.8">
      <c r="A1443" s="1730"/>
      <c r="B1443" s="1446"/>
      <c r="C1443" s="1465" t="s">
        <v>7634</v>
      </c>
      <c r="D1443" s="2229"/>
      <c r="E1443" s="1731"/>
      <c r="F1443" s="1446"/>
      <c r="G1443" s="1446"/>
      <c r="H1443" s="1446"/>
      <c r="I1443" s="1446"/>
      <c r="J1443" s="2182">
        <f>COUNTIF(F1448:F1452,"Above 50th")</f>
        <v>0</v>
      </c>
      <c r="K1443" s="2182">
        <f>COUNTIF(G1448:G1452,"Above 50th")</f>
        <v>0</v>
      </c>
      <c r="L1443" s="1446"/>
      <c r="M1443" s="2182"/>
      <c r="N1443" s="1454"/>
      <c r="O1443" s="1462"/>
      <c r="P1443" s="1462"/>
      <c r="Q1443" s="2567"/>
      <c r="R1443" s="2150"/>
      <c r="S1443" s="1445"/>
      <c r="T1443" s="1445"/>
      <c r="U1443" s="1445"/>
      <c r="V1443" s="1463"/>
      <c r="W1443" s="1463"/>
      <c r="X1443" s="1463"/>
      <c r="Y1443" s="1446"/>
      <c r="Z1443" s="1446"/>
      <c r="AA1443" s="1446"/>
      <c r="AB1443" s="1446"/>
      <c r="AC1443" s="1446"/>
      <c r="AD1443" s="1446"/>
      <c r="AE1443" s="1446"/>
      <c r="AF1443" s="1446"/>
    </row>
    <row r="1444" spans="1:32" ht="13.8">
      <c r="A1444" s="1730"/>
      <c r="B1444" s="1446"/>
      <c r="C1444" s="1465" t="s">
        <v>7635</v>
      </c>
      <c r="D1444" s="2229"/>
      <c r="E1444" s="1731"/>
      <c r="F1444" s="1446"/>
      <c r="G1444" s="1446"/>
      <c r="H1444" s="1446"/>
      <c r="I1444" s="1446"/>
      <c r="J1444" s="2182" t="str">
        <f>IF(OR(I1448="Near Census Tract",I1449="Near Census Tract",I1450="Near Census Tract",I1451="Near Census Tract",I1452="Near Census Tract"),"Yes","No")</f>
        <v>No</v>
      </c>
      <c r="K1444" s="2182" t="str">
        <f>IF(OR(K1448="Near Census Tract",K1449="Near Census Tract",K1450="Near Census Tract",K1451="Near Census Tract",K1452="Near Census Tract"),"Yes","No")</f>
        <v>No</v>
      </c>
      <c r="L1444" s="1446"/>
      <c r="M1444" s="2182"/>
      <c r="N1444" s="1454"/>
      <c r="O1444" s="1462"/>
      <c r="P1444" s="1462"/>
      <c r="Q1444" s="2567"/>
      <c r="R1444" s="2150"/>
      <c r="S1444" s="1445"/>
      <c r="T1444" s="1445"/>
      <c r="U1444" s="1445"/>
      <c r="V1444" s="1463"/>
      <c r="W1444" s="1463"/>
      <c r="X1444" s="1463"/>
      <c r="Y1444" s="1446"/>
      <c r="Z1444" s="1446"/>
      <c r="AA1444" s="1446"/>
      <c r="AB1444" s="1446"/>
      <c r="AC1444" s="1446"/>
      <c r="AD1444" s="1446"/>
      <c r="AE1444" s="1446"/>
      <c r="AF1444" s="1446"/>
    </row>
    <row r="1445" spans="1:32" ht="13.8">
      <c r="A1445" s="1730"/>
      <c r="B1445" s="1446"/>
      <c r="C1445" s="1465" t="s">
        <v>1912</v>
      </c>
      <c r="D1445" s="2229"/>
      <c r="E1445" s="1731"/>
      <c r="F1445" s="1446"/>
      <c r="G1445" s="1446"/>
      <c r="H1445" s="1446"/>
      <c r="I1445" s="1446"/>
      <c r="J1445" s="2236">
        <f>IF(AND(J1443=2,J1444="No"),6,IF(AND(J1443=3,J1444="No"),8,IF(AND(J1443&gt;=4,J1444="No"),10,IF(AND(J1443=2,J1444="Yes"),5,IF(AND(J1443=3,J1444="Yes"),7,IF(AND(J1443&gt;=4,J1444="Yes"),9,0))))))</f>
        <v>0</v>
      </c>
      <c r="K1445" s="2236">
        <f>IF(AND(K1443=2,K1444="No"),6,IF(AND(K1443=3,K1444="No"),8,IF(AND(K1443&gt;=4,K1444="No"),10,IF(AND(K1443=2,K1444="Yes"),5,IF(AND(K1443=3,K1444="Yes"),7,IF(AND(K1443&gt;=4,K1444="Yes"),9,0))))))</f>
        <v>0</v>
      </c>
      <c r="L1445" s="2182"/>
      <c r="M1445" s="2182"/>
      <c r="N1445" s="1454"/>
      <c r="O1445" s="1462"/>
      <c r="P1445" s="1462"/>
      <c r="Q1445" s="2567"/>
      <c r="R1445" s="2150"/>
      <c r="S1445" s="1445"/>
      <c r="T1445" s="1445"/>
      <c r="U1445" s="1445"/>
      <c r="V1445" s="1463"/>
      <c r="W1445" s="1463"/>
      <c r="X1445" s="1463"/>
      <c r="Y1445" s="1446"/>
      <c r="Z1445" s="1446"/>
      <c r="AA1445" s="1446"/>
      <c r="AB1445" s="1446"/>
      <c r="AC1445" s="1446"/>
      <c r="AD1445" s="1446"/>
      <c r="AE1445" s="1446"/>
      <c r="AF1445" s="1446"/>
    </row>
    <row r="1446" spans="1:32" ht="14.4">
      <c r="A1446" s="1730"/>
      <c r="B1446" s="1446"/>
      <c r="C1446" s="1446"/>
      <c r="D1446" s="1731"/>
      <c r="E1446" s="1731"/>
      <c r="F1446" s="1446"/>
      <c r="G1446" s="1446"/>
      <c r="H1446" s="1446"/>
      <c r="I1446" s="1446"/>
      <c r="J1446" s="1446"/>
      <c r="K1446" s="1446"/>
      <c r="L1446" s="1737"/>
      <c r="M1446" s="2567"/>
      <c r="N1446" s="1454"/>
      <c r="O1446" s="1462"/>
      <c r="P1446" s="1462"/>
      <c r="Q1446" s="2567"/>
      <c r="R1446" s="2150"/>
      <c r="S1446" s="1740"/>
      <c r="T1446" s="1740"/>
      <c r="U1446" s="1740"/>
      <c r="V1446" s="1740"/>
      <c r="W1446" s="1740"/>
      <c r="X1446" s="1463"/>
      <c r="Y1446" s="1446"/>
      <c r="Z1446" s="1446"/>
      <c r="AA1446" s="1446"/>
      <c r="AB1446" s="1446"/>
      <c r="AC1446" s="1446"/>
      <c r="AD1446" s="1446"/>
      <c r="AE1446" s="1446"/>
      <c r="AF1446" s="1446"/>
    </row>
    <row r="1447" spans="1:32" ht="43.5" customHeight="1">
      <c r="A1447" s="1730"/>
      <c r="B1447" s="2136" t="s">
        <v>7636</v>
      </c>
      <c r="C1447" s="2136"/>
      <c r="D1447" s="2171"/>
      <c r="E1447" s="1446"/>
      <c r="F1447" s="2171" t="s">
        <v>7637</v>
      </c>
      <c r="G1447" s="2171"/>
      <c r="H1447" s="2238" t="s">
        <v>7638</v>
      </c>
      <c r="I1447" s="2171" t="s">
        <v>7639</v>
      </c>
      <c r="J1447" s="2171"/>
      <c r="K1447" s="2171"/>
      <c r="L1447" s="2171"/>
      <c r="M1447" s="2171"/>
      <c r="N1447" s="2171"/>
      <c r="O1447" s="2171"/>
      <c r="P1447" s="2171"/>
      <c r="Q1447" s="1446"/>
      <c r="R1447" s="1446"/>
      <c r="S1447" s="1740"/>
      <c r="T1447" s="1740"/>
      <c r="U1447" s="1740"/>
      <c r="V1447" s="1740"/>
      <c r="W1447" s="1740"/>
      <c r="X1447" s="1463"/>
      <c r="Y1447" s="1446"/>
      <c r="Z1447" s="1446"/>
      <c r="AA1447" s="1446"/>
      <c r="AB1447" s="1446"/>
      <c r="AC1447" s="1446"/>
      <c r="AD1447" s="1446"/>
      <c r="AE1447" s="1446"/>
      <c r="AF1447" s="1446"/>
    </row>
    <row r="1448" spans="1:32" ht="14.4">
      <c r="A1448" s="1730"/>
      <c r="B1448" s="1446"/>
      <c r="C1448" s="1446" t="s">
        <v>7640</v>
      </c>
      <c r="D1448" s="2171"/>
      <c r="E1448" s="1446"/>
      <c r="F1448" s="1465" t="str">
        <f>'Part VIII Scoring Criteria'!E222</f>
        <v>Yes</v>
      </c>
      <c r="G1448" s="2239"/>
      <c r="H1448" s="2240"/>
      <c r="I1448" s="1465">
        <f>'Part VIII Scoring Criteria'!I222</f>
        <v>0</v>
      </c>
      <c r="J1448" s="2241"/>
      <c r="K1448" s="2241"/>
      <c r="L1448" s="2241"/>
      <c r="M1448" s="1465" t="str">
        <f>'Part VIII Scoring Criteria'!Y222</f>
        <v>(if NEAR, enter near tract #)</v>
      </c>
      <c r="N1448" s="2237"/>
      <c r="O1448" s="2237"/>
      <c r="P1448" s="2237"/>
      <c r="Q1448" s="1446"/>
      <c r="R1448" s="290"/>
      <c r="S1448" s="2242"/>
      <c r="T1448" s="2242"/>
      <c r="U1448" s="2242"/>
      <c r="V1448" s="2242"/>
      <c r="W1448" s="2242"/>
      <c r="X1448" s="1463"/>
      <c r="Y1448" s="1446"/>
      <c r="Z1448" s="1446"/>
      <c r="AA1448" s="1446"/>
      <c r="AB1448" s="1446"/>
      <c r="AC1448" s="1446"/>
      <c r="AD1448" s="1446"/>
      <c r="AE1448" s="1446"/>
      <c r="AF1448" s="1446"/>
    </row>
    <row r="1449" spans="1:32" ht="14.4">
      <c r="A1449" s="1730"/>
      <c r="B1449" s="1446"/>
      <c r="C1449" s="1446" t="s">
        <v>7641</v>
      </c>
      <c r="D1449" s="2171"/>
      <c r="E1449" s="1446"/>
      <c r="F1449" s="1465" t="str">
        <f>'Part VIII Scoring Criteria'!E223</f>
        <v>Yes</v>
      </c>
      <c r="G1449" s="2240"/>
      <c r="H1449" s="2240"/>
      <c r="I1449" s="1465">
        <f>'Part VIII Scoring Criteria'!I223</f>
        <v>0</v>
      </c>
      <c r="J1449" s="2241"/>
      <c r="K1449" s="2241"/>
      <c r="L1449" s="2241"/>
      <c r="M1449" s="1465" t="str">
        <f>'Part VIII Scoring Criteria'!Y223</f>
        <v>(if NEAR, enter near tract #)</v>
      </c>
      <c r="N1449" s="2237"/>
      <c r="O1449" s="2237"/>
      <c r="P1449" s="2237"/>
      <c r="Q1449" s="1446"/>
      <c r="R1449" s="270"/>
      <c r="S1449" s="2243"/>
      <c r="T1449" s="2243"/>
      <c r="U1449" s="2244"/>
      <c r="V1449" s="2245"/>
      <c r="W1449" s="2243"/>
      <c r="X1449" s="1463"/>
      <c r="Y1449" s="1446"/>
      <c r="Z1449" s="1446"/>
      <c r="AA1449" s="1446"/>
      <c r="AB1449" s="1446"/>
      <c r="AC1449" s="1446"/>
      <c r="AD1449" s="1446"/>
      <c r="AE1449" s="1446"/>
      <c r="AF1449" s="1446"/>
    </row>
    <row r="1450" spans="1:32" ht="14.4">
      <c r="A1450" s="1730"/>
      <c r="B1450" s="1446"/>
      <c r="C1450" s="1446" t="s">
        <v>7642</v>
      </c>
      <c r="D1450" s="2171"/>
      <c r="E1450" s="1446"/>
      <c r="F1450" s="1465" t="str">
        <f>'Part VIII Scoring Criteria'!E224</f>
        <v>Yes</v>
      </c>
      <c r="G1450" s="2240"/>
      <c r="H1450" s="2240"/>
      <c r="I1450" s="1465">
        <f>'Part VIII Scoring Criteria'!I224</f>
        <v>0</v>
      </c>
      <c r="J1450" s="2241"/>
      <c r="K1450" s="2241"/>
      <c r="L1450" s="2241"/>
      <c r="M1450" s="1465" t="str">
        <f>'Part VIII Scoring Criteria'!Y224</f>
        <v>(if NEAR, enter near tract #)</v>
      </c>
      <c r="N1450" s="2237"/>
      <c r="O1450" s="2237"/>
      <c r="P1450" s="2237"/>
      <c r="Q1450" s="1446"/>
      <c r="R1450" s="270"/>
      <c r="S1450" s="2243"/>
      <c r="T1450" s="2243"/>
      <c r="U1450" s="2244"/>
      <c r="V1450" s="2245"/>
      <c r="W1450" s="2243"/>
      <c r="X1450" s="1463"/>
      <c r="Y1450" s="1446"/>
      <c r="Z1450" s="1446"/>
      <c r="AA1450" s="1446"/>
      <c r="AB1450" s="1446"/>
      <c r="AC1450" s="1446"/>
      <c r="AD1450" s="1446"/>
      <c r="AE1450" s="1446"/>
      <c r="AF1450" s="1446"/>
    </row>
    <row r="1451" spans="1:32" ht="14.4">
      <c r="A1451" s="1730"/>
      <c r="B1451" s="1446"/>
      <c r="C1451" s="1446" t="s">
        <v>7643</v>
      </c>
      <c r="D1451" s="1731"/>
      <c r="E1451" s="1446"/>
      <c r="F1451" s="1465" t="str">
        <f>'Part VIII Scoring Criteria'!E225</f>
        <v>Yes</v>
      </c>
      <c r="G1451" s="2240"/>
      <c r="H1451" s="1465">
        <f>'Part VIII Scoring Criteria'!M225</f>
        <v>2023</v>
      </c>
      <c r="I1451" s="1465">
        <f>'Part VIII Scoring Criteria'!I225</f>
        <v>0</v>
      </c>
      <c r="J1451" s="2241"/>
      <c r="K1451" s="2241"/>
      <c r="L1451" s="2241"/>
      <c r="M1451" s="1465" t="str">
        <f>'Part VIII Scoring Criteria'!Y225</f>
        <v>(if NEAR, enter near tract #)</v>
      </c>
      <c r="N1451" s="2237"/>
      <c r="O1451" s="2237"/>
      <c r="P1451" s="2237"/>
      <c r="Q1451" s="1446"/>
      <c r="R1451" s="270"/>
      <c r="S1451" s="2243"/>
      <c r="T1451" s="2243"/>
      <c r="U1451" s="2244"/>
      <c r="V1451" s="2245"/>
      <c r="W1451" s="2243"/>
      <c r="X1451" s="1463"/>
      <c r="Y1451" s="1446"/>
      <c r="Z1451" s="1446"/>
      <c r="AA1451" s="1446"/>
      <c r="AB1451" s="1446"/>
      <c r="AC1451" s="1446"/>
      <c r="AD1451" s="1446"/>
      <c r="AE1451" s="1446"/>
      <c r="AF1451" s="1446"/>
    </row>
    <row r="1452" spans="1:32" ht="13.8">
      <c r="A1452" s="1730"/>
      <c r="B1452" s="1446"/>
      <c r="C1452" s="1446" t="s">
        <v>1922</v>
      </c>
      <c r="D1452" s="1731"/>
      <c r="E1452" s="1446"/>
      <c r="F1452" s="1465" t="str">
        <f>'Part VIII Scoring Criteria'!E226</f>
        <v>Yes</v>
      </c>
      <c r="G1452" s="2240"/>
      <c r="H1452" s="1465">
        <f>'Part VIII Scoring Criteria'!M226</f>
        <v>2024</v>
      </c>
      <c r="I1452" s="1465">
        <f>'Part VIII Scoring Criteria'!I226</f>
        <v>0</v>
      </c>
      <c r="J1452" s="2241"/>
      <c r="K1452" s="2241"/>
      <c r="L1452" s="2241"/>
      <c r="M1452" s="1465" t="str">
        <f>'Part VIII Scoring Criteria'!Y226</f>
        <v>(if NEAR, enter near tract #)</v>
      </c>
      <c r="N1452" s="2237"/>
      <c r="O1452" s="2237"/>
      <c r="P1452" s="2237"/>
      <c r="Q1452" s="1446"/>
      <c r="R1452" s="290"/>
      <c r="S1452" s="1445"/>
      <c r="T1452" s="1445"/>
      <c r="U1452" s="1445"/>
      <c r="V1452" s="1463"/>
      <c r="W1452" s="1463"/>
      <c r="X1452" s="1463"/>
      <c r="Y1452" s="1446"/>
      <c r="Z1452" s="1446"/>
      <c r="AA1452" s="1446"/>
      <c r="AB1452" s="1446"/>
      <c r="AC1452" s="1446"/>
      <c r="AD1452" s="1446"/>
      <c r="AE1452" s="1446"/>
      <c r="AF1452" s="1446"/>
    </row>
    <row r="1453" spans="1:32" ht="14.4">
      <c r="A1453" s="1446"/>
      <c r="B1453" s="2142" t="s">
        <v>7607</v>
      </c>
      <c r="C1453" s="1446"/>
      <c r="D1453" s="1446"/>
      <c r="E1453" s="1446"/>
      <c r="F1453" s="1446"/>
      <c r="G1453" s="1446"/>
      <c r="H1453" s="1446"/>
      <c r="I1453" s="1446"/>
      <c r="J1453" s="1446"/>
      <c r="K1453" s="1446"/>
      <c r="L1453" s="1463"/>
      <c r="M1453" s="1446"/>
      <c r="N1453" s="1463"/>
      <c r="O1453" s="2161"/>
      <c r="P1453" s="1470"/>
      <c r="Q1453" s="1463"/>
      <c r="R1453" s="290"/>
      <c r="S1453" s="1463"/>
      <c r="T1453" s="1463"/>
      <c r="U1453" s="1463"/>
      <c r="V1453" s="1463"/>
      <c r="W1453" s="1463"/>
      <c r="X1453" s="1463"/>
      <c r="Y1453" s="1463"/>
      <c r="Z1453" s="1463"/>
      <c r="AA1453" s="1463"/>
      <c r="AB1453" s="1463"/>
      <c r="AC1453" s="1463"/>
      <c r="AD1453" s="1463"/>
      <c r="AE1453" s="1463"/>
      <c r="AF1453" s="1463"/>
    </row>
    <row r="1454" spans="1:32" ht="13.8">
      <c r="A1454" s="1469" t="str">
        <f>'Part VIII Scoring Criteria'!A228</f>
        <v>The census tract the proposed project is located in is above the 50th percentice per metric in 5 indicators. Evidence is included in the application.</v>
      </c>
      <c r="B1454" s="1468"/>
      <c r="C1454" s="1468"/>
      <c r="D1454" s="1468"/>
      <c r="E1454" s="1468"/>
      <c r="F1454" s="1468"/>
      <c r="G1454" s="1468"/>
      <c r="H1454" s="1468"/>
      <c r="I1454" s="1468"/>
      <c r="J1454" s="1468"/>
      <c r="K1454" s="1468"/>
      <c r="L1454" s="1468"/>
      <c r="M1454" s="1468"/>
      <c r="N1454" s="1468"/>
      <c r="O1454" s="1468"/>
      <c r="P1454" s="1468"/>
      <c r="Q1454" s="1445"/>
      <c r="R1454" s="290"/>
      <c r="S1454" s="1463"/>
      <c r="T1454" s="1463"/>
      <c r="U1454" s="1463"/>
      <c r="V1454" s="1463"/>
      <c r="W1454" s="1463"/>
      <c r="X1454" s="1463"/>
      <c r="Y1454" s="1463"/>
      <c r="Z1454" s="1463"/>
      <c r="AA1454" s="1463"/>
      <c r="AB1454" s="1463"/>
      <c r="AC1454" s="1463"/>
      <c r="AD1454" s="1463"/>
      <c r="AE1454" s="1463"/>
      <c r="AF1454" s="1463"/>
    </row>
    <row r="1455" spans="1:32" ht="14.4">
      <c r="A1455" s="1446"/>
      <c r="B1455" s="2160" t="s">
        <v>1453</v>
      </c>
      <c r="C1455" s="1446"/>
      <c r="D1455" s="2160"/>
      <c r="E1455" s="1468"/>
      <c r="F1455" s="1468"/>
      <c r="G1455" s="1468"/>
      <c r="H1455" s="1468"/>
      <c r="I1455" s="1468"/>
      <c r="J1455" s="1468"/>
      <c r="K1455" s="1468"/>
      <c r="L1455" s="1468"/>
      <c r="M1455" s="1468"/>
      <c r="N1455" s="1468"/>
      <c r="O1455" s="2136"/>
      <c r="P1455" s="1445"/>
      <c r="Q1455" s="1463"/>
      <c r="R1455" s="290"/>
      <c r="S1455" s="1463"/>
      <c r="T1455" s="1463"/>
      <c r="U1455" s="1463"/>
      <c r="V1455" s="1463"/>
      <c r="W1455" s="1463"/>
      <c r="X1455" s="1463"/>
      <c r="Y1455" s="1463"/>
      <c r="Z1455" s="1463"/>
      <c r="AA1455" s="1463"/>
      <c r="AB1455" s="1463"/>
      <c r="AC1455" s="1463"/>
      <c r="AD1455" s="1463"/>
      <c r="AE1455" s="1463"/>
      <c r="AF1455" s="1463"/>
    </row>
    <row r="1456" spans="1:32" ht="13.8">
      <c r="A1456" s="1468"/>
      <c r="B1456" s="1468"/>
      <c r="C1456" s="1468"/>
      <c r="D1456" s="1468"/>
      <c r="E1456" s="1468"/>
      <c r="F1456" s="1468"/>
      <c r="G1456" s="1468"/>
      <c r="H1456" s="1468"/>
      <c r="I1456" s="1468"/>
      <c r="J1456" s="1468"/>
      <c r="K1456" s="1468"/>
      <c r="L1456" s="1468"/>
      <c r="M1456" s="1468"/>
      <c r="N1456" s="1468"/>
      <c r="O1456" s="1468"/>
      <c r="P1456" s="1468"/>
      <c r="Q1456" s="1445"/>
      <c r="R1456" s="290"/>
      <c r="S1456" s="1463"/>
      <c r="T1456" s="1463"/>
      <c r="U1456" s="1463"/>
      <c r="V1456" s="1463"/>
      <c r="W1456" s="1463"/>
      <c r="X1456" s="1463"/>
      <c r="Y1456" s="1463"/>
      <c r="Z1456" s="1463"/>
      <c r="AA1456" s="1463"/>
      <c r="AB1456" s="1463"/>
      <c r="AC1456" s="1463"/>
      <c r="AD1456" s="1463"/>
      <c r="AE1456" s="1463"/>
      <c r="AF1456" s="1463"/>
    </row>
    <row r="1457" spans="1:32" ht="13.8">
      <c r="A1457" s="1463"/>
      <c r="B1457" s="1463"/>
      <c r="C1457" s="1463"/>
      <c r="D1457" s="1463"/>
      <c r="E1457" s="1463"/>
      <c r="F1457" s="1463"/>
      <c r="G1457" s="1463"/>
      <c r="H1457" s="1463"/>
      <c r="I1457" s="1463"/>
      <c r="J1457" s="1463"/>
      <c r="K1457" s="1463"/>
      <c r="L1457" s="1463"/>
      <c r="M1457" s="1463"/>
      <c r="N1457" s="1463"/>
      <c r="O1457" s="1470"/>
      <c r="P1457" s="1470"/>
      <c r="Q1457" s="1463"/>
      <c r="R1457" s="1463"/>
      <c r="S1457" s="1463"/>
      <c r="T1457" s="1463"/>
      <c r="U1457" s="1463"/>
      <c r="V1457" s="1463"/>
      <c r="W1457" s="1463"/>
      <c r="X1457" s="1463"/>
      <c r="Y1457" s="1463"/>
      <c r="Z1457" s="1463"/>
      <c r="AA1457" s="1463"/>
      <c r="AB1457" s="1463"/>
      <c r="AC1457" s="1463"/>
      <c r="AD1457" s="1463"/>
      <c r="AE1457" s="1463"/>
      <c r="AF1457" s="1463"/>
    </row>
    <row r="1458" spans="1:32" ht="13.8">
      <c r="A1458" s="1463"/>
      <c r="B1458" s="1463"/>
      <c r="C1458" s="1463"/>
      <c r="D1458" s="1463"/>
      <c r="E1458" s="1463"/>
      <c r="F1458" s="1463"/>
      <c r="G1458" s="1463"/>
      <c r="H1458" s="1463"/>
      <c r="I1458" s="1463"/>
      <c r="J1458" s="1463"/>
      <c r="K1458" s="1463"/>
      <c r="L1458" s="1463"/>
      <c r="M1458" s="1463"/>
      <c r="N1458" s="2568"/>
      <c r="O1458" s="2569"/>
      <c r="P1458" s="2569"/>
      <c r="Q1458" s="1463"/>
      <c r="R1458" s="1463"/>
      <c r="S1458" s="1463"/>
      <c r="T1458" s="1463"/>
      <c r="U1458" s="1463"/>
      <c r="V1458" s="1463"/>
      <c r="W1458" s="1463"/>
      <c r="X1458" s="1463"/>
      <c r="Y1458" s="1463"/>
      <c r="Z1458" s="1463"/>
      <c r="AA1458" s="1463"/>
      <c r="AB1458" s="1463"/>
      <c r="AC1458" s="1463"/>
      <c r="AD1458" s="1463"/>
      <c r="AE1458" s="1463"/>
      <c r="AF1458" s="1463"/>
    </row>
    <row r="1459" spans="1:32" ht="14.4">
      <c r="A1459" s="1730" t="s">
        <v>1522</v>
      </c>
      <c r="B1459" s="1731" t="s">
        <v>1929</v>
      </c>
      <c r="C1459" s="1446"/>
      <c r="D1459" s="1731"/>
      <c r="E1459" s="1731"/>
      <c r="F1459" s="1446"/>
      <c r="G1459" s="2162"/>
      <c r="H1459" s="1446"/>
      <c r="I1459" s="1446"/>
      <c r="J1459" s="1737" t="str">
        <f>IF(OR($O$206&gt;0,$O$238&gt;0,$O$304&gt;0),"Points already claimed in another restricted section!","")</f>
        <v/>
      </c>
      <c r="K1459" s="1446"/>
      <c r="L1459" s="2246" t="str">
        <f>IF(AND(O1459&gt;0,NOT($H$11="New Affordability")), "Not New Affordability!","")</f>
        <v/>
      </c>
      <c r="M1459" s="2567">
        <v>10</v>
      </c>
      <c r="N1459" s="1454"/>
      <c r="O1459" s="1462">
        <f>'Part VIII Scoring Criteria'!AA247</f>
        <v>0</v>
      </c>
      <c r="P1459" s="1462">
        <f>'Part VIII Scoring Criteria'!AB247</f>
        <v>0</v>
      </c>
      <c r="Q1459" s="2567" t="s">
        <v>1744</v>
      </c>
      <c r="R1459" s="2231" t="s">
        <v>1881</v>
      </c>
      <c r="S1459" s="1445"/>
      <c r="T1459" s="1445"/>
      <c r="U1459" s="1445"/>
      <c r="V1459" s="2227" t="str">
        <f>'Part VIII Scoring Criteria'!AH247</f>
        <v>&lt;&lt; Select Scoring Track &gt;&gt;</v>
      </c>
      <c r="W1459" s="1446"/>
      <c r="X1459" s="1446"/>
      <c r="Y1459" s="1446"/>
      <c r="Z1459" s="1446"/>
      <c r="AA1459" s="1446"/>
      <c r="AB1459" s="1446"/>
      <c r="AC1459" s="1446"/>
      <c r="AD1459" s="1446"/>
      <c r="AE1459" s="1446"/>
      <c r="AF1459" s="1446"/>
    </row>
    <row r="1460" spans="1:32" ht="13.8">
      <c r="A1460" s="2567" t="s">
        <v>186</v>
      </c>
      <c r="B1460" s="2166" t="s">
        <v>1930</v>
      </c>
      <c r="C1460" s="1463"/>
      <c r="D1460" s="1469"/>
      <c r="E1460" s="1469"/>
      <c r="F1460" s="1469"/>
      <c r="G1460" s="1469"/>
      <c r="H1460" s="1469"/>
      <c r="I1460" s="1463"/>
      <c r="J1460" s="1463"/>
      <c r="K1460" s="1463"/>
      <c r="L1460" s="1469"/>
      <c r="M1460" s="1445" t="str">
        <f>IF(AND(O1460="Yes",O1461="Yes"),"Only one category can be selected!","")</f>
        <v/>
      </c>
      <c r="N1460" s="1733"/>
      <c r="O1460" s="2567">
        <f>'Part VIII Scoring Criteria'!AA248</f>
        <v>0</v>
      </c>
      <c r="P1460" s="2567"/>
      <c r="Q1460" s="2568"/>
      <c r="R1460" s="1445"/>
      <c r="S1460" s="1445"/>
      <c r="T1460" s="1445"/>
      <c r="U1460" s="1445"/>
      <c r="V1460" s="1445"/>
      <c r="W1460" s="1463"/>
      <c r="X1460" s="1463"/>
      <c r="Y1460" s="1463"/>
      <c r="Z1460" s="1463"/>
      <c r="AA1460" s="1463"/>
      <c r="AB1460" s="1463"/>
      <c r="AC1460" s="1463"/>
      <c r="AD1460" s="1463"/>
      <c r="AE1460" s="1463"/>
      <c r="AF1460" s="1463"/>
    </row>
    <row r="1461" spans="1:32" ht="13.8">
      <c r="A1461" s="2567" t="s">
        <v>198</v>
      </c>
      <c r="B1461" s="2166" t="s">
        <v>1931</v>
      </c>
      <c r="C1461" s="1463"/>
      <c r="D1461" s="1469"/>
      <c r="E1461" s="1463"/>
      <c r="F1461" s="1463"/>
      <c r="G1461" s="1463"/>
      <c r="H1461" s="1463"/>
      <c r="I1461" s="1463"/>
      <c r="J1461" s="1463"/>
      <c r="K1461" s="1463"/>
      <c r="L1461" s="1469"/>
      <c r="M1461" s="1445"/>
      <c r="N1461" s="1733"/>
      <c r="O1461" s="2567">
        <f>'Part VIII Scoring Criteria'!AA249</f>
        <v>0</v>
      </c>
      <c r="P1461" s="2567"/>
      <c r="Q1461" s="2568"/>
      <c r="R1461" s="1445"/>
      <c r="S1461" s="1445"/>
      <c r="T1461" s="1445"/>
      <c r="U1461" s="1445"/>
      <c r="V1461" s="1445"/>
      <c r="W1461" s="1463"/>
      <c r="X1461" s="1463"/>
      <c r="Y1461" s="1463"/>
      <c r="Z1461" s="1463"/>
      <c r="AA1461" s="1463"/>
      <c r="AB1461" s="1463"/>
      <c r="AC1461" s="1463"/>
      <c r="AD1461" s="1463"/>
      <c r="AE1461" s="1463"/>
      <c r="AF1461" s="1463"/>
    </row>
    <row r="1462" spans="1:32" ht="14.4">
      <c r="A1462" s="1446"/>
      <c r="B1462" s="2142" t="s">
        <v>7607</v>
      </c>
      <c r="C1462" s="1446"/>
      <c r="D1462" s="1446"/>
      <c r="E1462" s="1446"/>
      <c r="F1462" s="1446"/>
      <c r="G1462" s="1446"/>
      <c r="H1462" s="1446"/>
      <c r="I1462" s="1446"/>
      <c r="J1462" s="1446"/>
      <c r="K1462" s="1446"/>
      <c r="L1462" s="1463"/>
      <c r="M1462" s="1446"/>
      <c r="N1462" s="2568"/>
      <c r="O1462" s="1462"/>
      <c r="P1462" s="2569"/>
      <c r="Q1462" s="1463"/>
      <c r="R1462" s="1445"/>
      <c r="S1462" s="1445"/>
      <c r="T1462" s="1445"/>
      <c r="U1462" s="1445"/>
      <c r="V1462" s="1445"/>
      <c r="W1462" s="1463"/>
      <c r="X1462" s="1463"/>
      <c r="Y1462" s="1463"/>
      <c r="Z1462" s="1463"/>
      <c r="AA1462" s="1463"/>
      <c r="AB1462" s="1463"/>
      <c r="AC1462" s="1463"/>
      <c r="AD1462" s="1463"/>
      <c r="AE1462" s="1463"/>
      <c r="AF1462" s="1463"/>
    </row>
    <row r="1463" spans="1:32" ht="13.8">
      <c r="A1463" s="1469" t="str">
        <f>'Part VIII Scoring Criteria'!A251</f>
        <v>The applicant is not claiming points under this section, therefore it has been intentionally left blank.</v>
      </c>
      <c r="B1463" s="1468"/>
      <c r="C1463" s="1468"/>
      <c r="D1463" s="1468"/>
      <c r="E1463" s="1468"/>
      <c r="F1463" s="1468"/>
      <c r="G1463" s="1468"/>
      <c r="H1463" s="1468"/>
      <c r="I1463" s="1468"/>
      <c r="J1463" s="1468"/>
      <c r="K1463" s="1468"/>
      <c r="L1463" s="1468"/>
      <c r="M1463" s="1468"/>
      <c r="N1463" s="1468"/>
      <c r="O1463" s="1468"/>
      <c r="P1463" s="1468"/>
      <c r="Q1463" s="1445"/>
      <c r="R1463" s="1463"/>
      <c r="S1463" s="1463"/>
      <c r="T1463" s="1463"/>
      <c r="U1463" s="1463"/>
      <c r="V1463" s="1463"/>
      <c r="W1463" s="1463"/>
      <c r="X1463" s="1463"/>
      <c r="Y1463" s="1463"/>
      <c r="Z1463" s="1463"/>
      <c r="AA1463" s="1463"/>
      <c r="AB1463" s="1463"/>
      <c r="AC1463" s="1463"/>
      <c r="AD1463" s="1463"/>
      <c r="AE1463" s="1463"/>
      <c r="AF1463" s="1463"/>
    </row>
    <row r="1464" spans="1:32" ht="14.4">
      <c r="A1464" s="1446"/>
      <c r="B1464" s="2160" t="s">
        <v>1453</v>
      </c>
      <c r="C1464" s="1446"/>
      <c r="D1464" s="2160"/>
      <c r="E1464" s="1468"/>
      <c r="F1464" s="1468"/>
      <c r="G1464" s="1468"/>
      <c r="H1464" s="1468"/>
      <c r="I1464" s="1468"/>
      <c r="J1464" s="1468"/>
      <c r="K1464" s="1468"/>
      <c r="L1464" s="1468"/>
      <c r="M1464" s="1468"/>
      <c r="N1464" s="1468"/>
      <c r="O1464" s="2136"/>
      <c r="P1464" s="1445"/>
      <c r="Q1464" s="1463"/>
      <c r="R1464" s="1463"/>
      <c r="S1464" s="1463"/>
      <c r="T1464" s="1463"/>
      <c r="U1464" s="1463"/>
      <c r="V1464" s="1463"/>
      <c r="W1464" s="1463"/>
      <c r="X1464" s="1463"/>
      <c r="Y1464" s="1463"/>
      <c r="Z1464" s="1463"/>
      <c r="AA1464" s="1463"/>
      <c r="AB1464" s="1463"/>
      <c r="AC1464" s="1463"/>
      <c r="AD1464" s="1463"/>
      <c r="AE1464" s="1463"/>
      <c r="AF1464" s="1463"/>
    </row>
    <row r="1465" spans="1:32" ht="13.8">
      <c r="A1465" s="1468"/>
      <c r="B1465" s="1468"/>
      <c r="C1465" s="1468"/>
      <c r="D1465" s="1468"/>
      <c r="E1465" s="1468"/>
      <c r="F1465" s="1468"/>
      <c r="G1465" s="1468"/>
      <c r="H1465" s="1468"/>
      <c r="I1465" s="1468"/>
      <c r="J1465" s="1468"/>
      <c r="K1465" s="1468"/>
      <c r="L1465" s="1468"/>
      <c r="M1465" s="1468"/>
      <c r="N1465" s="1468"/>
      <c r="O1465" s="1468"/>
      <c r="P1465" s="1468"/>
      <c r="Q1465" s="1445"/>
      <c r="R1465" s="1463"/>
      <c r="S1465" s="1463"/>
      <c r="T1465" s="1463"/>
      <c r="U1465" s="1463"/>
      <c r="V1465" s="1463"/>
      <c r="W1465" s="1463"/>
      <c r="X1465" s="1463"/>
      <c r="Y1465" s="1463"/>
      <c r="Z1465" s="1463"/>
      <c r="AA1465" s="1463"/>
      <c r="AB1465" s="1463"/>
      <c r="AC1465" s="1463"/>
      <c r="AD1465" s="1463"/>
      <c r="AE1465" s="1463"/>
      <c r="AF1465" s="1463"/>
    </row>
    <row r="1466" spans="1:32" ht="13.8">
      <c r="A1466" s="1463"/>
      <c r="B1466" s="1463"/>
      <c r="C1466" s="1463"/>
      <c r="D1466" s="1463"/>
      <c r="E1466" s="1463"/>
      <c r="F1466" s="1463"/>
      <c r="G1466" s="1463"/>
      <c r="H1466" s="1463"/>
      <c r="I1466" s="1463"/>
      <c r="J1466" s="1463"/>
      <c r="K1466" s="1463"/>
      <c r="L1466" s="1463"/>
      <c r="M1466" s="1463"/>
      <c r="N1466" s="1463"/>
      <c r="O1466" s="1470"/>
      <c r="P1466" s="1470"/>
      <c r="Q1466" s="1463"/>
      <c r="R1466" s="1463"/>
      <c r="S1466" s="1463"/>
      <c r="T1466" s="1463"/>
      <c r="U1466" s="1463"/>
      <c r="V1466" s="1463"/>
      <c r="W1466" s="1463"/>
      <c r="X1466" s="1463"/>
      <c r="Y1466" s="1463"/>
      <c r="Z1466" s="1463"/>
      <c r="AA1466" s="1463"/>
      <c r="AB1466" s="1463"/>
      <c r="AC1466" s="1463"/>
      <c r="AD1466" s="1463"/>
      <c r="AE1466" s="1463"/>
      <c r="AF1466" s="1463"/>
    </row>
    <row r="1467" spans="1:32" ht="13.8">
      <c r="A1467" s="1463"/>
      <c r="B1467" s="1463"/>
      <c r="C1467" s="1463"/>
      <c r="D1467" s="1463"/>
      <c r="E1467" s="1463"/>
      <c r="F1467" s="1463"/>
      <c r="G1467" s="1463"/>
      <c r="H1467" s="1463"/>
      <c r="I1467" s="1463"/>
      <c r="J1467" s="1463"/>
      <c r="K1467" s="1463"/>
      <c r="L1467" s="1463"/>
      <c r="M1467" s="1463"/>
      <c r="N1467" s="2568"/>
      <c r="O1467" s="2569"/>
      <c r="P1467" s="2569"/>
      <c r="Q1467" s="1463"/>
      <c r="R1467" s="1463"/>
      <c r="S1467" s="1463"/>
      <c r="T1467" s="1463"/>
      <c r="U1467" s="1463"/>
      <c r="V1467" s="1463"/>
      <c r="W1467" s="1463"/>
      <c r="X1467" s="1463"/>
      <c r="Y1467" s="1463"/>
      <c r="Z1467" s="1463"/>
      <c r="AA1467" s="1463"/>
      <c r="AB1467" s="1463"/>
      <c r="AC1467" s="1463"/>
      <c r="AD1467" s="1463"/>
      <c r="AE1467" s="1463"/>
      <c r="AF1467" s="1463"/>
    </row>
    <row r="1468" spans="1:32" ht="13.8">
      <c r="A1468" s="1730" t="s">
        <v>1528</v>
      </c>
      <c r="B1468" s="1731" t="s">
        <v>1932</v>
      </c>
      <c r="C1468" s="1463"/>
      <c r="D1468" s="1463"/>
      <c r="E1468" s="2150" t="str">
        <f>IF(AND(O1468&gt;0,NOT($H$11="New Affordability"),NOT($C$16="9%")), "Ineligible, not New Affordability and 9%!","")</f>
        <v/>
      </c>
      <c r="F1468" s="1463"/>
      <c r="G1468" s="2164" t="str">
        <f>'Part VIII Scoring Criteria'!H256</f>
        <v>9%</v>
      </c>
      <c r="H1468" s="2179" t="str">
        <f>'Part VIII Scoring Criteria'!I256</f>
        <v>Rural</v>
      </c>
      <c r="I1468" s="1463"/>
      <c r="J1468" s="1463"/>
      <c r="K1468" s="1463"/>
      <c r="L1468" s="2146" t="s">
        <v>1743</v>
      </c>
      <c r="M1468" s="2567">
        <v>4</v>
      </c>
      <c r="N1468" s="1454"/>
      <c r="O1468" s="1462">
        <f>'Part VIII Scoring Criteria'!AA256</f>
        <v>0</v>
      </c>
      <c r="P1468" s="1462">
        <f>'Part VIII Scoring Criteria'!AB256</f>
        <v>0</v>
      </c>
      <c r="Q1468" s="2567" t="s">
        <v>1744</v>
      </c>
      <c r="R1468" s="2150"/>
      <c r="S1468" s="1445"/>
      <c r="T1468" s="1445"/>
      <c r="U1468" s="1445"/>
      <c r="V1468" s="1445"/>
      <c r="W1468" s="1470"/>
      <c r="X1468" s="1470"/>
      <c r="Y1468" s="1463"/>
      <c r="Z1468" s="1463"/>
      <c r="AA1468" s="1463"/>
      <c r="AB1468" s="1463"/>
      <c r="AC1468" s="1463"/>
      <c r="AD1468" s="1463"/>
      <c r="AE1468" s="1463"/>
      <c r="AF1468" s="1463"/>
    </row>
    <row r="1469" spans="1:32" ht="13.8">
      <c r="A1469" s="2247"/>
      <c r="B1469" s="1468" t="s">
        <v>1933</v>
      </c>
      <c r="C1469" s="1468"/>
      <c r="D1469" s="1468"/>
      <c r="E1469" s="1468"/>
      <c r="F1469" s="1468"/>
      <c r="G1469" s="1463"/>
      <c r="H1469" s="1463"/>
      <c r="I1469" s="1463"/>
      <c r="J1469" s="1463"/>
      <c r="K1469" s="1463"/>
      <c r="L1469" s="1463"/>
      <c r="M1469" s="1463"/>
      <c r="N1469" s="2157"/>
      <c r="O1469" s="2567">
        <f>'Part VIII Scoring Criteria'!AA257</f>
        <v>0</v>
      </c>
      <c r="P1469" s="2155"/>
      <c r="Q1469" s="1468"/>
      <c r="R1469" s="1468"/>
      <c r="S1469" s="1468"/>
      <c r="T1469" s="1468"/>
      <c r="U1469" s="1463"/>
      <c r="V1469" s="1463"/>
      <c r="W1469" s="1468"/>
      <c r="X1469" s="1468"/>
      <c r="Y1469" s="1468"/>
      <c r="Z1469" s="1468"/>
      <c r="AA1469" s="1468"/>
      <c r="AB1469" s="1463"/>
      <c r="AC1469" s="1463"/>
      <c r="AD1469" s="1463"/>
      <c r="AE1469" s="1463"/>
      <c r="AF1469" s="1463"/>
    </row>
    <row r="1470" spans="1:32" ht="15" customHeight="1">
      <c r="A1470" s="2247"/>
      <c r="B1470" s="1468"/>
      <c r="C1470" s="1468"/>
      <c r="D1470" s="1468"/>
      <c r="E1470" s="1468"/>
      <c r="F1470" s="1468"/>
      <c r="G1470" s="2568" t="s">
        <v>1935</v>
      </c>
      <c r="H1470" s="1463" t="s">
        <v>46</v>
      </c>
      <c r="I1470" s="1463"/>
      <c r="J1470" s="1463"/>
      <c r="K1470" s="1463" t="s">
        <v>1934</v>
      </c>
      <c r="L1470" s="1463"/>
      <c r="M1470" s="1463"/>
      <c r="N1470" s="2568"/>
      <c r="O1470" s="2568"/>
      <c r="P1470" s="2568"/>
      <c r="Q1470" s="1468"/>
      <c r="R1470" s="1468"/>
      <c r="S1470" s="1468"/>
      <c r="T1470" s="1468"/>
      <c r="U1470" s="1463"/>
      <c r="V1470" s="1463"/>
      <c r="W1470" s="1468"/>
      <c r="X1470" s="1468"/>
      <c r="Y1470" s="1468"/>
      <c r="Z1470" s="1468"/>
      <c r="AA1470" s="1468"/>
      <c r="AB1470" s="1463"/>
      <c r="AC1470" s="1463"/>
      <c r="AD1470" s="1463"/>
      <c r="AE1470" s="1463"/>
      <c r="AF1470" s="1463"/>
    </row>
    <row r="1471" spans="1:32" ht="13.8">
      <c r="A1471" s="2247"/>
      <c r="B1471" s="2247"/>
      <c r="C1471" s="1463"/>
      <c r="D1471" s="1464" t="s">
        <v>1936</v>
      </c>
      <c r="E1471" s="1463"/>
      <c r="F1471" s="1463"/>
      <c r="G1471" s="1465">
        <f>'Part VIII Scoring Criteria'!F259</f>
        <v>0</v>
      </c>
      <c r="H1471" s="1465">
        <f>'Part VIII Scoring Criteria'!G259</f>
        <v>0</v>
      </c>
      <c r="I1471" s="1446"/>
      <c r="J1471" s="1446"/>
      <c r="K1471" s="2248">
        <f>'Part VIII Scoring Criteria'!J259</f>
        <v>0</v>
      </c>
      <c r="L1471" s="2248"/>
      <c r="M1471" s="2248"/>
      <c r="N1471" s="2157"/>
      <c r="O1471" s="2155"/>
      <c r="P1471" s="2155"/>
      <c r="Q1471" s="1468"/>
      <c r="R1471" s="1468"/>
      <c r="S1471" s="1468"/>
      <c r="T1471" s="1468"/>
      <c r="U1471" s="1463"/>
      <c r="V1471" s="1463"/>
      <c r="W1471" s="1468"/>
      <c r="X1471" s="1468"/>
      <c r="Y1471" s="1468"/>
      <c r="Z1471" s="1468"/>
      <c r="AA1471" s="1468"/>
      <c r="AB1471" s="1463"/>
      <c r="AC1471" s="1463"/>
      <c r="AD1471" s="1463"/>
      <c r="AE1471" s="1463"/>
      <c r="AF1471" s="1463"/>
    </row>
    <row r="1472" spans="1:32" ht="13.8">
      <c r="A1472" s="2169"/>
      <c r="B1472" s="2247"/>
      <c r="C1472" s="1446"/>
      <c r="D1472" s="1465" t="s">
        <v>1937</v>
      </c>
      <c r="E1472" s="1446"/>
      <c r="F1472" s="1446"/>
      <c r="G1472" s="1465">
        <f>'Part VIII Scoring Criteria'!F260</f>
        <v>0</v>
      </c>
      <c r="H1472" s="1465">
        <f>'Part VIII Scoring Criteria'!G260</f>
        <v>0</v>
      </c>
      <c r="I1472" s="1446"/>
      <c r="J1472" s="1446"/>
      <c r="K1472" s="2248">
        <f>'Part VIII Scoring Criteria'!J260</f>
        <v>0</v>
      </c>
      <c r="L1472" s="2248"/>
      <c r="M1472" s="2248"/>
      <c r="N1472" s="1446"/>
      <c r="O1472" s="1446"/>
      <c r="P1472" s="1446"/>
      <c r="Q1472" s="1446"/>
      <c r="R1472" s="1446"/>
      <c r="S1472" s="1446"/>
      <c r="T1472" s="1446"/>
      <c r="U1472" s="1446"/>
      <c r="V1472" s="1446"/>
      <c r="W1472" s="1446"/>
      <c r="X1472" s="1446"/>
      <c r="Y1472" s="1446"/>
      <c r="Z1472" s="1446"/>
      <c r="AA1472" s="1446"/>
      <c r="AB1472" s="1446"/>
      <c r="AC1472" s="1446"/>
      <c r="AD1472" s="1446"/>
      <c r="AE1472" s="1446"/>
      <c r="AF1472" s="1446"/>
    </row>
    <row r="1473" spans="1:32" ht="13.8">
      <c r="A1473" s="1446"/>
      <c r="B1473" s="1463"/>
      <c r="C1473" s="1463"/>
      <c r="D1473" s="1446"/>
      <c r="E1473" s="1446"/>
      <c r="F1473" s="2567"/>
      <c r="G1473" s="2567"/>
      <c r="H1473" s="1445"/>
      <c r="I1473" s="1445"/>
      <c r="J1473" s="1446"/>
      <c r="K1473" s="1446"/>
      <c r="L1473" s="1446"/>
      <c r="M1473" s="1446"/>
      <c r="N1473" s="2567"/>
      <c r="O1473" s="2569"/>
      <c r="P1473" s="1462"/>
      <c r="Q1473" s="1463"/>
      <c r="R1473" s="1463"/>
      <c r="S1473" s="1463"/>
      <c r="T1473" s="1463"/>
      <c r="U1473" s="1463"/>
      <c r="V1473" s="1463"/>
      <c r="W1473" s="1463"/>
      <c r="X1473" s="1463"/>
      <c r="Y1473" s="1463"/>
      <c r="Z1473" s="1463"/>
      <c r="AA1473" s="1463"/>
      <c r="AB1473" s="1463"/>
      <c r="AC1473" s="1463"/>
      <c r="AD1473" s="1463"/>
      <c r="AE1473" s="1463"/>
      <c r="AF1473" s="1463"/>
    </row>
    <row r="1474" spans="1:32" ht="14.4">
      <c r="A1474" s="1446"/>
      <c r="B1474" s="2142" t="s">
        <v>7607</v>
      </c>
      <c r="C1474" s="1446"/>
      <c r="D1474" s="1446"/>
      <c r="E1474" s="1446"/>
      <c r="F1474" s="1446"/>
      <c r="G1474" s="1446"/>
      <c r="H1474" s="1446"/>
      <c r="I1474" s="1446"/>
      <c r="J1474" s="1446"/>
      <c r="K1474" s="1446"/>
      <c r="L1474" s="1463"/>
      <c r="M1474" s="1454"/>
      <c r="N1474" s="2568"/>
      <c r="O1474" s="1462"/>
      <c r="P1474" s="2569"/>
      <c r="Q1474" s="1463"/>
      <c r="R1474" s="1463"/>
      <c r="S1474" s="1463"/>
      <c r="T1474" s="1463"/>
      <c r="U1474" s="1463"/>
      <c r="V1474" s="1463"/>
      <c r="W1474" s="1463"/>
      <c r="X1474" s="1463"/>
      <c r="Y1474" s="1463"/>
      <c r="Z1474" s="1463"/>
      <c r="AA1474" s="1463"/>
      <c r="AB1474" s="1463"/>
      <c r="AC1474" s="1463"/>
      <c r="AD1474" s="1463"/>
      <c r="AE1474" s="1463"/>
      <c r="AF1474" s="1463"/>
    </row>
    <row r="1475" spans="1:32" ht="13.8">
      <c r="A1475" s="1469" t="str">
        <f>'Part VIII Scoring Criteria'!A263</f>
        <v>The applicant is not claiming points under this section, therefore it has been intentionally left blank.</v>
      </c>
      <c r="B1475" s="1468"/>
      <c r="C1475" s="1468"/>
      <c r="D1475" s="1468"/>
      <c r="E1475" s="1468"/>
      <c r="F1475" s="1468"/>
      <c r="G1475" s="1468"/>
      <c r="H1475" s="1468"/>
      <c r="I1475" s="1468"/>
      <c r="J1475" s="1468"/>
      <c r="K1475" s="1468"/>
      <c r="L1475" s="1468"/>
      <c r="M1475" s="1468"/>
      <c r="N1475" s="1468"/>
      <c r="O1475" s="1468"/>
      <c r="P1475" s="1468"/>
      <c r="Q1475" s="1445"/>
      <c r="R1475" s="1463"/>
      <c r="S1475" s="1463"/>
      <c r="T1475" s="1463"/>
      <c r="U1475" s="1463"/>
      <c r="V1475" s="1463"/>
      <c r="W1475" s="1463"/>
      <c r="X1475" s="1463"/>
      <c r="Y1475" s="1463"/>
      <c r="Z1475" s="1463"/>
      <c r="AA1475" s="1463"/>
      <c r="AB1475" s="1463"/>
      <c r="AC1475" s="1463"/>
      <c r="AD1475" s="1463"/>
      <c r="AE1475" s="1463"/>
      <c r="AF1475" s="1463"/>
    </row>
    <row r="1476" spans="1:32" ht="14.4">
      <c r="A1476" s="1463"/>
      <c r="B1476" s="2160" t="s">
        <v>1453</v>
      </c>
      <c r="C1476" s="1446"/>
      <c r="D1476" s="2160"/>
      <c r="E1476" s="1468"/>
      <c r="F1476" s="1468"/>
      <c r="G1476" s="1468"/>
      <c r="H1476" s="1468"/>
      <c r="I1476" s="1468"/>
      <c r="J1476" s="1468"/>
      <c r="K1476" s="1468"/>
      <c r="L1476" s="1468"/>
      <c r="M1476" s="1468"/>
      <c r="N1476" s="1468"/>
      <c r="O1476" s="2136"/>
      <c r="P1476" s="1445"/>
      <c r="Q1476" s="1463"/>
      <c r="R1476" s="1463"/>
      <c r="S1476" s="1463"/>
      <c r="T1476" s="1463"/>
      <c r="U1476" s="1463"/>
      <c r="V1476" s="1463"/>
      <c r="W1476" s="1463"/>
      <c r="X1476" s="1463"/>
      <c r="Y1476" s="1463"/>
      <c r="Z1476" s="1463"/>
      <c r="AA1476" s="1463"/>
      <c r="AB1476" s="1463"/>
      <c r="AC1476" s="1463"/>
      <c r="AD1476" s="1463"/>
      <c r="AE1476" s="1463"/>
      <c r="AF1476" s="1463"/>
    </row>
    <row r="1477" spans="1:32" ht="13.8">
      <c r="A1477" s="1468"/>
      <c r="B1477" s="1468"/>
      <c r="C1477" s="1468"/>
      <c r="D1477" s="1468"/>
      <c r="E1477" s="1468"/>
      <c r="F1477" s="1468"/>
      <c r="G1477" s="1468"/>
      <c r="H1477" s="1468"/>
      <c r="I1477" s="1468"/>
      <c r="J1477" s="1468"/>
      <c r="K1477" s="1468"/>
      <c r="L1477" s="1468"/>
      <c r="M1477" s="1468"/>
      <c r="N1477" s="1468"/>
      <c r="O1477" s="1468"/>
      <c r="P1477" s="1468"/>
      <c r="Q1477" s="1445"/>
      <c r="R1477" s="1463"/>
      <c r="S1477" s="1463"/>
      <c r="T1477" s="1463"/>
      <c r="U1477" s="1463"/>
      <c r="V1477" s="1463"/>
      <c r="W1477" s="1463"/>
      <c r="X1477" s="1463"/>
      <c r="Y1477" s="1463"/>
      <c r="Z1477" s="1463"/>
      <c r="AA1477" s="1463"/>
      <c r="AB1477" s="1463"/>
      <c r="AC1477" s="1463"/>
      <c r="AD1477" s="1463"/>
      <c r="AE1477" s="1463"/>
      <c r="AF1477" s="1463"/>
    </row>
    <row r="1478" spans="1:32" ht="13.8">
      <c r="A1478" s="1463"/>
      <c r="B1478" s="1463"/>
      <c r="C1478" s="1463"/>
      <c r="D1478" s="1463"/>
      <c r="E1478" s="1463"/>
      <c r="F1478" s="1463"/>
      <c r="G1478" s="1463"/>
      <c r="H1478" s="1463"/>
      <c r="I1478" s="1463"/>
      <c r="J1478" s="1463"/>
      <c r="K1478" s="1463"/>
      <c r="L1478" s="1463"/>
      <c r="M1478" s="1463"/>
      <c r="N1478" s="1463"/>
      <c r="O1478" s="1470"/>
      <c r="P1478" s="1470"/>
      <c r="Q1478" s="1463"/>
      <c r="R1478" s="1463"/>
      <c r="S1478" s="1463"/>
      <c r="T1478" s="1463"/>
      <c r="U1478" s="1463"/>
      <c r="V1478" s="1463"/>
      <c r="W1478" s="1463"/>
      <c r="X1478" s="1463"/>
      <c r="Y1478" s="1463"/>
      <c r="Z1478" s="1463"/>
      <c r="AA1478" s="1463"/>
      <c r="AB1478" s="1463"/>
      <c r="AC1478" s="1463"/>
      <c r="AD1478" s="1463"/>
      <c r="AE1478" s="1463"/>
      <c r="AF1478" s="1463"/>
    </row>
    <row r="1479" spans="1:32" ht="13.8">
      <c r="A1479" s="1463"/>
      <c r="B1479" s="1463"/>
      <c r="C1479" s="1463"/>
      <c r="D1479" s="1463"/>
      <c r="E1479" s="1463"/>
      <c r="F1479" s="1463"/>
      <c r="G1479" s="1463"/>
      <c r="H1479" s="1463"/>
      <c r="I1479" s="1463"/>
      <c r="J1479" s="1463"/>
      <c r="K1479" s="1463"/>
      <c r="L1479" s="1463"/>
      <c r="M1479" s="1463"/>
      <c r="N1479" s="2568"/>
      <c r="O1479" s="2569"/>
      <c r="P1479" s="2569"/>
      <c r="Q1479" s="1463"/>
      <c r="R1479" s="1463"/>
      <c r="S1479" s="1463"/>
      <c r="T1479" s="1463"/>
      <c r="U1479" s="1463"/>
      <c r="V1479" s="1463"/>
      <c r="W1479" s="1463"/>
      <c r="X1479" s="1463"/>
      <c r="Y1479" s="1463"/>
      <c r="Z1479" s="1463"/>
      <c r="AA1479" s="1463"/>
      <c r="AB1479" s="1463"/>
      <c r="AC1479" s="1463"/>
      <c r="AD1479" s="1463"/>
      <c r="AE1479" s="1463"/>
      <c r="AF1479" s="1463"/>
    </row>
    <row r="1480" spans="1:32" ht="13.8">
      <c r="A1480" s="1730" t="s">
        <v>1548</v>
      </c>
      <c r="B1480" s="1731" t="s">
        <v>1938</v>
      </c>
      <c r="C1480" s="1463"/>
      <c r="D1480" s="1463"/>
      <c r="E1480" s="1463"/>
      <c r="F1480" s="1463"/>
      <c r="G1480" s="2147"/>
      <c r="H1480" s="1463"/>
      <c r="I1480" s="1737" t="str">
        <f>IF($O$274&gt;0,"Points already claimed in another restricted section!","")</f>
        <v/>
      </c>
      <c r="J1480" s="1463"/>
      <c r="K1480" s="2246" t="e">
        <f>IF(AND(SUM(O1482,O1485,O1489)&gt;0,NOT($H$11="New Affordability"),NOT($C$16="9%")), "Not 9% New Affordability!","")</f>
        <v>#REF!</v>
      </c>
      <c r="L1480" s="2146" t="s">
        <v>1743</v>
      </c>
      <c r="M1480" s="2567">
        <v>5</v>
      </c>
      <c r="N1480" s="1454"/>
      <c r="O1480" s="1462">
        <f>'Part VIII Scoring Criteria'!AA268</f>
        <v>0</v>
      </c>
      <c r="P1480" s="1462">
        <f>'Part VIII Scoring Criteria'!AB268</f>
        <v>0</v>
      </c>
      <c r="Q1480" s="2567" t="s">
        <v>1744</v>
      </c>
      <c r="R1480" s="2150"/>
      <c r="S1480" s="1445"/>
      <c r="T1480" s="1445"/>
      <c r="U1480" s="1445"/>
      <c r="V1480" s="1445"/>
      <c r="W1480" s="1470"/>
      <c r="X1480" s="1470"/>
      <c r="Y1480" s="1463"/>
      <c r="Z1480" s="1463"/>
      <c r="AA1480" s="1463"/>
      <c r="AB1480" s="1463"/>
      <c r="AC1480" s="1463"/>
      <c r="AD1480" s="1463"/>
      <c r="AE1480" s="1463"/>
      <c r="AF1480" s="1463"/>
    </row>
    <row r="1481" spans="1:32" ht="13.8">
      <c r="A1481" s="1463"/>
      <c r="B1481" s="1463" t="s">
        <v>7644</v>
      </c>
      <c r="C1481" s="1463"/>
      <c r="D1481" s="1463"/>
      <c r="E1481" s="1463"/>
      <c r="F1481" s="1463"/>
      <c r="G1481" s="1463"/>
      <c r="H1481" s="1463"/>
      <c r="I1481" s="1463"/>
      <c r="J1481" s="1463"/>
      <c r="K1481" s="1463"/>
      <c r="L1481" s="1463"/>
      <c r="M1481" s="1463"/>
      <c r="N1481" s="2568"/>
      <c r="O1481" s="2569"/>
      <c r="P1481" s="2569"/>
      <c r="Q1481" s="1463"/>
      <c r="R1481" s="1463"/>
      <c r="S1481" s="1463"/>
      <c r="T1481" s="1463"/>
      <c r="U1481" s="1463"/>
      <c r="V1481" s="1463"/>
      <c r="W1481" s="1463"/>
      <c r="X1481" s="1463"/>
      <c r="Y1481" s="1463"/>
      <c r="Z1481" s="1463"/>
      <c r="AA1481" s="1463"/>
      <c r="AB1481" s="1463"/>
      <c r="AC1481" s="1463"/>
      <c r="AD1481" s="1463"/>
      <c r="AE1481" s="1463"/>
      <c r="AF1481" s="1463"/>
    </row>
    <row r="1482" spans="1:32" ht="13.8">
      <c r="A1482" s="2567" t="s">
        <v>186</v>
      </c>
      <c r="B1482" s="1445" t="s">
        <v>7645</v>
      </c>
      <c r="C1482" s="1446"/>
      <c r="D1482" s="1446"/>
      <c r="E1482" s="1446"/>
      <c r="F1482" s="1446"/>
      <c r="G1482" s="1446"/>
      <c r="H1482" s="1446"/>
      <c r="I1482" s="1446"/>
      <c r="J1482" s="1446"/>
      <c r="K1482" s="1446"/>
      <c r="L1482" s="2180" t="s">
        <v>1743</v>
      </c>
      <c r="M1482" s="1454">
        <v>5</v>
      </c>
      <c r="N1482" s="1733"/>
      <c r="O1482" s="2567" t="e">
        <f>'Part VIII Scoring Criteria'!#REF!</f>
        <v>#REF!</v>
      </c>
      <c r="P1482" s="1462"/>
      <c r="Q1482" s="2149" t="e">
        <f>IF(OR($O1482&lt;=$M1482,$O1482=""),"","*CHECK!*")</f>
        <v>#REF!</v>
      </c>
      <c r="R1482" s="2150"/>
      <c r="S1482" s="1445"/>
      <c r="T1482" s="1445"/>
      <c r="U1482" s="1445"/>
      <c r="V1482" s="1445"/>
      <c r="W1482" s="1446"/>
      <c r="X1482" s="1446"/>
      <c r="Y1482" s="1446"/>
      <c r="Z1482" s="1446"/>
      <c r="AA1482" s="1446"/>
      <c r="AB1482" s="1446"/>
      <c r="AC1482" s="1446"/>
      <c r="AD1482" s="1446"/>
      <c r="AE1482" s="1446"/>
      <c r="AF1482" s="1446"/>
    </row>
    <row r="1483" spans="1:32" ht="13.8">
      <c r="A1483" s="1463"/>
      <c r="B1483" s="1463"/>
      <c r="C1483" s="1463" t="s">
        <v>7646</v>
      </c>
      <c r="D1483" s="1463"/>
      <c r="E1483" s="1463"/>
      <c r="F1483" s="1463"/>
      <c r="G1483" s="1463"/>
      <c r="H1483" s="1463"/>
      <c r="I1483" s="1463"/>
      <c r="J1483" s="1463"/>
      <c r="K1483" s="1463"/>
      <c r="L1483" s="1463"/>
      <c r="M1483" s="1463"/>
      <c r="N1483" s="2568"/>
      <c r="O1483" s="2567" t="e">
        <f>'Part VIII Scoring Criteria'!#REF!</f>
        <v>#REF!</v>
      </c>
      <c r="P1483" s="1462"/>
      <c r="Q1483" s="1463"/>
      <c r="R1483" s="1463"/>
      <c r="S1483" s="1463"/>
      <c r="T1483" s="1463"/>
      <c r="U1483" s="1463"/>
      <c r="V1483" s="1463"/>
      <c r="W1483" s="1463"/>
      <c r="X1483" s="1463"/>
      <c r="Y1483" s="1463"/>
      <c r="Z1483" s="1463"/>
      <c r="AA1483" s="1463"/>
      <c r="AB1483" s="1463"/>
      <c r="AC1483" s="1463"/>
      <c r="AD1483" s="1463"/>
      <c r="AE1483" s="1463"/>
      <c r="AF1483" s="1463"/>
    </row>
    <row r="1484" spans="1:32" ht="13.8">
      <c r="A1484" s="1463"/>
      <c r="B1484" s="1463"/>
      <c r="C1484" s="1463" t="s">
        <v>7647</v>
      </c>
      <c r="D1484" s="1463"/>
      <c r="E1484" s="1463"/>
      <c r="F1484" s="1463"/>
      <c r="G1484" s="1463"/>
      <c r="H1484" s="1463"/>
      <c r="I1484" s="1463"/>
      <c r="J1484" s="1463"/>
      <c r="K1484" s="1463"/>
      <c r="L1484" s="1463"/>
      <c r="M1484" s="1463"/>
      <c r="N1484" s="2568"/>
      <c r="O1484" s="2567" t="e">
        <f>'Part VIII Scoring Criteria'!#REF!</f>
        <v>#REF!</v>
      </c>
      <c r="P1484" s="1462"/>
      <c r="Q1484" s="1463"/>
      <c r="R1484" s="1463"/>
      <c r="S1484" s="1463"/>
      <c r="T1484" s="1463"/>
      <c r="U1484" s="1463"/>
      <c r="V1484" s="1463"/>
      <c r="W1484" s="1463"/>
      <c r="X1484" s="1463"/>
      <c r="Y1484" s="1463"/>
      <c r="Z1484" s="1463"/>
      <c r="AA1484" s="1463"/>
      <c r="AB1484" s="1463"/>
      <c r="AC1484" s="1463"/>
      <c r="AD1484" s="1463"/>
      <c r="AE1484" s="1463"/>
      <c r="AF1484" s="1463"/>
    </row>
    <row r="1485" spans="1:32" ht="13.8">
      <c r="A1485" s="2567" t="s">
        <v>198</v>
      </c>
      <c r="B1485" s="1445" t="s">
        <v>1940</v>
      </c>
      <c r="C1485" s="1446"/>
      <c r="D1485" s="1446"/>
      <c r="E1485" s="1446"/>
      <c r="F1485" s="1446"/>
      <c r="G1485" s="1446"/>
      <c r="H1485" s="1446"/>
      <c r="I1485" s="1446"/>
      <c r="J1485" s="1446"/>
      <c r="K1485" s="1446"/>
      <c r="L1485" s="2180" t="s">
        <v>1743</v>
      </c>
      <c r="M1485" s="1454">
        <v>3</v>
      </c>
      <c r="N1485" s="1733"/>
      <c r="O1485" s="2567">
        <f>'Part VIII Scoring Criteria'!AA270</f>
        <v>0</v>
      </c>
      <c r="P1485" s="1462"/>
      <c r="Q1485" s="2149" t="str">
        <f>IF(OR($O1485&lt;=$M1485,$O1485=""),"","*CHECK!*")</f>
        <v/>
      </c>
      <c r="R1485" s="2150"/>
      <c r="S1485" s="1446"/>
      <c r="T1485" s="1446"/>
      <c r="U1485" s="1446"/>
      <c r="V1485" s="1446"/>
      <c r="W1485" s="1446"/>
      <c r="X1485" s="1446"/>
      <c r="Y1485" s="1446"/>
      <c r="Z1485" s="1446"/>
      <c r="AA1485" s="1446"/>
      <c r="AB1485" s="1446"/>
      <c r="AC1485" s="1446"/>
      <c r="AD1485" s="1446"/>
      <c r="AE1485" s="1446"/>
      <c r="AF1485" s="1446"/>
    </row>
    <row r="1486" spans="1:32" ht="13.8">
      <c r="A1486" s="1463"/>
      <c r="B1486" s="1463"/>
      <c r="C1486" s="1463" t="s">
        <v>7648</v>
      </c>
      <c r="D1486" s="1463"/>
      <c r="E1486" s="1463"/>
      <c r="F1486" s="1463"/>
      <c r="G1486" s="1463"/>
      <c r="H1486" s="1463"/>
      <c r="I1486" s="1463"/>
      <c r="J1486" s="1463"/>
      <c r="K1486" s="1463"/>
      <c r="L1486" s="1463"/>
      <c r="M1486" s="1463"/>
      <c r="N1486" s="2568"/>
      <c r="O1486" s="2567" t="e">
        <f>'Part VIII Scoring Criteria'!#REF!</f>
        <v>#REF!</v>
      </c>
      <c r="P1486" s="1462"/>
      <c r="Q1486" s="1463"/>
      <c r="R1486" s="1463"/>
      <c r="S1486" s="1463"/>
      <c r="T1486" s="1463"/>
      <c r="U1486" s="1463"/>
      <c r="V1486" s="1463"/>
      <c r="W1486" s="1463"/>
      <c r="X1486" s="1463"/>
      <c r="Y1486" s="1463"/>
      <c r="Z1486" s="1463"/>
      <c r="AA1486" s="1463"/>
      <c r="AB1486" s="1463"/>
      <c r="AC1486" s="1463"/>
      <c r="AD1486" s="1463"/>
      <c r="AE1486" s="1463"/>
      <c r="AF1486" s="1463"/>
    </row>
    <row r="1487" spans="1:32" ht="13.8">
      <c r="A1487" s="1463"/>
      <c r="B1487" s="1463"/>
      <c r="C1487" s="1463" t="s">
        <v>1942</v>
      </c>
      <c r="D1487" s="1463"/>
      <c r="E1487" s="1463"/>
      <c r="F1487" s="1463"/>
      <c r="G1487" s="1463"/>
      <c r="H1487" s="1463"/>
      <c r="I1487" s="1463"/>
      <c r="J1487" s="1463"/>
      <c r="K1487" s="1463"/>
      <c r="L1487" s="2220">
        <f>O1373</f>
        <v>0</v>
      </c>
      <c r="M1487" s="1463"/>
      <c r="N1487" s="2568"/>
      <c r="O1487" s="2567">
        <f>'Part VIII Scoring Criteria'!AA272</f>
        <v>0</v>
      </c>
      <c r="P1487" s="1462"/>
      <c r="Q1487" s="1463"/>
      <c r="R1487" s="1463"/>
      <c r="S1487" s="1463"/>
      <c r="T1487" s="1463"/>
      <c r="U1487" s="1463"/>
      <c r="V1487" s="1463"/>
      <c r="W1487" s="1463"/>
      <c r="X1487" s="1463"/>
      <c r="Y1487" s="1463"/>
      <c r="Z1487" s="1463"/>
      <c r="AA1487" s="1463"/>
      <c r="AB1487" s="1463"/>
      <c r="AC1487" s="1463"/>
      <c r="AD1487" s="1463"/>
      <c r="AE1487" s="1463"/>
      <c r="AF1487" s="1463"/>
    </row>
    <row r="1488" spans="1:32" ht="13.8">
      <c r="A1488" s="1463"/>
      <c r="B1488" s="1463"/>
      <c r="C1488" s="1463" t="s">
        <v>1944</v>
      </c>
      <c r="D1488" s="1463"/>
      <c r="E1488" s="1463"/>
      <c r="F1488" s="1463"/>
      <c r="G1488" s="1463"/>
      <c r="H1488" s="1463"/>
      <c r="I1488" s="1463"/>
      <c r="J1488" s="1463"/>
      <c r="K1488" s="1463"/>
      <c r="L1488" s="1463"/>
      <c r="M1488" s="1463"/>
      <c r="N1488" s="2568"/>
      <c r="O1488" s="2567">
        <f>'Part VIII Scoring Criteria'!AA271</f>
        <v>0</v>
      </c>
      <c r="P1488" s="1462"/>
      <c r="Q1488" s="1463"/>
      <c r="R1488" s="1463"/>
      <c r="S1488" s="1463"/>
      <c r="T1488" s="1463"/>
      <c r="U1488" s="1463"/>
      <c r="V1488" s="1463"/>
      <c r="W1488" s="1463"/>
      <c r="X1488" s="1463"/>
      <c r="Y1488" s="1463"/>
      <c r="Z1488" s="1463"/>
      <c r="AA1488" s="1463"/>
      <c r="AB1488" s="1463"/>
      <c r="AC1488" s="1463"/>
      <c r="AD1488" s="1463"/>
      <c r="AE1488" s="1463"/>
      <c r="AF1488" s="1463"/>
    </row>
    <row r="1489" spans="1:32" ht="13.8">
      <c r="A1489" s="2567" t="s">
        <v>219</v>
      </c>
      <c r="B1489" s="1445" t="s">
        <v>1943</v>
      </c>
      <c r="C1489" s="1463"/>
      <c r="D1489" s="1463"/>
      <c r="E1489" s="1463"/>
      <c r="F1489" s="1463"/>
      <c r="G1489" s="1465"/>
      <c r="H1489" s="1463"/>
      <c r="I1489" s="2147"/>
      <c r="J1489" s="1463"/>
      <c r="K1489" s="1463"/>
      <c r="L1489" s="2180" t="s">
        <v>1743</v>
      </c>
      <c r="M1489" s="1454">
        <v>3</v>
      </c>
      <c r="N1489" s="1733"/>
      <c r="O1489" s="2567">
        <f>'Part VIII Scoring Criteria'!AA273</f>
        <v>0</v>
      </c>
      <c r="P1489" s="1462"/>
      <c r="Q1489" s="2149" t="str">
        <f>IF(OR($O1489&lt;=$M1489,$O1489=""),"","*CHECK!*")</f>
        <v/>
      </c>
      <c r="R1489" s="2150"/>
      <c r="S1489" s="1463"/>
      <c r="T1489" s="1463"/>
      <c r="U1489" s="1463"/>
      <c r="V1489" s="1463"/>
      <c r="W1489" s="1463"/>
      <c r="X1489" s="1463"/>
      <c r="Y1489" s="1463"/>
      <c r="Z1489" s="1463"/>
      <c r="AA1489" s="1463"/>
      <c r="AB1489" s="1463"/>
      <c r="AC1489" s="1463"/>
      <c r="AD1489" s="1463"/>
      <c r="AE1489" s="1463"/>
      <c r="AF1489" s="1463"/>
    </row>
    <row r="1490" spans="1:32" ht="13.8">
      <c r="A1490" s="1463"/>
      <c r="B1490" s="1463"/>
      <c r="C1490" s="1463" t="s">
        <v>7649</v>
      </c>
      <c r="D1490" s="1463"/>
      <c r="E1490" s="1463"/>
      <c r="F1490" s="1463"/>
      <c r="G1490" s="1463"/>
      <c r="H1490" s="1463"/>
      <c r="I1490" s="1463"/>
      <c r="J1490" s="1463"/>
      <c r="K1490" s="1463"/>
      <c r="L1490" s="1463"/>
      <c r="M1490" s="1463"/>
      <c r="N1490" s="2568"/>
      <c r="O1490" s="2249">
        <f>'Part VIII Scoring Criteria'!AA275</f>
        <v>0</v>
      </c>
      <c r="P1490" s="2249"/>
      <c r="Q1490" s="1463"/>
      <c r="R1490" s="1463"/>
      <c r="S1490" s="1463"/>
      <c r="T1490" s="1463"/>
      <c r="U1490" s="1463"/>
      <c r="V1490" s="1463"/>
      <c r="W1490" s="1463"/>
      <c r="X1490" s="1463"/>
      <c r="Y1490" s="1463"/>
      <c r="Z1490" s="1463"/>
      <c r="AA1490" s="1463"/>
      <c r="AB1490" s="1463"/>
      <c r="AC1490" s="1463"/>
      <c r="AD1490" s="1463"/>
      <c r="AE1490" s="1463"/>
      <c r="AF1490" s="1463"/>
    </row>
    <row r="1491" spans="1:32" ht="13.8">
      <c r="A1491" s="1463"/>
      <c r="B1491" s="1463"/>
      <c r="C1491" s="1463"/>
      <c r="D1491" s="1463"/>
      <c r="E1491" s="1463"/>
      <c r="F1491" s="1463"/>
      <c r="G1491" s="1463"/>
      <c r="H1491" s="1463"/>
      <c r="I1491" s="1463"/>
      <c r="J1491" s="1463"/>
      <c r="K1491" s="1463"/>
      <c r="L1491" s="1463"/>
      <c r="M1491" s="1463"/>
      <c r="N1491" s="2568"/>
      <c r="O1491" s="2569"/>
      <c r="P1491" s="2569"/>
      <c r="Q1491" s="1463"/>
      <c r="R1491" s="1463"/>
      <c r="S1491" s="1463"/>
      <c r="T1491" s="1463"/>
      <c r="U1491" s="1463"/>
      <c r="V1491" s="1463"/>
      <c r="W1491" s="1463"/>
      <c r="X1491" s="1463"/>
      <c r="Y1491" s="1463"/>
      <c r="Z1491" s="1463"/>
      <c r="AA1491" s="1463"/>
      <c r="AB1491" s="1463"/>
      <c r="AC1491" s="1463"/>
      <c r="AD1491" s="1463"/>
      <c r="AE1491" s="1463"/>
      <c r="AF1491" s="1463"/>
    </row>
    <row r="1492" spans="1:32" ht="14.4">
      <c r="A1492" s="1446"/>
      <c r="B1492" s="2142" t="s">
        <v>7607</v>
      </c>
      <c r="C1492" s="1446"/>
      <c r="D1492" s="1446"/>
      <c r="E1492" s="1446"/>
      <c r="F1492" s="1446"/>
      <c r="G1492" s="1446"/>
      <c r="H1492" s="1446"/>
      <c r="I1492" s="1446"/>
      <c r="J1492" s="1446"/>
      <c r="K1492" s="1446"/>
      <c r="L1492" s="1463"/>
      <c r="M1492" s="1454"/>
      <c r="N1492" s="2568"/>
      <c r="O1492" s="1462"/>
      <c r="P1492" s="2569"/>
      <c r="Q1492" s="1463"/>
      <c r="R1492" s="1463"/>
      <c r="S1492" s="1463"/>
      <c r="T1492" s="1463"/>
      <c r="U1492" s="1463"/>
      <c r="V1492" s="1463"/>
      <c r="W1492" s="1463"/>
      <c r="X1492" s="1463"/>
      <c r="Y1492" s="1463"/>
      <c r="Z1492" s="1463"/>
      <c r="AA1492" s="1463"/>
      <c r="AB1492" s="1463"/>
      <c r="AC1492" s="1463"/>
      <c r="AD1492" s="1463"/>
      <c r="AE1492" s="1463"/>
      <c r="AF1492" s="1463"/>
    </row>
    <row r="1493" spans="1:32" ht="13.8">
      <c r="A1493" s="1469" t="str">
        <f>'Part VIII Scoring Criteria'!A278</f>
        <v>The applicant is not claiming points under this section, therefore it has been intentionally left blank.</v>
      </c>
      <c r="B1493" s="1468"/>
      <c r="C1493" s="1468"/>
      <c r="D1493" s="1468"/>
      <c r="E1493" s="1468"/>
      <c r="F1493" s="1468"/>
      <c r="G1493" s="1468"/>
      <c r="H1493" s="1468"/>
      <c r="I1493" s="1468"/>
      <c r="J1493" s="1468"/>
      <c r="K1493" s="1468"/>
      <c r="L1493" s="1468"/>
      <c r="M1493" s="1468"/>
      <c r="N1493" s="1468"/>
      <c r="O1493" s="1468"/>
      <c r="P1493" s="1468"/>
      <c r="Q1493" s="1445"/>
      <c r="R1493" s="1463"/>
      <c r="S1493" s="1463"/>
      <c r="T1493" s="1463"/>
      <c r="U1493" s="1463"/>
      <c r="V1493" s="1463"/>
      <c r="W1493" s="1463"/>
      <c r="X1493" s="1463"/>
      <c r="Y1493" s="1463"/>
      <c r="Z1493" s="1463"/>
      <c r="AA1493" s="1463"/>
      <c r="AB1493" s="1463"/>
      <c r="AC1493" s="1463"/>
      <c r="AD1493" s="1463"/>
      <c r="AE1493" s="1463"/>
      <c r="AF1493" s="1463"/>
    </row>
    <row r="1494" spans="1:32" ht="14.4">
      <c r="A1494" s="1463"/>
      <c r="B1494" s="2160" t="s">
        <v>1453</v>
      </c>
      <c r="C1494" s="1446"/>
      <c r="D1494" s="2160"/>
      <c r="E1494" s="1468"/>
      <c r="F1494" s="1468"/>
      <c r="G1494" s="1468"/>
      <c r="H1494" s="1468"/>
      <c r="I1494" s="1468"/>
      <c r="J1494" s="1468"/>
      <c r="K1494" s="1468"/>
      <c r="L1494" s="1468"/>
      <c r="M1494" s="1468"/>
      <c r="N1494" s="1468"/>
      <c r="O1494" s="2136"/>
      <c r="P1494" s="1445"/>
      <c r="Q1494" s="1463"/>
      <c r="R1494" s="1463"/>
      <c r="S1494" s="1463"/>
      <c r="T1494" s="1463"/>
      <c r="U1494" s="1463"/>
      <c r="V1494" s="1463"/>
      <c r="W1494" s="1463"/>
      <c r="X1494" s="1463"/>
      <c r="Y1494" s="1463"/>
      <c r="Z1494" s="1463"/>
      <c r="AA1494" s="1463"/>
      <c r="AB1494" s="1463"/>
      <c r="AC1494" s="1463"/>
      <c r="AD1494" s="1463"/>
      <c r="AE1494" s="1463"/>
      <c r="AF1494" s="1463"/>
    </row>
    <row r="1495" spans="1:32" ht="13.8">
      <c r="A1495" s="1468"/>
      <c r="B1495" s="1468"/>
      <c r="C1495" s="1468"/>
      <c r="D1495" s="1468"/>
      <c r="E1495" s="1468"/>
      <c r="F1495" s="1468"/>
      <c r="G1495" s="1468"/>
      <c r="H1495" s="1468"/>
      <c r="I1495" s="1468"/>
      <c r="J1495" s="1468"/>
      <c r="K1495" s="1468"/>
      <c r="L1495" s="1468"/>
      <c r="M1495" s="1468"/>
      <c r="N1495" s="1468"/>
      <c r="O1495" s="1468"/>
      <c r="P1495" s="1468"/>
      <c r="Q1495" s="1445"/>
      <c r="R1495" s="1463"/>
      <c r="S1495" s="1463"/>
      <c r="T1495" s="1463"/>
      <c r="U1495" s="1463"/>
      <c r="V1495" s="1463"/>
      <c r="W1495" s="1463"/>
      <c r="X1495" s="1463"/>
      <c r="Y1495" s="1463"/>
      <c r="Z1495" s="1463"/>
      <c r="AA1495" s="1463"/>
      <c r="AB1495" s="1463"/>
      <c r="AC1495" s="1463"/>
      <c r="AD1495" s="1463"/>
      <c r="AE1495" s="1463"/>
      <c r="AF1495" s="1463"/>
    </row>
    <row r="1496" spans="1:32" ht="13.8">
      <c r="A1496" s="1463"/>
      <c r="B1496" s="1463"/>
      <c r="C1496" s="1463"/>
      <c r="D1496" s="1463"/>
      <c r="E1496" s="1463"/>
      <c r="F1496" s="1463"/>
      <c r="G1496" s="1463"/>
      <c r="H1496" s="1463"/>
      <c r="I1496" s="1463"/>
      <c r="J1496" s="1463"/>
      <c r="K1496" s="1463"/>
      <c r="L1496" s="1463"/>
      <c r="M1496" s="1463"/>
      <c r="N1496" s="1463"/>
      <c r="O1496" s="1470"/>
      <c r="P1496" s="1470"/>
      <c r="Q1496" s="1463"/>
      <c r="R1496" s="1463"/>
      <c r="S1496" s="1463"/>
      <c r="T1496" s="1463"/>
      <c r="U1496" s="1463"/>
      <c r="V1496" s="1463"/>
      <c r="W1496" s="1463"/>
      <c r="X1496" s="1463"/>
      <c r="Y1496" s="1463"/>
      <c r="Z1496" s="1463"/>
      <c r="AA1496" s="1463"/>
      <c r="AB1496" s="1463"/>
      <c r="AC1496" s="1463"/>
      <c r="AD1496" s="1463"/>
      <c r="AE1496" s="1463"/>
      <c r="AF1496" s="1463"/>
    </row>
    <row r="1497" spans="1:32" ht="13.8">
      <c r="A1497" s="1463"/>
      <c r="B1497" s="1463"/>
      <c r="C1497" s="1463"/>
      <c r="D1497" s="1463"/>
      <c r="E1497" s="1463"/>
      <c r="F1497" s="1463"/>
      <c r="G1497" s="1463"/>
      <c r="H1497" s="1463"/>
      <c r="I1497" s="1463"/>
      <c r="J1497" s="1463"/>
      <c r="K1497" s="1463"/>
      <c r="L1497" s="1463"/>
      <c r="M1497" s="1463"/>
      <c r="N1497" s="2568"/>
      <c r="O1497" s="2569"/>
      <c r="P1497" s="2569"/>
      <c r="Q1497" s="1463"/>
      <c r="R1497" s="1463"/>
      <c r="S1497" s="1463"/>
      <c r="T1497" s="1463"/>
      <c r="U1497" s="1463"/>
      <c r="V1497" s="1463"/>
      <c r="W1497" s="1463"/>
      <c r="X1497" s="1463"/>
      <c r="Y1497" s="1463"/>
      <c r="Z1497" s="1463"/>
      <c r="AA1497" s="1463"/>
      <c r="AB1497" s="1463"/>
      <c r="AC1497" s="1463"/>
      <c r="AD1497" s="1463"/>
      <c r="AE1497" s="1463"/>
      <c r="AF1497" s="1463"/>
    </row>
    <row r="1498" spans="1:32" ht="14.4">
      <c r="A1498" s="1730" t="s">
        <v>1557</v>
      </c>
      <c r="B1498" s="1731" t="s">
        <v>1923</v>
      </c>
      <c r="C1498" s="1446"/>
      <c r="D1498" s="1731"/>
      <c r="E1498" s="1731"/>
      <c r="F1498" s="1446"/>
      <c r="G1498" s="2162"/>
      <c r="H1498" s="1446"/>
      <c r="I1498" s="1446"/>
      <c r="J1498" s="1737" t="str">
        <f>IF(OR($O$206&gt;0,$O$238&gt;0,$O$265&gt;0),"Points already claimed in another restricted section!","")</f>
        <v/>
      </c>
      <c r="K1498" s="1737" t="str">
        <f>IF(AND(O1498&gt;0,NOT($H$11="New Affordability")), "Not New Affordability!","")</f>
        <v/>
      </c>
      <c r="L1498" s="2146" t="s">
        <v>1743</v>
      </c>
      <c r="M1498" s="2567">
        <v>10</v>
      </c>
      <c r="N1498" s="1454"/>
      <c r="O1498" s="1462">
        <f>'Part VIII Scoring Criteria'!AA233</f>
        <v>0</v>
      </c>
      <c r="P1498" s="1462">
        <f>'Part VIII Scoring Criteria'!AB233</f>
        <v>0</v>
      </c>
      <c r="Q1498" s="2567" t="s">
        <v>1744</v>
      </c>
      <c r="R1498" s="2231" t="s">
        <v>1881</v>
      </c>
      <c r="S1498" s="1445"/>
      <c r="T1498" s="1445"/>
      <c r="U1498" s="1445"/>
      <c r="V1498" s="2227">
        <f>$H$15</f>
        <v>0</v>
      </c>
      <c r="W1498" s="1446"/>
      <c r="X1498" s="1446"/>
      <c r="Y1498" s="1446"/>
      <c r="Z1498" s="1446"/>
      <c r="AA1498" s="1446"/>
      <c r="AB1498" s="1446"/>
      <c r="AC1498" s="1446"/>
      <c r="AD1498" s="1446"/>
      <c r="AE1498" s="1446"/>
      <c r="AF1498" s="1446"/>
    </row>
    <row r="1499" spans="1:32" ht="13.8">
      <c r="A1499" s="1730"/>
      <c r="B1499" s="1731"/>
      <c r="C1499" s="1446"/>
      <c r="D1499" s="1731"/>
      <c r="E1499" s="1731"/>
      <c r="F1499" s="1446"/>
      <c r="G1499" s="1446"/>
      <c r="H1499" s="1446"/>
      <c r="I1499" s="1446"/>
      <c r="J1499" s="1446"/>
      <c r="K1499" s="1446"/>
      <c r="L1499" s="1737"/>
      <c r="M1499" s="2567"/>
      <c r="N1499" s="1454"/>
      <c r="O1499" s="1462"/>
      <c r="P1499" s="1462"/>
      <c r="Q1499" s="2567"/>
      <c r="R1499" s="2150"/>
      <c r="S1499" s="1445"/>
      <c r="T1499" s="1445"/>
      <c r="U1499" s="1445"/>
      <c r="V1499" s="1463"/>
      <c r="W1499" s="1463"/>
      <c r="X1499" s="1463"/>
      <c r="Y1499" s="1446"/>
      <c r="Z1499" s="1446"/>
      <c r="AA1499" s="1446"/>
      <c r="AB1499" s="1446"/>
      <c r="AC1499" s="1446"/>
      <c r="AD1499" s="1446"/>
      <c r="AE1499" s="1446"/>
      <c r="AF1499" s="1446"/>
    </row>
    <row r="1500" spans="1:32" ht="13.8">
      <c r="A1500" s="1730"/>
      <c r="B1500" s="1446"/>
      <c r="C1500" s="1446" t="s">
        <v>1924</v>
      </c>
      <c r="D1500" s="1731"/>
      <c r="E1500" s="1731"/>
      <c r="F1500" s="1446"/>
      <c r="G1500" s="1446"/>
      <c r="H1500" s="1446"/>
      <c r="I1500" s="1446"/>
      <c r="J1500" s="2567" t="s">
        <v>1730</v>
      </c>
      <c r="K1500" s="2567" t="s">
        <v>1724</v>
      </c>
      <c r="L1500" s="1737"/>
      <c r="M1500" s="2567"/>
      <c r="N1500" s="1454"/>
      <c r="O1500" s="1462"/>
      <c r="P1500" s="1462"/>
      <c r="Q1500" s="2567"/>
      <c r="R1500" s="2150"/>
      <c r="S1500" s="1445"/>
      <c r="T1500" s="1445"/>
      <c r="U1500" s="1445"/>
      <c r="V1500" s="1463"/>
      <c r="W1500" s="1463"/>
      <c r="X1500" s="1463"/>
      <c r="Y1500" s="1446"/>
      <c r="Z1500" s="1446"/>
      <c r="AA1500" s="1446"/>
      <c r="AB1500" s="1446"/>
      <c r="AC1500" s="1446"/>
      <c r="AD1500" s="1446"/>
      <c r="AE1500" s="1446"/>
      <c r="AF1500" s="1446"/>
    </row>
    <row r="1501" spans="1:32" ht="13.8">
      <c r="A1501" s="1730"/>
      <c r="B1501" s="1731"/>
      <c r="C1501" s="1446"/>
      <c r="D1501" s="1446" t="s">
        <v>1925</v>
      </c>
      <c r="E1501" s="1731"/>
      <c r="F1501" s="1446"/>
      <c r="G1501" s="1446"/>
      <c r="H1501" s="1446"/>
      <c r="I1501" s="1446"/>
      <c r="J1501" s="2220">
        <f>'Part VIII Scoring Criteria'!T236</f>
        <v>0</v>
      </c>
      <c r="K1501" s="2220">
        <f>'Part VIII Scoring Criteria'!U236</f>
        <v>0</v>
      </c>
      <c r="L1501" s="1737"/>
      <c r="M1501" s="1445" t="str">
        <f>'Part VIII Scoring Criteria'!Y236</f>
        <v>Rural</v>
      </c>
      <c r="N1501" s="1445"/>
      <c r="O1501" s="1445"/>
      <c r="P1501" s="1445"/>
      <c r="Q1501" s="2567"/>
      <c r="R1501" s="2150"/>
      <c r="S1501" s="1445"/>
      <c r="T1501" s="1445"/>
      <c r="U1501" s="1445"/>
      <c r="V1501" s="1463"/>
      <c r="W1501" s="1463"/>
      <c r="X1501" s="1463"/>
      <c r="Y1501" s="1446"/>
      <c r="Z1501" s="1446"/>
      <c r="AA1501" s="1446"/>
      <c r="AB1501" s="1446"/>
      <c r="AC1501" s="1446"/>
      <c r="AD1501" s="1446"/>
      <c r="AE1501" s="1446"/>
      <c r="AF1501" s="1446"/>
    </row>
    <row r="1502" spans="1:32" ht="13.8">
      <c r="A1502" s="1730"/>
      <c r="B1502" s="1731"/>
      <c r="C1502" s="1446"/>
      <c r="D1502" s="1446" t="s">
        <v>1926</v>
      </c>
      <c r="E1502" s="1731"/>
      <c r="F1502" s="1446"/>
      <c r="G1502" s="1446"/>
      <c r="H1502" s="1446"/>
      <c r="I1502" s="1446"/>
      <c r="J1502" s="2140">
        <f>'Part VIII Scoring Criteria'!T237</f>
        <v>10</v>
      </c>
      <c r="K1502" s="2140">
        <f>'Part VIII Scoring Criteria'!U237</f>
        <v>0</v>
      </c>
      <c r="L1502" s="1737"/>
      <c r="M1502" s="1445"/>
      <c r="N1502" s="1446"/>
      <c r="O1502" s="2161"/>
      <c r="P1502" s="2161"/>
      <c r="Q1502" s="2567"/>
      <c r="R1502" s="2150"/>
      <c r="S1502" s="1445"/>
      <c r="T1502" s="1445"/>
      <c r="U1502" s="1445"/>
      <c r="V1502" s="1463"/>
      <c r="W1502" s="1463"/>
      <c r="X1502" s="1463"/>
      <c r="Y1502" s="1446"/>
      <c r="Z1502" s="1446"/>
      <c r="AA1502" s="1446"/>
      <c r="AB1502" s="1446"/>
      <c r="AC1502" s="1446"/>
      <c r="AD1502" s="1446"/>
      <c r="AE1502" s="1446"/>
      <c r="AF1502" s="1446"/>
    </row>
    <row r="1503" spans="1:32" ht="13.8">
      <c r="A1503" s="1730"/>
      <c r="B1503" s="1731"/>
      <c r="C1503" s="1446"/>
      <c r="D1503" s="1731"/>
      <c r="E1503" s="1731"/>
      <c r="F1503" s="1446"/>
      <c r="G1503" s="1446"/>
      <c r="H1503" s="1446"/>
      <c r="I1503" s="1446"/>
      <c r="J1503" s="1446"/>
      <c r="K1503" s="1446"/>
      <c r="L1503" s="1737"/>
      <c r="M1503" s="2567"/>
      <c r="N1503" s="1454"/>
      <c r="O1503" s="1462"/>
      <c r="P1503" s="1462"/>
      <c r="Q1503" s="2567"/>
      <c r="R1503" s="2150"/>
      <c r="S1503" s="1445"/>
      <c r="T1503" s="1445"/>
      <c r="U1503" s="1445"/>
      <c r="V1503" s="1463"/>
      <c r="W1503" s="1463"/>
      <c r="X1503" s="1463"/>
      <c r="Y1503" s="1446"/>
      <c r="Z1503" s="1446"/>
      <c r="AA1503" s="1446"/>
      <c r="AB1503" s="1446"/>
      <c r="AC1503" s="1446"/>
      <c r="AD1503" s="1446"/>
      <c r="AE1503" s="1446"/>
      <c r="AF1503" s="1446"/>
    </row>
    <row r="1504" spans="1:32" ht="13.8">
      <c r="A1504" s="2567" t="s">
        <v>186</v>
      </c>
      <c r="B1504" s="2166" t="s">
        <v>1927</v>
      </c>
      <c r="C1504" s="1463"/>
      <c r="D1504" s="1469"/>
      <c r="E1504" s="1469"/>
      <c r="F1504" s="1469"/>
      <c r="G1504" s="1469"/>
      <c r="H1504" s="1469"/>
      <c r="I1504" s="1463"/>
      <c r="J1504" s="1463"/>
      <c r="K1504" s="1463"/>
      <c r="L1504" s="2148" t="str">
        <f t="shared" ref="L1504:L1505" si="456">IF(OR($O1504=$M1504,$O1504=0,$O1504=""),"","* * Check Score! * *")</f>
        <v/>
      </c>
      <c r="M1504" s="1454">
        <v>5</v>
      </c>
      <c r="N1504" s="1733"/>
      <c r="O1504" s="2567">
        <f>'Part VIII Scoring Criteria'!AA239</f>
        <v>0</v>
      </c>
      <c r="P1504" s="1462"/>
      <c r="Q1504" s="2568"/>
      <c r="R1504" s="1445"/>
      <c r="S1504" s="1445"/>
      <c r="T1504" s="1445"/>
      <c r="U1504" s="1445"/>
      <c r="V1504" s="1445"/>
      <c r="W1504" s="1463"/>
      <c r="X1504" s="1463"/>
      <c r="Y1504" s="1463"/>
      <c r="Z1504" s="1463"/>
      <c r="AA1504" s="1463"/>
      <c r="AB1504" s="1463"/>
      <c r="AC1504" s="1463"/>
      <c r="AD1504" s="1463"/>
      <c r="AE1504" s="1463"/>
      <c r="AF1504" s="1463"/>
    </row>
    <row r="1505" spans="1:32" ht="13.8">
      <c r="A1505" s="2567" t="s">
        <v>198</v>
      </c>
      <c r="B1505" s="2166" t="s">
        <v>1928</v>
      </c>
      <c r="C1505" s="1463"/>
      <c r="D1505" s="1469"/>
      <c r="E1505" s="1463"/>
      <c r="F1505" s="1463"/>
      <c r="G1505" s="1463"/>
      <c r="H1505" s="1463"/>
      <c r="I1505" s="1463"/>
      <c r="J1505" s="2250" t="str">
        <f>'Part VIII Scoring Criteria'!K240</f>
        <v>Currently not eligible</v>
      </c>
      <c r="K1505" s="1463"/>
      <c r="L1505" s="2148" t="str">
        <f t="shared" si="456"/>
        <v/>
      </c>
      <c r="M1505" s="1454">
        <v>5</v>
      </c>
      <c r="N1505" s="1733"/>
      <c r="O1505" s="1462">
        <f>'Part VIII Scoring Criteria'!AA240</f>
        <v>0</v>
      </c>
      <c r="P1505" s="1462">
        <f>'Part VIII Scoring Criteria'!AB240</f>
        <v>0</v>
      </c>
      <c r="Q1505" s="2568"/>
      <c r="R1505" s="1445"/>
      <c r="S1505" s="1445"/>
      <c r="T1505" s="1445"/>
      <c r="U1505" s="1445"/>
      <c r="V1505" s="1445"/>
      <c r="W1505" s="1463"/>
      <c r="X1505" s="1463"/>
      <c r="Y1505" s="1463"/>
      <c r="Z1505" s="1463"/>
      <c r="AA1505" s="1463"/>
      <c r="AB1505" s="1463"/>
      <c r="AC1505" s="1463"/>
      <c r="AD1505" s="1463"/>
      <c r="AE1505" s="1463"/>
      <c r="AF1505" s="1463"/>
    </row>
    <row r="1506" spans="1:32" ht="14.4">
      <c r="A1506" s="1446"/>
      <c r="B1506" s="2142" t="s">
        <v>7607</v>
      </c>
      <c r="C1506" s="1446"/>
      <c r="D1506" s="1446"/>
      <c r="E1506" s="1446"/>
      <c r="F1506" s="1446"/>
      <c r="G1506" s="1446"/>
      <c r="H1506" s="1446"/>
      <c r="I1506" s="1446"/>
      <c r="J1506" s="1446"/>
      <c r="K1506" s="1446"/>
      <c r="L1506" s="1463"/>
      <c r="M1506" s="1454"/>
      <c r="N1506" s="2568"/>
      <c r="O1506" s="1462"/>
      <c r="P1506" s="2569"/>
      <c r="Q1506" s="1463"/>
      <c r="R1506" s="1445"/>
      <c r="S1506" s="1445"/>
      <c r="T1506" s="1445"/>
      <c r="U1506" s="1445"/>
      <c r="V1506" s="1445"/>
      <c r="W1506" s="1463"/>
      <c r="X1506" s="1463"/>
      <c r="Y1506" s="1463"/>
      <c r="Z1506" s="1463"/>
      <c r="AA1506" s="1463"/>
      <c r="AB1506" s="1463"/>
      <c r="AC1506" s="1463"/>
      <c r="AD1506" s="1463"/>
      <c r="AE1506" s="1463"/>
      <c r="AF1506" s="1463"/>
    </row>
    <row r="1507" spans="1:32" ht="13.8">
      <c r="A1507" s="1469" t="str">
        <f>'Part VIII Scoring Criteria'!A242</f>
        <v>The applicant is not claiming points under this section, therefore it has been intentionally left blank.</v>
      </c>
      <c r="B1507" s="1468"/>
      <c r="C1507" s="1468"/>
      <c r="D1507" s="1468"/>
      <c r="E1507" s="1468"/>
      <c r="F1507" s="1468"/>
      <c r="G1507" s="1468"/>
      <c r="H1507" s="1468"/>
      <c r="I1507" s="1468"/>
      <c r="J1507" s="1468"/>
      <c r="K1507" s="1468"/>
      <c r="L1507" s="1468"/>
      <c r="M1507" s="1468"/>
      <c r="N1507" s="1468"/>
      <c r="O1507" s="1468"/>
      <c r="P1507" s="1468"/>
      <c r="Q1507" s="1445"/>
      <c r="R1507" s="1463"/>
      <c r="S1507" s="1463"/>
      <c r="T1507" s="1463"/>
      <c r="U1507" s="1463"/>
      <c r="V1507" s="1463"/>
      <c r="W1507" s="1463"/>
      <c r="X1507" s="1463"/>
      <c r="Y1507" s="1463"/>
      <c r="Z1507" s="1463"/>
      <c r="AA1507" s="1463"/>
      <c r="AB1507" s="1463"/>
      <c r="AC1507" s="1463"/>
      <c r="AD1507" s="1463"/>
      <c r="AE1507" s="1463"/>
      <c r="AF1507" s="1463"/>
    </row>
    <row r="1508" spans="1:32" ht="14.4">
      <c r="A1508" s="1446"/>
      <c r="B1508" s="2160" t="s">
        <v>1453</v>
      </c>
      <c r="C1508" s="1446"/>
      <c r="D1508" s="2160"/>
      <c r="E1508" s="1468"/>
      <c r="F1508" s="1468"/>
      <c r="G1508" s="1468"/>
      <c r="H1508" s="1468"/>
      <c r="I1508" s="1468"/>
      <c r="J1508" s="1468"/>
      <c r="K1508" s="1468"/>
      <c r="L1508" s="1468"/>
      <c r="M1508" s="1468"/>
      <c r="N1508" s="1468"/>
      <c r="O1508" s="2136"/>
      <c r="P1508" s="1445"/>
      <c r="Q1508" s="1463"/>
      <c r="R1508" s="1463"/>
      <c r="S1508" s="1463"/>
      <c r="T1508" s="1463"/>
      <c r="U1508" s="1463"/>
      <c r="V1508" s="1463"/>
      <c r="W1508" s="1463"/>
      <c r="X1508" s="1463"/>
      <c r="Y1508" s="1463"/>
      <c r="Z1508" s="1463"/>
      <c r="AA1508" s="1463"/>
      <c r="AB1508" s="1463"/>
      <c r="AC1508" s="1463"/>
      <c r="AD1508" s="1463"/>
      <c r="AE1508" s="1463"/>
      <c r="AF1508" s="1463"/>
    </row>
    <row r="1509" spans="1:32" ht="13.8">
      <c r="A1509" s="1468"/>
      <c r="B1509" s="1468"/>
      <c r="C1509" s="1468"/>
      <c r="D1509" s="1468"/>
      <c r="E1509" s="1468"/>
      <c r="F1509" s="1468"/>
      <c r="G1509" s="1468"/>
      <c r="H1509" s="1468"/>
      <c r="I1509" s="1468"/>
      <c r="J1509" s="1468"/>
      <c r="K1509" s="1468"/>
      <c r="L1509" s="1468"/>
      <c r="M1509" s="1468"/>
      <c r="N1509" s="1468"/>
      <c r="O1509" s="1468"/>
      <c r="P1509" s="1468"/>
      <c r="Q1509" s="1445"/>
      <c r="R1509" s="1463"/>
      <c r="S1509" s="1463"/>
      <c r="T1509" s="1463"/>
      <c r="U1509" s="1463"/>
      <c r="V1509" s="1463"/>
      <c r="W1509" s="1463"/>
      <c r="X1509" s="1463"/>
      <c r="Y1509" s="1463"/>
      <c r="Z1509" s="1463"/>
      <c r="AA1509" s="1463"/>
      <c r="AB1509" s="1463"/>
      <c r="AC1509" s="1463"/>
      <c r="AD1509" s="1463"/>
      <c r="AE1509" s="1463"/>
      <c r="AF1509" s="1463"/>
    </row>
    <row r="1510" spans="1:32" ht="13.8">
      <c r="A1510" s="1463"/>
      <c r="B1510" s="1463"/>
      <c r="C1510" s="1463"/>
      <c r="D1510" s="1463"/>
      <c r="E1510" s="1463"/>
      <c r="F1510" s="1463"/>
      <c r="G1510" s="1463"/>
      <c r="H1510" s="1463"/>
      <c r="I1510" s="1463"/>
      <c r="J1510" s="1463"/>
      <c r="K1510" s="1463"/>
      <c r="L1510" s="1463"/>
      <c r="M1510" s="1463"/>
      <c r="N1510" s="1463"/>
      <c r="O1510" s="1470"/>
      <c r="P1510" s="1470"/>
      <c r="Q1510" s="1463"/>
      <c r="R1510" s="1463"/>
      <c r="S1510" s="1463"/>
      <c r="T1510" s="1463"/>
      <c r="U1510" s="1463"/>
      <c r="V1510" s="1463"/>
      <c r="W1510" s="1463"/>
      <c r="X1510" s="1463"/>
      <c r="Y1510" s="1463"/>
      <c r="Z1510" s="1463"/>
      <c r="AA1510" s="1463"/>
      <c r="AB1510" s="1463"/>
      <c r="AC1510" s="1463"/>
      <c r="AD1510" s="1463"/>
      <c r="AE1510" s="1463"/>
      <c r="AF1510" s="1463"/>
    </row>
    <row r="1511" spans="1:32" ht="13.8">
      <c r="A1511" s="1463"/>
      <c r="B1511" s="1463"/>
      <c r="C1511" s="1463"/>
      <c r="D1511" s="1463"/>
      <c r="E1511" s="1463"/>
      <c r="F1511" s="1463"/>
      <c r="G1511" s="1463"/>
      <c r="H1511" s="1463"/>
      <c r="I1511" s="1463"/>
      <c r="J1511" s="1463"/>
      <c r="K1511" s="1463"/>
      <c r="L1511" s="1463"/>
      <c r="M1511" s="1463"/>
      <c r="N1511" s="2568"/>
      <c r="O1511" s="2569"/>
      <c r="P1511" s="2569"/>
      <c r="Q1511" s="1463"/>
      <c r="R1511" s="1463"/>
      <c r="S1511" s="1463"/>
      <c r="T1511" s="1463"/>
      <c r="U1511" s="1463"/>
      <c r="V1511" s="1463"/>
      <c r="W1511" s="1463"/>
      <c r="X1511" s="1463"/>
      <c r="Y1511" s="1463"/>
      <c r="Z1511" s="1463"/>
      <c r="AA1511" s="1463"/>
      <c r="AB1511" s="1463"/>
      <c r="AC1511" s="1463"/>
      <c r="AD1511" s="1463"/>
      <c r="AE1511" s="1463"/>
      <c r="AF1511" s="1463"/>
    </row>
    <row r="1512" spans="1:32" ht="13.8">
      <c r="A1512" s="1730" t="s">
        <v>1565</v>
      </c>
      <c r="B1512" s="1731" t="s">
        <v>1946</v>
      </c>
      <c r="C1512" s="1446"/>
      <c r="D1512" s="1731"/>
      <c r="E1512" s="1731"/>
      <c r="F1512" s="1446"/>
      <c r="G1512" s="1446" t="str">
        <f>'Part VIII Scoring Criteria'!H283</f>
        <v>Rural</v>
      </c>
      <c r="H1512" s="1446"/>
      <c r="I1512" s="1446"/>
      <c r="J1512" s="2148" t="str">
        <f t="shared" ref="J1512" si="457">IF(OR($O1512=$M1512,$O1512=0,$O1512=""),"","* * Check Score! * *")</f>
        <v/>
      </c>
      <c r="K1512" s="1446"/>
      <c r="L1512" s="1737" t="str">
        <f>IF(AND(O1512&gt;0,$L$11="Atlanta Metro"), "Atlanta Metro is ineligible to score in this section!","")</f>
        <v/>
      </c>
      <c r="M1512" s="2567">
        <v>1</v>
      </c>
      <c r="N1512" s="1454"/>
      <c r="O1512" s="2567">
        <f>'Part VIII Scoring Criteria'!AA283</f>
        <v>0</v>
      </c>
      <c r="P1512" s="1739"/>
      <c r="Q1512" s="2567" t="s">
        <v>1744</v>
      </c>
      <c r="R1512" s="1445"/>
      <c r="S1512" s="1445"/>
      <c r="T1512" s="1445"/>
      <c r="U1512" s="1445"/>
      <c r="V1512" s="1445"/>
      <c r="W1512" s="1446"/>
      <c r="X1512" s="1446"/>
      <c r="Y1512" s="1446"/>
      <c r="Z1512" s="1446"/>
      <c r="AA1512" s="1446"/>
      <c r="AB1512" s="1446"/>
      <c r="AC1512" s="1446"/>
      <c r="AD1512" s="1446"/>
      <c r="AE1512" s="1446"/>
      <c r="AF1512" s="1446"/>
    </row>
    <row r="1513" spans="1:32" ht="13.8">
      <c r="A1513" s="1730"/>
      <c r="B1513" s="1731"/>
      <c r="C1513" s="1446"/>
      <c r="D1513" s="1731"/>
      <c r="E1513" s="1731"/>
      <c r="F1513" s="1446"/>
      <c r="G1513" s="1446"/>
      <c r="H1513" s="1446"/>
      <c r="I1513" s="1446"/>
      <c r="J1513" s="1446"/>
      <c r="K1513" s="1446"/>
      <c r="L1513" s="1446"/>
      <c r="M1513" s="2567"/>
      <c r="N1513" s="1446"/>
      <c r="O1513" s="1446"/>
      <c r="P1513" s="1446"/>
      <c r="Q1513" s="2567"/>
      <c r="R1513" s="1445"/>
      <c r="S1513" s="1445"/>
      <c r="T1513" s="1445"/>
      <c r="U1513" s="1445"/>
      <c r="V1513" s="1445"/>
      <c r="W1513" s="1463"/>
      <c r="X1513" s="1463"/>
      <c r="Y1513" s="1446"/>
      <c r="Z1513" s="1446"/>
      <c r="AA1513" s="1446"/>
      <c r="AB1513" s="1446"/>
      <c r="AC1513" s="1446"/>
      <c r="AD1513" s="1446"/>
      <c r="AE1513" s="1446"/>
      <c r="AF1513" s="1446"/>
    </row>
    <row r="1514" spans="1:32" ht="15" customHeight="1">
      <c r="A1514" s="1730"/>
      <c r="B1514" s="1731"/>
      <c r="C1514" s="1446" t="s">
        <v>1947</v>
      </c>
      <c r="D1514" s="1731"/>
      <c r="E1514" s="1731"/>
      <c r="F1514" s="1446"/>
      <c r="G1514" s="1446"/>
      <c r="H1514" s="1446"/>
      <c r="I1514" s="1446"/>
      <c r="J1514" s="1446"/>
      <c r="K1514" s="1446"/>
      <c r="L1514" s="1446" t="s">
        <v>1948</v>
      </c>
      <c r="M1514" s="1446"/>
      <c r="N1514" s="1446"/>
      <c r="O1514" s="1446" t="s">
        <v>1949</v>
      </c>
      <c r="P1514" s="1446"/>
      <c r="Q1514" s="2567"/>
      <c r="R1514" s="1445"/>
      <c r="S1514" s="1445"/>
      <c r="T1514" s="1445"/>
      <c r="U1514" s="1445"/>
      <c r="V1514" s="1445"/>
      <c r="W1514" s="1463"/>
      <c r="X1514" s="1463"/>
      <c r="Y1514" s="1446"/>
      <c r="Z1514" s="1446"/>
      <c r="AA1514" s="1446"/>
      <c r="AB1514" s="1446"/>
      <c r="AC1514" s="1446"/>
      <c r="AD1514" s="1446"/>
      <c r="AE1514" s="1446"/>
      <c r="AF1514" s="1446"/>
    </row>
    <row r="1515" spans="1:32" ht="13.8">
      <c r="A1515" s="1730"/>
      <c r="B1515" s="1446"/>
      <c r="C1515" s="1446" t="s">
        <v>1950</v>
      </c>
      <c r="D1515" s="1731"/>
      <c r="E1515" s="1731"/>
      <c r="F1515" s="1446" t="s">
        <v>236</v>
      </c>
      <c r="G1515" s="1446"/>
      <c r="H1515" s="1446"/>
      <c r="I1515" s="1446" t="s">
        <v>48</v>
      </c>
      <c r="J1515" s="1446"/>
      <c r="K1515" s="1454" t="s">
        <v>1951</v>
      </c>
      <c r="L1515" s="1446"/>
      <c r="M1515" s="1446"/>
      <c r="N1515" s="1446"/>
      <c r="O1515" s="1446"/>
      <c r="P1515" s="1446"/>
      <c r="Q1515" s="2567"/>
      <c r="R1515" s="1445"/>
      <c r="S1515" s="1445"/>
      <c r="T1515" s="1445"/>
      <c r="U1515" s="1445"/>
      <c r="V1515" s="1445"/>
      <c r="W1515" s="1463"/>
      <c r="X1515" s="1463"/>
      <c r="Y1515" s="1446"/>
      <c r="Z1515" s="1446"/>
      <c r="AA1515" s="1446"/>
      <c r="AB1515" s="1446"/>
      <c r="AC1515" s="1446"/>
      <c r="AD1515" s="1446"/>
      <c r="AE1515" s="1446"/>
      <c r="AF1515" s="1446"/>
    </row>
    <row r="1516" spans="1:32" ht="13.8">
      <c r="A1516" s="1730"/>
      <c r="B1516" s="2233" t="s">
        <v>201</v>
      </c>
      <c r="C1516" s="1469">
        <f>'Part VIII Scoring Criteria'!C287</f>
        <v>0</v>
      </c>
      <c r="D1516" s="2200"/>
      <c r="E1516" s="2200"/>
      <c r="F1516" s="1469">
        <f>'Part VIII Scoring Criteria'!G287</f>
        <v>0</v>
      </c>
      <c r="G1516" s="2200"/>
      <c r="H1516" s="2200"/>
      <c r="I1516" s="1469">
        <f>'Part VIII Scoring Criteria'!J287</f>
        <v>0</v>
      </c>
      <c r="J1516" s="2200"/>
      <c r="K1516" s="2251">
        <f>'Part VIII Scoring Criteria'!T287</f>
        <v>0</v>
      </c>
      <c r="L1516" s="2200">
        <f>'Part VIII Scoring Criteria'!X287</f>
        <v>0</v>
      </c>
      <c r="M1516" s="2200"/>
      <c r="N1516" s="2229"/>
      <c r="O1516" s="2200">
        <f>'Part VIII Scoring Criteria'!AA287</f>
        <v>0</v>
      </c>
      <c r="P1516" s="2229"/>
      <c r="Q1516" s="2567"/>
      <c r="R1516" s="1445"/>
      <c r="S1516" s="1445"/>
      <c r="T1516" s="1445"/>
      <c r="U1516" s="1445"/>
      <c r="V1516" s="1445"/>
      <c r="W1516" s="1463"/>
      <c r="X1516" s="1463"/>
      <c r="Y1516" s="1446"/>
      <c r="Z1516" s="1446"/>
      <c r="AA1516" s="1446"/>
      <c r="AB1516" s="1446"/>
      <c r="AC1516" s="1446"/>
      <c r="AD1516" s="1446"/>
      <c r="AE1516" s="1446"/>
      <c r="AF1516" s="1446"/>
    </row>
    <row r="1517" spans="1:32" ht="13.8">
      <c r="A1517" s="1730"/>
      <c r="B1517" s="2151" t="s">
        <v>209</v>
      </c>
      <c r="C1517" s="1469">
        <f>'Part VIII Scoring Criteria'!C288</f>
        <v>0</v>
      </c>
      <c r="D1517" s="2200"/>
      <c r="E1517" s="2200"/>
      <c r="F1517" s="1469">
        <f>'Part VIII Scoring Criteria'!G288</f>
        <v>0</v>
      </c>
      <c r="G1517" s="2200"/>
      <c r="H1517" s="2200"/>
      <c r="I1517" s="1469">
        <f>'Part VIII Scoring Criteria'!J288</f>
        <v>0</v>
      </c>
      <c r="J1517" s="2200"/>
      <c r="K1517" s="2251">
        <f>'Part VIII Scoring Criteria'!T288</f>
        <v>0</v>
      </c>
      <c r="L1517" s="2200">
        <f>'Part VIII Scoring Criteria'!X288</f>
        <v>0</v>
      </c>
      <c r="M1517" s="2200"/>
      <c r="N1517" s="2229"/>
      <c r="O1517" s="2200">
        <f>'Part VIII Scoring Criteria'!AA288</f>
        <v>0</v>
      </c>
      <c r="P1517" s="2229"/>
      <c r="Q1517" s="2567"/>
      <c r="R1517" s="1445"/>
      <c r="S1517" s="1445"/>
      <c r="T1517" s="1445"/>
      <c r="U1517" s="1445"/>
      <c r="V1517" s="1445"/>
      <c r="W1517" s="1463"/>
      <c r="X1517" s="1463"/>
      <c r="Y1517" s="1446"/>
      <c r="Z1517" s="1446"/>
      <c r="AA1517" s="1446"/>
      <c r="AB1517" s="1446"/>
      <c r="AC1517" s="1446"/>
      <c r="AD1517" s="1446"/>
      <c r="AE1517" s="1446"/>
      <c r="AF1517" s="1446"/>
    </row>
    <row r="1518" spans="1:32" ht="13.8">
      <c r="A1518" s="1730"/>
      <c r="B1518" s="2151" t="s">
        <v>213</v>
      </c>
      <c r="C1518" s="1469">
        <f>'Part VIII Scoring Criteria'!C289</f>
        <v>0</v>
      </c>
      <c r="D1518" s="2200"/>
      <c r="E1518" s="2200"/>
      <c r="F1518" s="1469">
        <f>'Part VIII Scoring Criteria'!G289</f>
        <v>0</v>
      </c>
      <c r="G1518" s="2200"/>
      <c r="H1518" s="2200"/>
      <c r="I1518" s="1469">
        <f>'Part VIII Scoring Criteria'!J289</f>
        <v>0</v>
      </c>
      <c r="J1518" s="2200"/>
      <c r="K1518" s="2251">
        <f>'Part VIII Scoring Criteria'!T289</f>
        <v>0</v>
      </c>
      <c r="L1518" s="2200">
        <f>'Part VIII Scoring Criteria'!X289</f>
        <v>0</v>
      </c>
      <c r="M1518" s="2200"/>
      <c r="N1518" s="2229"/>
      <c r="O1518" s="2200">
        <f>'Part VIII Scoring Criteria'!AA289</f>
        <v>0</v>
      </c>
      <c r="P1518" s="2229"/>
      <c r="Q1518" s="2567"/>
      <c r="R1518" s="1445"/>
      <c r="S1518" s="1445"/>
      <c r="T1518" s="1445"/>
      <c r="U1518" s="1445"/>
      <c r="V1518" s="1445"/>
      <c r="W1518" s="1463"/>
      <c r="X1518" s="1463"/>
      <c r="Y1518" s="1446"/>
      <c r="Z1518" s="1446"/>
      <c r="AA1518" s="1446"/>
      <c r="AB1518" s="1446"/>
      <c r="AC1518" s="1446"/>
      <c r="AD1518" s="1446"/>
      <c r="AE1518" s="1446"/>
      <c r="AF1518" s="1446"/>
    </row>
    <row r="1519" spans="1:32" ht="13.8">
      <c r="A1519" s="1730"/>
      <c r="B1519" s="2151" t="s">
        <v>253</v>
      </c>
      <c r="C1519" s="1469">
        <f>'Part VIII Scoring Criteria'!C290</f>
        <v>0</v>
      </c>
      <c r="D1519" s="2200"/>
      <c r="E1519" s="2200"/>
      <c r="F1519" s="1469">
        <f>'Part VIII Scoring Criteria'!G290</f>
        <v>0</v>
      </c>
      <c r="G1519" s="2200"/>
      <c r="H1519" s="2200"/>
      <c r="I1519" s="1469">
        <f>'Part VIII Scoring Criteria'!J290</f>
        <v>0</v>
      </c>
      <c r="J1519" s="2200"/>
      <c r="K1519" s="2251">
        <f>'Part VIII Scoring Criteria'!T290</f>
        <v>0</v>
      </c>
      <c r="L1519" s="2200">
        <f>'Part VIII Scoring Criteria'!X290</f>
        <v>0</v>
      </c>
      <c r="M1519" s="2200"/>
      <c r="N1519" s="2229"/>
      <c r="O1519" s="2200">
        <f>'Part VIII Scoring Criteria'!AA290</f>
        <v>0</v>
      </c>
      <c r="P1519" s="2229"/>
      <c r="Q1519" s="2567"/>
      <c r="R1519" s="1445"/>
      <c r="S1519" s="1445"/>
      <c r="T1519" s="1445"/>
      <c r="U1519" s="1445"/>
      <c r="V1519" s="1445"/>
      <c r="W1519" s="1463"/>
      <c r="X1519" s="1463"/>
      <c r="Y1519" s="1446"/>
      <c r="Z1519" s="1446"/>
      <c r="AA1519" s="1446"/>
      <c r="AB1519" s="1446"/>
      <c r="AC1519" s="1446"/>
      <c r="AD1519" s="1446"/>
      <c r="AE1519" s="1446"/>
      <c r="AF1519" s="1446"/>
    </row>
    <row r="1520" spans="1:32" ht="14.4">
      <c r="A1520" s="1446"/>
      <c r="B1520" s="2142" t="s">
        <v>7607</v>
      </c>
      <c r="C1520" s="1446"/>
      <c r="D1520" s="1446"/>
      <c r="E1520" s="1446"/>
      <c r="F1520" s="1446"/>
      <c r="G1520" s="1446"/>
      <c r="H1520" s="1446"/>
      <c r="I1520" s="1446"/>
      <c r="J1520" s="1446"/>
      <c r="K1520" s="1446"/>
      <c r="L1520" s="1463"/>
      <c r="M1520" s="1446"/>
      <c r="N1520" s="2568"/>
      <c r="O1520" s="2161"/>
      <c r="P1520" s="1470"/>
      <c r="Q1520" s="1463"/>
      <c r="R1520" s="1445"/>
      <c r="S1520" s="1445"/>
      <c r="T1520" s="1445"/>
      <c r="U1520" s="1445"/>
      <c r="V1520" s="1445"/>
      <c r="W1520" s="1463"/>
      <c r="X1520" s="1463"/>
      <c r="Y1520" s="1463"/>
      <c r="Z1520" s="1463"/>
      <c r="AA1520" s="1463"/>
      <c r="AB1520" s="1463"/>
      <c r="AC1520" s="1463"/>
      <c r="AD1520" s="1463"/>
      <c r="AE1520" s="1463"/>
      <c r="AF1520" s="1463"/>
    </row>
    <row r="1521" spans="1:32" ht="13.8">
      <c r="A1521" s="1469" t="str">
        <f>'Part VIII Scoring Criteria'!A292</f>
        <v>The applicant is not claiming points under this section, therefore it has been intentionally left blank.</v>
      </c>
      <c r="B1521" s="1468"/>
      <c r="C1521" s="1468"/>
      <c r="D1521" s="1468"/>
      <c r="E1521" s="1468"/>
      <c r="F1521" s="1468"/>
      <c r="G1521" s="1468"/>
      <c r="H1521" s="1468"/>
      <c r="I1521" s="1468"/>
      <c r="J1521" s="1468"/>
      <c r="K1521" s="1468"/>
      <c r="L1521" s="1468"/>
      <c r="M1521" s="1468"/>
      <c r="N1521" s="1468"/>
      <c r="O1521" s="1468"/>
      <c r="P1521" s="1468"/>
      <c r="Q1521" s="1445"/>
      <c r="R1521" s="1463"/>
      <c r="S1521" s="1463"/>
      <c r="T1521" s="1463"/>
      <c r="U1521" s="1463"/>
      <c r="V1521" s="1463"/>
      <c r="W1521" s="1463"/>
      <c r="X1521" s="1463"/>
      <c r="Y1521" s="1463"/>
      <c r="Z1521" s="1463"/>
      <c r="AA1521" s="1463"/>
      <c r="AB1521" s="1463"/>
      <c r="AC1521" s="1463"/>
      <c r="AD1521" s="1463"/>
      <c r="AE1521" s="1463"/>
      <c r="AF1521" s="1463"/>
    </row>
    <row r="1522" spans="1:32" ht="14.4">
      <c r="A1522" s="1446"/>
      <c r="B1522" s="2160" t="s">
        <v>1453</v>
      </c>
      <c r="C1522" s="1446"/>
      <c r="D1522" s="2160"/>
      <c r="E1522" s="1468"/>
      <c r="F1522" s="1468"/>
      <c r="G1522" s="1468"/>
      <c r="H1522" s="1468"/>
      <c r="I1522" s="1468"/>
      <c r="J1522" s="1468"/>
      <c r="K1522" s="1468"/>
      <c r="L1522" s="1468"/>
      <c r="M1522" s="1468"/>
      <c r="N1522" s="1468"/>
      <c r="O1522" s="2136"/>
      <c r="P1522" s="1445"/>
      <c r="Q1522" s="1463"/>
      <c r="R1522" s="1463"/>
      <c r="S1522" s="1463"/>
      <c r="T1522" s="1463"/>
      <c r="U1522" s="1463"/>
      <c r="V1522" s="1463"/>
      <c r="W1522" s="1463"/>
      <c r="X1522" s="1463"/>
      <c r="Y1522" s="1463"/>
      <c r="Z1522" s="1463"/>
      <c r="AA1522" s="1463"/>
      <c r="AB1522" s="1463"/>
      <c r="AC1522" s="1463"/>
      <c r="AD1522" s="1463"/>
      <c r="AE1522" s="1463"/>
      <c r="AF1522" s="1463"/>
    </row>
    <row r="1523" spans="1:32" ht="13.8">
      <c r="A1523" s="1468"/>
      <c r="B1523" s="1468"/>
      <c r="C1523" s="1468"/>
      <c r="D1523" s="1468"/>
      <c r="E1523" s="1468"/>
      <c r="F1523" s="1468"/>
      <c r="G1523" s="1468"/>
      <c r="H1523" s="1468"/>
      <c r="I1523" s="1468"/>
      <c r="J1523" s="1468"/>
      <c r="K1523" s="1468"/>
      <c r="L1523" s="1468"/>
      <c r="M1523" s="1468"/>
      <c r="N1523" s="1468"/>
      <c r="O1523" s="1468"/>
      <c r="P1523" s="1468"/>
      <c r="Q1523" s="1445"/>
      <c r="R1523" s="1463"/>
      <c r="S1523" s="1463"/>
      <c r="T1523" s="1463"/>
      <c r="U1523" s="1463"/>
      <c r="V1523" s="1463"/>
      <c r="W1523" s="1463"/>
      <c r="X1523" s="1463"/>
      <c r="Y1523" s="1463"/>
      <c r="Z1523" s="1463"/>
      <c r="AA1523" s="1463"/>
      <c r="AB1523" s="1463"/>
      <c r="AC1523" s="1463"/>
      <c r="AD1523" s="1463"/>
      <c r="AE1523" s="1463"/>
      <c r="AF1523" s="1463"/>
    </row>
    <row r="1524" spans="1:32" ht="13.8">
      <c r="A1524" s="1446"/>
      <c r="B1524" s="1463"/>
      <c r="C1524" s="1463"/>
      <c r="D1524" s="1446"/>
      <c r="E1524" s="1446"/>
      <c r="F1524" s="1445"/>
      <c r="G1524" s="1445"/>
      <c r="H1524" s="1445"/>
      <c r="I1524" s="1445"/>
      <c r="J1524" s="1446"/>
      <c r="K1524" s="1446"/>
      <c r="L1524" s="1446"/>
      <c r="M1524" s="1446"/>
      <c r="N1524" s="1445"/>
      <c r="O1524" s="1470"/>
      <c r="P1524" s="2161"/>
      <c r="Q1524" s="1463"/>
      <c r="R1524" s="1463"/>
      <c r="S1524" s="1463"/>
      <c r="T1524" s="1463"/>
      <c r="U1524" s="1463"/>
      <c r="V1524" s="1463"/>
      <c r="W1524" s="1463"/>
      <c r="X1524" s="1463"/>
      <c r="Y1524" s="1463"/>
      <c r="Z1524" s="1463"/>
      <c r="AA1524" s="1463"/>
      <c r="AB1524" s="1463"/>
      <c r="AC1524" s="1463"/>
      <c r="AD1524" s="1463"/>
      <c r="AE1524" s="1463"/>
      <c r="AF1524" s="1463"/>
    </row>
    <row r="1525" spans="1:32" ht="13.8">
      <c r="A1525" s="1446"/>
      <c r="B1525" s="1463"/>
      <c r="C1525" s="1463"/>
      <c r="D1525" s="1446"/>
      <c r="E1525" s="1446"/>
      <c r="F1525" s="2567"/>
      <c r="G1525" s="2567"/>
      <c r="H1525" s="2567"/>
      <c r="I1525" s="2567"/>
      <c r="J1525" s="1465"/>
      <c r="K1525" s="1465"/>
      <c r="L1525" s="1465"/>
      <c r="M1525" s="1454"/>
      <c r="N1525" s="2567"/>
      <c r="O1525" s="2569"/>
      <c r="P1525" s="1462"/>
      <c r="Q1525" s="1463"/>
      <c r="R1525" s="1463"/>
      <c r="S1525" s="1463"/>
      <c r="T1525" s="1463"/>
      <c r="U1525" s="1463"/>
      <c r="V1525" s="1463"/>
      <c r="W1525" s="1463"/>
      <c r="X1525" s="1463"/>
      <c r="Y1525" s="1463"/>
      <c r="Z1525" s="1463"/>
      <c r="AA1525" s="1463"/>
      <c r="AB1525" s="1463"/>
      <c r="AC1525" s="1463"/>
      <c r="AD1525" s="1463"/>
      <c r="AE1525" s="1463"/>
      <c r="AF1525" s="1463"/>
    </row>
    <row r="1526" spans="1:32" ht="13.8">
      <c r="A1526" s="1730" t="s">
        <v>1577</v>
      </c>
      <c r="B1526" s="2186" t="s">
        <v>1952</v>
      </c>
      <c r="C1526" s="1463"/>
      <c r="D1526" s="1463"/>
      <c r="E1526" s="1463"/>
      <c r="F1526" s="1463"/>
      <c r="G1526" s="1463"/>
      <c r="H1526" s="1463"/>
      <c r="I1526" s="1463"/>
      <c r="J1526" s="1463"/>
      <c r="K1526" s="1463"/>
      <c r="L1526" s="1463"/>
      <c r="M1526" s="2567">
        <v>1</v>
      </c>
      <c r="N1526" s="2568"/>
      <c r="O1526" s="1462">
        <f>'Part VIII Scoring Criteria'!AA297</f>
        <v>0</v>
      </c>
      <c r="P1526" s="1462">
        <f>'Part VIII Scoring Criteria'!AB297</f>
        <v>0</v>
      </c>
      <c r="Q1526" s="2567" t="s">
        <v>1744</v>
      </c>
      <c r="R1526" s="2150" t="str">
        <f>IF(AND(O1526&gt;0,NOT($H$11="New Affordability")), "Ineligible to score in this section, not New Affordability!","")</f>
        <v/>
      </c>
      <c r="S1526" s="1463"/>
      <c r="T1526" s="1463"/>
      <c r="U1526" s="1463"/>
      <c r="V1526" s="1463"/>
      <c r="W1526" s="1463"/>
      <c r="X1526" s="1463"/>
      <c r="Y1526" s="1463"/>
      <c r="Z1526" s="1463"/>
      <c r="AA1526" s="1463"/>
      <c r="AB1526" s="1463"/>
      <c r="AC1526" s="1463"/>
      <c r="AD1526" s="1463"/>
      <c r="AE1526" s="1463"/>
      <c r="AF1526" s="1463"/>
    </row>
    <row r="1527" spans="1:32" ht="13.8">
      <c r="A1527" s="2567" t="s">
        <v>186</v>
      </c>
      <c r="B1527" s="1470" t="s">
        <v>1953</v>
      </c>
      <c r="C1527" s="1463"/>
      <c r="D1527" s="1463"/>
      <c r="E1527" s="1463"/>
      <c r="F1527" s="1463"/>
      <c r="G1527" s="2182" t="s">
        <v>1954</v>
      </c>
      <c r="H1527" s="2252">
        <f>IF('Part V-Revenues &amp; Expenses'!$P$76=0,0,'Part V-Revenues &amp; Expenses'!$P$73/'Part V-Revenues &amp; Expenses'!$P$76)</f>
        <v>0</v>
      </c>
      <c r="I1527" s="1463"/>
      <c r="J1527" s="1463"/>
      <c r="K1527" s="1463"/>
      <c r="L1527" s="2148" t="str">
        <f t="shared" ref="L1527:L1528" si="458">IF(OR($O1527=$M1527,$O1527=0,$O1527=""),"","* * Check Score! * *")</f>
        <v/>
      </c>
      <c r="M1527" s="1454">
        <v>1</v>
      </c>
      <c r="N1527" s="1733"/>
      <c r="O1527" s="2567">
        <f>'Part VIII Scoring Criteria'!AA298</f>
        <v>0</v>
      </c>
      <c r="P1527" s="1462"/>
      <c r="Q1527" s="2149" t="str">
        <f>IF(OR($O1527=$M1527,$O1527=0,$O1527=""),"","*CHECK!*")</f>
        <v/>
      </c>
      <c r="R1527" s="2150"/>
      <c r="S1527" s="1463"/>
      <c r="T1527" s="1463"/>
      <c r="U1527" s="1463"/>
      <c r="V1527" s="1463"/>
      <c r="W1527" s="1463"/>
      <c r="X1527" s="1463"/>
      <c r="Y1527" s="1463"/>
      <c r="Z1527" s="1463"/>
      <c r="AA1527" s="1463"/>
      <c r="AB1527" s="1463"/>
      <c r="AC1527" s="1463"/>
      <c r="AD1527" s="1463"/>
      <c r="AE1527" s="1463"/>
      <c r="AF1527" s="1463"/>
    </row>
    <row r="1528" spans="1:32" ht="13.8">
      <c r="A1528" s="2567" t="s">
        <v>198</v>
      </c>
      <c r="B1528" s="1470" t="s">
        <v>1833</v>
      </c>
      <c r="C1528" s="1463"/>
      <c r="D1528" s="1463"/>
      <c r="E1528" s="1463"/>
      <c r="F1528" s="1463"/>
      <c r="G1528" s="2239" t="str">
        <f>'Part V-Revenues &amp; Expenses'!$O$62</f>
        <v>40% of Units at 60% of AMI</v>
      </c>
      <c r="H1528" s="2239"/>
      <c r="I1528" s="1463"/>
      <c r="J1528" s="1463"/>
      <c r="K1528" s="1463"/>
      <c r="L1528" s="2148" t="str">
        <f t="shared" si="458"/>
        <v/>
      </c>
      <c r="M1528" s="2568">
        <v>1</v>
      </c>
      <c r="N1528" s="1733"/>
      <c r="O1528" s="2567">
        <f>'Part VIII Scoring Criteria'!AA299</f>
        <v>0</v>
      </c>
      <c r="P1528" s="1462"/>
      <c r="Q1528" s="2149" t="str">
        <f>IF(OR($O1528=$M1528,$O1528=0,$O1528=""),"","*CHECK!*")</f>
        <v/>
      </c>
      <c r="R1528" s="2150"/>
      <c r="S1528" s="1463"/>
      <c r="T1528" s="1463"/>
      <c r="U1528" s="1463"/>
      <c r="V1528" s="1463"/>
      <c r="W1528" s="1463"/>
      <c r="X1528" s="1463"/>
      <c r="Y1528" s="1463"/>
      <c r="Z1528" s="1463"/>
      <c r="AA1528" s="1463"/>
      <c r="AB1528" s="1463"/>
      <c r="AC1528" s="1463"/>
      <c r="AD1528" s="1463"/>
      <c r="AE1528" s="1463"/>
      <c r="AF1528" s="1463"/>
    </row>
    <row r="1529" spans="1:32" ht="13.8">
      <c r="A1529" s="1470"/>
      <c r="B1529" s="2151"/>
      <c r="C1529" s="1463"/>
      <c r="D1529" s="1463"/>
      <c r="E1529" s="1463"/>
      <c r="F1529" s="1463"/>
      <c r="G1529" s="1463"/>
      <c r="H1529" s="1463"/>
      <c r="I1529" s="1463"/>
      <c r="J1529" s="1463"/>
      <c r="K1529" s="1463"/>
      <c r="L1529" s="1463"/>
      <c r="M1529" s="1454"/>
      <c r="N1529" s="2568"/>
      <c r="O1529" s="2567"/>
      <c r="P1529" s="2567"/>
      <c r="Q1529" s="1463"/>
      <c r="R1529" s="1463"/>
      <c r="S1529" s="1463"/>
      <c r="T1529" s="1463"/>
      <c r="U1529" s="1463"/>
      <c r="V1529" s="1463"/>
      <c r="W1529" s="1463"/>
      <c r="X1529" s="1463"/>
      <c r="Y1529" s="1463"/>
      <c r="Z1529" s="1463"/>
      <c r="AA1529" s="1463"/>
      <c r="AB1529" s="1463"/>
      <c r="AC1529" s="1463"/>
      <c r="AD1529" s="1463"/>
      <c r="AE1529" s="1463"/>
      <c r="AF1529" s="1463"/>
    </row>
    <row r="1530" spans="1:32" ht="14.4">
      <c r="A1530" s="1446"/>
      <c r="B1530" s="2160" t="s">
        <v>1453</v>
      </c>
      <c r="C1530" s="1446"/>
      <c r="D1530" s="2160"/>
      <c r="E1530" s="1469"/>
      <c r="F1530" s="1469"/>
      <c r="G1530" s="1469"/>
      <c r="H1530" s="1469"/>
      <c r="I1530" s="1469"/>
      <c r="J1530" s="1469"/>
      <c r="K1530" s="1469"/>
      <c r="L1530" s="1469"/>
      <c r="M1530" s="1469"/>
      <c r="N1530" s="1467"/>
      <c r="O1530" s="2155"/>
      <c r="P1530" s="2567"/>
      <c r="Q1530" s="1463"/>
      <c r="R1530" s="1463"/>
      <c r="S1530" s="1463"/>
      <c r="T1530" s="1463"/>
      <c r="U1530" s="1463"/>
      <c r="V1530" s="1463"/>
      <c r="W1530" s="1463"/>
      <c r="X1530" s="1463"/>
      <c r="Y1530" s="1463"/>
      <c r="Z1530" s="1463"/>
      <c r="AA1530" s="1463"/>
      <c r="AB1530" s="1463"/>
      <c r="AC1530" s="1463"/>
      <c r="AD1530" s="1463"/>
      <c r="AE1530" s="1463"/>
      <c r="AF1530" s="1463"/>
    </row>
    <row r="1531" spans="1:32" ht="13.8">
      <c r="A1531" s="1468"/>
      <c r="B1531" s="1468"/>
      <c r="C1531" s="1468"/>
      <c r="D1531" s="1468"/>
      <c r="E1531" s="1468"/>
      <c r="F1531" s="1468"/>
      <c r="G1531" s="1468"/>
      <c r="H1531" s="1468"/>
      <c r="I1531" s="1468"/>
      <c r="J1531" s="1468"/>
      <c r="K1531" s="1468"/>
      <c r="L1531" s="1468"/>
      <c r="M1531" s="1468"/>
      <c r="N1531" s="1468"/>
      <c r="O1531" s="1468"/>
      <c r="P1531" s="1468"/>
      <c r="Q1531" s="1445"/>
      <c r="R1531" s="1463"/>
      <c r="S1531" s="1463"/>
      <c r="T1531" s="1463"/>
      <c r="U1531" s="1463"/>
      <c r="V1531" s="1463"/>
      <c r="W1531" s="1463"/>
      <c r="X1531" s="1463"/>
      <c r="Y1531" s="1463"/>
      <c r="Z1531" s="1463"/>
      <c r="AA1531" s="1463"/>
      <c r="AB1531" s="1463"/>
      <c r="AC1531" s="1463"/>
      <c r="AD1531" s="1463"/>
      <c r="AE1531" s="1463"/>
      <c r="AF1531" s="1463"/>
    </row>
    <row r="1532" spans="1:32" ht="13.8">
      <c r="A1532" s="1446"/>
      <c r="B1532" s="1463"/>
      <c r="C1532" s="1463"/>
      <c r="D1532" s="1446"/>
      <c r="E1532" s="1446"/>
      <c r="F1532" s="1445"/>
      <c r="G1532" s="1445"/>
      <c r="H1532" s="1445"/>
      <c r="I1532" s="1445"/>
      <c r="J1532" s="1446"/>
      <c r="K1532" s="1446"/>
      <c r="L1532" s="1446"/>
      <c r="M1532" s="1446"/>
      <c r="N1532" s="1445"/>
      <c r="O1532" s="1470"/>
      <c r="P1532" s="2161"/>
      <c r="Q1532" s="1463"/>
      <c r="R1532" s="1463"/>
      <c r="S1532" s="1463"/>
      <c r="T1532" s="1463"/>
      <c r="U1532" s="1463"/>
      <c r="V1532" s="1463"/>
      <c r="W1532" s="1463"/>
      <c r="X1532" s="1463"/>
      <c r="Y1532" s="1463"/>
      <c r="Z1532" s="1463"/>
      <c r="AA1532" s="1463"/>
      <c r="AB1532" s="1463"/>
      <c r="AC1532" s="1463"/>
      <c r="AD1532" s="1463"/>
      <c r="AE1532" s="1463"/>
      <c r="AF1532" s="1463"/>
    </row>
    <row r="1533" spans="1:32" ht="13.8">
      <c r="A1533" s="1446"/>
      <c r="B1533" s="1446"/>
      <c r="C1533" s="1469"/>
      <c r="D1533" s="1469"/>
      <c r="E1533" s="1469"/>
      <c r="F1533" s="1469"/>
      <c r="G1533" s="1469"/>
      <c r="H1533" s="1469"/>
      <c r="I1533" s="1469"/>
      <c r="J1533" s="1469"/>
      <c r="K1533" s="1469"/>
      <c r="L1533" s="1469"/>
      <c r="M1533" s="1469"/>
      <c r="N1533" s="1467"/>
      <c r="O1533" s="2155"/>
      <c r="P1533" s="2567"/>
      <c r="Q1533" s="1463"/>
      <c r="R1533" s="1463"/>
      <c r="S1533" s="1463"/>
      <c r="T1533" s="1463"/>
      <c r="U1533" s="1463"/>
      <c r="V1533" s="1463"/>
      <c r="W1533" s="1463"/>
      <c r="X1533" s="1463"/>
      <c r="Y1533" s="1463"/>
      <c r="Z1533" s="1463"/>
      <c r="AA1533" s="1463"/>
      <c r="AB1533" s="1463"/>
      <c r="AC1533" s="1463"/>
      <c r="AD1533" s="1463"/>
      <c r="AE1533" s="1463"/>
      <c r="AF1533" s="1463"/>
    </row>
    <row r="1534" spans="1:32" ht="13.8">
      <c r="A1534" s="1730" t="s">
        <v>1582</v>
      </c>
      <c r="B1534" s="1731" t="s">
        <v>1955</v>
      </c>
      <c r="C1534" s="1463"/>
      <c r="D1534" s="1465"/>
      <c r="E1534" s="1463"/>
      <c r="F1534" s="1463"/>
      <c r="G1534" s="1469"/>
      <c r="H1534" s="1469"/>
      <c r="I1534" s="1469"/>
      <c r="J1534" s="1469"/>
      <c r="K1534" s="1469"/>
      <c r="L1534" s="1469"/>
      <c r="M1534" s="2567">
        <v>2</v>
      </c>
      <c r="N1534" s="1733"/>
      <c r="O1534" s="1462">
        <f>'Part VIII Scoring Criteria'!AA305</f>
        <v>0</v>
      </c>
      <c r="P1534" s="1462">
        <f>'Part VIII Scoring Criteria'!AB305</f>
        <v>0</v>
      </c>
      <c r="Q1534" s="2567" t="s">
        <v>1744</v>
      </c>
      <c r="R1534" s="2150" t="str">
        <f>IF(AND(O1534&gt;0,NOT($H$11="New Affordability")), "Ineligible to score in this section, not New Affordability!","")</f>
        <v/>
      </c>
      <c r="S1534" s="1463"/>
      <c r="T1534" s="1463"/>
      <c r="U1534" s="1463"/>
      <c r="V1534" s="1463"/>
      <c r="W1534" s="1463"/>
      <c r="X1534" s="1463"/>
      <c r="Y1534" s="1463"/>
      <c r="Z1534" s="1463"/>
      <c r="AA1534" s="1463"/>
      <c r="AB1534" s="1463"/>
      <c r="AC1534" s="1463"/>
      <c r="AD1534" s="1463"/>
      <c r="AE1534" s="1463"/>
      <c r="AF1534" s="1463"/>
    </row>
    <row r="1535" spans="1:32" ht="13.8">
      <c r="A1535" s="2186"/>
      <c r="B1535" s="2212" t="s">
        <v>1956</v>
      </c>
      <c r="C1535" s="1468"/>
      <c r="D1535" s="1468"/>
      <c r="E1535" s="1468"/>
      <c r="F1535" s="1468"/>
      <c r="G1535" s="1469" t="str">
        <f>'Part VIII Scoring Criteria'!H306</f>
        <v>&lt;Select applicable status&gt;</v>
      </c>
      <c r="H1535" s="1446"/>
      <c r="I1535" s="1446"/>
      <c r="J1535" s="1446"/>
      <c r="K1535" s="1446"/>
      <c r="L1535" s="1446"/>
      <c r="M1535" s="1467"/>
      <c r="N1535" s="1467"/>
      <c r="O1535" s="1467"/>
      <c r="P1535" s="1467"/>
      <c r="Q1535" s="1446"/>
      <c r="R1535" s="1468"/>
      <c r="S1535" s="1468"/>
      <c r="T1535" s="1468"/>
      <c r="U1535" s="1468"/>
      <c r="V1535" s="1468"/>
      <c r="W1535" s="1468"/>
      <c r="X1535" s="1468"/>
      <c r="Y1535" s="1468"/>
      <c r="Z1535" s="1468"/>
      <c r="AA1535" s="1468"/>
      <c r="AB1535" s="1468"/>
      <c r="AC1535" s="1468"/>
      <c r="AD1535" s="1468"/>
      <c r="AE1535" s="1468"/>
      <c r="AF1535" s="1468"/>
    </row>
    <row r="1536" spans="1:32" ht="13.8">
      <c r="A1536" s="2169" t="s">
        <v>186</v>
      </c>
      <c r="B1536" s="1445" t="s">
        <v>1958</v>
      </c>
      <c r="C1536" s="1468"/>
      <c r="D1536" s="1468"/>
      <c r="E1536" s="1468"/>
      <c r="F1536" s="1468"/>
      <c r="G1536" s="1468"/>
      <c r="H1536" s="1468"/>
      <c r="I1536" s="1468"/>
      <c r="J1536" s="1468"/>
      <c r="K1536" s="1468"/>
      <c r="L1536" s="1731" t="str">
        <f t="shared" ref="L1536" si="459">IF(OR($O1536=$M1536,$O1536=0,$O1536=""),"","* * Check Score! * *")</f>
        <v/>
      </c>
      <c r="M1536" s="1467">
        <v>2</v>
      </c>
      <c r="N1536" s="2157"/>
      <c r="O1536" s="2567">
        <f>'Part VIII Scoring Criteria'!AA307</f>
        <v>0</v>
      </c>
      <c r="P1536" s="1462"/>
      <c r="Q1536" s="2149" t="str">
        <f>IF(OR($O1536=$M1536,$O1536=0,$O1536=""),"","*CHECK!*")</f>
        <v/>
      </c>
      <c r="R1536" s="2150"/>
      <c r="S1536" s="1468"/>
      <c r="T1536" s="1468"/>
      <c r="U1536" s="1468"/>
      <c r="V1536" s="1468"/>
      <c r="W1536" s="1468"/>
      <c r="X1536" s="1468"/>
      <c r="Y1536" s="1468"/>
      <c r="Z1536" s="1468"/>
      <c r="AA1536" s="1468"/>
      <c r="AB1536" s="1468"/>
      <c r="AC1536" s="1468"/>
      <c r="AD1536" s="1468"/>
      <c r="AE1536" s="1468"/>
      <c r="AF1536" s="1468"/>
    </row>
    <row r="1537" spans="1:32" ht="15" customHeight="1">
      <c r="A1537" s="2569"/>
      <c r="B1537" s="1469" t="str">
        <f>'Part VIII Scoring Criteria'!B308</f>
        <v>&lt;&lt; Enter here Applicant's Narrative of how building will be reused. Adjust row height as needed. &gt;&gt;</v>
      </c>
      <c r="C1537" s="1468"/>
      <c r="D1537" s="1468"/>
      <c r="E1537" s="1468"/>
      <c r="F1537" s="1468"/>
      <c r="G1537" s="1468"/>
      <c r="H1537" s="1468"/>
      <c r="I1537" s="1468"/>
      <c r="J1537" s="1468"/>
      <c r="K1537" s="1468"/>
      <c r="L1537" s="1468"/>
      <c r="M1537" s="1468"/>
      <c r="N1537" s="1468"/>
      <c r="O1537" s="1468"/>
      <c r="P1537" s="1468"/>
      <c r="Q1537" s="1445"/>
      <c r="R1537" s="1445"/>
      <c r="S1537" s="1445"/>
      <c r="T1537" s="1463"/>
      <c r="U1537" s="1463"/>
      <c r="V1537" s="1463"/>
      <c r="W1537" s="1463"/>
      <c r="X1537" s="1463"/>
      <c r="Y1537" s="1463"/>
      <c r="Z1537" s="1463"/>
      <c r="AA1537" s="1463"/>
      <c r="AB1537" s="1463"/>
      <c r="AC1537" s="1463"/>
      <c r="AD1537" s="1463"/>
      <c r="AE1537" s="1463"/>
      <c r="AF1537" s="1463"/>
    </row>
    <row r="1538" spans="1:32" ht="13.8">
      <c r="A1538" s="2247" t="s">
        <v>198</v>
      </c>
      <c r="B1538" s="2136" t="s">
        <v>1960</v>
      </c>
      <c r="C1538" s="1468"/>
      <c r="D1538" s="1468"/>
      <c r="E1538" s="1468"/>
      <c r="F1538" s="1468"/>
      <c r="G1538" s="1468"/>
      <c r="H1538" s="1468"/>
      <c r="I1538" s="1468"/>
      <c r="J1538" s="1468"/>
      <c r="K1538" s="1468"/>
      <c r="L1538" s="1731" t="str">
        <f t="shared" ref="L1538" si="460">IF(OR($O1538=$M1538,$O1538=0,$O1538=""),"","* * Check Score! * *")</f>
        <v/>
      </c>
      <c r="M1538" s="1468">
        <v>2</v>
      </c>
      <c r="N1538" s="1468"/>
      <c r="O1538" s="2567">
        <f>'Part VIII Scoring Criteria'!AA309</f>
        <v>0</v>
      </c>
      <c r="P1538" s="2161"/>
      <c r="Q1538" s="2149" t="str">
        <f>IF(OR($O1538=$M1538,$O1538=0,$O1538=""),"","*CHECK!*")</f>
        <v/>
      </c>
      <c r="R1538" s="2150"/>
      <c r="S1538" s="1468"/>
      <c r="T1538" s="1468"/>
      <c r="U1538" s="1468"/>
      <c r="V1538" s="1468"/>
      <c r="W1538" s="1468"/>
      <c r="X1538" s="1468"/>
      <c r="Y1538" s="1468"/>
      <c r="Z1538" s="1468"/>
      <c r="AA1538" s="1468"/>
      <c r="AB1538" s="1468"/>
      <c r="AC1538" s="1468"/>
      <c r="AD1538" s="1468"/>
      <c r="AE1538" s="1468"/>
      <c r="AF1538" s="1468"/>
    </row>
    <row r="1539" spans="1:32" ht="14.4">
      <c r="A1539" s="1446"/>
      <c r="B1539" s="2142" t="s">
        <v>7607</v>
      </c>
      <c r="C1539" s="1446"/>
      <c r="D1539" s="1446"/>
      <c r="E1539" s="1446"/>
      <c r="F1539" s="1446"/>
      <c r="G1539" s="1446"/>
      <c r="H1539" s="1446"/>
      <c r="I1539" s="1446"/>
      <c r="J1539" s="1446"/>
      <c r="K1539" s="1446"/>
      <c r="L1539" s="1463"/>
      <c r="M1539" s="1454"/>
      <c r="N1539" s="2568"/>
      <c r="O1539" s="1462"/>
      <c r="P1539" s="2569"/>
      <c r="Q1539" s="1463"/>
      <c r="R1539" s="1463"/>
      <c r="S1539" s="1463"/>
      <c r="T1539" s="1463"/>
      <c r="U1539" s="1463"/>
      <c r="V1539" s="1463"/>
      <c r="W1539" s="1463"/>
      <c r="X1539" s="1463"/>
      <c r="Y1539" s="1463"/>
      <c r="Z1539" s="1463"/>
      <c r="AA1539" s="1463"/>
      <c r="AB1539" s="1463"/>
      <c r="AC1539" s="1463"/>
      <c r="AD1539" s="1463"/>
      <c r="AE1539" s="1463"/>
      <c r="AF1539" s="1463"/>
    </row>
    <row r="1540" spans="1:32" ht="13.8">
      <c r="A1540" s="1469" t="str">
        <f>'Part VIII Scoring Criteria'!A311</f>
        <v>The applicant is not claiming points under this section, therefore it has been intentionally left blank.</v>
      </c>
      <c r="B1540" s="2200"/>
      <c r="C1540" s="2200"/>
      <c r="D1540" s="2200"/>
      <c r="E1540" s="2200"/>
      <c r="F1540" s="2200"/>
      <c r="G1540" s="2200"/>
      <c r="H1540" s="2200"/>
      <c r="I1540" s="2200"/>
      <c r="J1540" s="2200"/>
      <c r="K1540" s="2200"/>
      <c r="L1540" s="2200"/>
      <c r="M1540" s="2200"/>
      <c r="N1540" s="2200"/>
      <c r="O1540" s="2200"/>
      <c r="P1540" s="2200"/>
      <c r="Q1540" s="1445"/>
      <c r="R1540" s="1445"/>
      <c r="S1540" s="1463"/>
      <c r="T1540" s="1463"/>
      <c r="U1540" s="1463"/>
      <c r="V1540" s="1463"/>
      <c r="W1540" s="1463"/>
      <c r="X1540" s="1463"/>
      <c r="Y1540" s="1463"/>
      <c r="Z1540" s="1463"/>
      <c r="AA1540" s="1463"/>
      <c r="AB1540" s="1463"/>
      <c r="AC1540" s="1463"/>
      <c r="AD1540" s="1463"/>
      <c r="AE1540" s="1463"/>
      <c r="AF1540" s="1463"/>
    </row>
    <row r="1541" spans="1:32" ht="14.4">
      <c r="A1541" s="1463"/>
      <c r="B1541" s="2160" t="s">
        <v>1453</v>
      </c>
      <c r="C1541" s="1446"/>
      <c r="D1541" s="2160"/>
      <c r="E1541" s="1468"/>
      <c r="F1541" s="1468"/>
      <c r="G1541" s="1468"/>
      <c r="H1541" s="1468"/>
      <c r="I1541" s="1468"/>
      <c r="J1541" s="1468"/>
      <c r="K1541" s="1468"/>
      <c r="L1541" s="1468"/>
      <c r="M1541" s="1468"/>
      <c r="N1541" s="1468"/>
      <c r="O1541" s="2136"/>
      <c r="P1541" s="1445"/>
      <c r="Q1541" s="1463"/>
      <c r="R1541" s="1463"/>
      <c r="S1541" s="1463"/>
      <c r="T1541" s="1463"/>
      <c r="U1541" s="1463"/>
      <c r="V1541" s="1463"/>
      <c r="W1541" s="1463"/>
      <c r="X1541" s="1463"/>
      <c r="Y1541" s="1463"/>
      <c r="Z1541" s="1463"/>
      <c r="AA1541" s="1463"/>
      <c r="AB1541" s="1463"/>
      <c r="AC1541" s="1463"/>
      <c r="AD1541" s="1463"/>
      <c r="AE1541" s="1463"/>
      <c r="AF1541" s="1463"/>
    </row>
    <row r="1542" spans="1:32" ht="13.8">
      <c r="A1542" s="1468"/>
      <c r="B1542" s="1468"/>
      <c r="C1542" s="1468"/>
      <c r="D1542" s="1468"/>
      <c r="E1542" s="1468"/>
      <c r="F1542" s="1468"/>
      <c r="G1542" s="1468"/>
      <c r="H1542" s="1468"/>
      <c r="I1542" s="1468"/>
      <c r="J1542" s="1468"/>
      <c r="K1542" s="1468"/>
      <c r="L1542" s="1468"/>
      <c r="M1542" s="1468"/>
      <c r="N1542" s="1468"/>
      <c r="O1542" s="1468"/>
      <c r="P1542" s="1468"/>
      <c r="Q1542" s="1445"/>
      <c r="R1542" s="1463"/>
      <c r="S1542" s="1463"/>
      <c r="T1542" s="1463"/>
      <c r="U1542" s="1463"/>
      <c r="V1542" s="1463"/>
      <c r="W1542" s="1463"/>
      <c r="X1542" s="1463"/>
      <c r="Y1542" s="1463"/>
      <c r="Z1542" s="1463"/>
      <c r="AA1542" s="1463"/>
      <c r="AB1542" s="1463"/>
      <c r="AC1542" s="1463"/>
      <c r="AD1542" s="1463"/>
      <c r="AE1542" s="1463"/>
      <c r="AF1542" s="1463"/>
    </row>
    <row r="1543" spans="1:32" ht="13.8">
      <c r="A1543" s="1446"/>
      <c r="B1543" s="1446"/>
      <c r="C1543" s="1468"/>
      <c r="D1543" s="1468"/>
      <c r="E1543" s="1468"/>
      <c r="F1543" s="1468"/>
      <c r="G1543" s="1468"/>
      <c r="H1543" s="1468"/>
      <c r="I1543" s="1468"/>
      <c r="J1543" s="1468"/>
      <c r="K1543" s="1468"/>
      <c r="L1543" s="1468"/>
      <c r="M1543" s="1468"/>
      <c r="N1543" s="1468"/>
      <c r="O1543" s="2136"/>
      <c r="P1543" s="1445"/>
      <c r="Q1543" s="1463"/>
      <c r="R1543" s="1463"/>
      <c r="S1543" s="1463"/>
      <c r="T1543" s="1463"/>
      <c r="U1543" s="1463"/>
      <c r="V1543" s="1463"/>
      <c r="W1543" s="1463"/>
      <c r="X1543" s="1463"/>
      <c r="Y1543" s="1463"/>
      <c r="Z1543" s="1463"/>
      <c r="AA1543" s="1463"/>
      <c r="AB1543" s="1463"/>
      <c r="AC1543" s="1463"/>
      <c r="AD1543" s="1463"/>
      <c r="AE1543" s="1463"/>
      <c r="AF1543" s="1463"/>
    </row>
    <row r="1544" spans="1:32" ht="13.8">
      <c r="A1544" s="1446"/>
      <c r="B1544" s="1463"/>
      <c r="C1544" s="1463"/>
      <c r="D1544" s="1446"/>
      <c r="E1544" s="1446"/>
      <c r="F1544" s="2567"/>
      <c r="G1544" s="2567"/>
      <c r="H1544" s="2567"/>
      <c r="I1544" s="2567"/>
      <c r="J1544" s="1465"/>
      <c r="K1544" s="1465"/>
      <c r="L1544" s="1465"/>
      <c r="M1544" s="1454"/>
      <c r="N1544" s="2567"/>
      <c r="O1544" s="2569"/>
      <c r="P1544" s="1462"/>
      <c r="Q1544" s="1463"/>
      <c r="R1544" s="1463"/>
      <c r="S1544" s="1463"/>
      <c r="T1544" s="1463"/>
      <c r="U1544" s="1463"/>
      <c r="V1544" s="1463"/>
      <c r="W1544" s="1463"/>
      <c r="X1544" s="1463"/>
      <c r="Y1544" s="1463"/>
      <c r="Z1544" s="1463"/>
      <c r="AA1544" s="1463"/>
      <c r="AB1544" s="1463"/>
      <c r="AC1544" s="1463"/>
      <c r="AD1544" s="1463"/>
      <c r="AE1544" s="1463"/>
      <c r="AF1544" s="1463"/>
    </row>
    <row r="1545" spans="1:32" ht="14.4">
      <c r="A1545" s="1730" t="s">
        <v>1587</v>
      </c>
      <c r="B1545" s="1731" t="s">
        <v>1961</v>
      </c>
      <c r="C1545" s="1446"/>
      <c r="D1545" s="1731"/>
      <c r="E1545" s="1731"/>
      <c r="F1545" s="1446"/>
      <c r="G1545" s="2162"/>
      <c r="H1545" s="1446"/>
      <c r="I1545" s="1446"/>
      <c r="J1545" s="1446"/>
      <c r="K1545" s="1446"/>
      <c r="L1545" s="1446"/>
      <c r="M1545" s="2567">
        <v>2</v>
      </c>
      <c r="N1545" s="1454"/>
      <c r="O1545" s="1462">
        <f>'Part VIII Scoring Criteria'!AA316</f>
        <v>2</v>
      </c>
      <c r="P1545" s="1462">
        <f>'Part VIII Scoring Criteria'!AB316</f>
        <v>0</v>
      </c>
      <c r="Q1545" s="2567" t="s">
        <v>1744</v>
      </c>
      <c r="R1545" s="1445"/>
      <c r="S1545" s="1445"/>
      <c r="T1545" s="1445"/>
      <c r="U1545" s="1445"/>
      <c r="V1545" s="1445"/>
      <c r="W1545" s="1446"/>
      <c r="X1545" s="1446"/>
      <c r="Y1545" s="1446"/>
      <c r="Z1545" s="1446"/>
      <c r="AA1545" s="1446"/>
      <c r="AB1545" s="1446"/>
      <c r="AC1545" s="1446"/>
      <c r="AD1545" s="1446"/>
      <c r="AE1545" s="1446"/>
      <c r="AF1545" s="1446"/>
    </row>
    <row r="1546" spans="1:32" ht="13.8">
      <c r="A1546" s="2567" t="s">
        <v>186</v>
      </c>
      <c r="B1546" s="2166" t="s">
        <v>1962</v>
      </c>
      <c r="C1546" s="1463"/>
      <c r="D1546" s="1469"/>
      <c r="E1546" s="1463"/>
      <c r="F1546" s="1465" t="s">
        <v>1963</v>
      </c>
      <c r="G1546" s="1463"/>
      <c r="H1546" s="1463"/>
      <c r="I1546" s="1463"/>
      <c r="J1546" s="1469">
        <f>'Part VIII Scoring Criteria'!K317</f>
        <v>0</v>
      </c>
      <c r="K1546" s="1470"/>
      <c r="L1546" s="1470"/>
      <c r="M1546" s="2568">
        <v>2</v>
      </c>
      <c r="N1546" s="1733"/>
      <c r="O1546" s="2567">
        <f>'Part VIII Scoring Criteria'!AA317</f>
        <v>0</v>
      </c>
      <c r="P1546" s="1462"/>
      <c r="Q1546" s="2569" t="str">
        <f>IF(OR(O1546=0,O1546="",O1546=$M1546),"","Check!")</f>
        <v/>
      </c>
      <c r="R1546" s="2148" t="str">
        <f t="shared" ref="R1546:R1547" si="461">IF(OR($O1546=$M1546,$O1546=0,$O1546=""),"","* * Check Score! * *")</f>
        <v/>
      </c>
      <c r="S1546" s="1445"/>
      <c r="T1546" s="1445"/>
      <c r="U1546" s="1445"/>
      <c r="V1546" s="1445"/>
      <c r="W1546" s="1463"/>
      <c r="X1546" s="1463"/>
      <c r="Y1546" s="1463"/>
      <c r="Z1546" s="1463"/>
      <c r="AA1546" s="1463"/>
      <c r="AB1546" s="1463"/>
      <c r="AC1546" s="1463"/>
      <c r="AD1546" s="1463"/>
      <c r="AE1546" s="1463"/>
      <c r="AF1546" s="1463"/>
    </row>
    <row r="1547" spans="1:32" ht="13.8">
      <c r="A1547" s="2567" t="s">
        <v>198</v>
      </c>
      <c r="B1547" s="2166" t="s">
        <v>1964</v>
      </c>
      <c r="C1547" s="1463"/>
      <c r="D1547" s="1463"/>
      <c r="E1547" s="1463"/>
      <c r="F1547" s="1465" t="s">
        <v>1965</v>
      </c>
      <c r="G1547" s="1463"/>
      <c r="H1547" s="1463"/>
      <c r="I1547" s="1463"/>
      <c r="J1547" s="1469">
        <f>'Part VIII Scoring Criteria'!K318</f>
        <v>0</v>
      </c>
      <c r="K1547" s="1470"/>
      <c r="L1547" s="1470"/>
      <c r="M1547" s="2568">
        <v>2</v>
      </c>
      <c r="N1547" s="1733"/>
      <c r="O1547" s="2567">
        <f>'Part VIII Scoring Criteria'!AA318</f>
        <v>2</v>
      </c>
      <c r="P1547" s="1462"/>
      <c r="Q1547" s="2569" t="str">
        <f>IF(OR(O1547=0,O1547="",O1547=$M1547),"","Check!")</f>
        <v/>
      </c>
      <c r="R1547" s="2148" t="str">
        <f t="shared" si="461"/>
        <v/>
      </c>
      <c r="S1547" s="1445"/>
      <c r="T1547" s="1445"/>
      <c r="U1547" s="1445"/>
      <c r="V1547" s="1445"/>
      <c r="W1547" s="1463"/>
      <c r="X1547" s="1463"/>
      <c r="Y1547" s="1463"/>
      <c r="Z1547" s="1463"/>
      <c r="AA1547" s="1463"/>
      <c r="AB1547" s="1463"/>
      <c r="AC1547" s="1463"/>
      <c r="AD1547" s="1463"/>
      <c r="AE1547" s="1463"/>
      <c r="AF1547" s="1463"/>
    </row>
    <row r="1548" spans="1:32" ht="14.4">
      <c r="A1548" s="1446"/>
      <c r="B1548" s="2142" t="s">
        <v>7607</v>
      </c>
      <c r="C1548" s="1446"/>
      <c r="D1548" s="1446"/>
      <c r="E1548" s="1446"/>
      <c r="F1548" s="1446"/>
      <c r="G1548" s="1446"/>
      <c r="H1548" s="1446"/>
      <c r="I1548" s="1446"/>
      <c r="J1548" s="1446"/>
      <c r="K1548" s="1446"/>
      <c r="L1548" s="1463"/>
      <c r="M1548" s="1454"/>
      <c r="N1548" s="2568"/>
      <c r="O1548" s="1462"/>
      <c r="P1548" s="2569"/>
      <c r="Q1548" s="1463"/>
      <c r="R1548" s="1445"/>
      <c r="S1548" s="1445"/>
      <c r="T1548" s="1445"/>
      <c r="U1548" s="1445"/>
      <c r="V1548" s="1445"/>
      <c r="W1548" s="1463"/>
      <c r="X1548" s="1463"/>
      <c r="Y1548" s="1463"/>
      <c r="Z1548" s="1463"/>
      <c r="AA1548" s="1463"/>
      <c r="AB1548" s="1463"/>
      <c r="AC1548" s="1463"/>
      <c r="AD1548" s="1463"/>
      <c r="AE1548" s="1463"/>
      <c r="AF1548" s="1463"/>
    </row>
    <row r="1549" spans="1:32" ht="13.8">
      <c r="A1549" s="1469" t="str">
        <f>'Part VIII Scoring Criteria'!A320</f>
        <v>The applicant commits to accept for resident services coordination from an entity certified as a “3rd Party Resident Services Coordination Contractor” by CORES or other DCA-approved program.</v>
      </c>
      <c r="B1549" s="2200"/>
      <c r="C1549" s="2200"/>
      <c r="D1549" s="2200"/>
      <c r="E1549" s="2200"/>
      <c r="F1549" s="2200"/>
      <c r="G1549" s="2200"/>
      <c r="H1549" s="2200"/>
      <c r="I1549" s="2200"/>
      <c r="J1549" s="2200"/>
      <c r="K1549" s="2200"/>
      <c r="L1549" s="2200"/>
      <c r="M1549" s="2200"/>
      <c r="N1549" s="2200"/>
      <c r="O1549" s="2200"/>
      <c r="P1549" s="2200"/>
      <c r="Q1549" s="1445"/>
      <c r="R1549" s="1463"/>
      <c r="S1549" s="1463"/>
      <c r="T1549" s="1463"/>
      <c r="U1549" s="1463"/>
      <c r="V1549" s="1463"/>
      <c r="W1549" s="1463"/>
      <c r="X1549" s="1463"/>
      <c r="Y1549" s="1463"/>
      <c r="Z1549" s="1463"/>
      <c r="AA1549" s="1463"/>
      <c r="AB1549" s="1463"/>
      <c r="AC1549" s="1463"/>
      <c r="AD1549" s="1463"/>
      <c r="AE1549" s="1463"/>
      <c r="AF1549" s="1463"/>
    </row>
    <row r="1550" spans="1:32" ht="14.4">
      <c r="A1550" s="1446"/>
      <c r="B1550" s="2160" t="s">
        <v>1453</v>
      </c>
      <c r="C1550" s="1446"/>
      <c r="D1550" s="2160"/>
      <c r="E1550" s="1468"/>
      <c r="F1550" s="1468"/>
      <c r="G1550" s="1468"/>
      <c r="H1550" s="1468"/>
      <c r="I1550" s="1468"/>
      <c r="J1550" s="1468"/>
      <c r="K1550" s="1468"/>
      <c r="L1550" s="1468"/>
      <c r="M1550" s="1468"/>
      <c r="N1550" s="1468"/>
      <c r="O1550" s="2136"/>
      <c r="P1550" s="1445"/>
      <c r="Q1550" s="1463"/>
      <c r="R1550" s="1463"/>
      <c r="S1550" s="1463"/>
      <c r="T1550" s="1463"/>
      <c r="U1550" s="1463"/>
      <c r="V1550" s="1463"/>
      <c r="W1550" s="1463"/>
      <c r="X1550" s="1463"/>
      <c r="Y1550" s="1463"/>
      <c r="Z1550" s="1463"/>
      <c r="AA1550" s="1463"/>
      <c r="AB1550" s="1463"/>
      <c r="AC1550" s="1463"/>
      <c r="AD1550" s="1463"/>
      <c r="AE1550" s="1463"/>
      <c r="AF1550" s="1463"/>
    </row>
    <row r="1551" spans="1:32" ht="13.8">
      <c r="A1551" s="1468"/>
      <c r="B1551" s="1468"/>
      <c r="C1551" s="1468"/>
      <c r="D1551" s="1468"/>
      <c r="E1551" s="1468"/>
      <c r="F1551" s="1468"/>
      <c r="G1551" s="1468"/>
      <c r="H1551" s="1468"/>
      <c r="I1551" s="1468"/>
      <c r="J1551" s="1468"/>
      <c r="K1551" s="1468"/>
      <c r="L1551" s="1468"/>
      <c r="M1551" s="1468"/>
      <c r="N1551" s="1468"/>
      <c r="O1551" s="1468"/>
      <c r="P1551" s="1468"/>
      <c r="Q1551" s="1445"/>
      <c r="R1551" s="1463"/>
      <c r="S1551" s="1463"/>
      <c r="T1551" s="1463"/>
      <c r="U1551" s="1463"/>
      <c r="V1551" s="1463"/>
      <c r="W1551" s="1463"/>
      <c r="X1551" s="1463"/>
      <c r="Y1551" s="1463"/>
      <c r="Z1551" s="1463"/>
      <c r="AA1551" s="1463"/>
      <c r="AB1551" s="1463"/>
      <c r="AC1551" s="1463"/>
      <c r="AD1551" s="1463"/>
      <c r="AE1551" s="1463"/>
      <c r="AF1551" s="1463"/>
    </row>
    <row r="1552" spans="1:32" ht="13.8">
      <c r="A1552" s="1446"/>
      <c r="B1552" s="1463"/>
      <c r="C1552" s="1463"/>
      <c r="D1552" s="1446"/>
      <c r="E1552" s="1446"/>
      <c r="F1552" s="1445"/>
      <c r="G1552" s="1445"/>
      <c r="H1552" s="1445"/>
      <c r="I1552" s="1445"/>
      <c r="J1552" s="1446"/>
      <c r="K1552" s="1446"/>
      <c r="L1552" s="1446"/>
      <c r="M1552" s="1446"/>
      <c r="N1552" s="1445"/>
      <c r="O1552" s="1470"/>
      <c r="P1552" s="2161"/>
      <c r="Q1552" s="1463"/>
      <c r="R1552" s="1463"/>
      <c r="S1552" s="1463"/>
      <c r="T1552" s="1463"/>
      <c r="U1552" s="1463"/>
      <c r="V1552" s="1463"/>
      <c r="W1552" s="1463"/>
      <c r="X1552" s="1463"/>
      <c r="Y1552" s="1463"/>
      <c r="Z1552" s="1463"/>
      <c r="AA1552" s="1463"/>
      <c r="AB1552" s="1463"/>
      <c r="AC1552" s="1463"/>
      <c r="AD1552" s="1463"/>
      <c r="AE1552" s="1463"/>
      <c r="AF1552" s="1463"/>
    </row>
    <row r="1553" spans="1:32" ht="13.8">
      <c r="A1553" s="1463"/>
      <c r="B1553" s="1463"/>
      <c r="C1553" s="1463"/>
      <c r="D1553" s="1463"/>
      <c r="E1553" s="1463"/>
      <c r="F1553" s="1463"/>
      <c r="G1553" s="1463"/>
      <c r="H1553" s="1463"/>
      <c r="I1553" s="1463"/>
      <c r="J1553" s="1463"/>
      <c r="K1553" s="1463"/>
      <c r="L1553" s="1463"/>
      <c r="M1553" s="1463"/>
      <c r="N1553" s="2568"/>
      <c r="O1553" s="2569"/>
      <c r="P1553" s="2569"/>
      <c r="Q1553" s="1463"/>
      <c r="R1553" s="1463"/>
      <c r="S1553" s="1463"/>
      <c r="T1553" s="1463"/>
      <c r="U1553" s="1463"/>
      <c r="V1553" s="1463"/>
      <c r="W1553" s="1463"/>
      <c r="X1553" s="1463"/>
      <c r="Y1553" s="1463"/>
      <c r="Z1553" s="1463"/>
      <c r="AA1553" s="1463"/>
      <c r="AB1553" s="1463"/>
      <c r="AC1553" s="1463"/>
      <c r="AD1553" s="1463"/>
      <c r="AE1553" s="1463"/>
      <c r="AF1553" s="1463"/>
    </row>
    <row r="1554" spans="1:32" ht="14.4">
      <c r="A1554" s="2186" t="s">
        <v>1593</v>
      </c>
      <c r="B1554" s="1731" t="s">
        <v>1966</v>
      </c>
      <c r="C1554" s="1463"/>
      <c r="D1554" s="1470"/>
      <c r="E1554" s="1470"/>
      <c r="F1554" s="1463"/>
      <c r="G1554" s="1446"/>
      <c r="H1554" s="1463"/>
      <c r="I1554" s="1463"/>
      <c r="J1554" s="1463"/>
      <c r="K1554" s="1463"/>
      <c r="L1554" s="2211" t="str">
        <f>IF(AND(O1554&gt;0,NOT($C$16="9%")),"Ineligible, not 9%!","")</f>
        <v>Ineligible, not 9%!</v>
      </c>
      <c r="M1554" s="2567">
        <v>2</v>
      </c>
      <c r="N1554" s="2148"/>
      <c r="O1554" s="2567">
        <f>'Part VIII Scoring Criteria'!AA325</f>
        <v>2</v>
      </c>
      <c r="P1554" s="1739"/>
      <c r="Q1554" s="2567" t="s">
        <v>1744</v>
      </c>
      <c r="R1554" s="2136"/>
      <c r="S1554" s="2136"/>
      <c r="T1554" s="1463"/>
      <c r="U1554" s="1463"/>
      <c r="V1554" s="1463"/>
      <c r="W1554" s="1463"/>
      <c r="X1554" s="1463"/>
      <c r="Y1554" s="1463"/>
      <c r="Z1554" s="1463"/>
      <c r="AA1554" s="1463"/>
      <c r="AB1554" s="1463"/>
      <c r="AC1554" s="1463"/>
      <c r="AD1554" s="1463"/>
      <c r="AE1554" s="1463"/>
      <c r="AF1554" s="1463"/>
    </row>
    <row r="1555" spans="1:32" ht="13.8">
      <c r="A1555" s="1737"/>
      <c r="B1555" s="2150" t="s">
        <v>1967</v>
      </c>
      <c r="C1555" s="1463"/>
      <c r="D1555" s="1470"/>
      <c r="E1555" s="1470"/>
      <c r="F1555" s="1463"/>
      <c r="G1555" s="1446"/>
      <c r="H1555" s="1463"/>
      <c r="I1555" s="1469" t="str">
        <f>'Part VIII Scoring Criteria'!J326</f>
        <v>City of Tifton</v>
      </c>
      <c r="J1555" s="1445"/>
      <c r="K1555" s="1445"/>
      <c r="L1555" s="1445"/>
      <c r="M1555" s="1454"/>
      <c r="N1555" s="1454"/>
      <c r="O1555" s="2568"/>
      <c r="P1555" s="2568"/>
      <c r="Q1555" s="2149"/>
      <c r="R1555" s="2136"/>
      <c r="S1555" s="2136"/>
      <c r="T1555" s="1463"/>
      <c r="U1555" s="1463"/>
      <c r="V1555" s="1463"/>
      <c r="W1555" s="1463"/>
      <c r="X1555" s="1463"/>
      <c r="Y1555" s="1463"/>
      <c r="Z1555" s="1463"/>
      <c r="AA1555" s="1463"/>
      <c r="AB1555" s="1463"/>
      <c r="AC1555" s="1463"/>
      <c r="AD1555" s="1463"/>
      <c r="AE1555" s="1463"/>
      <c r="AF1555" s="1463"/>
    </row>
    <row r="1556" spans="1:32" ht="13.8">
      <c r="A1556" s="1463"/>
      <c r="B1556" s="2150"/>
      <c r="C1556" s="1463"/>
      <c r="D1556" s="1446"/>
      <c r="E1556" s="1446"/>
      <c r="F1556" s="1446"/>
      <c r="G1556" s="1446"/>
      <c r="H1556" s="1446"/>
      <c r="I1556" s="1446"/>
      <c r="J1556" s="1446"/>
      <c r="K1556" s="1446"/>
      <c r="L1556" s="1446"/>
      <c r="M1556" s="1446"/>
      <c r="N1556" s="1733"/>
      <c r="O1556" s="1733"/>
      <c r="P1556" s="1733"/>
      <c r="Q1556" s="1463"/>
      <c r="R1556" s="1463"/>
      <c r="S1556" s="1463"/>
      <c r="T1556" s="1463"/>
      <c r="U1556" s="1463"/>
      <c r="V1556" s="1463"/>
      <c r="W1556" s="1463"/>
      <c r="X1556" s="1463"/>
      <c r="Y1556" s="1463"/>
      <c r="Z1556" s="1463"/>
      <c r="AA1556" s="1463"/>
      <c r="AB1556" s="1463"/>
      <c r="AC1556" s="1463"/>
      <c r="AD1556" s="1463"/>
      <c r="AE1556" s="1463"/>
      <c r="AF1556" s="1463"/>
    </row>
    <row r="1557" spans="1:32" ht="14.4">
      <c r="A1557" s="1446"/>
      <c r="B1557" s="2142" t="s">
        <v>7607</v>
      </c>
      <c r="C1557" s="1446"/>
      <c r="D1557" s="1446"/>
      <c r="E1557" s="1446"/>
      <c r="F1557" s="1446"/>
      <c r="G1557" s="1446"/>
      <c r="H1557" s="1446"/>
      <c r="I1557" s="1446"/>
      <c r="J1557" s="1446"/>
      <c r="K1557" s="1446"/>
      <c r="L1557" s="1463"/>
      <c r="M1557" s="1454"/>
      <c r="N1557" s="2568"/>
      <c r="O1557" s="1462"/>
      <c r="P1557" s="2569"/>
      <c r="Q1557" s="1446"/>
      <c r="R1557" s="1446"/>
      <c r="S1557" s="1446"/>
      <c r="T1557" s="1446"/>
      <c r="U1557" s="1446"/>
      <c r="V1557" s="1446"/>
      <c r="W1557" s="1446"/>
      <c r="X1557" s="1446"/>
      <c r="Y1557" s="1446"/>
      <c r="Z1557" s="1446"/>
      <c r="AA1557" s="1446"/>
      <c r="AB1557" s="1446"/>
      <c r="AC1557" s="1446"/>
      <c r="AD1557" s="1446"/>
      <c r="AE1557" s="1446"/>
      <c r="AF1557" s="1446"/>
    </row>
    <row r="1558" spans="1:32" ht="13.8">
      <c r="A1558" s="1469" t="str">
        <f>'Part VIII Scoring Criteria'!A329</f>
        <v>The City of Tifton GICH committee awarded it's 2025 support letter to this project.  Letters from the GICH primary contact as well the city and county governments are included.</v>
      </c>
      <c r="B1558" s="2200"/>
      <c r="C1558" s="2200"/>
      <c r="D1558" s="2200"/>
      <c r="E1558" s="2200"/>
      <c r="F1558" s="2200"/>
      <c r="G1558" s="2200"/>
      <c r="H1558" s="2200"/>
      <c r="I1558" s="2200"/>
      <c r="J1558" s="2200"/>
      <c r="K1558" s="2200"/>
      <c r="L1558" s="2200"/>
      <c r="M1558" s="2200"/>
      <c r="N1558" s="2200"/>
      <c r="O1558" s="2200"/>
      <c r="P1558" s="2200"/>
      <c r="Q1558" s="1445"/>
      <c r="R1558" s="1463"/>
      <c r="S1558" s="1463"/>
      <c r="T1558" s="1463"/>
      <c r="U1558" s="1463"/>
      <c r="V1558" s="1463"/>
      <c r="W1558" s="1463"/>
      <c r="X1558" s="1463"/>
      <c r="Y1558" s="1463"/>
      <c r="Z1558" s="1463"/>
      <c r="AA1558" s="1463"/>
      <c r="AB1558" s="1463"/>
      <c r="AC1558" s="1463"/>
      <c r="AD1558" s="1463"/>
      <c r="AE1558" s="1463"/>
      <c r="AF1558" s="1463"/>
    </row>
    <row r="1559" spans="1:32" ht="14.4">
      <c r="A1559" s="1446"/>
      <c r="B1559" s="2142" t="s">
        <v>1453</v>
      </c>
      <c r="C1559" s="1446"/>
      <c r="D1559" s="2142"/>
      <c r="E1559" s="1446"/>
      <c r="F1559" s="1446"/>
      <c r="G1559" s="1446"/>
      <c r="H1559" s="1446"/>
      <c r="I1559" s="1446"/>
      <c r="J1559" s="1446"/>
      <c r="K1559" s="1446"/>
      <c r="L1559" s="1446"/>
      <c r="M1559" s="1446"/>
      <c r="N1559" s="1446"/>
      <c r="O1559" s="1445"/>
      <c r="P1559" s="1445"/>
      <c r="Q1559" s="1463"/>
      <c r="R1559" s="1446"/>
      <c r="S1559" s="1446"/>
      <c r="T1559" s="1446"/>
      <c r="U1559" s="1446"/>
      <c r="V1559" s="1446"/>
      <c r="W1559" s="1446"/>
      <c r="X1559" s="1446"/>
      <c r="Y1559" s="1446"/>
      <c r="Z1559" s="1446"/>
      <c r="AA1559" s="1446"/>
      <c r="AB1559" s="1446"/>
      <c r="AC1559" s="1446"/>
      <c r="AD1559" s="1446"/>
      <c r="AE1559" s="1446"/>
      <c r="AF1559" s="1446"/>
    </row>
    <row r="1560" spans="1:32" ht="13.8">
      <c r="A1560" s="1468"/>
      <c r="B1560" s="1468"/>
      <c r="C1560" s="1468"/>
      <c r="D1560" s="1468"/>
      <c r="E1560" s="1468"/>
      <c r="F1560" s="1468"/>
      <c r="G1560" s="1468"/>
      <c r="H1560" s="1468"/>
      <c r="I1560" s="1468"/>
      <c r="J1560" s="1468"/>
      <c r="K1560" s="1468"/>
      <c r="L1560" s="1468"/>
      <c r="M1560" s="1468"/>
      <c r="N1560" s="1468"/>
      <c r="O1560" s="1468"/>
      <c r="P1560" s="1468"/>
      <c r="Q1560" s="1445"/>
      <c r="R1560" s="1463"/>
      <c r="S1560" s="1463"/>
      <c r="T1560" s="1463"/>
      <c r="U1560" s="1463"/>
      <c r="V1560" s="1463"/>
      <c r="W1560" s="1463"/>
      <c r="X1560" s="1463"/>
      <c r="Y1560" s="1463"/>
      <c r="Z1560" s="1463"/>
      <c r="AA1560" s="1463"/>
      <c r="AB1560" s="1463"/>
      <c r="AC1560" s="1463"/>
      <c r="AD1560" s="1463"/>
      <c r="AE1560" s="1463"/>
      <c r="AF1560" s="1463"/>
    </row>
    <row r="1561" spans="1:32" ht="13.8">
      <c r="A1561" s="1463"/>
      <c r="B1561" s="1463"/>
      <c r="C1561" s="1463"/>
      <c r="D1561" s="1463"/>
      <c r="E1561" s="1463"/>
      <c r="F1561" s="1463"/>
      <c r="G1561" s="1463"/>
      <c r="H1561" s="1463"/>
      <c r="I1561" s="1463"/>
      <c r="J1561" s="1463"/>
      <c r="K1561" s="1463"/>
      <c r="L1561" s="1463"/>
      <c r="M1561" s="1463"/>
      <c r="N1561" s="1463"/>
      <c r="O1561" s="1470"/>
      <c r="P1561" s="1470"/>
      <c r="Q1561" s="1463"/>
      <c r="R1561" s="1463"/>
      <c r="S1561" s="1463"/>
      <c r="T1561" s="1463"/>
      <c r="U1561" s="1463"/>
      <c r="V1561" s="1463"/>
      <c r="W1561" s="1463"/>
      <c r="X1561" s="1463"/>
      <c r="Y1561" s="1463"/>
      <c r="Z1561" s="1463"/>
      <c r="AA1561" s="1463"/>
      <c r="AB1561" s="1463"/>
      <c r="AC1561" s="1463"/>
      <c r="AD1561" s="1463"/>
      <c r="AE1561" s="1463"/>
      <c r="AF1561" s="1463"/>
    </row>
    <row r="1562" spans="1:32" ht="13.8">
      <c r="A1562" s="2186"/>
      <c r="B1562" s="1446"/>
      <c r="C1562" s="1469"/>
      <c r="D1562" s="1469"/>
      <c r="E1562" s="1469"/>
      <c r="F1562" s="1469"/>
      <c r="G1562" s="1463"/>
      <c r="H1562" s="1463"/>
      <c r="I1562" s="1469"/>
      <c r="J1562" s="1469"/>
      <c r="K1562" s="1469"/>
      <c r="L1562" s="1469"/>
      <c r="M1562" s="1469"/>
      <c r="N1562" s="1467"/>
      <c r="O1562" s="2155"/>
      <c r="P1562" s="2567"/>
      <c r="Q1562" s="1463"/>
      <c r="R1562" s="1463"/>
      <c r="S1562" s="1463"/>
      <c r="T1562" s="1463"/>
      <c r="U1562" s="1463"/>
      <c r="V1562" s="1463"/>
      <c r="W1562" s="1463"/>
      <c r="X1562" s="1463"/>
      <c r="Y1562" s="1463"/>
      <c r="Z1562" s="1463"/>
      <c r="AA1562" s="1463"/>
      <c r="AB1562" s="1463"/>
      <c r="AC1562" s="1463"/>
      <c r="AD1562" s="1463"/>
      <c r="AE1562" s="1463"/>
      <c r="AF1562" s="1463"/>
    </row>
    <row r="1563" spans="1:32" ht="14.4">
      <c r="A1563" s="2186" t="s">
        <v>1597</v>
      </c>
      <c r="B1563" s="1731" t="s">
        <v>1969</v>
      </c>
      <c r="C1563" s="1446"/>
      <c r="D1563" s="1731"/>
      <c r="E1563" s="1731"/>
      <c r="F1563" s="1446"/>
      <c r="G1563" s="1446"/>
      <c r="H1563" s="1446"/>
      <c r="I1563" s="2211" t="str">
        <f>IF(AND($O1563&gt;0,NOT($H$11="Preservation")),"Ineligible, not Preservation!","")</f>
        <v>Ineligible, not Preservation!</v>
      </c>
      <c r="J1563" s="1446"/>
      <c r="K1563" s="1446"/>
      <c r="L1563" s="1446"/>
      <c r="M1563" s="2567"/>
      <c r="N1563" s="1454"/>
      <c r="O1563" s="1739">
        <f>'Part VIII Scoring Criteria'!AA334</f>
        <v>28</v>
      </c>
      <c r="P1563" s="1739">
        <f>'Part VIII Scoring Criteria'!AB334</f>
        <v>0</v>
      </c>
      <c r="Q1563" s="2567" t="s">
        <v>1744</v>
      </c>
      <c r="R1563" s="2150"/>
      <c r="S1563" s="1446"/>
      <c r="T1563" s="1446"/>
      <c r="U1563" s="1446"/>
      <c r="V1563" s="1446"/>
      <c r="W1563" s="1446"/>
      <c r="X1563" s="1446"/>
      <c r="Y1563" s="1446"/>
      <c r="Z1563" s="1446"/>
      <c r="AA1563" s="1446"/>
      <c r="AB1563" s="1446"/>
      <c r="AC1563" s="1446"/>
      <c r="AD1563" s="1446"/>
      <c r="AE1563" s="1446"/>
      <c r="AF1563" s="1446"/>
    </row>
    <row r="1564" spans="1:32" ht="13.8">
      <c r="A1564" s="2186"/>
      <c r="B1564" s="1446"/>
      <c r="C1564" s="1469"/>
      <c r="D1564" s="1469"/>
      <c r="E1564" s="1469"/>
      <c r="F1564" s="1469"/>
      <c r="G1564" s="1469"/>
      <c r="H1564" s="1469"/>
      <c r="I1564" s="1463"/>
      <c r="J1564" s="1469"/>
      <c r="K1564" s="1469"/>
      <c r="L1564" s="1469"/>
      <c r="M1564" s="1469"/>
      <c r="N1564" s="1467"/>
      <c r="O1564" s="2155"/>
      <c r="P1564" s="2155"/>
      <c r="Q1564" s="1463"/>
      <c r="R1564" s="1463"/>
      <c r="S1564" s="1463"/>
      <c r="T1564" s="1463"/>
      <c r="U1564" s="1463"/>
      <c r="V1564" s="1463"/>
      <c r="W1564" s="1463"/>
      <c r="X1564" s="1463"/>
      <c r="Y1564" s="1463"/>
      <c r="Z1564" s="1463"/>
      <c r="AA1564" s="1463"/>
      <c r="AB1564" s="1463"/>
      <c r="AC1564" s="1463"/>
      <c r="AD1564" s="1463"/>
      <c r="AE1564" s="1463"/>
      <c r="AF1564" s="1463"/>
    </row>
    <row r="1565" spans="1:32" ht="13.8">
      <c r="A1565" s="2567" t="s">
        <v>186</v>
      </c>
      <c r="B1565" s="1445" t="s">
        <v>1970</v>
      </c>
      <c r="C1565" s="1446"/>
      <c r="D1565" s="1731"/>
      <c r="E1565" s="1731"/>
      <c r="F1565" s="1446"/>
      <c r="G1565" s="1446"/>
      <c r="H1565" s="1446"/>
      <c r="I1565" s="1446"/>
      <c r="J1565" s="1446"/>
      <c r="K1565" s="1446"/>
      <c r="L1565" s="2180" t="s">
        <v>1743</v>
      </c>
      <c r="M1565" s="2567">
        <v>6</v>
      </c>
      <c r="N1565" s="1454"/>
      <c r="O1565" s="2567">
        <f>'Part VIII Scoring Criteria'!AA336</f>
        <v>6</v>
      </c>
      <c r="P1565" s="1462"/>
      <c r="Q1565" s="2567"/>
      <c r="R1565" s="2150"/>
      <c r="S1565" s="1446"/>
      <c r="T1565" s="1446"/>
      <c r="U1565" s="1446"/>
      <c r="V1565" s="1446"/>
      <c r="W1565" s="1446"/>
      <c r="X1565" s="1446"/>
      <c r="Y1565" s="1446"/>
      <c r="Z1565" s="1446"/>
      <c r="AA1565" s="1446"/>
      <c r="AB1565" s="1446"/>
      <c r="AC1565" s="1446"/>
      <c r="AD1565" s="1446"/>
      <c r="AE1565" s="1446"/>
      <c r="AF1565" s="1446"/>
    </row>
    <row r="1566" spans="1:32" ht="13.8">
      <c r="A1566" s="2155" t="s">
        <v>198</v>
      </c>
      <c r="B1566" s="1445" t="s">
        <v>1971</v>
      </c>
      <c r="C1566" s="1446"/>
      <c r="D1566" s="1731"/>
      <c r="E1566" s="1731"/>
      <c r="F1566" s="1446"/>
      <c r="G1566" s="2173" t="s">
        <v>7650</v>
      </c>
      <c r="H1566" s="1446"/>
      <c r="I1566" s="1446"/>
      <c r="J1566" s="2173"/>
      <c r="K1566" s="2149" t="str">
        <f>IF(OR($O1566=$M1566,$O1566=0,$O1566=""),"","*CHECK!*")</f>
        <v/>
      </c>
      <c r="L1566" s="2180" t="s">
        <v>1743</v>
      </c>
      <c r="M1566" s="2567">
        <v>6</v>
      </c>
      <c r="N1566" s="1454"/>
      <c r="O1566" s="1454"/>
      <c r="P1566" s="1462"/>
      <c r="Q1566" s="2567"/>
      <c r="R1566" s="2150"/>
      <c r="S1566" s="1446"/>
      <c r="T1566" s="1446"/>
      <c r="U1566" s="1446"/>
      <c r="V1566" s="1446"/>
      <c r="W1566" s="1446"/>
      <c r="X1566" s="1446"/>
      <c r="Y1566" s="1446"/>
      <c r="Z1566" s="1446"/>
      <c r="AA1566" s="1446"/>
      <c r="AB1566" s="1446"/>
      <c r="AC1566" s="1446"/>
      <c r="AD1566" s="1446"/>
      <c r="AE1566" s="1446"/>
      <c r="AF1566" s="1446"/>
    </row>
    <row r="1567" spans="1:32" ht="13.8">
      <c r="A1567" s="2186"/>
      <c r="B1567" s="1446" t="s">
        <v>1973</v>
      </c>
      <c r="C1567" s="1446"/>
      <c r="D1567" s="1731"/>
      <c r="E1567" s="1731"/>
      <c r="F1567" s="1445"/>
      <c r="G1567" s="1446"/>
      <c r="H1567" s="1446"/>
      <c r="I1567" s="1446"/>
      <c r="J1567" s="1446"/>
      <c r="K1567" s="1446"/>
      <c r="L1567" s="2149"/>
      <c r="M1567" s="2567"/>
      <c r="N1567" s="1454"/>
      <c r="O1567" s="2567" t="str">
        <f>'Part VIII Scoring Criteria'!AA338</f>
        <v>Yes</v>
      </c>
      <c r="P1567" s="2567"/>
      <c r="Q1567" s="2567"/>
      <c r="R1567" s="2150"/>
      <c r="S1567" s="1446"/>
      <c r="T1567" s="1446"/>
      <c r="U1567" s="1446"/>
      <c r="V1567" s="1446"/>
      <c r="W1567" s="1446"/>
      <c r="X1567" s="1446"/>
      <c r="Y1567" s="1446"/>
      <c r="Z1567" s="1446"/>
      <c r="AA1567" s="1446"/>
      <c r="AB1567" s="1446"/>
      <c r="AC1567" s="1446"/>
      <c r="AD1567" s="1446"/>
      <c r="AE1567" s="1446"/>
      <c r="AF1567" s="1446"/>
    </row>
    <row r="1568" spans="1:32" ht="15" customHeight="1">
      <c r="A1568" s="2567" t="s">
        <v>219</v>
      </c>
      <c r="B1568" s="2136" t="s">
        <v>1974</v>
      </c>
      <c r="C1568" s="1468"/>
      <c r="D1568" s="1468"/>
      <c r="E1568" s="1468"/>
      <c r="F1568" s="1468"/>
      <c r="G1568" s="2145" t="s">
        <v>1975</v>
      </c>
      <c r="H1568" s="2145"/>
      <c r="I1568" s="2145"/>
      <c r="J1568" s="1445" t="str">
        <f>IF(AND(O1568&gt;0, O1569&gt;0), "Choose EITHER C OR D, but not both!","")</f>
        <v/>
      </c>
      <c r="K1568" s="1445"/>
      <c r="L1568" s="2180" t="s">
        <v>1743</v>
      </c>
      <c r="M1568" s="2567">
        <v>4</v>
      </c>
      <c r="N1568" s="1733"/>
      <c r="O1568" s="2567">
        <f>'Part VIII Scoring Criteria'!AA339</f>
        <v>2</v>
      </c>
      <c r="P1568" s="1462"/>
      <c r="Q1568" s="2149"/>
      <c r="R1568" s="2150"/>
      <c r="S1568" s="1468"/>
      <c r="T1568" s="1468"/>
      <c r="U1568" s="1468"/>
      <c r="V1568" s="1468"/>
      <c r="W1568" s="1468"/>
      <c r="X1568" s="1468"/>
      <c r="Y1568" s="1468"/>
      <c r="Z1568" s="1468"/>
      <c r="AA1568" s="1468"/>
      <c r="AB1568" s="1468"/>
      <c r="AC1568" s="1468"/>
      <c r="AD1568" s="1468"/>
      <c r="AE1568" s="1468"/>
      <c r="AF1568" s="1468"/>
    </row>
    <row r="1569" spans="1:32" ht="15" customHeight="1">
      <c r="A1569" s="2567" t="s">
        <v>221</v>
      </c>
      <c r="B1569" s="1445" t="s">
        <v>1976</v>
      </c>
      <c r="C1569" s="1463"/>
      <c r="D1569" s="1463"/>
      <c r="E1569" s="1470"/>
      <c r="F1569" s="1463"/>
      <c r="G1569" s="2145"/>
      <c r="H1569" s="2145"/>
      <c r="I1569" s="2145"/>
      <c r="J1569" s="1445"/>
      <c r="K1569" s="1445"/>
      <c r="L1569" s="2180" t="s">
        <v>1743</v>
      </c>
      <c r="M1569" s="2567">
        <v>4</v>
      </c>
      <c r="N1569" s="1733"/>
      <c r="O1569" s="2567">
        <f>'Part VIII Scoring Criteria'!AA340</f>
        <v>0</v>
      </c>
      <c r="P1569" s="1462"/>
      <c r="Q1569" s="2149"/>
      <c r="R1569" s="2150"/>
      <c r="S1569" s="1463"/>
      <c r="T1569" s="1463"/>
      <c r="U1569" s="1463"/>
      <c r="V1569" s="1463"/>
      <c r="W1569" s="1463"/>
      <c r="X1569" s="1463"/>
      <c r="Y1569" s="1463"/>
      <c r="Z1569" s="1463"/>
      <c r="AA1569" s="1463"/>
      <c r="AB1569" s="1463"/>
      <c r="AC1569" s="1463"/>
      <c r="AD1569" s="1463"/>
      <c r="AE1569" s="1463"/>
      <c r="AF1569" s="1463"/>
    </row>
    <row r="1570" spans="1:32" ht="13.8">
      <c r="A1570" s="2567" t="s">
        <v>228</v>
      </c>
      <c r="B1570" s="1445" t="s">
        <v>1977</v>
      </c>
      <c r="C1570" s="1446"/>
      <c r="D1570" s="1731"/>
      <c r="E1570" s="1446"/>
      <c r="F1570" s="1446"/>
      <c r="G1570" s="2173" t="s">
        <v>7650</v>
      </c>
      <c r="H1570" s="1446"/>
      <c r="I1570" s="1446"/>
      <c r="J1570" s="2173"/>
      <c r="K1570" s="1184" t="str">
        <f>IF(AND($O1570&gt;0,NOT($H$11="Preservation")),"Ineligible, not Preservation!","")</f>
        <v>Ineligible, not Preservation!</v>
      </c>
      <c r="L1570" s="2180" t="s">
        <v>1743</v>
      </c>
      <c r="M1570" s="2567">
        <v>20</v>
      </c>
      <c r="N1570" s="1454"/>
      <c r="O1570" s="1462">
        <f>'Part VIII Scoring Criteria'!AA341</f>
        <v>20</v>
      </c>
      <c r="P1570" s="1462">
        <f>'Part VIII Scoring Criteria'!AB341</f>
        <v>0</v>
      </c>
      <c r="Q1570" s="2567"/>
      <c r="R1570" s="2150"/>
      <c r="S1570" s="1446"/>
      <c r="T1570" s="1446"/>
      <c r="U1570" s="1446"/>
      <c r="V1570" s="1446"/>
      <c r="W1570" s="1446"/>
      <c r="X1570" s="1446"/>
      <c r="Y1570" s="1446"/>
      <c r="Z1570" s="1446"/>
      <c r="AA1570" s="1446"/>
      <c r="AB1570" s="1446"/>
      <c r="AC1570" s="1446"/>
      <c r="AD1570" s="1446"/>
      <c r="AE1570" s="1446"/>
      <c r="AF1570" s="1446"/>
    </row>
    <row r="1571" spans="1:32" ht="13.8">
      <c r="A1571" s="2567"/>
      <c r="B1571" s="1445"/>
      <c r="C1571" s="1446"/>
      <c r="D1571" s="1446"/>
      <c r="E1571" s="1446"/>
      <c r="F1571" s="1446" t="s">
        <v>1979</v>
      </c>
      <c r="G1571" s="1731"/>
      <c r="H1571" s="1446"/>
      <c r="I1571" s="1446"/>
      <c r="J1571" s="1446"/>
      <c r="K1571" s="1737" t="s">
        <v>1730</v>
      </c>
      <c r="L1571" s="2567" t="s">
        <v>1724</v>
      </c>
      <c r="M1571" s="1446"/>
      <c r="N1571" s="1446"/>
      <c r="O1571" s="1446"/>
      <c r="P1571" s="1446"/>
      <c r="Q1571" s="1446"/>
      <c r="R1571" s="2567"/>
      <c r="S1571" s="2567"/>
      <c r="T1571" s="2567"/>
      <c r="U1571" s="2567"/>
      <c r="V1571" s="2567"/>
      <c r="W1571" s="2567"/>
      <c r="X1571" s="2567"/>
      <c r="Y1571" s="2567"/>
      <c r="Z1571" s="2567"/>
      <c r="AA1571" s="2567"/>
      <c r="AB1571" s="1446"/>
      <c r="AC1571" s="1446"/>
      <c r="AD1571" s="1446"/>
      <c r="AE1571" s="1446"/>
      <c r="AF1571" s="1446"/>
    </row>
    <row r="1572" spans="1:32" ht="13.8">
      <c r="A1572" s="2567"/>
      <c r="B1572" s="1445"/>
      <c r="C1572" s="1446"/>
      <c r="D1572" s="1446"/>
      <c r="E1572" s="1446"/>
      <c r="F1572" s="1446"/>
      <c r="G1572" s="2229" t="s">
        <v>1980</v>
      </c>
      <c r="H1572" s="1446"/>
      <c r="I1572" s="1446"/>
      <c r="J1572" s="1446"/>
      <c r="K1572" s="2220">
        <f>'Part VIII Scoring Criteria'!U343</f>
        <v>20</v>
      </c>
      <c r="L1572" s="2220">
        <f>MAX(P1354,P1355-P1356)</f>
        <v>0</v>
      </c>
      <c r="M1572" s="1446"/>
      <c r="N1572" s="1446"/>
      <c r="O1572" s="1446"/>
      <c r="P1572" s="1446"/>
      <c r="Q1572" s="1446"/>
      <c r="R1572" s="2567"/>
      <c r="S1572" s="2567"/>
      <c r="T1572" s="2567"/>
      <c r="U1572" s="2567"/>
      <c r="V1572" s="2567"/>
      <c r="W1572" s="2567"/>
      <c r="X1572" s="2567"/>
      <c r="Y1572" s="2567"/>
      <c r="Z1572" s="2567"/>
      <c r="AA1572" s="2567"/>
      <c r="AB1572" s="1446"/>
      <c r="AC1572" s="1446"/>
      <c r="AD1572" s="1446"/>
      <c r="AE1572" s="1446"/>
      <c r="AF1572" s="1446"/>
    </row>
    <row r="1573" spans="1:32" ht="13.8">
      <c r="A1573" s="2567"/>
      <c r="B1573" s="1445"/>
      <c r="C1573" s="1446"/>
      <c r="D1573" s="1446"/>
      <c r="E1573" s="1446"/>
      <c r="F1573" s="1446"/>
      <c r="G1573" s="2229" t="s">
        <v>1981</v>
      </c>
      <c r="H1573" s="1446"/>
      <c r="I1573" s="1446"/>
      <c r="J1573" s="1446"/>
      <c r="K1573" s="2220">
        <f>'Part VIII Scoring Criteria'!U344</f>
        <v>2</v>
      </c>
      <c r="L1573" s="2220">
        <f>MAX(P1363,P1372+P1373+P1375+P1376+P1377)</f>
        <v>0</v>
      </c>
      <c r="M1573" s="1446"/>
      <c r="N1573" s="1446"/>
      <c r="O1573" s="1446"/>
      <c r="P1573" s="1446"/>
      <c r="Q1573" s="1446"/>
      <c r="R1573" s="2567"/>
      <c r="S1573" s="2567"/>
      <c r="T1573" s="2567"/>
      <c r="U1573" s="2567"/>
      <c r="V1573" s="2567"/>
      <c r="W1573" s="2567"/>
      <c r="X1573" s="2567"/>
      <c r="Y1573" s="2567"/>
      <c r="Z1573" s="2567"/>
      <c r="AA1573" s="2567"/>
      <c r="AB1573" s="1446"/>
      <c r="AC1573" s="1446"/>
      <c r="AD1573" s="1446"/>
      <c r="AE1573" s="1446"/>
      <c r="AF1573" s="1446"/>
    </row>
    <row r="1574" spans="1:32" ht="13.8">
      <c r="A1574" s="2567"/>
      <c r="B1574" s="1445"/>
      <c r="C1574" s="1446"/>
      <c r="D1574" s="1446"/>
      <c r="E1574" s="1446"/>
      <c r="F1574" s="1446"/>
      <c r="G1574" s="2229" t="s">
        <v>1982</v>
      </c>
      <c r="H1574" s="1446"/>
      <c r="I1574" s="1446"/>
      <c r="J1574" s="1446"/>
      <c r="K1574" s="2253">
        <f>'Part VIII Scoring Criteria'!U345</f>
        <v>1</v>
      </c>
      <c r="L1574" s="2254">
        <f>$P$190</f>
        <v>71053.180000000008</v>
      </c>
      <c r="M1574" s="1446"/>
      <c r="N1574" s="1446"/>
      <c r="O1574" s="1446"/>
      <c r="P1574" s="1446"/>
      <c r="Q1574" s="1446"/>
      <c r="R1574" s="2567"/>
      <c r="S1574" s="2567"/>
      <c r="T1574" s="2567"/>
      <c r="U1574" s="2567"/>
      <c r="V1574" s="2567"/>
      <c r="W1574" s="2567"/>
      <c r="X1574" s="2567"/>
      <c r="Y1574" s="2567"/>
      <c r="Z1574" s="2567"/>
      <c r="AA1574" s="2567"/>
      <c r="AB1574" s="1446"/>
      <c r="AC1574" s="1446"/>
      <c r="AD1574" s="1446"/>
      <c r="AE1574" s="1446"/>
      <c r="AF1574" s="1446"/>
    </row>
    <row r="1575" spans="1:32" ht="13.8">
      <c r="A1575" s="2567"/>
      <c r="B1575" s="1445"/>
      <c r="C1575" s="1446"/>
      <c r="D1575" s="1446"/>
      <c r="E1575" s="1446"/>
      <c r="F1575" s="1446" t="s">
        <v>1983</v>
      </c>
      <c r="G1575" s="1446"/>
      <c r="H1575" s="1446"/>
      <c r="I1575" s="1446"/>
      <c r="J1575" s="2205" t="s">
        <v>1984</v>
      </c>
      <c r="K1575" s="2220">
        <f>MAX(K1576:K1578)</f>
        <v>10</v>
      </c>
      <c r="L1575" s="2220">
        <f>MAX(L1576:L1578)</f>
        <v>0</v>
      </c>
      <c r="M1575" s="1446"/>
      <c r="N1575" s="1446"/>
      <c r="O1575" s="1446"/>
      <c r="P1575" s="1446"/>
      <c r="Q1575" s="1446"/>
      <c r="R1575" s="2567"/>
      <c r="S1575" s="2567"/>
      <c r="T1575" s="2567"/>
      <c r="U1575" s="2567"/>
      <c r="V1575" s="2567"/>
      <c r="W1575" s="2567"/>
      <c r="X1575" s="2567"/>
      <c r="Y1575" s="2567"/>
      <c r="Z1575" s="2567"/>
      <c r="AA1575" s="2567"/>
      <c r="AB1575" s="1446"/>
      <c r="AC1575" s="1446"/>
      <c r="AD1575" s="1446"/>
      <c r="AE1575" s="1446"/>
      <c r="AF1575" s="1446"/>
    </row>
    <row r="1576" spans="1:32" ht="13.8">
      <c r="A1576" s="2567"/>
      <c r="B1576" s="1445"/>
      <c r="C1576" s="1446"/>
      <c r="D1576" s="1446"/>
      <c r="E1576" s="1446"/>
      <c r="F1576" s="1446"/>
      <c r="G1576" s="2229" t="s">
        <v>1925</v>
      </c>
      <c r="H1576" s="1446"/>
      <c r="I1576" s="1446"/>
      <c r="J1576" s="1446"/>
      <c r="K1576" s="2220">
        <f>'Part VIII Scoring Criteria'!U347</f>
        <v>0</v>
      </c>
      <c r="L1576" s="2220">
        <f>P1401</f>
        <v>0</v>
      </c>
      <c r="M1576" s="1446"/>
      <c r="N1576" s="1446"/>
      <c r="O1576" s="1446"/>
      <c r="P1576" s="1446"/>
      <c r="Q1576" s="1446"/>
      <c r="R1576" s="2567"/>
      <c r="S1576" s="2567"/>
      <c r="T1576" s="2567"/>
      <c r="U1576" s="2567"/>
      <c r="V1576" s="2567"/>
      <c r="W1576" s="2567"/>
      <c r="X1576" s="2567"/>
      <c r="Y1576" s="2567"/>
      <c r="Z1576" s="2567"/>
      <c r="AA1576" s="2567"/>
      <c r="AB1576" s="1446"/>
      <c r="AC1576" s="1446"/>
      <c r="AD1576" s="1446"/>
      <c r="AE1576" s="1446"/>
      <c r="AF1576" s="1446"/>
    </row>
    <row r="1577" spans="1:32" ht="13.8">
      <c r="A1577" s="2567"/>
      <c r="B1577" s="1445"/>
      <c r="C1577" s="1446"/>
      <c r="D1577" s="1446"/>
      <c r="E1577" s="1446"/>
      <c r="F1577" s="1446"/>
      <c r="G1577" s="2229" t="s">
        <v>1926</v>
      </c>
      <c r="H1577" s="1446"/>
      <c r="I1577" s="1446"/>
      <c r="J1577" s="1446"/>
      <c r="K1577" s="2140">
        <f>'Part VIII Scoring Criteria'!U348</f>
        <v>10</v>
      </c>
      <c r="L1577" s="2140">
        <f>MAX($K$251,$P$238)</f>
        <v>0</v>
      </c>
      <c r="M1577" s="1446"/>
      <c r="N1577" s="1446"/>
      <c r="O1577" s="1446"/>
      <c r="P1577" s="1446"/>
      <c r="Q1577" s="1446"/>
      <c r="R1577" s="2567"/>
      <c r="S1577" s="2567"/>
      <c r="T1577" s="2567"/>
      <c r="U1577" s="2567"/>
      <c r="V1577" s="2567"/>
      <c r="W1577" s="2567"/>
      <c r="X1577" s="2567"/>
      <c r="Y1577" s="2567"/>
      <c r="Z1577" s="2567"/>
      <c r="AA1577" s="2567"/>
      <c r="AB1577" s="1446"/>
      <c r="AC1577" s="1446"/>
      <c r="AD1577" s="1446"/>
      <c r="AE1577" s="1446"/>
      <c r="AF1577" s="1446"/>
    </row>
    <row r="1578" spans="1:32" ht="13.8">
      <c r="A1578" s="2567"/>
      <c r="B1578" s="1445"/>
      <c r="C1578" s="1446"/>
      <c r="D1578" s="1446"/>
      <c r="E1578" s="1446"/>
      <c r="F1578" s="1446"/>
      <c r="G1578" s="2229" t="s">
        <v>1985</v>
      </c>
      <c r="H1578" s="1446"/>
      <c r="I1578" s="1446"/>
      <c r="J1578" s="1446"/>
      <c r="K1578" s="2140">
        <f>'Part VIII Scoring Criteria'!U349</f>
        <v>0</v>
      </c>
      <c r="L1578" s="2140">
        <f>IF(OR(P1460="Yes",P1461="Yes"),M1459,0)</f>
        <v>0</v>
      </c>
      <c r="M1578" s="1446"/>
      <c r="N1578" s="1446"/>
      <c r="O1578" s="1446"/>
      <c r="P1578" s="1446"/>
      <c r="Q1578" s="1446"/>
      <c r="R1578" s="2567"/>
      <c r="S1578" s="2567"/>
      <c r="T1578" s="2567"/>
      <c r="U1578" s="2567"/>
      <c r="V1578" s="2567"/>
      <c r="W1578" s="2567"/>
      <c r="X1578" s="2567"/>
      <c r="Y1578" s="2567"/>
      <c r="Z1578" s="2567"/>
      <c r="AA1578" s="2567"/>
      <c r="AB1578" s="1446"/>
      <c r="AC1578" s="1446"/>
      <c r="AD1578" s="1446"/>
      <c r="AE1578" s="1446"/>
      <c r="AF1578" s="1446"/>
    </row>
    <row r="1579" spans="1:32" ht="13.8">
      <c r="A1579" s="2567" t="s">
        <v>230</v>
      </c>
      <c r="B1579" s="1445" t="s">
        <v>1987</v>
      </c>
      <c r="C1579" s="1446"/>
      <c r="D1579" s="1731"/>
      <c r="E1579" s="1446"/>
      <c r="F1579" s="1446"/>
      <c r="G1579" s="2147"/>
      <c r="H1579" s="1446"/>
      <c r="I1579" s="1446"/>
      <c r="J1579" s="1446"/>
      <c r="K1579" s="2149" t="str">
        <f>IF(OR($O1579&lt;=$M1579,$O1579=0,$O1579=""),"","*CHECK!*")</f>
        <v/>
      </c>
      <c r="L1579" s="1733" t="s">
        <v>1743</v>
      </c>
      <c r="M1579" s="2567">
        <v>22</v>
      </c>
      <c r="N1579" s="1454"/>
      <c r="O1579" s="1462">
        <f>'Part VIII Scoring Criteria'!AA351</f>
        <v>0</v>
      </c>
      <c r="P1579" s="1462">
        <f>'Part VIII Scoring Criteria'!AB351</f>
        <v>0</v>
      </c>
      <c r="Q1579" s="2567" t="s">
        <v>1744</v>
      </c>
      <c r="R1579" s="2150"/>
      <c r="S1579" s="1446"/>
      <c r="T1579" s="1446"/>
      <c r="U1579" s="1446"/>
      <c r="V1579" s="1446"/>
      <c r="W1579" s="1446"/>
      <c r="X1579" s="1446"/>
      <c r="Y1579" s="1446"/>
      <c r="Z1579" s="1446"/>
      <c r="AA1579" s="1446"/>
      <c r="AB1579" s="1446"/>
      <c r="AC1579" s="1446"/>
      <c r="AD1579" s="1446"/>
      <c r="AE1579" s="1446"/>
      <c r="AF1579" s="1446"/>
    </row>
    <row r="1580" spans="1:32" ht="13.8">
      <c r="A1580" s="2567"/>
      <c r="B1580" s="2151"/>
      <c r="C1580" s="1465" t="s">
        <v>1988</v>
      </c>
      <c r="D1580" s="1446"/>
      <c r="E1580" s="1446"/>
      <c r="F1580" s="1446"/>
      <c r="G1580" s="2230" t="s">
        <v>1989</v>
      </c>
      <c r="H1580" s="1446"/>
      <c r="I1580" s="2567"/>
      <c r="J1580" s="1446"/>
      <c r="K1580" s="2194">
        <f>'Part VIII Scoring Criteria'!T352</f>
        <v>0</v>
      </c>
      <c r="L1580" s="1446"/>
      <c r="M1580" s="2180" t="s">
        <v>1743</v>
      </c>
      <c r="N1580" s="2182">
        <v>3</v>
      </c>
      <c r="O1580" s="2567">
        <f>'Part VIII Scoring Criteria'!AA352</f>
        <v>0</v>
      </c>
      <c r="P1580" s="1462"/>
      <c r="Q1580" s="2150"/>
      <c r="R1580" s="1446"/>
      <c r="S1580" s="1446"/>
      <c r="T1580" s="1446"/>
      <c r="U1580" s="1446"/>
      <c r="V1580" s="1731"/>
      <c r="W1580" s="1446"/>
      <c r="X1580" s="1446"/>
      <c r="Y1580" s="1446"/>
      <c r="Z1580" s="1446"/>
      <c r="AA1580" s="1446"/>
      <c r="AB1580" s="1446"/>
      <c r="AC1580" s="1446"/>
      <c r="AD1580" s="1446"/>
      <c r="AE1580" s="1446"/>
      <c r="AF1580" s="1446"/>
    </row>
    <row r="1581" spans="1:32" ht="13.8">
      <c r="A1581" s="2567"/>
      <c r="B1581" s="2153"/>
      <c r="C1581" s="1468" t="s">
        <v>1990</v>
      </c>
      <c r="D1581" s="1468"/>
      <c r="E1581" s="1468"/>
      <c r="F1581" s="1446"/>
      <c r="G1581" s="2229" t="s">
        <v>1991</v>
      </c>
      <c r="H1581" s="1446"/>
      <c r="I1581" s="1468"/>
      <c r="J1581" s="1446"/>
      <c r="K1581" s="1467">
        <f>'Part VIII Scoring Criteria'!T353</f>
        <v>0</v>
      </c>
      <c r="L1581" s="1446"/>
      <c r="M1581" s="2180" t="s">
        <v>1743</v>
      </c>
      <c r="N1581" s="2182">
        <v>3</v>
      </c>
      <c r="O1581" s="2567">
        <f>'Part VIII Scoring Criteria'!AA353</f>
        <v>0</v>
      </c>
      <c r="P1581" s="1462"/>
      <c r="Q1581" s="1733"/>
      <c r="R1581" s="1446"/>
      <c r="S1581" s="1446"/>
      <c r="T1581" s="1446"/>
      <c r="U1581" s="1446"/>
      <c r="V1581" s="1731"/>
      <c r="W1581" s="1446"/>
      <c r="X1581" s="1446"/>
      <c r="Y1581" s="1446"/>
      <c r="Z1581" s="1446"/>
      <c r="AA1581" s="1446"/>
      <c r="AB1581" s="1446"/>
      <c r="AC1581" s="1446"/>
      <c r="AD1581" s="1446"/>
      <c r="AE1581" s="1446"/>
      <c r="AF1581" s="1446"/>
    </row>
    <row r="1582" spans="1:32" ht="13.8">
      <c r="A1582" s="1463"/>
      <c r="B1582" s="2151"/>
      <c r="C1582" s="1446" t="s">
        <v>1992</v>
      </c>
      <c r="D1582" s="1463"/>
      <c r="E1582" s="1463"/>
      <c r="F1582" s="1463"/>
      <c r="G1582" s="2173" t="s">
        <v>1993</v>
      </c>
      <c r="H1582" s="1463"/>
      <c r="I1582" s="1463"/>
      <c r="J1582" s="1463"/>
      <c r="K1582" s="1454" t="str">
        <f>'Part VIII Scoring Criteria'!T354</f>
        <v/>
      </c>
      <c r="L1582" s="1463"/>
      <c r="M1582" s="2180" t="s">
        <v>1743</v>
      </c>
      <c r="N1582" s="2182">
        <v>10</v>
      </c>
      <c r="O1582" s="2567">
        <f>'Part VIII Scoring Criteria'!AA354</f>
        <v>0</v>
      </c>
      <c r="P1582" s="1462"/>
      <c r="Q1582" s="2149" t="str">
        <f>IF(OR($O1582&lt;=$N1582,$O1582=0,$O1582=""),"","*CHECK!*")</f>
        <v/>
      </c>
      <c r="R1582" s="2150"/>
      <c r="S1582" s="1463"/>
      <c r="T1582" s="1463"/>
      <c r="U1582" s="1463"/>
      <c r="V1582" s="1463"/>
      <c r="W1582" s="1463"/>
      <c r="X1582" s="1463"/>
      <c r="Y1582" s="1463"/>
      <c r="Z1582" s="1463"/>
      <c r="AA1582" s="1463"/>
      <c r="AB1582" s="1463"/>
      <c r="AC1582" s="1463"/>
      <c r="AD1582" s="1463"/>
      <c r="AE1582" s="1463"/>
      <c r="AF1582" s="1463"/>
    </row>
    <row r="1583" spans="1:32" ht="13.8">
      <c r="A1583" s="2567"/>
      <c r="B1583" s="1463" t="s">
        <v>1994</v>
      </c>
      <c r="C1583" s="1463"/>
      <c r="D1583" s="1463" t="s">
        <v>1995</v>
      </c>
      <c r="E1583" s="1446"/>
      <c r="F1583" s="1446"/>
      <c r="G1583" s="1446" t="s">
        <v>236</v>
      </c>
      <c r="H1583" s="1446"/>
      <c r="I1583" s="1446"/>
      <c r="J1583" s="1446" t="s">
        <v>48</v>
      </c>
      <c r="K1583" s="1446"/>
      <c r="L1583" s="2568" t="s">
        <v>1951</v>
      </c>
      <c r="M1583" s="1463" t="s">
        <v>1996</v>
      </c>
      <c r="N1583" s="1463"/>
      <c r="O1583" s="1463"/>
      <c r="P1583" s="1463"/>
      <c r="Q1583" s="2149"/>
      <c r="R1583" s="1463"/>
      <c r="S1583" s="1463"/>
      <c r="T1583" s="1463"/>
      <c r="U1583" s="1463"/>
      <c r="V1583" s="1463"/>
      <c r="W1583" s="1463"/>
      <c r="X1583" s="1463"/>
      <c r="Y1583" s="1463"/>
      <c r="Z1583" s="1463"/>
      <c r="AA1583" s="1463"/>
      <c r="AB1583" s="1463"/>
      <c r="AC1583" s="1463"/>
      <c r="AD1583" s="1463"/>
      <c r="AE1583" s="1463"/>
      <c r="AF1583" s="1463"/>
    </row>
    <row r="1584" spans="1:32" ht="13.8">
      <c r="A1584" s="2152" t="s">
        <v>203</v>
      </c>
      <c r="B1584" s="1469">
        <f>'Part VIII Scoring Criteria'!B356</f>
        <v>0</v>
      </c>
      <c r="C1584" s="1446"/>
      <c r="D1584" s="1469">
        <f>'Part VIII Scoring Criteria'!E356</f>
        <v>0</v>
      </c>
      <c r="E1584" s="1446"/>
      <c r="F1584" s="1446"/>
      <c r="G1584" s="1469">
        <f>'Part VIII Scoring Criteria'!H356</f>
        <v>0</v>
      </c>
      <c r="H1584" s="1446"/>
      <c r="I1584" s="1446"/>
      <c r="J1584" s="1469">
        <f>'Part VIII Scoring Criteria'!K356</f>
        <v>0</v>
      </c>
      <c r="K1584" s="1446"/>
      <c r="L1584" s="2255">
        <f>'Part VIII Scoring Criteria'!X356</f>
        <v>0</v>
      </c>
      <c r="M1584" s="1469">
        <f>'Part VIII Scoring Criteria'!Y356</f>
        <v>0</v>
      </c>
      <c r="N1584" s="1446"/>
      <c r="O1584" s="1446"/>
      <c r="P1584" s="1446"/>
      <c r="Q1584" s="2149"/>
      <c r="R1584" s="1463"/>
      <c r="S1584" s="1463"/>
      <c r="T1584" s="1463"/>
      <c r="U1584" s="1463"/>
      <c r="V1584" s="1463"/>
      <c r="W1584" s="1463"/>
      <c r="X1584" s="1463"/>
      <c r="Y1584" s="1463"/>
      <c r="Z1584" s="1463"/>
      <c r="AA1584" s="1463"/>
      <c r="AB1584" s="1463"/>
      <c r="AC1584" s="1463"/>
      <c r="AD1584" s="1463"/>
      <c r="AE1584" s="1463"/>
      <c r="AF1584" s="1463"/>
    </row>
    <row r="1585" spans="1:32" ht="13.8">
      <c r="A1585" s="2152" t="s">
        <v>206</v>
      </c>
      <c r="B1585" s="1469">
        <f>'Part VIII Scoring Criteria'!B357</f>
        <v>0</v>
      </c>
      <c r="C1585" s="1446"/>
      <c r="D1585" s="1469">
        <f>'Part VIII Scoring Criteria'!E357</f>
        <v>0</v>
      </c>
      <c r="E1585" s="1446"/>
      <c r="F1585" s="1446"/>
      <c r="G1585" s="1469">
        <f>'Part VIII Scoring Criteria'!H357</f>
        <v>0</v>
      </c>
      <c r="H1585" s="1446"/>
      <c r="I1585" s="1446"/>
      <c r="J1585" s="1469">
        <f>'Part VIII Scoring Criteria'!K357</f>
        <v>0</v>
      </c>
      <c r="K1585" s="1446"/>
      <c r="L1585" s="2255">
        <f>'Part VIII Scoring Criteria'!X357</f>
        <v>0</v>
      </c>
      <c r="M1585" s="1469">
        <f>'Part VIII Scoring Criteria'!Y357</f>
        <v>0</v>
      </c>
      <c r="N1585" s="1446"/>
      <c r="O1585" s="1446"/>
      <c r="P1585" s="1446"/>
      <c r="Q1585" s="2149"/>
      <c r="R1585" s="1463"/>
      <c r="S1585" s="1463"/>
      <c r="T1585" s="1463"/>
      <c r="U1585" s="1463"/>
      <c r="V1585" s="1463"/>
      <c r="W1585" s="1463"/>
      <c r="X1585" s="1463"/>
      <c r="Y1585" s="1463"/>
      <c r="Z1585" s="1463"/>
      <c r="AA1585" s="1463"/>
      <c r="AB1585" s="1463"/>
      <c r="AC1585" s="1463"/>
      <c r="AD1585" s="1463"/>
      <c r="AE1585" s="1463"/>
      <c r="AF1585" s="1463"/>
    </row>
    <row r="1586" spans="1:32" ht="13.8">
      <c r="A1586" s="2152" t="s">
        <v>208</v>
      </c>
      <c r="B1586" s="1469">
        <f>'Part VIII Scoring Criteria'!B358</f>
        <v>0</v>
      </c>
      <c r="C1586" s="1446"/>
      <c r="D1586" s="1469">
        <f>'Part VIII Scoring Criteria'!E358</f>
        <v>0</v>
      </c>
      <c r="E1586" s="1446"/>
      <c r="F1586" s="1446"/>
      <c r="G1586" s="1469">
        <f>'Part VIII Scoring Criteria'!H358</f>
        <v>0</v>
      </c>
      <c r="H1586" s="1446"/>
      <c r="I1586" s="1446"/>
      <c r="J1586" s="1469">
        <f>'Part VIII Scoring Criteria'!K358</f>
        <v>0</v>
      </c>
      <c r="K1586" s="1446"/>
      <c r="L1586" s="2255">
        <f>'Part VIII Scoring Criteria'!X358</f>
        <v>0</v>
      </c>
      <c r="M1586" s="1469">
        <f>'Part VIII Scoring Criteria'!Y358</f>
        <v>0</v>
      </c>
      <c r="N1586" s="1446"/>
      <c r="O1586" s="1446"/>
      <c r="P1586" s="1446"/>
      <c r="Q1586" s="2149"/>
      <c r="R1586" s="1463"/>
      <c r="S1586" s="1463"/>
      <c r="T1586" s="1463"/>
      <c r="U1586" s="1463"/>
      <c r="V1586" s="1463"/>
      <c r="W1586" s="1463"/>
      <c r="X1586" s="1463"/>
      <c r="Y1586" s="1463"/>
      <c r="Z1586" s="1463"/>
      <c r="AA1586" s="1463"/>
      <c r="AB1586" s="1463"/>
      <c r="AC1586" s="1463"/>
      <c r="AD1586" s="1463"/>
      <c r="AE1586" s="1463"/>
      <c r="AF1586" s="1463"/>
    </row>
    <row r="1587" spans="1:32" ht="13.8">
      <c r="A1587" s="2152" t="s">
        <v>1997</v>
      </c>
      <c r="B1587" s="1469">
        <f>'Part VIII Scoring Criteria'!B359</f>
        <v>0</v>
      </c>
      <c r="C1587" s="1446"/>
      <c r="D1587" s="1469">
        <f>'Part VIII Scoring Criteria'!E359</f>
        <v>0</v>
      </c>
      <c r="E1587" s="1446"/>
      <c r="F1587" s="1446"/>
      <c r="G1587" s="1469">
        <f>'Part VIII Scoring Criteria'!H359</f>
        <v>0</v>
      </c>
      <c r="H1587" s="1446"/>
      <c r="I1587" s="1446"/>
      <c r="J1587" s="1469">
        <f>'Part VIII Scoring Criteria'!K359</f>
        <v>0</v>
      </c>
      <c r="K1587" s="1446"/>
      <c r="L1587" s="2255">
        <f>'Part VIII Scoring Criteria'!X359</f>
        <v>0</v>
      </c>
      <c r="M1587" s="1469">
        <f>'Part VIII Scoring Criteria'!Y359</f>
        <v>0</v>
      </c>
      <c r="N1587" s="1446"/>
      <c r="O1587" s="1446"/>
      <c r="P1587" s="1446"/>
      <c r="Q1587" s="2149"/>
      <c r="R1587" s="1463"/>
      <c r="S1587" s="1463"/>
      <c r="T1587" s="1463"/>
      <c r="U1587" s="1463"/>
      <c r="V1587" s="1463"/>
      <c r="W1587" s="1463"/>
      <c r="X1587" s="1463"/>
      <c r="Y1587" s="1463"/>
      <c r="Z1587" s="1463"/>
      <c r="AA1587" s="1463"/>
      <c r="AB1587" s="1463"/>
      <c r="AC1587" s="1463"/>
      <c r="AD1587" s="1463"/>
      <c r="AE1587" s="1463"/>
      <c r="AF1587" s="1463"/>
    </row>
    <row r="1588" spans="1:32" ht="13.8">
      <c r="A1588" s="2152" t="s">
        <v>1998</v>
      </c>
      <c r="B1588" s="1469">
        <f>'Part VIII Scoring Criteria'!B360</f>
        <v>0</v>
      </c>
      <c r="C1588" s="1446"/>
      <c r="D1588" s="1469">
        <f>'Part VIII Scoring Criteria'!E360</f>
        <v>0</v>
      </c>
      <c r="E1588" s="1446"/>
      <c r="F1588" s="1446"/>
      <c r="G1588" s="1469">
        <f>'Part VIII Scoring Criteria'!H360</f>
        <v>0</v>
      </c>
      <c r="H1588" s="1446"/>
      <c r="I1588" s="1446"/>
      <c r="J1588" s="1469">
        <f>'Part VIII Scoring Criteria'!K360</f>
        <v>0</v>
      </c>
      <c r="K1588" s="1446"/>
      <c r="L1588" s="2255">
        <f>'Part VIII Scoring Criteria'!X360</f>
        <v>0</v>
      </c>
      <c r="M1588" s="1469">
        <f>'Part VIII Scoring Criteria'!Y360</f>
        <v>0</v>
      </c>
      <c r="N1588" s="1446"/>
      <c r="O1588" s="1446"/>
      <c r="P1588" s="1446"/>
      <c r="Q1588" s="2149"/>
      <c r="R1588" s="1463"/>
      <c r="S1588" s="1463"/>
      <c r="T1588" s="1463"/>
      <c r="U1588" s="1463"/>
      <c r="V1588" s="1463"/>
      <c r="W1588" s="1463"/>
      <c r="X1588" s="1463"/>
      <c r="Y1588" s="1463"/>
      <c r="Z1588" s="1463"/>
      <c r="AA1588" s="1463"/>
      <c r="AB1588" s="1463"/>
      <c r="AC1588" s="1463"/>
      <c r="AD1588" s="1463"/>
      <c r="AE1588" s="1463"/>
      <c r="AF1588" s="1463"/>
    </row>
    <row r="1589" spans="1:32" ht="13.8">
      <c r="A1589" s="2152" t="s">
        <v>1999</v>
      </c>
      <c r="B1589" s="1469">
        <f>'Part VIII Scoring Criteria'!B361</f>
        <v>0</v>
      </c>
      <c r="C1589" s="1446"/>
      <c r="D1589" s="1469">
        <f>'Part VIII Scoring Criteria'!E361</f>
        <v>0</v>
      </c>
      <c r="E1589" s="1446"/>
      <c r="F1589" s="1446"/>
      <c r="G1589" s="1469">
        <f>'Part VIII Scoring Criteria'!H361</f>
        <v>0</v>
      </c>
      <c r="H1589" s="1446"/>
      <c r="I1589" s="1446"/>
      <c r="J1589" s="1469">
        <f>'Part VIII Scoring Criteria'!K361</f>
        <v>0</v>
      </c>
      <c r="K1589" s="1446"/>
      <c r="L1589" s="2255">
        <f>'Part VIII Scoring Criteria'!X361</f>
        <v>0</v>
      </c>
      <c r="M1589" s="1469">
        <f>'Part VIII Scoring Criteria'!Y361</f>
        <v>0</v>
      </c>
      <c r="N1589" s="1446"/>
      <c r="O1589" s="1446"/>
      <c r="P1589" s="1446"/>
      <c r="Q1589" s="2149"/>
      <c r="R1589" s="1463"/>
      <c r="S1589" s="1463"/>
      <c r="T1589" s="1463"/>
      <c r="U1589" s="1463"/>
      <c r="V1589" s="1463"/>
      <c r="W1589" s="1463"/>
      <c r="X1589" s="1463"/>
      <c r="Y1589" s="1463"/>
      <c r="Z1589" s="1463"/>
      <c r="AA1589" s="1463"/>
      <c r="AB1589" s="1463"/>
      <c r="AC1589" s="1463"/>
      <c r="AD1589" s="1463"/>
      <c r="AE1589" s="1463"/>
      <c r="AF1589" s="1463"/>
    </row>
    <row r="1590" spans="1:32" ht="13.8">
      <c r="A1590" s="2152" t="s">
        <v>2000</v>
      </c>
      <c r="B1590" s="1469">
        <f>'Part VIII Scoring Criteria'!B362</f>
        <v>0</v>
      </c>
      <c r="C1590" s="1446"/>
      <c r="D1590" s="1469">
        <f>'Part VIII Scoring Criteria'!E362</f>
        <v>0</v>
      </c>
      <c r="E1590" s="1446"/>
      <c r="F1590" s="1446"/>
      <c r="G1590" s="1469">
        <f>'Part VIII Scoring Criteria'!H362</f>
        <v>0</v>
      </c>
      <c r="H1590" s="1446"/>
      <c r="I1590" s="1446"/>
      <c r="J1590" s="1469">
        <f>'Part VIII Scoring Criteria'!K362</f>
        <v>0</v>
      </c>
      <c r="K1590" s="1446"/>
      <c r="L1590" s="2255">
        <f>'Part VIII Scoring Criteria'!X362</f>
        <v>0</v>
      </c>
      <c r="M1590" s="1469">
        <f>'Part VIII Scoring Criteria'!Y362</f>
        <v>0</v>
      </c>
      <c r="N1590" s="1446"/>
      <c r="O1590" s="1446"/>
      <c r="P1590" s="1446"/>
      <c r="Q1590" s="2149"/>
      <c r="R1590" s="1463"/>
      <c r="S1590" s="1463"/>
      <c r="T1590" s="1463"/>
      <c r="U1590" s="1463"/>
      <c r="V1590" s="1463"/>
      <c r="W1590" s="1463"/>
      <c r="X1590" s="1463"/>
      <c r="Y1590" s="1463"/>
      <c r="Z1590" s="1463"/>
      <c r="AA1590" s="1463"/>
      <c r="AB1590" s="1463"/>
      <c r="AC1590" s="1463"/>
      <c r="AD1590" s="1463"/>
      <c r="AE1590" s="1463"/>
      <c r="AF1590" s="1463"/>
    </row>
    <row r="1591" spans="1:32" ht="13.8">
      <c r="A1591" s="2152" t="s">
        <v>2001</v>
      </c>
      <c r="B1591" s="1469">
        <f>'Part VIII Scoring Criteria'!B363</f>
        <v>0</v>
      </c>
      <c r="C1591" s="1446"/>
      <c r="D1591" s="1469">
        <f>'Part VIII Scoring Criteria'!E363</f>
        <v>0</v>
      </c>
      <c r="E1591" s="1446"/>
      <c r="F1591" s="1446"/>
      <c r="G1591" s="1469">
        <f>'Part VIII Scoring Criteria'!H363</f>
        <v>0</v>
      </c>
      <c r="H1591" s="1446"/>
      <c r="I1591" s="1446"/>
      <c r="J1591" s="1469">
        <f>'Part VIII Scoring Criteria'!K363</f>
        <v>0</v>
      </c>
      <c r="K1591" s="1446"/>
      <c r="L1591" s="2255">
        <f>'Part VIII Scoring Criteria'!X363</f>
        <v>0</v>
      </c>
      <c r="M1591" s="1469">
        <f>'Part VIII Scoring Criteria'!Y363</f>
        <v>0</v>
      </c>
      <c r="N1591" s="1446"/>
      <c r="O1591" s="1446"/>
      <c r="P1591" s="1446"/>
      <c r="Q1591" s="2149"/>
      <c r="R1591" s="1463"/>
      <c r="S1591" s="1463"/>
      <c r="T1591" s="1463"/>
      <c r="U1591" s="1463"/>
      <c r="V1591" s="1463"/>
      <c r="W1591" s="1463"/>
      <c r="X1591" s="1463"/>
      <c r="Y1591" s="1463"/>
      <c r="Z1591" s="1463"/>
      <c r="AA1591" s="1463"/>
      <c r="AB1591" s="1463"/>
      <c r="AC1591" s="1463"/>
      <c r="AD1591" s="1463"/>
      <c r="AE1591" s="1463"/>
      <c r="AF1591" s="1463"/>
    </row>
    <row r="1592" spans="1:32" ht="13.8">
      <c r="A1592" s="2152" t="s">
        <v>2002</v>
      </c>
      <c r="B1592" s="1469">
        <f>'Part VIII Scoring Criteria'!B364</f>
        <v>0</v>
      </c>
      <c r="C1592" s="1446"/>
      <c r="D1592" s="1469">
        <f>'Part VIII Scoring Criteria'!E364</f>
        <v>0</v>
      </c>
      <c r="E1592" s="1446"/>
      <c r="F1592" s="1446"/>
      <c r="G1592" s="1469">
        <f>'Part VIII Scoring Criteria'!H364</f>
        <v>0</v>
      </c>
      <c r="H1592" s="1446"/>
      <c r="I1592" s="1446"/>
      <c r="J1592" s="1469">
        <f>'Part VIII Scoring Criteria'!K364</f>
        <v>0</v>
      </c>
      <c r="K1592" s="1446"/>
      <c r="L1592" s="2255">
        <f>'Part VIII Scoring Criteria'!X364</f>
        <v>0</v>
      </c>
      <c r="M1592" s="1469">
        <f>'Part VIII Scoring Criteria'!Y364</f>
        <v>0</v>
      </c>
      <c r="N1592" s="1446"/>
      <c r="O1592" s="1446"/>
      <c r="P1592" s="1446"/>
      <c r="Q1592" s="1463"/>
      <c r="R1592" s="1463"/>
      <c r="S1592" s="1463"/>
      <c r="T1592" s="1463"/>
      <c r="U1592" s="1463"/>
      <c r="V1592" s="1463"/>
      <c r="W1592" s="1463"/>
      <c r="X1592" s="1463"/>
      <c r="Y1592" s="1463"/>
      <c r="Z1592" s="1463"/>
      <c r="AA1592" s="1463"/>
      <c r="AB1592" s="1463"/>
      <c r="AC1592" s="1463"/>
      <c r="AD1592" s="1463"/>
      <c r="AE1592" s="1463"/>
      <c r="AF1592" s="1463"/>
    </row>
    <row r="1593" spans="1:32" ht="13.8">
      <c r="A1593" s="2152" t="s">
        <v>2003</v>
      </c>
      <c r="B1593" s="1469">
        <f>'Part VIII Scoring Criteria'!B365</f>
        <v>0</v>
      </c>
      <c r="C1593" s="1446"/>
      <c r="D1593" s="1469">
        <f>'Part VIII Scoring Criteria'!E365</f>
        <v>0</v>
      </c>
      <c r="E1593" s="1446"/>
      <c r="F1593" s="1446"/>
      <c r="G1593" s="1469">
        <f>'Part VIII Scoring Criteria'!H365</f>
        <v>0</v>
      </c>
      <c r="H1593" s="1446"/>
      <c r="I1593" s="1446"/>
      <c r="J1593" s="1469">
        <f>'Part VIII Scoring Criteria'!K365</f>
        <v>0</v>
      </c>
      <c r="K1593" s="1446"/>
      <c r="L1593" s="2255">
        <f>'Part VIII Scoring Criteria'!X365</f>
        <v>0</v>
      </c>
      <c r="M1593" s="1469">
        <f>'Part VIII Scoring Criteria'!Y365</f>
        <v>0</v>
      </c>
      <c r="N1593" s="1446"/>
      <c r="O1593" s="1446"/>
      <c r="P1593" s="1446"/>
      <c r="Q1593" s="2149"/>
      <c r="R1593" s="1463"/>
      <c r="S1593" s="1463"/>
      <c r="T1593" s="1463"/>
      <c r="U1593" s="1463"/>
      <c r="V1593" s="1463"/>
      <c r="W1593" s="1463"/>
      <c r="X1593" s="1463"/>
      <c r="Y1593" s="1463"/>
      <c r="Z1593" s="1463"/>
      <c r="AA1593" s="1463"/>
      <c r="AB1593" s="1463"/>
      <c r="AC1593" s="1463"/>
      <c r="AD1593" s="1463"/>
      <c r="AE1593" s="1463"/>
      <c r="AF1593" s="1463"/>
    </row>
    <row r="1594" spans="1:32" ht="13.8">
      <c r="A1594" s="2155"/>
      <c r="B1594" s="2156"/>
      <c r="C1594" s="1468" t="s">
        <v>2004</v>
      </c>
      <c r="D1594" s="1468"/>
      <c r="E1594" s="1468"/>
      <c r="F1594" s="1468"/>
      <c r="G1594" s="2173" t="s">
        <v>1993</v>
      </c>
      <c r="H1594" s="1468"/>
      <c r="I1594" s="1468"/>
      <c r="J1594" s="2173" t="s">
        <v>2005</v>
      </c>
      <c r="K1594" s="2241">
        <f>'Part VIII Scoring Criteria'!T366</f>
        <v>0</v>
      </c>
      <c r="L1594" s="1454" t="str">
        <f>'Part VIII Scoring Criteria'!X366</f>
        <v/>
      </c>
      <c r="M1594" s="2192" t="s">
        <v>1743</v>
      </c>
      <c r="N1594" s="1446">
        <v>6</v>
      </c>
      <c r="O1594" s="2567">
        <f>'Part VIII Scoring Criteria'!AA366</f>
        <v>0</v>
      </c>
      <c r="P1594" s="2161"/>
      <c r="Q1594" s="2149" t="str">
        <f>IF(OR($O1594&lt;=$N1594,$O1594=0,$O1594=""),"","*CHECK!*")</f>
        <v/>
      </c>
      <c r="R1594" s="1468"/>
      <c r="S1594" s="1468"/>
      <c r="T1594" s="1468"/>
      <c r="U1594" s="1468"/>
      <c r="V1594" s="1468"/>
      <c r="W1594" s="1468"/>
      <c r="X1594" s="1468"/>
      <c r="Y1594" s="1468"/>
      <c r="Z1594" s="1468"/>
      <c r="AA1594" s="1468"/>
      <c r="AB1594" s="1468"/>
      <c r="AC1594" s="1468"/>
      <c r="AD1594" s="1468"/>
      <c r="AE1594" s="1468"/>
      <c r="AF1594" s="1468"/>
    </row>
    <row r="1595" spans="1:32" ht="14.4">
      <c r="A1595" s="1446"/>
      <c r="B1595" s="2142" t="s">
        <v>7607</v>
      </c>
      <c r="C1595" s="1446"/>
      <c r="D1595" s="1446"/>
      <c r="E1595" s="1446"/>
      <c r="F1595" s="1446"/>
      <c r="G1595" s="1446"/>
      <c r="H1595" s="1446"/>
      <c r="I1595" s="1446"/>
      <c r="J1595" s="1446"/>
      <c r="K1595" s="1446"/>
      <c r="L1595" s="1463"/>
      <c r="M1595" s="1454"/>
      <c r="N1595" s="2568"/>
      <c r="O1595" s="1462"/>
      <c r="P1595" s="2569"/>
      <c r="Q1595" s="1463"/>
      <c r="R1595" s="1463"/>
      <c r="S1595" s="1463"/>
      <c r="T1595" s="1463"/>
      <c r="U1595" s="1463"/>
      <c r="V1595" s="1463"/>
      <c r="W1595" s="1463"/>
      <c r="X1595" s="1463"/>
      <c r="Y1595" s="1463"/>
      <c r="Z1595" s="1463"/>
      <c r="AA1595" s="1463"/>
      <c r="AB1595" s="1463"/>
      <c r="AC1595" s="1463"/>
      <c r="AD1595" s="1463"/>
      <c r="AE1595" s="1463"/>
      <c r="AF1595" s="1463"/>
    </row>
    <row r="1596" spans="1:32" ht="13.8">
      <c r="A1596" s="1469" t="str">
        <f>'Part VIII Scoring Criteria'!A368</f>
        <v>The applicant is not claiming points under USDA Additional Criteria, therefore it has been intentionally left blank.</v>
      </c>
      <c r="B1596" s="1468"/>
      <c r="C1596" s="1468"/>
      <c r="D1596" s="1468"/>
      <c r="E1596" s="1468"/>
      <c r="F1596" s="1468"/>
      <c r="G1596" s="1468"/>
      <c r="H1596" s="1468"/>
      <c r="I1596" s="1468"/>
      <c r="J1596" s="1468"/>
      <c r="K1596" s="1468"/>
      <c r="L1596" s="1468"/>
      <c r="M1596" s="1468"/>
      <c r="N1596" s="1468"/>
      <c r="O1596" s="1468"/>
      <c r="P1596" s="1468"/>
      <c r="Q1596" s="1445"/>
      <c r="R1596" s="1445"/>
      <c r="S1596" s="1463"/>
      <c r="T1596" s="1463"/>
      <c r="U1596" s="1463"/>
      <c r="V1596" s="1463"/>
      <c r="W1596" s="1463"/>
      <c r="X1596" s="1463"/>
      <c r="Y1596" s="1463"/>
      <c r="Z1596" s="1463"/>
      <c r="AA1596" s="1463"/>
      <c r="AB1596" s="1463"/>
      <c r="AC1596" s="1463"/>
      <c r="AD1596" s="1463"/>
      <c r="AE1596" s="1463"/>
      <c r="AF1596" s="1463"/>
    </row>
    <row r="1597" spans="1:32" ht="14.4">
      <c r="A1597" s="2142"/>
      <c r="B1597" s="2142" t="s">
        <v>1453</v>
      </c>
      <c r="C1597" s="1446"/>
      <c r="D1597" s="2142"/>
      <c r="E1597" s="1446"/>
      <c r="F1597" s="1446"/>
      <c r="G1597" s="1446"/>
      <c r="H1597" s="1446"/>
      <c r="I1597" s="1446"/>
      <c r="J1597" s="1446"/>
      <c r="K1597" s="1446"/>
      <c r="L1597" s="1446"/>
      <c r="M1597" s="1446"/>
      <c r="N1597" s="1446"/>
      <c r="O1597" s="1445"/>
      <c r="P1597" s="1445"/>
      <c r="Q1597" s="1446"/>
      <c r="R1597" s="1446"/>
      <c r="S1597" s="1446"/>
      <c r="T1597" s="1446"/>
      <c r="U1597" s="1446"/>
      <c r="V1597" s="1446"/>
      <c r="W1597" s="1446"/>
      <c r="X1597" s="1446"/>
      <c r="Y1597" s="1446"/>
      <c r="Z1597" s="1446"/>
      <c r="AA1597" s="1446"/>
      <c r="AB1597" s="1446"/>
      <c r="AC1597" s="1446"/>
      <c r="AD1597" s="1446"/>
      <c r="AE1597" s="1446"/>
      <c r="AF1597" s="1446"/>
    </row>
    <row r="1598" spans="1:32" ht="13.8">
      <c r="A1598" s="1468"/>
      <c r="B1598" s="1468"/>
      <c r="C1598" s="1468"/>
      <c r="D1598" s="1468"/>
      <c r="E1598" s="1468"/>
      <c r="F1598" s="1468"/>
      <c r="G1598" s="1468"/>
      <c r="H1598" s="1468"/>
      <c r="I1598" s="1468"/>
      <c r="J1598" s="1468"/>
      <c r="K1598" s="1468"/>
      <c r="L1598" s="1468"/>
      <c r="M1598" s="1468"/>
      <c r="N1598" s="1468"/>
      <c r="O1598" s="1468"/>
      <c r="P1598" s="1468"/>
      <c r="Q1598" s="1445"/>
      <c r="R1598" s="1445"/>
      <c r="S1598" s="1463"/>
      <c r="T1598" s="1463"/>
      <c r="U1598" s="1463"/>
      <c r="V1598" s="1463"/>
      <c r="W1598" s="1463"/>
      <c r="X1598" s="1463"/>
      <c r="Y1598" s="1463"/>
      <c r="Z1598" s="1463"/>
      <c r="AA1598" s="1463"/>
      <c r="AB1598" s="1463"/>
      <c r="AC1598" s="1463"/>
      <c r="AD1598" s="1463"/>
      <c r="AE1598" s="1463"/>
      <c r="AF1598" s="1463"/>
    </row>
    <row r="1599" spans="1:32" ht="15" customHeight="1">
      <c r="A1599" s="1446"/>
      <c r="B1599" s="1446"/>
      <c r="C1599" s="1468"/>
      <c r="D1599" s="1468"/>
      <c r="E1599" s="1468"/>
      <c r="F1599" s="1468"/>
      <c r="G1599" s="1468"/>
      <c r="H1599" s="1468"/>
      <c r="I1599" s="1468"/>
      <c r="J1599" s="1468"/>
      <c r="K1599" s="1468"/>
      <c r="L1599" s="1468"/>
      <c r="M1599" s="1468"/>
      <c r="N1599" s="1468"/>
      <c r="O1599" s="2136"/>
      <c r="P1599" s="1445"/>
      <c r="Q1599" s="2200" t="s">
        <v>7651</v>
      </c>
      <c r="R1599" s="2200"/>
      <c r="S1599" s="2200"/>
      <c r="T1599" s="2200"/>
      <c r="U1599" s="2200"/>
      <c r="V1599" s="2200"/>
      <c r="W1599" s="2200"/>
      <c r="X1599" s="2200"/>
      <c r="Y1599" s="2200"/>
      <c r="Z1599" s="2200"/>
      <c r="AA1599" s="2200"/>
      <c r="AB1599" s="2200"/>
      <c r="AC1599" s="2200"/>
      <c r="AD1599" s="2200"/>
      <c r="AE1599" s="2200"/>
      <c r="AF1599" s="2200"/>
    </row>
    <row r="1600" spans="1:32" ht="13.8">
      <c r="A1600" s="1446"/>
      <c r="B1600" s="1446"/>
      <c r="C1600" s="1469"/>
      <c r="D1600" s="1469"/>
      <c r="E1600" s="1469"/>
      <c r="F1600" s="1469"/>
      <c r="G1600" s="1469"/>
      <c r="H1600" s="1469"/>
      <c r="I1600" s="1469"/>
      <c r="J1600" s="1469"/>
      <c r="K1600" s="1469"/>
      <c r="L1600" s="1469"/>
      <c r="M1600" s="1469"/>
      <c r="N1600" s="1467"/>
      <c r="O1600" s="2155"/>
      <c r="P1600" s="2567"/>
      <c r="Q1600" s="2200"/>
      <c r="R1600" s="2200"/>
      <c r="S1600" s="2200"/>
      <c r="T1600" s="2200"/>
      <c r="U1600" s="2200"/>
      <c r="V1600" s="2200"/>
      <c r="W1600" s="2200"/>
      <c r="X1600" s="2200"/>
      <c r="Y1600" s="2200"/>
      <c r="Z1600" s="2200"/>
      <c r="AA1600" s="2200"/>
      <c r="AB1600" s="2200"/>
      <c r="AC1600" s="2200"/>
      <c r="AD1600" s="2200"/>
      <c r="AE1600" s="2200"/>
      <c r="AF1600" s="2200"/>
    </row>
    <row r="1601" spans="1:32" ht="13.8">
      <c r="A1601" s="1463"/>
      <c r="B1601" s="1463"/>
      <c r="C1601" s="1463"/>
      <c r="D1601" s="1463"/>
      <c r="E1601" s="1463"/>
      <c r="F1601" s="1463"/>
      <c r="G1601" s="1463"/>
      <c r="H1601" s="1463"/>
      <c r="I1601" s="1463"/>
      <c r="J1601" s="1463"/>
      <c r="K1601" s="1463"/>
      <c r="L1601" s="1463"/>
      <c r="M1601" s="1463"/>
      <c r="N1601" s="2568"/>
      <c r="O1601" s="2569"/>
      <c r="P1601" s="2569"/>
      <c r="Q1601" s="2200"/>
      <c r="R1601" s="2200"/>
      <c r="S1601" s="2200"/>
      <c r="T1601" s="2200"/>
      <c r="U1601" s="2200"/>
      <c r="V1601" s="2200"/>
      <c r="W1601" s="2200"/>
      <c r="X1601" s="2200"/>
      <c r="Y1601" s="2200"/>
      <c r="Z1601" s="2200"/>
      <c r="AA1601" s="2200"/>
      <c r="AB1601" s="2200"/>
      <c r="AC1601" s="2200"/>
      <c r="AD1601" s="2200"/>
      <c r="AE1601" s="2200"/>
      <c r="AF1601" s="2200"/>
    </row>
    <row r="1602" spans="1:32" ht="13.8">
      <c r="A1602" s="1445" t="s">
        <v>2007</v>
      </c>
      <c r="B1602" s="1463"/>
      <c r="C1602" s="1446"/>
      <c r="D1602" s="1463"/>
      <c r="E1602" s="1463"/>
      <c r="F1602" s="1463"/>
      <c r="G1602" s="1446"/>
      <c r="H1602" s="1446"/>
      <c r="I1602" s="1446"/>
      <c r="J1602" s="1446"/>
      <c r="K1602" s="1446"/>
      <c r="L1602" s="1446"/>
      <c r="M1602" s="1462"/>
      <c r="N1602" s="2140"/>
      <c r="O1602" s="2141">
        <f>'Part VIII Scoring Criteria'!AA374</f>
        <v>73</v>
      </c>
      <c r="P1602" s="2141">
        <f>'Part VIII Scoring Criteria'!AB374</f>
        <v>12</v>
      </c>
      <c r="Q1602" s="2200"/>
      <c r="R1602" s="2200"/>
      <c r="S1602" s="2200"/>
      <c r="T1602" s="2200"/>
      <c r="U1602" s="2200"/>
      <c r="V1602" s="2200"/>
      <c r="W1602" s="2200"/>
      <c r="X1602" s="2200"/>
      <c r="Y1602" s="2200"/>
      <c r="Z1602" s="2200"/>
      <c r="AA1602" s="2200"/>
      <c r="AB1602" s="2200"/>
      <c r="AC1602" s="2200"/>
      <c r="AD1602" s="2200"/>
      <c r="AE1602" s="2200"/>
      <c r="AF1602" s="2200"/>
    </row>
    <row r="1603" spans="1:32" ht="13.8">
      <c r="A1603" s="1446"/>
      <c r="B1603" s="1463"/>
      <c r="C1603" s="1469"/>
      <c r="D1603" s="1469"/>
      <c r="E1603" s="1469"/>
      <c r="F1603" s="1469"/>
      <c r="G1603" s="1469"/>
      <c r="H1603" s="1469"/>
      <c r="I1603" s="1469"/>
      <c r="J1603" s="1469"/>
      <c r="K1603" s="1469"/>
      <c r="L1603" s="1469"/>
      <c r="M1603" s="1469"/>
      <c r="N1603" s="1469"/>
      <c r="O1603" s="1469"/>
      <c r="P1603" s="1469"/>
      <c r="Q1603" s="2200"/>
      <c r="R1603" s="2200"/>
      <c r="S1603" s="2200"/>
      <c r="T1603" s="2200"/>
      <c r="U1603" s="2200"/>
      <c r="V1603" s="2200"/>
      <c r="W1603" s="2200"/>
      <c r="X1603" s="2200"/>
      <c r="Y1603" s="2200"/>
      <c r="Z1603" s="2200"/>
      <c r="AA1603" s="2200"/>
      <c r="AB1603" s="2200"/>
      <c r="AC1603" s="2200"/>
      <c r="AD1603" s="2200"/>
      <c r="AE1603" s="2200"/>
      <c r="AF1603" s="2200"/>
    </row>
    <row r="1604" spans="1:32" ht="13.8">
      <c r="A1604" s="1463"/>
      <c r="B1604" s="1463"/>
      <c r="C1604" s="1463"/>
      <c r="D1604" s="1463"/>
      <c r="E1604" s="1463"/>
      <c r="F1604" s="1465"/>
      <c r="G1604" s="1465"/>
      <c r="H1604" s="2567"/>
      <c r="I1604" s="2567"/>
      <c r="J1604" s="1463"/>
      <c r="K1604" s="1463"/>
      <c r="L1604" s="1463"/>
      <c r="M1604" s="1463"/>
      <c r="N1604" s="2567"/>
      <c r="O1604" s="2567"/>
      <c r="P1604" s="1462"/>
      <c r="Q1604" s="2200"/>
      <c r="R1604" s="2200"/>
      <c r="S1604" s="2200"/>
      <c r="T1604" s="2200"/>
      <c r="U1604" s="2200"/>
      <c r="V1604" s="2200"/>
      <c r="W1604" s="2200"/>
      <c r="X1604" s="2200"/>
      <c r="Y1604" s="2200"/>
      <c r="Z1604" s="2200"/>
      <c r="AA1604" s="2200"/>
      <c r="AB1604" s="2200"/>
      <c r="AC1604" s="2200"/>
      <c r="AD1604" s="2200"/>
      <c r="AE1604" s="2200"/>
      <c r="AF1604" s="2200"/>
    </row>
    <row r="1605" spans="1:32" ht="14.25" customHeight="1">
      <c r="A1605" s="2142" t="s">
        <v>7652</v>
      </c>
      <c r="B1605" s="2142"/>
      <c r="C1605" s="2142"/>
      <c r="D1605" s="2142"/>
      <c r="E1605" s="2142"/>
      <c r="F1605" s="2142"/>
      <c r="G1605" s="2142"/>
      <c r="H1605" s="2142"/>
      <c r="I1605" s="2142"/>
      <c r="J1605" s="2142"/>
      <c r="K1605" s="2142"/>
      <c r="L1605" s="2142"/>
      <c r="M1605" s="2142"/>
      <c r="N1605" s="2142"/>
      <c r="O1605" s="2142"/>
      <c r="P1605" s="2142"/>
      <c r="Q1605" s="2200"/>
      <c r="R1605" s="2200"/>
      <c r="S1605" s="2200"/>
      <c r="T1605" s="2200"/>
      <c r="U1605" s="2200"/>
      <c r="V1605" s="2200"/>
      <c r="W1605" s="2200"/>
      <c r="X1605" s="2200"/>
      <c r="Y1605" s="2200"/>
      <c r="Z1605" s="2200"/>
      <c r="AA1605" s="2200"/>
      <c r="AB1605" s="2200"/>
      <c r="AC1605" s="2200"/>
      <c r="AD1605" s="2200"/>
      <c r="AE1605" s="2200"/>
      <c r="AF1605" s="2200"/>
    </row>
    <row r="1606" spans="1:32" ht="13.8">
      <c r="A1606" s="1469">
        <f>'Part VIII Scoring Criteria'!A378</f>
        <v>0</v>
      </c>
      <c r="B1606" s="1468"/>
      <c r="C1606" s="1468"/>
      <c r="D1606" s="1468"/>
      <c r="E1606" s="1468"/>
      <c r="F1606" s="1468"/>
      <c r="G1606" s="1468"/>
      <c r="H1606" s="1468"/>
      <c r="I1606" s="1468"/>
      <c r="J1606" s="1468"/>
      <c r="K1606" s="1468"/>
      <c r="L1606" s="1468"/>
      <c r="M1606" s="1468"/>
      <c r="N1606" s="1468"/>
      <c r="O1606" s="1468"/>
      <c r="P1606" s="1468"/>
      <c r="Q1606" s="1446"/>
      <c r="R1606" s="1446"/>
      <c r="S1606" s="1446"/>
      <c r="T1606" s="1446"/>
      <c r="U1606" s="1446"/>
      <c r="V1606" s="1446"/>
      <c r="W1606" s="1446"/>
      <c r="X1606" s="1446"/>
      <c r="Y1606" s="1446"/>
      <c r="Z1606" s="1463"/>
      <c r="AA1606" s="1463"/>
      <c r="AB1606" s="1463"/>
      <c r="AC1606" s="1463"/>
      <c r="AD1606" s="1463"/>
      <c r="AE1606" s="1463"/>
      <c r="AF1606" s="1463"/>
    </row>
    <row r="1610" spans="1:32" ht="18">
      <c r="A1610" s="2256" t="s">
        <v>4584</v>
      </c>
      <c r="B1610" s="2256"/>
      <c r="C1610" s="2256"/>
      <c r="D1610" s="2256"/>
      <c r="E1610" s="2256"/>
      <c r="F1610" s="2256"/>
      <c r="G1610" s="2256"/>
      <c r="H1610" s="2256"/>
      <c r="I1610" s="2257"/>
      <c r="J1610" s="2257"/>
      <c r="K1610" s="2257"/>
    </row>
    <row r="1611" spans="1:32" ht="18">
      <c r="A1611" s="2256" t="s">
        <v>4585</v>
      </c>
      <c r="B1611" s="2256"/>
      <c r="C1611" s="2256"/>
      <c r="D1611" s="2256"/>
      <c r="E1611" s="2256"/>
      <c r="F1611" s="2256"/>
      <c r="G1611" s="2256"/>
      <c r="H1611" s="2256"/>
      <c r="I1611" s="2257"/>
      <c r="J1611" s="2257"/>
      <c r="K1611" s="2257"/>
    </row>
    <row r="1612" spans="1:32" ht="13.8">
      <c r="A1612" s="2258" t="s">
        <v>4586</v>
      </c>
      <c r="B1612" s="2259"/>
      <c r="C1612" s="2259"/>
      <c r="D1612" s="2260">
        <f>'Part I-Project Identification'!F1632</f>
        <v>0</v>
      </c>
      <c r="E1612" s="2260"/>
      <c r="F1612" s="2260"/>
      <c r="G1612" s="2260"/>
      <c r="H1612" s="2260"/>
      <c r="I1612" s="2260"/>
      <c r="J1612" s="2261" t="s">
        <v>4587</v>
      </c>
      <c r="K1612" s="2261"/>
    </row>
    <row r="1613" spans="1:32" ht="16.5" customHeight="1">
      <c r="A1613" s="2258" t="s">
        <v>4588</v>
      </c>
      <c r="B1613" s="2259"/>
      <c r="C1613" s="2259"/>
      <c r="D1613" s="2260">
        <f>'Part X - HOME NHTF Unit Calcs'!D4</f>
        <v>0</v>
      </c>
      <c r="E1613" s="2260"/>
      <c r="F1613" s="2260"/>
      <c r="G1613" s="2260"/>
      <c r="H1613" s="2260"/>
      <c r="I1613" s="2260"/>
      <c r="J1613" s="2261" t="s">
        <v>4589</v>
      </c>
      <c r="K1613" s="2261"/>
    </row>
    <row r="1614" spans="1:32" ht="13.8">
      <c r="A1614" s="2258" t="s">
        <v>4590</v>
      </c>
      <c r="B1614" s="2259"/>
      <c r="C1614" s="2259"/>
      <c r="D1614" s="2262">
        <f>'Part X - HOME NHTF Unit Calcs'!D5</f>
        <v>0</v>
      </c>
      <c r="E1614" s="2262"/>
      <c r="F1614" s="2262"/>
      <c r="G1614" s="2262"/>
      <c r="H1614" s="2262"/>
      <c r="I1614" s="2262"/>
      <c r="J1614" s="2261"/>
      <c r="K1614" s="2261"/>
    </row>
    <row r="1615" spans="1:32" ht="13.8">
      <c r="A1615" s="2257"/>
      <c r="B1615" s="2257"/>
      <c r="C1615" s="2257"/>
      <c r="D1615" s="2257"/>
      <c r="E1615" s="2257"/>
      <c r="F1615" s="2257"/>
      <c r="G1615" s="2257"/>
      <c r="H1615" s="2257"/>
      <c r="I1615" s="2257"/>
      <c r="J1615" s="2257"/>
      <c r="K1615" s="2257"/>
    </row>
    <row r="1616" spans="1:32" ht="13.8">
      <c r="A1616" s="2263" t="s">
        <v>4591</v>
      </c>
      <c r="B1616" s="2263"/>
      <c r="C1616" s="2263"/>
      <c r="D1616" s="2263"/>
      <c r="E1616" s="2263"/>
      <c r="F1616" s="2263"/>
      <c r="G1616" s="2263"/>
      <c r="H1616" s="2263"/>
      <c r="I1616" s="2263"/>
      <c r="J1616" s="2263"/>
      <c r="K1616" s="2263"/>
    </row>
    <row r="1617" spans="1:11" ht="13.8">
      <c r="A1617" s="2259"/>
      <c r="B1617" s="2259"/>
      <c r="C1617" s="2264">
        <v>1</v>
      </c>
      <c r="D1617" s="2259" t="s">
        <v>4592</v>
      </c>
      <c r="E1617" s="2259"/>
      <c r="F1617" s="2259"/>
      <c r="G1617" s="2259"/>
      <c r="H1617" s="2259"/>
      <c r="I1617" s="2259"/>
      <c r="J1617" s="2260">
        <f>'Part X - HOME NHTF Unit Calcs'!J8</f>
        <v>0</v>
      </c>
      <c r="K1617" s="2260"/>
    </row>
    <row r="1618" spans="1:11" ht="13.8">
      <c r="A1618" s="2259"/>
      <c r="B1618" s="2259"/>
      <c r="C1618" s="2259"/>
      <c r="D1618" s="2259"/>
      <c r="E1618" s="2259"/>
      <c r="F1618" s="2259"/>
      <c r="G1618" s="2259"/>
      <c r="H1618" s="2259"/>
      <c r="I1618" s="2259"/>
      <c r="J1618" s="2259"/>
      <c r="K1618" s="2265"/>
    </row>
    <row r="1619" spans="1:11" ht="13.8">
      <c r="A1619" s="2263" t="s">
        <v>4593</v>
      </c>
      <c r="B1619" s="2263"/>
      <c r="C1619" s="2263"/>
      <c r="D1619" s="2263"/>
      <c r="E1619" s="2263"/>
      <c r="F1619" s="2263"/>
      <c r="G1619" s="2263"/>
      <c r="H1619" s="2263"/>
      <c r="I1619" s="2263"/>
      <c r="J1619" s="2263"/>
      <c r="K1619" s="2263"/>
    </row>
    <row r="1620" spans="1:11" ht="13.8">
      <c r="A1620" s="2259"/>
      <c r="B1620" s="2259"/>
      <c r="C1620" s="2264">
        <v>2</v>
      </c>
      <c r="D1620" s="2259" t="s">
        <v>4594</v>
      </c>
      <c r="E1620" s="2263"/>
      <c r="F1620" s="2263"/>
      <c r="G1620" s="2263"/>
      <c r="H1620" s="2263"/>
      <c r="I1620" s="2263"/>
      <c r="J1620" s="2266">
        <f>'Part X - HOME NHTF Unit Calcs'!J11</f>
        <v>0</v>
      </c>
      <c r="K1620" s="2266"/>
    </row>
    <row r="1621" spans="1:11" ht="13.8">
      <c r="A1621" s="2259"/>
      <c r="B1621" s="2259"/>
      <c r="C1621" s="2259"/>
      <c r="D1621" s="2259"/>
      <c r="E1621" s="2259"/>
      <c r="F1621" s="2259"/>
      <c r="G1621" s="2259"/>
      <c r="H1621" s="2259"/>
      <c r="I1621" s="2259"/>
      <c r="J1621" s="2259"/>
      <c r="K1621" s="2264"/>
    </row>
    <row r="1622" spans="1:11" ht="13.8">
      <c r="A1622" s="2263" t="s">
        <v>4595</v>
      </c>
      <c r="B1622" s="2263"/>
      <c r="C1622" s="2263"/>
      <c r="D1622" s="2263"/>
      <c r="E1622" s="2263"/>
      <c r="F1622" s="2263"/>
      <c r="G1622" s="2263"/>
      <c r="H1622" s="2263"/>
      <c r="I1622" s="2263"/>
      <c r="J1622" s="2263"/>
      <c r="K1622" s="2263"/>
    </row>
    <row r="1623" spans="1:11" ht="13.8">
      <c r="A1623" s="2259"/>
      <c r="B1623" s="2259"/>
      <c r="C1623" s="2264">
        <v>3</v>
      </c>
      <c r="D1623" s="2259" t="s">
        <v>4596</v>
      </c>
      <c r="E1623" s="2259"/>
      <c r="F1623" s="2259"/>
      <c r="G1623" s="2259"/>
      <c r="H1623" s="2259"/>
      <c r="I1623" s="2259"/>
      <c r="J1623" s="2260">
        <f>'Part X - HOME NHTF Unit Calcs'!J14</f>
        <v>0</v>
      </c>
      <c r="K1623" s="2260"/>
    </row>
    <row r="1624" spans="1:11" ht="13.8">
      <c r="A1624" s="2259"/>
      <c r="B1624" s="2259"/>
      <c r="C1624" s="2259">
        <v>4</v>
      </c>
      <c r="D1624" s="2259" t="s">
        <v>4597</v>
      </c>
      <c r="E1624" s="2259"/>
      <c r="F1624" s="2259"/>
      <c r="G1624" s="2259"/>
      <c r="H1624" s="2259"/>
      <c r="I1624" s="2259"/>
      <c r="J1624" s="2260">
        <f>'Part X - HOME NHTF Unit Calcs'!J15</f>
        <v>560889.17929746769</v>
      </c>
      <c r="K1624" s="2260"/>
    </row>
    <row r="1625" spans="1:11" ht="13.8">
      <c r="A1625" s="2259"/>
      <c r="B1625" s="2259"/>
      <c r="C1625" s="2259">
        <v>5</v>
      </c>
      <c r="D1625" s="2259" t="s">
        <v>4598</v>
      </c>
      <c r="E1625" s="2259"/>
      <c r="F1625" s="2259"/>
      <c r="G1625" s="2259"/>
      <c r="H1625" s="2259"/>
      <c r="I1625" s="2259"/>
      <c r="J1625" s="2260">
        <f>'Part X - HOME NHTF Unit Calcs'!J16</f>
        <v>0</v>
      </c>
      <c r="K1625" s="2260"/>
    </row>
    <row r="1626" spans="1:11" ht="13.8">
      <c r="A1626" s="2259"/>
      <c r="B1626" s="2259"/>
      <c r="C1626" s="2264">
        <v>6</v>
      </c>
      <c r="D1626" s="2259" t="s">
        <v>4599</v>
      </c>
      <c r="E1626" s="2259"/>
      <c r="F1626" s="2259"/>
      <c r="G1626" s="2259"/>
      <c r="H1626" s="2259"/>
      <c r="I1626" s="2259"/>
      <c r="J1626" s="2259">
        <f>'Part X - HOME NHTF Unit Calcs'!J17</f>
        <v>0</v>
      </c>
      <c r="K1626" s="2259"/>
    </row>
    <row r="1627" spans="1:11" ht="13.8">
      <c r="A1627" s="2259"/>
      <c r="B1627" s="2259"/>
      <c r="C1627" s="2259"/>
      <c r="D1627" s="2259"/>
      <c r="E1627" s="2259"/>
      <c r="F1627" s="2259"/>
      <c r="G1627" s="2259"/>
      <c r="H1627" s="2259"/>
      <c r="I1627" s="2259"/>
      <c r="J1627" s="2259"/>
      <c r="K1627" s="2259"/>
    </row>
    <row r="1628" spans="1:11" ht="13.8">
      <c r="A1628" s="2259"/>
      <c r="B1628" s="2259"/>
      <c r="C1628" s="2264">
        <v>7</v>
      </c>
      <c r="D1628" s="2259" t="s">
        <v>4600</v>
      </c>
      <c r="E1628" s="2259"/>
      <c r="F1628" s="2259"/>
      <c r="G1628" s="2259"/>
      <c r="H1628" s="2259"/>
      <c r="I1628" s="2259"/>
      <c r="J1628" s="2260" t="str">
        <f>IF(J1626="No",J1623-J1624,IF(J1626="Yes",J1623-J1624-J1625,"Error"))</f>
        <v>Error</v>
      </c>
      <c r="K1628" s="2260"/>
    </row>
    <row r="1629" spans="1:11" ht="13.8">
      <c r="A1629" s="2259"/>
      <c r="B1629" s="2259"/>
      <c r="C1629" s="2264">
        <v>8</v>
      </c>
      <c r="D1629" s="2259" t="s">
        <v>4601</v>
      </c>
      <c r="E1629" s="2259"/>
      <c r="F1629" s="2259"/>
      <c r="G1629" s="2259"/>
      <c r="H1629" s="2259"/>
      <c r="I1629" s="2259"/>
      <c r="J1629" s="2267" t="e">
        <f>ROUNDDOWN(J1628/J1617,2)</f>
        <v>#VALUE!</v>
      </c>
      <c r="K1629" s="2267"/>
    </row>
    <row r="1630" spans="1:11" ht="13.8">
      <c r="A1630" s="2259"/>
      <c r="B1630" s="2259"/>
      <c r="C1630" s="2259"/>
      <c r="D1630" s="2259"/>
      <c r="E1630" s="2259"/>
      <c r="F1630" s="2259"/>
      <c r="G1630" s="2259"/>
      <c r="H1630" s="2259"/>
      <c r="I1630" s="2259"/>
      <c r="J1630" s="2259"/>
      <c r="K1630" s="2264"/>
    </row>
    <row r="1631" spans="1:11" ht="13.8">
      <c r="A1631" s="2259"/>
      <c r="B1631" s="2259"/>
      <c r="C1631" s="2264">
        <v>9</v>
      </c>
      <c r="D1631" s="2259" t="s">
        <v>4602</v>
      </c>
      <c r="E1631" s="2259"/>
      <c r="F1631" s="2259"/>
      <c r="G1631" s="2259"/>
      <c r="H1631" s="2259"/>
      <c r="I1631" s="2259"/>
      <c r="J1631" s="2268" t="e">
        <f>J1620/J1628</f>
        <v>#VALUE!</v>
      </c>
      <c r="K1631" s="2268"/>
    </row>
    <row r="1632" spans="1:11" ht="13.8">
      <c r="A1632" s="2269"/>
      <c r="B1632" s="2257"/>
      <c r="C1632" s="2270"/>
      <c r="D1632" s="2270"/>
      <c r="E1632" s="2270"/>
      <c r="F1632" s="2270"/>
      <c r="G1632" s="2270"/>
      <c r="H1632" s="2270"/>
      <c r="I1632" s="2270"/>
      <c r="J1632" s="2257"/>
      <c r="K1632" s="2271"/>
    </row>
    <row r="1633" spans="1:11" ht="18">
      <c r="A1633" s="2272" t="s">
        <v>4603</v>
      </c>
      <c r="B1633" s="2257"/>
      <c r="C1633" s="2257"/>
      <c r="D1633" s="2257"/>
      <c r="E1633" s="2257"/>
      <c r="F1633" s="2257"/>
      <c r="G1633" s="2257"/>
      <c r="H1633" s="2257"/>
      <c r="I1633" s="2257"/>
      <c r="J1633" s="2257"/>
      <c r="K1633" s="2271"/>
    </row>
    <row r="1634" spans="1:11" ht="14.4">
      <c r="A1634" s="2273" t="s">
        <v>7653</v>
      </c>
      <c r="B1634" s="2257"/>
      <c r="C1634" s="2270"/>
      <c r="D1634" s="2270"/>
      <c r="E1634" s="2270"/>
      <c r="F1634" s="2270"/>
      <c r="G1634" s="2270"/>
      <c r="H1634" s="2270"/>
      <c r="I1634" s="2270"/>
      <c r="J1634" s="2257"/>
      <c r="K1634" s="2271"/>
    </row>
    <row r="1635" spans="1:11" ht="14.4">
      <c r="A1635" s="2273" t="s">
        <v>7654</v>
      </c>
      <c r="B1635" s="2257"/>
      <c r="C1635" s="2270"/>
      <c r="D1635" s="2270"/>
      <c r="E1635" s="2270"/>
      <c r="F1635" s="2270"/>
      <c r="G1635" s="2270"/>
      <c r="H1635" s="2270"/>
      <c r="I1635" s="2270"/>
      <c r="J1635" s="2270"/>
      <c r="K1635" s="2271"/>
    </row>
    <row r="1636" spans="1:11" ht="14.4">
      <c r="A1636" s="2273" t="s">
        <v>7655</v>
      </c>
      <c r="B1636" s="2257"/>
      <c r="C1636" s="2270"/>
      <c r="D1636" s="2270"/>
      <c r="E1636" s="2270"/>
      <c r="F1636" s="2270"/>
      <c r="G1636" s="2270"/>
      <c r="H1636" s="2270"/>
      <c r="I1636" s="2270"/>
      <c r="J1636" s="2270"/>
      <c r="K1636" s="2271"/>
    </row>
    <row r="1637" spans="1:11" ht="14.4">
      <c r="A1637" s="2273" t="s">
        <v>7656</v>
      </c>
      <c r="B1637" s="2257"/>
      <c r="C1637" s="2270"/>
      <c r="D1637" s="2270"/>
      <c r="E1637" s="2270"/>
      <c r="F1637" s="2270"/>
      <c r="G1637" s="2270"/>
      <c r="H1637" s="2270"/>
      <c r="I1637" s="2270"/>
      <c r="J1637" s="2270"/>
      <c r="K1637" s="2271"/>
    </row>
    <row r="1638" spans="1:11" ht="13.8">
      <c r="A1638" s="2270"/>
      <c r="B1638" s="2257"/>
      <c r="C1638" s="2270"/>
      <c r="D1638" s="2270"/>
      <c r="E1638" s="2270"/>
      <c r="F1638" s="2270"/>
      <c r="G1638" s="2270"/>
      <c r="H1638" s="2270"/>
      <c r="I1638" s="2270"/>
      <c r="J1638" s="2270"/>
      <c r="K1638" s="2271"/>
    </row>
    <row r="1639" spans="1:11" ht="13.8">
      <c r="A1639" s="2261" t="s">
        <v>4608</v>
      </c>
      <c r="B1639" s="2261"/>
      <c r="C1639" s="2261"/>
      <c r="D1639" s="2261"/>
      <c r="E1639" s="2261"/>
      <c r="F1639" s="2261"/>
      <c r="G1639" s="2261"/>
      <c r="H1639" s="2261"/>
      <c r="I1639" s="2261"/>
      <c r="J1639" s="2261"/>
      <c r="K1639" s="2261"/>
    </row>
    <row r="1640" spans="1:11" ht="13.8">
      <c r="A1640" s="2257"/>
      <c r="B1640" s="2261" t="s">
        <v>4587</v>
      </c>
      <c r="C1640" s="2261"/>
      <c r="D1640" s="2261"/>
      <c r="E1640" s="2261"/>
      <c r="F1640" s="2261"/>
      <c r="G1640" s="2261" t="s">
        <v>4609</v>
      </c>
      <c r="H1640" s="2261"/>
      <c r="I1640" s="2261"/>
      <c r="J1640" s="2261"/>
      <c r="K1640" s="2261"/>
    </row>
    <row r="1641" spans="1:11" ht="13.8">
      <c r="A1641" s="2257"/>
      <c r="B1641" s="2274" t="s">
        <v>7657</v>
      </c>
      <c r="C1641" s="2269" t="s">
        <v>7658</v>
      </c>
      <c r="D1641" s="2269" t="s">
        <v>7659</v>
      </c>
      <c r="E1641" s="2275" t="s">
        <v>4613</v>
      </c>
      <c r="F1641" s="2275"/>
      <c r="G1641" s="2274" t="s">
        <v>4614</v>
      </c>
      <c r="H1641" s="2274" t="s">
        <v>4615</v>
      </c>
      <c r="I1641" s="2257"/>
      <c r="J1641" s="2274" t="s">
        <v>4616</v>
      </c>
      <c r="K1641" s="2274" t="s">
        <v>4617</v>
      </c>
    </row>
    <row r="1642" spans="1:11" ht="14.4">
      <c r="A1642" s="2257"/>
      <c r="B1642" s="2276">
        <f>'Part X - HOME NHTF Unit Calcs'!B33</f>
        <v>0</v>
      </c>
      <c r="C1642" s="2276">
        <f>'Part X - HOME NHTF Unit Calcs'!C33</f>
        <v>0</v>
      </c>
      <c r="D1642" s="2277">
        <f>'Part X - HOME NHTF Unit Calcs'!D33</f>
        <v>0</v>
      </c>
      <c r="E1642" s="2278">
        <f>'Part X - HOME NHTF Unit Calcs'!E33</f>
        <v>0</v>
      </c>
      <c r="F1642" s="2278"/>
      <c r="G1642" s="2279">
        <f t="shared" ref="G1642:G1660" si="462">$J$22*B1642</f>
        <v>0</v>
      </c>
      <c r="H1642" s="2276">
        <f>ROUNDUP(G1642,0)</f>
        <v>0</v>
      </c>
      <c r="I1642" s="2280"/>
      <c r="J1642" s="2281">
        <f t="shared" ref="J1642:J1660" si="463">$J$20*E1642</f>
        <v>0</v>
      </c>
      <c r="K1642" s="2281">
        <f t="shared" ref="K1642:K1660" si="464">ROUNDDOWN(J1642*H1642,0)</f>
        <v>0</v>
      </c>
    </row>
    <row r="1643" spans="1:11" ht="14.4">
      <c r="A1643" s="2257"/>
      <c r="B1643" s="2276">
        <f>'Part X - HOME NHTF Unit Calcs'!B34</f>
        <v>0</v>
      </c>
      <c r="C1643" s="2276">
        <f>'Part X - HOME NHTF Unit Calcs'!C34</f>
        <v>0</v>
      </c>
      <c r="D1643" s="2277">
        <f>'Part X - HOME NHTF Unit Calcs'!D34</f>
        <v>0</v>
      </c>
      <c r="E1643" s="2278">
        <f>'Part X - HOME NHTF Unit Calcs'!E34</f>
        <v>0</v>
      </c>
      <c r="F1643" s="2278"/>
      <c r="G1643" s="2279">
        <f t="shared" si="462"/>
        <v>0</v>
      </c>
      <c r="H1643" s="2276">
        <f t="shared" ref="H1643:H1660" si="465">ROUNDUP(G1643,0)</f>
        <v>0</v>
      </c>
      <c r="I1643" s="2280"/>
      <c r="J1643" s="2281">
        <f t="shared" si="463"/>
        <v>0</v>
      </c>
      <c r="K1643" s="2281">
        <f t="shared" si="464"/>
        <v>0</v>
      </c>
    </row>
    <row r="1644" spans="1:11" ht="14.4">
      <c r="A1644" s="2257"/>
      <c r="B1644" s="2276">
        <f>'Part X - HOME NHTF Unit Calcs'!B35</f>
        <v>0</v>
      </c>
      <c r="C1644" s="2276">
        <f>'Part X - HOME NHTF Unit Calcs'!C35</f>
        <v>0</v>
      </c>
      <c r="D1644" s="2277">
        <f>'Part X - HOME NHTF Unit Calcs'!D35</f>
        <v>0</v>
      </c>
      <c r="E1644" s="2278">
        <f>'Part X - HOME NHTF Unit Calcs'!E35</f>
        <v>0</v>
      </c>
      <c r="F1644" s="2278"/>
      <c r="G1644" s="2282">
        <f t="shared" si="462"/>
        <v>0</v>
      </c>
      <c r="H1644" s="2283">
        <f t="shared" si="465"/>
        <v>0</v>
      </c>
      <c r="I1644" s="2280"/>
      <c r="J1644" s="2284">
        <f t="shared" si="463"/>
        <v>0</v>
      </c>
      <c r="K1644" s="2284">
        <f t="shared" si="464"/>
        <v>0</v>
      </c>
    </row>
    <row r="1645" spans="1:11" ht="14.4">
      <c r="A1645" s="2257"/>
      <c r="B1645" s="2276">
        <f>'Part X - HOME NHTF Unit Calcs'!B36</f>
        <v>0</v>
      </c>
      <c r="C1645" s="2276">
        <f>'Part X - HOME NHTF Unit Calcs'!C36</f>
        <v>0</v>
      </c>
      <c r="D1645" s="2277">
        <f>'Part X - HOME NHTF Unit Calcs'!D36</f>
        <v>0</v>
      </c>
      <c r="E1645" s="2278">
        <f>'Part X - HOME NHTF Unit Calcs'!E36</f>
        <v>0</v>
      </c>
      <c r="F1645" s="2278"/>
      <c r="G1645" s="2282">
        <f t="shared" si="462"/>
        <v>0</v>
      </c>
      <c r="H1645" s="2283">
        <f t="shared" si="465"/>
        <v>0</v>
      </c>
      <c r="I1645" s="2280"/>
      <c r="J1645" s="2284">
        <f t="shared" si="463"/>
        <v>0</v>
      </c>
      <c r="K1645" s="2284">
        <f t="shared" si="464"/>
        <v>0</v>
      </c>
    </row>
    <row r="1646" spans="1:11" ht="14.4">
      <c r="A1646" s="2257"/>
      <c r="B1646" s="2276">
        <f>'Part X - HOME NHTF Unit Calcs'!B37</f>
        <v>0</v>
      </c>
      <c r="C1646" s="2276">
        <f>'Part X - HOME NHTF Unit Calcs'!C37</f>
        <v>0</v>
      </c>
      <c r="D1646" s="2277">
        <f>'Part X - HOME NHTF Unit Calcs'!D37</f>
        <v>0</v>
      </c>
      <c r="E1646" s="2278">
        <f>'Part X - HOME NHTF Unit Calcs'!E37</f>
        <v>0</v>
      </c>
      <c r="F1646" s="2278"/>
      <c r="G1646" s="2282">
        <f t="shared" si="462"/>
        <v>0</v>
      </c>
      <c r="H1646" s="2283">
        <f t="shared" si="465"/>
        <v>0</v>
      </c>
      <c r="I1646" s="2280"/>
      <c r="J1646" s="2284">
        <f t="shared" si="463"/>
        <v>0</v>
      </c>
      <c r="K1646" s="2284">
        <f t="shared" si="464"/>
        <v>0</v>
      </c>
    </row>
    <row r="1647" spans="1:11" ht="14.4">
      <c r="A1647" s="2257"/>
      <c r="B1647" s="2276">
        <f>'Part X - HOME NHTF Unit Calcs'!B38</f>
        <v>0</v>
      </c>
      <c r="C1647" s="2276">
        <f>'Part X - HOME NHTF Unit Calcs'!C38</f>
        <v>0</v>
      </c>
      <c r="D1647" s="2277">
        <f>'Part X - HOME NHTF Unit Calcs'!D38</f>
        <v>0</v>
      </c>
      <c r="E1647" s="2278">
        <f>'Part X - HOME NHTF Unit Calcs'!E38</f>
        <v>0</v>
      </c>
      <c r="F1647" s="2278"/>
      <c r="G1647" s="2282">
        <f t="shared" si="462"/>
        <v>0</v>
      </c>
      <c r="H1647" s="2283">
        <f t="shared" si="465"/>
        <v>0</v>
      </c>
      <c r="I1647" s="2280"/>
      <c r="J1647" s="2284">
        <f t="shared" si="463"/>
        <v>0</v>
      </c>
      <c r="K1647" s="2284">
        <f t="shared" si="464"/>
        <v>0</v>
      </c>
    </row>
    <row r="1648" spans="1:11" ht="14.4">
      <c r="A1648" s="2257"/>
      <c r="B1648" s="2276">
        <f>'Part X - HOME NHTF Unit Calcs'!B39</f>
        <v>0</v>
      </c>
      <c r="C1648" s="2276">
        <f>'Part X - HOME NHTF Unit Calcs'!C39</f>
        <v>0</v>
      </c>
      <c r="D1648" s="2277">
        <f>'Part X - HOME NHTF Unit Calcs'!D39</f>
        <v>0</v>
      </c>
      <c r="E1648" s="2278">
        <f>'Part X - HOME NHTF Unit Calcs'!E39</f>
        <v>0</v>
      </c>
      <c r="F1648" s="2278"/>
      <c r="G1648" s="2282">
        <f t="shared" si="462"/>
        <v>0</v>
      </c>
      <c r="H1648" s="2283">
        <f t="shared" si="465"/>
        <v>0</v>
      </c>
      <c r="I1648" s="2280"/>
      <c r="J1648" s="2284">
        <f t="shared" si="463"/>
        <v>0</v>
      </c>
      <c r="K1648" s="2284">
        <f t="shared" si="464"/>
        <v>0</v>
      </c>
    </row>
    <row r="1649" spans="1:11" ht="14.4">
      <c r="A1649" s="2257"/>
      <c r="B1649" s="2276">
        <f>'Part X - HOME NHTF Unit Calcs'!B40</f>
        <v>0</v>
      </c>
      <c r="C1649" s="2276">
        <f>'Part X - HOME NHTF Unit Calcs'!C40</f>
        <v>0</v>
      </c>
      <c r="D1649" s="2277">
        <f>'Part X - HOME NHTF Unit Calcs'!D40</f>
        <v>0</v>
      </c>
      <c r="E1649" s="2278">
        <f>'Part X - HOME NHTF Unit Calcs'!E40</f>
        <v>0</v>
      </c>
      <c r="F1649" s="2278"/>
      <c r="G1649" s="2282">
        <f t="shared" si="462"/>
        <v>0</v>
      </c>
      <c r="H1649" s="2283">
        <f t="shared" si="465"/>
        <v>0</v>
      </c>
      <c r="I1649" s="2280"/>
      <c r="J1649" s="2284">
        <f t="shared" si="463"/>
        <v>0</v>
      </c>
      <c r="K1649" s="2284">
        <f t="shared" si="464"/>
        <v>0</v>
      </c>
    </row>
    <row r="1650" spans="1:11" ht="14.4">
      <c r="A1650" s="2257"/>
      <c r="B1650" s="2276">
        <f>'Part X - HOME NHTF Unit Calcs'!B41</f>
        <v>0</v>
      </c>
      <c r="C1650" s="2276">
        <f>'Part X - HOME NHTF Unit Calcs'!C41</f>
        <v>0</v>
      </c>
      <c r="D1650" s="2277">
        <f>'Part X - HOME NHTF Unit Calcs'!D41</f>
        <v>0</v>
      </c>
      <c r="E1650" s="2278">
        <f>'Part X - HOME NHTF Unit Calcs'!E41</f>
        <v>0</v>
      </c>
      <c r="F1650" s="2278"/>
      <c r="G1650" s="2282">
        <f t="shared" si="462"/>
        <v>0</v>
      </c>
      <c r="H1650" s="2283">
        <f t="shared" si="465"/>
        <v>0</v>
      </c>
      <c r="I1650" s="2280"/>
      <c r="J1650" s="2284">
        <f t="shared" si="463"/>
        <v>0</v>
      </c>
      <c r="K1650" s="2284">
        <f t="shared" si="464"/>
        <v>0</v>
      </c>
    </row>
    <row r="1651" spans="1:11" ht="14.4">
      <c r="A1651" s="2257"/>
      <c r="B1651" s="2276">
        <f>'Part X - HOME NHTF Unit Calcs'!B42</f>
        <v>0</v>
      </c>
      <c r="C1651" s="2276">
        <f>'Part X - HOME NHTF Unit Calcs'!C42</f>
        <v>0</v>
      </c>
      <c r="D1651" s="2277">
        <f>'Part X - HOME NHTF Unit Calcs'!D42</f>
        <v>0</v>
      </c>
      <c r="E1651" s="2278">
        <f>'Part X - HOME NHTF Unit Calcs'!E42</f>
        <v>0</v>
      </c>
      <c r="F1651" s="2278"/>
      <c r="G1651" s="2282">
        <f t="shared" si="462"/>
        <v>0</v>
      </c>
      <c r="H1651" s="2283">
        <f t="shared" si="465"/>
        <v>0</v>
      </c>
      <c r="I1651" s="2280"/>
      <c r="J1651" s="2284">
        <f t="shared" si="463"/>
        <v>0</v>
      </c>
      <c r="K1651" s="2284">
        <f t="shared" si="464"/>
        <v>0</v>
      </c>
    </row>
    <row r="1652" spans="1:11" ht="14.4">
      <c r="A1652" s="2257"/>
      <c r="B1652" s="2276">
        <f>'Part X - HOME NHTF Unit Calcs'!B43</f>
        <v>0</v>
      </c>
      <c r="C1652" s="2276">
        <f>'Part X - HOME NHTF Unit Calcs'!C43</f>
        <v>0</v>
      </c>
      <c r="D1652" s="2277">
        <f>'Part X - HOME NHTF Unit Calcs'!D43</f>
        <v>0</v>
      </c>
      <c r="E1652" s="2278">
        <f>'Part X - HOME NHTF Unit Calcs'!E43</f>
        <v>0</v>
      </c>
      <c r="F1652" s="2278"/>
      <c r="G1652" s="2282">
        <f t="shared" si="462"/>
        <v>0</v>
      </c>
      <c r="H1652" s="2283">
        <f t="shared" si="465"/>
        <v>0</v>
      </c>
      <c r="I1652" s="2280"/>
      <c r="J1652" s="2284">
        <f t="shared" si="463"/>
        <v>0</v>
      </c>
      <c r="K1652" s="2284">
        <f t="shared" si="464"/>
        <v>0</v>
      </c>
    </row>
    <row r="1653" spans="1:11" ht="14.4">
      <c r="A1653" s="2257"/>
      <c r="B1653" s="2276">
        <f>'Part X - HOME NHTF Unit Calcs'!B44</f>
        <v>0</v>
      </c>
      <c r="C1653" s="2276">
        <f>'Part X - HOME NHTF Unit Calcs'!C44</f>
        <v>0</v>
      </c>
      <c r="D1653" s="2277">
        <f>'Part X - HOME NHTF Unit Calcs'!D44</f>
        <v>0</v>
      </c>
      <c r="E1653" s="2278">
        <f>'Part X - HOME NHTF Unit Calcs'!E44</f>
        <v>0</v>
      </c>
      <c r="F1653" s="2278"/>
      <c r="G1653" s="2282">
        <f t="shared" si="462"/>
        <v>0</v>
      </c>
      <c r="H1653" s="2283">
        <f t="shared" si="465"/>
        <v>0</v>
      </c>
      <c r="I1653" s="2280"/>
      <c r="J1653" s="2284">
        <f t="shared" si="463"/>
        <v>0</v>
      </c>
      <c r="K1653" s="2284">
        <f t="shared" si="464"/>
        <v>0</v>
      </c>
    </row>
    <row r="1654" spans="1:11" ht="14.4">
      <c r="A1654" s="2257"/>
      <c r="B1654" s="2276">
        <f>'Part X - HOME NHTF Unit Calcs'!B45</f>
        <v>0</v>
      </c>
      <c r="C1654" s="2276">
        <f>'Part X - HOME NHTF Unit Calcs'!C45</f>
        <v>0</v>
      </c>
      <c r="D1654" s="2277">
        <f>'Part X - HOME NHTF Unit Calcs'!D45</f>
        <v>0</v>
      </c>
      <c r="E1654" s="2278">
        <f>'Part X - HOME NHTF Unit Calcs'!E45</f>
        <v>0</v>
      </c>
      <c r="F1654" s="2278"/>
      <c r="G1654" s="2282">
        <f t="shared" si="462"/>
        <v>0</v>
      </c>
      <c r="H1654" s="2283">
        <f t="shared" si="465"/>
        <v>0</v>
      </c>
      <c r="I1654" s="2280"/>
      <c r="J1654" s="2284">
        <f t="shared" si="463"/>
        <v>0</v>
      </c>
      <c r="K1654" s="2284">
        <f t="shared" si="464"/>
        <v>0</v>
      </c>
    </row>
    <row r="1655" spans="1:11" ht="14.4">
      <c r="A1655" s="2257"/>
      <c r="B1655" s="2276">
        <f>'Part X - HOME NHTF Unit Calcs'!B46</f>
        <v>0</v>
      </c>
      <c r="C1655" s="2276">
        <f>'Part X - HOME NHTF Unit Calcs'!C46</f>
        <v>0</v>
      </c>
      <c r="D1655" s="2277">
        <f>'Part X - HOME NHTF Unit Calcs'!D46</f>
        <v>0</v>
      </c>
      <c r="E1655" s="2278">
        <f>'Part X - HOME NHTF Unit Calcs'!E46</f>
        <v>0</v>
      </c>
      <c r="F1655" s="2278"/>
      <c r="G1655" s="2282">
        <f t="shared" si="462"/>
        <v>0</v>
      </c>
      <c r="H1655" s="2283">
        <f t="shared" si="465"/>
        <v>0</v>
      </c>
      <c r="I1655" s="2280"/>
      <c r="J1655" s="2284">
        <f t="shared" si="463"/>
        <v>0</v>
      </c>
      <c r="K1655" s="2284">
        <f t="shared" si="464"/>
        <v>0</v>
      </c>
    </row>
    <row r="1656" spans="1:11" ht="14.4">
      <c r="A1656" s="2257"/>
      <c r="B1656" s="2276">
        <f>'Part X - HOME NHTF Unit Calcs'!B47</f>
        <v>0</v>
      </c>
      <c r="C1656" s="2276">
        <f>'Part X - HOME NHTF Unit Calcs'!C47</f>
        <v>0</v>
      </c>
      <c r="D1656" s="2277">
        <f>'Part X - HOME NHTF Unit Calcs'!D47</f>
        <v>0</v>
      </c>
      <c r="E1656" s="2278">
        <f>'Part X - HOME NHTF Unit Calcs'!E47</f>
        <v>0</v>
      </c>
      <c r="F1656" s="2278"/>
      <c r="G1656" s="2282">
        <f t="shared" si="462"/>
        <v>0</v>
      </c>
      <c r="H1656" s="2283">
        <f t="shared" si="465"/>
        <v>0</v>
      </c>
      <c r="I1656" s="2280"/>
      <c r="J1656" s="2284">
        <f t="shared" si="463"/>
        <v>0</v>
      </c>
      <c r="K1656" s="2284">
        <f t="shared" si="464"/>
        <v>0</v>
      </c>
    </row>
    <row r="1657" spans="1:11" ht="14.4">
      <c r="A1657" s="2257"/>
      <c r="B1657" s="2276">
        <f>'Part X - HOME NHTF Unit Calcs'!B48</f>
        <v>0</v>
      </c>
      <c r="C1657" s="2276">
        <f>'Part X - HOME NHTF Unit Calcs'!C48</f>
        <v>0</v>
      </c>
      <c r="D1657" s="2277">
        <f>'Part X - HOME NHTF Unit Calcs'!D48</f>
        <v>0</v>
      </c>
      <c r="E1657" s="2278">
        <f>'Part X - HOME NHTF Unit Calcs'!E48</f>
        <v>0</v>
      </c>
      <c r="F1657" s="2278"/>
      <c r="G1657" s="2282">
        <f t="shared" si="462"/>
        <v>0</v>
      </c>
      <c r="H1657" s="2283">
        <f t="shared" si="465"/>
        <v>0</v>
      </c>
      <c r="I1657" s="2280"/>
      <c r="J1657" s="2284">
        <f t="shared" si="463"/>
        <v>0</v>
      </c>
      <c r="K1657" s="2284">
        <f t="shared" si="464"/>
        <v>0</v>
      </c>
    </row>
    <row r="1658" spans="1:11" ht="14.4">
      <c r="A1658" s="2257"/>
      <c r="B1658" s="2276">
        <f>'Part X - HOME NHTF Unit Calcs'!B49</f>
        <v>0</v>
      </c>
      <c r="C1658" s="2276">
        <f>'Part X - HOME NHTF Unit Calcs'!C49</f>
        <v>0</v>
      </c>
      <c r="D1658" s="2277">
        <f>'Part X - HOME NHTF Unit Calcs'!D49</f>
        <v>0</v>
      </c>
      <c r="E1658" s="2278">
        <f>'Part X - HOME NHTF Unit Calcs'!E49</f>
        <v>0</v>
      </c>
      <c r="F1658" s="2278"/>
      <c r="G1658" s="2282">
        <f t="shared" si="462"/>
        <v>0</v>
      </c>
      <c r="H1658" s="2283">
        <f t="shared" si="465"/>
        <v>0</v>
      </c>
      <c r="I1658" s="2280"/>
      <c r="J1658" s="2284">
        <f t="shared" si="463"/>
        <v>0</v>
      </c>
      <c r="K1658" s="2284">
        <f t="shared" si="464"/>
        <v>0</v>
      </c>
    </row>
    <row r="1659" spans="1:11" ht="14.4">
      <c r="A1659" s="2257"/>
      <c r="B1659" s="2276">
        <f>'Part X - HOME NHTF Unit Calcs'!B50</f>
        <v>0</v>
      </c>
      <c r="C1659" s="2276">
        <f>'Part X - HOME NHTF Unit Calcs'!C50</f>
        <v>0</v>
      </c>
      <c r="D1659" s="2277">
        <f>'Part X - HOME NHTF Unit Calcs'!D50</f>
        <v>0</v>
      </c>
      <c r="E1659" s="2278">
        <f>'Part X - HOME NHTF Unit Calcs'!E50</f>
        <v>0</v>
      </c>
      <c r="F1659" s="2278"/>
      <c r="G1659" s="2282">
        <f t="shared" si="462"/>
        <v>0</v>
      </c>
      <c r="H1659" s="2283">
        <f t="shared" si="465"/>
        <v>0</v>
      </c>
      <c r="I1659" s="2280"/>
      <c r="J1659" s="2284">
        <f t="shared" si="463"/>
        <v>0</v>
      </c>
      <c r="K1659" s="2284">
        <f t="shared" si="464"/>
        <v>0</v>
      </c>
    </row>
    <row r="1660" spans="1:11" ht="14.4">
      <c r="A1660" s="2257"/>
      <c r="B1660" s="2276">
        <f>'Part X - HOME NHTF Unit Calcs'!B51</f>
        <v>0</v>
      </c>
      <c r="C1660" s="2276">
        <f>'Part X - HOME NHTF Unit Calcs'!C51</f>
        <v>0</v>
      </c>
      <c r="D1660" s="2277">
        <f>'Part X - HOME NHTF Unit Calcs'!D51</f>
        <v>0</v>
      </c>
      <c r="E1660" s="2278">
        <f>'Part X - HOME NHTF Unit Calcs'!E51</f>
        <v>0</v>
      </c>
      <c r="F1660" s="2278"/>
      <c r="G1660" s="2282">
        <f t="shared" si="462"/>
        <v>0</v>
      </c>
      <c r="H1660" s="2283">
        <f t="shared" si="465"/>
        <v>0</v>
      </c>
      <c r="I1660" s="2280"/>
      <c r="J1660" s="2284">
        <f t="shared" si="463"/>
        <v>0</v>
      </c>
      <c r="K1660" s="2284">
        <f t="shared" si="464"/>
        <v>0</v>
      </c>
    </row>
    <row r="1661" spans="1:11" ht="13.8">
      <c r="A1661" s="2257"/>
      <c r="B1661" s="2285"/>
      <c r="C1661" s="2257"/>
      <c r="D1661" s="2259"/>
      <c r="E1661" s="2259"/>
      <c r="F1661" s="2259"/>
      <c r="G1661" s="2286" t="s">
        <v>4619</v>
      </c>
      <c r="H1661" s="2287">
        <f>SUM(H1642:H1660)</f>
        <v>0</v>
      </c>
      <c r="I1661" s="2259"/>
      <c r="J1661" s="2285" t="s">
        <v>4620</v>
      </c>
      <c r="K1661" s="2265">
        <f>SUM(K1642:K1660)</f>
        <v>0</v>
      </c>
    </row>
    <row r="1662" spans="1:11" ht="13.8">
      <c r="A1662" s="2257"/>
      <c r="B1662" s="2285"/>
      <c r="C1662" s="2259" t="s">
        <v>4621</v>
      </c>
      <c r="D1662" s="2259"/>
      <c r="E1662" s="2259"/>
      <c r="F1662" s="2259"/>
      <c r="G1662" s="2259"/>
      <c r="H1662" s="2259"/>
      <c r="I1662" s="2259"/>
      <c r="J1662" s="2259"/>
      <c r="K1662" s="2265" t="str">
        <f>IF(J1626="no",0,IF(J1626="yes",J1625,"Error"))</f>
        <v>Error</v>
      </c>
    </row>
    <row r="1663" spans="1:11" ht="13.8">
      <c r="A1663" s="2257"/>
      <c r="B1663" s="2285"/>
      <c r="C1663" s="2263" t="s">
        <v>4622</v>
      </c>
      <c r="D1663" s="2263"/>
      <c r="E1663" s="2263"/>
      <c r="F1663" s="2263"/>
      <c r="G1663" s="2263"/>
      <c r="H1663" s="2263"/>
      <c r="I1663" s="2263"/>
      <c r="J1663" s="2263"/>
      <c r="K1663" s="2288" t="e">
        <f>K1661+K1662</f>
        <v>#VALUE!</v>
      </c>
    </row>
    <row r="1664" spans="1:11" ht="13.8">
      <c r="A1664" s="2257"/>
      <c r="B1664" s="2257"/>
      <c r="C1664" s="2257"/>
      <c r="D1664" s="2257"/>
      <c r="E1664" s="2257"/>
      <c r="F1664" s="2257"/>
      <c r="G1664" s="2257"/>
      <c r="H1664" s="2257"/>
      <c r="I1664" s="2257"/>
      <c r="J1664" s="2257"/>
      <c r="K1664" s="2257"/>
    </row>
    <row r="1665" spans="1:11" ht="13.8">
      <c r="A1665" s="2289" t="s">
        <v>4623</v>
      </c>
      <c r="B1665" s="2289"/>
      <c r="C1665" s="2289"/>
      <c r="D1665" s="2289"/>
      <c r="E1665" s="2289"/>
      <c r="F1665" s="2289"/>
      <c r="G1665" s="2289"/>
      <c r="H1665" s="2289"/>
      <c r="I1665" s="2289"/>
      <c r="J1665" s="2289"/>
      <c r="K1665" s="2289"/>
    </row>
    <row r="1666" spans="1:11" ht="82.5" customHeight="1">
      <c r="A1666" s="2257"/>
      <c r="B1666" s="2257"/>
      <c r="C1666" s="2289" t="s">
        <v>4624</v>
      </c>
      <c r="D1666" s="2289" t="s">
        <v>4625</v>
      </c>
      <c r="E1666" s="2289" t="s">
        <v>4626</v>
      </c>
      <c r="F1666" s="2289"/>
      <c r="G1666" s="2275" t="s">
        <v>4627</v>
      </c>
      <c r="H1666" s="2275"/>
      <c r="I1666" s="2289" t="s">
        <v>4628</v>
      </c>
      <c r="J1666" s="2289"/>
      <c r="K1666" s="2257"/>
    </row>
    <row r="1667" spans="1:11" ht="13.8">
      <c r="A1667" s="2257"/>
      <c r="B1667" s="2257"/>
      <c r="C1667" s="2290">
        <f>SUMIF(C1642:C1660, "0", H1642:H1660)</f>
        <v>0</v>
      </c>
      <c r="D1667" s="2257">
        <f t="shared" ref="D1667:D1672" si="466">ROUNDUP(C1667*1.1,0)</f>
        <v>0</v>
      </c>
      <c r="E1667" s="2259" t="s">
        <v>4630</v>
      </c>
      <c r="F1667" s="2259"/>
      <c r="G1667" s="2291">
        <f>'Part X - HOME NHTF Unit Calcs'!G58</f>
        <v>181488</v>
      </c>
      <c r="H1667" s="2291"/>
      <c r="I1667" s="2292">
        <f t="shared" ref="I1667:I1672" si="467">D1667*G1667</f>
        <v>0</v>
      </c>
      <c r="J1667" s="2292"/>
      <c r="K1667" s="2257"/>
    </row>
    <row r="1668" spans="1:11" ht="13.8">
      <c r="A1668" s="2257"/>
      <c r="B1668" s="2257"/>
      <c r="C1668" s="2290">
        <f>SUMIF(C1642:C1660, "1", H1642:H1660)</f>
        <v>0</v>
      </c>
      <c r="D1668" s="2257">
        <f t="shared" si="466"/>
        <v>0</v>
      </c>
      <c r="E1668" s="2259" t="s">
        <v>4631</v>
      </c>
      <c r="F1668" s="2259"/>
      <c r="G1668" s="2291">
        <f>'Part X - HOME NHTF Unit Calcs'!G59</f>
        <v>208048.8</v>
      </c>
      <c r="H1668" s="2291"/>
      <c r="I1668" s="2292">
        <f t="shared" si="467"/>
        <v>0</v>
      </c>
      <c r="J1668" s="2292"/>
      <c r="K1668" s="2257"/>
    </row>
    <row r="1669" spans="1:11" ht="13.8">
      <c r="A1669" s="2269"/>
      <c r="B1669" s="2257"/>
      <c r="C1669" s="2293">
        <f>SUMIF(C1642:C1660, "2", H1642:H1660)</f>
        <v>0</v>
      </c>
      <c r="D1669" s="2269">
        <f t="shared" si="466"/>
        <v>0</v>
      </c>
      <c r="E1669" s="2259" t="s">
        <v>4632</v>
      </c>
      <c r="F1669" s="2259"/>
      <c r="G1669" s="2291">
        <f>'Part X - HOME NHTF Unit Calcs'!G60</f>
        <v>252993.59999999998</v>
      </c>
      <c r="H1669" s="2291"/>
      <c r="I1669" s="2292">
        <f t="shared" si="467"/>
        <v>0</v>
      </c>
      <c r="J1669" s="2292"/>
      <c r="K1669" s="2257"/>
    </row>
    <row r="1670" spans="1:11" ht="13.8">
      <c r="A1670" s="2269"/>
      <c r="B1670" s="2257"/>
      <c r="C1670" s="2293">
        <f>SUMIF(C1642:C1660, "3", H1642:H1660)</f>
        <v>0</v>
      </c>
      <c r="D1670" s="2269">
        <f t="shared" si="466"/>
        <v>0</v>
      </c>
      <c r="E1670" s="2259" t="s">
        <v>4633</v>
      </c>
      <c r="F1670" s="2259"/>
      <c r="G1670" s="2291">
        <f>'Part X - HOME NHTF Unit Calcs'!G61</f>
        <v>327292.79999999999</v>
      </c>
      <c r="H1670" s="2291"/>
      <c r="I1670" s="2292">
        <f t="shared" si="467"/>
        <v>0</v>
      </c>
      <c r="J1670" s="2292"/>
      <c r="K1670" s="2257"/>
    </row>
    <row r="1671" spans="1:11" ht="13.8">
      <c r="A1671" s="2269"/>
      <c r="B1671" s="2257"/>
      <c r="C1671" s="2293">
        <f>SUMIF(C1642:C1660, "4", H1642:H1660)</f>
        <v>0</v>
      </c>
      <c r="D1671" s="2269">
        <f t="shared" si="466"/>
        <v>0</v>
      </c>
      <c r="E1671" s="2259" t="s">
        <v>4634</v>
      </c>
      <c r="F1671" s="2259"/>
      <c r="G1671" s="2291">
        <f>'Part X - HOME NHTF Unit Calcs'!G62</f>
        <v>359263.2</v>
      </c>
      <c r="H1671" s="2291"/>
      <c r="I1671" s="2292">
        <f t="shared" si="467"/>
        <v>0</v>
      </c>
      <c r="J1671" s="2292"/>
      <c r="K1671" s="2257"/>
    </row>
    <row r="1672" spans="1:11" ht="13.8">
      <c r="A1672" s="2269"/>
      <c r="B1672" s="2257"/>
      <c r="C1672" s="2293">
        <f>SUMIF(C1642:C1660, "5", H1642:H1660)</f>
        <v>0</v>
      </c>
      <c r="D1672" s="2269">
        <f t="shared" si="466"/>
        <v>0</v>
      </c>
      <c r="E1672" s="2259" t="s">
        <v>4635</v>
      </c>
      <c r="F1672" s="2259"/>
      <c r="G1672" s="2291">
        <f>'Part X - HOME NHTF Unit Calcs'!G63</f>
        <v>359263.2</v>
      </c>
      <c r="H1672" s="2291"/>
      <c r="I1672" s="2292">
        <f t="shared" si="467"/>
        <v>0</v>
      </c>
      <c r="J1672" s="2292"/>
      <c r="K1672" s="2257"/>
    </row>
    <row r="1673" spans="1:11" ht="13.8">
      <c r="A1673" s="2274" t="s">
        <v>4636</v>
      </c>
      <c r="B1673" s="2287">
        <f>SUM(C1667:C1672)</f>
        <v>0</v>
      </c>
      <c r="C1673" s="2274"/>
      <c r="D1673" s="2274">
        <f>SUM(D1667:D1672)</f>
        <v>0</v>
      </c>
      <c r="E1673" s="2289"/>
      <c r="F1673" s="2289"/>
      <c r="G1673" s="2289"/>
      <c r="H1673" s="2289"/>
      <c r="I1673" s="2289"/>
      <c r="J1673" s="2289" t="s">
        <v>4637</v>
      </c>
      <c r="K1673" s="2275">
        <f>SUM(I1667:I1671)</f>
        <v>0</v>
      </c>
    </row>
    <row r="1674" spans="1:11" ht="13.8">
      <c r="A1674" s="2257"/>
      <c r="B1674" s="2257"/>
      <c r="C1674" s="2257"/>
      <c r="D1674" s="2257"/>
      <c r="E1674" s="2257"/>
      <c r="F1674" s="2257"/>
      <c r="G1674" s="2257"/>
      <c r="H1674" s="2257"/>
      <c r="I1674" s="2257"/>
      <c r="J1674" s="2257"/>
      <c r="K1674" s="2257"/>
    </row>
    <row r="1675" spans="1:11" ht="13.8">
      <c r="A1675" s="2289" t="s">
        <v>4638</v>
      </c>
      <c r="B1675" s="2289"/>
      <c r="C1675" s="2289"/>
      <c r="D1675" s="2289"/>
      <c r="E1675" s="2289"/>
      <c r="F1675" s="2289"/>
      <c r="G1675" s="2289"/>
      <c r="H1675" s="2289"/>
      <c r="I1675" s="2289"/>
      <c r="J1675" s="2289"/>
      <c r="K1675" s="2289"/>
    </row>
    <row r="1676" spans="1:11" ht="13.8">
      <c r="A1676" s="2269"/>
      <c r="B1676" s="2257"/>
      <c r="C1676" s="2257"/>
      <c r="D1676" s="2257"/>
      <c r="E1676" s="2257" t="s">
        <v>4639</v>
      </c>
      <c r="F1676" s="2257"/>
      <c r="G1676" s="2257"/>
      <c r="H1676" s="2257"/>
      <c r="I1676" s="2257"/>
      <c r="J1676" s="2257"/>
      <c r="K1676" s="2294">
        <f>J1620</f>
        <v>0</v>
      </c>
    </row>
    <row r="1677" spans="1:11" ht="13.8">
      <c r="A1677" s="2257"/>
      <c r="B1677" s="2257"/>
      <c r="C1677" s="2257"/>
      <c r="D1677" s="2257"/>
      <c r="E1677" s="2257" t="s">
        <v>4640</v>
      </c>
      <c r="F1677" s="2257"/>
      <c r="G1677" s="2257"/>
      <c r="H1677" s="2257"/>
      <c r="I1677" s="2257"/>
      <c r="J1677" s="2257"/>
      <c r="K1677" s="2294" t="e">
        <f>K1663</f>
        <v>#VALUE!</v>
      </c>
    </row>
    <row r="1678" spans="1:11" ht="13.8">
      <c r="A1678" s="2257"/>
      <c r="B1678" s="2257"/>
      <c r="C1678" s="2257"/>
      <c r="D1678" s="2257"/>
      <c r="E1678" s="2257" t="s">
        <v>4641</v>
      </c>
      <c r="F1678" s="2257"/>
      <c r="G1678" s="2257"/>
      <c r="H1678" s="2257"/>
      <c r="I1678" s="2257"/>
      <c r="J1678" s="2257"/>
      <c r="K1678" s="2294">
        <f>K1673</f>
        <v>0</v>
      </c>
    </row>
    <row r="1679" spans="1:11" ht="13.8">
      <c r="A1679" s="2269"/>
      <c r="B1679" s="2257"/>
      <c r="C1679" s="2263" t="s">
        <v>4642</v>
      </c>
      <c r="D1679" s="2263"/>
      <c r="E1679" s="2263"/>
      <c r="F1679" s="2263"/>
      <c r="G1679" s="2263"/>
      <c r="H1679" s="2263"/>
      <c r="I1679" s="2263"/>
      <c r="J1679" s="2263"/>
      <c r="K1679" s="2295" t="e">
        <f>IF(ISBLANK(J1620),MIN(K1677:K1678),MIN(K1676:K1678))</f>
        <v>#VALUE!</v>
      </c>
    </row>
  </sheetData>
  <sheetProtection algorithmName="SHA-512" hashValue="j7xI5qhhERx1ewNv0uXKfLCvZ/XI65EagzxnZJ+kP1VKLf5AFuH04Z+zYnEaAGovkZz0nIJIZ2w1eSdQpI8CxQ==" saltValue="mo+1pKLtddStcb+k6rq5jw==" spinCount="100000" sheet="1" objects="1" scenarios="1"/>
  <mergeCells count="1">
    <mergeCell ref="A513:Q514"/>
  </mergeCells>
  <conditionalFormatting sqref="A459:A463">
    <cfRule type="cellIs" dxfId="3" priority="1" operator="equal">
      <formula>"Finish Row!"</formula>
    </cfRule>
  </conditionalFormatting>
  <conditionalFormatting sqref="A464:A510">
    <cfRule type="cellIs" dxfId="2" priority="6" stopIfTrue="1" operator="equal">
      <formula>1</formula>
    </cfRule>
  </conditionalFormatting>
  <conditionalFormatting sqref="B512:C512">
    <cfRule type="cellIs" dxfId="1" priority="2" operator="greaterThan">
      <formula>60.0000001</formula>
    </cfRule>
  </conditionalFormatting>
  <conditionalFormatting sqref="H464:J510">
    <cfRule type="expression" priority="4" stopIfTrue="1">
      <formula>AND($B464="PHA", $H464&gt;0)</formula>
    </cfRule>
  </conditionalFormatting>
  <conditionalFormatting sqref="Q464:Q510">
    <cfRule type="expression" dxfId="0" priority="3">
      <formula>AND($P$11="New Construction",$Q$11="Yes")</formula>
    </cfRule>
  </conditionalFormatting>
  <dataValidations count="1">
    <dataValidation allowBlank="1" sqref="P12" xr:uid="{73F66972-CBC1-45D3-A360-31D735E87534}"/>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91F0190900FA499953554D9130C846" ma:contentTypeVersion="11" ma:contentTypeDescription="Create a new document." ma:contentTypeScope="" ma:versionID="e2576cf07e5b70bd84309d130f7ebd90">
  <xsd:schema xmlns:xsd="http://www.w3.org/2001/XMLSchema" xmlns:xs="http://www.w3.org/2001/XMLSchema" xmlns:p="http://schemas.microsoft.com/office/2006/metadata/properties" xmlns:ns2="50357b73-0a6c-48a0-864e-38d98a809ab8" xmlns:ns3="431100d4-4470-42c1-96bc-46686c1829ae" targetNamespace="http://schemas.microsoft.com/office/2006/metadata/properties" ma:root="true" ma:fieldsID="eca14371e6788bbd189619710ff0451b" ns2:_="" ns3:_="">
    <xsd:import namespace="50357b73-0a6c-48a0-864e-38d98a809ab8"/>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57b73-0a6c-48a0-864e-38d98a809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50357b73-0a6c-48a0-864e-38d98a809ab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F6E73A-E119-4B53-8C5E-3B264FF91309}"/>
</file>

<file path=customXml/itemProps2.xml><?xml version="1.0" encoding="utf-8"?>
<ds:datastoreItem xmlns:ds="http://schemas.openxmlformats.org/officeDocument/2006/customXml" ds:itemID="{A9602457-3537-4608-ABA5-517DA67EA664}">
  <ds:schemaRefs>
    <ds:schemaRef ds:uri="http://schemas.microsoft.com/office/2006/metadata/properties"/>
    <ds:schemaRef ds:uri="http://schemas.microsoft.com/office/infopath/2007/PartnerControls"/>
    <ds:schemaRef ds:uri="431100d4-4470-42c1-96bc-46686c1829ae"/>
    <ds:schemaRef ds:uri="07da3740-463b-4cf7-bfb8-6875f2c449a4"/>
  </ds:schemaRefs>
</ds:datastoreItem>
</file>

<file path=customXml/itemProps3.xml><?xml version="1.0" encoding="utf-8"?>
<ds:datastoreItem xmlns:ds="http://schemas.openxmlformats.org/officeDocument/2006/customXml" ds:itemID="{C519485E-FC7D-4E20-B5AC-E2D7B0134B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Project Narrative</vt:lpstr>
      <vt:lpstr>Part I-Project Identification</vt:lpstr>
      <vt:lpstr>Part II-Development Team</vt:lpstr>
      <vt:lpstr>Part II-Sources of Funds</vt:lpstr>
      <vt:lpstr>Part III B-USDA 538 Loan</vt:lpstr>
      <vt:lpstr>Part III C-HUD Insured Loan</vt:lpstr>
      <vt:lpstr>Part III-A-Uses of Funds</vt:lpstr>
      <vt:lpstr>Part III-B-Other Items</vt:lpstr>
      <vt:lpstr>Part IV-Utility Allowances</vt:lpstr>
      <vt:lpstr>Part V-Revenues &amp; Expenses</vt:lpstr>
      <vt:lpstr>Part VI-Pro Forma</vt:lpstr>
      <vt:lpstr>Part VII-Threshold Criteria</vt:lpstr>
      <vt:lpstr>Part VIII Scoring Criteria</vt:lpstr>
      <vt:lpstr>Sheet1</vt:lpstr>
      <vt:lpstr>Quality Edu School List</vt:lpstr>
      <vt:lpstr>Part IX - Applicant Cert Ltr</vt:lpstr>
      <vt:lpstr>Part X - HOME NHTF Unit Calcs</vt:lpstr>
      <vt:lpstr>DCA Underwriting Assumptions</vt:lpstr>
      <vt:lpstr>Part VII-Threshold Criteria OLD</vt:lpstr>
      <vt:lpstr>Cost Limits Threshold, Assumpt </vt:lpstr>
      <vt:lpstr>Part VIII Scoring Criteria OLD</vt:lpstr>
      <vt:lpstr>Executive Summary</vt:lpstr>
      <vt:lpstr>Subsidy Layering Memo</vt:lpstr>
      <vt:lpstr>Sensitivity Analysis</vt:lpstr>
      <vt:lpstr>D&amp;E Sensitivity Analysis</vt:lpstr>
      <vt:lpstr>After-Tax Analysis</vt:lpstr>
      <vt:lpstr>Payments-Ex B</vt:lpstr>
      <vt:lpstr>Preview Term</vt:lpstr>
      <vt:lpstr>Closing term sheet</vt:lpstr>
      <vt:lpstr>ProrationMethodCostAllocatnDCA</vt:lpstr>
      <vt:lpstr>Closing ExhA</vt:lpstr>
      <vt:lpstr>Closing ExhA New</vt:lpstr>
      <vt:lpstr>DCA_SB_ONLY</vt:lpstr>
      <vt:lpstr>Sheet1!_Toc211432252</vt:lpstr>
      <vt:lpstr>Sheet1!_Toc211432253</vt:lpstr>
      <vt:lpstr>Sheet1!_Toc211432254</vt:lpstr>
      <vt:lpstr>Sheet1!_Toc211432255</vt:lpstr>
      <vt:lpstr>Sheet1!_Toc211432256</vt:lpstr>
      <vt:lpstr>Sheet1!_Toc211432257</vt:lpstr>
      <vt:lpstr>Sheet1!_Toc211432258</vt:lpstr>
      <vt:lpstr>Sheet1!_Toc211432259</vt:lpstr>
      <vt:lpstr>Sheet1!_Toc211432260</vt:lpstr>
      <vt:lpstr>Sheet1!_Toc211432261</vt:lpstr>
      <vt:lpstr>Sheet1!_Toc211432262</vt:lpstr>
      <vt:lpstr>Sheet1!_Toc211432263</vt:lpstr>
      <vt:lpstr>'Closing ExhA New'!Print_Area</vt:lpstr>
      <vt:lpstr>'Closing term sheet'!Print_Area</vt:lpstr>
      <vt:lpstr>'D&amp;E Sensitivity Analysis'!Print_Area</vt:lpstr>
      <vt:lpstr>'Executive Summary'!Print_Area</vt:lpstr>
      <vt:lpstr>'Part II-Development Team'!Print_Area</vt:lpstr>
      <vt:lpstr>'Part III B-USDA 538 Loan'!Print_Area</vt:lpstr>
      <vt:lpstr>'Part III C-HUD Insured Loan'!Print_Area</vt:lpstr>
      <vt:lpstr>'Part III-A-Uses of Funds'!Print_Area</vt:lpstr>
      <vt:lpstr>'Part III-B-Other Items'!Print_Area</vt:lpstr>
      <vt:lpstr>'Part II-Sources of Funds'!Print_Area</vt:lpstr>
      <vt:lpstr>'Part I-Project Identification'!Print_Area</vt:lpstr>
      <vt:lpstr>'Part IV-Utility Allowances'!Print_Area</vt:lpstr>
      <vt:lpstr>'Part IX - Applicant Cert Ltr'!Print_Area</vt:lpstr>
      <vt:lpstr>'Part VIII Scoring Criteria'!Print_Area</vt:lpstr>
      <vt:lpstr>'Part VIII Scoring Criteria OLD'!Print_Area</vt:lpstr>
      <vt:lpstr>'Part VII-Threshold Criteria'!Print_Area</vt:lpstr>
      <vt:lpstr>'Part VII-Threshold Criteria OLD'!Print_Area</vt:lpstr>
      <vt:lpstr>'Part VI-Pro Forma'!Print_Area</vt:lpstr>
      <vt:lpstr>'Part V-Revenues &amp; Expenses'!Print_Area</vt:lpstr>
      <vt:lpstr>'Part X - HOME NHTF Unit Calcs'!Print_Area</vt:lpstr>
      <vt:lpstr>'Payments-Ex B'!Print_Area</vt:lpstr>
      <vt:lpstr>'Preview Term'!Print_Area</vt:lpstr>
      <vt:lpstr>'Project Narrative'!Print_Area</vt:lpstr>
      <vt:lpstr>ProrationMethodCostAllocatnDCA!Print_Area</vt:lpstr>
      <vt:lpstr>'Sensitivity Analysis'!Print_Area</vt:lpstr>
      <vt:lpstr>'Subsidy Layering Memo'!Print_Area</vt:lpstr>
      <vt:lpstr>'Closing ExhA New'!Print_Titles</vt:lpstr>
      <vt:lpstr>'Part II-Development Team'!Print_Titles</vt:lpstr>
      <vt:lpstr>'Part III B-USDA 538 Loan'!Print_Titles</vt:lpstr>
      <vt:lpstr>'Part III C-HUD Insured Loan'!Print_Titles</vt:lpstr>
      <vt:lpstr>'Part III-A-Uses of Funds'!Print_Titles</vt:lpstr>
      <vt:lpstr>'Part III-B-Other Items'!Print_Titles</vt:lpstr>
      <vt:lpstr>'Part II-Sources of Funds'!Print_Titles</vt:lpstr>
      <vt:lpstr>'Part I-Project Identification'!Print_Titles</vt:lpstr>
      <vt:lpstr>'Part VIII Scoring Criteria'!Print_Titles</vt:lpstr>
      <vt:lpstr>'Part VIII Scoring Criteria OLD'!Print_Titles</vt:lpstr>
      <vt:lpstr>'Part VII-Threshold Criteria OLD'!Print_Titles</vt:lpstr>
      <vt:lpstr>'Part VI-Pro Forma'!Print_Titles</vt:lpstr>
      <vt:lpstr>'Part V-Revenues &amp; Expenses'!Print_Titles</vt:lpstr>
      <vt:lpstr>'Part X - HOME NHTF Unit Calcs'!Print_Titles</vt:lpstr>
      <vt:lpstr>ProrationMethodCostAllocatnDCA!Print_Titles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sbarrett</dc:creator>
  <cp:keywords/>
  <dc:description/>
  <cp:lastModifiedBy>Travis Ismir</cp:lastModifiedBy>
  <cp:revision/>
  <dcterms:created xsi:type="dcterms:W3CDTF">2005-09-15T20:51:37Z</dcterms:created>
  <dcterms:modified xsi:type="dcterms:W3CDTF">2026-05-15T15:01:20Z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0x0101004E91F0190900FA499953554D9130C846</vt:lpwstr>
  </property>
  <property fmtid="{D5CDD505-2E9C-101B-9397-08002B2CF9AE}" pid="3" name="MediaServiceImageTags">
    <vt:lpwstr/>
  </property>
</Properties>
</file>